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drawings/drawing41.xml" ContentType="application/vnd.openxmlformats-officedocument.drawing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drawings/drawing42.xml" ContentType="application/vnd.openxmlformats-officedocument.drawing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P:\_Clients\G\_GROUPES\GROUPE REGIS REGO\_P&amp;L\2025\"/>
    </mc:Choice>
  </mc:AlternateContent>
  <xr:revisionPtr revIDLastSave="0" documentId="13_ncr:1_{DCFA5885-BC7C-4666-8936-9EBEAEB418CB}" xr6:coauthVersionLast="47" xr6:coauthVersionMax="47" xr10:uidLastSave="{00000000-0000-0000-0000-000000000000}"/>
  <bookViews>
    <workbookView xWindow="-120" yWindow="-120" windowWidth="29040" windowHeight="15720" tabRatio="759" firstSheet="20" activeTab="20" xr2:uid="{00000000-000D-0000-FFFF-FFFF00000000}"/>
  </bookViews>
  <sheets>
    <sheet name="BAL N GLR5" sheetId="266" r:id="rId1"/>
    <sheet name="BAL N HTR8" sheetId="267" r:id="rId2"/>
    <sheet name="BAL N TIRR" sheetId="268" r:id="rId3"/>
    <sheet name="BAL N VR7" sheetId="269" r:id="rId4"/>
    <sheet name="BAL N TURVILLA" sheetId="271" r:id="rId5"/>
    <sheet name="BAL N HART" sheetId="272" r:id="rId6"/>
    <sheet name="BAL N VICTOIRE" sheetId="273" r:id="rId7"/>
    <sheet name="BAL N TH4" sheetId="274" r:id="rId8"/>
    <sheet name="BAL N DIVES" sheetId="275" r:id="rId9"/>
    <sheet name="BAL N R314" sheetId="276" r:id="rId10"/>
    <sheet name="BAL N LYSE" sheetId="277" r:id="rId11"/>
    <sheet name="BAL N ARTHUR" sheetId="341" r:id="rId12"/>
    <sheet name="BAL N HUGO" sheetId="340" r:id="rId13"/>
    <sheet name="BAL N JEANCLO" sheetId="339" r:id="rId14"/>
    <sheet name="BAL N THOMAS" sheetId="338" r:id="rId15"/>
    <sheet name="BAL N CATALINA" sheetId="400" r:id="rId16"/>
    <sheet name="TL" sheetId="282" r:id="rId17"/>
    <sheet name="DONNEES_MOIS 2024" sheetId="280" r:id="rId18"/>
    <sheet name="DONNEES_CUM 2024" sheetId="305" r:id="rId19"/>
    <sheet name="PARAMETRES" sheetId="194" r:id="rId20"/>
    <sheet name="DONNÉES" sheetId="142" r:id="rId21"/>
    <sheet name="pr info suivi écart" sheetId="253" r:id="rId22"/>
    <sheet name="SOMMAIRE" sheetId="20" r:id="rId23"/>
    <sheet name="FB1" sheetId="392" r:id="rId24"/>
    <sheet name="INTRODUCTION" sheetId="252" r:id="rId25"/>
    <sheet name="FB2" sheetId="397" r:id="rId26"/>
    <sheet name="IA" sheetId="391" r:id="rId27"/>
    <sheet name="GCA GLOBAL" sheetId="144" r:id="rId28"/>
    <sheet name="GLOBAL M" sheetId="293" r:id="rId29"/>
    <sheet name="GPL GLOBAL" sheetId="143" r:id="rId30"/>
    <sheet name="GLOBAL C" sheetId="334" r:id="rId31"/>
    <sheet name="CONTRIB M" sheetId="332" r:id="rId32"/>
    <sheet name="CONTRIB CUM " sheetId="333" r:id="rId33"/>
    <sheet name="FB3" sheetId="398" r:id="rId34"/>
    <sheet name="IB" sheetId="393" r:id="rId35"/>
    <sheet name="GCA GLR5" sheetId="350" r:id="rId36"/>
    <sheet name="GLR5 M" sheetId="283" r:id="rId37"/>
    <sheet name="GCA HTR8" sheetId="352" r:id="rId38"/>
    <sheet name="HTR8 M" sheetId="284" r:id="rId39"/>
    <sheet name="GCA TIRR" sheetId="353" r:id="rId40"/>
    <sheet name="TIRR M" sheetId="285" r:id="rId41"/>
    <sheet name="GCA VR7" sheetId="354" r:id="rId42"/>
    <sheet name="VR7 M " sheetId="286" r:id="rId43"/>
    <sheet name="GCA TURVILLA" sheetId="355" r:id="rId44"/>
    <sheet name="TURVILLA M" sheetId="287" r:id="rId45"/>
    <sheet name="GCA HART" sheetId="356" r:id="rId46"/>
    <sheet name="HART M" sheetId="288" r:id="rId47"/>
    <sheet name="GCA VICTOIRE" sheetId="357" r:id="rId48"/>
    <sheet name="VICTOIRE M" sheetId="289" r:id="rId49"/>
    <sheet name="GCA TH4" sheetId="148" r:id="rId50"/>
    <sheet name="TH4 M " sheetId="290" r:id="rId51"/>
    <sheet name="GCA DIVES" sheetId="147" r:id="rId52"/>
    <sheet name="DIVES M" sheetId="291" r:id="rId53"/>
    <sheet name="GCA R314" sheetId="145" r:id="rId54"/>
    <sheet name="R314 M " sheetId="278" r:id="rId55"/>
    <sheet name="GCA LYSE" sheetId="146" r:id="rId56"/>
    <sheet name="LYSE M " sheetId="292" r:id="rId57"/>
    <sheet name="GCA ARTHUR" sheetId="358" r:id="rId58"/>
    <sheet name="ARTHUR M " sheetId="342" r:id="rId59"/>
    <sheet name="GCA HUGO" sheetId="359" r:id="rId60"/>
    <sheet name="HUGO M " sheetId="344" r:id="rId61"/>
    <sheet name="GCA JEANCLO" sheetId="360" r:id="rId62"/>
    <sheet name="JEANCLO M " sheetId="343" r:id="rId63"/>
    <sheet name="GCA THOMAS" sheetId="361" r:id="rId64"/>
    <sheet name="THOMAS M" sheetId="345" r:id="rId65"/>
    <sheet name="GCA CATALINA" sheetId="401" r:id="rId66"/>
    <sheet name="CATALINA M" sheetId="402" r:id="rId67"/>
    <sheet name="FB4" sheetId="399" r:id="rId68"/>
    <sheet name="IC" sheetId="394" r:id="rId69"/>
    <sheet name="GPL GLR5" sheetId="389" r:id="rId70"/>
    <sheet name="GLR5 A" sheetId="311" r:id="rId71"/>
    <sheet name="GPL HTR8" sheetId="388" r:id="rId72"/>
    <sheet name="HTR8 A" sheetId="313" r:id="rId73"/>
    <sheet name="GPL TIRR" sheetId="387" r:id="rId74"/>
    <sheet name="TIRR A" sheetId="315" r:id="rId75"/>
    <sheet name="GPL VR7" sheetId="386" r:id="rId76"/>
    <sheet name="VR7 A" sheetId="317" r:id="rId77"/>
    <sheet name="GPL TURVILLA" sheetId="385" r:id="rId78"/>
    <sheet name="TURVILLA A" sheetId="319" r:id="rId79"/>
    <sheet name="GPL HART" sheetId="384" r:id="rId80"/>
    <sheet name="HART A" sheetId="321" r:id="rId81"/>
    <sheet name="GPL VICTOIRE" sheetId="155" r:id="rId82"/>
    <sheet name="VICTOIRE A" sheetId="323" r:id="rId83"/>
    <sheet name="GPL TH4" sheetId="380" r:id="rId84"/>
    <sheet name="TH4 A" sheetId="325" r:id="rId85"/>
    <sheet name="GPL DIVES" sheetId="154" r:id="rId86"/>
    <sheet name="DIVES A" sheetId="327" r:id="rId87"/>
    <sheet name="GPL R314" sheetId="152" r:id="rId88"/>
    <sheet name="R314 A" sheetId="329" r:id="rId89"/>
    <sheet name="GPL LYSE" sheetId="153" r:id="rId90"/>
    <sheet name="LYSE A" sheetId="331" r:id="rId91"/>
    <sheet name="GPL ARTHUR" sheetId="381" r:id="rId92"/>
    <sheet name="ARTHUR A" sheetId="346" r:id="rId93"/>
    <sheet name="GPL HUGO" sheetId="351" r:id="rId94"/>
    <sheet name="HUGO A" sheetId="347" r:id="rId95"/>
    <sheet name="GPL JEANCLO" sheetId="382" r:id="rId96"/>
    <sheet name="JEANCLO A" sheetId="348" r:id="rId97"/>
    <sheet name="GPL THOMAS" sheetId="383" r:id="rId98"/>
    <sheet name="THOMAS A" sheetId="349" r:id="rId99"/>
    <sheet name="GPL CATALINA" sheetId="403" r:id="rId100"/>
    <sheet name="CATALINA A" sheetId="404" r:id="rId101"/>
    <sheet name="FB20" sheetId="395" r:id="rId102"/>
    <sheet name="IF" sheetId="396" r:id="rId103"/>
    <sheet name="GRAPH TRESO" sheetId="162" r:id="rId104"/>
    <sheet name="TRESO" sheetId="102" r:id="rId105"/>
    <sheet name="TRANSACTIONS DETAIL" sheetId="235" r:id="rId106"/>
    <sheet name="TRANSACTIONS RECAP" sheetId="189" r:id="rId107"/>
    <sheet name="PANIERS DETAIL" sheetId="234" r:id="rId108"/>
    <sheet name="PANIERS RECAP" sheetId="190" r:id="rId109"/>
  </sheets>
  <externalReferences>
    <externalReference r:id="rId110"/>
    <externalReference r:id="rId111"/>
  </externalReferences>
  <definedNames>
    <definedName name="_BGR6" localSheetId="34" hidden="1">{#N/A,#N/A,FALSE,"RESUL CUMUL";#N/A,#N/A,FALSE,"CA CUMUL";#N/A,#N/A,FALSE,"resultat bignalet";#N/A,#N/A,FALSE,"CA BIGNALET";#N/A,#N/A,FALSE,"Resultat Drivernon";#N/A,#N/A,FALSE,"CA DRIVERNON"}</definedName>
    <definedName name="_BGR6" localSheetId="68" hidden="1">{#N/A,#N/A,FALSE,"RESUL CUMUL";#N/A,#N/A,FALSE,"CA CUMUL";#N/A,#N/A,FALSE,"resultat bignalet";#N/A,#N/A,FALSE,"CA BIGNALET";#N/A,#N/A,FALSE,"Resultat Drivernon";#N/A,#N/A,FALSE,"CA DRIVERNON"}</definedName>
    <definedName name="_BGR6" localSheetId="19" hidden="1">{#N/A,#N/A,FALSE,"RESUL CUMUL";#N/A,#N/A,FALSE,"CA CUMUL";#N/A,#N/A,FALSE,"resultat bignalet";#N/A,#N/A,FALSE,"CA BIGNALET";#N/A,#N/A,FALSE,"Resultat Drivernon";#N/A,#N/A,FALSE,"CA DRIVERNON"}</definedName>
    <definedName name="_BGR6" localSheetId="21" hidden="1">{#N/A,#N/A,FALSE,"RESUL CUMUL";#N/A,#N/A,FALSE,"CA CUMUL";#N/A,#N/A,FALSE,"resultat bignalet";#N/A,#N/A,FALSE,"CA BIGNALET";#N/A,#N/A,FALSE,"Resultat Drivernon";#N/A,#N/A,FALSE,"CA DRIVERNON"}</definedName>
    <definedName name="_BGR6" hidden="1">{#N/A,#N/A,FALSE,"RESUL CUMUL";#N/A,#N/A,FALSE,"CA CUMUL";#N/A,#N/A,FALSE,"resultat bignalet";#N/A,#N/A,FALSE,"CA BIGNALET";#N/A,#N/A,FALSE,"Resultat Drivernon";#N/A,#N/A,FALSE,"CA DRIVERNON"}</definedName>
    <definedName name="_xlnm._FilterDatabase" localSheetId="8" hidden="1">'BAL N DIVES'!$A$1:$L$265</definedName>
    <definedName name="_xlnm._FilterDatabase" localSheetId="0" hidden="1">'BAL N GLR5'!$A$1:$L$211</definedName>
    <definedName name="_xlnm._FilterDatabase" localSheetId="5" hidden="1">'BAL N HART'!$A$1:$L$249</definedName>
    <definedName name="_xlnm._FilterDatabase" localSheetId="1" hidden="1">'BAL N HTR8'!$A$1:$L$196</definedName>
    <definedName name="_xlnm._FilterDatabase" localSheetId="10" hidden="1">'BAL N LYSE'!$A$1:$L$229</definedName>
    <definedName name="_xlnm._FilterDatabase" localSheetId="9" hidden="1">'BAL N R314'!$A$1:$L$215</definedName>
    <definedName name="_xlnm._FilterDatabase" localSheetId="7" hidden="1">'BAL N TH4'!$A$1:$L$274</definedName>
    <definedName name="_xlnm._FilterDatabase" localSheetId="2" hidden="1">'BAL N TIRR'!$A$1:$L$281</definedName>
    <definedName name="_xlnm._FilterDatabase" localSheetId="4" hidden="1">'BAL N TURVILLA'!$A$1:$L$203</definedName>
    <definedName name="_xlnm._FilterDatabase" localSheetId="6" hidden="1">'BAL N VICTOIRE'!$A$1:$L$252</definedName>
    <definedName name="_xlnm._FilterDatabase" localSheetId="3" hidden="1">'BAL N VR7'!$A$1:$L$291</definedName>
    <definedName name="_xlnm._FilterDatabase" localSheetId="18" hidden="1">'DONNEES_CUM 2024'!$C$1:$C$3835</definedName>
    <definedName name="_xlnm._FilterDatabase" localSheetId="17" hidden="1">'DONNEES_MOIS 2024'!$C$1:$C$3910</definedName>
    <definedName name="_VR7" localSheetId="34" hidden="1">{#N/A,#N/A,FALSE,"RESUL CUMUL";#N/A,#N/A,FALSE,"CA CUMUL";#N/A,#N/A,FALSE,"resultat bignalet";#N/A,#N/A,FALSE,"CA BIGNALET";#N/A,#N/A,FALSE,"Resultat Drivernon";#N/A,#N/A,FALSE,"CA DRIVERNON"}</definedName>
    <definedName name="_VR7" localSheetId="68" hidden="1">{#N/A,#N/A,FALSE,"RESUL CUMUL";#N/A,#N/A,FALSE,"CA CUMUL";#N/A,#N/A,FALSE,"resultat bignalet";#N/A,#N/A,FALSE,"CA BIGNALET";#N/A,#N/A,FALSE,"Resultat Drivernon";#N/A,#N/A,FALSE,"CA DRIVERNON"}</definedName>
    <definedName name="_VR7" localSheetId="19" hidden="1">{#N/A,#N/A,FALSE,"RESUL CUMUL";#N/A,#N/A,FALSE,"CA CUMUL";#N/A,#N/A,FALSE,"resultat bignalet";#N/A,#N/A,FALSE,"CA BIGNALET";#N/A,#N/A,FALSE,"Resultat Drivernon";#N/A,#N/A,FALSE,"CA DRIVERNON"}</definedName>
    <definedName name="_VR7" localSheetId="21" hidden="1">{#N/A,#N/A,FALSE,"RESUL CUMUL";#N/A,#N/A,FALSE,"CA CUMUL";#N/A,#N/A,FALSE,"resultat bignalet";#N/A,#N/A,FALSE,"CA BIGNALET";#N/A,#N/A,FALSE,"Resultat Drivernon";#N/A,#N/A,FALSE,"CA DRIVERNON"}</definedName>
    <definedName name="_VR7" hidden="1">{#N/A,#N/A,FALSE,"RESUL CUMUL";#N/A,#N/A,FALSE,"CA CUMUL";#N/A,#N/A,FALSE,"resultat bignalet";#N/A,#N/A,FALSE,"CA BIGNALET";#N/A,#N/A,FALSE,"Resultat Drivernon";#N/A,#N/A,FALSE,"CA DRIVERNON"}</definedName>
    <definedName name="_xlnm.Print_Titles" localSheetId="31">'CONTRIB M'!$B:$B,'CONTRIB M'!$1:$4</definedName>
    <definedName name="_xlnm.Print_Titles" localSheetId="107">'PANIERS DETAIL'!$1:$3</definedName>
    <definedName name="_xlnm.Print_Titles" localSheetId="108">'PANIERS RECAP'!$1:$3</definedName>
    <definedName name="_xlnm.Print_Titles" localSheetId="105">'TRANSACTIONS DETAIL'!$1:$3</definedName>
    <definedName name="_xlnm.Print_Titles" localSheetId="106">'TRANSACTIONS RECAP'!$1:$3</definedName>
    <definedName name="Lancer_la_requête_à_partir_de_Report_MacDo" localSheetId="19" hidden="1">PARAMETRES!#REF!</definedName>
    <definedName name="TRT_R314" localSheetId="92">TRDTR314[]</definedName>
    <definedName name="TRT_R314" localSheetId="58">TRDTR314[]</definedName>
    <definedName name="TRT_R314" localSheetId="15">TRDTR314[]</definedName>
    <definedName name="TRT_R314" localSheetId="100">TRDTR314[]</definedName>
    <definedName name="TRT_R314" localSheetId="66">TRDTR314[]</definedName>
    <definedName name="TRT_R314" localSheetId="23">TRDTR314[]</definedName>
    <definedName name="TRT_R314" localSheetId="25">TRDTR314[]</definedName>
    <definedName name="TRT_R314" localSheetId="33">TRDTR314[]</definedName>
    <definedName name="TRT_R314" localSheetId="67">TRDTR314[]</definedName>
    <definedName name="TRT_R314" localSheetId="57">TRDTR314[]</definedName>
    <definedName name="TRT_R314" localSheetId="65">TRDTR314[]</definedName>
    <definedName name="TRT_R314" localSheetId="35">TRDTR314[]</definedName>
    <definedName name="TRT_R314" localSheetId="45">TRDTR314[]</definedName>
    <definedName name="TRT_R314" localSheetId="37">TRDTR314[]</definedName>
    <definedName name="TRT_R314" localSheetId="59">TRDTR314[]</definedName>
    <definedName name="TRT_R314" localSheetId="61">TRDTR314[]</definedName>
    <definedName name="TRT_R314" localSheetId="63">TRDTR314[]</definedName>
    <definedName name="TRT_R314" localSheetId="39">TRDTR314[]</definedName>
    <definedName name="TRT_R314" localSheetId="43">TRDTR314[]</definedName>
    <definedName name="TRT_R314" localSheetId="47">TRDTR314[]</definedName>
    <definedName name="TRT_R314" localSheetId="41">TRDTR314[]</definedName>
    <definedName name="TRT_R314" localSheetId="91">TRDTR314[]</definedName>
    <definedName name="TRT_R314" localSheetId="99">TRDTR314[]</definedName>
    <definedName name="TRT_R314" localSheetId="69">TRDTR314[]</definedName>
    <definedName name="TRT_R314" localSheetId="79">TRDTR314[]</definedName>
    <definedName name="TRT_R314" localSheetId="71">TRDTR314[]</definedName>
    <definedName name="TRT_R314" localSheetId="93">TRDTR314[]</definedName>
    <definedName name="TRT_R314" localSheetId="95">TRDTR314[]</definedName>
    <definedName name="TRT_R314" localSheetId="83">TRDTR314[]</definedName>
    <definedName name="TRT_R314" localSheetId="97">TRDTR314[]</definedName>
    <definedName name="TRT_R314" localSheetId="73">TRDTR314[]</definedName>
    <definedName name="TRT_R314" localSheetId="77">TRDTR314[]</definedName>
    <definedName name="TRT_R314" localSheetId="75">TRDTR314[]</definedName>
    <definedName name="TRT_R314" localSheetId="94">TRDTR314[]</definedName>
    <definedName name="TRT_R314" localSheetId="60">TRDTR314[]</definedName>
    <definedName name="TRT_R314" localSheetId="34">[1]!TRDTR314[#Data]</definedName>
    <definedName name="TRT_R314" localSheetId="68">[1]!TRDTR314[#Data]</definedName>
    <definedName name="TRT_R314" localSheetId="96">TRDTR314[]</definedName>
    <definedName name="TRT_R314" localSheetId="62">TRDTR314[]</definedName>
    <definedName name="TRT_R314" localSheetId="98">TRDTR314[]</definedName>
    <definedName name="TRT_R314" localSheetId="64">TRDTR314[]</definedName>
    <definedName name="TRT_R314">TRDTR314[]</definedName>
    <definedName name="wrn.GRAPHES._.MCDO." localSheetId="34" hidden="1">{#N/A,#N/A,FALSE,"RESUL CUMUL";#N/A,#N/A,FALSE,"CA CUMUL";#N/A,#N/A,FALSE,"resultat bignalet";#N/A,#N/A,FALSE,"CA BIGNALET";#N/A,#N/A,FALSE,"Resultat Drivernon";#N/A,#N/A,FALSE,"CA DRIVERNON"}</definedName>
    <definedName name="wrn.GRAPHES._.MCDO." localSheetId="68" hidden="1">{#N/A,#N/A,FALSE,"RESUL CUMUL";#N/A,#N/A,FALSE,"CA CUMUL";#N/A,#N/A,FALSE,"resultat bignalet";#N/A,#N/A,FALSE,"CA BIGNALET";#N/A,#N/A,FALSE,"Resultat Drivernon";#N/A,#N/A,FALSE,"CA DRIVERNON"}</definedName>
    <definedName name="wrn.GRAPHES._.MCDO." localSheetId="19" hidden="1">{#N/A,#N/A,FALSE,"RESUL CUMUL";#N/A,#N/A,FALSE,"CA CUMUL";#N/A,#N/A,FALSE,"resultat bignalet";#N/A,#N/A,FALSE,"CA BIGNALET";#N/A,#N/A,FALSE,"Resultat Drivernon";#N/A,#N/A,FALSE,"CA DRIVERNON"}</definedName>
    <definedName name="wrn.GRAPHES._.MCDO." localSheetId="21" hidden="1">{#N/A,#N/A,FALSE,"RESUL CUMUL";#N/A,#N/A,FALSE,"CA CUMUL";#N/A,#N/A,FALSE,"resultat bignalet";#N/A,#N/A,FALSE,"CA BIGNALET";#N/A,#N/A,FALSE,"Resultat Drivernon";#N/A,#N/A,FALSE,"CA DRIVERNON"}</definedName>
    <definedName name="wrn.GRAPHES._.MCDO." hidden="1">{#N/A,#N/A,FALSE,"RESUL CUMUL";#N/A,#N/A,FALSE,"CA CUMUL";#N/A,#N/A,FALSE,"resultat bignalet";#N/A,#N/A,FALSE,"CA BIGNALET";#N/A,#N/A,FALSE,"Resultat Drivernon";#N/A,#N/A,FALSE,"CA DRIVERNON"}</definedName>
    <definedName name="wrn.macdo._.HP4L." localSheetId="34" hidden="1">{#N/A,#N/A,FALSE,"PAGE DE GARDE";#N/A,#N/A,FALSE,"SOMMAIRE";#N/A,#N/A,FALSE,"P&amp;LGLOBAL(n)";#N/A,#N/A,FALSE,"P&amp;LGLOBAL(n-1) "}</definedName>
    <definedName name="wrn.macdo._.HP4L." localSheetId="68" hidden="1">{#N/A,#N/A,FALSE,"PAGE DE GARDE";#N/A,#N/A,FALSE,"SOMMAIRE";#N/A,#N/A,FALSE,"P&amp;LGLOBAL(n)";#N/A,#N/A,FALSE,"P&amp;LGLOBAL(n-1) "}</definedName>
    <definedName name="wrn.macdo._.HP4L." localSheetId="19" hidden="1">{#N/A,#N/A,FALSE,"PAGE DE GARDE";#N/A,#N/A,FALSE,"SOMMAIRE";#N/A,#N/A,FALSE,"P&amp;LGLOBAL(n)";#N/A,#N/A,FALSE,"P&amp;LGLOBAL(n-1) "}</definedName>
    <definedName name="wrn.macdo._.HP4L." localSheetId="21" hidden="1">{#N/A,#N/A,FALSE,"PAGE DE GARDE";#N/A,#N/A,FALSE,"SOMMAIRE";#N/A,#N/A,FALSE,"P&amp;LGLOBAL(n)";#N/A,#N/A,FALSE,"P&amp;LGLOBAL(n-1) "}</definedName>
    <definedName name="wrn.macdo._.HP4L." hidden="1">{#N/A,#N/A,FALSE,"PAGE DE GARDE";#N/A,#N/A,FALSE,"SOMMAIRE";#N/A,#N/A,FALSE,"P&amp;LGLOBAL(n)";#N/A,#N/A,FALSE,"P&amp;LGLOBAL(n-1) "}</definedName>
    <definedName name="wrn.MCDO._.Couleurs." localSheetId="34" hidden="1">{#N/A,#N/A,FALSE,"pl compares 2";#N/A,#N/A,FALSE,"P&amp;L EVREUX";#N/A,#N/A,FALSE,"P&amp;L VERNON";#N/A,#N/A,FALSE,"Réel-prévisionnel Evreux";#N/A,#N/A,FALSE,"Réel-prévisionnel Vernon"}</definedName>
    <definedName name="wrn.MCDO._.Couleurs." localSheetId="68" hidden="1">{#N/A,#N/A,FALSE,"pl compares 2";#N/A,#N/A,FALSE,"P&amp;L EVREUX";#N/A,#N/A,FALSE,"P&amp;L VERNON";#N/A,#N/A,FALSE,"Réel-prévisionnel Evreux";#N/A,#N/A,FALSE,"Réel-prévisionnel Vernon"}</definedName>
    <definedName name="wrn.MCDO._.Couleurs." localSheetId="19" hidden="1">{#N/A,#N/A,FALSE,"pl compares 2";#N/A,#N/A,FALSE,"P&amp;L EVREUX";#N/A,#N/A,FALSE,"P&amp;L VERNON";#N/A,#N/A,FALSE,"Réel-prévisionnel Evreux";#N/A,#N/A,FALSE,"Réel-prévisionnel Vernon"}</definedName>
    <definedName name="wrn.MCDO._.Couleurs." localSheetId="21" hidden="1">{#N/A,#N/A,FALSE,"pl compares 2";#N/A,#N/A,FALSE,"P&amp;L EVREUX";#N/A,#N/A,FALSE,"P&amp;L VERNON";#N/A,#N/A,FALSE,"Réel-prévisionnel Evreux";#N/A,#N/A,FALSE,"Réel-prévisionnel Vernon"}</definedName>
    <definedName name="wrn.MCDO._.Couleurs." hidden="1">{#N/A,#N/A,FALSE,"pl compares 2";#N/A,#N/A,FALSE,"P&amp;L EVREUX";#N/A,#N/A,FALSE,"P&amp;L VERNON";#N/A,#N/A,FALSE,"Réel-prévisionnel Evreux";#N/A,#N/A,FALSE,"Réel-prévisionnel Vernon"}</definedName>
    <definedName name="_xlnm.Print_Area" localSheetId="66">'CATALINA M'!$A$1:$H$81</definedName>
    <definedName name="_xlnm.Print_Area" localSheetId="32">'CONTRIB CUM '!$A$1:$AJ$81</definedName>
    <definedName name="_xlnm.Print_Area" localSheetId="64">'THOMAS M'!$A$1:$H$81</definedName>
    <definedName name="_xlnm.Print_Area" localSheetId="105">'TRANSACTIONS DETAIL'!$A$1:$V$246</definedName>
  </definedNames>
  <calcPr calcId="191029" iterate="1" iterateDelta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00" i="142" l="1"/>
  <c r="C301" i="142"/>
  <c r="C302" i="142"/>
  <c r="C303" i="142"/>
  <c r="C304" i="142"/>
  <c r="C305" i="142"/>
  <c r="C306" i="142"/>
  <c r="C307" i="142"/>
  <c r="C308" i="142"/>
  <c r="C309" i="142"/>
  <c r="C310" i="142"/>
  <c r="C311" i="142"/>
  <c r="D300" i="142"/>
  <c r="D301" i="142"/>
  <c r="D302" i="142"/>
  <c r="D303" i="142"/>
  <c r="D304" i="142"/>
  <c r="D305" i="142"/>
  <c r="D306" i="142"/>
  <c r="D307" i="142"/>
  <c r="D308" i="142"/>
  <c r="D309" i="142"/>
  <c r="D310" i="142"/>
  <c r="D311" i="142"/>
  <c r="E300" i="142"/>
  <c r="E301" i="142"/>
  <c r="E302" i="142"/>
  <c r="E303" i="142"/>
  <c r="E304" i="142"/>
  <c r="E305" i="142"/>
  <c r="E306" i="142"/>
  <c r="E307" i="142"/>
  <c r="E308" i="142"/>
  <c r="E309" i="142"/>
  <c r="E310" i="142"/>
  <c r="E311" i="142"/>
  <c r="F300" i="142"/>
  <c r="F301" i="142"/>
  <c r="F302" i="142"/>
  <c r="F303" i="142"/>
  <c r="F304" i="142"/>
  <c r="F305" i="142"/>
  <c r="F306" i="142"/>
  <c r="F307" i="142"/>
  <c r="F308" i="142"/>
  <c r="F309" i="142"/>
  <c r="F310" i="142"/>
  <c r="F311" i="142"/>
  <c r="G300" i="142"/>
  <c r="G301" i="142"/>
  <c r="G302" i="142"/>
  <c r="G303" i="142"/>
  <c r="G304" i="142"/>
  <c r="G305" i="142"/>
  <c r="G306" i="142"/>
  <c r="G307" i="142"/>
  <c r="G308" i="142"/>
  <c r="G309" i="142"/>
  <c r="G310" i="142"/>
  <c r="G311" i="142"/>
  <c r="H300" i="142"/>
  <c r="H301" i="142"/>
  <c r="H302" i="142"/>
  <c r="H303" i="142"/>
  <c r="H304" i="142"/>
  <c r="H305" i="142"/>
  <c r="H306" i="142"/>
  <c r="H307" i="142"/>
  <c r="H308" i="142"/>
  <c r="H309" i="142"/>
  <c r="H310" i="142"/>
  <c r="H311" i="142"/>
  <c r="CE300" i="142"/>
  <c r="CM300" i="142"/>
  <c r="BW300" i="142"/>
  <c r="BO300" i="142"/>
  <c r="K300" i="142"/>
  <c r="AA300" i="142"/>
  <c r="S300" i="142"/>
  <c r="AQ300" i="142"/>
  <c r="BG300" i="142"/>
  <c r="DK300" i="142"/>
  <c r="DS300" i="142"/>
  <c r="DC300" i="142"/>
  <c r="CU300" i="142"/>
  <c r="EA300" i="142"/>
  <c r="DS60" i="142"/>
  <c r="DS44" i="142"/>
  <c r="DC60" i="142"/>
  <c r="DC44" i="142"/>
  <c r="C206" i="142"/>
  <c r="EA188" i="142"/>
  <c r="EA189" i="142"/>
  <c r="EA190" i="142" s="1"/>
  <c r="EA191" i="142" s="1"/>
  <c r="EA192" i="142" s="1"/>
  <c r="EA193" i="142" s="1"/>
  <c r="EA194" i="142" s="1"/>
  <c r="EA195" i="142" s="1"/>
  <c r="EA172" i="142"/>
  <c r="EA173" i="142"/>
  <c r="EA174" i="142" s="1"/>
  <c r="EA175" i="142" s="1"/>
  <c r="EA176" i="142" s="1"/>
  <c r="EA177" i="142" s="1"/>
  <c r="EA178" i="142" s="1"/>
  <c r="EA179" i="142" s="1"/>
  <c r="EA180" i="142" s="1"/>
  <c r="EA181" i="142" s="1"/>
  <c r="EA182" i="142" s="1"/>
  <c r="EA183" i="142" s="1"/>
  <c r="EA163" i="142"/>
  <c r="EA156" i="142"/>
  <c r="EA157" i="142"/>
  <c r="EA158" i="142" s="1"/>
  <c r="EA159" i="142" s="1"/>
  <c r="EA160" i="142" s="1"/>
  <c r="EA161" i="142" s="1"/>
  <c r="EA162" i="142" s="1"/>
  <c r="EA124" i="142"/>
  <c r="EA125" i="142" s="1"/>
  <c r="EA126" i="142" s="1"/>
  <c r="EA127" i="142" s="1"/>
  <c r="EA128" i="142" s="1"/>
  <c r="EA129" i="142" s="1"/>
  <c r="EA130" i="142" s="1"/>
  <c r="EA140" i="142"/>
  <c r="EA141" i="142"/>
  <c r="EA142" i="142" s="1"/>
  <c r="EA143" i="142" s="1"/>
  <c r="EA144" i="142" s="1"/>
  <c r="EA145" i="142" s="1"/>
  <c r="EA146" i="142" s="1"/>
  <c r="EA147" i="142" s="1"/>
  <c r="EA148" i="142" s="1"/>
  <c r="EA114" i="142"/>
  <c r="EA113" i="142"/>
  <c r="EA112" i="142"/>
  <c r="EA111" i="142"/>
  <c r="EA110" i="142"/>
  <c r="EA109" i="142"/>
  <c r="EA108" i="142"/>
  <c r="EA60" i="142"/>
  <c r="EA44" i="142"/>
  <c r="DK60" i="142"/>
  <c r="DK108" i="142"/>
  <c r="DK44" i="142"/>
  <c r="BG60" i="142"/>
  <c r="BG44" i="142"/>
  <c r="CU60" i="142"/>
  <c r="CU44" i="142"/>
  <c r="CM60" i="142"/>
  <c r="CM44" i="142"/>
  <c r="CE60" i="142"/>
  <c r="CE44" i="142"/>
  <c r="BW60" i="142"/>
  <c r="BW44" i="142"/>
  <c r="BO60" i="142"/>
  <c r="BO44" i="142"/>
  <c r="AQ60" i="142"/>
  <c r="AQ44" i="142"/>
  <c r="AA60" i="142"/>
  <c r="AA44" i="142"/>
  <c r="S60" i="142"/>
  <c r="S44" i="142"/>
  <c r="K126" i="142"/>
  <c r="K125" i="142"/>
  <c r="K60" i="142"/>
  <c r="K44" i="142"/>
  <c r="C237" i="142" l="1"/>
  <c r="C238" i="142"/>
  <c r="C239" i="142"/>
  <c r="C240" i="142"/>
  <c r="C241" i="142"/>
  <c r="C242" i="142"/>
  <c r="C243" i="142"/>
  <c r="C244" i="142"/>
  <c r="C245" i="142"/>
  <c r="C246" i="142"/>
  <c r="C247" i="142"/>
  <c r="C236" i="142"/>
  <c r="C231" i="142"/>
  <c r="C221" i="142"/>
  <c r="C222" i="142"/>
  <c r="C223" i="142"/>
  <c r="C224" i="142"/>
  <c r="C225" i="142"/>
  <c r="C226" i="142"/>
  <c r="C227" i="142"/>
  <c r="C228" i="142"/>
  <c r="C229" i="142"/>
  <c r="C230" i="142"/>
  <c r="C220" i="142"/>
  <c r="C205" i="142"/>
  <c r="C207" i="142"/>
  <c r="C208" i="142"/>
  <c r="C209" i="142"/>
  <c r="C210" i="142"/>
  <c r="C211" i="142"/>
  <c r="C212" i="142"/>
  <c r="C213" i="142"/>
  <c r="C214" i="142"/>
  <c r="C215" i="142"/>
  <c r="C204" i="142"/>
  <c r="C12" i="142"/>
  <c r="H12" i="142"/>
  <c r="D12" i="142"/>
  <c r="H23" i="142"/>
  <c r="G23" i="142"/>
  <c r="F23" i="142"/>
  <c r="E23" i="142"/>
  <c r="D23" i="142"/>
  <c r="H22" i="142"/>
  <c r="G22" i="142"/>
  <c r="F22" i="142"/>
  <c r="E22" i="142"/>
  <c r="D22" i="142"/>
  <c r="H21" i="142"/>
  <c r="G21" i="142"/>
  <c r="F21" i="142"/>
  <c r="E21" i="142"/>
  <c r="D21" i="142"/>
  <c r="H20" i="142"/>
  <c r="G20" i="142"/>
  <c r="F20" i="142"/>
  <c r="E20" i="142"/>
  <c r="D20" i="142"/>
  <c r="H19" i="142"/>
  <c r="G19" i="142"/>
  <c r="F19" i="142"/>
  <c r="E19" i="142"/>
  <c r="D19" i="142"/>
  <c r="H18" i="142"/>
  <c r="G18" i="142"/>
  <c r="F18" i="142"/>
  <c r="E18" i="142"/>
  <c r="D18" i="142"/>
  <c r="H17" i="142"/>
  <c r="G17" i="142"/>
  <c r="F17" i="142"/>
  <c r="E17" i="142"/>
  <c r="D17" i="142"/>
  <c r="H16" i="142"/>
  <c r="G16" i="142"/>
  <c r="F16" i="142"/>
  <c r="E16" i="142"/>
  <c r="D16" i="142"/>
  <c r="H15" i="142"/>
  <c r="G15" i="142"/>
  <c r="F15" i="142"/>
  <c r="E15" i="142"/>
  <c r="D15" i="142"/>
  <c r="H14" i="142"/>
  <c r="G14" i="142"/>
  <c r="F14" i="142"/>
  <c r="E14" i="142"/>
  <c r="D14" i="142"/>
  <c r="H13" i="142"/>
  <c r="G13" i="142"/>
  <c r="F13" i="142"/>
  <c r="E13" i="142"/>
  <c r="D13" i="142"/>
  <c r="G12" i="142"/>
  <c r="F12" i="142"/>
  <c r="E12" i="142"/>
  <c r="C37" i="142"/>
  <c r="C38" i="142"/>
  <c r="C39" i="142"/>
  <c r="C20" i="142" l="1"/>
  <c r="C21" i="142"/>
  <c r="C22" i="142"/>
  <c r="C23" i="142"/>
  <c r="E6" i="283" l="1"/>
  <c r="G297" i="267" l="1"/>
  <c r="H297" i="267"/>
  <c r="J297" i="267"/>
  <c r="K297" i="267"/>
  <c r="L297" i="267"/>
  <c r="G298" i="267"/>
  <c r="H298" i="267"/>
  <c r="J298" i="267"/>
  <c r="K298" i="267"/>
  <c r="L298" i="267"/>
  <c r="G299" i="267"/>
  <c r="H299" i="267"/>
  <c r="J299" i="267"/>
  <c r="K299" i="267"/>
  <c r="L299" i="267"/>
  <c r="G300" i="267"/>
  <c r="H300" i="267"/>
  <c r="J300" i="267"/>
  <c r="K300" i="267"/>
  <c r="L300" i="267"/>
  <c r="G301" i="267"/>
  <c r="H301" i="267"/>
  <c r="J301" i="267"/>
  <c r="K301" i="267"/>
  <c r="L301" i="267" s="1"/>
  <c r="G302" i="267"/>
  <c r="H302" i="267"/>
  <c r="J302" i="267"/>
  <c r="K302" i="267"/>
  <c r="L302" i="267"/>
  <c r="G303" i="267"/>
  <c r="H303" i="267"/>
  <c r="J303" i="267"/>
  <c r="K303" i="267"/>
  <c r="L303" i="267"/>
  <c r="G304" i="267"/>
  <c r="H304" i="267"/>
  <c r="J304" i="267"/>
  <c r="K304" i="267"/>
  <c r="L304" i="267" s="1"/>
  <c r="G305" i="267"/>
  <c r="H305" i="267"/>
  <c r="J305" i="267"/>
  <c r="K305" i="267"/>
  <c r="L305" i="267"/>
  <c r="G306" i="267"/>
  <c r="H306" i="267"/>
  <c r="I306" i="267"/>
  <c r="I305" i="267" s="1"/>
  <c r="I304" i="267" s="1"/>
  <c r="I303" i="267" s="1"/>
  <c r="I302" i="267" s="1"/>
  <c r="I301" i="267" s="1"/>
  <c r="I300" i="267" s="1"/>
  <c r="I299" i="267" s="1"/>
  <c r="I298" i="267" s="1"/>
  <c r="I297" i="267" s="1"/>
  <c r="J306" i="267"/>
  <c r="K306" i="267"/>
  <c r="L306" i="267"/>
  <c r="G307" i="267"/>
  <c r="H307" i="267"/>
  <c r="I307" i="267"/>
  <c r="J307" i="267"/>
  <c r="K307" i="267"/>
  <c r="L307" i="267"/>
  <c r="K278" i="274"/>
  <c r="H281" i="274"/>
  <c r="G284" i="274"/>
  <c r="H284" i="274"/>
  <c r="J284" i="274"/>
  <c r="K284" i="274"/>
  <c r="L284" i="274" s="1"/>
  <c r="G285" i="274"/>
  <c r="H285" i="274"/>
  <c r="J285" i="274"/>
  <c r="K285" i="274"/>
  <c r="L285" i="274" s="1"/>
  <c r="G286" i="274"/>
  <c r="H286" i="274"/>
  <c r="J286" i="274"/>
  <c r="K286" i="274"/>
  <c r="L286" i="274" s="1"/>
  <c r="G287" i="274"/>
  <c r="H287" i="274"/>
  <c r="J287" i="274"/>
  <c r="K287" i="274"/>
  <c r="L287" i="274"/>
  <c r="G288" i="274"/>
  <c r="H288" i="274"/>
  <c r="J288" i="274"/>
  <c r="K288" i="274"/>
  <c r="L288" i="274" s="1"/>
  <c r="G289" i="274"/>
  <c r="H289" i="274"/>
  <c r="I289" i="274"/>
  <c r="I288" i="274" s="1"/>
  <c r="I287" i="274" s="1"/>
  <c r="I286" i="274" s="1"/>
  <c r="I285" i="274" s="1"/>
  <c r="I284" i="274" s="1"/>
  <c r="J289" i="274"/>
  <c r="K289" i="274"/>
  <c r="L289" i="274" s="1"/>
  <c r="G290" i="274"/>
  <c r="H290" i="274"/>
  <c r="I290" i="274"/>
  <c r="J290" i="274"/>
  <c r="K290" i="274"/>
  <c r="L290" i="274" s="1"/>
  <c r="J22" i="190" l="1"/>
  <c r="J23" i="190"/>
  <c r="J24" i="190"/>
  <c r="J25" i="190"/>
  <c r="J26" i="190"/>
  <c r="J27" i="190"/>
  <c r="J28" i="190"/>
  <c r="J29" i="190"/>
  <c r="J30" i="190"/>
  <c r="J31" i="190"/>
  <c r="J32" i="190"/>
  <c r="C6" i="344" l="1"/>
  <c r="C36" i="142"/>
  <c r="K117" i="142" l="1"/>
  <c r="J52" i="190"/>
  <c r="N52" i="190" s="1"/>
  <c r="J53" i="190"/>
  <c r="N53" i="190" s="1"/>
  <c r="J54" i="190"/>
  <c r="M54" i="190" s="1"/>
  <c r="J55" i="190"/>
  <c r="O55" i="190" s="1"/>
  <c r="J56" i="190"/>
  <c r="K56" i="190" s="1"/>
  <c r="J57" i="190"/>
  <c r="J58" i="190"/>
  <c r="J59" i="190"/>
  <c r="O59" i="190" s="1"/>
  <c r="J60" i="190"/>
  <c r="K60" i="190" s="1"/>
  <c r="J61" i="190"/>
  <c r="O61" i="190" s="1"/>
  <c r="J62" i="190"/>
  <c r="K62" i="190" s="1"/>
  <c r="J51" i="190"/>
  <c r="K51" i="190" s="1"/>
  <c r="B248" i="234"/>
  <c r="C248" i="234" s="1"/>
  <c r="B249" i="234"/>
  <c r="F249" i="234" s="1"/>
  <c r="E249" i="234"/>
  <c r="B250" i="234"/>
  <c r="C250" i="234" s="1"/>
  <c r="K250" i="234"/>
  <c r="B251" i="234"/>
  <c r="G251" i="234" s="1"/>
  <c r="E251" i="234"/>
  <c r="B252" i="234"/>
  <c r="I252" i="234"/>
  <c r="B253" i="234"/>
  <c r="G253" i="234" s="1"/>
  <c r="B254" i="234"/>
  <c r="C254" i="234" s="1"/>
  <c r="B255" i="234"/>
  <c r="B256" i="234"/>
  <c r="C256" i="234" s="1"/>
  <c r="B257" i="234"/>
  <c r="G257" i="234" s="1"/>
  <c r="B258" i="234"/>
  <c r="C258" i="234" s="1"/>
  <c r="B247" i="234"/>
  <c r="F247" i="234" s="1"/>
  <c r="J57" i="189"/>
  <c r="K57" i="189" s="1"/>
  <c r="J56" i="189"/>
  <c r="J55" i="189"/>
  <c r="J54" i="189"/>
  <c r="K54" i="189" s="1"/>
  <c r="J53" i="189"/>
  <c r="M53" i="189" s="1"/>
  <c r="J52" i="189"/>
  <c r="K52" i="189" s="1"/>
  <c r="J51" i="189"/>
  <c r="K51" i="189" s="1"/>
  <c r="B235" i="235"/>
  <c r="T235" i="235" s="1"/>
  <c r="B236" i="235"/>
  <c r="V236" i="235" s="1"/>
  <c r="B237" i="235"/>
  <c r="C237" i="235" s="1"/>
  <c r="B238" i="235"/>
  <c r="C238" i="235" s="1"/>
  <c r="B239" i="235"/>
  <c r="B240" i="235"/>
  <c r="C240" i="235" s="1"/>
  <c r="J240" i="235"/>
  <c r="B242" i="235"/>
  <c r="B243" i="235"/>
  <c r="C243" i="235" s="1"/>
  <c r="B244" i="235"/>
  <c r="C244" i="235" s="1"/>
  <c r="B245" i="235"/>
  <c r="I245" i="235" s="1"/>
  <c r="B234" i="235"/>
  <c r="C234" i="235" s="1"/>
  <c r="M22" i="102"/>
  <c r="L22" i="102"/>
  <c r="K22" i="102"/>
  <c r="J22" i="102"/>
  <c r="I22" i="102"/>
  <c r="H22" i="102"/>
  <c r="G22" i="102"/>
  <c r="F22" i="102"/>
  <c r="E22" i="102"/>
  <c r="D22" i="102"/>
  <c r="C22" i="102"/>
  <c r="B22" i="102"/>
  <c r="E74" i="404"/>
  <c r="E72" i="404"/>
  <c r="E67" i="404"/>
  <c r="H67" i="404" s="1"/>
  <c r="E64" i="404"/>
  <c r="H64" i="404" s="1"/>
  <c r="E63" i="404"/>
  <c r="E58" i="404"/>
  <c r="H58" i="404" s="1"/>
  <c r="E57" i="404"/>
  <c r="H57" i="404" s="1"/>
  <c r="E56" i="404"/>
  <c r="H56" i="404" s="1"/>
  <c r="E55" i="404"/>
  <c r="E54" i="404"/>
  <c r="H54" i="404" s="1"/>
  <c r="E53" i="404"/>
  <c r="E52" i="404"/>
  <c r="H52" i="404" s="1"/>
  <c r="E48" i="404"/>
  <c r="H48" i="404" s="1"/>
  <c r="E47" i="404"/>
  <c r="E46" i="404"/>
  <c r="E41" i="404"/>
  <c r="E40" i="404"/>
  <c r="E39" i="404"/>
  <c r="H39" i="404" s="1"/>
  <c r="E38" i="404"/>
  <c r="E37" i="404"/>
  <c r="E36" i="404"/>
  <c r="E35" i="404"/>
  <c r="H35" i="404" s="1"/>
  <c r="E32" i="404"/>
  <c r="H32" i="404" s="1"/>
  <c r="E31" i="404"/>
  <c r="E30" i="404"/>
  <c r="H30" i="404" s="1"/>
  <c r="E29" i="404"/>
  <c r="E28" i="404"/>
  <c r="E25" i="404"/>
  <c r="H25" i="404" s="1"/>
  <c r="E24" i="404"/>
  <c r="H24" i="404" s="1"/>
  <c r="E23" i="404"/>
  <c r="E22" i="404"/>
  <c r="E21" i="404"/>
  <c r="H21" i="404" s="1"/>
  <c r="E20" i="404"/>
  <c r="H20" i="404" s="1"/>
  <c r="E15" i="404"/>
  <c r="H15" i="404" s="1"/>
  <c r="E14" i="404"/>
  <c r="H14" i="404" s="1"/>
  <c r="E12" i="404"/>
  <c r="E11" i="404"/>
  <c r="H11" i="404" s="1"/>
  <c r="E10" i="404"/>
  <c r="E8" i="404"/>
  <c r="H8" i="404" s="1"/>
  <c r="E51" i="404"/>
  <c r="H1" i="404"/>
  <c r="H1" i="403"/>
  <c r="AJ78" i="332"/>
  <c r="AH80" i="332"/>
  <c r="AH78" i="332"/>
  <c r="L55" i="189" l="1"/>
  <c r="N56" i="189"/>
  <c r="J237" i="235"/>
  <c r="E253" i="234"/>
  <c r="I258" i="234"/>
  <c r="Q245" i="235"/>
  <c r="J245" i="235"/>
  <c r="Q235" i="235"/>
  <c r="I250" i="234"/>
  <c r="O54" i="190"/>
  <c r="U238" i="235"/>
  <c r="K256" i="234"/>
  <c r="J235" i="235"/>
  <c r="L53" i="190"/>
  <c r="O53" i="190"/>
  <c r="I235" i="235"/>
  <c r="O52" i="190"/>
  <c r="I238" i="235"/>
  <c r="F253" i="234"/>
  <c r="N61" i="190"/>
  <c r="N60" i="190"/>
  <c r="J243" i="235"/>
  <c r="E65" i="404"/>
  <c r="H65" i="404" s="1"/>
  <c r="F46" i="404"/>
  <c r="K257" i="234"/>
  <c r="S237" i="235"/>
  <c r="I240" i="235"/>
  <c r="F257" i="234"/>
  <c r="K251" i="234"/>
  <c r="L60" i="190"/>
  <c r="F251" i="234"/>
  <c r="H47" i="404"/>
  <c r="N57" i="189"/>
  <c r="Q238" i="235"/>
  <c r="V237" i="235"/>
  <c r="M56" i="189"/>
  <c r="K61" i="190"/>
  <c r="L61" i="190" s="1"/>
  <c r="J244" i="235"/>
  <c r="J238" i="235"/>
  <c r="T237" i="235"/>
  <c r="K56" i="189"/>
  <c r="K254" i="234"/>
  <c r="M53" i="190"/>
  <c r="M52" i="190"/>
  <c r="N253" i="234"/>
  <c r="N51" i="190"/>
  <c r="U237" i="235"/>
  <c r="M57" i="189"/>
  <c r="O57" i="189" s="1"/>
  <c r="S240" i="235"/>
  <c r="Q237" i="235"/>
  <c r="K253" i="234"/>
  <c r="N62" i="190"/>
  <c r="M55" i="189"/>
  <c r="N52" i="189"/>
  <c r="M62" i="190"/>
  <c r="O62" i="190"/>
  <c r="I237" i="235"/>
  <c r="T236" i="235"/>
  <c r="K248" i="234"/>
  <c r="M61" i="190"/>
  <c r="N55" i="189"/>
  <c r="K54" i="190"/>
  <c r="U236" i="235"/>
  <c r="K53" i="190"/>
  <c r="M52" i="189"/>
  <c r="K52" i="190"/>
  <c r="M51" i="190"/>
  <c r="O51" i="190"/>
  <c r="H38" i="404"/>
  <c r="Q240" i="235"/>
  <c r="N251" i="234"/>
  <c r="I248" i="234"/>
  <c r="M60" i="190"/>
  <c r="O60" i="190"/>
  <c r="G255" i="234"/>
  <c r="K58" i="190"/>
  <c r="L58" i="190" s="1"/>
  <c r="N58" i="190"/>
  <c r="M58" i="190"/>
  <c r="O58" i="190"/>
  <c r="M57" i="190"/>
  <c r="O57" i="190"/>
  <c r="N57" i="190"/>
  <c r="C235" i="235"/>
  <c r="S235" i="235"/>
  <c r="H234" i="235"/>
  <c r="N55" i="190"/>
  <c r="H10" i="404"/>
  <c r="V238" i="235"/>
  <c r="H74" i="404"/>
  <c r="H53" i="404"/>
  <c r="C245" i="235"/>
  <c r="T245" i="235"/>
  <c r="V245" i="235"/>
  <c r="V235" i="235"/>
  <c r="E247" i="234"/>
  <c r="G249" i="234"/>
  <c r="K249" i="234"/>
  <c r="N249" i="234"/>
  <c r="K57" i="190"/>
  <c r="S238" i="235"/>
  <c r="F255" i="234"/>
  <c r="C252" i="234"/>
  <c r="K252" i="234"/>
  <c r="Q234" i="235"/>
  <c r="M234" i="235"/>
  <c r="I234" i="235"/>
  <c r="U234" i="235"/>
  <c r="P234" i="235"/>
  <c r="O234" i="235"/>
  <c r="K234" i="235"/>
  <c r="S234" i="235"/>
  <c r="G234" i="235"/>
  <c r="N234" i="235"/>
  <c r="T234" i="235"/>
  <c r="V234" i="235"/>
  <c r="E234" i="235"/>
  <c r="L234" i="235"/>
  <c r="C239" i="235"/>
  <c r="T239" i="235"/>
  <c r="I239" i="235"/>
  <c r="U239" i="235"/>
  <c r="Q239" i="235"/>
  <c r="J239" i="235"/>
  <c r="F234" i="235"/>
  <c r="N56" i="190"/>
  <c r="O56" i="190"/>
  <c r="U235" i="235"/>
  <c r="H28" i="404"/>
  <c r="J234" i="235"/>
  <c r="C242" i="235"/>
  <c r="V239" i="235"/>
  <c r="N54" i="190"/>
  <c r="N247" i="234"/>
  <c r="L247" i="234"/>
  <c r="I247" i="234"/>
  <c r="K247" i="234"/>
  <c r="G247" i="234"/>
  <c r="C247" i="234"/>
  <c r="M56" i="190"/>
  <c r="F31" i="404"/>
  <c r="M55" i="190"/>
  <c r="S239" i="235"/>
  <c r="C236" i="235"/>
  <c r="I236" i="235"/>
  <c r="Q236" i="235"/>
  <c r="J236" i="235"/>
  <c r="S236" i="235"/>
  <c r="T238" i="235"/>
  <c r="K258" i="234"/>
  <c r="K55" i="190"/>
  <c r="F36" i="404"/>
  <c r="M54" i="189"/>
  <c r="O54" i="189" s="1"/>
  <c r="K55" i="189"/>
  <c r="H37" i="404"/>
  <c r="U240" i="235"/>
  <c r="T240" i="235"/>
  <c r="K53" i="189"/>
  <c r="N53" i="189" s="1"/>
  <c r="O53" i="189" s="1"/>
  <c r="N54" i="189"/>
  <c r="F22" i="404"/>
  <c r="F51" i="404"/>
  <c r="V240" i="235"/>
  <c r="K59" i="190"/>
  <c r="L59" i="190" s="1"/>
  <c r="M59" i="190"/>
  <c r="N59" i="190"/>
  <c r="K255" i="234"/>
  <c r="J242" i="235"/>
  <c r="L57" i="190"/>
  <c r="L52" i="190"/>
  <c r="L56" i="190"/>
  <c r="L55" i="190"/>
  <c r="J63" i="190"/>
  <c r="L51" i="190"/>
  <c r="L62" i="190"/>
  <c r="L54" i="190"/>
  <c r="M253" i="234"/>
  <c r="D253" i="234"/>
  <c r="H252" i="234"/>
  <c r="M251" i="234"/>
  <c r="D251" i="234"/>
  <c r="H250" i="234"/>
  <c r="M249" i="234"/>
  <c r="D249" i="234"/>
  <c r="H248" i="234"/>
  <c r="G258" i="234"/>
  <c r="L257" i="234"/>
  <c r="C257" i="234"/>
  <c r="G256" i="234"/>
  <c r="L255" i="234"/>
  <c r="C255" i="234"/>
  <c r="G254" i="234"/>
  <c r="L253" i="234"/>
  <c r="C253" i="234"/>
  <c r="G252" i="234"/>
  <c r="L251" i="234"/>
  <c r="C251" i="234"/>
  <c r="G250" i="234"/>
  <c r="L249" i="234"/>
  <c r="C249" i="234"/>
  <c r="G248" i="234"/>
  <c r="F258" i="234"/>
  <c r="F256" i="234"/>
  <c r="F254" i="234"/>
  <c r="F252" i="234"/>
  <c r="F250" i="234"/>
  <c r="F248" i="234"/>
  <c r="N258" i="234"/>
  <c r="E258" i="234"/>
  <c r="I253" i="234"/>
  <c r="N252" i="234"/>
  <c r="E252" i="234"/>
  <c r="I251" i="234"/>
  <c r="N250" i="234"/>
  <c r="E250" i="234"/>
  <c r="I249" i="234"/>
  <c r="N248" i="234"/>
  <c r="E248" i="234"/>
  <c r="H253" i="234"/>
  <c r="M252" i="234"/>
  <c r="D252" i="234"/>
  <c r="H251" i="234"/>
  <c r="M250" i="234"/>
  <c r="D250" i="234"/>
  <c r="H249" i="234"/>
  <c r="M248" i="234"/>
  <c r="D248" i="234"/>
  <c r="L258" i="234"/>
  <c r="L256" i="234"/>
  <c r="L254" i="234"/>
  <c r="L252" i="234"/>
  <c r="L250" i="234"/>
  <c r="L248" i="234"/>
  <c r="B259" i="234"/>
  <c r="L51" i="189"/>
  <c r="M51" i="189"/>
  <c r="L54" i="189"/>
  <c r="L53" i="189"/>
  <c r="N51" i="189"/>
  <c r="P240" i="235"/>
  <c r="H240" i="235"/>
  <c r="P239" i="235"/>
  <c r="H239" i="235"/>
  <c r="P238" i="235"/>
  <c r="H238" i="235"/>
  <c r="P237" i="235"/>
  <c r="H237" i="235"/>
  <c r="P236" i="235"/>
  <c r="H236" i="235"/>
  <c r="P235" i="235"/>
  <c r="H235" i="235"/>
  <c r="O245" i="235"/>
  <c r="G245" i="235"/>
  <c r="O244" i="235"/>
  <c r="G244" i="235"/>
  <c r="O243" i="235"/>
  <c r="G243" i="235"/>
  <c r="O242" i="235"/>
  <c r="G242" i="235"/>
  <c r="O240" i="235"/>
  <c r="G240" i="235"/>
  <c r="O239" i="235"/>
  <c r="G239" i="235"/>
  <c r="O238" i="235"/>
  <c r="G238" i="235"/>
  <c r="O237" i="235"/>
  <c r="G237" i="235"/>
  <c r="O236" i="235"/>
  <c r="G236" i="235"/>
  <c r="O235" i="235"/>
  <c r="G235" i="235"/>
  <c r="N245" i="235"/>
  <c r="F245" i="235"/>
  <c r="N244" i="235"/>
  <c r="F244" i="235"/>
  <c r="N243" i="235"/>
  <c r="F243" i="235"/>
  <c r="N242" i="235"/>
  <c r="F242" i="235"/>
  <c r="N240" i="235"/>
  <c r="F240" i="235"/>
  <c r="N239" i="235"/>
  <c r="F239" i="235"/>
  <c r="N238" i="235"/>
  <c r="F238" i="235"/>
  <c r="N237" i="235"/>
  <c r="F237" i="235"/>
  <c r="N236" i="235"/>
  <c r="F236" i="235"/>
  <c r="N235" i="235"/>
  <c r="F235" i="235"/>
  <c r="M245" i="235"/>
  <c r="E245" i="235"/>
  <c r="M240" i="235"/>
  <c r="E240" i="235"/>
  <c r="M239" i="235"/>
  <c r="E239" i="235"/>
  <c r="M238" i="235"/>
  <c r="E238" i="235"/>
  <c r="M237" i="235"/>
  <c r="E237" i="235"/>
  <c r="M236" i="235"/>
  <c r="E236" i="235"/>
  <c r="M235" i="235"/>
  <c r="E235" i="235"/>
  <c r="L240" i="235"/>
  <c r="D240" i="235"/>
  <c r="L239" i="235"/>
  <c r="D239" i="235"/>
  <c r="L238" i="235"/>
  <c r="D238" i="235"/>
  <c r="L237" i="235"/>
  <c r="D237" i="235"/>
  <c r="L236" i="235"/>
  <c r="D236" i="235"/>
  <c r="L235" i="235"/>
  <c r="D235" i="235"/>
  <c r="K245" i="235"/>
  <c r="K244" i="235"/>
  <c r="K243" i="235"/>
  <c r="K242" i="235"/>
  <c r="K240" i="235"/>
  <c r="K239" i="235"/>
  <c r="K238" i="235"/>
  <c r="K237" i="235"/>
  <c r="K236" i="235"/>
  <c r="K235" i="235"/>
  <c r="D234" i="235"/>
  <c r="F12" i="404"/>
  <c r="H23" i="404"/>
  <c r="H29" i="404"/>
  <c r="F55" i="404"/>
  <c r="F72" i="404"/>
  <c r="F40" i="404"/>
  <c r="H41" i="404"/>
  <c r="E49" i="404"/>
  <c r="F11" i="404"/>
  <c r="H12" i="404"/>
  <c r="F15" i="404"/>
  <c r="F21" i="404"/>
  <c r="H22" i="404"/>
  <c r="F25" i="404"/>
  <c r="F30" i="404"/>
  <c r="H31" i="404"/>
  <c r="F35" i="404"/>
  <c r="H36" i="404"/>
  <c r="F39" i="404"/>
  <c r="H40" i="404"/>
  <c r="H46" i="404"/>
  <c r="H51" i="404"/>
  <c r="F54" i="404"/>
  <c r="H55" i="404"/>
  <c r="F58" i="404"/>
  <c r="F64" i="404"/>
  <c r="H72" i="404"/>
  <c r="E42" i="404"/>
  <c r="E26" i="404"/>
  <c r="E33" i="404"/>
  <c r="F10" i="404"/>
  <c r="F14" i="404"/>
  <c r="F20" i="404"/>
  <c r="F24" i="404"/>
  <c r="F29" i="404"/>
  <c r="F38" i="404"/>
  <c r="F48" i="404"/>
  <c r="F53" i="404"/>
  <c r="F57" i="404"/>
  <c r="F63" i="404"/>
  <c r="E13" i="404"/>
  <c r="F8" i="404"/>
  <c r="F23" i="404"/>
  <c r="F28" i="404"/>
  <c r="F32" i="404"/>
  <c r="F37" i="404"/>
  <c r="F41" i="404"/>
  <c r="F47" i="404"/>
  <c r="F52" i="404"/>
  <c r="F56" i="404"/>
  <c r="H63" i="404"/>
  <c r="F67" i="404"/>
  <c r="F74" i="404"/>
  <c r="E59" i="404"/>
  <c r="O56" i="189" l="1"/>
  <c r="O52" i="189"/>
  <c r="O55" i="189"/>
  <c r="F65" i="404"/>
  <c r="F259" i="234"/>
  <c r="L259" i="234"/>
  <c r="O63" i="190"/>
  <c r="N63" i="190"/>
  <c r="M63" i="190"/>
  <c r="K63" i="190"/>
  <c r="L63" i="190" s="1"/>
  <c r="C259" i="234"/>
  <c r="G259" i="234"/>
  <c r="K259" i="234"/>
  <c r="L56" i="189"/>
  <c r="L57" i="189"/>
  <c r="O51" i="189"/>
  <c r="L52" i="189"/>
  <c r="F26" i="404"/>
  <c r="H26" i="404"/>
  <c r="F59" i="404"/>
  <c r="E61" i="404"/>
  <c r="H59" i="404"/>
  <c r="H13" i="404"/>
  <c r="F13" i="404"/>
  <c r="E16" i="404"/>
  <c r="H42" i="404"/>
  <c r="F42" i="404"/>
  <c r="H49" i="404"/>
  <c r="F49" i="404"/>
  <c r="H33" i="404"/>
  <c r="F33" i="404"/>
  <c r="H61" i="404" l="1"/>
  <c r="F61" i="404"/>
  <c r="F16" i="404"/>
  <c r="H16" i="404"/>
  <c r="E18" i="404"/>
  <c r="H18" i="404" l="1"/>
  <c r="F18" i="404"/>
  <c r="E69" i="404"/>
  <c r="E44" i="404"/>
  <c r="H44" i="404" l="1"/>
  <c r="F44" i="404"/>
  <c r="H69" i="404"/>
  <c r="F69" i="404"/>
  <c r="E76" i="404"/>
  <c r="E70" i="404"/>
  <c r="H76" i="404" l="1"/>
  <c r="F76" i="404"/>
  <c r="H70" i="404"/>
  <c r="F70" i="404"/>
  <c r="C92" i="142" l="1"/>
  <c r="C93" i="142"/>
  <c r="C94" i="142"/>
  <c r="C95" i="142"/>
  <c r="C96" i="142"/>
  <c r="C97" i="142"/>
  <c r="C98" i="142"/>
  <c r="C100" i="142"/>
  <c r="C101" i="142"/>
  <c r="C102" i="142"/>
  <c r="C103" i="142"/>
  <c r="C77" i="142"/>
  <c r="C78" i="142"/>
  <c r="C79" i="142"/>
  <c r="C81" i="142"/>
  <c r="C82" i="142"/>
  <c r="C83" i="142"/>
  <c r="C84" i="142"/>
  <c r="C85" i="142"/>
  <c r="C86" i="142"/>
  <c r="C87" i="142"/>
  <c r="C68" i="142"/>
  <c r="C69" i="142"/>
  <c r="C70" i="142"/>
  <c r="C71" i="142"/>
  <c r="C52" i="142"/>
  <c r="C53" i="142"/>
  <c r="C54" i="142"/>
  <c r="C55" i="142"/>
  <c r="C35" i="142"/>
  <c r="C34" i="142"/>
  <c r="C19" i="142"/>
  <c r="EA164" i="142" l="1"/>
  <c r="EA116" i="142"/>
  <c r="EA117" i="142"/>
  <c r="EA118" i="142"/>
  <c r="EA119" i="142"/>
  <c r="H242" i="235"/>
  <c r="BG116" i="142"/>
  <c r="BG117" i="142"/>
  <c r="BG118" i="142"/>
  <c r="BG119" i="142"/>
  <c r="BG115" i="142"/>
  <c r="AI116" i="142"/>
  <c r="AI117" i="142"/>
  <c r="AI118" i="142"/>
  <c r="AI119" i="142"/>
  <c r="C99" i="142"/>
  <c r="G258" i="272"/>
  <c r="H258" i="272"/>
  <c r="J258" i="272"/>
  <c r="K258" i="272"/>
  <c r="L258" i="272" s="1"/>
  <c r="G259" i="272"/>
  <c r="H259" i="272"/>
  <c r="J259" i="272"/>
  <c r="K259" i="272"/>
  <c r="L259" i="272" s="1"/>
  <c r="G260" i="272"/>
  <c r="H260" i="272"/>
  <c r="J260" i="272"/>
  <c r="K260" i="272"/>
  <c r="L260" i="272" s="1"/>
  <c r="G261" i="272"/>
  <c r="H261" i="272"/>
  <c r="J261" i="272"/>
  <c r="K261" i="272"/>
  <c r="L261" i="272" s="1"/>
  <c r="G262" i="272"/>
  <c r="H262" i="272"/>
  <c r="J262" i="272"/>
  <c r="K262" i="272"/>
  <c r="L262" i="272" s="1"/>
  <c r="G263" i="272"/>
  <c r="H263" i="272"/>
  <c r="I263" i="272"/>
  <c r="I262" i="272" s="1"/>
  <c r="I261" i="272" s="1"/>
  <c r="I260" i="272" s="1"/>
  <c r="I259" i="272" s="1"/>
  <c r="I258" i="272" s="1"/>
  <c r="J263" i="272"/>
  <c r="K263" i="272"/>
  <c r="L263" i="272" s="1"/>
  <c r="E74" i="402"/>
  <c r="H74" i="402" s="1"/>
  <c r="E72" i="402"/>
  <c r="H72" i="402" s="1"/>
  <c r="E67" i="402"/>
  <c r="H67" i="402" s="1"/>
  <c r="E64" i="402"/>
  <c r="H64" i="402" s="1"/>
  <c r="E63" i="402"/>
  <c r="E58" i="402"/>
  <c r="E57" i="402"/>
  <c r="E56" i="402"/>
  <c r="H56" i="402" s="1"/>
  <c r="E55" i="402"/>
  <c r="H55" i="402" s="1"/>
  <c r="E54" i="402"/>
  <c r="E53" i="402"/>
  <c r="E52" i="402"/>
  <c r="H52" i="402" s="1"/>
  <c r="E51" i="402"/>
  <c r="H51" i="402" s="1"/>
  <c r="E48" i="402"/>
  <c r="E47" i="402"/>
  <c r="H47" i="402" s="1"/>
  <c r="E46" i="402"/>
  <c r="H46" i="402" s="1"/>
  <c r="E41" i="402"/>
  <c r="H41" i="402" s="1"/>
  <c r="E40" i="402"/>
  <c r="E39" i="402"/>
  <c r="H39" i="402" s="1"/>
  <c r="E38" i="402"/>
  <c r="E37" i="402"/>
  <c r="E36" i="402"/>
  <c r="E35" i="402"/>
  <c r="E32" i="402"/>
  <c r="E31" i="402"/>
  <c r="H31" i="402" s="1"/>
  <c r="E30" i="402"/>
  <c r="E29" i="402"/>
  <c r="E28" i="402"/>
  <c r="E25" i="402"/>
  <c r="H25" i="402" s="1"/>
  <c r="E24" i="402"/>
  <c r="E23" i="402"/>
  <c r="E22" i="402"/>
  <c r="H22" i="402" s="1"/>
  <c r="E21" i="402"/>
  <c r="H21" i="402" s="1"/>
  <c r="E20" i="402"/>
  <c r="E15" i="402"/>
  <c r="H15" i="402" s="1"/>
  <c r="E14" i="402"/>
  <c r="E12" i="402"/>
  <c r="E11" i="402"/>
  <c r="H11" i="402" s="1"/>
  <c r="E10" i="402"/>
  <c r="E8" i="402"/>
  <c r="E6" i="402"/>
  <c r="C6" i="402"/>
  <c r="H1" i="402"/>
  <c r="H1" i="401"/>
  <c r="J227" i="400"/>
  <c r="I227" i="400"/>
  <c r="H227" i="400"/>
  <c r="G227" i="400"/>
  <c r="J226" i="400"/>
  <c r="I226" i="400"/>
  <c r="I225" i="400" s="1"/>
  <c r="I224" i="400" s="1"/>
  <c r="I223" i="400" s="1"/>
  <c r="I222" i="400" s="1"/>
  <c r="I221" i="400" s="1"/>
  <c r="I220" i="400" s="1"/>
  <c r="H226" i="400"/>
  <c r="G226" i="400"/>
  <c r="J225" i="400"/>
  <c r="H225" i="400"/>
  <c r="G225" i="400"/>
  <c r="J224" i="400"/>
  <c r="H224" i="400"/>
  <c r="G224" i="400"/>
  <c r="J223" i="400"/>
  <c r="H223" i="400"/>
  <c r="G223" i="400"/>
  <c r="J222" i="400"/>
  <c r="H222" i="400"/>
  <c r="G222" i="400"/>
  <c r="J221" i="400"/>
  <c r="H221" i="400"/>
  <c r="G221" i="400"/>
  <c r="J220" i="400"/>
  <c r="H220" i="400"/>
  <c r="G220" i="400"/>
  <c r="J219" i="400"/>
  <c r="J218" i="400"/>
  <c r="J217" i="400"/>
  <c r="J216" i="400"/>
  <c r="J215" i="400"/>
  <c r="J214" i="400"/>
  <c r="J213" i="400"/>
  <c r="J212" i="400"/>
  <c r="J211" i="400"/>
  <c r="J210" i="400"/>
  <c r="J209" i="400"/>
  <c r="J208" i="400"/>
  <c r="J207" i="400"/>
  <c r="J206" i="400"/>
  <c r="J205" i="400"/>
  <c r="J204" i="400"/>
  <c r="J203" i="400"/>
  <c r="J202" i="400"/>
  <c r="J201" i="400"/>
  <c r="J200" i="400"/>
  <c r="J199" i="400"/>
  <c r="J198" i="400"/>
  <c r="J197" i="400"/>
  <c r="J196" i="400"/>
  <c r="J195" i="400"/>
  <c r="J194" i="400"/>
  <c r="J193" i="400"/>
  <c r="J192" i="400"/>
  <c r="J191" i="400"/>
  <c r="J190" i="400"/>
  <c r="J189" i="400"/>
  <c r="J188" i="400"/>
  <c r="J187" i="400"/>
  <c r="J186" i="400"/>
  <c r="J185" i="400"/>
  <c r="J184" i="400"/>
  <c r="J183" i="400"/>
  <c r="J182" i="400"/>
  <c r="J181" i="400"/>
  <c r="J180" i="400"/>
  <c r="J179" i="400"/>
  <c r="J178" i="400"/>
  <c r="J177" i="400"/>
  <c r="J176" i="400"/>
  <c r="J175" i="400"/>
  <c r="J174" i="400"/>
  <c r="J173" i="400"/>
  <c r="J172" i="400"/>
  <c r="J171" i="400"/>
  <c r="J170" i="400"/>
  <c r="J169" i="400"/>
  <c r="J168" i="400"/>
  <c r="J167" i="400"/>
  <c r="J166" i="400"/>
  <c r="J165" i="400"/>
  <c r="J164" i="400"/>
  <c r="J163" i="400"/>
  <c r="J162" i="400"/>
  <c r="J161" i="400"/>
  <c r="J160" i="400"/>
  <c r="J159" i="400"/>
  <c r="J158" i="400"/>
  <c r="J157" i="400"/>
  <c r="J156" i="400"/>
  <c r="J155" i="400"/>
  <c r="J154" i="400"/>
  <c r="J153" i="400"/>
  <c r="J152" i="400"/>
  <c r="J151" i="400"/>
  <c r="J150" i="400"/>
  <c r="J149" i="400"/>
  <c r="J148" i="400"/>
  <c r="J147" i="400"/>
  <c r="J146" i="400"/>
  <c r="J145" i="400"/>
  <c r="J144" i="400"/>
  <c r="J143" i="400"/>
  <c r="J142" i="400"/>
  <c r="J141" i="400"/>
  <c r="J140" i="400"/>
  <c r="J139" i="400"/>
  <c r="J138" i="400"/>
  <c r="J137" i="400"/>
  <c r="J136" i="400"/>
  <c r="J135" i="400"/>
  <c r="J134" i="400"/>
  <c r="J133" i="400"/>
  <c r="J132" i="400"/>
  <c r="J131" i="400"/>
  <c r="J130" i="400"/>
  <c r="J129" i="400"/>
  <c r="J128" i="400"/>
  <c r="J127" i="400"/>
  <c r="J126" i="400"/>
  <c r="J125" i="400"/>
  <c r="J124" i="400"/>
  <c r="J123" i="400"/>
  <c r="J122" i="400"/>
  <c r="J121" i="400"/>
  <c r="J120" i="400"/>
  <c r="J119" i="400"/>
  <c r="J118" i="400"/>
  <c r="J117" i="400"/>
  <c r="J116" i="400"/>
  <c r="J115" i="400"/>
  <c r="J114" i="400"/>
  <c r="J113" i="400"/>
  <c r="J112" i="400"/>
  <c r="J111" i="400"/>
  <c r="J110" i="400"/>
  <c r="J109" i="400"/>
  <c r="J108" i="400"/>
  <c r="J107" i="400"/>
  <c r="J106" i="400"/>
  <c r="J105" i="400"/>
  <c r="J104" i="400"/>
  <c r="J103" i="400"/>
  <c r="J102" i="400"/>
  <c r="J101" i="400"/>
  <c r="J100" i="400"/>
  <c r="J99" i="400"/>
  <c r="J98" i="400"/>
  <c r="J97" i="400"/>
  <c r="J96" i="400"/>
  <c r="J95" i="400"/>
  <c r="J94" i="400"/>
  <c r="J93" i="400"/>
  <c r="J92" i="400"/>
  <c r="J91" i="400"/>
  <c r="J90" i="400"/>
  <c r="J89" i="400"/>
  <c r="J88" i="400"/>
  <c r="J87" i="400"/>
  <c r="J86" i="400"/>
  <c r="J85" i="400"/>
  <c r="J84" i="400"/>
  <c r="J83" i="400"/>
  <c r="J82" i="400"/>
  <c r="J81" i="400"/>
  <c r="J80" i="400"/>
  <c r="J79" i="400"/>
  <c r="J78" i="400"/>
  <c r="J77" i="400"/>
  <c r="J76" i="400"/>
  <c r="J75" i="400"/>
  <c r="J74" i="400"/>
  <c r="J73" i="400"/>
  <c r="J72" i="400"/>
  <c r="J71" i="400"/>
  <c r="J70" i="400"/>
  <c r="J69" i="400"/>
  <c r="J68" i="400"/>
  <c r="J67" i="400"/>
  <c r="J66" i="400"/>
  <c r="J65" i="400"/>
  <c r="J64" i="400"/>
  <c r="J63" i="400"/>
  <c r="J62" i="400"/>
  <c r="J61" i="400"/>
  <c r="J60" i="400"/>
  <c r="J59" i="400"/>
  <c r="J58" i="400"/>
  <c r="J57" i="400"/>
  <c r="J56" i="400"/>
  <c r="J55" i="400"/>
  <c r="J54" i="400"/>
  <c r="H53" i="400"/>
  <c r="G53" i="400"/>
  <c r="H52" i="400"/>
  <c r="G52" i="400"/>
  <c r="H51" i="400"/>
  <c r="G51" i="400"/>
  <c r="H50" i="400"/>
  <c r="C74" i="404" s="1"/>
  <c r="G50" i="400"/>
  <c r="C74" i="402" s="1"/>
  <c r="H49" i="400"/>
  <c r="C72" i="404" s="1"/>
  <c r="G49" i="400"/>
  <c r="C72" i="402" s="1"/>
  <c r="H48" i="400"/>
  <c r="G48" i="400"/>
  <c r="H47" i="400"/>
  <c r="G47" i="400"/>
  <c r="H46" i="400"/>
  <c r="C67" i="404" s="1"/>
  <c r="G46" i="400"/>
  <c r="C67" i="402" s="1"/>
  <c r="H45" i="400"/>
  <c r="G45" i="400"/>
  <c r="H44" i="400"/>
  <c r="C64" i="404" s="1"/>
  <c r="G44" i="400"/>
  <c r="C64" i="402" s="1"/>
  <c r="H43" i="400"/>
  <c r="C63" i="404" s="1"/>
  <c r="G43" i="400"/>
  <c r="C63" i="402" s="1"/>
  <c r="H42" i="400"/>
  <c r="C58" i="404" s="1"/>
  <c r="G42" i="400"/>
  <c r="C58" i="402" s="1"/>
  <c r="H41" i="400"/>
  <c r="C57" i="404" s="1"/>
  <c r="G41" i="400"/>
  <c r="C57" i="402" s="1"/>
  <c r="H40" i="400"/>
  <c r="C56" i="404" s="1"/>
  <c r="G40" i="400"/>
  <c r="C56" i="402" s="1"/>
  <c r="H39" i="400"/>
  <c r="C55" i="404" s="1"/>
  <c r="G39" i="400"/>
  <c r="C55" i="402" s="1"/>
  <c r="H38" i="400"/>
  <c r="C54" i="404" s="1"/>
  <c r="G38" i="400"/>
  <c r="C54" i="402" s="1"/>
  <c r="H37" i="400"/>
  <c r="C53" i="404" s="1"/>
  <c r="G37" i="400"/>
  <c r="C53" i="402" s="1"/>
  <c r="H36" i="400"/>
  <c r="C52" i="404" s="1"/>
  <c r="G36" i="400"/>
  <c r="C52" i="402" s="1"/>
  <c r="H35" i="400"/>
  <c r="C51" i="404" s="1"/>
  <c r="G35" i="400"/>
  <c r="C51" i="402" s="1"/>
  <c r="H34" i="400"/>
  <c r="G34" i="400"/>
  <c r="H33" i="400"/>
  <c r="C48" i="404" s="1"/>
  <c r="G33" i="400"/>
  <c r="C48" i="402" s="1"/>
  <c r="H32" i="400"/>
  <c r="C47" i="404" s="1"/>
  <c r="G32" i="400"/>
  <c r="C47" i="402" s="1"/>
  <c r="H31" i="400"/>
  <c r="C46" i="404" s="1"/>
  <c r="G31" i="400"/>
  <c r="C46" i="402" s="1"/>
  <c r="H30" i="400"/>
  <c r="G30" i="400"/>
  <c r="H29" i="400"/>
  <c r="C41" i="404" s="1"/>
  <c r="G29" i="400"/>
  <c r="C41" i="402" s="1"/>
  <c r="H28" i="400"/>
  <c r="C40" i="404" s="1"/>
  <c r="G28" i="400"/>
  <c r="C40" i="402" s="1"/>
  <c r="H27" i="400"/>
  <c r="C39" i="404" s="1"/>
  <c r="G27" i="400"/>
  <c r="C39" i="402" s="1"/>
  <c r="H26" i="400"/>
  <c r="C38" i="404" s="1"/>
  <c r="G26" i="400"/>
  <c r="C38" i="402" s="1"/>
  <c r="H25" i="400"/>
  <c r="C37" i="404" s="1"/>
  <c r="G25" i="400"/>
  <c r="C37" i="402" s="1"/>
  <c r="H24" i="400"/>
  <c r="C36" i="404" s="1"/>
  <c r="G24" i="400"/>
  <c r="C36" i="402" s="1"/>
  <c r="H23" i="400"/>
  <c r="C35" i="404" s="1"/>
  <c r="G23" i="400"/>
  <c r="C35" i="402" s="1"/>
  <c r="H22" i="400"/>
  <c r="G22" i="400"/>
  <c r="H21" i="400"/>
  <c r="C32" i="404" s="1"/>
  <c r="G21" i="400"/>
  <c r="C32" i="402" s="1"/>
  <c r="H20" i="400"/>
  <c r="C31" i="404" s="1"/>
  <c r="G20" i="400"/>
  <c r="C31" i="402" s="1"/>
  <c r="H19" i="400"/>
  <c r="C30" i="404" s="1"/>
  <c r="G19" i="400"/>
  <c r="C30" i="402" s="1"/>
  <c r="H18" i="400"/>
  <c r="C29" i="404" s="1"/>
  <c r="G18" i="400"/>
  <c r="C29" i="402" s="1"/>
  <c r="H17" i="400"/>
  <c r="C28" i="404" s="1"/>
  <c r="G17" i="400"/>
  <c r="C28" i="402" s="1"/>
  <c r="H16" i="400"/>
  <c r="G16" i="400"/>
  <c r="H15" i="400"/>
  <c r="C25" i="404" s="1"/>
  <c r="G15" i="400"/>
  <c r="C25" i="402" s="1"/>
  <c r="H14" i="400"/>
  <c r="C24" i="404" s="1"/>
  <c r="G14" i="400"/>
  <c r="C24" i="402" s="1"/>
  <c r="H13" i="400"/>
  <c r="C23" i="404" s="1"/>
  <c r="G13" i="400"/>
  <c r="C23" i="402" s="1"/>
  <c r="H12" i="400"/>
  <c r="C22" i="404" s="1"/>
  <c r="G12" i="400"/>
  <c r="C22" i="402" s="1"/>
  <c r="H11" i="400"/>
  <c r="C21" i="404" s="1"/>
  <c r="G11" i="400"/>
  <c r="C21" i="402" s="1"/>
  <c r="H10" i="400"/>
  <c r="C20" i="404" s="1"/>
  <c r="G10" i="400"/>
  <c r="C20" i="402" s="1"/>
  <c r="H9" i="400"/>
  <c r="G9" i="400"/>
  <c r="H8" i="400"/>
  <c r="C15" i="404" s="1"/>
  <c r="G8" i="400"/>
  <c r="C15" i="402" s="1"/>
  <c r="H7" i="400"/>
  <c r="C14" i="404" s="1"/>
  <c r="G7" i="400"/>
  <c r="C14" i="402" s="1"/>
  <c r="H6" i="400"/>
  <c r="C12" i="404" s="1"/>
  <c r="G6" i="400"/>
  <c r="C12" i="402" s="1"/>
  <c r="H5" i="400"/>
  <c r="C11" i="404" s="1"/>
  <c r="G5" i="400"/>
  <c r="C11" i="402" s="1"/>
  <c r="H4" i="400"/>
  <c r="C10" i="404" s="1"/>
  <c r="G4" i="400"/>
  <c r="C10" i="402" s="1"/>
  <c r="H3" i="400"/>
  <c r="C8" i="404" s="1"/>
  <c r="G3" i="400"/>
  <c r="C8" i="402" s="1"/>
  <c r="H2" i="400"/>
  <c r="G2" i="400"/>
  <c r="EA295" i="142"/>
  <c r="M258" i="234" s="1"/>
  <c r="N257" i="234"/>
  <c r="EA294" i="142"/>
  <c r="M257" i="234" s="1"/>
  <c r="N256" i="234"/>
  <c r="EA293" i="142"/>
  <c r="M256" i="234" s="1"/>
  <c r="N255" i="234"/>
  <c r="EA292" i="142"/>
  <c r="M255" i="234" s="1"/>
  <c r="N254" i="234"/>
  <c r="EA291" i="142"/>
  <c r="M254" i="234" s="1"/>
  <c r="EA290" i="142"/>
  <c r="EA289" i="142"/>
  <c r="EA288" i="142"/>
  <c r="EA287" i="142"/>
  <c r="EA286" i="142"/>
  <c r="EA285" i="142"/>
  <c r="EA284" i="142"/>
  <c r="M247" i="234" s="1"/>
  <c r="EA279" i="142"/>
  <c r="H258" i="234" s="1"/>
  <c r="I257" i="234"/>
  <c r="EA278" i="142"/>
  <c r="H257" i="234" s="1"/>
  <c r="I256" i="234"/>
  <c r="EA277" i="142"/>
  <c r="H256" i="234" s="1"/>
  <c r="I255" i="234"/>
  <c r="EA276" i="142"/>
  <c r="H255" i="234" s="1"/>
  <c r="I254" i="234"/>
  <c r="I259" i="234" s="1"/>
  <c r="EA275" i="142"/>
  <c r="H254" i="234" s="1"/>
  <c r="EA274" i="142"/>
  <c r="EA273" i="142"/>
  <c r="EA272" i="142"/>
  <c r="EA271" i="142"/>
  <c r="EA270" i="142"/>
  <c r="EA269" i="142"/>
  <c r="EA268" i="142"/>
  <c r="H247" i="234" s="1"/>
  <c r="EA263" i="142"/>
  <c r="D258" i="234" s="1"/>
  <c r="E257" i="234"/>
  <c r="EA262" i="142"/>
  <c r="D257" i="234" s="1"/>
  <c r="E256" i="234"/>
  <c r="EA261" i="142"/>
  <c r="D256" i="234" s="1"/>
  <c r="E255" i="234"/>
  <c r="EA260" i="142"/>
  <c r="D255" i="234" s="1"/>
  <c r="E254" i="234"/>
  <c r="EA259" i="142"/>
  <c r="D254" i="234" s="1"/>
  <c r="EA258" i="142"/>
  <c r="EA257" i="142"/>
  <c r="EA256" i="142"/>
  <c r="EA255" i="142"/>
  <c r="EA254" i="142"/>
  <c r="EA253" i="142"/>
  <c r="EA252" i="142"/>
  <c r="D247" i="234" s="1"/>
  <c r="T244" i="235"/>
  <c r="T243" i="235"/>
  <c r="T242" i="235"/>
  <c r="C18" i="142"/>
  <c r="P242" i="235" l="1"/>
  <c r="L242" i="235"/>
  <c r="EA165" i="142"/>
  <c r="EA166" i="142" s="1"/>
  <c r="EA167" i="142" s="1"/>
  <c r="N259" i="234"/>
  <c r="E259" i="234"/>
  <c r="J62" i="189"/>
  <c r="M62" i="189" s="1"/>
  <c r="S245" i="235"/>
  <c r="J61" i="189"/>
  <c r="M61" i="189" s="1"/>
  <c r="S244" i="235"/>
  <c r="J60" i="189"/>
  <c r="K60" i="189" s="1"/>
  <c r="N60" i="189" s="1"/>
  <c r="S243" i="235"/>
  <c r="D40" i="404"/>
  <c r="D8" i="404"/>
  <c r="AG8" i="333"/>
  <c r="G8" i="404"/>
  <c r="AG39" i="333"/>
  <c r="G39" i="404"/>
  <c r="D39" i="404"/>
  <c r="AG14" i="333"/>
  <c r="D14" i="404"/>
  <c r="G14" i="404"/>
  <c r="AG15" i="333"/>
  <c r="G15" i="404"/>
  <c r="D15" i="404"/>
  <c r="AG24" i="333"/>
  <c r="D24" i="404"/>
  <c r="G24" i="404"/>
  <c r="AG31" i="333"/>
  <c r="G31" i="404"/>
  <c r="D31" i="404"/>
  <c r="AG38" i="333"/>
  <c r="D38" i="404"/>
  <c r="G38" i="404"/>
  <c r="AG47" i="333"/>
  <c r="G47" i="404"/>
  <c r="D47" i="404"/>
  <c r="AG54" i="333"/>
  <c r="G54" i="404"/>
  <c r="D54" i="404"/>
  <c r="AG64" i="333"/>
  <c r="D64" i="404"/>
  <c r="G64" i="404"/>
  <c r="AG74" i="333"/>
  <c r="G74" i="404"/>
  <c r="D74" i="404"/>
  <c r="AG48" i="333"/>
  <c r="G48" i="404"/>
  <c r="D48" i="404"/>
  <c r="AG10" i="333"/>
  <c r="C13" i="404"/>
  <c r="G10" i="404"/>
  <c r="D10" i="404"/>
  <c r="AG20" i="333"/>
  <c r="G20" i="404"/>
  <c r="C26" i="404"/>
  <c r="D20" i="404"/>
  <c r="AG40" i="333"/>
  <c r="G40" i="404"/>
  <c r="D56" i="404"/>
  <c r="AG56" i="333"/>
  <c r="G56" i="404"/>
  <c r="AG67" i="333"/>
  <c r="AH67" i="333" s="1"/>
  <c r="G67" i="404"/>
  <c r="D67" i="404"/>
  <c r="AG55" i="333"/>
  <c r="D55" i="404"/>
  <c r="G55" i="404"/>
  <c r="AG11" i="333"/>
  <c r="D11" i="404"/>
  <c r="G11" i="404"/>
  <c r="AG21" i="333"/>
  <c r="G21" i="404"/>
  <c r="D21" i="404"/>
  <c r="AG28" i="333"/>
  <c r="AH28" i="333" s="1"/>
  <c r="C33" i="404"/>
  <c r="G28" i="404"/>
  <c r="D28" i="404"/>
  <c r="AG35" i="333"/>
  <c r="G35" i="404"/>
  <c r="D35" i="404"/>
  <c r="C42" i="404"/>
  <c r="AG41" i="333"/>
  <c r="D41" i="404"/>
  <c r="G41" i="404"/>
  <c r="AG51" i="333"/>
  <c r="C59" i="404"/>
  <c r="D51" i="404"/>
  <c r="G51" i="404"/>
  <c r="AG57" i="333"/>
  <c r="G57" i="404"/>
  <c r="D57" i="404"/>
  <c r="AG32" i="333"/>
  <c r="G32" i="404"/>
  <c r="D32" i="404"/>
  <c r="AG12" i="333"/>
  <c r="D12" i="404"/>
  <c r="G12" i="404"/>
  <c r="D22" i="404"/>
  <c r="AG22" i="333"/>
  <c r="G22" i="404"/>
  <c r="AG29" i="333"/>
  <c r="G29" i="404"/>
  <c r="D29" i="404"/>
  <c r="AG36" i="333"/>
  <c r="D36" i="404"/>
  <c r="G36" i="404"/>
  <c r="AG52" i="333"/>
  <c r="G52" i="404"/>
  <c r="D52" i="404"/>
  <c r="AG58" i="333"/>
  <c r="AH58" i="333" s="1"/>
  <c r="D58" i="404"/>
  <c r="G58" i="404"/>
  <c r="AG25" i="333"/>
  <c r="G25" i="404"/>
  <c r="D25" i="404"/>
  <c r="AG23" i="333"/>
  <c r="D23" i="404"/>
  <c r="G23" i="404"/>
  <c r="AG30" i="333"/>
  <c r="G30" i="404"/>
  <c r="D30" i="404"/>
  <c r="AG37" i="333"/>
  <c r="AH37" i="333" s="1"/>
  <c r="G37" i="404"/>
  <c r="D37" i="404"/>
  <c r="AG46" i="333"/>
  <c r="D46" i="404"/>
  <c r="C49" i="404"/>
  <c r="G46" i="404"/>
  <c r="AG53" i="333"/>
  <c r="D53" i="404"/>
  <c r="G53" i="404"/>
  <c r="AG63" i="333"/>
  <c r="C65" i="404"/>
  <c r="D63" i="404"/>
  <c r="G63" i="404"/>
  <c r="AG72" i="333"/>
  <c r="D72" i="404"/>
  <c r="G72" i="404"/>
  <c r="EA115" i="142"/>
  <c r="J58" i="189" s="1"/>
  <c r="M58" i="189" s="1"/>
  <c r="C67" i="142"/>
  <c r="I242" i="235"/>
  <c r="AI115" i="142"/>
  <c r="EA131" i="142"/>
  <c r="EA132" i="142" s="1"/>
  <c r="B241" i="235"/>
  <c r="D259" i="234"/>
  <c r="H259" i="234"/>
  <c r="M259" i="234"/>
  <c r="C51" i="142"/>
  <c r="E242" i="235"/>
  <c r="M242" i="235"/>
  <c r="Q242" i="235"/>
  <c r="EA149" i="142"/>
  <c r="J59" i="189"/>
  <c r="S242" i="235"/>
  <c r="C65" i="402"/>
  <c r="D65" i="402" s="1"/>
  <c r="C26" i="402"/>
  <c r="D26" i="402" s="1"/>
  <c r="G38" i="402"/>
  <c r="AG38" i="332" s="1"/>
  <c r="G40" i="402"/>
  <c r="AG40" i="332" s="1"/>
  <c r="G29" i="402"/>
  <c r="AG29" i="332" s="1"/>
  <c r="G35" i="402"/>
  <c r="AG35" i="332" s="1"/>
  <c r="D41" i="402"/>
  <c r="G23" i="402"/>
  <c r="AG23" i="332" s="1"/>
  <c r="G58" i="402"/>
  <c r="AG58" i="332" s="1"/>
  <c r="G30" i="402"/>
  <c r="AG30" i="332" s="1"/>
  <c r="G20" i="402"/>
  <c r="AG20" i="332" s="1"/>
  <c r="G54" i="402"/>
  <c r="AG54" i="332" s="1"/>
  <c r="G72" i="402"/>
  <c r="AG72" i="332" s="1"/>
  <c r="G14" i="402"/>
  <c r="AG14" i="332" s="1"/>
  <c r="D74" i="402"/>
  <c r="D24" i="402"/>
  <c r="D58" i="402"/>
  <c r="G25" i="402"/>
  <c r="AG25" i="332" s="1"/>
  <c r="D63" i="402"/>
  <c r="G46" i="402"/>
  <c r="AG46" i="332" s="1"/>
  <c r="G12" i="402"/>
  <c r="AG12" i="332" s="1"/>
  <c r="D23" i="402"/>
  <c r="H30" i="402"/>
  <c r="D32" i="402"/>
  <c r="D29" i="402"/>
  <c r="D67" i="402"/>
  <c r="C13" i="402"/>
  <c r="D13" i="402" s="1"/>
  <c r="D48" i="402"/>
  <c r="D38" i="402"/>
  <c r="G10" i="402"/>
  <c r="AG10" i="332" s="1"/>
  <c r="D56" i="402"/>
  <c r="D37" i="402"/>
  <c r="G31" i="402"/>
  <c r="AG31" i="332" s="1"/>
  <c r="G51" i="402"/>
  <c r="AG51" i="332" s="1"/>
  <c r="H12" i="402"/>
  <c r="H54" i="402"/>
  <c r="G55" i="402"/>
  <c r="AG55" i="332" s="1"/>
  <c r="G39" i="402"/>
  <c r="AG39" i="332" s="1"/>
  <c r="H58" i="402"/>
  <c r="F38" i="402"/>
  <c r="G15" i="402"/>
  <c r="AG15" i="332" s="1"/>
  <c r="G36" i="402"/>
  <c r="AG36" i="332" s="1"/>
  <c r="F48" i="402"/>
  <c r="F24" i="402"/>
  <c r="G21" i="402"/>
  <c r="AG21" i="332" s="1"/>
  <c r="F29" i="402"/>
  <c r="H35" i="402"/>
  <c r="H40" i="402"/>
  <c r="F10" i="402"/>
  <c r="F20" i="402"/>
  <c r="F57" i="402"/>
  <c r="E42" i="402"/>
  <c r="F42" i="402" s="1"/>
  <c r="F63" i="402"/>
  <c r="E33" i="402"/>
  <c r="F33" i="402" s="1"/>
  <c r="F53" i="402"/>
  <c r="F14" i="402"/>
  <c r="D20" i="402"/>
  <c r="G32" i="402"/>
  <c r="AG32" i="332" s="1"/>
  <c r="D52" i="402"/>
  <c r="D8" i="402"/>
  <c r="D47" i="402"/>
  <c r="D53" i="402"/>
  <c r="D64" i="402"/>
  <c r="D14" i="402"/>
  <c r="G24" i="402"/>
  <c r="AG24" i="332" s="1"/>
  <c r="D57" i="402"/>
  <c r="D10" i="402"/>
  <c r="D54" i="402"/>
  <c r="D28" i="402"/>
  <c r="G37" i="402"/>
  <c r="AG37" i="332" s="1"/>
  <c r="G48" i="402"/>
  <c r="AG48" i="332" s="1"/>
  <c r="G57" i="402"/>
  <c r="AG57" i="332" s="1"/>
  <c r="C59" i="402"/>
  <c r="G63" i="402"/>
  <c r="AG63" i="332" s="1"/>
  <c r="G53" i="402"/>
  <c r="AG53" i="332" s="1"/>
  <c r="F8" i="402"/>
  <c r="H10" i="402"/>
  <c r="D12" i="402"/>
  <c r="H14" i="402"/>
  <c r="H20" i="402"/>
  <c r="D22" i="402"/>
  <c r="F23" i="402"/>
  <c r="H24" i="402"/>
  <c r="F28" i="402"/>
  <c r="H29" i="402"/>
  <c r="D31" i="402"/>
  <c r="F32" i="402"/>
  <c r="D36" i="402"/>
  <c r="F37" i="402"/>
  <c r="H38" i="402"/>
  <c r="D40" i="402"/>
  <c r="F41" i="402"/>
  <c r="D46" i="402"/>
  <c r="F47" i="402"/>
  <c r="H48" i="402"/>
  <c r="D51" i="402"/>
  <c r="F52" i="402"/>
  <c r="H53" i="402"/>
  <c r="D55" i="402"/>
  <c r="F56" i="402"/>
  <c r="H57" i="402"/>
  <c r="H63" i="402"/>
  <c r="F67" i="402"/>
  <c r="D72" i="402"/>
  <c r="F74" i="402"/>
  <c r="E26" i="402"/>
  <c r="G28" i="402"/>
  <c r="AG28" i="332" s="1"/>
  <c r="G47" i="402"/>
  <c r="AG47" i="332" s="1"/>
  <c r="C49" i="402"/>
  <c r="D49" i="402" s="1"/>
  <c r="G74" i="402"/>
  <c r="AG74" i="332" s="1"/>
  <c r="G41" i="402"/>
  <c r="AG41" i="332" s="1"/>
  <c r="G52" i="402"/>
  <c r="AG52" i="332" s="1"/>
  <c r="G56" i="402"/>
  <c r="AG56" i="332" s="1"/>
  <c r="E59" i="402"/>
  <c r="E65" i="402"/>
  <c r="G67" i="402"/>
  <c r="AG67" i="332" s="1"/>
  <c r="H8" i="402"/>
  <c r="D11" i="402"/>
  <c r="F12" i="402"/>
  <c r="D15" i="402"/>
  <c r="D21" i="402"/>
  <c r="F22" i="402"/>
  <c r="H23" i="402"/>
  <c r="D25" i="402"/>
  <c r="H28" i="402"/>
  <c r="D30" i="402"/>
  <c r="F31" i="402"/>
  <c r="H32" i="402"/>
  <c r="D35" i="402"/>
  <c r="F36" i="402"/>
  <c r="H37" i="402"/>
  <c r="D39" i="402"/>
  <c r="F40" i="402"/>
  <c r="F46" i="402"/>
  <c r="F51" i="402"/>
  <c r="F55" i="402"/>
  <c r="F72" i="402"/>
  <c r="G8" i="402"/>
  <c r="AG8" i="332" s="1"/>
  <c r="AH8" i="332" s="1"/>
  <c r="C33" i="402"/>
  <c r="D33" i="402" s="1"/>
  <c r="E49" i="402"/>
  <c r="E13" i="402"/>
  <c r="G22" i="402"/>
  <c r="AG22" i="332" s="1"/>
  <c r="C42" i="402"/>
  <c r="D42" i="402" s="1"/>
  <c r="F11" i="402"/>
  <c r="F15" i="402"/>
  <c r="F21" i="402"/>
  <c r="F25" i="402"/>
  <c r="F30" i="402"/>
  <c r="F35" i="402"/>
  <c r="H36" i="402"/>
  <c r="F39" i="402"/>
  <c r="F54" i="402"/>
  <c r="F58" i="402"/>
  <c r="F64" i="402"/>
  <c r="G11" i="402"/>
  <c r="AG11" i="332" s="1"/>
  <c r="G64" i="402"/>
  <c r="AG64" i="332" s="1"/>
  <c r="AH74" i="333" l="1"/>
  <c r="AH38" i="333"/>
  <c r="AH14" i="333"/>
  <c r="AH35" i="333"/>
  <c r="AH46" i="333"/>
  <c r="AH25" i="333"/>
  <c r="AH29" i="333"/>
  <c r="AH57" i="333"/>
  <c r="AH55" i="333"/>
  <c r="AH20" i="333"/>
  <c r="AH72" i="333"/>
  <c r="AH64" i="333"/>
  <c r="AH31" i="333"/>
  <c r="AH39" i="333"/>
  <c r="K62" i="189"/>
  <c r="N62" i="189" s="1"/>
  <c r="O62" i="189" s="1"/>
  <c r="M60" i="189"/>
  <c r="O60" i="189" s="1"/>
  <c r="AH53" i="333"/>
  <c r="AH40" i="333"/>
  <c r="Q243" i="235"/>
  <c r="M243" i="235"/>
  <c r="E244" i="235"/>
  <c r="E243" i="235"/>
  <c r="K58" i="189"/>
  <c r="N58" i="189" s="1"/>
  <c r="O58" i="189" s="1"/>
  <c r="I243" i="235"/>
  <c r="EA196" i="142"/>
  <c r="AH23" i="333"/>
  <c r="AH36" i="333"/>
  <c r="AH32" i="333"/>
  <c r="AH11" i="333"/>
  <c r="K61" i="189"/>
  <c r="N61" i="189" s="1"/>
  <c r="O61" i="189" s="1"/>
  <c r="P243" i="235"/>
  <c r="L243" i="235"/>
  <c r="EA150" i="142"/>
  <c r="H243" i="235"/>
  <c r="L60" i="189"/>
  <c r="AH14" i="332"/>
  <c r="AH64" i="332"/>
  <c r="AH47" i="332"/>
  <c r="AH57" i="332"/>
  <c r="AH72" i="332"/>
  <c r="AH55" i="332"/>
  <c r="AH11" i="332"/>
  <c r="AH28" i="332"/>
  <c r="AH48" i="332"/>
  <c r="AH54" i="332"/>
  <c r="AH22" i="332"/>
  <c r="AH32" i="332"/>
  <c r="AH51" i="332"/>
  <c r="AH21" i="332"/>
  <c r="AH30" i="332"/>
  <c r="AH58" i="332"/>
  <c r="AH37" i="332"/>
  <c r="AH20" i="332"/>
  <c r="AH31" i="332"/>
  <c r="AH12" i="332"/>
  <c r="AH67" i="332"/>
  <c r="G49" i="404"/>
  <c r="AH22" i="333"/>
  <c r="AH51" i="333"/>
  <c r="AH10" i="333"/>
  <c r="AH54" i="333"/>
  <c r="AH24" i="333"/>
  <c r="AH63" i="333"/>
  <c r="AH56" i="333"/>
  <c r="AH41" i="333"/>
  <c r="AH48" i="333"/>
  <c r="AH47" i="333"/>
  <c r="AH15" i="333"/>
  <c r="G33" i="404"/>
  <c r="G65" i="404"/>
  <c r="D33" i="404"/>
  <c r="AG33" i="333"/>
  <c r="AH33" i="333" s="1"/>
  <c r="G13" i="404"/>
  <c r="G16" i="404" s="1"/>
  <c r="G18" i="404" s="1"/>
  <c r="D49" i="404"/>
  <c r="AG49" i="333"/>
  <c r="AH49" i="333" s="1"/>
  <c r="G59" i="404"/>
  <c r="AG13" i="333"/>
  <c r="AH13" i="333" s="1"/>
  <c r="C16" i="404"/>
  <c r="D13" i="404"/>
  <c r="AG65" i="333"/>
  <c r="AH65" i="333" s="1"/>
  <c r="D65" i="404"/>
  <c r="AH52" i="333"/>
  <c r="AH8" i="333"/>
  <c r="G26" i="404"/>
  <c r="D42" i="404"/>
  <c r="AG42" i="333"/>
  <c r="AH42" i="333" s="1"/>
  <c r="G42" i="404"/>
  <c r="D26" i="404"/>
  <c r="AG26" i="333"/>
  <c r="AH26" i="333" s="1"/>
  <c r="AG59" i="333"/>
  <c r="AH59" i="333" s="1"/>
  <c r="D59" i="404"/>
  <c r="C61" i="404"/>
  <c r="AH30" i="333"/>
  <c r="AH12" i="333"/>
  <c r="AH21" i="333"/>
  <c r="AI114" i="142"/>
  <c r="AH74" i="332"/>
  <c r="AH40" i="332"/>
  <c r="AH39" i="332"/>
  <c r="AH38" i="332"/>
  <c r="EA133" i="142"/>
  <c r="D242" i="235"/>
  <c r="V242" i="235"/>
  <c r="J241" i="235"/>
  <c r="Q241" i="235"/>
  <c r="S241" i="235"/>
  <c r="I241" i="235"/>
  <c r="G241" i="235"/>
  <c r="C241" i="235"/>
  <c r="D241" i="235"/>
  <c r="M241" i="235"/>
  <c r="E241" i="235"/>
  <c r="N241" i="235"/>
  <c r="F241" i="235"/>
  <c r="P241" i="235"/>
  <c r="H241" i="235"/>
  <c r="T241" i="235"/>
  <c r="L241" i="235"/>
  <c r="V241" i="235"/>
  <c r="O241" i="235"/>
  <c r="K241" i="235"/>
  <c r="C50" i="142"/>
  <c r="C66" i="142"/>
  <c r="AH63" i="332"/>
  <c r="AG65" i="332"/>
  <c r="AH65" i="332" s="1"/>
  <c r="AH46" i="332"/>
  <c r="AH36" i="332"/>
  <c r="AH25" i="332"/>
  <c r="AH35" i="332"/>
  <c r="AH23" i="332"/>
  <c r="AH56" i="332"/>
  <c r="AH10" i="332"/>
  <c r="AH52" i="332"/>
  <c r="AH24" i="332"/>
  <c r="AH15" i="332"/>
  <c r="AH41" i="332"/>
  <c r="AH53" i="332"/>
  <c r="AH29" i="332"/>
  <c r="K59" i="189"/>
  <c r="L59" i="189" s="1"/>
  <c r="M59" i="189"/>
  <c r="J63" i="189"/>
  <c r="BG114" i="142"/>
  <c r="G13" i="402"/>
  <c r="C16" i="402"/>
  <c r="H33" i="402"/>
  <c r="G42" i="402"/>
  <c r="AG42" i="332" s="1"/>
  <c r="AH42" i="332" s="1"/>
  <c r="H42" i="402"/>
  <c r="G26" i="402"/>
  <c r="AG26" i="332" s="1"/>
  <c r="AH26" i="332" s="1"/>
  <c r="G59" i="402"/>
  <c r="AG59" i="332" s="1"/>
  <c r="AH59" i="332" s="1"/>
  <c r="G49" i="402"/>
  <c r="AG49" i="332" s="1"/>
  <c r="AH49" i="332" s="1"/>
  <c r="G33" i="402"/>
  <c r="AG33" i="332" s="1"/>
  <c r="AH33" i="332" s="1"/>
  <c r="H26" i="402"/>
  <c r="F26" i="402"/>
  <c r="C61" i="402"/>
  <c r="D61" i="402" s="1"/>
  <c r="D59" i="402"/>
  <c r="H49" i="402"/>
  <c r="F49" i="402"/>
  <c r="H65" i="402"/>
  <c r="F65" i="402"/>
  <c r="H59" i="402"/>
  <c r="F59" i="402"/>
  <c r="E61" i="402"/>
  <c r="G65" i="402"/>
  <c r="H13" i="402"/>
  <c r="E16" i="402"/>
  <c r="F13" i="402"/>
  <c r="U242" i="235" l="1"/>
  <c r="EA197" i="142"/>
  <c r="EA198" i="142" s="1"/>
  <c r="EA199" i="142" s="1"/>
  <c r="L62" i="189"/>
  <c r="L61" i="189"/>
  <c r="L58" i="189"/>
  <c r="V243" i="235"/>
  <c r="I244" i="235"/>
  <c r="U241" i="235"/>
  <c r="M244" i="235"/>
  <c r="Q244" i="235"/>
  <c r="P245" i="235"/>
  <c r="P244" i="235"/>
  <c r="L245" i="235"/>
  <c r="L244" i="235"/>
  <c r="EA151" i="142"/>
  <c r="H245" i="235" s="1"/>
  <c r="H244" i="235"/>
  <c r="EA134" i="142"/>
  <c r="D243" i="235"/>
  <c r="G61" i="404"/>
  <c r="G69" i="404" s="1"/>
  <c r="G44" i="404"/>
  <c r="D61" i="404"/>
  <c r="AG61" i="333"/>
  <c r="AH61" i="333" s="1"/>
  <c r="AG16" i="333"/>
  <c r="AH16" i="333" s="1"/>
  <c r="D16" i="404"/>
  <c r="C18" i="404"/>
  <c r="G16" i="402"/>
  <c r="AG13" i="332"/>
  <c r="AH13" i="332" s="1"/>
  <c r="N59" i="189"/>
  <c r="O59" i="189" s="1"/>
  <c r="K63" i="189"/>
  <c r="D16" i="402"/>
  <c r="C18" i="402"/>
  <c r="C69" i="402" s="1"/>
  <c r="C76" i="402" s="1"/>
  <c r="G61" i="402"/>
  <c r="H61" i="402"/>
  <c r="F61" i="402"/>
  <c r="H16" i="402"/>
  <c r="F16" i="402"/>
  <c r="E18" i="402"/>
  <c r="J173" i="273"/>
  <c r="J172" i="273"/>
  <c r="J171" i="273"/>
  <c r="J170" i="273"/>
  <c r="J169" i="273"/>
  <c r="J168" i="273"/>
  <c r="J167" i="273"/>
  <c r="J166" i="273"/>
  <c r="J165" i="273"/>
  <c r="J164" i="273"/>
  <c r="J163" i="273"/>
  <c r="J162" i="273"/>
  <c r="J161" i="273"/>
  <c r="J160" i="273"/>
  <c r="J159" i="273"/>
  <c r="J158" i="273"/>
  <c r="J157" i="273"/>
  <c r="J156" i="273"/>
  <c r="J155" i="273"/>
  <c r="J154" i="273"/>
  <c r="J153" i="273"/>
  <c r="J152" i="273"/>
  <c r="J151" i="273"/>
  <c r="J150" i="273"/>
  <c r="J149" i="273"/>
  <c r="J148" i="273"/>
  <c r="J147" i="273"/>
  <c r="J146" i="273"/>
  <c r="J145" i="273"/>
  <c r="J144" i="273"/>
  <c r="J143" i="273"/>
  <c r="J142" i="273"/>
  <c r="J141" i="273"/>
  <c r="J140" i="273"/>
  <c r="J139" i="273"/>
  <c r="J138" i="273"/>
  <c r="J137" i="273"/>
  <c r="J136" i="273"/>
  <c r="J135" i="273"/>
  <c r="J134" i="273"/>
  <c r="J133" i="273"/>
  <c r="J132" i="273"/>
  <c r="J131" i="273"/>
  <c r="J130" i="273"/>
  <c r="J129" i="273"/>
  <c r="J128" i="273"/>
  <c r="J127" i="273"/>
  <c r="J126" i="273"/>
  <c r="J125" i="273"/>
  <c r="J124" i="273"/>
  <c r="J123" i="273"/>
  <c r="J122" i="273"/>
  <c r="J121" i="273"/>
  <c r="J120" i="273"/>
  <c r="J119" i="273"/>
  <c r="J118" i="273"/>
  <c r="J117" i="273"/>
  <c r="J116" i="273"/>
  <c r="J115" i="273"/>
  <c r="J114" i="273"/>
  <c r="J113" i="273"/>
  <c r="J112" i="273"/>
  <c r="J111" i="273"/>
  <c r="J110" i="273"/>
  <c r="J109" i="273"/>
  <c r="J108" i="273"/>
  <c r="J107" i="273"/>
  <c r="J106" i="273"/>
  <c r="J105" i="273"/>
  <c r="J104" i="273"/>
  <c r="J103" i="273"/>
  <c r="J102" i="273"/>
  <c r="J101" i="273"/>
  <c r="J100" i="273"/>
  <c r="J99" i="273"/>
  <c r="J98" i="273"/>
  <c r="J97" i="273"/>
  <c r="J96" i="273"/>
  <c r="J95" i="273"/>
  <c r="J94" i="273"/>
  <c r="J93" i="273"/>
  <c r="J92" i="273"/>
  <c r="J91" i="273"/>
  <c r="J90" i="273"/>
  <c r="J89" i="273"/>
  <c r="J88" i="273"/>
  <c r="J87" i="273"/>
  <c r="J86" i="273"/>
  <c r="J85" i="273"/>
  <c r="J84" i="273"/>
  <c r="J83" i="273"/>
  <c r="J82" i="273"/>
  <c r="J81" i="273"/>
  <c r="J80" i="273"/>
  <c r="J79" i="273"/>
  <c r="J78" i="273"/>
  <c r="J77" i="273"/>
  <c r="J76" i="273"/>
  <c r="J75" i="273"/>
  <c r="J74" i="273"/>
  <c r="J73" i="273"/>
  <c r="J72" i="273"/>
  <c r="J71" i="273"/>
  <c r="J70" i="273"/>
  <c r="J69" i="273"/>
  <c r="J68" i="273"/>
  <c r="J67" i="273"/>
  <c r="J66" i="273"/>
  <c r="J65" i="273"/>
  <c r="J64" i="273"/>
  <c r="J63" i="273"/>
  <c r="J62" i="273"/>
  <c r="J61" i="273"/>
  <c r="J60" i="273"/>
  <c r="J59" i="273"/>
  <c r="J58" i="273"/>
  <c r="J57" i="273"/>
  <c r="J56" i="273"/>
  <c r="J55" i="273"/>
  <c r="J54" i="273"/>
  <c r="H53" i="273"/>
  <c r="G53" i="273"/>
  <c r="H52" i="273"/>
  <c r="G52" i="273"/>
  <c r="H51" i="273"/>
  <c r="G51" i="273"/>
  <c r="H50" i="273"/>
  <c r="C74" i="323" s="1"/>
  <c r="G50" i="273"/>
  <c r="H49" i="273"/>
  <c r="C72" i="323" s="1"/>
  <c r="G49" i="273"/>
  <c r="H48" i="273"/>
  <c r="G48" i="273"/>
  <c r="H47" i="273"/>
  <c r="G47" i="273"/>
  <c r="H46" i="273"/>
  <c r="C67" i="323" s="1"/>
  <c r="G46" i="273"/>
  <c r="H45" i="273"/>
  <c r="G45" i="273"/>
  <c r="H44" i="273"/>
  <c r="C64" i="323" s="1"/>
  <c r="G44" i="273"/>
  <c r="H43" i="273"/>
  <c r="C63" i="323" s="1"/>
  <c r="G43" i="273"/>
  <c r="H42" i="273"/>
  <c r="C58" i="323" s="1"/>
  <c r="G42" i="273"/>
  <c r="H41" i="273"/>
  <c r="C57" i="323" s="1"/>
  <c r="G41" i="273"/>
  <c r="H40" i="273"/>
  <c r="C56" i="323" s="1"/>
  <c r="G40" i="273"/>
  <c r="H39" i="273"/>
  <c r="C55" i="323" s="1"/>
  <c r="G39" i="273"/>
  <c r="H38" i="273"/>
  <c r="C54" i="323" s="1"/>
  <c r="G38" i="273"/>
  <c r="H37" i="273"/>
  <c r="C53" i="323" s="1"/>
  <c r="G37" i="273"/>
  <c r="H36" i="273"/>
  <c r="C52" i="323" s="1"/>
  <c r="G36" i="273"/>
  <c r="H35" i="273"/>
  <c r="C51" i="323" s="1"/>
  <c r="G35" i="273"/>
  <c r="H34" i="273"/>
  <c r="G34" i="273"/>
  <c r="H33" i="273"/>
  <c r="C48" i="323" s="1"/>
  <c r="G33" i="273"/>
  <c r="H32" i="273"/>
  <c r="C47" i="323" s="1"/>
  <c r="G32" i="273"/>
  <c r="H31" i="273"/>
  <c r="C46" i="323" s="1"/>
  <c r="G31" i="273"/>
  <c r="H30" i="273"/>
  <c r="G30" i="273"/>
  <c r="H29" i="273"/>
  <c r="C41" i="323" s="1"/>
  <c r="G29" i="273"/>
  <c r="H28" i="273"/>
  <c r="C40" i="323" s="1"/>
  <c r="G28" i="273"/>
  <c r="H27" i="273"/>
  <c r="C39" i="323" s="1"/>
  <c r="G27" i="273"/>
  <c r="H26" i="273"/>
  <c r="C38" i="323" s="1"/>
  <c r="G26" i="273"/>
  <c r="H25" i="273"/>
  <c r="C37" i="323" s="1"/>
  <c r="G25" i="273"/>
  <c r="H24" i="273"/>
  <c r="C36" i="323" s="1"/>
  <c r="G24" i="273"/>
  <c r="H23" i="273"/>
  <c r="C35" i="323" s="1"/>
  <c r="G23" i="273"/>
  <c r="H22" i="273"/>
  <c r="G22" i="273"/>
  <c r="H21" i="273"/>
  <c r="C32" i="323" s="1"/>
  <c r="G21" i="273"/>
  <c r="H20" i="273"/>
  <c r="C31" i="323" s="1"/>
  <c r="G20" i="273"/>
  <c r="H19" i="273"/>
  <c r="C30" i="323" s="1"/>
  <c r="G19" i="273"/>
  <c r="H18" i="273"/>
  <c r="C29" i="323" s="1"/>
  <c r="G18" i="273"/>
  <c r="H17" i="273"/>
  <c r="C28" i="323" s="1"/>
  <c r="G17" i="273"/>
  <c r="H16" i="273"/>
  <c r="G16" i="273"/>
  <c r="H15" i="273"/>
  <c r="C25" i="323" s="1"/>
  <c r="G15" i="273"/>
  <c r="H14" i="273"/>
  <c r="C24" i="323" s="1"/>
  <c r="G14" i="273"/>
  <c r="H13" i="273"/>
  <c r="C23" i="323" s="1"/>
  <c r="G13" i="273"/>
  <c r="H12" i="273"/>
  <c r="C22" i="323" s="1"/>
  <c r="G12" i="273"/>
  <c r="H11" i="273"/>
  <c r="C21" i="323" s="1"/>
  <c r="G11" i="273"/>
  <c r="H10" i="273"/>
  <c r="C20" i="323" s="1"/>
  <c r="G10" i="273"/>
  <c r="H9" i="273"/>
  <c r="G9" i="273"/>
  <c r="H8" i="273"/>
  <c r="C15" i="323" s="1"/>
  <c r="G8" i="273"/>
  <c r="H7" i="273"/>
  <c r="C14" i="323" s="1"/>
  <c r="G7" i="273"/>
  <c r="H6" i="273"/>
  <c r="C12" i="323" s="1"/>
  <c r="G6" i="273"/>
  <c r="H5" i="273"/>
  <c r="C11" i="323" s="1"/>
  <c r="G5" i="273"/>
  <c r="H4" i="273"/>
  <c r="C10" i="323" s="1"/>
  <c r="G4" i="273"/>
  <c r="H3" i="273"/>
  <c r="C8" i="323" s="1"/>
  <c r="G3" i="273"/>
  <c r="H2" i="273"/>
  <c r="G2" i="273"/>
  <c r="U243" i="235" l="1"/>
  <c r="V244" i="235"/>
  <c r="U245" i="235"/>
  <c r="U244" i="235"/>
  <c r="EA135" i="142"/>
  <c r="D245" i="235" s="1"/>
  <c r="D244" i="235"/>
  <c r="AG18" i="333"/>
  <c r="AH18" i="333" s="1"/>
  <c r="C44" i="404"/>
  <c r="D18" i="404"/>
  <c r="C69" i="404"/>
  <c r="G76" i="404"/>
  <c r="G70" i="404"/>
  <c r="AG61" i="332"/>
  <c r="AH61" i="332" s="1"/>
  <c r="G18" i="402"/>
  <c r="AG16" i="332"/>
  <c r="AH16" i="332" s="1"/>
  <c r="D76" i="402"/>
  <c r="D69" i="402"/>
  <c r="D18" i="402"/>
  <c r="C44" i="402"/>
  <c r="D44" i="402" s="1"/>
  <c r="C70" i="402"/>
  <c r="D70" i="402" s="1"/>
  <c r="E69" i="402"/>
  <c r="E44" i="402"/>
  <c r="H18" i="402"/>
  <c r="F18" i="402"/>
  <c r="D12" i="323"/>
  <c r="D11" i="323"/>
  <c r="D24" i="323"/>
  <c r="D29" i="323"/>
  <c r="D38" i="323"/>
  <c r="D23" i="323"/>
  <c r="D32" i="323"/>
  <c r="D37" i="323"/>
  <c r="D41" i="323"/>
  <c r="D20" i="323"/>
  <c r="C26" i="323"/>
  <c r="D26" i="323" s="1"/>
  <c r="D54" i="323"/>
  <c r="D58" i="323"/>
  <c r="D67" i="323"/>
  <c r="D14" i="323"/>
  <c r="D30" i="323"/>
  <c r="D39" i="323"/>
  <c r="D55" i="323"/>
  <c r="D25" i="323"/>
  <c r="C42" i="323"/>
  <c r="D42" i="323" s="1"/>
  <c r="D35" i="323"/>
  <c r="D46" i="323"/>
  <c r="C49" i="323"/>
  <c r="D49" i="323" s="1"/>
  <c r="D51" i="323"/>
  <c r="C59" i="323"/>
  <c r="C65" i="323"/>
  <c r="D65" i="323" s="1"/>
  <c r="D63" i="323"/>
  <c r="D74" i="323"/>
  <c r="D8" i="323"/>
  <c r="C13" i="323"/>
  <c r="D10" i="323"/>
  <c r="D22" i="323"/>
  <c r="D36" i="323"/>
  <c r="D52" i="323"/>
  <c r="D64" i="323"/>
  <c r="D21" i="323"/>
  <c r="D15" i="323"/>
  <c r="D31" i="323"/>
  <c r="D40" i="323"/>
  <c r="D47" i="323"/>
  <c r="D56" i="323"/>
  <c r="C33" i="323"/>
  <c r="D33" i="323" s="1"/>
  <c r="D28" i="323"/>
  <c r="D48" i="323"/>
  <c r="D53" i="323"/>
  <c r="D57" i="323"/>
  <c r="D72" i="323"/>
  <c r="AG69" i="333" l="1"/>
  <c r="AH69" i="333" s="1"/>
  <c r="C70" i="404"/>
  <c r="D69" i="404"/>
  <c r="C76" i="404"/>
  <c r="D44" i="404"/>
  <c r="AG44" i="333"/>
  <c r="AH44" i="333" s="1"/>
  <c r="AG18" i="332"/>
  <c r="AH18" i="332" s="1"/>
  <c r="G44" i="402"/>
  <c r="AG44" i="332" s="1"/>
  <c r="AH44" i="332" s="1"/>
  <c r="G69" i="402"/>
  <c r="H44" i="402"/>
  <c r="F44" i="402"/>
  <c r="F69" i="402"/>
  <c r="E76" i="402"/>
  <c r="E70" i="402"/>
  <c r="H69" i="402"/>
  <c r="D59" i="323"/>
  <c r="C61" i="323"/>
  <c r="D61" i="323" s="1"/>
  <c r="D13" i="323"/>
  <c r="C16" i="323"/>
  <c r="D76" i="404" l="1"/>
  <c r="AG76" i="333"/>
  <c r="AH76" i="333" s="1"/>
  <c r="AG70" i="333"/>
  <c r="AH70" i="333" s="1"/>
  <c r="D70" i="404"/>
  <c r="AG69" i="332"/>
  <c r="G70" i="402"/>
  <c r="AG70" i="332" s="1"/>
  <c r="AH70" i="332" s="1"/>
  <c r="G76" i="402"/>
  <c r="H70" i="402"/>
  <c r="F70" i="402"/>
  <c r="F76" i="402"/>
  <c r="H76" i="402"/>
  <c r="D16" i="323"/>
  <c r="C18" i="323"/>
  <c r="AH69" i="332" l="1"/>
  <c r="AG76" i="332"/>
  <c r="AH76" i="332" s="1"/>
  <c r="C69" i="323"/>
  <c r="C44" i="323"/>
  <c r="D44" i="323" s="1"/>
  <c r="D18" i="323"/>
  <c r="D69" i="323" l="1"/>
  <c r="C70" i="323"/>
  <c r="D70" i="323" s="1"/>
  <c r="C76" i="323"/>
  <c r="D76" i="323" s="1"/>
  <c r="BG113" i="142" l="1"/>
  <c r="AI113" i="142" l="1"/>
  <c r="C65" i="142"/>
  <c r="C49" i="142"/>
  <c r="G230" i="277" l="1"/>
  <c r="H230" i="277"/>
  <c r="J230" i="277"/>
  <c r="K230" i="277"/>
  <c r="L230" i="277" s="1"/>
  <c r="G231" i="277"/>
  <c r="H231" i="277"/>
  <c r="J231" i="277"/>
  <c r="K231" i="277"/>
  <c r="L231" i="277" s="1"/>
  <c r="G232" i="277"/>
  <c r="H232" i="277"/>
  <c r="J232" i="277"/>
  <c r="K232" i="277"/>
  <c r="L232" i="277" s="1"/>
  <c r="G233" i="277"/>
  <c r="H233" i="277"/>
  <c r="J233" i="277"/>
  <c r="K233" i="277"/>
  <c r="L233" i="277" s="1"/>
  <c r="G234" i="277"/>
  <c r="H234" i="277"/>
  <c r="J234" i="277"/>
  <c r="K234" i="277"/>
  <c r="L234" i="277" s="1"/>
  <c r="G235" i="277"/>
  <c r="H235" i="277"/>
  <c r="J235" i="277"/>
  <c r="K235" i="277"/>
  <c r="L235" i="277" s="1"/>
  <c r="G236" i="277"/>
  <c r="H236" i="277"/>
  <c r="J236" i="277"/>
  <c r="K236" i="277"/>
  <c r="L236" i="277" s="1"/>
  <c r="G237" i="277"/>
  <c r="H237" i="277"/>
  <c r="J237" i="277"/>
  <c r="K237" i="277"/>
  <c r="L237" i="277" s="1"/>
  <c r="G238" i="277"/>
  <c r="H238" i="277"/>
  <c r="J238" i="277"/>
  <c r="K238" i="277"/>
  <c r="L238" i="277" s="1"/>
  <c r="G239" i="277"/>
  <c r="H239" i="277"/>
  <c r="J239" i="277"/>
  <c r="K239" i="277"/>
  <c r="L239" i="277" s="1"/>
  <c r="G240" i="277"/>
  <c r="H240" i="277"/>
  <c r="J240" i="277"/>
  <c r="K240" i="277"/>
  <c r="L240" i="277" s="1"/>
  <c r="G241" i="277"/>
  <c r="H241" i="277"/>
  <c r="J241" i="277"/>
  <c r="K241" i="277"/>
  <c r="L241" i="277" s="1"/>
  <c r="G242" i="277"/>
  <c r="H242" i="277"/>
  <c r="J242" i="277"/>
  <c r="K242" i="277"/>
  <c r="L242" i="277" s="1"/>
  <c r="G243" i="277"/>
  <c r="H243" i="277"/>
  <c r="J243" i="277"/>
  <c r="K243" i="277"/>
  <c r="L243" i="277" s="1"/>
  <c r="G244" i="277"/>
  <c r="H244" i="277"/>
  <c r="J244" i="277"/>
  <c r="K244" i="277"/>
  <c r="L244" i="277" s="1"/>
  <c r="G245" i="277"/>
  <c r="H245" i="277"/>
  <c r="J245" i="277"/>
  <c r="K245" i="277"/>
  <c r="L245" i="277" s="1"/>
  <c r="G246" i="277"/>
  <c r="H246" i="277"/>
  <c r="J246" i="277"/>
  <c r="K246" i="277"/>
  <c r="L246" i="277" s="1"/>
  <c r="G247" i="277"/>
  <c r="H247" i="277"/>
  <c r="J247" i="277"/>
  <c r="K247" i="277"/>
  <c r="L247" i="277" s="1"/>
  <c r="G248" i="277"/>
  <c r="H248" i="277"/>
  <c r="J248" i="277"/>
  <c r="K248" i="277"/>
  <c r="L248" i="277" s="1"/>
  <c r="G249" i="277"/>
  <c r="H249" i="277"/>
  <c r="J249" i="277"/>
  <c r="K249" i="277"/>
  <c r="L249" i="277" s="1"/>
  <c r="G250" i="277"/>
  <c r="H250" i="277"/>
  <c r="J250" i="277"/>
  <c r="K250" i="277"/>
  <c r="L250" i="277" s="1"/>
  <c r="G251" i="277"/>
  <c r="H251" i="277"/>
  <c r="J251" i="277"/>
  <c r="K251" i="277"/>
  <c r="L251" i="277" s="1"/>
  <c r="G252" i="277"/>
  <c r="H252" i="277"/>
  <c r="J252" i="277"/>
  <c r="K252" i="277"/>
  <c r="L252" i="277" s="1"/>
  <c r="G253" i="277"/>
  <c r="H253" i="277"/>
  <c r="J253" i="277"/>
  <c r="K253" i="277"/>
  <c r="L253" i="277" s="1"/>
  <c r="G254" i="277"/>
  <c r="H254" i="277"/>
  <c r="J254" i="277"/>
  <c r="K254" i="277"/>
  <c r="L254" i="277" s="1"/>
  <c r="G255" i="277"/>
  <c r="H255" i="277"/>
  <c r="J255" i="277"/>
  <c r="K255" i="277"/>
  <c r="L255" i="277" s="1"/>
  <c r="G256" i="277"/>
  <c r="H256" i="277"/>
  <c r="J256" i="277"/>
  <c r="K256" i="277"/>
  <c r="L256" i="277" s="1"/>
  <c r="G257" i="277"/>
  <c r="H257" i="277"/>
  <c r="J257" i="277"/>
  <c r="K257" i="277"/>
  <c r="L257" i="277" s="1"/>
  <c r="G258" i="277"/>
  <c r="H258" i="277"/>
  <c r="J258" i="277"/>
  <c r="K258" i="277"/>
  <c r="L258" i="277" s="1"/>
  <c r="G259" i="277"/>
  <c r="H259" i="277"/>
  <c r="J259" i="277"/>
  <c r="K259" i="277"/>
  <c r="L259" i="277" s="1"/>
  <c r="G260" i="277"/>
  <c r="H260" i="277"/>
  <c r="J260" i="277"/>
  <c r="K260" i="277"/>
  <c r="L260" i="277" s="1"/>
  <c r="G261" i="277"/>
  <c r="H261" i="277"/>
  <c r="J261" i="277"/>
  <c r="K261" i="277"/>
  <c r="L261" i="277" s="1"/>
  <c r="G262" i="277"/>
  <c r="H262" i="277"/>
  <c r="J262" i="277"/>
  <c r="K262" i="277"/>
  <c r="L262" i="277" s="1"/>
  <c r="G263" i="277"/>
  <c r="H263" i="277"/>
  <c r="J263" i="277"/>
  <c r="K263" i="277"/>
  <c r="L263" i="277" s="1"/>
  <c r="G264" i="277"/>
  <c r="H264" i="277"/>
  <c r="J264" i="277"/>
  <c r="K264" i="277"/>
  <c r="L264" i="277" s="1"/>
  <c r="G265" i="277"/>
  <c r="H265" i="277"/>
  <c r="J265" i="277"/>
  <c r="K265" i="277"/>
  <c r="L265" i="277" s="1"/>
  <c r="G266" i="277"/>
  <c r="H266" i="277"/>
  <c r="J266" i="277"/>
  <c r="K266" i="277"/>
  <c r="L266" i="277" s="1"/>
  <c r="G267" i="277"/>
  <c r="H267" i="277"/>
  <c r="J267" i="277"/>
  <c r="K267" i="277"/>
  <c r="L267" i="277" s="1"/>
  <c r="G268" i="277"/>
  <c r="H268" i="277"/>
  <c r="J268" i="277"/>
  <c r="K268" i="277"/>
  <c r="L268" i="277" s="1"/>
  <c r="G269" i="277"/>
  <c r="H269" i="277"/>
  <c r="J269" i="277"/>
  <c r="K269" i="277"/>
  <c r="L269" i="277" s="1"/>
  <c r="G270" i="277"/>
  <c r="H270" i="277"/>
  <c r="J270" i="277"/>
  <c r="K270" i="277"/>
  <c r="L270" i="277" s="1"/>
  <c r="G271" i="277"/>
  <c r="H271" i="277"/>
  <c r="J271" i="277"/>
  <c r="K271" i="277"/>
  <c r="L271" i="277" s="1"/>
  <c r="G272" i="277"/>
  <c r="H272" i="277"/>
  <c r="J272" i="277"/>
  <c r="K272" i="277"/>
  <c r="L272" i="277" s="1"/>
  <c r="G273" i="277"/>
  <c r="H273" i="277"/>
  <c r="J273" i="277"/>
  <c r="K273" i="277"/>
  <c r="L273" i="277" s="1"/>
  <c r="G274" i="277"/>
  <c r="H274" i="277"/>
  <c r="J274" i="277"/>
  <c r="K274" i="277"/>
  <c r="L274" i="277" s="1"/>
  <c r="G275" i="277"/>
  <c r="H275" i="277"/>
  <c r="J275" i="277"/>
  <c r="K275" i="277"/>
  <c r="L275" i="277" s="1"/>
  <c r="G276" i="277"/>
  <c r="H276" i="277"/>
  <c r="J276" i="277"/>
  <c r="K276" i="277"/>
  <c r="L276" i="277" s="1"/>
  <c r="G277" i="277"/>
  <c r="H277" i="277"/>
  <c r="J277" i="277"/>
  <c r="K277" i="277"/>
  <c r="L277" i="277" s="1"/>
  <c r="G278" i="277"/>
  <c r="H278" i="277"/>
  <c r="J278" i="277"/>
  <c r="K278" i="277"/>
  <c r="L278" i="277" s="1"/>
  <c r="G279" i="277"/>
  <c r="H279" i="277"/>
  <c r="J279" i="277"/>
  <c r="K279" i="277"/>
  <c r="L279" i="277" s="1"/>
  <c r="G280" i="277"/>
  <c r="H280" i="277"/>
  <c r="J280" i="277"/>
  <c r="K280" i="277"/>
  <c r="L280" i="277" s="1"/>
  <c r="G281" i="277"/>
  <c r="H281" i="277"/>
  <c r="J281" i="277"/>
  <c r="K281" i="277"/>
  <c r="L281" i="277" s="1"/>
  <c r="G282" i="277"/>
  <c r="H282" i="277"/>
  <c r="J282" i="277"/>
  <c r="K282" i="277"/>
  <c r="L282" i="277" s="1"/>
  <c r="G283" i="277"/>
  <c r="H283" i="277"/>
  <c r="J283" i="277"/>
  <c r="K283" i="277"/>
  <c r="L283" i="277" s="1"/>
  <c r="G284" i="277"/>
  <c r="H284" i="277"/>
  <c r="J284" i="277"/>
  <c r="K284" i="277"/>
  <c r="L284" i="277" s="1"/>
  <c r="G285" i="277"/>
  <c r="H285" i="277"/>
  <c r="J285" i="277"/>
  <c r="K285" i="277"/>
  <c r="L285" i="277" s="1"/>
  <c r="G286" i="277"/>
  <c r="H286" i="277"/>
  <c r="I286" i="277"/>
  <c r="I285" i="277" s="1"/>
  <c r="I284" i="277" s="1"/>
  <c r="I283" i="277" s="1"/>
  <c r="I282" i="277" s="1"/>
  <c r="I281" i="277" s="1"/>
  <c r="I280" i="277" s="1"/>
  <c r="I279" i="277" s="1"/>
  <c r="I278" i="277" s="1"/>
  <c r="I277" i="277" s="1"/>
  <c r="I276" i="277" s="1"/>
  <c r="I275" i="277" s="1"/>
  <c r="I274" i="277" s="1"/>
  <c r="I273" i="277" s="1"/>
  <c r="I272" i="277" s="1"/>
  <c r="I271" i="277" s="1"/>
  <c r="I270" i="277" s="1"/>
  <c r="I269" i="277" s="1"/>
  <c r="I268" i="277" s="1"/>
  <c r="I267" i="277" s="1"/>
  <c r="I266" i="277" s="1"/>
  <c r="I265" i="277" s="1"/>
  <c r="I264" i="277" s="1"/>
  <c r="I263" i="277" s="1"/>
  <c r="I262" i="277" s="1"/>
  <c r="I261" i="277" s="1"/>
  <c r="I260" i="277" s="1"/>
  <c r="I259" i="277" s="1"/>
  <c r="I258" i="277" s="1"/>
  <c r="I257" i="277" s="1"/>
  <c r="I256" i="277" s="1"/>
  <c r="I255" i="277" s="1"/>
  <c r="I254" i="277" s="1"/>
  <c r="I253" i="277" s="1"/>
  <c r="I252" i="277" s="1"/>
  <c r="I251" i="277" s="1"/>
  <c r="I250" i="277" s="1"/>
  <c r="I249" i="277" s="1"/>
  <c r="I248" i="277" s="1"/>
  <c r="I247" i="277" s="1"/>
  <c r="I246" i="277" s="1"/>
  <c r="I245" i="277" s="1"/>
  <c r="I244" i="277" s="1"/>
  <c r="I243" i="277" s="1"/>
  <c r="I242" i="277" s="1"/>
  <c r="I241" i="277" s="1"/>
  <c r="I240" i="277" s="1"/>
  <c r="I239" i="277" s="1"/>
  <c r="I238" i="277" s="1"/>
  <c r="I237" i="277" s="1"/>
  <c r="I236" i="277" s="1"/>
  <c r="I235" i="277" s="1"/>
  <c r="I234" i="277" s="1"/>
  <c r="I233" i="277" s="1"/>
  <c r="I232" i="277" s="1"/>
  <c r="I231" i="277" s="1"/>
  <c r="I230" i="277" s="1"/>
  <c r="J286" i="277"/>
  <c r="K286" i="277"/>
  <c r="L286" i="277" s="1"/>
  <c r="G218" i="276"/>
  <c r="H218" i="276"/>
  <c r="J218" i="276"/>
  <c r="K218" i="276"/>
  <c r="L218" i="276" s="1"/>
  <c r="G219" i="276"/>
  <c r="H219" i="276"/>
  <c r="J219" i="276"/>
  <c r="K219" i="276"/>
  <c r="L219" i="276" s="1"/>
  <c r="G220" i="276"/>
  <c r="H220" i="276"/>
  <c r="J220" i="276"/>
  <c r="K220" i="276"/>
  <c r="L220" i="276" s="1"/>
  <c r="G221" i="276"/>
  <c r="H221" i="276"/>
  <c r="J221" i="276"/>
  <c r="K221" i="276"/>
  <c r="L221" i="276" s="1"/>
  <c r="G222" i="276"/>
  <c r="H222" i="276"/>
  <c r="J222" i="276"/>
  <c r="K222" i="276"/>
  <c r="L222" i="276" s="1"/>
  <c r="G223" i="276"/>
  <c r="H223" i="276"/>
  <c r="J223" i="276"/>
  <c r="K223" i="276"/>
  <c r="L223" i="276" s="1"/>
  <c r="G224" i="276"/>
  <c r="H224" i="276"/>
  <c r="J224" i="276"/>
  <c r="K224" i="276"/>
  <c r="L224" i="276" s="1"/>
  <c r="G225" i="276"/>
  <c r="H225" i="276"/>
  <c r="J225" i="276"/>
  <c r="K225" i="276"/>
  <c r="L225" i="276" s="1"/>
  <c r="G226" i="276"/>
  <c r="H226" i="276"/>
  <c r="J226" i="276"/>
  <c r="K226" i="276"/>
  <c r="L226" i="276" s="1"/>
  <c r="G227" i="276"/>
  <c r="H227" i="276"/>
  <c r="J227" i="276"/>
  <c r="K227" i="276"/>
  <c r="L227" i="276" s="1"/>
  <c r="G228" i="276"/>
  <c r="H228" i="276"/>
  <c r="J228" i="276"/>
  <c r="K228" i="276"/>
  <c r="L228" i="276" s="1"/>
  <c r="G229" i="276"/>
  <c r="H229" i="276"/>
  <c r="J229" i="276"/>
  <c r="K229" i="276"/>
  <c r="L229" i="276" s="1"/>
  <c r="G230" i="276"/>
  <c r="H230" i="276"/>
  <c r="J230" i="276"/>
  <c r="K230" i="276"/>
  <c r="L230" i="276" s="1"/>
  <c r="G231" i="276"/>
  <c r="H231" i="276"/>
  <c r="J231" i="276"/>
  <c r="K231" i="276"/>
  <c r="L231" i="276" s="1"/>
  <c r="G232" i="276"/>
  <c r="H232" i="276"/>
  <c r="J232" i="276"/>
  <c r="K232" i="276"/>
  <c r="L232" i="276" s="1"/>
  <c r="G233" i="276"/>
  <c r="H233" i="276"/>
  <c r="J233" i="276"/>
  <c r="K233" i="276"/>
  <c r="L233" i="276"/>
  <c r="G234" i="276"/>
  <c r="H234" i="276"/>
  <c r="J234" i="276"/>
  <c r="K234" i="276"/>
  <c r="L234" i="276" s="1"/>
  <c r="G235" i="276"/>
  <c r="H235" i="276"/>
  <c r="J235" i="276"/>
  <c r="K235" i="276"/>
  <c r="L235" i="276" s="1"/>
  <c r="G236" i="276"/>
  <c r="H236" i="276"/>
  <c r="J236" i="276"/>
  <c r="K236" i="276"/>
  <c r="L236" i="276" s="1"/>
  <c r="G237" i="276"/>
  <c r="H237" i="276"/>
  <c r="J237" i="276"/>
  <c r="K237" i="276"/>
  <c r="L237" i="276" s="1"/>
  <c r="G238" i="276"/>
  <c r="H238" i="276"/>
  <c r="J238" i="276"/>
  <c r="K238" i="276"/>
  <c r="L238" i="276" s="1"/>
  <c r="G239" i="276"/>
  <c r="H239" i="276"/>
  <c r="J239" i="276"/>
  <c r="K239" i="276"/>
  <c r="L239" i="276" s="1"/>
  <c r="G240" i="276"/>
  <c r="H240" i="276"/>
  <c r="J240" i="276"/>
  <c r="K240" i="276"/>
  <c r="L240" i="276" s="1"/>
  <c r="G241" i="276"/>
  <c r="H241" i="276"/>
  <c r="J241" i="276"/>
  <c r="K241" i="276"/>
  <c r="L241" i="276" s="1"/>
  <c r="G242" i="276"/>
  <c r="H242" i="276"/>
  <c r="J242" i="276"/>
  <c r="K242" i="276"/>
  <c r="L242" i="276" s="1"/>
  <c r="G243" i="276"/>
  <c r="H243" i="276"/>
  <c r="J243" i="276"/>
  <c r="K243" i="276"/>
  <c r="L243" i="276" s="1"/>
  <c r="G244" i="276"/>
  <c r="H244" i="276"/>
  <c r="J244" i="276"/>
  <c r="K244" i="276"/>
  <c r="L244" i="276" s="1"/>
  <c r="G245" i="276"/>
  <c r="H245" i="276"/>
  <c r="J245" i="276"/>
  <c r="K245" i="276"/>
  <c r="L245" i="276" s="1"/>
  <c r="G246" i="276"/>
  <c r="H246" i="276"/>
  <c r="J246" i="276"/>
  <c r="K246" i="276"/>
  <c r="L246" i="276" s="1"/>
  <c r="G247" i="276"/>
  <c r="H247" i="276"/>
  <c r="J247" i="276"/>
  <c r="K247" i="276"/>
  <c r="L247" i="276" s="1"/>
  <c r="G248" i="276"/>
  <c r="H248" i="276"/>
  <c r="J248" i="276"/>
  <c r="K248" i="276"/>
  <c r="L248" i="276"/>
  <c r="G249" i="276"/>
  <c r="H249" i="276"/>
  <c r="J249" i="276"/>
  <c r="K249" i="276"/>
  <c r="L249" i="276" s="1"/>
  <c r="G250" i="276"/>
  <c r="H250" i="276"/>
  <c r="J250" i="276"/>
  <c r="K250" i="276"/>
  <c r="L250" i="276" s="1"/>
  <c r="G251" i="276"/>
  <c r="H251" i="276"/>
  <c r="J251" i="276"/>
  <c r="K251" i="276"/>
  <c r="L251" i="276" s="1"/>
  <c r="G252" i="276"/>
  <c r="H252" i="276"/>
  <c r="J252" i="276"/>
  <c r="K252" i="276"/>
  <c r="L252" i="276" s="1"/>
  <c r="G253" i="276"/>
  <c r="H253" i="276"/>
  <c r="J253" i="276"/>
  <c r="K253" i="276"/>
  <c r="L253" i="276" s="1"/>
  <c r="G254" i="276"/>
  <c r="H254" i="276"/>
  <c r="J254" i="276"/>
  <c r="K254" i="276"/>
  <c r="L254" i="276" s="1"/>
  <c r="G255" i="276"/>
  <c r="H255" i="276"/>
  <c r="J255" i="276"/>
  <c r="K255" i="276"/>
  <c r="L255" i="276" s="1"/>
  <c r="G256" i="276"/>
  <c r="H256" i="276"/>
  <c r="J256" i="276"/>
  <c r="K256" i="276"/>
  <c r="L256" i="276" s="1"/>
  <c r="G257" i="276"/>
  <c r="H257" i="276"/>
  <c r="J257" i="276"/>
  <c r="K257" i="276"/>
  <c r="L257" i="276" s="1"/>
  <c r="G258" i="276"/>
  <c r="H258" i="276"/>
  <c r="J258" i="276"/>
  <c r="K258" i="276"/>
  <c r="L258" i="276" s="1"/>
  <c r="G259" i="276"/>
  <c r="H259" i="276"/>
  <c r="J259" i="276"/>
  <c r="K259" i="276"/>
  <c r="L259" i="276" s="1"/>
  <c r="G260" i="276"/>
  <c r="H260" i="276"/>
  <c r="J260" i="276"/>
  <c r="K260" i="276"/>
  <c r="L260" i="276" s="1"/>
  <c r="G261" i="276"/>
  <c r="H261" i="276"/>
  <c r="J261" i="276"/>
  <c r="K261" i="276"/>
  <c r="L261" i="276" s="1"/>
  <c r="G262" i="276"/>
  <c r="H262" i="276"/>
  <c r="J262" i="276"/>
  <c r="K262" i="276"/>
  <c r="L262" i="276" s="1"/>
  <c r="G263" i="276"/>
  <c r="H263" i="276"/>
  <c r="J263" i="276"/>
  <c r="K263" i="276"/>
  <c r="L263" i="276" s="1"/>
  <c r="G264" i="276"/>
  <c r="H264" i="276"/>
  <c r="J264" i="276"/>
  <c r="K264" i="276"/>
  <c r="L264" i="276" s="1"/>
  <c r="G265" i="276"/>
  <c r="H265" i="276"/>
  <c r="J265" i="276"/>
  <c r="K265" i="276"/>
  <c r="L265" i="276" s="1"/>
  <c r="G266" i="276"/>
  <c r="H266" i="276"/>
  <c r="J266" i="276"/>
  <c r="K266" i="276"/>
  <c r="L266" i="276" s="1"/>
  <c r="G267" i="276"/>
  <c r="H267" i="276"/>
  <c r="J267" i="276"/>
  <c r="K267" i="276"/>
  <c r="L267" i="276" s="1"/>
  <c r="G268" i="276"/>
  <c r="H268" i="276"/>
  <c r="J268" i="276"/>
  <c r="K268" i="276"/>
  <c r="L268" i="276" s="1"/>
  <c r="G269" i="276"/>
  <c r="H269" i="276"/>
  <c r="J269" i="276"/>
  <c r="K269" i="276"/>
  <c r="L269" i="276" s="1"/>
  <c r="G270" i="276"/>
  <c r="H270" i="276"/>
  <c r="J270" i="276"/>
  <c r="K270" i="276"/>
  <c r="L270" i="276" s="1"/>
  <c r="G271" i="276"/>
  <c r="H271" i="276"/>
  <c r="J271" i="276"/>
  <c r="K271" i="276"/>
  <c r="L271" i="276" s="1"/>
  <c r="G272" i="276"/>
  <c r="H272" i="276"/>
  <c r="J272" i="276"/>
  <c r="K272" i="276"/>
  <c r="L272" i="276" s="1"/>
  <c r="G273" i="276"/>
  <c r="H273" i="276"/>
  <c r="J273" i="276"/>
  <c r="K273" i="276"/>
  <c r="L273" i="276" s="1"/>
  <c r="G274" i="276"/>
  <c r="H274" i="276"/>
  <c r="J274" i="276"/>
  <c r="K274" i="276"/>
  <c r="L274" i="276" s="1"/>
  <c r="G275" i="276"/>
  <c r="H275" i="276"/>
  <c r="J275" i="276"/>
  <c r="K275" i="276"/>
  <c r="L275" i="276" s="1"/>
  <c r="G276" i="276"/>
  <c r="H276" i="276"/>
  <c r="J276" i="276"/>
  <c r="K276" i="276"/>
  <c r="L276" i="276" s="1"/>
  <c r="G277" i="276"/>
  <c r="H277" i="276"/>
  <c r="J277" i="276"/>
  <c r="K277" i="276"/>
  <c r="L277" i="276" s="1"/>
  <c r="G278" i="276"/>
  <c r="H278" i="276"/>
  <c r="J278" i="276"/>
  <c r="K278" i="276"/>
  <c r="L278" i="276" s="1"/>
  <c r="G279" i="276"/>
  <c r="H279" i="276"/>
  <c r="J279" i="276"/>
  <c r="K279" i="276"/>
  <c r="L279" i="276" s="1"/>
  <c r="G280" i="276"/>
  <c r="H280" i="276"/>
  <c r="J280" i="276"/>
  <c r="K280" i="276"/>
  <c r="L280" i="276" s="1"/>
  <c r="G281" i="276"/>
  <c r="H281" i="276"/>
  <c r="J281" i="276"/>
  <c r="K281" i="276"/>
  <c r="L281" i="276" s="1"/>
  <c r="G282" i="276"/>
  <c r="H282" i="276"/>
  <c r="J282" i="276"/>
  <c r="K282" i="276"/>
  <c r="L282" i="276" s="1"/>
  <c r="G283" i="276"/>
  <c r="H283" i="276"/>
  <c r="J283" i="276"/>
  <c r="K283" i="276"/>
  <c r="L283" i="276" s="1"/>
  <c r="G284" i="276"/>
  <c r="H284" i="276"/>
  <c r="J284" i="276"/>
  <c r="K284" i="276"/>
  <c r="L284" i="276" s="1"/>
  <c r="G285" i="276"/>
  <c r="H285" i="276"/>
  <c r="J285" i="276"/>
  <c r="K285" i="276"/>
  <c r="L285" i="276" s="1"/>
  <c r="G286" i="276"/>
  <c r="H286" i="276"/>
  <c r="J286" i="276"/>
  <c r="K286" i="276"/>
  <c r="L286" i="276" s="1"/>
  <c r="G287" i="276"/>
  <c r="H287" i="276"/>
  <c r="J287" i="276"/>
  <c r="K287" i="276"/>
  <c r="L287" i="276" s="1"/>
  <c r="G288" i="276"/>
  <c r="H288" i="276"/>
  <c r="J288" i="276"/>
  <c r="K288" i="276"/>
  <c r="L288" i="276" s="1"/>
  <c r="G289" i="276"/>
  <c r="H289" i="276"/>
  <c r="J289" i="276"/>
  <c r="K289" i="276"/>
  <c r="L289" i="276"/>
  <c r="G290" i="276"/>
  <c r="H290" i="276"/>
  <c r="J290" i="276"/>
  <c r="K290" i="276"/>
  <c r="L290" i="276" s="1"/>
  <c r="G291" i="276"/>
  <c r="H291" i="276"/>
  <c r="J291" i="276"/>
  <c r="K291" i="276"/>
  <c r="L291" i="276" s="1"/>
  <c r="G292" i="276"/>
  <c r="H292" i="276"/>
  <c r="J292" i="276"/>
  <c r="K292" i="276"/>
  <c r="L292" i="276" s="1"/>
  <c r="G293" i="276"/>
  <c r="H293" i="276"/>
  <c r="J293" i="276"/>
  <c r="K293" i="276"/>
  <c r="L293" i="276" s="1"/>
  <c r="G294" i="276"/>
  <c r="H294" i="276"/>
  <c r="J294" i="276"/>
  <c r="K294" i="276"/>
  <c r="L294" i="276" s="1"/>
  <c r="G295" i="276"/>
  <c r="H295" i="276"/>
  <c r="J295" i="276"/>
  <c r="K295" i="276"/>
  <c r="L295" i="276" s="1"/>
  <c r="G296" i="276"/>
  <c r="H296" i="276"/>
  <c r="J296" i="276"/>
  <c r="K296" i="276"/>
  <c r="L296" i="276" s="1"/>
  <c r="G297" i="276"/>
  <c r="H297" i="276"/>
  <c r="J297" i="276"/>
  <c r="K297" i="276"/>
  <c r="L297" i="276" s="1"/>
  <c r="G298" i="276"/>
  <c r="H298" i="276"/>
  <c r="J298" i="276"/>
  <c r="K298" i="276"/>
  <c r="L298" i="276" s="1"/>
  <c r="G299" i="276"/>
  <c r="H299" i="276"/>
  <c r="J299" i="276"/>
  <c r="K299" i="276"/>
  <c r="L299" i="276" s="1"/>
  <c r="G300" i="276"/>
  <c r="H300" i="276"/>
  <c r="J300" i="276"/>
  <c r="K300" i="276"/>
  <c r="L300" i="276" s="1"/>
  <c r="G301" i="276"/>
  <c r="H301" i="276"/>
  <c r="J301" i="276"/>
  <c r="K301" i="276"/>
  <c r="L301" i="276" s="1"/>
  <c r="G302" i="276"/>
  <c r="H302" i="276"/>
  <c r="J302" i="276"/>
  <c r="K302" i="276"/>
  <c r="L302" i="276" s="1"/>
  <c r="G303" i="276"/>
  <c r="H303" i="276"/>
  <c r="J303" i="276"/>
  <c r="K303" i="276"/>
  <c r="L303" i="276" s="1"/>
  <c r="G304" i="276"/>
  <c r="H304" i="276"/>
  <c r="J304" i="276"/>
  <c r="K304" i="276"/>
  <c r="L304" i="276" s="1"/>
  <c r="G305" i="276"/>
  <c r="H305" i="276"/>
  <c r="I305" i="276"/>
  <c r="I304" i="276" s="1"/>
  <c r="I303" i="276" s="1"/>
  <c r="I302" i="276" s="1"/>
  <c r="I301" i="276" s="1"/>
  <c r="I300" i="276" s="1"/>
  <c r="I299" i="276" s="1"/>
  <c r="I298" i="276" s="1"/>
  <c r="I297" i="276" s="1"/>
  <c r="I296" i="276" s="1"/>
  <c r="I295" i="276" s="1"/>
  <c r="I294" i="276" s="1"/>
  <c r="I293" i="276" s="1"/>
  <c r="I292" i="276" s="1"/>
  <c r="I291" i="276" s="1"/>
  <c r="I290" i="276" s="1"/>
  <c r="I289" i="276" s="1"/>
  <c r="I288" i="276" s="1"/>
  <c r="I287" i="276" s="1"/>
  <c r="I286" i="276" s="1"/>
  <c r="I285" i="276" s="1"/>
  <c r="I284" i="276" s="1"/>
  <c r="I283" i="276" s="1"/>
  <c r="I282" i="276" s="1"/>
  <c r="I281" i="276" s="1"/>
  <c r="I280" i="276" s="1"/>
  <c r="I279" i="276" s="1"/>
  <c r="I278" i="276" s="1"/>
  <c r="I277" i="276" s="1"/>
  <c r="I276" i="276" s="1"/>
  <c r="I275" i="276" s="1"/>
  <c r="I274" i="276" s="1"/>
  <c r="I273" i="276" s="1"/>
  <c r="I272" i="276" s="1"/>
  <c r="I271" i="276" s="1"/>
  <c r="I270" i="276" s="1"/>
  <c r="I269" i="276" s="1"/>
  <c r="I268" i="276" s="1"/>
  <c r="I267" i="276" s="1"/>
  <c r="I266" i="276" s="1"/>
  <c r="I265" i="276" s="1"/>
  <c r="I264" i="276" s="1"/>
  <c r="I263" i="276" s="1"/>
  <c r="I262" i="276" s="1"/>
  <c r="I261" i="276" s="1"/>
  <c r="I260" i="276" s="1"/>
  <c r="I259" i="276" s="1"/>
  <c r="I258" i="276" s="1"/>
  <c r="I257" i="276" s="1"/>
  <c r="I256" i="276" s="1"/>
  <c r="I255" i="276" s="1"/>
  <c r="I254" i="276" s="1"/>
  <c r="I253" i="276" s="1"/>
  <c r="I252" i="276" s="1"/>
  <c r="I251" i="276" s="1"/>
  <c r="I250" i="276" s="1"/>
  <c r="I249" i="276" s="1"/>
  <c r="I248" i="276" s="1"/>
  <c r="I247" i="276" s="1"/>
  <c r="I246" i="276" s="1"/>
  <c r="I245" i="276" s="1"/>
  <c r="I244" i="276" s="1"/>
  <c r="I243" i="276" s="1"/>
  <c r="I242" i="276" s="1"/>
  <c r="I241" i="276" s="1"/>
  <c r="I240" i="276" s="1"/>
  <c r="I239" i="276" s="1"/>
  <c r="I238" i="276" s="1"/>
  <c r="I237" i="276" s="1"/>
  <c r="I236" i="276" s="1"/>
  <c r="I235" i="276" s="1"/>
  <c r="I234" i="276" s="1"/>
  <c r="I233" i="276" s="1"/>
  <c r="I232" i="276" s="1"/>
  <c r="I231" i="276" s="1"/>
  <c r="I230" i="276" s="1"/>
  <c r="I229" i="276" s="1"/>
  <c r="I228" i="276" s="1"/>
  <c r="I227" i="276" s="1"/>
  <c r="I226" i="276" s="1"/>
  <c r="I225" i="276" s="1"/>
  <c r="I224" i="276" s="1"/>
  <c r="I223" i="276" s="1"/>
  <c r="I222" i="276" s="1"/>
  <c r="I221" i="276" s="1"/>
  <c r="I220" i="276" s="1"/>
  <c r="I219" i="276" s="1"/>
  <c r="I218" i="276" s="1"/>
  <c r="J305" i="276"/>
  <c r="K305" i="276"/>
  <c r="L305" i="276" s="1"/>
  <c r="G266" i="275"/>
  <c r="H266" i="275"/>
  <c r="I266" i="275"/>
  <c r="J266" i="275"/>
  <c r="K266" i="275"/>
  <c r="L266" i="275" s="1"/>
  <c r="G267" i="275"/>
  <c r="H267" i="275"/>
  <c r="I267" i="275"/>
  <c r="J267" i="275"/>
  <c r="K267" i="275"/>
  <c r="L267" i="275" s="1"/>
  <c r="G268" i="275"/>
  <c r="H268" i="275"/>
  <c r="I268" i="275"/>
  <c r="J268" i="275"/>
  <c r="K268" i="275"/>
  <c r="L268" i="275" s="1"/>
  <c r="G269" i="275"/>
  <c r="H269" i="275"/>
  <c r="I269" i="275"/>
  <c r="J269" i="275"/>
  <c r="K269" i="275"/>
  <c r="L269" i="275" s="1"/>
  <c r="G270" i="275"/>
  <c r="H270" i="275"/>
  <c r="I270" i="275"/>
  <c r="J270" i="275"/>
  <c r="K270" i="275"/>
  <c r="L270" i="275" s="1"/>
  <c r="G271" i="275"/>
  <c r="H271" i="275"/>
  <c r="I271" i="275"/>
  <c r="J271" i="275"/>
  <c r="K271" i="275"/>
  <c r="L271" i="275" s="1"/>
  <c r="G268" i="274"/>
  <c r="H268" i="274"/>
  <c r="J268" i="274"/>
  <c r="K268" i="274"/>
  <c r="L268" i="274" s="1"/>
  <c r="G269" i="274"/>
  <c r="H269" i="274"/>
  <c r="J269" i="274"/>
  <c r="K269" i="274"/>
  <c r="L269" i="274" s="1"/>
  <c r="G270" i="274"/>
  <c r="H270" i="274"/>
  <c r="J270" i="274"/>
  <c r="K270" i="274"/>
  <c r="L270" i="274" s="1"/>
  <c r="G271" i="274"/>
  <c r="H271" i="274"/>
  <c r="J271" i="274"/>
  <c r="K271" i="274"/>
  <c r="L271" i="274" s="1"/>
  <c r="G272" i="274"/>
  <c r="H272" i="274"/>
  <c r="J272" i="274"/>
  <c r="K272" i="274"/>
  <c r="L272" i="274" s="1"/>
  <c r="G273" i="274"/>
  <c r="H273" i="274"/>
  <c r="J273" i="274"/>
  <c r="K273" i="274"/>
  <c r="L273" i="274" s="1"/>
  <c r="G274" i="274"/>
  <c r="H274" i="274"/>
  <c r="J274" i="274"/>
  <c r="K274" i="274"/>
  <c r="L274" i="274" s="1"/>
  <c r="G275" i="274"/>
  <c r="H275" i="274"/>
  <c r="J275" i="274"/>
  <c r="K275" i="274"/>
  <c r="L275" i="274" s="1"/>
  <c r="G276" i="274"/>
  <c r="H276" i="274"/>
  <c r="J276" i="274"/>
  <c r="K276" i="274"/>
  <c r="L276" i="274" s="1"/>
  <c r="G277" i="274"/>
  <c r="H277" i="274"/>
  <c r="J277" i="274"/>
  <c r="K277" i="274"/>
  <c r="L277" i="274" s="1"/>
  <c r="G278" i="274"/>
  <c r="H278" i="274"/>
  <c r="J278" i="274"/>
  <c r="L278" i="274"/>
  <c r="G279" i="274"/>
  <c r="H279" i="274"/>
  <c r="J279" i="274"/>
  <c r="K279" i="274"/>
  <c r="L279" i="274" s="1"/>
  <c r="G280" i="274"/>
  <c r="H280" i="274"/>
  <c r="J280" i="274"/>
  <c r="K280" i="274"/>
  <c r="L280" i="274" s="1"/>
  <c r="G281" i="274"/>
  <c r="J281" i="274"/>
  <c r="K281" i="274"/>
  <c r="L281" i="274" s="1"/>
  <c r="G282" i="274"/>
  <c r="H282" i="274"/>
  <c r="J282" i="274"/>
  <c r="K282" i="274"/>
  <c r="L282" i="274" s="1"/>
  <c r="G283" i="274"/>
  <c r="H283" i="274"/>
  <c r="I283" i="274"/>
  <c r="I282" i="274" s="1"/>
  <c r="I281" i="274" s="1"/>
  <c r="I280" i="274" s="1"/>
  <c r="I279" i="274" s="1"/>
  <c r="I278" i="274" s="1"/>
  <c r="I277" i="274" s="1"/>
  <c r="I276" i="274" s="1"/>
  <c r="I275" i="274" s="1"/>
  <c r="I274" i="274" s="1"/>
  <c r="I273" i="274" s="1"/>
  <c r="I272" i="274" s="1"/>
  <c r="I271" i="274" s="1"/>
  <c r="I270" i="274" s="1"/>
  <c r="I269" i="274" s="1"/>
  <c r="I268" i="274" s="1"/>
  <c r="J283" i="274"/>
  <c r="K283" i="274"/>
  <c r="L283" i="274" s="1"/>
  <c r="G250" i="272"/>
  <c r="H250" i="272"/>
  <c r="J250" i="272"/>
  <c r="K250" i="272"/>
  <c r="L250" i="272" s="1"/>
  <c r="G251" i="272"/>
  <c r="H251" i="272"/>
  <c r="J251" i="272"/>
  <c r="K251" i="272"/>
  <c r="L251" i="272" s="1"/>
  <c r="G252" i="272"/>
  <c r="H252" i="272"/>
  <c r="J252" i="272"/>
  <c r="K252" i="272"/>
  <c r="L252" i="272" s="1"/>
  <c r="G253" i="272"/>
  <c r="H253" i="272"/>
  <c r="J253" i="272"/>
  <c r="K253" i="272"/>
  <c r="L253" i="272" s="1"/>
  <c r="G254" i="272"/>
  <c r="H254" i="272"/>
  <c r="J254" i="272"/>
  <c r="K254" i="272"/>
  <c r="L254" i="272" s="1"/>
  <c r="G255" i="272"/>
  <c r="H255" i="272"/>
  <c r="J255" i="272"/>
  <c r="K255" i="272"/>
  <c r="L255" i="272" s="1"/>
  <c r="G256" i="272"/>
  <c r="H256" i="272"/>
  <c r="J256" i="272"/>
  <c r="K256" i="272"/>
  <c r="L256" i="272" s="1"/>
  <c r="G257" i="272"/>
  <c r="H257" i="272"/>
  <c r="I257" i="272"/>
  <c r="I256" i="272" s="1"/>
  <c r="I255" i="272" s="1"/>
  <c r="I254" i="272" s="1"/>
  <c r="I253" i="272" s="1"/>
  <c r="I252" i="272" s="1"/>
  <c r="I251" i="272" s="1"/>
  <c r="I250" i="272" s="1"/>
  <c r="J257" i="272"/>
  <c r="K257" i="272"/>
  <c r="L257" i="272" s="1"/>
  <c r="G207" i="271"/>
  <c r="H207" i="271"/>
  <c r="J207" i="271"/>
  <c r="K207" i="271"/>
  <c r="L207" i="271" s="1"/>
  <c r="G208" i="271"/>
  <c r="H208" i="271"/>
  <c r="J208" i="271"/>
  <c r="K208" i="271"/>
  <c r="L208" i="271" s="1"/>
  <c r="G209" i="271"/>
  <c r="H209" i="271"/>
  <c r="J209" i="271"/>
  <c r="K209" i="271"/>
  <c r="L209" i="271" s="1"/>
  <c r="G210" i="271"/>
  <c r="H210" i="271"/>
  <c r="J210" i="271"/>
  <c r="K210" i="271"/>
  <c r="L210" i="271" s="1"/>
  <c r="G211" i="271"/>
  <c r="H211" i="271"/>
  <c r="J211" i="271"/>
  <c r="K211" i="271"/>
  <c r="L211" i="271" s="1"/>
  <c r="G212" i="271"/>
  <c r="H212" i="271"/>
  <c r="J212" i="271"/>
  <c r="K212" i="271"/>
  <c r="L212" i="271" s="1"/>
  <c r="G213" i="271"/>
  <c r="H213" i="271"/>
  <c r="J213" i="271"/>
  <c r="K213" i="271"/>
  <c r="L213" i="271" s="1"/>
  <c r="G214" i="271"/>
  <c r="H214" i="271"/>
  <c r="J214" i="271"/>
  <c r="K214" i="271"/>
  <c r="L214" i="271" s="1"/>
  <c r="G215" i="271"/>
  <c r="H215" i="271"/>
  <c r="J215" i="271"/>
  <c r="K215" i="271"/>
  <c r="L215" i="271" s="1"/>
  <c r="G216" i="271"/>
  <c r="H216" i="271"/>
  <c r="J216" i="271"/>
  <c r="K216" i="271"/>
  <c r="L216" i="271" s="1"/>
  <c r="G217" i="271"/>
  <c r="H217" i="271"/>
  <c r="J217" i="271"/>
  <c r="K217" i="271"/>
  <c r="L217" i="271" s="1"/>
  <c r="G218" i="271"/>
  <c r="H218" i="271"/>
  <c r="J218" i="271"/>
  <c r="K218" i="271"/>
  <c r="L218" i="271" s="1"/>
  <c r="G219" i="271"/>
  <c r="H219" i="271"/>
  <c r="J219" i="271"/>
  <c r="K219" i="271"/>
  <c r="L219" i="271" s="1"/>
  <c r="G220" i="271"/>
  <c r="H220" i="271"/>
  <c r="J220" i="271"/>
  <c r="K220" i="271"/>
  <c r="L220" i="271" s="1"/>
  <c r="G221" i="271"/>
  <c r="H221" i="271"/>
  <c r="J221" i="271"/>
  <c r="K221" i="271"/>
  <c r="L221" i="271" s="1"/>
  <c r="G222" i="271"/>
  <c r="H222" i="271"/>
  <c r="J222" i="271"/>
  <c r="K222" i="271"/>
  <c r="L222" i="271" s="1"/>
  <c r="G223" i="271"/>
  <c r="H223" i="271"/>
  <c r="J223" i="271"/>
  <c r="K223" i="271"/>
  <c r="L223" i="271" s="1"/>
  <c r="G224" i="271"/>
  <c r="H224" i="271"/>
  <c r="J224" i="271"/>
  <c r="K224" i="271"/>
  <c r="L224" i="271" s="1"/>
  <c r="G225" i="271"/>
  <c r="H225" i="271"/>
  <c r="J225" i="271"/>
  <c r="K225" i="271"/>
  <c r="L225" i="271" s="1"/>
  <c r="G226" i="271"/>
  <c r="H226" i="271"/>
  <c r="J226" i="271"/>
  <c r="K226" i="271"/>
  <c r="L226" i="271" s="1"/>
  <c r="G227" i="271"/>
  <c r="H227" i="271"/>
  <c r="J227" i="271"/>
  <c r="K227" i="271"/>
  <c r="L227" i="271" s="1"/>
  <c r="G228" i="271"/>
  <c r="H228" i="271"/>
  <c r="J228" i="271"/>
  <c r="K228" i="271"/>
  <c r="L228" i="271" s="1"/>
  <c r="G229" i="271"/>
  <c r="H229" i="271"/>
  <c r="J229" i="271"/>
  <c r="K229" i="271"/>
  <c r="L229" i="271" s="1"/>
  <c r="G230" i="271"/>
  <c r="H230" i="271"/>
  <c r="J230" i="271"/>
  <c r="K230" i="271"/>
  <c r="L230" i="271" s="1"/>
  <c r="G231" i="271"/>
  <c r="H231" i="271"/>
  <c r="J231" i="271"/>
  <c r="K231" i="271"/>
  <c r="L231" i="271" s="1"/>
  <c r="G232" i="271"/>
  <c r="H232" i="271"/>
  <c r="J232" i="271"/>
  <c r="K232" i="271"/>
  <c r="L232" i="271" s="1"/>
  <c r="G233" i="271"/>
  <c r="H233" i="271"/>
  <c r="J233" i="271"/>
  <c r="K233" i="271"/>
  <c r="L233" i="271" s="1"/>
  <c r="G234" i="271"/>
  <c r="H234" i="271"/>
  <c r="J234" i="271"/>
  <c r="K234" i="271"/>
  <c r="L234" i="271" s="1"/>
  <c r="G235" i="271"/>
  <c r="H235" i="271"/>
  <c r="J235" i="271"/>
  <c r="K235" i="271"/>
  <c r="L235" i="271" s="1"/>
  <c r="G236" i="271"/>
  <c r="H236" i="271"/>
  <c r="J236" i="271"/>
  <c r="K236" i="271"/>
  <c r="L236" i="271" s="1"/>
  <c r="G237" i="271"/>
  <c r="H237" i="271"/>
  <c r="J237" i="271"/>
  <c r="K237" i="271"/>
  <c r="L237" i="271" s="1"/>
  <c r="G238" i="271"/>
  <c r="H238" i="271"/>
  <c r="J238" i="271"/>
  <c r="K238" i="271"/>
  <c r="L238" i="271" s="1"/>
  <c r="G239" i="271"/>
  <c r="H239" i="271"/>
  <c r="J239" i="271"/>
  <c r="K239" i="271"/>
  <c r="L239" i="271" s="1"/>
  <c r="G240" i="271"/>
  <c r="H240" i="271"/>
  <c r="J240" i="271"/>
  <c r="K240" i="271"/>
  <c r="L240" i="271" s="1"/>
  <c r="G241" i="271"/>
  <c r="H241" i="271"/>
  <c r="J241" i="271"/>
  <c r="K241" i="271"/>
  <c r="L241" i="271" s="1"/>
  <c r="G242" i="271"/>
  <c r="H242" i="271"/>
  <c r="J242" i="271"/>
  <c r="K242" i="271"/>
  <c r="L242" i="271" s="1"/>
  <c r="G243" i="271"/>
  <c r="H243" i="271"/>
  <c r="J243" i="271"/>
  <c r="K243" i="271"/>
  <c r="L243" i="271" s="1"/>
  <c r="G244" i="271"/>
  <c r="H244" i="271"/>
  <c r="J244" i="271"/>
  <c r="K244" i="271"/>
  <c r="L244" i="271" s="1"/>
  <c r="G245" i="271"/>
  <c r="H245" i="271"/>
  <c r="J245" i="271"/>
  <c r="K245" i="271"/>
  <c r="L245" i="271" s="1"/>
  <c r="G246" i="271"/>
  <c r="H246" i="271"/>
  <c r="J246" i="271"/>
  <c r="K246" i="271"/>
  <c r="L246" i="271" s="1"/>
  <c r="G247" i="271"/>
  <c r="H247" i="271"/>
  <c r="J247" i="271"/>
  <c r="K247" i="271"/>
  <c r="L247" i="271" s="1"/>
  <c r="G248" i="271"/>
  <c r="H248" i="271"/>
  <c r="J248" i="271"/>
  <c r="K248" i="271"/>
  <c r="L248" i="271" s="1"/>
  <c r="G249" i="271"/>
  <c r="H249" i="271"/>
  <c r="J249" i="271"/>
  <c r="K249" i="271"/>
  <c r="L249" i="271" s="1"/>
  <c r="G250" i="271"/>
  <c r="H250" i="271"/>
  <c r="J250" i="271"/>
  <c r="K250" i="271"/>
  <c r="L250" i="271" s="1"/>
  <c r="G251" i="271"/>
  <c r="H251" i="271"/>
  <c r="J251" i="271"/>
  <c r="K251" i="271"/>
  <c r="L251" i="271" s="1"/>
  <c r="G252" i="271"/>
  <c r="H252" i="271"/>
  <c r="J252" i="271"/>
  <c r="K252" i="271"/>
  <c r="L252" i="271" s="1"/>
  <c r="G253" i="271"/>
  <c r="H253" i="271"/>
  <c r="J253" i="271"/>
  <c r="K253" i="271"/>
  <c r="L253" i="271" s="1"/>
  <c r="G254" i="271"/>
  <c r="H254" i="271"/>
  <c r="J254" i="271"/>
  <c r="K254" i="271"/>
  <c r="L254" i="271" s="1"/>
  <c r="G255" i="271"/>
  <c r="H255" i="271"/>
  <c r="J255" i="271"/>
  <c r="K255" i="271"/>
  <c r="L255" i="271" s="1"/>
  <c r="G256" i="271"/>
  <c r="H256" i="271"/>
  <c r="J256" i="271"/>
  <c r="K256" i="271"/>
  <c r="L256" i="271" s="1"/>
  <c r="G257" i="271"/>
  <c r="H257" i="271"/>
  <c r="J257" i="271"/>
  <c r="K257" i="271"/>
  <c r="L257" i="271" s="1"/>
  <c r="G258" i="271"/>
  <c r="H258" i="271"/>
  <c r="J258" i="271"/>
  <c r="K258" i="271"/>
  <c r="L258" i="271" s="1"/>
  <c r="G259" i="271"/>
  <c r="H259" i="271"/>
  <c r="J259" i="271"/>
  <c r="K259" i="271"/>
  <c r="L259" i="271" s="1"/>
  <c r="G260" i="271"/>
  <c r="H260" i="271"/>
  <c r="J260" i="271"/>
  <c r="K260" i="271"/>
  <c r="L260" i="271" s="1"/>
  <c r="G261" i="271"/>
  <c r="H261" i="271"/>
  <c r="J261" i="271"/>
  <c r="K261" i="271"/>
  <c r="L261" i="271" s="1"/>
  <c r="G262" i="271"/>
  <c r="H262" i="271"/>
  <c r="J262" i="271"/>
  <c r="K262" i="271"/>
  <c r="L262" i="271" s="1"/>
  <c r="G263" i="271"/>
  <c r="H263" i="271"/>
  <c r="J263" i="271"/>
  <c r="K263" i="271"/>
  <c r="L263" i="271" s="1"/>
  <c r="G264" i="271"/>
  <c r="H264" i="271"/>
  <c r="J264" i="271"/>
  <c r="K264" i="271"/>
  <c r="L264" i="271" s="1"/>
  <c r="G265" i="271"/>
  <c r="H265" i="271"/>
  <c r="J265" i="271"/>
  <c r="K265" i="271"/>
  <c r="L265" i="271" s="1"/>
  <c r="G266" i="271"/>
  <c r="H266" i="271"/>
  <c r="J266" i="271"/>
  <c r="K266" i="271"/>
  <c r="L266" i="271" s="1"/>
  <c r="G267" i="271"/>
  <c r="H267" i="271"/>
  <c r="J267" i="271"/>
  <c r="K267" i="271"/>
  <c r="L267" i="271" s="1"/>
  <c r="G268" i="271"/>
  <c r="H268" i="271"/>
  <c r="J268" i="271"/>
  <c r="K268" i="271"/>
  <c r="L268" i="271" s="1"/>
  <c r="G269" i="271"/>
  <c r="H269" i="271"/>
  <c r="J269" i="271"/>
  <c r="K269" i="271"/>
  <c r="L269" i="271" s="1"/>
  <c r="G270" i="271"/>
  <c r="H270" i="271"/>
  <c r="J270" i="271"/>
  <c r="K270" i="271"/>
  <c r="L270" i="271" s="1"/>
  <c r="G271" i="271"/>
  <c r="H271" i="271"/>
  <c r="J271" i="271"/>
  <c r="K271" i="271"/>
  <c r="L271" i="271" s="1"/>
  <c r="G272" i="271"/>
  <c r="H272" i="271"/>
  <c r="J272" i="271"/>
  <c r="K272" i="271"/>
  <c r="L272" i="271" s="1"/>
  <c r="G273" i="271"/>
  <c r="H273" i="271"/>
  <c r="J273" i="271"/>
  <c r="K273" i="271"/>
  <c r="L273" i="271" s="1"/>
  <c r="G274" i="271"/>
  <c r="H274" i="271"/>
  <c r="J274" i="271"/>
  <c r="K274" i="271"/>
  <c r="L274" i="271" s="1"/>
  <c r="G275" i="271"/>
  <c r="H275" i="271"/>
  <c r="J275" i="271"/>
  <c r="K275" i="271"/>
  <c r="L275" i="271" s="1"/>
  <c r="G276" i="271"/>
  <c r="H276" i="271"/>
  <c r="J276" i="271"/>
  <c r="K276" i="271"/>
  <c r="L276" i="271" s="1"/>
  <c r="G277" i="271"/>
  <c r="H277" i="271"/>
  <c r="J277" i="271"/>
  <c r="K277" i="271"/>
  <c r="L277" i="271" s="1"/>
  <c r="G278" i="271"/>
  <c r="H278" i="271"/>
  <c r="J278" i="271"/>
  <c r="K278" i="271"/>
  <c r="L278" i="271" s="1"/>
  <c r="G279" i="271"/>
  <c r="H279" i="271"/>
  <c r="J279" i="271"/>
  <c r="K279" i="271"/>
  <c r="L279" i="271" s="1"/>
  <c r="G280" i="271"/>
  <c r="H280" i="271"/>
  <c r="J280" i="271"/>
  <c r="K280" i="271"/>
  <c r="L280" i="271" s="1"/>
  <c r="G281" i="271"/>
  <c r="H281" i="271"/>
  <c r="J281" i="271"/>
  <c r="K281" i="271"/>
  <c r="L281" i="271" s="1"/>
  <c r="G282" i="271"/>
  <c r="H282" i="271"/>
  <c r="J282" i="271"/>
  <c r="K282" i="271"/>
  <c r="L282" i="271" s="1"/>
  <c r="G283" i="271"/>
  <c r="H283" i="271"/>
  <c r="J283" i="271"/>
  <c r="K283" i="271"/>
  <c r="L283" i="271" s="1"/>
  <c r="G284" i="271"/>
  <c r="H284" i="271"/>
  <c r="J284" i="271"/>
  <c r="K284" i="271"/>
  <c r="L284" i="271" s="1"/>
  <c r="G285" i="271"/>
  <c r="H285" i="271"/>
  <c r="J285" i="271"/>
  <c r="K285" i="271"/>
  <c r="L285" i="271" s="1"/>
  <c r="G286" i="271"/>
  <c r="H286" i="271"/>
  <c r="J286" i="271"/>
  <c r="K286" i="271"/>
  <c r="L286" i="271" s="1"/>
  <c r="G287" i="271"/>
  <c r="H287" i="271"/>
  <c r="J287" i="271"/>
  <c r="K287" i="271"/>
  <c r="L287" i="271" s="1"/>
  <c r="G288" i="271"/>
  <c r="H288" i="271"/>
  <c r="J288" i="271"/>
  <c r="K288" i="271"/>
  <c r="L288" i="271" s="1"/>
  <c r="G289" i="271"/>
  <c r="H289" i="271"/>
  <c r="J289" i="271"/>
  <c r="K289" i="271"/>
  <c r="L289" i="271" s="1"/>
  <c r="G290" i="271"/>
  <c r="H290" i="271"/>
  <c r="J290" i="271"/>
  <c r="K290" i="271"/>
  <c r="L290" i="271" s="1"/>
  <c r="G291" i="271"/>
  <c r="H291" i="271"/>
  <c r="J291" i="271"/>
  <c r="K291" i="271"/>
  <c r="L291" i="271" s="1"/>
  <c r="G292" i="271"/>
  <c r="H292" i="271"/>
  <c r="J292" i="271"/>
  <c r="K292" i="271"/>
  <c r="L292" i="271" s="1"/>
  <c r="G293" i="271"/>
  <c r="H293" i="271"/>
  <c r="J293" i="271"/>
  <c r="K293" i="271"/>
  <c r="L293" i="271" s="1"/>
  <c r="G294" i="271"/>
  <c r="H294" i="271"/>
  <c r="J294" i="271"/>
  <c r="K294" i="271"/>
  <c r="L294" i="271" s="1"/>
  <c r="G295" i="271"/>
  <c r="H295" i="271"/>
  <c r="J295" i="271"/>
  <c r="K295" i="271"/>
  <c r="L295" i="271" s="1"/>
  <c r="G296" i="271"/>
  <c r="H296" i="271"/>
  <c r="J296" i="271"/>
  <c r="K296" i="271"/>
  <c r="L296" i="271" s="1"/>
  <c r="G297" i="271"/>
  <c r="H297" i="271"/>
  <c r="J297" i="271"/>
  <c r="K297" i="271"/>
  <c r="L297" i="271" s="1"/>
  <c r="G298" i="271"/>
  <c r="H298" i="271"/>
  <c r="J298" i="271"/>
  <c r="K298" i="271"/>
  <c r="L298" i="271" s="1"/>
  <c r="G299" i="271"/>
  <c r="H299" i="271"/>
  <c r="J299" i="271"/>
  <c r="K299" i="271"/>
  <c r="L299" i="271" s="1"/>
  <c r="G300" i="271"/>
  <c r="H300" i="271"/>
  <c r="J300" i="271"/>
  <c r="K300" i="271"/>
  <c r="L300" i="271" s="1"/>
  <c r="G301" i="271"/>
  <c r="H301" i="271"/>
  <c r="J301" i="271"/>
  <c r="K301" i="271"/>
  <c r="L301" i="271" s="1"/>
  <c r="G302" i="271"/>
  <c r="H302" i="271"/>
  <c r="J302" i="271"/>
  <c r="K302" i="271"/>
  <c r="L302" i="271" s="1"/>
  <c r="G303" i="271"/>
  <c r="H303" i="271"/>
  <c r="J303" i="271"/>
  <c r="K303" i="271"/>
  <c r="L303" i="271" s="1"/>
  <c r="G304" i="271"/>
  <c r="H304" i="271"/>
  <c r="J304" i="271"/>
  <c r="K304" i="271"/>
  <c r="L304" i="271" s="1"/>
  <c r="G305" i="271"/>
  <c r="H305" i="271"/>
  <c r="J305" i="271"/>
  <c r="K305" i="271"/>
  <c r="L305" i="271" s="1"/>
  <c r="G306" i="271"/>
  <c r="H306" i="271"/>
  <c r="J306" i="271"/>
  <c r="K306" i="271"/>
  <c r="L306" i="271" s="1"/>
  <c r="G307" i="271"/>
  <c r="H307" i="271"/>
  <c r="J307" i="271"/>
  <c r="K307" i="271"/>
  <c r="L307" i="271" s="1"/>
  <c r="G308" i="271"/>
  <c r="H308" i="271"/>
  <c r="J308" i="271"/>
  <c r="K308" i="271"/>
  <c r="L308" i="271" s="1"/>
  <c r="G309" i="271"/>
  <c r="H309" i="271"/>
  <c r="J309" i="271"/>
  <c r="K309" i="271"/>
  <c r="L309" i="271" s="1"/>
  <c r="G310" i="271"/>
  <c r="H310" i="271"/>
  <c r="J310" i="271"/>
  <c r="K310" i="271"/>
  <c r="L310" i="271" s="1"/>
  <c r="G311" i="271"/>
  <c r="H311" i="271"/>
  <c r="J311" i="271"/>
  <c r="K311" i="271"/>
  <c r="L311" i="271" s="1"/>
  <c r="G312" i="271"/>
  <c r="H312" i="271"/>
  <c r="J312" i="271"/>
  <c r="K312" i="271"/>
  <c r="L312" i="271" s="1"/>
  <c r="G313" i="271"/>
  <c r="H313" i="271"/>
  <c r="J313" i="271"/>
  <c r="K313" i="271"/>
  <c r="L313" i="271" s="1"/>
  <c r="G314" i="271"/>
  <c r="H314" i="271"/>
  <c r="J314" i="271"/>
  <c r="K314" i="271"/>
  <c r="L314" i="271" s="1"/>
  <c r="G315" i="271"/>
  <c r="H315" i="271"/>
  <c r="J315" i="271"/>
  <c r="K315" i="271"/>
  <c r="L315" i="271" s="1"/>
  <c r="G316" i="271"/>
  <c r="H316" i="271"/>
  <c r="J316" i="271"/>
  <c r="K316" i="271"/>
  <c r="L316" i="271" s="1"/>
  <c r="G317" i="271"/>
  <c r="H317" i="271"/>
  <c r="J317" i="271"/>
  <c r="K317" i="271"/>
  <c r="L317" i="271" s="1"/>
  <c r="G318" i="271"/>
  <c r="H318" i="271"/>
  <c r="J318" i="271"/>
  <c r="K318" i="271"/>
  <c r="L318" i="271" s="1"/>
  <c r="G319" i="271"/>
  <c r="H319" i="271"/>
  <c r="J319" i="271"/>
  <c r="K319" i="271"/>
  <c r="L319" i="271" s="1"/>
  <c r="G320" i="271"/>
  <c r="H320" i="271"/>
  <c r="J320" i="271"/>
  <c r="K320" i="271"/>
  <c r="L320" i="271" s="1"/>
  <c r="G321" i="271"/>
  <c r="H321" i="271"/>
  <c r="J321" i="271"/>
  <c r="K321" i="271"/>
  <c r="L321" i="271" s="1"/>
  <c r="G322" i="271"/>
  <c r="H322" i="271"/>
  <c r="J322" i="271"/>
  <c r="K322" i="271"/>
  <c r="L322" i="271" s="1"/>
  <c r="G323" i="271"/>
  <c r="H323" i="271"/>
  <c r="J323" i="271"/>
  <c r="K323" i="271"/>
  <c r="L323" i="271" s="1"/>
  <c r="G324" i="271"/>
  <c r="H324" i="271"/>
  <c r="J324" i="271"/>
  <c r="K324" i="271"/>
  <c r="L324" i="271" s="1"/>
  <c r="G325" i="271"/>
  <c r="H325" i="271"/>
  <c r="J325" i="271"/>
  <c r="K325" i="271"/>
  <c r="L325" i="271" s="1"/>
  <c r="G326" i="271"/>
  <c r="H326" i="271"/>
  <c r="J326" i="271"/>
  <c r="K326" i="271"/>
  <c r="L326" i="271" s="1"/>
  <c r="G327" i="271"/>
  <c r="H327" i="271"/>
  <c r="J327" i="271"/>
  <c r="K327" i="271"/>
  <c r="L327" i="271" s="1"/>
  <c r="G328" i="271"/>
  <c r="H328" i="271"/>
  <c r="I328" i="271"/>
  <c r="I327" i="271" s="1"/>
  <c r="I326" i="271" s="1"/>
  <c r="I325" i="271" s="1"/>
  <c r="I324" i="271" s="1"/>
  <c r="I323" i="271" s="1"/>
  <c r="I322" i="271" s="1"/>
  <c r="I321" i="271" s="1"/>
  <c r="I320" i="271" s="1"/>
  <c r="I319" i="271" s="1"/>
  <c r="I318" i="271" s="1"/>
  <c r="I317" i="271" s="1"/>
  <c r="I316" i="271" s="1"/>
  <c r="I315" i="271" s="1"/>
  <c r="I314" i="271" s="1"/>
  <c r="I313" i="271" s="1"/>
  <c r="I312" i="271" s="1"/>
  <c r="I311" i="271" s="1"/>
  <c r="I310" i="271" s="1"/>
  <c r="I309" i="271" s="1"/>
  <c r="I308" i="271" s="1"/>
  <c r="I307" i="271" s="1"/>
  <c r="I306" i="271" s="1"/>
  <c r="I305" i="271" s="1"/>
  <c r="I304" i="271" s="1"/>
  <c r="I303" i="271" s="1"/>
  <c r="I302" i="271" s="1"/>
  <c r="I301" i="271" s="1"/>
  <c r="I300" i="271" s="1"/>
  <c r="I299" i="271" s="1"/>
  <c r="I298" i="271" s="1"/>
  <c r="I297" i="271" s="1"/>
  <c r="I296" i="271" s="1"/>
  <c r="I295" i="271" s="1"/>
  <c r="I294" i="271" s="1"/>
  <c r="I293" i="271" s="1"/>
  <c r="I292" i="271" s="1"/>
  <c r="I291" i="271" s="1"/>
  <c r="I290" i="271" s="1"/>
  <c r="I289" i="271" s="1"/>
  <c r="I288" i="271" s="1"/>
  <c r="I287" i="271" s="1"/>
  <c r="I286" i="271" s="1"/>
  <c r="I285" i="271" s="1"/>
  <c r="I284" i="271" s="1"/>
  <c r="I283" i="271" s="1"/>
  <c r="I282" i="271" s="1"/>
  <c r="I281" i="271" s="1"/>
  <c r="I280" i="271" s="1"/>
  <c r="I279" i="271" s="1"/>
  <c r="I278" i="271" s="1"/>
  <c r="I277" i="271" s="1"/>
  <c r="I276" i="271" s="1"/>
  <c r="I275" i="271" s="1"/>
  <c r="I274" i="271" s="1"/>
  <c r="I273" i="271" s="1"/>
  <c r="I272" i="271" s="1"/>
  <c r="I271" i="271" s="1"/>
  <c r="I270" i="271" s="1"/>
  <c r="I269" i="271" s="1"/>
  <c r="I268" i="271" s="1"/>
  <c r="I267" i="271" s="1"/>
  <c r="I266" i="271" s="1"/>
  <c r="I265" i="271" s="1"/>
  <c r="I264" i="271" s="1"/>
  <c r="I263" i="271" s="1"/>
  <c r="I262" i="271" s="1"/>
  <c r="I261" i="271" s="1"/>
  <c r="I260" i="271" s="1"/>
  <c r="I259" i="271" s="1"/>
  <c r="I258" i="271" s="1"/>
  <c r="I257" i="271" s="1"/>
  <c r="I256" i="271" s="1"/>
  <c r="I255" i="271" s="1"/>
  <c r="I254" i="271" s="1"/>
  <c r="I253" i="271" s="1"/>
  <c r="I252" i="271" s="1"/>
  <c r="I251" i="271" s="1"/>
  <c r="I250" i="271" s="1"/>
  <c r="I249" i="271" s="1"/>
  <c r="I248" i="271" s="1"/>
  <c r="I247" i="271" s="1"/>
  <c r="I246" i="271" s="1"/>
  <c r="I245" i="271" s="1"/>
  <c r="I244" i="271" s="1"/>
  <c r="I243" i="271" s="1"/>
  <c r="I242" i="271" s="1"/>
  <c r="I241" i="271" s="1"/>
  <c r="I240" i="271" s="1"/>
  <c r="I239" i="271" s="1"/>
  <c r="I238" i="271" s="1"/>
  <c r="I237" i="271" s="1"/>
  <c r="I236" i="271" s="1"/>
  <c r="I235" i="271" s="1"/>
  <c r="I234" i="271" s="1"/>
  <c r="I233" i="271" s="1"/>
  <c r="I232" i="271" s="1"/>
  <c r="I231" i="271" s="1"/>
  <c r="I230" i="271" s="1"/>
  <c r="I229" i="271" s="1"/>
  <c r="I228" i="271" s="1"/>
  <c r="I227" i="271" s="1"/>
  <c r="I226" i="271" s="1"/>
  <c r="I225" i="271" s="1"/>
  <c r="I224" i="271" s="1"/>
  <c r="I223" i="271" s="1"/>
  <c r="I222" i="271" s="1"/>
  <c r="I221" i="271" s="1"/>
  <c r="I220" i="271" s="1"/>
  <c r="I219" i="271" s="1"/>
  <c r="I218" i="271" s="1"/>
  <c r="I217" i="271" s="1"/>
  <c r="I216" i="271" s="1"/>
  <c r="I215" i="271" s="1"/>
  <c r="I214" i="271" s="1"/>
  <c r="I213" i="271" s="1"/>
  <c r="I212" i="271" s="1"/>
  <c r="I211" i="271" s="1"/>
  <c r="I210" i="271" s="1"/>
  <c r="I209" i="271" s="1"/>
  <c r="I208" i="271" s="1"/>
  <c r="I207" i="271" s="1"/>
  <c r="J328" i="271"/>
  <c r="K328" i="271"/>
  <c r="L328" i="271" s="1"/>
  <c r="G282" i="268"/>
  <c r="H282" i="268"/>
  <c r="J282" i="268"/>
  <c r="K282" i="268"/>
  <c r="L282" i="268" s="1"/>
  <c r="G283" i="268"/>
  <c r="H283" i="268"/>
  <c r="J283" i="268"/>
  <c r="K283" i="268"/>
  <c r="L283" i="268" s="1"/>
  <c r="G284" i="268"/>
  <c r="H284" i="268"/>
  <c r="J284" i="268"/>
  <c r="K284" i="268"/>
  <c r="L284" i="268" s="1"/>
  <c r="G285" i="268"/>
  <c r="H285" i="268"/>
  <c r="J285" i="268"/>
  <c r="K285" i="268"/>
  <c r="L285" i="268" s="1"/>
  <c r="G286" i="268"/>
  <c r="H286" i="268"/>
  <c r="J286" i="268"/>
  <c r="K286" i="268"/>
  <c r="L286" i="268" s="1"/>
  <c r="G287" i="268"/>
  <c r="H287" i="268"/>
  <c r="J287" i="268"/>
  <c r="K287" i="268"/>
  <c r="L287" i="268" s="1"/>
  <c r="G288" i="268"/>
  <c r="H288" i="268"/>
  <c r="J288" i="268"/>
  <c r="K288" i="268"/>
  <c r="L288" i="268" s="1"/>
  <c r="G289" i="268"/>
  <c r="H289" i="268"/>
  <c r="J289" i="268"/>
  <c r="K289" i="268"/>
  <c r="L289" i="268" s="1"/>
  <c r="G290" i="268"/>
  <c r="H290" i="268"/>
  <c r="J290" i="268"/>
  <c r="K290" i="268"/>
  <c r="L290" i="268" s="1"/>
  <c r="G291" i="268"/>
  <c r="H291" i="268"/>
  <c r="J291" i="268"/>
  <c r="K291" i="268"/>
  <c r="L291" i="268" s="1"/>
  <c r="G292" i="268"/>
  <c r="H292" i="268"/>
  <c r="J292" i="268"/>
  <c r="K292" i="268"/>
  <c r="L292" i="268" s="1"/>
  <c r="G293" i="268"/>
  <c r="H293" i="268"/>
  <c r="J293" i="268"/>
  <c r="K293" i="268"/>
  <c r="L293" i="268" s="1"/>
  <c r="G294" i="268"/>
  <c r="H294" i="268"/>
  <c r="J294" i="268"/>
  <c r="K294" i="268"/>
  <c r="L294" i="268" s="1"/>
  <c r="G295" i="268"/>
  <c r="H295" i="268"/>
  <c r="J295" i="268"/>
  <c r="K295" i="268"/>
  <c r="L295" i="268" s="1"/>
  <c r="G296" i="268"/>
  <c r="H296" i="268"/>
  <c r="J296" i="268"/>
  <c r="K296" i="268"/>
  <c r="L296" i="268" s="1"/>
  <c r="G297" i="268"/>
  <c r="H297" i="268"/>
  <c r="I297" i="268"/>
  <c r="I296" i="268" s="1"/>
  <c r="I295" i="268" s="1"/>
  <c r="I294" i="268" s="1"/>
  <c r="I293" i="268" s="1"/>
  <c r="I292" i="268" s="1"/>
  <c r="I291" i="268" s="1"/>
  <c r="I290" i="268" s="1"/>
  <c r="I289" i="268" s="1"/>
  <c r="I288" i="268" s="1"/>
  <c r="I287" i="268" s="1"/>
  <c r="I286" i="268" s="1"/>
  <c r="I285" i="268" s="1"/>
  <c r="I284" i="268" s="1"/>
  <c r="I283" i="268" s="1"/>
  <c r="I282" i="268" s="1"/>
  <c r="J297" i="268"/>
  <c r="K297" i="268"/>
  <c r="L297" i="268" s="1"/>
  <c r="G203" i="267"/>
  <c r="H203" i="267"/>
  <c r="J203" i="267"/>
  <c r="K203" i="267"/>
  <c r="L203" i="267" s="1"/>
  <c r="G204" i="267"/>
  <c r="H204" i="267"/>
  <c r="J204" i="267"/>
  <c r="K204" i="267"/>
  <c r="L204" i="267" s="1"/>
  <c r="G205" i="267"/>
  <c r="H205" i="267"/>
  <c r="J205" i="267"/>
  <c r="K205" i="267"/>
  <c r="L205" i="267" s="1"/>
  <c r="G206" i="267"/>
  <c r="H206" i="267"/>
  <c r="J206" i="267"/>
  <c r="K206" i="267"/>
  <c r="L206" i="267" s="1"/>
  <c r="G207" i="267"/>
  <c r="H207" i="267"/>
  <c r="J207" i="267"/>
  <c r="K207" i="267"/>
  <c r="L207" i="267" s="1"/>
  <c r="G208" i="267"/>
  <c r="H208" i="267"/>
  <c r="J208" i="267"/>
  <c r="K208" i="267"/>
  <c r="L208" i="267" s="1"/>
  <c r="G209" i="267"/>
  <c r="H209" i="267"/>
  <c r="J209" i="267"/>
  <c r="K209" i="267"/>
  <c r="L209" i="267" s="1"/>
  <c r="G210" i="267"/>
  <c r="H210" i="267"/>
  <c r="J210" i="267"/>
  <c r="K210" i="267"/>
  <c r="L210" i="267" s="1"/>
  <c r="G211" i="267"/>
  <c r="H211" i="267"/>
  <c r="J211" i="267"/>
  <c r="K211" i="267"/>
  <c r="L211" i="267"/>
  <c r="G212" i="267"/>
  <c r="H212" i="267"/>
  <c r="J212" i="267"/>
  <c r="K212" i="267"/>
  <c r="L212" i="267" s="1"/>
  <c r="G213" i="267"/>
  <c r="H213" i="267"/>
  <c r="J213" i="267"/>
  <c r="K213" i="267"/>
  <c r="L213" i="267" s="1"/>
  <c r="G214" i="267"/>
  <c r="H214" i="267"/>
  <c r="J214" i="267"/>
  <c r="K214" i="267"/>
  <c r="L214" i="267" s="1"/>
  <c r="G215" i="267"/>
  <c r="H215" i="267"/>
  <c r="J215" i="267"/>
  <c r="K215" i="267"/>
  <c r="L215" i="267" s="1"/>
  <c r="G216" i="267"/>
  <c r="H216" i="267"/>
  <c r="J216" i="267"/>
  <c r="K216" i="267"/>
  <c r="L216" i="267" s="1"/>
  <c r="G217" i="267"/>
  <c r="H217" i="267"/>
  <c r="J217" i="267"/>
  <c r="K217" i="267"/>
  <c r="L217" i="267" s="1"/>
  <c r="G218" i="267"/>
  <c r="H218" i="267"/>
  <c r="J218" i="267"/>
  <c r="K218" i="267"/>
  <c r="L218" i="267" s="1"/>
  <c r="G219" i="267"/>
  <c r="H219" i="267"/>
  <c r="J219" i="267"/>
  <c r="K219" i="267"/>
  <c r="L219" i="267" s="1"/>
  <c r="G220" i="267"/>
  <c r="H220" i="267"/>
  <c r="J220" i="267"/>
  <c r="K220" i="267"/>
  <c r="L220" i="267" s="1"/>
  <c r="G221" i="267"/>
  <c r="H221" i="267"/>
  <c r="J221" i="267"/>
  <c r="K221" i="267"/>
  <c r="L221" i="267" s="1"/>
  <c r="G222" i="267"/>
  <c r="H222" i="267"/>
  <c r="J222" i="267"/>
  <c r="K222" i="267"/>
  <c r="L222" i="267" s="1"/>
  <c r="G223" i="267"/>
  <c r="H223" i="267"/>
  <c r="J223" i="267"/>
  <c r="K223" i="267"/>
  <c r="L223" i="267" s="1"/>
  <c r="G224" i="267"/>
  <c r="H224" i="267"/>
  <c r="J224" i="267"/>
  <c r="K224" i="267"/>
  <c r="L224" i="267" s="1"/>
  <c r="G225" i="267"/>
  <c r="H225" i="267"/>
  <c r="J225" i="267"/>
  <c r="K225" i="267"/>
  <c r="L225" i="267" s="1"/>
  <c r="G226" i="267"/>
  <c r="H226" i="267"/>
  <c r="J226" i="267"/>
  <c r="K226" i="267"/>
  <c r="L226" i="267" s="1"/>
  <c r="G227" i="267"/>
  <c r="H227" i="267"/>
  <c r="J227" i="267"/>
  <c r="K227" i="267"/>
  <c r="L227" i="267" s="1"/>
  <c r="G228" i="267"/>
  <c r="H228" i="267"/>
  <c r="J228" i="267"/>
  <c r="K228" i="267"/>
  <c r="L228" i="267" s="1"/>
  <c r="G229" i="267"/>
  <c r="H229" i="267"/>
  <c r="J229" i="267"/>
  <c r="K229" i="267"/>
  <c r="L229" i="267" s="1"/>
  <c r="G230" i="267"/>
  <c r="H230" i="267"/>
  <c r="J230" i="267"/>
  <c r="K230" i="267"/>
  <c r="L230" i="267" s="1"/>
  <c r="G231" i="267"/>
  <c r="H231" i="267"/>
  <c r="J231" i="267"/>
  <c r="K231" i="267"/>
  <c r="L231" i="267" s="1"/>
  <c r="G232" i="267"/>
  <c r="H232" i="267"/>
  <c r="J232" i="267"/>
  <c r="K232" i="267"/>
  <c r="L232" i="267" s="1"/>
  <c r="G233" i="267"/>
  <c r="H233" i="267"/>
  <c r="J233" i="267"/>
  <c r="K233" i="267"/>
  <c r="L233" i="267" s="1"/>
  <c r="G234" i="267"/>
  <c r="H234" i="267"/>
  <c r="J234" i="267"/>
  <c r="K234" i="267"/>
  <c r="L234" i="267" s="1"/>
  <c r="G235" i="267"/>
  <c r="H235" i="267"/>
  <c r="J235" i="267"/>
  <c r="K235" i="267"/>
  <c r="L235" i="267" s="1"/>
  <c r="G236" i="267"/>
  <c r="H236" i="267"/>
  <c r="J236" i="267"/>
  <c r="K236" i="267"/>
  <c r="L236" i="267" s="1"/>
  <c r="G237" i="267"/>
  <c r="H237" i="267"/>
  <c r="J237" i="267"/>
  <c r="K237" i="267"/>
  <c r="L237" i="267" s="1"/>
  <c r="G238" i="267"/>
  <c r="H238" i="267"/>
  <c r="J238" i="267"/>
  <c r="K238" i="267"/>
  <c r="L238" i="267" s="1"/>
  <c r="G239" i="267"/>
  <c r="H239" i="267"/>
  <c r="J239" i="267"/>
  <c r="K239" i="267"/>
  <c r="L239" i="267" s="1"/>
  <c r="G240" i="267"/>
  <c r="H240" i="267"/>
  <c r="J240" i="267"/>
  <c r="K240" i="267"/>
  <c r="L240" i="267" s="1"/>
  <c r="G241" i="267"/>
  <c r="H241" i="267"/>
  <c r="J241" i="267"/>
  <c r="K241" i="267"/>
  <c r="L241" i="267" s="1"/>
  <c r="G242" i="267"/>
  <c r="H242" i="267"/>
  <c r="J242" i="267"/>
  <c r="K242" i="267"/>
  <c r="L242" i="267" s="1"/>
  <c r="G243" i="267"/>
  <c r="H243" i="267"/>
  <c r="J243" i="267"/>
  <c r="K243" i="267"/>
  <c r="L243" i="267" s="1"/>
  <c r="G244" i="267"/>
  <c r="H244" i="267"/>
  <c r="J244" i="267"/>
  <c r="K244" i="267"/>
  <c r="L244" i="267" s="1"/>
  <c r="G245" i="267"/>
  <c r="H245" i="267"/>
  <c r="J245" i="267"/>
  <c r="K245" i="267"/>
  <c r="L245" i="267" s="1"/>
  <c r="G246" i="267"/>
  <c r="H246" i="267"/>
  <c r="J246" i="267"/>
  <c r="K246" i="267"/>
  <c r="L246" i="267" s="1"/>
  <c r="G247" i="267"/>
  <c r="H247" i="267"/>
  <c r="J247" i="267"/>
  <c r="K247" i="267"/>
  <c r="L247" i="267" s="1"/>
  <c r="G248" i="267"/>
  <c r="H248" i="267"/>
  <c r="J248" i="267"/>
  <c r="K248" i="267"/>
  <c r="L248" i="267" s="1"/>
  <c r="G249" i="267"/>
  <c r="H249" i="267"/>
  <c r="J249" i="267"/>
  <c r="K249" i="267"/>
  <c r="L249" i="267" s="1"/>
  <c r="G250" i="267"/>
  <c r="H250" i="267"/>
  <c r="J250" i="267"/>
  <c r="K250" i="267"/>
  <c r="L250" i="267" s="1"/>
  <c r="G251" i="267"/>
  <c r="H251" i="267"/>
  <c r="J251" i="267"/>
  <c r="K251" i="267"/>
  <c r="L251" i="267" s="1"/>
  <c r="G252" i="267"/>
  <c r="H252" i="267"/>
  <c r="J252" i="267"/>
  <c r="K252" i="267"/>
  <c r="L252" i="267" s="1"/>
  <c r="G253" i="267"/>
  <c r="H253" i="267"/>
  <c r="J253" i="267"/>
  <c r="K253" i="267"/>
  <c r="L253" i="267" s="1"/>
  <c r="G254" i="267"/>
  <c r="H254" i="267"/>
  <c r="J254" i="267"/>
  <c r="K254" i="267"/>
  <c r="L254" i="267" s="1"/>
  <c r="G255" i="267"/>
  <c r="H255" i="267"/>
  <c r="J255" i="267"/>
  <c r="K255" i="267"/>
  <c r="L255" i="267" s="1"/>
  <c r="G256" i="267"/>
  <c r="H256" i="267"/>
  <c r="J256" i="267"/>
  <c r="K256" i="267"/>
  <c r="L256" i="267" s="1"/>
  <c r="G257" i="267"/>
  <c r="H257" i="267"/>
  <c r="J257" i="267"/>
  <c r="K257" i="267"/>
  <c r="L257" i="267" s="1"/>
  <c r="G258" i="267"/>
  <c r="H258" i="267"/>
  <c r="J258" i="267"/>
  <c r="K258" i="267"/>
  <c r="L258" i="267" s="1"/>
  <c r="G259" i="267"/>
  <c r="H259" i="267"/>
  <c r="J259" i="267"/>
  <c r="K259" i="267"/>
  <c r="L259" i="267" s="1"/>
  <c r="G260" i="267"/>
  <c r="H260" i="267"/>
  <c r="J260" i="267"/>
  <c r="K260" i="267"/>
  <c r="L260" i="267" s="1"/>
  <c r="G261" i="267"/>
  <c r="H261" i="267"/>
  <c r="J261" i="267"/>
  <c r="K261" i="267"/>
  <c r="L261" i="267" s="1"/>
  <c r="G262" i="267"/>
  <c r="H262" i="267"/>
  <c r="J262" i="267"/>
  <c r="K262" i="267"/>
  <c r="L262" i="267" s="1"/>
  <c r="G263" i="267"/>
  <c r="H263" i="267"/>
  <c r="J263" i="267"/>
  <c r="K263" i="267"/>
  <c r="L263" i="267" s="1"/>
  <c r="G264" i="267"/>
  <c r="H264" i="267"/>
  <c r="J264" i="267"/>
  <c r="K264" i="267"/>
  <c r="L264" i="267" s="1"/>
  <c r="G265" i="267"/>
  <c r="H265" i="267"/>
  <c r="J265" i="267"/>
  <c r="K265" i="267"/>
  <c r="L265" i="267" s="1"/>
  <c r="G266" i="267"/>
  <c r="H266" i="267"/>
  <c r="J266" i="267"/>
  <c r="K266" i="267"/>
  <c r="L266" i="267" s="1"/>
  <c r="G267" i="267"/>
  <c r="H267" i="267"/>
  <c r="J267" i="267"/>
  <c r="K267" i="267"/>
  <c r="L267" i="267" s="1"/>
  <c r="G268" i="267"/>
  <c r="H268" i="267"/>
  <c r="J268" i="267"/>
  <c r="K268" i="267"/>
  <c r="L268" i="267" s="1"/>
  <c r="G269" i="267"/>
  <c r="H269" i="267"/>
  <c r="J269" i="267"/>
  <c r="K269" i="267"/>
  <c r="L269" i="267" s="1"/>
  <c r="G270" i="267"/>
  <c r="H270" i="267"/>
  <c r="J270" i="267"/>
  <c r="K270" i="267"/>
  <c r="L270" i="267" s="1"/>
  <c r="G271" i="267"/>
  <c r="H271" i="267"/>
  <c r="J271" i="267"/>
  <c r="K271" i="267"/>
  <c r="L271" i="267" s="1"/>
  <c r="G272" i="267"/>
  <c r="H272" i="267"/>
  <c r="J272" i="267"/>
  <c r="K272" i="267"/>
  <c r="L272" i="267" s="1"/>
  <c r="G273" i="267"/>
  <c r="H273" i="267"/>
  <c r="J273" i="267"/>
  <c r="K273" i="267"/>
  <c r="L273" i="267" s="1"/>
  <c r="G274" i="267"/>
  <c r="H274" i="267"/>
  <c r="J274" i="267"/>
  <c r="K274" i="267"/>
  <c r="L274" i="267" s="1"/>
  <c r="G275" i="267"/>
  <c r="H275" i="267"/>
  <c r="J275" i="267"/>
  <c r="K275" i="267"/>
  <c r="L275" i="267" s="1"/>
  <c r="G276" i="267"/>
  <c r="H276" i="267"/>
  <c r="J276" i="267"/>
  <c r="K276" i="267"/>
  <c r="L276" i="267" s="1"/>
  <c r="G277" i="267"/>
  <c r="H277" i="267"/>
  <c r="J277" i="267"/>
  <c r="K277" i="267"/>
  <c r="L277" i="267" s="1"/>
  <c r="G278" i="267"/>
  <c r="H278" i="267"/>
  <c r="J278" i="267"/>
  <c r="K278" i="267"/>
  <c r="L278" i="267" s="1"/>
  <c r="G279" i="267"/>
  <c r="H279" i="267"/>
  <c r="J279" i="267"/>
  <c r="K279" i="267"/>
  <c r="L279" i="267" s="1"/>
  <c r="G280" i="267"/>
  <c r="H280" i="267"/>
  <c r="J280" i="267"/>
  <c r="K280" i="267"/>
  <c r="L280" i="267" s="1"/>
  <c r="G281" i="267"/>
  <c r="H281" i="267"/>
  <c r="J281" i="267"/>
  <c r="K281" i="267"/>
  <c r="L281" i="267" s="1"/>
  <c r="G282" i="267"/>
  <c r="H282" i="267"/>
  <c r="J282" i="267"/>
  <c r="K282" i="267"/>
  <c r="L282" i="267" s="1"/>
  <c r="G283" i="267"/>
  <c r="H283" i="267"/>
  <c r="J283" i="267"/>
  <c r="K283" i="267"/>
  <c r="L283" i="267" s="1"/>
  <c r="G284" i="267"/>
  <c r="H284" i="267"/>
  <c r="J284" i="267"/>
  <c r="K284" i="267"/>
  <c r="L284" i="267" s="1"/>
  <c r="G285" i="267"/>
  <c r="H285" i="267"/>
  <c r="J285" i="267"/>
  <c r="K285" i="267"/>
  <c r="L285" i="267" s="1"/>
  <c r="G286" i="267"/>
  <c r="H286" i="267"/>
  <c r="J286" i="267"/>
  <c r="K286" i="267"/>
  <c r="L286" i="267" s="1"/>
  <c r="G287" i="267"/>
  <c r="H287" i="267"/>
  <c r="J287" i="267"/>
  <c r="K287" i="267"/>
  <c r="L287" i="267" s="1"/>
  <c r="G288" i="267"/>
  <c r="H288" i="267"/>
  <c r="J288" i="267"/>
  <c r="K288" i="267"/>
  <c r="L288" i="267" s="1"/>
  <c r="G289" i="267"/>
  <c r="H289" i="267"/>
  <c r="J289" i="267"/>
  <c r="K289" i="267"/>
  <c r="L289" i="267" s="1"/>
  <c r="G290" i="267"/>
  <c r="H290" i="267"/>
  <c r="J290" i="267"/>
  <c r="K290" i="267"/>
  <c r="L290" i="267" s="1"/>
  <c r="G291" i="267"/>
  <c r="H291" i="267"/>
  <c r="J291" i="267"/>
  <c r="K291" i="267"/>
  <c r="L291" i="267" s="1"/>
  <c r="G292" i="267"/>
  <c r="H292" i="267"/>
  <c r="J292" i="267"/>
  <c r="K292" i="267"/>
  <c r="L292" i="267" s="1"/>
  <c r="G293" i="267"/>
  <c r="H293" i="267"/>
  <c r="J293" i="267"/>
  <c r="K293" i="267"/>
  <c r="L293" i="267" s="1"/>
  <c r="G294" i="267"/>
  <c r="H294" i="267"/>
  <c r="J294" i="267"/>
  <c r="K294" i="267"/>
  <c r="L294" i="267" s="1"/>
  <c r="G295" i="267"/>
  <c r="H295" i="267"/>
  <c r="J295" i="267"/>
  <c r="K295" i="267"/>
  <c r="L295" i="267" s="1"/>
  <c r="G296" i="267"/>
  <c r="H296" i="267"/>
  <c r="I296" i="267"/>
  <c r="I295" i="267" s="1"/>
  <c r="I294" i="267" s="1"/>
  <c r="I293" i="267" s="1"/>
  <c r="I292" i="267" s="1"/>
  <c r="I291" i="267" s="1"/>
  <c r="I290" i="267" s="1"/>
  <c r="I289" i="267" s="1"/>
  <c r="I288" i="267" s="1"/>
  <c r="I287" i="267" s="1"/>
  <c r="I286" i="267" s="1"/>
  <c r="I285" i="267" s="1"/>
  <c r="I284" i="267" s="1"/>
  <c r="I283" i="267" s="1"/>
  <c r="I282" i="267" s="1"/>
  <c r="I281" i="267" s="1"/>
  <c r="I280" i="267" s="1"/>
  <c r="I279" i="267" s="1"/>
  <c r="I278" i="267" s="1"/>
  <c r="I277" i="267" s="1"/>
  <c r="I276" i="267" s="1"/>
  <c r="I275" i="267" s="1"/>
  <c r="I274" i="267" s="1"/>
  <c r="I273" i="267" s="1"/>
  <c r="I272" i="267" s="1"/>
  <c r="I271" i="267" s="1"/>
  <c r="I270" i="267" s="1"/>
  <c r="I269" i="267" s="1"/>
  <c r="I268" i="267" s="1"/>
  <c r="I267" i="267" s="1"/>
  <c r="I266" i="267" s="1"/>
  <c r="I265" i="267" s="1"/>
  <c r="I264" i="267" s="1"/>
  <c r="I263" i="267" s="1"/>
  <c r="I262" i="267" s="1"/>
  <c r="I261" i="267" s="1"/>
  <c r="I260" i="267" s="1"/>
  <c r="I259" i="267" s="1"/>
  <c r="I258" i="267" s="1"/>
  <c r="I257" i="267" s="1"/>
  <c r="I256" i="267" s="1"/>
  <c r="I255" i="267" s="1"/>
  <c r="I254" i="267" s="1"/>
  <c r="I253" i="267" s="1"/>
  <c r="I252" i="267" s="1"/>
  <c r="I251" i="267" s="1"/>
  <c r="I250" i="267" s="1"/>
  <c r="I249" i="267" s="1"/>
  <c r="I248" i="267" s="1"/>
  <c r="I247" i="267" s="1"/>
  <c r="I246" i="267" s="1"/>
  <c r="I245" i="267" s="1"/>
  <c r="I244" i="267" s="1"/>
  <c r="I243" i="267" s="1"/>
  <c r="I242" i="267" s="1"/>
  <c r="I241" i="267" s="1"/>
  <c r="I240" i="267" s="1"/>
  <c r="I239" i="267" s="1"/>
  <c r="I238" i="267" s="1"/>
  <c r="I237" i="267" s="1"/>
  <c r="I236" i="267" s="1"/>
  <c r="I235" i="267" s="1"/>
  <c r="I234" i="267" s="1"/>
  <c r="I233" i="267" s="1"/>
  <c r="I232" i="267" s="1"/>
  <c r="I231" i="267" s="1"/>
  <c r="I230" i="267" s="1"/>
  <c r="I229" i="267" s="1"/>
  <c r="I228" i="267" s="1"/>
  <c r="I227" i="267" s="1"/>
  <c r="I226" i="267" s="1"/>
  <c r="I225" i="267" s="1"/>
  <c r="I224" i="267" s="1"/>
  <c r="I223" i="267" s="1"/>
  <c r="I222" i="267" s="1"/>
  <c r="I221" i="267" s="1"/>
  <c r="I220" i="267" s="1"/>
  <c r="I219" i="267" s="1"/>
  <c r="I218" i="267" s="1"/>
  <c r="I217" i="267" s="1"/>
  <c r="I216" i="267" s="1"/>
  <c r="I215" i="267" s="1"/>
  <c r="I214" i="267" s="1"/>
  <c r="I213" i="267" s="1"/>
  <c r="I212" i="267" s="1"/>
  <c r="I211" i="267" s="1"/>
  <c r="I210" i="267" s="1"/>
  <c r="I209" i="267" s="1"/>
  <c r="I208" i="267" s="1"/>
  <c r="I207" i="267" s="1"/>
  <c r="I206" i="267" s="1"/>
  <c r="I205" i="267" s="1"/>
  <c r="I204" i="267" s="1"/>
  <c r="I203" i="267" s="1"/>
  <c r="J296" i="267"/>
  <c r="K296" i="267"/>
  <c r="L296" i="267" s="1"/>
  <c r="G217" i="266"/>
  <c r="H217" i="266"/>
  <c r="J217" i="266"/>
  <c r="K217" i="266"/>
  <c r="L217" i="266" s="1"/>
  <c r="G218" i="266"/>
  <c r="H218" i="266"/>
  <c r="J218" i="266"/>
  <c r="K218" i="266"/>
  <c r="L218" i="266" s="1"/>
  <c r="G219" i="266"/>
  <c r="H219" i="266"/>
  <c r="J219" i="266"/>
  <c r="K219" i="266"/>
  <c r="L219" i="266" s="1"/>
  <c r="G220" i="266"/>
  <c r="H220" i="266"/>
  <c r="J220" i="266"/>
  <c r="K220" i="266"/>
  <c r="L220" i="266" s="1"/>
  <c r="G221" i="266"/>
  <c r="H221" i="266"/>
  <c r="J221" i="266"/>
  <c r="K221" i="266"/>
  <c r="L221" i="266" s="1"/>
  <c r="G222" i="266"/>
  <c r="H222" i="266"/>
  <c r="J222" i="266"/>
  <c r="K222" i="266"/>
  <c r="L222" i="266" s="1"/>
  <c r="G223" i="266"/>
  <c r="H223" i="266"/>
  <c r="J223" i="266"/>
  <c r="K223" i="266"/>
  <c r="L223" i="266" s="1"/>
  <c r="G224" i="266"/>
  <c r="H224" i="266"/>
  <c r="J224" i="266"/>
  <c r="K224" i="266"/>
  <c r="L224" i="266" s="1"/>
  <c r="G225" i="266"/>
  <c r="H225" i="266"/>
  <c r="J225" i="266"/>
  <c r="K225" i="266"/>
  <c r="L225" i="266" s="1"/>
  <c r="G226" i="266"/>
  <c r="H226" i="266"/>
  <c r="J226" i="266"/>
  <c r="K226" i="266"/>
  <c r="L226" i="266" s="1"/>
  <c r="G227" i="266"/>
  <c r="H227" i="266"/>
  <c r="J227" i="266"/>
  <c r="K227" i="266"/>
  <c r="L227" i="266" s="1"/>
  <c r="G228" i="266"/>
  <c r="H228" i="266"/>
  <c r="J228" i="266"/>
  <c r="K228" i="266"/>
  <c r="L228" i="266" s="1"/>
  <c r="G229" i="266"/>
  <c r="H229" i="266"/>
  <c r="J229" i="266"/>
  <c r="K229" i="266"/>
  <c r="L229" i="266" s="1"/>
  <c r="G230" i="266"/>
  <c r="H230" i="266"/>
  <c r="J230" i="266"/>
  <c r="K230" i="266"/>
  <c r="L230" i="266" s="1"/>
  <c r="G231" i="266"/>
  <c r="H231" i="266"/>
  <c r="J231" i="266"/>
  <c r="K231" i="266"/>
  <c r="L231" i="266" s="1"/>
  <c r="G232" i="266"/>
  <c r="H232" i="266"/>
  <c r="J232" i="266"/>
  <c r="K232" i="266"/>
  <c r="L232" i="266" s="1"/>
  <c r="G233" i="266"/>
  <c r="H233" i="266"/>
  <c r="J233" i="266"/>
  <c r="K233" i="266"/>
  <c r="L233" i="266" s="1"/>
  <c r="G234" i="266"/>
  <c r="H234" i="266"/>
  <c r="J234" i="266"/>
  <c r="K234" i="266"/>
  <c r="L234" i="266" s="1"/>
  <c r="G235" i="266"/>
  <c r="H235" i="266"/>
  <c r="J235" i="266"/>
  <c r="K235" i="266"/>
  <c r="L235" i="266" s="1"/>
  <c r="G236" i="266"/>
  <c r="H236" i="266"/>
  <c r="J236" i="266"/>
  <c r="K236" i="266"/>
  <c r="L236" i="266" s="1"/>
  <c r="G237" i="266"/>
  <c r="H237" i="266"/>
  <c r="J237" i="266"/>
  <c r="K237" i="266"/>
  <c r="L237" i="266" s="1"/>
  <c r="G238" i="266"/>
  <c r="H238" i="266"/>
  <c r="J238" i="266"/>
  <c r="K238" i="266"/>
  <c r="L238" i="266" s="1"/>
  <c r="G239" i="266"/>
  <c r="H239" i="266"/>
  <c r="J239" i="266"/>
  <c r="K239" i="266"/>
  <c r="L239" i="266" s="1"/>
  <c r="G240" i="266"/>
  <c r="H240" i="266"/>
  <c r="J240" i="266"/>
  <c r="K240" i="266"/>
  <c r="L240" i="266" s="1"/>
  <c r="G241" i="266"/>
  <c r="H241" i="266"/>
  <c r="J241" i="266"/>
  <c r="K241" i="266"/>
  <c r="L241" i="266" s="1"/>
  <c r="G242" i="266"/>
  <c r="H242" i="266"/>
  <c r="J242" i="266"/>
  <c r="K242" i="266"/>
  <c r="L242" i="266" s="1"/>
  <c r="G243" i="266"/>
  <c r="H243" i="266"/>
  <c r="J243" i="266"/>
  <c r="K243" i="266"/>
  <c r="L243" i="266" s="1"/>
  <c r="G244" i="266"/>
  <c r="H244" i="266"/>
  <c r="J244" i="266"/>
  <c r="K244" i="266"/>
  <c r="L244" i="266" s="1"/>
  <c r="G245" i="266"/>
  <c r="H245" i="266"/>
  <c r="J245" i="266"/>
  <c r="K245" i="266"/>
  <c r="L245" i="266" s="1"/>
  <c r="G246" i="266"/>
  <c r="H246" i="266"/>
  <c r="J246" i="266"/>
  <c r="K246" i="266"/>
  <c r="L246" i="266" s="1"/>
  <c r="G247" i="266"/>
  <c r="H247" i="266"/>
  <c r="J247" i="266"/>
  <c r="K247" i="266"/>
  <c r="L247" i="266" s="1"/>
  <c r="G248" i="266"/>
  <c r="H248" i="266"/>
  <c r="J248" i="266"/>
  <c r="K248" i="266"/>
  <c r="L248" i="266" s="1"/>
  <c r="G249" i="266"/>
  <c r="H249" i="266"/>
  <c r="J249" i="266"/>
  <c r="K249" i="266"/>
  <c r="L249" i="266" s="1"/>
  <c r="G250" i="266"/>
  <c r="H250" i="266"/>
  <c r="J250" i="266"/>
  <c r="K250" i="266"/>
  <c r="L250" i="266" s="1"/>
  <c r="G251" i="266"/>
  <c r="H251" i="266"/>
  <c r="J251" i="266"/>
  <c r="K251" i="266"/>
  <c r="L251" i="266" s="1"/>
  <c r="G252" i="266"/>
  <c r="H252" i="266"/>
  <c r="J252" i="266"/>
  <c r="K252" i="266"/>
  <c r="L252" i="266" s="1"/>
  <c r="G253" i="266"/>
  <c r="H253" i="266"/>
  <c r="J253" i="266"/>
  <c r="K253" i="266"/>
  <c r="L253" i="266" s="1"/>
  <c r="G254" i="266"/>
  <c r="H254" i="266"/>
  <c r="J254" i="266"/>
  <c r="K254" i="266"/>
  <c r="L254" i="266" s="1"/>
  <c r="G255" i="266"/>
  <c r="H255" i="266"/>
  <c r="J255" i="266"/>
  <c r="K255" i="266"/>
  <c r="L255" i="266" s="1"/>
  <c r="G256" i="266"/>
  <c r="H256" i="266"/>
  <c r="J256" i="266"/>
  <c r="K256" i="266"/>
  <c r="L256" i="266" s="1"/>
  <c r="G257" i="266"/>
  <c r="H257" i="266"/>
  <c r="J257" i="266"/>
  <c r="K257" i="266"/>
  <c r="L257" i="266" s="1"/>
  <c r="G258" i="266"/>
  <c r="H258" i="266"/>
  <c r="J258" i="266"/>
  <c r="K258" i="266"/>
  <c r="L258" i="266" s="1"/>
  <c r="G259" i="266"/>
  <c r="H259" i="266"/>
  <c r="J259" i="266"/>
  <c r="K259" i="266"/>
  <c r="L259" i="266" s="1"/>
  <c r="G260" i="266"/>
  <c r="H260" i="266"/>
  <c r="J260" i="266"/>
  <c r="K260" i="266"/>
  <c r="L260" i="266" s="1"/>
  <c r="G261" i="266"/>
  <c r="H261" i="266"/>
  <c r="J261" i="266"/>
  <c r="K261" i="266"/>
  <c r="L261" i="266" s="1"/>
  <c r="G262" i="266"/>
  <c r="H262" i="266"/>
  <c r="J262" i="266"/>
  <c r="K262" i="266"/>
  <c r="L262" i="266" s="1"/>
  <c r="G263" i="266"/>
  <c r="H263" i="266"/>
  <c r="J263" i="266"/>
  <c r="K263" i="266"/>
  <c r="L263" i="266" s="1"/>
  <c r="G264" i="266"/>
  <c r="H264" i="266"/>
  <c r="J264" i="266"/>
  <c r="K264" i="266"/>
  <c r="L264" i="266" s="1"/>
  <c r="G265" i="266"/>
  <c r="H265" i="266"/>
  <c r="J265" i="266"/>
  <c r="K265" i="266"/>
  <c r="L265" i="266" s="1"/>
  <c r="G266" i="266"/>
  <c r="H266" i="266"/>
  <c r="J266" i="266"/>
  <c r="K266" i="266"/>
  <c r="L266" i="266" s="1"/>
  <c r="G267" i="266"/>
  <c r="H267" i="266"/>
  <c r="J267" i="266"/>
  <c r="K267" i="266"/>
  <c r="L267" i="266" s="1"/>
  <c r="G268" i="266"/>
  <c r="H268" i="266"/>
  <c r="J268" i="266"/>
  <c r="K268" i="266"/>
  <c r="L268" i="266" s="1"/>
  <c r="G269" i="266"/>
  <c r="H269" i="266"/>
  <c r="J269" i="266"/>
  <c r="K269" i="266"/>
  <c r="L269" i="266" s="1"/>
  <c r="G270" i="266"/>
  <c r="H270" i="266"/>
  <c r="J270" i="266"/>
  <c r="K270" i="266"/>
  <c r="L270" i="266" s="1"/>
  <c r="G271" i="266"/>
  <c r="H271" i="266"/>
  <c r="J271" i="266"/>
  <c r="K271" i="266"/>
  <c r="L271" i="266" s="1"/>
  <c r="G272" i="266"/>
  <c r="H272" i="266"/>
  <c r="J272" i="266"/>
  <c r="K272" i="266"/>
  <c r="L272" i="266" s="1"/>
  <c r="G273" i="266"/>
  <c r="H273" i="266"/>
  <c r="J273" i="266"/>
  <c r="K273" i="266"/>
  <c r="L273" i="266" s="1"/>
  <c r="G274" i="266"/>
  <c r="H274" i="266"/>
  <c r="J274" i="266"/>
  <c r="K274" i="266"/>
  <c r="L274" i="266" s="1"/>
  <c r="G275" i="266"/>
  <c r="H275" i="266"/>
  <c r="J275" i="266"/>
  <c r="K275" i="266"/>
  <c r="L275" i="266" s="1"/>
  <c r="G276" i="266"/>
  <c r="H276" i="266"/>
  <c r="J276" i="266"/>
  <c r="K276" i="266"/>
  <c r="L276" i="266" s="1"/>
  <c r="G277" i="266"/>
  <c r="H277" i="266"/>
  <c r="J277" i="266"/>
  <c r="K277" i="266"/>
  <c r="L277" i="266" s="1"/>
  <c r="G278" i="266"/>
  <c r="H278" i="266"/>
  <c r="J278" i="266"/>
  <c r="K278" i="266"/>
  <c r="L278" i="266" s="1"/>
  <c r="G279" i="266"/>
  <c r="H279" i="266"/>
  <c r="J279" i="266"/>
  <c r="K279" i="266"/>
  <c r="L279" i="266" s="1"/>
  <c r="G280" i="266"/>
  <c r="H280" i="266"/>
  <c r="J280" i="266"/>
  <c r="K280" i="266"/>
  <c r="L280" i="266" s="1"/>
  <c r="G281" i="266"/>
  <c r="H281" i="266"/>
  <c r="J281" i="266"/>
  <c r="K281" i="266"/>
  <c r="L281" i="266" s="1"/>
  <c r="G282" i="266"/>
  <c r="H282" i="266"/>
  <c r="J282" i="266"/>
  <c r="K282" i="266"/>
  <c r="L282" i="266" s="1"/>
  <c r="G283" i="266"/>
  <c r="H283" i="266"/>
  <c r="J283" i="266"/>
  <c r="K283" i="266"/>
  <c r="L283" i="266" s="1"/>
  <c r="G284" i="266"/>
  <c r="H284" i="266"/>
  <c r="J284" i="266"/>
  <c r="K284" i="266"/>
  <c r="L284" i="266" s="1"/>
  <c r="G285" i="266"/>
  <c r="H285" i="266"/>
  <c r="J285" i="266"/>
  <c r="K285" i="266"/>
  <c r="L285" i="266" s="1"/>
  <c r="G286" i="266"/>
  <c r="H286" i="266"/>
  <c r="J286" i="266"/>
  <c r="K286" i="266"/>
  <c r="L286" i="266" s="1"/>
  <c r="G287" i="266"/>
  <c r="H287" i="266"/>
  <c r="J287" i="266"/>
  <c r="K287" i="266"/>
  <c r="L287" i="266" s="1"/>
  <c r="G288" i="266"/>
  <c r="H288" i="266"/>
  <c r="J288" i="266"/>
  <c r="K288" i="266"/>
  <c r="L288" i="266" s="1"/>
  <c r="G289" i="266"/>
  <c r="H289" i="266"/>
  <c r="J289" i="266"/>
  <c r="K289" i="266"/>
  <c r="L289" i="266" s="1"/>
  <c r="G290" i="266"/>
  <c r="H290" i="266"/>
  <c r="J290" i="266"/>
  <c r="K290" i="266"/>
  <c r="L290" i="266" s="1"/>
  <c r="G291" i="266"/>
  <c r="H291" i="266"/>
  <c r="J291" i="266"/>
  <c r="K291" i="266"/>
  <c r="L291" i="266" s="1"/>
  <c r="G292" i="266"/>
  <c r="H292" i="266"/>
  <c r="J292" i="266"/>
  <c r="K292" i="266"/>
  <c r="L292" i="266" s="1"/>
  <c r="G293" i="266"/>
  <c r="H293" i="266"/>
  <c r="J293" i="266"/>
  <c r="K293" i="266"/>
  <c r="L293" i="266" s="1"/>
  <c r="G294" i="266"/>
  <c r="H294" i="266"/>
  <c r="J294" i="266"/>
  <c r="K294" i="266"/>
  <c r="L294" i="266" s="1"/>
  <c r="G295" i="266"/>
  <c r="H295" i="266"/>
  <c r="J295" i="266"/>
  <c r="K295" i="266"/>
  <c r="L295" i="266" s="1"/>
  <c r="G296" i="266"/>
  <c r="H296" i="266"/>
  <c r="J296" i="266"/>
  <c r="K296" i="266"/>
  <c r="L296" i="266" s="1"/>
  <c r="G297" i="266"/>
  <c r="H297" i="266"/>
  <c r="J297" i="266"/>
  <c r="K297" i="266"/>
  <c r="L297" i="266" s="1"/>
  <c r="G298" i="266"/>
  <c r="H298" i="266"/>
  <c r="J298" i="266"/>
  <c r="K298" i="266"/>
  <c r="L298" i="266" s="1"/>
  <c r="G299" i="266"/>
  <c r="H299" i="266"/>
  <c r="J299" i="266"/>
  <c r="K299" i="266"/>
  <c r="L299" i="266" s="1"/>
  <c r="G300" i="266"/>
  <c r="H300" i="266"/>
  <c r="J300" i="266"/>
  <c r="K300" i="266"/>
  <c r="L300" i="266" s="1"/>
  <c r="G301" i="266"/>
  <c r="H301" i="266"/>
  <c r="J301" i="266"/>
  <c r="K301" i="266"/>
  <c r="L301" i="266" s="1"/>
  <c r="G302" i="266"/>
  <c r="H302" i="266"/>
  <c r="J302" i="266"/>
  <c r="K302" i="266"/>
  <c r="L302" i="266" s="1"/>
  <c r="G303" i="266"/>
  <c r="H303" i="266"/>
  <c r="J303" i="266"/>
  <c r="K303" i="266"/>
  <c r="L303" i="266" s="1"/>
  <c r="G304" i="266"/>
  <c r="H304" i="266"/>
  <c r="J304" i="266"/>
  <c r="K304" i="266"/>
  <c r="L304" i="266" s="1"/>
  <c r="G305" i="266"/>
  <c r="H305" i="266"/>
  <c r="J305" i="266"/>
  <c r="K305" i="266"/>
  <c r="L305" i="266" s="1"/>
  <c r="G306" i="266"/>
  <c r="H306" i="266"/>
  <c r="J306" i="266"/>
  <c r="K306" i="266"/>
  <c r="L306" i="266" s="1"/>
  <c r="G307" i="266"/>
  <c r="H307" i="266"/>
  <c r="I307" i="266"/>
  <c r="I306" i="266" s="1"/>
  <c r="I305" i="266" s="1"/>
  <c r="I304" i="266" s="1"/>
  <c r="I303" i="266" s="1"/>
  <c r="I302" i="266" s="1"/>
  <c r="I301" i="266" s="1"/>
  <c r="I300" i="266" s="1"/>
  <c r="I299" i="266" s="1"/>
  <c r="I298" i="266" s="1"/>
  <c r="I297" i="266" s="1"/>
  <c r="I296" i="266" s="1"/>
  <c r="I295" i="266" s="1"/>
  <c r="I294" i="266" s="1"/>
  <c r="I293" i="266" s="1"/>
  <c r="I292" i="266" s="1"/>
  <c r="I291" i="266" s="1"/>
  <c r="I290" i="266" s="1"/>
  <c r="I289" i="266" s="1"/>
  <c r="I288" i="266" s="1"/>
  <c r="I287" i="266" s="1"/>
  <c r="I286" i="266" s="1"/>
  <c r="I285" i="266" s="1"/>
  <c r="I284" i="266" s="1"/>
  <c r="I283" i="266" s="1"/>
  <c r="I282" i="266" s="1"/>
  <c r="I281" i="266" s="1"/>
  <c r="I280" i="266" s="1"/>
  <c r="I279" i="266" s="1"/>
  <c r="I278" i="266" s="1"/>
  <c r="I277" i="266" s="1"/>
  <c r="I276" i="266" s="1"/>
  <c r="I275" i="266" s="1"/>
  <c r="I274" i="266" s="1"/>
  <c r="I273" i="266" s="1"/>
  <c r="I272" i="266" s="1"/>
  <c r="I271" i="266" s="1"/>
  <c r="I270" i="266" s="1"/>
  <c r="I269" i="266" s="1"/>
  <c r="I268" i="266" s="1"/>
  <c r="I267" i="266" s="1"/>
  <c r="I266" i="266" s="1"/>
  <c r="I265" i="266" s="1"/>
  <c r="I264" i="266" s="1"/>
  <c r="I263" i="266" s="1"/>
  <c r="I262" i="266" s="1"/>
  <c r="I261" i="266" s="1"/>
  <c r="I260" i="266" s="1"/>
  <c r="I259" i="266" s="1"/>
  <c r="I258" i="266" s="1"/>
  <c r="I257" i="266" s="1"/>
  <c r="I256" i="266" s="1"/>
  <c r="I255" i="266" s="1"/>
  <c r="I254" i="266" s="1"/>
  <c r="I253" i="266" s="1"/>
  <c r="I252" i="266" s="1"/>
  <c r="I251" i="266" s="1"/>
  <c r="I250" i="266" s="1"/>
  <c r="I249" i="266" s="1"/>
  <c r="I248" i="266" s="1"/>
  <c r="I247" i="266" s="1"/>
  <c r="I246" i="266" s="1"/>
  <c r="I245" i="266" s="1"/>
  <c r="I244" i="266" s="1"/>
  <c r="I243" i="266" s="1"/>
  <c r="I242" i="266" s="1"/>
  <c r="I241" i="266" s="1"/>
  <c r="I240" i="266" s="1"/>
  <c r="I239" i="266" s="1"/>
  <c r="I238" i="266" s="1"/>
  <c r="I237" i="266" s="1"/>
  <c r="I236" i="266" s="1"/>
  <c r="I235" i="266" s="1"/>
  <c r="I234" i="266" s="1"/>
  <c r="I233" i="266" s="1"/>
  <c r="I232" i="266" s="1"/>
  <c r="I231" i="266" s="1"/>
  <c r="I230" i="266" s="1"/>
  <c r="I229" i="266" s="1"/>
  <c r="I228" i="266" s="1"/>
  <c r="I227" i="266" s="1"/>
  <c r="I226" i="266" s="1"/>
  <c r="I225" i="266" s="1"/>
  <c r="I224" i="266" s="1"/>
  <c r="I223" i="266" s="1"/>
  <c r="I222" i="266" s="1"/>
  <c r="I221" i="266" s="1"/>
  <c r="I220" i="266" s="1"/>
  <c r="I219" i="266" s="1"/>
  <c r="I218" i="266" s="1"/>
  <c r="I217" i="266" s="1"/>
  <c r="J307" i="266"/>
  <c r="K307" i="266"/>
  <c r="L307" i="266" s="1"/>
  <c r="R249" i="235" l="1"/>
  <c r="B32" i="102"/>
  <c r="M58" i="102"/>
  <c r="L58" i="102"/>
  <c r="K58" i="102"/>
  <c r="J58" i="102"/>
  <c r="I58" i="102"/>
  <c r="H58" i="102"/>
  <c r="G58" i="102"/>
  <c r="F58" i="102"/>
  <c r="E58" i="102"/>
  <c r="D58" i="102"/>
  <c r="C58" i="102"/>
  <c r="B58" i="102"/>
  <c r="M59" i="102"/>
  <c r="L59" i="102"/>
  <c r="K59" i="102"/>
  <c r="J59" i="102"/>
  <c r="I59" i="102"/>
  <c r="H59" i="102"/>
  <c r="G59" i="102"/>
  <c r="F59" i="102"/>
  <c r="E59" i="102"/>
  <c r="D59" i="102"/>
  <c r="C59" i="102"/>
  <c r="B59" i="102"/>
  <c r="M60" i="102"/>
  <c r="L60" i="102"/>
  <c r="K60" i="102"/>
  <c r="J60" i="102"/>
  <c r="I60" i="102"/>
  <c r="H60" i="102"/>
  <c r="G60" i="102"/>
  <c r="F60" i="102"/>
  <c r="E60" i="102"/>
  <c r="D60" i="102"/>
  <c r="C60" i="102"/>
  <c r="B60" i="102"/>
  <c r="M61" i="102"/>
  <c r="L61" i="102"/>
  <c r="K61" i="102"/>
  <c r="J61" i="102"/>
  <c r="I61" i="102"/>
  <c r="H61" i="102"/>
  <c r="G61" i="102"/>
  <c r="F61" i="102"/>
  <c r="E61" i="102"/>
  <c r="D61" i="102"/>
  <c r="C61" i="102"/>
  <c r="B61" i="102"/>
  <c r="M62" i="102"/>
  <c r="L62" i="102"/>
  <c r="K62" i="102"/>
  <c r="J62" i="102"/>
  <c r="I62" i="102"/>
  <c r="H62" i="102"/>
  <c r="G62" i="102"/>
  <c r="F62" i="102"/>
  <c r="E62" i="102"/>
  <c r="D62" i="102"/>
  <c r="C62" i="102"/>
  <c r="B62" i="102"/>
  <c r="B63" i="102"/>
  <c r="M63" i="102"/>
  <c r="L63" i="102"/>
  <c r="K63" i="102"/>
  <c r="J63" i="102"/>
  <c r="I63" i="102"/>
  <c r="H63" i="102"/>
  <c r="G63" i="102"/>
  <c r="F63" i="102"/>
  <c r="E63" i="102"/>
  <c r="D63" i="102"/>
  <c r="C63" i="102"/>
  <c r="M64" i="102"/>
  <c r="L64" i="102"/>
  <c r="K64" i="102"/>
  <c r="J64" i="102"/>
  <c r="I64" i="102"/>
  <c r="H64" i="102"/>
  <c r="G64" i="102"/>
  <c r="F64" i="102"/>
  <c r="E64" i="102"/>
  <c r="D64" i="102"/>
  <c r="C64" i="102"/>
  <c r="B64" i="102"/>
  <c r="B65" i="102"/>
  <c r="M65" i="102"/>
  <c r="L65" i="102"/>
  <c r="K65" i="102"/>
  <c r="J65" i="102"/>
  <c r="I65" i="102"/>
  <c r="H65" i="102"/>
  <c r="G65" i="102"/>
  <c r="F65" i="102"/>
  <c r="E65" i="102"/>
  <c r="D65" i="102"/>
  <c r="C65" i="102"/>
  <c r="M66" i="102"/>
  <c r="L66" i="102"/>
  <c r="K66" i="102"/>
  <c r="J66" i="102"/>
  <c r="I66" i="102"/>
  <c r="H66" i="102"/>
  <c r="G66" i="102"/>
  <c r="F66" i="102"/>
  <c r="E66" i="102"/>
  <c r="D66" i="102"/>
  <c r="C66" i="102"/>
  <c r="B66" i="102"/>
  <c r="M67" i="102"/>
  <c r="L67" i="102"/>
  <c r="K67" i="102"/>
  <c r="J67" i="102"/>
  <c r="I67" i="102"/>
  <c r="H67" i="102"/>
  <c r="G67" i="102"/>
  <c r="F67" i="102"/>
  <c r="E67" i="102"/>
  <c r="D67" i="102"/>
  <c r="C67" i="102"/>
  <c r="B67" i="102"/>
  <c r="M57" i="102"/>
  <c r="L57" i="102"/>
  <c r="K57" i="102"/>
  <c r="J57" i="102"/>
  <c r="I57" i="102"/>
  <c r="H57" i="102"/>
  <c r="G57" i="102"/>
  <c r="F57" i="102"/>
  <c r="E57" i="102"/>
  <c r="D57" i="102"/>
  <c r="C57" i="102"/>
  <c r="B57" i="102"/>
  <c r="M21" i="102" l="1"/>
  <c r="L21" i="102"/>
  <c r="K21" i="102"/>
  <c r="J21" i="102"/>
  <c r="I21" i="102"/>
  <c r="H21" i="102"/>
  <c r="G21" i="102"/>
  <c r="F21" i="102"/>
  <c r="E21" i="102"/>
  <c r="D21" i="102"/>
  <c r="C21" i="102"/>
  <c r="B21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M19" i="102"/>
  <c r="L19" i="102"/>
  <c r="K19" i="102"/>
  <c r="J19" i="102"/>
  <c r="I19" i="102"/>
  <c r="H19" i="102"/>
  <c r="G19" i="102"/>
  <c r="F19" i="102"/>
  <c r="E19" i="102"/>
  <c r="D19" i="102"/>
  <c r="C19" i="102"/>
  <c r="B19" i="102"/>
  <c r="M18" i="102"/>
  <c r="L18" i="102"/>
  <c r="K18" i="102"/>
  <c r="J18" i="102"/>
  <c r="I18" i="102"/>
  <c r="H18" i="102"/>
  <c r="G18" i="102"/>
  <c r="F18" i="102"/>
  <c r="E18" i="102"/>
  <c r="D18" i="102"/>
  <c r="C18" i="102"/>
  <c r="B18" i="102"/>
  <c r="B11" i="102"/>
  <c r="C11" i="102"/>
  <c r="C80" i="142" l="1"/>
  <c r="C48" i="142" l="1"/>
  <c r="C64" i="142"/>
  <c r="CU112" i="142"/>
  <c r="CU113" i="142"/>
  <c r="CU114" i="142"/>
  <c r="CU115" i="142"/>
  <c r="CU116" i="142"/>
  <c r="CU117" i="142"/>
  <c r="CU118" i="142"/>
  <c r="CU119" i="142"/>
  <c r="BG112" i="142"/>
  <c r="J249" i="273"/>
  <c r="I249" i="273"/>
  <c r="H249" i="273"/>
  <c r="G249" i="273"/>
  <c r="J248" i="273"/>
  <c r="I248" i="273"/>
  <c r="I247" i="273" s="1"/>
  <c r="I246" i="273" s="1"/>
  <c r="I245" i="273" s="1"/>
  <c r="I244" i="273" s="1"/>
  <c r="I243" i="273" s="1"/>
  <c r="I242" i="273" s="1"/>
  <c r="I241" i="273" s="1"/>
  <c r="I240" i="273" s="1"/>
  <c r="I239" i="273" s="1"/>
  <c r="I238" i="273" s="1"/>
  <c r="I237" i="273" s="1"/>
  <c r="I236" i="273" s="1"/>
  <c r="I235" i="273" s="1"/>
  <c r="I234" i="273" s="1"/>
  <c r="I233" i="273" s="1"/>
  <c r="I232" i="273" s="1"/>
  <c r="I231" i="273" s="1"/>
  <c r="I230" i="273" s="1"/>
  <c r="I229" i="273" s="1"/>
  <c r="I228" i="273" s="1"/>
  <c r="I227" i="273" s="1"/>
  <c r="I226" i="273" s="1"/>
  <c r="I225" i="273" s="1"/>
  <c r="I224" i="273" s="1"/>
  <c r="I223" i="273" s="1"/>
  <c r="I222" i="273" s="1"/>
  <c r="I221" i="273" s="1"/>
  <c r="I220" i="273" s="1"/>
  <c r="I219" i="273" s="1"/>
  <c r="I218" i="273" s="1"/>
  <c r="I217" i="273" s="1"/>
  <c r="I216" i="273" s="1"/>
  <c r="I215" i="273" s="1"/>
  <c r="I214" i="273" s="1"/>
  <c r="I213" i="273" s="1"/>
  <c r="I212" i="273" s="1"/>
  <c r="I211" i="273" s="1"/>
  <c r="I210" i="273" s="1"/>
  <c r="I209" i="273" s="1"/>
  <c r="I208" i="273" s="1"/>
  <c r="I207" i="273" s="1"/>
  <c r="I206" i="273" s="1"/>
  <c r="I205" i="273" s="1"/>
  <c r="I204" i="273" s="1"/>
  <c r="I203" i="273" s="1"/>
  <c r="I202" i="273" s="1"/>
  <c r="I201" i="273" s="1"/>
  <c r="I200" i="273" s="1"/>
  <c r="I199" i="273" s="1"/>
  <c r="I198" i="273" s="1"/>
  <c r="I197" i="273" s="1"/>
  <c r="I196" i="273" s="1"/>
  <c r="I195" i="273" s="1"/>
  <c r="I194" i="273" s="1"/>
  <c r="I193" i="273" s="1"/>
  <c r="I192" i="273" s="1"/>
  <c r="I191" i="273" s="1"/>
  <c r="I190" i="273" s="1"/>
  <c r="I189" i="273" s="1"/>
  <c r="I188" i="273" s="1"/>
  <c r="I187" i="273" s="1"/>
  <c r="I186" i="273" s="1"/>
  <c r="I185" i="273" s="1"/>
  <c r="I184" i="273" s="1"/>
  <c r="I183" i="273" s="1"/>
  <c r="I182" i="273" s="1"/>
  <c r="I181" i="273" s="1"/>
  <c r="I180" i="273" s="1"/>
  <c r="I179" i="273" s="1"/>
  <c r="I178" i="273" s="1"/>
  <c r="I177" i="273" s="1"/>
  <c r="I176" i="273" s="1"/>
  <c r="I175" i="273" s="1"/>
  <c r="I174" i="273" s="1"/>
  <c r="H248" i="273"/>
  <c r="G248" i="273"/>
  <c r="J247" i="273"/>
  <c r="H247" i="273"/>
  <c r="G247" i="273"/>
  <c r="J246" i="273"/>
  <c r="H246" i="273"/>
  <c r="G246" i="273"/>
  <c r="J245" i="273"/>
  <c r="H245" i="273"/>
  <c r="G245" i="273"/>
  <c r="J244" i="273"/>
  <c r="H244" i="273"/>
  <c r="G244" i="273"/>
  <c r="J243" i="273"/>
  <c r="H243" i="273"/>
  <c r="G243" i="273"/>
  <c r="J242" i="273"/>
  <c r="H242" i="273"/>
  <c r="G242" i="273"/>
  <c r="J241" i="273"/>
  <c r="H241" i="273"/>
  <c r="G241" i="273"/>
  <c r="J240" i="273"/>
  <c r="H240" i="273"/>
  <c r="G240" i="273"/>
  <c r="J239" i="273"/>
  <c r="H239" i="273"/>
  <c r="G239" i="273"/>
  <c r="J238" i="273"/>
  <c r="H238" i="273"/>
  <c r="G238" i="273"/>
  <c r="J237" i="273"/>
  <c r="H237" i="273"/>
  <c r="G237" i="273"/>
  <c r="J236" i="273"/>
  <c r="H236" i="273"/>
  <c r="G236" i="273"/>
  <c r="J235" i="273"/>
  <c r="H235" i="273"/>
  <c r="G235" i="273"/>
  <c r="J234" i="273"/>
  <c r="H234" i="273"/>
  <c r="G234" i="273"/>
  <c r="J233" i="273"/>
  <c r="H233" i="273"/>
  <c r="G233" i="273"/>
  <c r="J232" i="273"/>
  <c r="H232" i="273"/>
  <c r="G232" i="273"/>
  <c r="J231" i="273"/>
  <c r="H231" i="273"/>
  <c r="G231" i="273"/>
  <c r="J230" i="273"/>
  <c r="H230" i="273"/>
  <c r="G230" i="273"/>
  <c r="J229" i="273"/>
  <c r="H229" i="273"/>
  <c r="G229" i="273"/>
  <c r="J228" i="273"/>
  <c r="H228" i="273"/>
  <c r="G228" i="273"/>
  <c r="J227" i="273"/>
  <c r="H227" i="273"/>
  <c r="G227" i="273"/>
  <c r="J226" i="273"/>
  <c r="H226" i="273"/>
  <c r="G226" i="273"/>
  <c r="J225" i="273"/>
  <c r="H225" i="273"/>
  <c r="G225" i="273"/>
  <c r="J224" i="273"/>
  <c r="H224" i="273"/>
  <c r="G224" i="273"/>
  <c r="J223" i="273"/>
  <c r="H223" i="273"/>
  <c r="G223" i="273"/>
  <c r="J222" i="273"/>
  <c r="H222" i="273"/>
  <c r="G222" i="273"/>
  <c r="J221" i="273"/>
  <c r="H221" i="273"/>
  <c r="G221" i="273"/>
  <c r="J220" i="273"/>
  <c r="H220" i="273"/>
  <c r="G220" i="273"/>
  <c r="J219" i="273"/>
  <c r="H219" i="273"/>
  <c r="G219" i="273"/>
  <c r="J218" i="273"/>
  <c r="H218" i="273"/>
  <c r="G218" i="273"/>
  <c r="J217" i="273"/>
  <c r="H217" i="273"/>
  <c r="G217" i="273"/>
  <c r="J216" i="273"/>
  <c r="H216" i="273"/>
  <c r="G216" i="273"/>
  <c r="J215" i="273"/>
  <c r="H215" i="273"/>
  <c r="G215" i="273"/>
  <c r="J214" i="273"/>
  <c r="H214" i="273"/>
  <c r="G214" i="273"/>
  <c r="J213" i="273"/>
  <c r="H213" i="273"/>
  <c r="G213" i="273"/>
  <c r="J212" i="273"/>
  <c r="H212" i="273"/>
  <c r="G212" i="273"/>
  <c r="J211" i="273"/>
  <c r="H211" i="273"/>
  <c r="G211" i="273"/>
  <c r="J210" i="273"/>
  <c r="H210" i="273"/>
  <c r="G210" i="273"/>
  <c r="J209" i="273"/>
  <c r="H209" i="273"/>
  <c r="G209" i="273"/>
  <c r="J208" i="273"/>
  <c r="H208" i="273"/>
  <c r="G208" i="273"/>
  <c r="J207" i="273"/>
  <c r="H207" i="273"/>
  <c r="G207" i="273"/>
  <c r="J206" i="273"/>
  <c r="H206" i="273"/>
  <c r="G206" i="273"/>
  <c r="J205" i="273"/>
  <c r="H205" i="273"/>
  <c r="G205" i="273"/>
  <c r="J204" i="273"/>
  <c r="H204" i="273"/>
  <c r="G204" i="273"/>
  <c r="J203" i="273"/>
  <c r="H203" i="273"/>
  <c r="G203" i="273"/>
  <c r="J202" i="273"/>
  <c r="H202" i="273"/>
  <c r="G202" i="273"/>
  <c r="J201" i="273"/>
  <c r="H201" i="273"/>
  <c r="G201" i="273"/>
  <c r="J200" i="273"/>
  <c r="H200" i="273"/>
  <c r="G200" i="273"/>
  <c r="J199" i="273"/>
  <c r="H199" i="273"/>
  <c r="G199" i="273"/>
  <c r="J198" i="273"/>
  <c r="H198" i="273"/>
  <c r="G198" i="273"/>
  <c r="J197" i="273"/>
  <c r="H197" i="273"/>
  <c r="G197" i="273"/>
  <c r="J196" i="273"/>
  <c r="H196" i="273"/>
  <c r="G196" i="273"/>
  <c r="J195" i="273"/>
  <c r="H195" i="273"/>
  <c r="G195" i="273"/>
  <c r="J194" i="273"/>
  <c r="H194" i="273"/>
  <c r="G194" i="273"/>
  <c r="J193" i="273"/>
  <c r="H193" i="273"/>
  <c r="G193" i="273"/>
  <c r="J192" i="273"/>
  <c r="H192" i="273"/>
  <c r="G192" i="273"/>
  <c r="J191" i="273"/>
  <c r="H191" i="273"/>
  <c r="G191" i="273"/>
  <c r="J190" i="273"/>
  <c r="H190" i="273"/>
  <c r="G190" i="273"/>
  <c r="J189" i="273"/>
  <c r="H189" i="273"/>
  <c r="G189" i="273"/>
  <c r="J188" i="273"/>
  <c r="H188" i="273"/>
  <c r="G188" i="273"/>
  <c r="J187" i="273"/>
  <c r="H187" i="273"/>
  <c r="G187" i="273"/>
  <c r="J186" i="273"/>
  <c r="H186" i="273"/>
  <c r="G186" i="273"/>
  <c r="J185" i="273"/>
  <c r="H185" i="273"/>
  <c r="G185" i="273"/>
  <c r="J184" i="273"/>
  <c r="H184" i="273"/>
  <c r="G184" i="273"/>
  <c r="J183" i="273"/>
  <c r="H183" i="273"/>
  <c r="G183" i="273"/>
  <c r="J182" i="273"/>
  <c r="H182" i="273"/>
  <c r="G182" i="273"/>
  <c r="J181" i="273"/>
  <c r="H181" i="273"/>
  <c r="G181" i="273"/>
  <c r="J180" i="273"/>
  <c r="H180" i="273"/>
  <c r="G180" i="273"/>
  <c r="J179" i="273"/>
  <c r="H179" i="273"/>
  <c r="G179" i="273"/>
  <c r="J178" i="273"/>
  <c r="H178" i="273"/>
  <c r="G178" i="273"/>
  <c r="J177" i="273"/>
  <c r="H177" i="273"/>
  <c r="G177" i="273"/>
  <c r="J176" i="273"/>
  <c r="H176" i="273"/>
  <c r="G176" i="273"/>
  <c r="J175" i="273"/>
  <c r="H175" i="273"/>
  <c r="G175" i="273"/>
  <c r="J174" i="273"/>
  <c r="H174" i="273"/>
  <c r="G174" i="273"/>
  <c r="AI112" i="142"/>
  <c r="C63" i="142" l="1"/>
  <c r="K127" i="142"/>
  <c r="C47" i="142"/>
  <c r="C74" i="289"/>
  <c r="C55" i="289"/>
  <c r="C41" i="289"/>
  <c r="C31" i="289"/>
  <c r="C21" i="289"/>
  <c r="C8" i="289"/>
  <c r="C72" i="289"/>
  <c r="C54" i="289"/>
  <c r="C40" i="289"/>
  <c r="C30" i="289"/>
  <c r="C20" i="289"/>
  <c r="C67" i="289"/>
  <c r="C53" i="289"/>
  <c r="C39" i="289"/>
  <c r="C29" i="289"/>
  <c r="C15" i="289"/>
  <c r="C64" i="289"/>
  <c r="C52" i="289"/>
  <c r="C38" i="289"/>
  <c r="C28" i="289"/>
  <c r="C14" i="289"/>
  <c r="C22" i="289"/>
  <c r="C63" i="289"/>
  <c r="C51" i="289"/>
  <c r="C37" i="289"/>
  <c r="C25" i="289"/>
  <c r="C12" i="289"/>
  <c r="C32" i="289"/>
  <c r="C58" i="289"/>
  <c r="C48" i="289"/>
  <c r="C36" i="289"/>
  <c r="C24" i="289"/>
  <c r="C11" i="289"/>
  <c r="C46" i="289"/>
  <c r="C57" i="289"/>
  <c r="C47" i="289"/>
  <c r="C35" i="289"/>
  <c r="C23" i="289"/>
  <c r="C10" i="289"/>
  <c r="C56" i="289"/>
  <c r="BG111" i="142"/>
  <c r="AI111" i="142"/>
  <c r="CU111" i="142"/>
  <c r="C46" i="142" l="1"/>
  <c r="K128" i="142"/>
  <c r="C62" i="142"/>
  <c r="D23" i="289"/>
  <c r="D48" i="289"/>
  <c r="D22" i="289"/>
  <c r="D39" i="289"/>
  <c r="D56" i="289"/>
  <c r="D24" i="289"/>
  <c r="D15" i="289"/>
  <c r="D54" i="289"/>
  <c r="C13" i="289"/>
  <c r="D10" i="289"/>
  <c r="D36" i="289"/>
  <c r="C65" i="289"/>
  <c r="D65" i="289" s="1"/>
  <c r="D63" i="289"/>
  <c r="D29" i="289"/>
  <c r="D72" i="289"/>
  <c r="C42" i="289"/>
  <c r="D42" i="289" s="1"/>
  <c r="D35" i="289"/>
  <c r="D58" i="289"/>
  <c r="D14" i="289"/>
  <c r="D53" i="289"/>
  <c r="C26" i="289"/>
  <c r="D26" i="289" s="1"/>
  <c r="D21" i="289"/>
  <c r="D74" i="289"/>
  <c r="D8" i="289"/>
  <c r="D47" i="289"/>
  <c r="D32" i="289"/>
  <c r="D28" i="289"/>
  <c r="C33" i="289"/>
  <c r="D33" i="289" s="1"/>
  <c r="D67" i="289"/>
  <c r="D31" i="289"/>
  <c r="D57" i="289"/>
  <c r="D12" i="289"/>
  <c r="D38" i="289"/>
  <c r="D20" i="289"/>
  <c r="D41" i="289"/>
  <c r="D51" i="289"/>
  <c r="C59" i="289"/>
  <c r="D46" i="289"/>
  <c r="C49" i="289"/>
  <c r="D49" i="289" s="1"/>
  <c r="D25" i="289"/>
  <c r="D52" i="289"/>
  <c r="D30" i="289"/>
  <c r="D55" i="289"/>
  <c r="D11" i="289"/>
  <c r="D37" i="289"/>
  <c r="D64" i="289"/>
  <c r="D40" i="289"/>
  <c r="BG110" i="142"/>
  <c r="AI110" i="142"/>
  <c r="CU110" i="142"/>
  <c r="E67" i="289"/>
  <c r="E63" i="323"/>
  <c r="E8" i="323"/>
  <c r="D236" i="142"/>
  <c r="D237" i="142"/>
  <c r="D238" i="142"/>
  <c r="D239" i="142"/>
  <c r="D240" i="142"/>
  <c r="D241" i="142"/>
  <c r="D242" i="142"/>
  <c r="D243" i="142"/>
  <c r="D244" i="142"/>
  <c r="D245" i="142"/>
  <c r="D246" i="142"/>
  <c r="D247" i="142"/>
  <c r="C45" i="142" l="1"/>
  <c r="C61" i="142"/>
  <c r="K129" i="142"/>
  <c r="C61" i="289"/>
  <c r="D61" i="289" s="1"/>
  <c r="D59" i="289"/>
  <c r="D13" i="289"/>
  <c r="C16" i="289"/>
  <c r="BG109" i="142"/>
  <c r="CU109" i="142"/>
  <c r="AI109" i="142"/>
  <c r="B22" i="235"/>
  <c r="B23" i="235"/>
  <c r="B24" i="235"/>
  <c r="B25" i="235"/>
  <c r="C25" i="235" s="1"/>
  <c r="B26" i="235"/>
  <c r="B27" i="235"/>
  <c r="B28" i="235"/>
  <c r="B29" i="235"/>
  <c r="B30" i="235"/>
  <c r="B31" i="235"/>
  <c r="B32" i="235"/>
  <c r="K130" i="142" l="1"/>
  <c r="D16" i="289"/>
  <c r="C18" i="289"/>
  <c r="E7" i="334"/>
  <c r="K131" i="142" l="1"/>
  <c r="C69" i="289"/>
  <c r="D18" i="289"/>
  <c r="C44" i="289"/>
  <c r="D44" i="289" s="1"/>
  <c r="K132" i="142" l="1"/>
  <c r="C76" i="289"/>
  <c r="D76" i="289" s="1"/>
  <c r="C70" i="289"/>
  <c r="D70" i="289" s="1"/>
  <c r="D69" i="289"/>
  <c r="K133" i="142" l="1"/>
  <c r="S111" i="142"/>
  <c r="S112" i="142"/>
  <c r="S113" i="142"/>
  <c r="S114" i="142"/>
  <c r="H1" i="389"/>
  <c r="H1" i="388"/>
  <c r="H1" i="387"/>
  <c r="H1" i="386"/>
  <c r="H1" i="385"/>
  <c r="H1" i="384"/>
  <c r="H1" i="383"/>
  <c r="H1" i="382"/>
  <c r="H1" i="381"/>
  <c r="H1" i="380"/>
  <c r="H1" i="361"/>
  <c r="H1" i="360"/>
  <c r="H1" i="359"/>
  <c r="H1" i="358"/>
  <c r="H1" i="357"/>
  <c r="H1" i="356"/>
  <c r="H1" i="355"/>
  <c r="H1" i="354"/>
  <c r="H1" i="353"/>
  <c r="H1" i="352"/>
  <c r="H1" i="351"/>
  <c r="K134" i="142" l="1"/>
  <c r="K135" i="142" l="1"/>
  <c r="AF80" i="332"/>
  <c r="AF78" i="332"/>
  <c r="AD80" i="332"/>
  <c r="AD78" i="332"/>
  <c r="AB80" i="332"/>
  <c r="AB78" i="332"/>
  <c r="Z80" i="332"/>
  <c r="Z78" i="332"/>
  <c r="X80" i="332"/>
  <c r="X78" i="332"/>
  <c r="V80" i="332"/>
  <c r="V78" i="332"/>
  <c r="T80" i="332"/>
  <c r="T78" i="332"/>
  <c r="R80" i="332"/>
  <c r="R78" i="332"/>
  <c r="P80" i="332"/>
  <c r="P78" i="332"/>
  <c r="N80" i="332"/>
  <c r="N78" i="332"/>
  <c r="L80" i="332"/>
  <c r="L78" i="332"/>
  <c r="J80" i="332"/>
  <c r="J78" i="332"/>
  <c r="H80" i="332"/>
  <c r="H78" i="332"/>
  <c r="F80" i="332"/>
  <c r="F78" i="332"/>
  <c r="AJ1" i="332"/>
  <c r="H1" i="350"/>
  <c r="C2" i="194"/>
  <c r="AG80" i="333" l="1"/>
  <c r="C78" i="402"/>
  <c r="AG78" i="333"/>
  <c r="C80" i="404"/>
  <c r="C78" i="404"/>
  <c r="C80" i="402"/>
  <c r="E80" i="402"/>
  <c r="C80" i="345"/>
  <c r="E80" i="313"/>
  <c r="E80" i="323"/>
  <c r="E80" i="287"/>
  <c r="E80" i="284"/>
  <c r="E80" i="288"/>
  <c r="E80" i="292"/>
  <c r="E80" i="345"/>
  <c r="C80" i="285"/>
  <c r="G80" i="332" s="1"/>
  <c r="C80" i="289"/>
  <c r="C80" i="342"/>
  <c r="Y80" i="332" s="1"/>
  <c r="E80" i="342"/>
  <c r="C80" i="290"/>
  <c r="C80" i="344"/>
  <c r="AA80" i="332" s="1"/>
  <c r="E80" i="285"/>
  <c r="E80" i="286"/>
  <c r="E80" i="290"/>
  <c r="E80" i="344"/>
  <c r="E80" i="289"/>
  <c r="C80" i="286"/>
  <c r="C80" i="283"/>
  <c r="E80" i="283"/>
  <c r="C80" i="287"/>
  <c r="C80" i="291"/>
  <c r="C80" i="343"/>
  <c r="AC80" i="332" s="1"/>
  <c r="E80" i="291"/>
  <c r="E80" i="343"/>
  <c r="E78" i="284"/>
  <c r="C80" i="284"/>
  <c r="C80" i="288"/>
  <c r="C80" i="292"/>
  <c r="J112" i="190"/>
  <c r="O112" i="190" s="1"/>
  <c r="J113" i="190"/>
  <c r="O113" i="190" s="1"/>
  <c r="J114" i="190"/>
  <c r="M114" i="190" s="1"/>
  <c r="J115" i="190"/>
  <c r="M115" i="190" s="1"/>
  <c r="J116" i="190"/>
  <c r="M116" i="190" s="1"/>
  <c r="J117" i="190"/>
  <c r="N117" i="190" s="1"/>
  <c r="J118" i="190"/>
  <c r="N118" i="190" s="1"/>
  <c r="J119" i="190"/>
  <c r="K119" i="190" s="1"/>
  <c r="J120" i="190"/>
  <c r="O120" i="190" s="1"/>
  <c r="J121" i="190"/>
  <c r="O121" i="190" s="1"/>
  <c r="J122" i="190"/>
  <c r="M122" i="190" s="1"/>
  <c r="J111" i="190"/>
  <c r="N111" i="190" s="1"/>
  <c r="B112" i="190"/>
  <c r="E112" i="190" s="1"/>
  <c r="B113" i="190"/>
  <c r="F113" i="190" s="1"/>
  <c r="B114" i="190"/>
  <c r="F114" i="190" s="1"/>
  <c r="B115" i="190"/>
  <c r="C115" i="190" s="1"/>
  <c r="B116" i="190"/>
  <c r="G116" i="190" s="1"/>
  <c r="B117" i="190"/>
  <c r="G117" i="190" s="1"/>
  <c r="B118" i="190"/>
  <c r="E118" i="190" s="1"/>
  <c r="B119" i="190"/>
  <c r="E119" i="190" s="1"/>
  <c r="B120" i="190"/>
  <c r="E120" i="190" s="1"/>
  <c r="B121" i="190"/>
  <c r="F121" i="190" s="1"/>
  <c r="B122" i="190"/>
  <c r="F122" i="190" s="1"/>
  <c r="B111" i="190"/>
  <c r="G111" i="190" s="1"/>
  <c r="J97" i="190"/>
  <c r="O97" i="190" s="1"/>
  <c r="J98" i="190"/>
  <c r="O98" i="190" s="1"/>
  <c r="J99" i="190"/>
  <c r="M99" i="190" s="1"/>
  <c r="J100" i="190"/>
  <c r="M100" i="190" s="1"/>
  <c r="J101" i="190"/>
  <c r="M101" i="190" s="1"/>
  <c r="J102" i="190"/>
  <c r="N102" i="190" s="1"/>
  <c r="J103" i="190"/>
  <c r="N103" i="190" s="1"/>
  <c r="J104" i="190"/>
  <c r="K104" i="190" s="1"/>
  <c r="J105" i="190"/>
  <c r="O105" i="190" s="1"/>
  <c r="J106" i="190"/>
  <c r="O106" i="190" s="1"/>
  <c r="J107" i="190"/>
  <c r="M107" i="190" s="1"/>
  <c r="J96" i="190"/>
  <c r="N96" i="190" s="1"/>
  <c r="B97" i="190"/>
  <c r="E97" i="190" s="1"/>
  <c r="B98" i="190"/>
  <c r="F98" i="190" s="1"/>
  <c r="B99" i="190"/>
  <c r="F99" i="190" s="1"/>
  <c r="B100" i="190"/>
  <c r="C100" i="190" s="1"/>
  <c r="B101" i="190"/>
  <c r="G101" i="190" s="1"/>
  <c r="B102" i="190"/>
  <c r="G102" i="190" s="1"/>
  <c r="B103" i="190"/>
  <c r="E103" i="190" s="1"/>
  <c r="B104" i="190"/>
  <c r="E104" i="190" s="1"/>
  <c r="B105" i="190"/>
  <c r="E105" i="190" s="1"/>
  <c r="B106" i="190"/>
  <c r="F106" i="190" s="1"/>
  <c r="B107" i="190"/>
  <c r="F107" i="190" s="1"/>
  <c r="B96" i="190"/>
  <c r="G96" i="190" s="1"/>
  <c r="B232" i="234"/>
  <c r="B233" i="234"/>
  <c r="B234" i="234"/>
  <c r="L234" i="234" s="1"/>
  <c r="B235" i="234"/>
  <c r="F235" i="234" s="1"/>
  <c r="B236" i="234"/>
  <c r="B237" i="234"/>
  <c r="B238" i="234"/>
  <c r="G238" i="234" s="1"/>
  <c r="B239" i="234"/>
  <c r="K239" i="234" s="1"/>
  <c r="B240" i="234"/>
  <c r="B241" i="234"/>
  <c r="B242" i="234"/>
  <c r="L242" i="234" s="1"/>
  <c r="B231" i="234"/>
  <c r="C231" i="234" s="1"/>
  <c r="B216" i="234"/>
  <c r="B217" i="234"/>
  <c r="B218" i="234"/>
  <c r="L218" i="234" s="1"/>
  <c r="B219" i="234"/>
  <c r="F219" i="234" s="1"/>
  <c r="B220" i="234"/>
  <c r="B221" i="234"/>
  <c r="B222" i="234"/>
  <c r="G222" i="234" s="1"/>
  <c r="B223" i="234"/>
  <c r="K223" i="234" s="1"/>
  <c r="B224" i="234"/>
  <c r="B225" i="234"/>
  <c r="B226" i="234"/>
  <c r="L226" i="234" s="1"/>
  <c r="B215" i="234"/>
  <c r="K215" i="234" s="1"/>
  <c r="B200" i="234"/>
  <c r="B201" i="234"/>
  <c r="L201" i="234" s="1"/>
  <c r="B202" i="234"/>
  <c r="F202" i="234" s="1"/>
  <c r="B203" i="234"/>
  <c r="B204" i="234"/>
  <c r="B205" i="234"/>
  <c r="G205" i="234" s="1"/>
  <c r="B206" i="234"/>
  <c r="K206" i="234" s="1"/>
  <c r="B207" i="234"/>
  <c r="B208" i="234"/>
  <c r="B209" i="234"/>
  <c r="L209" i="234" s="1"/>
  <c r="B210" i="234"/>
  <c r="F210" i="234" s="1"/>
  <c r="B199" i="234"/>
  <c r="K199" i="234" s="1"/>
  <c r="B184" i="234"/>
  <c r="C184" i="234" s="1"/>
  <c r="B185" i="234"/>
  <c r="L185" i="234" s="1"/>
  <c r="B186" i="234"/>
  <c r="C186" i="234" s="1"/>
  <c r="B187" i="234"/>
  <c r="F187" i="234" s="1"/>
  <c r="B188" i="234"/>
  <c r="B189" i="234"/>
  <c r="B190" i="234"/>
  <c r="B191" i="234"/>
  <c r="B192" i="234"/>
  <c r="C192" i="234" s="1"/>
  <c r="B193" i="234"/>
  <c r="L193" i="234" s="1"/>
  <c r="B194" i="234"/>
  <c r="C194" i="234" s="1"/>
  <c r="B183" i="234"/>
  <c r="B97" i="189"/>
  <c r="B98" i="189"/>
  <c r="B99" i="189"/>
  <c r="B100" i="189"/>
  <c r="B101" i="189"/>
  <c r="B102" i="189"/>
  <c r="B103" i="189"/>
  <c r="B104" i="189"/>
  <c r="B105" i="189"/>
  <c r="B106" i="189"/>
  <c r="B107" i="189"/>
  <c r="G80" i="292" l="1"/>
  <c r="G80" i="402"/>
  <c r="AG80" i="332" s="1"/>
  <c r="G80" i="345"/>
  <c r="AE80" i="332" s="1"/>
  <c r="G80" i="285"/>
  <c r="K80" i="332"/>
  <c r="G80" i="287"/>
  <c r="M80" i="332"/>
  <c r="G80" i="288"/>
  <c r="S80" i="332"/>
  <c r="G80" i="291"/>
  <c r="E80" i="332"/>
  <c r="G80" i="284"/>
  <c r="C80" i="332" a="1"/>
  <c r="C80" i="332" s="1"/>
  <c r="G80" i="283"/>
  <c r="Q80" i="332"/>
  <c r="G80" i="290"/>
  <c r="O80" i="332"/>
  <c r="G80" i="289"/>
  <c r="G80" i="286"/>
  <c r="G80" i="344"/>
  <c r="I80" i="332"/>
  <c r="G80" i="343"/>
  <c r="G80" i="342"/>
  <c r="W80" i="332"/>
  <c r="G189" i="234"/>
  <c r="C215" i="234"/>
  <c r="L233" i="234"/>
  <c r="C187" i="234"/>
  <c r="C217" i="234"/>
  <c r="C233" i="234"/>
  <c r="L225" i="234"/>
  <c r="F194" i="234"/>
  <c r="L210" i="234"/>
  <c r="C191" i="234"/>
  <c r="G191" i="234"/>
  <c r="C202" i="234"/>
  <c r="F201" i="234"/>
  <c r="L215" i="234"/>
  <c r="C219" i="234"/>
  <c r="L217" i="234"/>
  <c r="C241" i="234"/>
  <c r="F242" i="234"/>
  <c r="C206" i="234"/>
  <c r="F200" i="234"/>
  <c r="K188" i="234"/>
  <c r="G223" i="234"/>
  <c r="F241" i="234"/>
  <c r="C210" i="234"/>
  <c r="G203" i="234"/>
  <c r="L194" i="234"/>
  <c r="G236" i="234"/>
  <c r="L241" i="234"/>
  <c r="G220" i="234"/>
  <c r="C193" i="234"/>
  <c r="G188" i="234"/>
  <c r="C208" i="234"/>
  <c r="G206" i="234"/>
  <c r="K191" i="234"/>
  <c r="L219" i="234"/>
  <c r="C235" i="234"/>
  <c r="L235" i="234"/>
  <c r="F226" i="234"/>
  <c r="F193" i="234"/>
  <c r="C199" i="234"/>
  <c r="F225" i="234"/>
  <c r="C185" i="234"/>
  <c r="F188" i="234"/>
  <c r="L199" i="234"/>
  <c r="C200" i="234"/>
  <c r="F209" i="234"/>
  <c r="L208" i="234"/>
  <c r="L191" i="234"/>
  <c r="F220" i="234"/>
  <c r="I226" i="234"/>
  <c r="L231" i="234"/>
  <c r="F236" i="234"/>
  <c r="I242" i="234"/>
  <c r="F186" i="234"/>
  <c r="I194" i="234"/>
  <c r="F208" i="234"/>
  <c r="L202" i="234"/>
  <c r="L186" i="234"/>
  <c r="C225" i="234"/>
  <c r="F218" i="234"/>
  <c r="F234" i="234"/>
  <c r="F185" i="234"/>
  <c r="F203" i="234"/>
  <c r="I210" i="234"/>
  <c r="L200" i="234"/>
  <c r="C223" i="234"/>
  <c r="F217" i="234"/>
  <c r="F233" i="234"/>
  <c r="G239" i="234"/>
  <c r="K184" i="234"/>
  <c r="G184" i="234"/>
  <c r="F184" i="234"/>
  <c r="L184" i="234"/>
  <c r="G183" i="234"/>
  <c r="F183" i="234"/>
  <c r="L183" i="234"/>
  <c r="K240" i="234"/>
  <c r="G240" i="234"/>
  <c r="L240" i="234"/>
  <c r="F240" i="234"/>
  <c r="C240" i="234"/>
  <c r="K232" i="234"/>
  <c r="G232" i="234"/>
  <c r="L232" i="234"/>
  <c r="C232" i="234"/>
  <c r="F232" i="234"/>
  <c r="G224" i="234"/>
  <c r="C224" i="234"/>
  <c r="F224" i="234"/>
  <c r="L224" i="234"/>
  <c r="G216" i="234"/>
  <c r="C216" i="234"/>
  <c r="L216" i="234"/>
  <c r="F216" i="234"/>
  <c r="C183" i="234"/>
  <c r="F189" i="234"/>
  <c r="C189" i="234"/>
  <c r="L189" i="234"/>
  <c r="K189" i="234"/>
  <c r="K224" i="234"/>
  <c r="K192" i="234"/>
  <c r="G192" i="234"/>
  <c r="F192" i="234"/>
  <c r="L192" i="234"/>
  <c r="G207" i="234"/>
  <c r="L207" i="234"/>
  <c r="C207" i="234"/>
  <c r="F207" i="234"/>
  <c r="K190" i="234"/>
  <c r="G190" i="234"/>
  <c r="F190" i="234"/>
  <c r="C190" i="234"/>
  <c r="L190" i="234"/>
  <c r="K183" i="234"/>
  <c r="K207" i="234"/>
  <c r="K216" i="234"/>
  <c r="G204" i="234"/>
  <c r="K205" i="234"/>
  <c r="G221" i="234"/>
  <c r="K222" i="234"/>
  <c r="K231" i="234"/>
  <c r="G237" i="234"/>
  <c r="K238" i="234"/>
  <c r="G187" i="234"/>
  <c r="G210" i="234"/>
  <c r="G202" i="234"/>
  <c r="K203" i="234"/>
  <c r="L206" i="234"/>
  <c r="K187" i="234"/>
  <c r="G219" i="234"/>
  <c r="K220" i="234"/>
  <c r="L223" i="234"/>
  <c r="C239" i="234"/>
  <c r="G235" i="234"/>
  <c r="K236" i="234"/>
  <c r="L239" i="234"/>
  <c r="F191" i="234"/>
  <c r="G194" i="234"/>
  <c r="G186" i="234"/>
  <c r="F199" i="234"/>
  <c r="C205" i="234"/>
  <c r="F206" i="234"/>
  <c r="G209" i="234"/>
  <c r="G201" i="234"/>
  <c r="K210" i="234"/>
  <c r="K202" i="234"/>
  <c r="L205" i="234"/>
  <c r="F215" i="234"/>
  <c r="K194" i="234"/>
  <c r="K186" i="234"/>
  <c r="C222" i="234"/>
  <c r="F223" i="234"/>
  <c r="G226" i="234"/>
  <c r="G218" i="234"/>
  <c r="K219" i="234"/>
  <c r="L222" i="234"/>
  <c r="C238" i="234"/>
  <c r="F239" i="234"/>
  <c r="G242" i="234"/>
  <c r="G234" i="234"/>
  <c r="K235" i="234"/>
  <c r="L238" i="234"/>
  <c r="K204" i="234"/>
  <c r="G193" i="234"/>
  <c r="G185" i="234"/>
  <c r="N194" i="234"/>
  <c r="G199" i="234"/>
  <c r="C204" i="234"/>
  <c r="E210" i="234"/>
  <c r="F205" i="234"/>
  <c r="G208" i="234"/>
  <c r="G200" i="234"/>
  <c r="K209" i="234"/>
  <c r="K201" i="234"/>
  <c r="L204" i="234"/>
  <c r="N210" i="234"/>
  <c r="G215" i="234"/>
  <c r="K193" i="234"/>
  <c r="K185" i="234"/>
  <c r="L188" i="234"/>
  <c r="C221" i="234"/>
  <c r="F222" i="234"/>
  <c r="G225" i="234"/>
  <c r="G217" i="234"/>
  <c r="K226" i="234"/>
  <c r="K218" i="234"/>
  <c r="L221" i="234"/>
  <c r="F231" i="234"/>
  <c r="C237" i="234"/>
  <c r="F238" i="234"/>
  <c r="G241" i="234"/>
  <c r="G233" i="234"/>
  <c r="K242" i="234"/>
  <c r="K234" i="234"/>
  <c r="L237" i="234"/>
  <c r="K221" i="234"/>
  <c r="K237" i="234"/>
  <c r="C188" i="234"/>
  <c r="E194" i="234"/>
  <c r="C203" i="234"/>
  <c r="F204" i="234"/>
  <c r="K208" i="234"/>
  <c r="K200" i="234"/>
  <c r="L203" i="234"/>
  <c r="L187" i="234"/>
  <c r="C220" i="234"/>
  <c r="E226" i="234"/>
  <c r="F221" i="234"/>
  <c r="K225" i="234"/>
  <c r="K217" i="234"/>
  <c r="L220" i="234"/>
  <c r="N226" i="234"/>
  <c r="G231" i="234"/>
  <c r="C236" i="234"/>
  <c r="E242" i="234"/>
  <c r="F237" i="234"/>
  <c r="K241" i="234"/>
  <c r="K233" i="234"/>
  <c r="L236" i="234"/>
  <c r="N242" i="234"/>
  <c r="C209" i="234"/>
  <c r="C201" i="234"/>
  <c r="C226" i="234"/>
  <c r="C218" i="234"/>
  <c r="C242" i="234"/>
  <c r="C234" i="234"/>
  <c r="D115" i="190"/>
  <c r="L120" i="190"/>
  <c r="F120" i="190"/>
  <c r="F112" i="190"/>
  <c r="K99" i="190"/>
  <c r="O104" i="190"/>
  <c r="G100" i="190"/>
  <c r="K118" i="190"/>
  <c r="L118" i="190" s="1"/>
  <c r="O96" i="190"/>
  <c r="M102" i="190"/>
  <c r="C122" i="190"/>
  <c r="D122" i="190" s="1"/>
  <c r="E102" i="190"/>
  <c r="C107" i="190"/>
  <c r="M98" i="190"/>
  <c r="C114" i="190"/>
  <c r="D114" i="190" s="1"/>
  <c r="C99" i="190"/>
  <c r="N101" i="190"/>
  <c r="E117" i="190"/>
  <c r="F105" i="190"/>
  <c r="K107" i="190"/>
  <c r="M121" i="190"/>
  <c r="F97" i="190"/>
  <c r="K103" i="190"/>
  <c r="G115" i="190"/>
  <c r="M113" i="190"/>
  <c r="N116" i="190"/>
  <c r="M106" i="190"/>
  <c r="O111" i="190"/>
  <c r="O119" i="190"/>
  <c r="C96" i="190"/>
  <c r="C106" i="190"/>
  <c r="C98" i="190"/>
  <c r="E101" i="190"/>
  <c r="F104" i="190"/>
  <c r="G107" i="190"/>
  <c r="G99" i="190"/>
  <c r="K102" i="190"/>
  <c r="M105" i="190"/>
  <c r="M97" i="190"/>
  <c r="N100" i="190"/>
  <c r="O103" i="190"/>
  <c r="C111" i="190"/>
  <c r="C121" i="190"/>
  <c r="D121" i="190" s="1"/>
  <c r="C113" i="190"/>
  <c r="D113" i="190" s="1"/>
  <c r="E116" i="190"/>
  <c r="F119" i="190"/>
  <c r="G122" i="190"/>
  <c r="G114" i="190"/>
  <c r="K117" i="190"/>
  <c r="L117" i="190" s="1"/>
  <c r="M120" i="190"/>
  <c r="M112" i="190"/>
  <c r="N115" i="190"/>
  <c r="O118" i="190"/>
  <c r="E96" i="190"/>
  <c r="C105" i="190"/>
  <c r="C97" i="190"/>
  <c r="E100" i="190"/>
  <c r="F103" i="190"/>
  <c r="G106" i="190"/>
  <c r="G98" i="190"/>
  <c r="K101" i="190"/>
  <c r="M104" i="190"/>
  <c r="N107" i="190"/>
  <c r="N99" i="190"/>
  <c r="O102" i="190"/>
  <c r="E111" i="190"/>
  <c r="C120" i="190"/>
  <c r="D120" i="190" s="1"/>
  <c r="C112" i="190"/>
  <c r="D112" i="190" s="1"/>
  <c r="E115" i="190"/>
  <c r="F118" i="190"/>
  <c r="G121" i="190"/>
  <c r="G113" i="190"/>
  <c r="K116" i="190"/>
  <c r="L116" i="190" s="1"/>
  <c r="M119" i="190"/>
  <c r="N122" i="190"/>
  <c r="N114" i="190"/>
  <c r="O117" i="190"/>
  <c r="F96" i="190"/>
  <c r="C104" i="190"/>
  <c r="E107" i="190"/>
  <c r="E99" i="190"/>
  <c r="F102" i="190"/>
  <c r="G105" i="190"/>
  <c r="G97" i="190"/>
  <c r="K100" i="190"/>
  <c r="M103" i="190"/>
  <c r="N106" i="190"/>
  <c r="N98" i="190"/>
  <c r="O101" i="190"/>
  <c r="F111" i="190"/>
  <c r="C119" i="190"/>
  <c r="D119" i="190" s="1"/>
  <c r="E122" i="190"/>
  <c r="E114" i="190"/>
  <c r="F117" i="190"/>
  <c r="G120" i="190"/>
  <c r="G112" i="190"/>
  <c r="K115" i="190"/>
  <c r="L115" i="190" s="1"/>
  <c r="M118" i="190"/>
  <c r="N121" i="190"/>
  <c r="N113" i="190"/>
  <c r="O116" i="190"/>
  <c r="C103" i="190"/>
  <c r="E106" i="190"/>
  <c r="E98" i="190"/>
  <c r="F101" i="190"/>
  <c r="G104" i="190"/>
  <c r="N105" i="190"/>
  <c r="N97" i="190"/>
  <c r="O100" i="190"/>
  <c r="C118" i="190"/>
  <c r="D118" i="190" s="1"/>
  <c r="E121" i="190"/>
  <c r="E113" i="190"/>
  <c r="F116" i="190"/>
  <c r="G119" i="190"/>
  <c r="K122" i="190"/>
  <c r="L122" i="190" s="1"/>
  <c r="K114" i="190"/>
  <c r="L114" i="190" s="1"/>
  <c r="M117" i="190"/>
  <c r="N120" i="190"/>
  <c r="N112" i="190"/>
  <c r="O115" i="190"/>
  <c r="C102" i="190"/>
  <c r="F100" i="190"/>
  <c r="G103" i="190"/>
  <c r="K96" i="190"/>
  <c r="K106" i="190"/>
  <c r="K98" i="190"/>
  <c r="N104" i="190"/>
  <c r="O107" i="190"/>
  <c r="O99" i="190"/>
  <c r="C117" i="190"/>
  <c r="D117" i="190" s="1"/>
  <c r="F115" i="190"/>
  <c r="G118" i="190"/>
  <c r="K111" i="190"/>
  <c r="L111" i="190" s="1"/>
  <c r="K121" i="190"/>
  <c r="L121" i="190" s="1"/>
  <c r="K113" i="190"/>
  <c r="L113" i="190" s="1"/>
  <c r="N119" i="190"/>
  <c r="O122" i="190"/>
  <c r="O114" i="190"/>
  <c r="C101" i="190"/>
  <c r="M96" i="190"/>
  <c r="K105" i="190"/>
  <c r="K97" i="190"/>
  <c r="C116" i="190"/>
  <c r="D116" i="190" s="1"/>
  <c r="M111" i="190"/>
  <c r="K120" i="190"/>
  <c r="K112" i="190"/>
  <c r="L112" i="190" s="1"/>
  <c r="J123" i="190"/>
  <c r="L119" i="190"/>
  <c r="B123" i="190"/>
  <c r="B243" i="234"/>
  <c r="B227" i="234"/>
  <c r="B211" i="234"/>
  <c r="B195" i="234"/>
  <c r="E78" i="313" l="1"/>
  <c r="L243" i="234"/>
  <c r="L211" i="234"/>
  <c r="F227" i="234"/>
  <c r="G211" i="234"/>
  <c r="C243" i="234"/>
  <c r="F243" i="234"/>
  <c r="G227" i="234"/>
  <c r="C227" i="234"/>
  <c r="G243" i="234"/>
  <c r="L195" i="234"/>
  <c r="L227" i="234"/>
  <c r="F123" i="190"/>
  <c r="M123" i="190"/>
  <c r="E123" i="190"/>
  <c r="G123" i="190"/>
  <c r="N123" i="190"/>
  <c r="O123" i="190"/>
  <c r="K123" i="190"/>
  <c r="L123" i="190" s="1"/>
  <c r="C123" i="190"/>
  <c r="D123" i="190" s="1"/>
  <c r="D111" i="190"/>
  <c r="K227" i="234"/>
  <c r="K243" i="234"/>
  <c r="F211" i="234"/>
  <c r="C211" i="234"/>
  <c r="K211" i="234"/>
  <c r="F195" i="234"/>
  <c r="C195" i="234"/>
  <c r="G195" i="234"/>
  <c r="K195" i="234"/>
  <c r="B220" i="235"/>
  <c r="B221" i="235"/>
  <c r="B222" i="235"/>
  <c r="B223" i="235"/>
  <c r="B224" i="235"/>
  <c r="B225" i="235"/>
  <c r="B226" i="235"/>
  <c r="K226" i="235" s="1"/>
  <c r="B227" i="235"/>
  <c r="B228" i="235"/>
  <c r="B229" i="235"/>
  <c r="B230" i="235"/>
  <c r="B205" i="235"/>
  <c r="B206" i="235"/>
  <c r="C206" i="235" s="1"/>
  <c r="B207" i="235"/>
  <c r="B208" i="235"/>
  <c r="B209" i="235"/>
  <c r="B210" i="235"/>
  <c r="B211" i="235"/>
  <c r="B212" i="235"/>
  <c r="C212" i="235" s="1"/>
  <c r="B213" i="235"/>
  <c r="B214" i="235"/>
  <c r="B215" i="235"/>
  <c r="B200" i="235"/>
  <c r="B199" i="235"/>
  <c r="B198" i="235"/>
  <c r="H198" i="235" s="1"/>
  <c r="B197" i="235"/>
  <c r="E197" i="235" s="1"/>
  <c r="B196" i="235"/>
  <c r="B195" i="235"/>
  <c r="K195" i="235" s="1"/>
  <c r="B194" i="235"/>
  <c r="B193" i="235"/>
  <c r="B192" i="235"/>
  <c r="B191" i="235"/>
  <c r="B190" i="235"/>
  <c r="B175" i="235"/>
  <c r="B176" i="235"/>
  <c r="B177" i="235"/>
  <c r="S177" i="235" s="1"/>
  <c r="B178" i="235"/>
  <c r="B179" i="235"/>
  <c r="B180" i="235"/>
  <c r="B181" i="235"/>
  <c r="B182" i="235"/>
  <c r="S182" i="235" s="1"/>
  <c r="B183" i="235"/>
  <c r="B184" i="235"/>
  <c r="B185" i="235"/>
  <c r="AI80" i="332"/>
  <c r="C29" i="142"/>
  <c r="C30" i="142"/>
  <c r="C31" i="142"/>
  <c r="C32" i="142"/>
  <c r="C33" i="142"/>
  <c r="C13" i="142"/>
  <c r="C14" i="142"/>
  <c r="C15" i="142"/>
  <c r="C16" i="142"/>
  <c r="C17" i="142"/>
  <c r="B219" i="235"/>
  <c r="B204" i="235"/>
  <c r="B189" i="235"/>
  <c r="B174" i="235"/>
  <c r="C76" i="142"/>
  <c r="S125" i="142"/>
  <c r="S126" i="142" s="1"/>
  <c r="S127" i="142" s="1"/>
  <c r="S128" i="142" s="1"/>
  <c r="S129" i="142" s="1"/>
  <c r="S130" i="142" s="1"/>
  <c r="S131" i="142" s="1"/>
  <c r="S132" i="142" s="1"/>
  <c r="S133" i="142" s="1"/>
  <c r="S134" i="142" s="1"/>
  <c r="S135" i="142" s="1"/>
  <c r="H53" i="338"/>
  <c r="G53" i="338"/>
  <c r="H52" i="338"/>
  <c r="G52" i="338"/>
  <c r="H51" i="338"/>
  <c r="G51" i="338"/>
  <c r="H50" i="338"/>
  <c r="G50" i="338"/>
  <c r="H49" i="338"/>
  <c r="G49" i="338"/>
  <c r="H48" i="338"/>
  <c r="G48" i="338"/>
  <c r="H47" i="338"/>
  <c r="G47" i="338"/>
  <c r="H46" i="338"/>
  <c r="G46" i="338"/>
  <c r="H45" i="338"/>
  <c r="G45" i="338"/>
  <c r="H44" i="338"/>
  <c r="G44" i="338"/>
  <c r="H43" i="338"/>
  <c r="G43" i="338"/>
  <c r="H42" i="338"/>
  <c r="G42" i="338"/>
  <c r="H41" i="338"/>
  <c r="G41" i="338"/>
  <c r="H40" i="338"/>
  <c r="G40" i="338"/>
  <c r="H39" i="338"/>
  <c r="G39" i="338"/>
  <c r="H38" i="338"/>
  <c r="G38" i="338"/>
  <c r="H37" i="338"/>
  <c r="G37" i="338"/>
  <c r="H36" i="338"/>
  <c r="G36" i="338"/>
  <c r="H35" i="338"/>
  <c r="G35" i="338"/>
  <c r="H34" i="338"/>
  <c r="G34" i="338"/>
  <c r="H33" i="338"/>
  <c r="G33" i="338"/>
  <c r="H32" i="338"/>
  <c r="G32" i="338"/>
  <c r="H31" i="338"/>
  <c r="G31" i="338"/>
  <c r="H30" i="338"/>
  <c r="G30" i="338"/>
  <c r="H29" i="338"/>
  <c r="G29" i="338"/>
  <c r="H28" i="338"/>
  <c r="G28" i="338"/>
  <c r="H27" i="338"/>
  <c r="G27" i="338"/>
  <c r="H26" i="338"/>
  <c r="G26" i="338"/>
  <c r="H25" i="338"/>
  <c r="G25" i="338"/>
  <c r="H24" i="338"/>
  <c r="G24" i="338"/>
  <c r="H23" i="338"/>
  <c r="G23" i="338"/>
  <c r="H22" i="338"/>
  <c r="G22" i="338"/>
  <c r="H21" i="338"/>
  <c r="G21" i="338"/>
  <c r="H20" i="338"/>
  <c r="G20" i="338"/>
  <c r="H19" i="338"/>
  <c r="G19" i="338"/>
  <c r="H18" i="338"/>
  <c r="G18" i="338"/>
  <c r="H17" i="338"/>
  <c r="G17" i="338"/>
  <c r="H16" i="338"/>
  <c r="G16" i="338"/>
  <c r="H15" i="338"/>
  <c r="G15" i="338"/>
  <c r="H14" i="338"/>
  <c r="G14" i="338"/>
  <c r="H13" i="338"/>
  <c r="G13" i="338"/>
  <c r="H12" i="338"/>
  <c r="G12" i="338"/>
  <c r="H11" i="338"/>
  <c r="G11" i="338"/>
  <c r="H10" i="338"/>
  <c r="G10" i="338"/>
  <c r="H9" i="338"/>
  <c r="G9" i="338"/>
  <c r="H8" i="338"/>
  <c r="G8" i="338"/>
  <c r="H7" i="338"/>
  <c r="G7" i="338"/>
  <c r="H6" i="338"/>
  <c r="G6" i="338"/>
  <c r="H5" i="338"/>
  <c r="G5" i="338"/>
  <c r="H4" i="338"/>
  <c r="G4" i="338"/>
  <c r="H3" i="338"/>
  <c r="G3" i="338"/>
  <c r="H2" i="338"/>
  <c r="G2" i="338"/>
  <c r="H53" i="339"/>
  <c r="G53" i="339"/>
  <c r="H52" i="339"/>
  <c r="G52" i="339"/>
  <c r="H51" i="339"/>
  <c r="G51" i="339"/>
  <c r="H50" i="339"/>
  <c r="G50" i="339"/>
  <c r="H49" i="339"/>
  <c r="G49" i="339"/>
  <c r="H48" i="339"/>
  <c r="G48" i="339"/>
  <c r="H47" i="339"/>
  <c r="G47" i="339"/>
  <c r="H46" i="339"/>
  <c r="G46" i="339"/>
  <c r="H45" i="339"/>
  <c r="G45" i="339"/>
  <c r="H44" i="339"/>
  <c r="G44" i="339"/>
  <c r="H43" i="339"/>
  <c r="G43" i="339"/>
  <c r="H42" i="339"/>
  <c r="G42" i="339"/>
  <c r="H41" i="339"/>
  <c r="G41" i="339"/>
  <c r="H40" i="339"/>
  <c r="G40" i="339"/>
  <c r="H39" i="339"/>
  <c r="G39" i="339"/>
  <c r="H38" i="339"/>
  <c r="G38" i="339"/>
  <c r="H37" i="339"/>
  <c r="G37" i="339"/>
  <c r="H36" i="339"/>
  <c r="G36" i="339"/>
  <c r="H35" i="339"/>
  <c r="G35" i="339"/>
  <c r="H34" i="339"/>
  <c r="G34" i="339"/>
  <c r="H33" i="339"/>
  <c r="G33" i="339"/>
  <c r="H32" i="339"/>
  <c r="G32" i="339"/>
  <c r="H31" i="339"/>
  <c r="G31" i="339"/>
  <c r="H30" i="339"/>
  <c r="G30" i="339"/>
  <c r="H29" i="339"/>
  <c r="G29" i="339"/>
  <c r="H28" i="339"/>
  <c r="G28" i="339"/>
  <c r="H27" i="339"/>
  <c r="G27" i="339"/>
  <c r="H26" i="339"/>
  <c r="G26" i="339"/>
  <c r="H25" i="339"/>
  <c r="G25" i="339"/>
  <c r="H24" i="339"/>
  <c r="G24" i="339"/>
  <c r="H23" i="339"/>
  <c r="G23" i="339"/>
  <c r="H22" i="339"/>
  <c r="G22" i="339"/>
  <c r="H21" i="339"/>
  <c r="G21" i="339"/>
  <c r="H20" i="339"/>
  <c r="G20" i="339"/>
  <c r="H19" i="339"/>
  <c r="G19" i="339"/>
  <c r="H18" i="339"/>
  <c r="G18" i="339"/>
  <c r="H17" i="339"/>
  <c r="G17" i="339"/>
  <c r="H16" i="339"/>
  <c r="G16" i="339"/>
  <c r="H15" i="339"/>
  <c r="G15" i="339"/>
  <c r="H14" i="339"/>
  <c r="G14" i="339"/>
  <c r="H13" i="339"/>
  <c r="G13" i="339"/>
  <c r="H12" i="339"/>
  <c r="G12" i="339"/>
  <c r="H11" i="339"/>
  <c r="G11" i="339"/>
  <c r="H10" i="339"/>
  <c r="G10" i="339"/>
  <c r="H9" i="339"/>
  <c r="G9" i="339"/>
  <c r="H8" i="339"/>
  <c r="G8" i="339"/>
  <c r="H7" i="339"/>
  <c r="G7" i="339"/>
  <c r="H6" i="339"/>
  <c r="G6" i="339"/>
  <c r="H5" i="339"/>
  <c r="G5" i="339"/>
  <c r="H4" i="339"/>
  <c r="G4" i="339"/>
  <c r="H3" i="339"/>
  <c r="G3" i="339"/>
  <c r="H2" i="339"/>
  <c r="G2" i="339"/>
  <c r="H53" i="341"/>
  <c r="G53" i="341"/>
  <c r="H52" i="341"/>
  <c r="G52" i="341"/>
  <c r="H51" i="341"/>
  <c r="G51" i="341"/>
  <c r="H50" i="341"/>
  <c r="G50" i="341"/>
  <c r="H49" i="341"/>
  <c r="G49" i="341"/>
  <c r="H48" i="341"/>
  <c r="G48" i="341"/>
  <c r="H47" i="341"/>
  <c r="G47" i="341"/>
  <c r="H46" i="341"/>
  <c r="G46" i="341"/>
  <c r="H45" i="341"/>
  <c r="G45" i="341"/>
  <c r="H44" i="341"/>
  <c r="G44" i="341"/>
  <c r="H43" i="341"/>
  <c r="G43" i="341"/>
  <c r="H42" i="341"/>
  <c r="G42" i="341"/>
  <c r="H41" i="341"/>
  <c r="G41" i="341"/>
  <c r="H40" i="341"/>
  <c r="G40" i="341"/>
  <c r="H39" i="341"/>
  <c r="G39" i="341"/>
  <c r="H38" i="341"/>
  <c r="G38" i="341"/>
  <c r="H37" i="341"/>
  <c r="G37" i="341"/>
  <c r="H36" i="341"/>
  <c r="G36" i="341"/>
  <c r="H35" i="341"/>
  <c r="G35" i="341"/>
  <c r="H34" i="341"/>
  <c r="G34" i="341"/>
  <c r="H33" i="341"/>
  <c r="G33" i="341"/>
  <c r="H32" i="341"/>
  <c r="G32" i="341"/>
  <c r="H31" i="341"/>
  <c r="G31" i="341"/>
  <c r="H30" i="341"/>
  <c r="G30" i="341"/>
  <c r="H29" i="341"/>
  <c r="G29" i="341"/>
  <c r="H28" i="341"/>
  <c r="G28" i="341"/>
  <c r="H27" i="341"/>
  <c r="G27" i="341"/>
  <c r="H26" i="341"/>
  <c r="G26" i="341"/>
  <c r="H25" i="341"/>
  <c r="G25" i="341"/>
  <c r="H24" i="341"/>
  <c r="G24" i="341"/>
  <c r="H23" i="341"/>
  <c r="G23" i="341"/>
  <c r="H22" i="341"/>
  <c r="G22" i="341"/>
  <c r="H21" i="341"/>
  <c r="G21" i="341"/>
  <c r="H20" i="341"/>
  <c r="G20" i="341"/>
  <c r="H19" i="341"/>
  <c r="G19" i="341"/>
  <c r="H18" i="341"/>
  <c r="G18" i="341"/>
  <c r="H17" i="341"/>
  <c r="G17" i="341"/>
  <c r="H16" i="341"/>
  <c r="G16" i="341"/>
  <c r="H15" i="341"/>
  <c r="G15" i="341"/>
  <c r="H14" i="341"/>
  <c r="G14" i="341"/>
  <c r="H13" i="341"/>
  <c r="G13" i="341"/>
  <c r="H12" i="341"/>
  <c r="G12" i="341"/>
  <c r="H11" i="341"/>
  <c r="G11" i="341"/>
  <c r="H10" i="341"/>
  <c r="G10" i="341"/>
  <c r="H9" i="341"/>
  <c r="G9" i="341"/>
  <c r="H8" i="341"/>
  <c r="G8" i="341"/>
  <c r="H7" i="341"/>
  <c r="G7" i="341"/>
  <c r="H6" i="341"/>
  <c r="G6" i="341"/>
  <c r="H5" i="341"/>
  <c r="G5" i="341"/>
  <c r="H4" i="341"/>
  <c r="G4" i="341"/>
  <c r="H3" i="341"/>
  <c r="G3" i="341"/>
  <c r="H2" i="341"/>
  <c r="G2" i="341"/>
  <c r="CU108" i="142" l="1"/>
  <c r="F211" i="235"/>
  <c r="C211" i="235"/>
  <c r="O210" i="235"/>
  <c r="C210" i="235"/>
  <c r="C209" i="235"/>
  <c r="C208" i="235"/>
  <c r="H215" i="235"/>
  <c r="C215" i="235"/>
  <c r="F207" i="235"/>
  <c r="C207" i="235"/>
  <c r="O214" i="235"/>
  <c r="C214" i="235"/>
  <c r="C213" i="235"/>
  <c r="C205" i="235"/>
  <c r="C80" i="293"/>
  <c r="AI80" i="333"/>
  <c r="J190" i="235"/>
  <c r="N224" i="235"/>
  <c r="F215" i="235"/>
  <c r="F222" i="235"/>
  <c r="G183" i="235"/>
  <c r="H213" i="235"/>
  <c r="G222" i="235"/>
  <c r="V230" i="235"/>
  <c r="E222" i="235"/>
  <c r="O183" i="235"/>
  <c r="I211" i="235"/>
  <c r="H222" i="235"/>
  <c r="K198" i="235"/>
  <c r="C175" i="235"/>
  <c r="G175" i="235"/>
  <c r="K175" i="235"/>
  <c r="O175" i="235"/>
  <c r="H192" i="235"/>
  <c r="F198" i="235"/>
  <c r="C192" i="235"/>
  <c r="K194" i="235"/>
  <c r="O198" i="235"/>
  <c r="G210" i="235"/>
  <c r="I210" i="235"/>
  <c r="N213" i="235"/>
  <c r="F230" i="235"/>
  <c r="G227" i="235"/>
  <c r="I225" i="235"/>
  <c r="O230" i="235"/>
  <c r="C177" i="235"/>
  <c r="E177" i="235"/>
  <c r="I185" i="235"/>
  <c r="Q185" i="235"/>
  <c r="N190" i="235"/>
  <c r="N198" i="235"/>
  <c r="K190" i="235"/>
  <c r="I192" i="235"/>
  <c r="C200" i="235"/>
  <c r="N208" i="235"/>
  <c r="T215" i="235"/>
  <c r="E230" i="235"/>
  <c r="F227" i="235"/>
  <c r="N230" i="235"/>
  <c r="O225" i="235"/>
  <c r="K177" i="235"/>
  <c r="M200" i="235"/>
  <c r="C183" i="235"/>
  <c r="G185" i="235"/>
  <c r="K183" i="235"/>
  <c r="O185" i="235"/>
  <c r="F190" i="235"/>
  <c r="I200" i="235"/>
  <c r="E209" i="235"/>
  <c r="H210" i="235"/>
  <c r="K211" i="235"/>
  <c r="E227" i="235"/>
  <c r="F224" i="235"/>
  <c r="H230" i="235"/>
  <c r="M230" i="235"/>
  <c r="N225" i="235"/>
  <c r="O222" i="235"/>
  <c r="C180" i="235"/>
  <c r="K180" i="235"/>
  <c r="O193" i="235"/>
  <c r="C178" i="235"/>
  <c r="I183" i="235"/>
  <c r="K178" i="235"/>
  <c r="O190" i="235"/>
  <c r="G192" i="235"/>
  <c r="E198" i="235"/>
  <c r="G200" i="235"/>
  <c r="E215" i="235"/>
  <c r="G205" i="235"/>
  <c r="I208" i="235"/>
  <c r="K208" i="235"/>
  <c r="N211" i="235"/>
  <c r="F225" i="235"/>
  <c r="H225" i="235"/>
  <c r="N227" i="235"/>
  <c r="K206" i="235"/>
  <c r="I178" i="235"/>
  <c r="F191" i="235"/>
  <c r="J213" i="235"/>
  <c r="N206" i="235"/>
  <c r="I180" i="235"/>
  <c r="E214" i="235"/>
  <c r="E185" i="235"/>
  <c r="G180" i="235"/>
  <c r="I177" i="235"/>
  <c r="M185" i="235"/>
  <c r="O180" i="235"/>
  <c r="H195" i="235"/>
  <c r="F199" i="235"/>
  <c r="G191" i="235"/>
  <c r="O194" i="235"/>
  <c r="T200" i="235"/>
  <c r="H208" i="235"/>
  <c r="J211" i="235"/>
  <c r="N205" i="235"/>
  <c r="C224" i="235"/>
  <c r="E224" i="235"/>
  <c r="G230" i="235"/>
  <c r="J223" i="235"/>
  <c r="N222" i="235"/>
  <c r="E183" i="235"/>
  <c r="G178" i="235"/>
  <c r="O178" i="235"/>
  <c r="K191" i="235"/>
  <c r="C193" i="235"/>
  <c r="J208" i="235"/>
  <c r="O211" i="235"/>
  <c r="C221" i="235"/>
  <c r="K229" i="235"/>
  <c r="C185" i="235"/>
  <c r="E180" i="235"/>
  <c r="G177" i="235"/>
  <c r="K185" i="235"/>
  <c r="O177" i="235"/>
  <c r="S178" i="235"/>
  <c r="F192" i="235"/>
  <c r="F200" i="235"/>
  <c r="E193" i="235"/>
  <c r="G195" i="235"/>
  <c r="K199" i="235"/>
  <c r="F210" i="235"/>
  <c r="I213" i="235"/>
  <c r="J206" i="235"/>
  <c r="O208" i="235"/>
  <c r="G225" i="235"/>
  <c r="K224" i="235"/>
  <c r="O227" i="235"/>
  <c r="E178" i="235"/>
  <c r="I193" i="235"/>
  <c r="G213" i="235"/>
  <c r="J205" i="235"/>
  <c r="O206" i="235"/>
  <c r="K223" i="235"/>
  <c r="K189" i="235"/>
  <c r="G189" i="235"/>
  <c r="O189" i="235"/>
  <c r="C189" i="235"/>
  <c r="N174" i="235"/>
  <c r="J174" i="235"/>
  <c r="F174" i="235"/>
  <c r="O174" i="235"/>
  <c r="K174" i="235"/>
  <c r="G174" i="235"/>
  <c r="C174" i="235"/>
  <c r="N219" i="235"/>
  <c r="F219" i="235"/>
  <c r="K219" i="235"/>
  <c r="C219" i="235"/>
  <c r="G219" i="235"/>
  <c r="O219" i="235"/>
  <c r="J219" i="235"/>
  <c r="N181" i="235"/>
  <c r="E196" i="235"/>
  <c r="F196" i="235"/>
  <c r="O196" i="235"/>
  <c r="K196" i="235"/>
  <c r="G196" i="235"/>
  <c r="I212" i="235"/>
  <c r="O212" i="235"/>
  <c r="K212" i="235"/>
  <c r="H212" i="235"/>
  <c r="N212" i="235"/>
  <c r="J212" i="235"/>
  <c r="N228" i="235"/>
  <c r="F228" i="235"/>
  <c r="K228" i="235"/>
  <c r="C228" i="235"/>
  <c r="E228" i="235"/>
  <c r="N220" i="235"/>
  <c r="F220" i="235"/>
  <c r="K220" i="235"/>
  <c r="C220" i="235"/>
  <c r="J228" i="235"/>
  <c r="C184" i="235"/>
  <c r="C176" i="235"/>
  <c r="E184" i="235"/>
  <c r="F180" i="235"/>
  <c r="G184" i="235"/>
  <c r="G176" i="235"/>
  <c r="H180" i="235"/>
  <c r="I184" i="235"/>
  <c r="I176" i="235"/>
  <c r="J180" i="235"/>
  <c r="K184" i="235"/>
  <c r="K176" i="235"/>
  <c r="N180" i="235"/>
  <c r="O184" i="235"/>
  <c r="O176" i="235"/>
  <c r="H196" i="235"/>
  <c r="J199" i="235"/>
  <c r="I196" i="235"/>
  <c r="F212" i="235"/>
  <c r="G207" i="235"/>
  <c r="C229" i="235"/>
  <c r="J226" i="235"/>
  <c r="K221" i="235"/>
  <c r="K204" i="235"/>
  <c r="O204" i="235"/>
  <c r="J204" i="235"/>
  <c r="C226" i="235"/>
  <c r="C182" i="235"/>
  <c r="E182" i="235"/>
  <c r="F178" i="235"/>
  <c r="G182" i="235"/>
  <c r="H178" i="235"/>
  <c r="I182" i="235"/>
  <c r="J178" i="235"/>
  <c r="K182" i="235"/>
  <c r="N178" i="235"/>
  <c r="O182" i="235"/>
  <c r="H194" i="235"/>
  <c r="N194" i="235"/>
  <c r="I194" i="235"/>
  <c r="J194" i="235"/>
  <c r="G194" i="235"/>
  <c r="F194" i="235"/>
  <c r="C194" i="235"/>
  <c r="H209" i="235"/>
  <c r="N209" i="235"/>
  <c r="J209" i="235"/>
  <c r="G209" i="235"/>
  <c r="I209" i="235"/>
  <c r="F209" i="235"/>
  <c r="G220" i="235"/>
  <c r="I226" i="235"/>
  <c r="J221" i="235"/>
  <c r="O228" i="235"/>
  <c r="S181" i="235"/>
  <c r="J181" i="235"/>
  <c r="H179" i="235"/>
  <c r="V185" i="235"/>
  <c r="T185" i="235"/>
  <c r="C181" i="235"/>
  <c r="E181" i="235"/>
  <c r="F185" i="235"/>
  <c r="F177" i="235"/>
  <c r="G181" i="235"/>
  <c r="H185" i="235"/>
  <c r="H177" i="235"/>
  <c r="I181" i="235"/>
  <c r="J185" i="235"/>
  <c r="J177" i="235"/>
  <c r="K181" i="235"/>
  <c r="N185" i="235"/>
  <c r="N177" i="235"/>
  <c r="O181" i="235"/>
  <c r="S185" i="235"/>
  <c r="C197" i="235"/>
  <c r="C204" i="235"/>
  <c r="E212" i="235"/>
  <c r="K214" i="235"/>
  <c r="N204" i="235"/>
  <c r="C223" i="235"/>
  <c r="E229" i="235"/>
  <c r="J220" i="235"/>
  <c r="J179" i="235"/>
  <c r="I228" i="235"/>
  <c r="S184" i="235"/>
  <c r="S176" i="235"/>
  <c r="F184" i="235"/>
  <c r="F176" i="235"/>
  <c r="H184" i="235"/>
  <c r="H176" i="235"/>
  <c r="J184" i="235"/>
  <c r="J176" i="235"/>
  <c r="N184" i="235"/>
  <c r="N176" i="235"/>
  <c r="N215" i="235"/>
  <c r="J215" i="235"/>
  <c r="L215" i="235"/>
  <c r="I215" i="235"/>
  <c r="O215" i="235"/>
  <c r="K215" i="235"/>
  <c r="N207" i="235"/>
  <c r="J207" i="235"/>
  <c r="I207" i="235"/>
  <c r="O207" i="235"/>
  <c r="K207" i="235"/>
  <c r="G215" i="235"/>
  <c r="E223" i="235"/>
  <c r="O223" i="235"/>
  <c r="G223" i="235"/>
  <c r="N223" i="235"/>
  <c r="F223" i="235"/>
  <c r="H228" i="235"/>
  <c r="I223" i="235"/>
  <c r="F181" i="235"/>
  <c r="N179" i="235"/>
  <c r="K197" i="235"/>
  <c r="G197" i="235"/>
  <c r="S183" i="235"/>
  <c r="S175" i="235"/>
  <c r="C179" i="235"/>
  <c r="E179" i="235"/>
  <c r="F183" i="235"/>
  <c r="F175" i="235"/>
  <c r="G179" i="235"/>
  <c r="H183" i="235"/>
  <c r="I179" i="235"/>
  <c r="J183" i="235"/>
  <c r="J175" i="235"/>
  <c r="K179" i="235"/>
  <c r="N183" i="235"/>
  <c r="N175" i="235"/>
  <c r="O179" i="235"/>
  <c r="S180" i="235"/>
  <c r="I195" i="235"/>
  <c r="E195" i="235"/>
  <c r="C195" i="235"/>
  <c r="J195" i="235"/>
  <c r="O195" i="235"/>
  <c r="F195" i="235"/>
  <c r="E194" i="235"/>
  <c r="I197" i="235"/>
  <c r="G214" i="235"/>
  <c r="I214" i="235"/>
  <c r="F214" i="235"/>
  <c r="H214" i="235"/>
  <c r="G206" i="235"/>
  <c r="I206" i="235"/>
  <c r="F206" i="235"/>
  <c r="H206" i="235"/>
  <c r="F204" i="235"/>
  <c r="E207" i="235"/>
  <c r="J214" i="235"/>
  <c r="K209" i="235"/>
  <c r="M215" i="235"/>
  <c r="N214" i="235"/>
  <c r="O209" i="235"/>
  <c r="Q215" i="235"/>
  <c r="V215" i="235"/>
  <c r="H181" i="235"/>
  <c r="F179" i="235"/>
  <c r="N226" i="235"/>
  <c r="F226" i="235"/>
  <c r="H226" i="235"/>
  <c r="E226" i="235"/>
  <c r="O226" i="235"/>
  <c r="G226" i="235"/>
  <c r="F182" i="235"/>
  <c r="H182" i="235"/>
  <c r="J182" i="235"/>
  <c r="N182" i="235"/>
  <c r="S179" i="235"/>
  <c r="I199" i="235"/>
  <c r="E199" i="235"/>
  <c r="C199" i="235"/>
  <c r="O199" i="235"/>
  <c r="H199" i="235"/>
  <c r="C196" i="235"/>
  <c r="O197" i="235"/>
  <c r="G199" i="235"/>
  <c r="G204" i="235"/>
  <c r="G212" i="235"/>
  <c r="H207" i="235"/>
  <c r="O229" i="235"/>
  <c r="G229" i="235"/>
  <c r="I229" i="235"/>
  <c r="N229" i="235"/>
  <c r="F229" i="235"/>
  <c r="H229" i="235"/>
  <c r="O221" i="235"/>
  <c r="G221" i="235"/>
  <c r="I221" i="235"/>
  <c r="N221" i="235"/>
  <c r="F221" i="235"/>
  <c r="H221" i="235"/>
  <c r="G228" i="235"/>
  <c r="H223" i="235"/>
  <c r="J229" i="235"/>
  <c r="O220" i="235"/>
  <c r="C190" i="235"/>
  <c r="O191" i="235"/>
  <c r="K192" i="235"/>
  <c r="G193" i="235"/>
  <c r="C198" i="235"/>
  <c r="K200" i="235"/>
  <c r="E213" i="235"/>
  <c r="F208" i="235"/>
  <c r="G211" i="235"/>
  <c r="C230" i="235"/>
  <c r="C222" i="235"/>
  <c r="I224" i="235"/>
  <c r="J227" i="235"/>
  <c r="K230" i="235"/>
  <c r="K222" i="235"/>
  <c r="T230" i="235"/>
  <c r="H191" i="235"/>
  <c r="J198" i="235"/>
  <c r="G190" i="235"/>
  <c r="C191" i="235"/>
  <c r="O192" i="235"/>
  <c r="K193" i="235"/>
  <c r="G198" i="235"/>
  <c r="O200" i="235"/>
  <c r="E211" i="235"/>
  <c r="J210" i="235"/>
  <c r="K213" i="235"/>
  <c r="K205" i="235"/>
  <c r="N210" i="235"/>
  <c r="O213" i="235"/>
  <c r="O205" i="235"/>
  <c r="G224" i="235"/>
  <c r="H227" i="235"/>
  <c r="I230" i="235"/>
  <c r="I222" i="235"/>
  <c r="J225" i="235"/>
  <c r="O224" i="235"/>
  <c r="Q230" i="235"/>
  <c r="J191" i="235"/>
  <c r="I198" i="235"/>
  <c r="Q200" i="235"/>
  <c r="E210" i="235"/>
  <c r="F213" i="235"/>
  <c r="F205" i="235"/>
  <c r="G208" i="235"/>
  <c r="H211" i="235"/>
  <c r="C227" i="235"/>
  <c r="E225" i="235"/>
  <c r="J224" i="235"/>
  <c r="K227" i="235"/>
  <c r="H200" i="235"/>
  <c r="I191" i="235"/>
  <c r="E192" i="235"/>
  <c r="E200" i="235"/>
  <c r="V200" i="235"/>
  <c r="E208" i="235"/>
  <c r="K210" i="235"/>
  <c r="C225" i="235"/>
  <c r="H224" i="235"/>
  <c r="I227" i="235"/>
  <c r="J230" i="235"/>
  <c r="J222" i="235"/>
  <c r="K225" i="235"/>
  <c r="F189" i="235"/>
  <c r="N191" i="235"/>
  <c r="J192" i="235"/>
  <c r="F193" i="235"/>
  <c r="N195" i="235"/>
  <c r="J196" i="235"/>
  <c r="F197" i="235"/>
  <c r="N199" i="235"/>
  <c r="J200" i="235"/>
  <c r="H193" i="235"/>
  <c r="H197" i="235"/>
  <c r="J189" i="235"/>
  <c r="N192" i="235"/>
  <c r="J193" i="235"/>
  <c r="N196" i="235"/>
  <c r="J197" i="235"/>
  <c r="N200" i="235"/>
  <c r="N189" i="235"/>
  <c r="N193" i="235"/>
  <c r="N197" i="235"/>
  <c r="D200" i="235"/>
  <c r="H3" i="340"/>
  <c r="H2" i="340"/>
  <c r="H43" i="340"/>
  <c r="G43" i="340"/>
  <c r="G5" i="340"/>
  <c r="G6" i="340"/>
  <c r="G7" i="340"/>
  <c r="G8" i="340"/>
  <c r="G9" i="340"/>
  <c r="G10" i="340"/>
  <c r="G11" i="340"/>
  <c r="G12" i="340"/>
  <c r="G13" i="340"/>
  <c r="G14" i="340"/>
  <c r="G15" i="340"/>
  <c r="G16" i="340"/>
  <c r="G17" i="340"/>
  <c r="G18" i="340"/>
  <c r="G19" i="340"/>
  <c r="G20" i="340"/>
  <c r="G21" i="340"/>
  <c r="G22" i="340"/>
  <c r="G23" i="340"/>
  <c r="G24" i="340"/>
  <c r="G25" i="340"/>
  <c r="G26" i="340"/>
  <c r="G27" i="340"/>
  <c r="G28" i="340"/>
  <c r="G29" i="340"/>
  <c r="G30" i="340"/>
  <c r="G31" i="340"/>
  <c r="G32" i="340"/>
  <c r="G33" i="340"/>
  <c r="G34" i="340"/>
  <c r="G35" i="340"/>
  <c r="G36" i="340"/>
  <c r="G37" i="340"/>
  <c r="G38" i="340"/>
  <c r="G39" i="340"/>
  <c r="G40" i="340"/>
  <c r="G41" i="340"/>
  <c r="G42" i="340"/>
  <c r="G44" i="340"/>
  <c r="G45" i="340"/>
  <c r="G46" i="340"/>
  <c r="G47" i="340"/>
  <c r="G48" i="340"/>
  <c r="G49" i="340"/>
  <c r="G50" i="340"/>
  <c r="G51" i="340"/>
  <c r="G52" i="340"/>
  <c r="G53" i="340"/>
  <c r="G227" i="340"/>
  <c r="G4" i="340"/>
  <c r="H4" i="340"/>
  <c r="G3" i="340"/>
  <c r="G2" i="340"/>
  <c r="C60" i="142"/>
  <c r="C44" i="142"/>
  <c r="C28" i="142" l="1"/>
  <c r="E74" i="349"/>
  <c r="E72" i="349"/>
  <c r="E67" i="349"/>
  <c r="E64" i="349"/>
  <c r="E63" i="349"/>
  <c r="E58" i="349"/>
  <c r="E57" i="349"/>
  <c r="E56" i="349"/>
  <c r="E55" i="349"/>
  <c r="E54" i="349"/>
  <c r="E53" i="349"/>
  <c r="E52" i="349"/>
  <c r="E51" i="349"/>
  <c r="E48" i="349"/>
  <c r="E47" i="349"/>
  <c r="E46" i="349"/>
  <c r="E41" i="349"/>
  <c r="E40" i="349"/>
  <c r="E39" i="349"/>
  <c r="E38" i="349"/>
  <c r="E37" i="349"/>
  <c r="E36" i="349"/>
  <c r="E35" i="349"/>
  <c r="E32" i="349"/>
  <c r="E31" i="349"/>
  <c r="E30" i="349"/>
  <c r="E29" i="349"/>
  <c r="E28" i="349"/>
  <c r="E25" i="349"/>
  <c r="H25" i="349" s="1"/>
  <c r="E24" i="349"/>
  <c r="H24" i="349" s="1"/>
  <c r="E23" i="349"/>
  <c r="E22" i="349"/>
  <c r="E21" i="349"/>
  <c r="E20" i="349"/>
  <c r="E15" i="349"/>
  <c r="E14" i="349"/>
  <c r="E12" i="349"/>
  <c r="E11" i="349"/>
  <c r="E10" i="349"/>
  <c r="E8" i="349"/>
  <c r="F8" i="349" s="1"/>
  <c r="E74" i="348"/>
  <c r="E72" i="348"/>
  <c r="E67" i="348"/>
  <c r="E64" i="348"/>
  <c r="E63" i="348"/>
  <c r="E58" i="348"/>
  <c r="E57" i="348"/>
  <c r="E56" i="348"/>
  <c r="E55" i="348"/>
  <c r="E54" i="348"/>
  <c r="E53" i="348"/>
  <c r="E52" i="348"/>
  <c r="E51" i="348"/>
  <c r="E48" i="348"/>
  <c r="H48" i="348" s="1"/>
  <c r="E47" i="348"/>
  <c r="E46" i="348"/>
  <c r="E41" i="348"/>
  <c r="E40" i="348"/>
  <c r="E39" i="348"/>
  <c r="E38" i="348"/>
  <c r="E37" i="348"/>
  <c r="E36" i="348"/>
  <c r="E35" i="348"/>
  <c r="E32" i="348"/>
  <c r="E31" i="348"/>
  <c r="E30" i="348"/>
  <c r="E29" i="348"/>
  <c r="E28" i="348"/>
  <c r="E25" i="348"/>
  <c r="H25" i="348" s="1"/>
  <c r="E24" i="348"/>
  <c r="E23" i="348"/>
  <c r="E22" i="348"/>
  <c r="E21" i="348"/>
  <c r="E20" i="348"/>
  <c r="E15" i="348"/>
  <c r="E14" i="348"/>
  <c r="E12" i="348"/>
  <c r="E11" i="348"/>
  <c r="E10" i="348"/>
  <c r="E8" i="348"/>
  <c r="E74" i="347"/>
  <c r="E72" i="347"/>
  <c r="E67" i="347"/>
  <c r="E64" i="347"/>
  <c r="E63" i="347"/>
  <c r="E58" i="347"/>
  <c r="E57" i="347"/>
  <c r="E56" i="347"/>
  <c r="E55" i="347"/>
  <c r="E54" i="347"/>
  <c r="E53" i="347"/>
  <c r="E52" i="347"/>
  <c r="E51" i="347"/>
  <c r="E48" i="347"/>
  <c r="H48" i="347" s="1"/>
  <c r="E47" i="347"/>
  <c r="E46" i="347"/>
  <c r="E41" i="347"/>
  <c r="E40" i="347"/>
  <c r="E39" i="347"/>
  <c r="E38" i="347"/>
  <c r="E37" i="347"/>
  <c r="E36" i="347"/>
  <c r="E35" i="347"/>
  <c r="H35" i="347" s="1"/>
  <c r="E32" i="347"/>
  <c r="E31" i="347"/>
  <c r="E30" i="347"/>
  <c r="E29" i="347"/>
  <c r="E28" i="347"/>
  <c r="E25" i="347"/>
  <c r="E24" i="347"/>
  <c r="E23" i="347"/>
  <c r="E22" i="347"/>
  <c r="E21" i="347"/>
  <c r="E20" i="347"/>
  <c r="E15" i="347"/>
  <c r="E14" i="347"/>
  <c r="E12" i="347"/>
  <c r="E11" i="347"/>
  <c r="E10" i="347"/>
  <c r="E8" i="347"/>
  <c r="E74" i="346"/>
  <c r="E72" i="346"/>
  <c r="E67" i="346"/>
  <c r="E64" i="346"/>
  <c r="E63" i="346"/>
  <c r="E58" i="346"/>
  <c r="E57" i="346"/>
  <c r="E56" i="346"/>
  <c r="E55" i="346"/>
  <c r="E54" i="346"/>
  <c r="E53" i="346"/>
  <c r="E52" i="346"/>
  <c r="E51" i="346"/>
  <c r="H51" i="346" s="1"/>
  <c r="E48" i="346"/>
  <c r="E47" i="346"/>
  <c r="E46" i="346"/>
  <c r="E41" i="346"/>
  <c r="E40" i="346"/>
  <c r="E39" i="346"/>
  <c r="E38" i="346"/>
  <c r="E37" i="346"/>
  <c r="E36" i="346"/>
  <c r="E35" i="346"/>
  <c r="E32" i="346"/>
  <c r="E31" i="346"/>
  <c r="E30" i="346"/>
  <c r="E29" i="346"/>
  <c r="E28" i="346"/>
  <c r="E25" i="346"/>
  <c r="H25" i="346" s="1"/>
  <c r="E24" i="346"/>
  <c r="E23" i="346"/>
  <c r="E22" i="346"/>
  <c r="E21" i="346"/>
  <c r="E20" i="346"/>
  <c r="E15" i="346"/>
  <c r="E14" i="346"/>
  <c r="E12" i="346"/>
  <c r="E11" i="346"/>
  <c r="E10" i="346"/>
  <c r="E8" i="346"/>
  <c r="F8" i="346" s="1"/>
  <c r="H1" i="349"/>
  <c r="H1" i="348"/>
  <c r="H1" i="347"/>
  <c r="H1" i="346"/>
  <c r="E74" i="345"/>
  <c r="E72" i="345"/>
  <c r="E67" i="345"/>
  <c r="E64" i="345"/>
  <c r="E63" i="345"/>
  <c r="E58" i="345"/>
  <c r="E57" i="345"/>
  <c r="E56" i="345"/>
  <c r="E55" i="345"/>
  <c r="E54" i="345"/>
  <c r="E53" i="345"/>
  <c r="E52" i="345"/>
  <c r="E51" i="345"/>
  <c r="E48" i="345"/>
  <c r="H48" i="345" s="1"/>
  <c r="E47" i="345"/>
  <c r="E46" i="345"/>
  <c r="E41" i="345"/>
  <c r="E40" i="345"/>
  <c r="E39" i="345"/>
  <c r="E38" i="345"/>
  <c r="E37" i="345"/>
  <c r="E36" i="345"/>
  <c r="E35" i="345"/>
  <c r="E32" i="345"/>
  <c r="E31" i="345"/>
  <c r="E30" i="345"/>
  <c r="E29" i="345"/>
  <c r="E28" i="345"/>
  <c r="E25" i="345"/>
  <c r="E24" i="345"/>
  <c r="H24" i="345" s="1"/>
  <c r="E23" i="345"/>
  <c r="E22" i="345"/>
  <c r="E21" i="345"/>
  <c r="E20" i="345"/>
  <c r="E15" i="345"/>
  <c r="E14" i="345"/>
  <c r="E12" i="345"/>
  <c r="E11" i="345"/>
  <c r="E10" i="345"/>
  <c r="E8" i="345"/>
  <c r="E74" i="343"/>
  <c r="E72" i="343"/>
  <c r="E67" i="343"/>
  <c r="E64" i="343"/>
  <c r="E63" i="343"/>
  <c r="E58" i="343"/>
  <c r="E57" i="343"/>
  <c r="E56" i="343"/>
  <c r="E55" i="343"/>
  <c r="E54" i="343"/>
  <c r="E53" i="343"/>
  <c r="E52" i="343"/>
  <c r="E51" i="343"/>
  <c r="E48" i="343"/>
  <c r="E47" i="343"/>
  <c r="E46" i="343"/>
  <c r="E41" i="343"/>
  <c r="E40" i="343"/>
  <c r="E39" i="343"/>
  <c r="E38" i="343"/>
  <c r="E37" i="343"/>
  <c r="E36" i="343"/>
  <c r="E35" i="343"/>
  <c r="E32" i="343"/>
  <c r="E31" i="343"/>
  <c r="E30" i="343"/>
  <c r="E29" i="343"/>
  <c r="E28" i="343"/>
  <c r="E25" i="343"/>
  <c r="E24" i="343"/>
  <c r="H24" i="343" s="1"/>
  <c r="E23" i="343"/>
  <c r="E22" i="343"/>
  <c r="E21" i="343"/>
  <c r="E20" i="343"/>
  <c r="E15" i="343"/>
  <c r="E14" i="343"/>
  <c r="E12" i="343"/>
  <c r="E11" i="343"/>
  <c r="E10" i="343"/>
  <c r="E8" i="343"/>
  <c r="E74" i="344"/>
  <c r="E72" i="344"/>
  <c r="E67" i="344"/>
  <c r="E64" i="344"/>
  <c r="E63" i="344"/>
  <c r="E58" i="344"/>
  <c r="E57" i="344"/>
  <c r="E56" i="344"/>
  <c r="E55" i="344"/>
  <c r="E54" i="344"/>
  <c r="E53" i="344"/>
  <c r="E52" i="344"/>
  <c r="E51" i="344"/>
  <c r="E48" i="344"/>
  <c r="E47" i="344"/>
  <c r="E46" i="344"/>
  <c r="E41" i="344"/>
  <c r="E40" i="344"/>
  <c r="E39" i="344"/>
  <c r="E38" i="344"/>
  <c r="E37" i="344"/>
  <c r="E36" i="344"/>
  <c r="E35" i="344"/>
  <c r="E32" i="344"/>
  <c r="E31" i="344"/>
  <c r="E30" i="344"/>
  <c r="E29" i="344"/>
  <c r="E28" i="344"/>
  <c r="E25" i="344"/>
  <c r="H25" i="344" s="1"/>
  <c r="E24" i="344"/>
  <c r="H24" i="344" s="1"/>
  <c r="E23" i="344"/>
  <c r="E22" i="344"/>
  <c r="E21" i="344"/>
  <c r="E20" i="344"/>
  <c r="E15" i="344"/>
  <c r="E14" i="344"/>
  <c r="E12" i="344"/>
  <c r="E11" i="344"/>
  <c r="E10" i="344"/>
  <c r="E8" i="344"/>
  <c r="F8" i="344" s="1"/>
  <c r="E74" i="342"/>
  <c r="E72" i="342"/>
  <c r="E67" i="342"/>
  <c r="E64" i="342"/>
  <c r="E63" i="342"/>
  <c r="E58" i="342"/>
  <c r="E57" i="342"/>
  <c r="E56" i="342"/>
  <c r="E55" i="342"/>
  <c r="E54" i="342"/>
  <c r="E53" i="342"/>
  <c r="E52" i="342"/>
  <c r="E51" i="342"/>
  <c r="E48" i="342"/>
  <c r="E47" i="342"/>
  <c r="E46" i="342"/>
  <c r="E41" i="342"/>
  <c r="E40" i="342"/>
  <c r="E39" i="342"/>
  <c r="E38" i="342"/>
  <c r="E37" i="342"/>
  <c r="E36" i="342"/>
  <c r="E35" i="342"/>
  <c r="E32" i="342"/>
  <c r="E31" i="342"/>
  <c r="E30" i="342"/>
  <c r="E29" i="342"/>
  <c r="E28" i="342"/>
  <c r="E25" i="342"/>
  <c r="H25" i="342" s="1"/>
  <c r="E24" i="342"/>
  <c r="E23" i="342"/>
  <c r="E22" i="342"/>
  <c r="E21" i="342"/>
  <c r="E20" i="342"/>
  <c r="E15" i="342"/>
  <c r="E14" i="342"/>
  <c r="E12" i="342"/>
  <c r="E11" i="342"/>
  <c r="E10" i="342"/>
  <c r="E8" i="342"/>
  <c r="E6" i="345"/>
  <c r="C6" i="345"/>
  <c r="H1" i="345"/>
  <c r="E6" i="344"/>
  <c r="H1" i="344"/>
  <c r="E6" i="343"/>
  <c r="C6" i="343"/>
  <c r="H1" i="343"/>
  <c r="E6" i="342"/>
  <c r="C6" i="342"/>
  <c r="H1" i="342"/>
  <c r="AI50" i="332"/>
  <c r="AI19" i="332"/>
  <c r="J227" i="338"/>
  <c r="I227" i="338"/>
  <c r="I226" i="338" s="1"/>
  <c r="I225" i="338" s="1"/>
  <c r="I224" i="338" s="1"/>
  <c r="I223" i="338" s="1"/>
  <c r="I222" i="338" s="1"/>
  <c r="I221" i="338" s="1"/>
  <c r="I220" i="338" s="1"/>
  <c r="C74" i="345" s="1"/>
  <c r="H227" i="338"/>
  <c r="G227" i="338"/>
  <c r="J226" i="338"/>
  <c r="H226" i="338"/>
  <c r="G226" i="338"/>
  <c r="J225" i="338"/>
  <c r="H225" i="338"/>
  <c r="G225" i="338"/>
  <c r="J224" i="338"/>
  <c r="H224" i="338"/>
  <c r="G224" i="338"/>
  <c r="J223" i="338"/>
  <c r="H223" i="338"/>
  <c r="G223" i="338"/>
  <c r="J222" i="338"/>
  <c r="H222" i="338"/>
  <c r="G222" i="338"/>
  <c r="J221" i="338"/>
  <c r="H221" i="338"/>
  <c r="G221" i="338"/>
  <c r="J220" i="338"/>
  <c r="H220" i="338"/>
  <c r="G220" i="338"/>
  <c r="J219" i="338"/>
  <c r="J218" i="338"/>
  <c r="J217" i="338"/>
  <c r="J216" i="338"/>
  <c r="J215" i="338"/>
  <c r="J214" i="338"/>
  <c r="J213" i="338"/>
  <c r="J212" i="338"/>
  <c r="J211" i="338"/>
  <c r="J210" i="338"/>
  <c r="J209" i="338"/>
  <c r="J208" i="338"/>
  <c r="J207" i="338"/>
  <c r="J206" i="338"/>
  <c r="J205" i="338"/>
  <c r="J204" i="338"/>
  <c r="J203" i="338"/>
  <c r="J202" i="338"/>
  <c r="J201" i="338"/>
  <c r="J200" i="338"/>
  <c r="J199" i="338"/>
  <c r="J198" i="338"/>
  <c r="J197" i="338"/>
  <c r="J196" i="338"/>
  <c r="J195" i="338"/>
  <c r="J194" i="338"/>
  <c r="J193" i="338"/>
  <c r="J192" i="338"/>
  <c r="J191" i="338"/>
  <c r="J190" i="338"/>
  <c r="J189" i="338"/>
  <c r="J188" i="338"/>
  <c r="J187" i="338"/>
  <c r="J186" i="338"/>
  <c r="J185" i="338"/>
  <c r="J184" i="338"/>
  <c r="J183" i="338"/>
  <c r="J182" i="338"/>
  <c r="J181" i="338"/>
  <c r="J180" i="338"/>
  <c r="J179" i="338"/>
  <c r="J178" i="338"/>
  <c r="J177" i="338"/>
  <c r="J176" i="338"/>
  <c r="J175" i="338"/>
  <c r="J174" i="338"/>
  <c r="J173" i="338"/>
  <c r="J172" i="338"/>
  <c r="J171" i="338"/>
  <c r="J170" i="338"/>
  <c r="J169" i="338"/>
  <c r="J168" i="338"/>
  <c r="J167" i="338"/>
  <c r="J166" i="338"/>
  <c r="J165" i="338"/>
  <c r="J164" i="338"/>
  <c r="J163" i="338"/>
  <c r="J162" i="338"/>
  <c r="J161" i="338"/>
  <c r="J160" i="338"/>
  <c r="J159" i="338"/>
  <c r="J158" i="338"/>
  <c r="J157" i="338"/>
  <c r="J156" i="338"/>
  <c r="J155" i="338"/>
  <c r="J154" i="338"/>
  <c r="J153" i="338"/>
  <c r="J152" i="338"/>
  <c r="J151" i="338"/>
  <c r="J150" i="338"/>
  <c r="J149" i="338"/>
  <c r="J148" i="338"/>
  <c r="J147" i="338"/>
  <c r="J146" i="338"/>
  <c r="J145" i="338"/>
  <c r="J144" i="338"/>
  <c r="J143" i="338"/>
  <c r="J142" i="338"/>
  <c r="J141" i="338"/>
  <c r="J140" i="338"/>
  <c r="J139" i="338"/>
  <c r="J138" i="338"/>
  <c r="J137" i="338"/>
  <c r="J136" i="338"/>
  <c r="J135" i="338"/>
  <c r="J134" i="338"/>
  <c r="J133" i="338"/>
  <c r="J132" i="338"/>
  <c r="J131" i="338"/>
  <c r="J130" i="338"/>
  <c r="J129" i="338"/>
  <c r="J128" i="338"/>
  <c r="J127" i="338"/>
  <c r="J126" i="338"/>
  <c r="J125" i="338"/>
  <c r="J124" i="338"/>
  <c r="J123" i="338"/>
  <c r="J122" i="338"/>
  <c r="J121" i="338"/>
  <c r="J120" i="338"/>
  <c r="J119" i="338"/>
  <c r="J118" i="338"/>
  <c r="J117" i="338"/>
  <c r="J116" i="338"/>
  <c r="J115" i="338"/>
  <c r="J114" i="338"/>
  <c r="J113" i="338"/>
  <c r="J112" i="338"/>
  <c r="J111" i="338"/>
  <c r="J110" i="338"/>
  <c r="J109" i="338"/>
  <c r="J108" i="338"/>
  <c r="J107" i="338"/>
  <c r="J106" i="338"/>
  <c r="J105" i="338"/>
  <c r="J104" i="338"/>
  <c r="J103" i="338"/>
  <c r="J102" i="338"/>
  <c r="J101" i="338"/>
  <c r="J100" i="338"/>
  <c r="J99" i="338"/>
  <c r="J98" i="338"/>
  <c r="J97" i="338"/>
  <c r="J96" i="338"/>
  <c r="J95" i="338"/>
  <c r="J94" i="338"/>
  <c r="J93" i="338"/>
  <c r="J92" i="338"/>
  <c r="J91" i="338"/>
  <c r="J90" i="338"/>
  <c r="J89" i="338"/>
  <c r="J88" i="338"/>
  <c r="J87" i="338"/>
  <c r="J86" i="338"/>
  <c r="J85" i="338"/>
  <c r="J84" i="338"/>
  <c r="J83" i="338"/>
  <c r="J82" i="338"/>
  <c r="J81" i="338"/>
  <c r="J80" i="338"/>
  <c r="J79" i="338"/>
  <c r="J78" i="338"/>
  <c r="J77" i="338"/>
  <c r="J76" i="338"/>
  <c r="J75" i="338"/>
  <c r="J74" i="338"/>
  <c r="J73" i="338"/>
  <c r="J72" i="338"/>
  <c r="J71" i="338"/>
  <c r="J70" i="338"/>
  <c r="J69" i="338"/>
  <c r="J68" i="338"/>
  <c r="J67" i="338"/>
  <c r="J66" i="338"/>
  <c r="J65" i="338"/>
  <c r="J64" i="338"/>
  <c r="J63" i="338"/>
  <c r="J62" i="338"/>
  <c r="J61" i="338"/>
  <c r="J60" i="338"/>
  <c r="J59" i="338"/>
  <c r="J58" i="338"/>
  <c r="J57" i="338"/>
  <c r="J56" i="338"/>
  <c r="J55" i="338"/>
  <c r="J54" i="338"/>
  <c r="J227" i="339"/>
  <c r="I227" i="339"/>
  <c r="I226" i="339" s="1"/>
  <c r="I225" i="339" s="1"/>
  <c r="I224" i="339" s="1"/>
  <c r="I223" i="339" s="1"/>
  <c r="I222" i="339" s="1"/>
  <c r="I221" i="339" s="1"/>
  <c r="I220" i="339" s="1"/>
  <c r="H227" i="339"/>
  <c r="G227" i="339"/>
  <c r="J226" i="339"/>
  <c r="H226" i="339"/>
  <c r="G226" i="339"/>
  <c r="J225" i="339"/>
  <c r="H225" i="339"/>
  <c r="G225" i="339"/>
  <c r="J224" i="339"/>
  <c r="H224" i="339"/>
  <c r="G224" i="339"/>
  <c r="J223" i="339"/>
  <c r="H223" i="339"/>
  <c r="G223" i="339"/>
  <c r="J222" i="339"/>
  <c r="H222" i="339"/>
  <c r="G222" i="339"/>
  <c r="J221" i="339"/>
  <c r="H221" i="339"/>
  <c r="G221" i="339"/>
  <c r="J220" i="339"/>
  <c r="H220" i="339"/>
  <c r="G220" i="339"/>
  <c r="J219" i="339"/>
  <c r="J218" i="339"/>
  <c r="J217" i="339"/>
  <c r="J216" i="339"/>
  <c r="J215" i="339"/>
  <c r="J214" i="339"/>
  <c r="J213" i="339"/>
  <c r="J212" i="339"/>
  <c r="J211" i="339"/>
  <c r="J210" i="339"/>
  <c r="J209" i="339"/>
  <c r="J208" i="339"/>
  <c r="J207" i="339"/>
  <c r="J206" i="339"/>
  <c r="J205" i="339"/>
  <c r="J204" i="339"/>
  <c r="J203" i="339"/>
  <c r="J202" i="339"/>
  <c r="J201" i="339"/>
  <c r="J200" i="339"/>
  <c r="J199" i="339"/>
  <c r="J198" i="339"/>
  <c r="J197" i="339"/>
  <c r="J196" i="339"/>
  <c r="J195" i="339"/>
  <c r="J194" i="339"/>
  <c r="J193" i="339"/>
  <c r="J192" i="339"/>
  <c r="J191" i="339"/>
  <c r="J190" i="339"/>
  <c r="J189" i="339"/>
  <c r="J188" i="339"/>
  <c r="J187" i="339"/>
  <c r="J186" i="339"/>
  <c r="J185" i="339"/>
  <c r="J184" i="339"/>
  <c r="J183" i="339"/>
  <c r="J182" i="339"/>
  <c r="J181" i="339"/>
  <c r="J180" i="339"/>
  <c r="J179" i="339"/>
  <c r="J178" i="339"/>
  <c r="J177" i="339"/>
  <c r="J176" i="339"/>
  <c r="J175" i="339"/>
  <c r="J174" i="339"/>
  <c r="J173" i="339"/>
  <c r="J172" i="339"/>
  <c r="J171" i="339"/>
  <c r="J170" i="339"/>
  <c r="J169" i="339"/>
  <c r="J168" i="339"/>
  <c r="J167" i="339"/>
  <c r="J166" i="339"/>
  <c r="J165" i="339"/>
  <c r="J164" i="339"/>
  <c r="J163" i="339"/>
  <c r="J162" i="339"/>
  <c r="J161" i="339"/>
  <c r="J160" i="339"/>
  <c r="J159" i="339"/>
  <c r="J158" i="339"/>
  <c r="J157" i="339"/>
  <c r="J156" i="339"/>
  <c r="J155" i="339"/>
  <c r="J154" i="339"/>
  <c r="J153" i="339"/>
  <c r="J152" i="339"/>
  <c r="J151" i="339"/>
  <c r="J150" i="339"/>
  <c r="J149" i="339"/>
  <c r="J148" i="339"/>
  <c r="J147" i="339"/>
  <c r="J146" i="339"/>
  <c r="J145" i="339"/>
  <c r="J144" i="339"/>
  <c r="J143" i="339"/>
  <c r="J142" i="339"/>
  <c r="J141" i="339"/>
  <c r="J140" i="339"/>
  <c r="J139" i="339"/>
  <c r="J138" i="339"/>
  <c r="J137" i="339"/>
  <c r="J136" i="339"/>
  <c r="J135" i="339"/>
  <c r="J134" i="339"/>
  <c r="J133" i="339"/>
  <c r="J132" i="339"/>
  <c r="J131" i="339"/>
  <c r="J130" i="339"/>
  <c r="J129" i="339"/>
  <c r="J128" i="339"/>
  <c r="J127" i="339"/>
  <c r="J126" i="339"/>
  <c r="J125" i="339"/>
  <c r="J124" i="339"/>
  <c r="J123" i="339"/>
  <c r="J122" i="339"/>
  <c r="J121" i="339"/>
  <c r="J120" i="339"/>
  <c r="J119" i="339"/>
  <c r="J118" i="339"/>
  <c r="J117" i="339"/>
  <c r="J116" i="339"/>
  <c r="J115" i="339"/>
  <c r="J114" i="339"/>
  <c r="J113" i="339"/>
  <c r="J112" i="339"/>
  <c r="J111" i="339"/>
  <c r="J110" i="339"/>
  <c r="J109" i="339"/>
  <c r="J108" i="339"/>
  <c r="J107" i="339"/>
  <c r="J106" i="339"/>
  <c r="J105" i="339"/>
  <c r="J104" i="339"/>
  <c r="J103" i="339"/>
  <c r="J102" i="339"/>
  <c r="J101" i="339"/>
  <c r="J100" i="339"/>
  <c r="J99" i="339"/>
  <c r="J98" i="339"/>
  <c r="J97" i="339"/>
  <c r="J96" i="339"/>
  <c r="J95" i="339"/>
  <c r="J94" i="339"/>
  <c r="J93" i="339"/>
  <c r="J92" i="339"/>
  <c r="J91" i="339"/>
  <c r="J90" i="339"/>
  <c r="J89" i="339"/>
  <c r="J88" i="339"/>
  <c r="J87" i="339"/>
  <c r="J86" i="339"/>
  <c r="J85" i="339"/>
  <c r="J84" i="339"/>
  <c r="J83" i="339"/>
  <c r="J82" i="339"/>
  <c r="J81" i="339"/>
  <c r="J80" i="339"/>
  <c r="J79" i="339"/>
  <c r="J78" i="339"/>
  <c r="J77" i="339"/>
  <c r="J76" i="339"/>
  <c r="J75" i="339"/>
  <c r="J74" i="339"/>
  <c r="J73" i="339"/>
  <c r="J72" i="339"/>
  <c r="J71" i="339"/>
  <c r="J70" i="339"/>
  <c r="J69" i="339"/>
  <c r="J68" i="339"/>
  <c r="J67" i="339"/>
  <c r="J66" i="339"/>
  <c r="J65" i="339"/>
  <c r="J64" i="339"/>
  <c r="J63" i="339"/>
  <c r="J62" i="339"/>
  <c r="J61" i="339"/>
  <c r="J60" i="339"/>
  <c r="J59" i="339"/>
  <c r="J58" i="339"/>
  <c r="J57" i="339"/>
  <c r="J56" i="339"/>
  <c r="J55" i="339"/>
  <c r="J54" i="339"/>
  <c r="J227" i="340"/>
  <c r="I227" i="340"/>
  <c r="H227" i="340"/>
  <c r="H53" i="340"/>
  <c r="H52" i="340"/>
  <c r="H51" i="340"/>
  <c r="H50" i="340"/>
  <c r="H49" i="340"/>
  <c r="H48" i="340"/>
  <c r="H47" i="340"/>
  <c r="H46" i="340"/>
  <c r="H45" i="340"/>
  <c r="H44" i="340"/>
  <c r="H42" i="340"/>
  <c r="H41" i="340"/>
  <c r="H40" i="340"/>
  <c r="H39" i="340"/>
  <c r="H38" i="340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J227" i="341"/>
  <c r="I227" i="341"/>
  <c r="I226" i="341" s="1"/>
  <c r="I225" i="341" s="1"/>
  <c r="I224" i="341" s="1"/>
  <c r="I223" i="341" s="1"/>
  <c r="I222" i="341" s="1"/>
  <c r="I221" i="341" s="1"/>
  <c r="I220" i="341" s="1"/>
  <c r="C39" i="346" s="1"/>
  <c r="Y39" i="333" s="1"/>
  <c r="H227" i="341"/>
  <c r="G227" i="341"/>
  <c r="J226" i="341"/>
  <c r="H226" i="341"/>
  <c r="G226" i="341"/>
  <c r="J225" i="341"/>
  <c r="H225" i="341"/>
  <c r="G225" i="341"/>
  <c r="J224" i="341"/>
  <c r="H224" i="341"/>
  <c r="G224" i="341"/>
  <c r="J223" i="341"/>
  <c r="H223" i="341"/>
  <c r="G223" i="341"/>
  <c r="J222" i="341"/>
  <c r="H222" i="341"/>
  <c r="G222" i="341"/>
  <c r="J221" i="341"/>
  <c r="H221" i="341"/>
  <c r="G221" i="341"/>
  <c r="J220" i="341"/>
  <c r="H220" i="341"/>
  <c r="G220" i="341"/>
  <c r="J219" i="341"/>
  <c r="J218" i="341"/>
  <c r="J217" i="341"/>
  <c r="J216" i="341"/>
  <c r="J215" i="341"/>
  <c r="J214" i="341"/>
  <c r="J213" i="341"/>
  <c r="J212" i="341"/>
  <c r="J211" i="341"/>
  <c r="J210" i="341"/>
  <c r="J209" i="341"/>
  <c r="J208" i="341"/>
  <c r="J207" i="341"/>
  <c r="J206" i="341"/>
  <c r="J205" i="341"/>
  <c r="J204" i="341"/>
  <c r="J203" i="341"/>
  <c r="J202" i="341"/>
  <c r="J201" i="341"/>
  <c r="J200" i="341"/>
  <c r="J199" i="341"/>
  <c r="J198" i="341"/>
  <c r="J197" i="341"/>
  <c r="J196" i="341"/>
  <c r="J195" i="341"/>
  <c r="J194" i="341"/>
  <c r="J193" i="341"/>
  <c r="J192" i="341"/>
  <c r="J191" i="341"/>
  <c r="J190" i="341"/>
  <c r="J189" i="341"/>
  <c r="J188" i="341"/>
  <c r="J187" i="341"/>
  <c r="J186" i="341"/>
  <c r="J185" i="341"/>
  <c r="J184" i="341"/>
  <c r="J183" i="341"/>
  <c r="J182" i="341"/>
  <c r="J181" i="341"/>
  <c r="J180" i="341"/>
  <c r="J179" i="341"/>
  <c r="J178" i="341"/>
  <c r="J177" i="341"/>
  <c r="J176" i="341"/>
  <c r="J175" i="341"/>
  <c r="J174" i="341"/>
  <c r="J173" i="341"/>
  <c r="J172" i="341"/>
  <c r="J171" i="341"/>
  <c r="J170" i="341"/>
  <c r="J169" i="341"/>
  <c r="J168" i="341"/>
  <c r="J167" i="341"/>
  <c r="J166" i="341"/>
  <c r="J165" i="341"/>
  <c r="J164" i="341"/>
  <c r="J163" i="341"/>
  <c r="J162" i="341"/>
  <c r="J161" i="341"/>
  <c r="J160" i="341"/>
  <c r="J159" i="341"/>
  <c r="J158" i="341"/>
  <c r="J157" i="341"/>
  <c r="J156" i="341"/>
  <c r="J155" i="341"/>
  <c r="J154" i="341"/>
  <c r="J153" i="341"/>
  <c r="J152" i="341"/>
  <c r="J151" i="341"/>
  <c r="J150" i="341"/>
  <c r="J149" i="341"/>
  <c r="J148" i="341"/>
  <c r="J147" i="341"/>
  <c r="J146" i="341"/>
  <c r="J145" i="341"/>
  <c r="J144" i="341"/>
  <c r="J143" i="341"/>
  <c r="J142" i="341"/>
  <c r="J141" i="341"/>
  <c r="J140" i="341"/>
  <c r="J139" i="341"/>
  <c r="J138" i="341"/>
  <c r="J137" i="341"/>
  <c r="J136" i="341"/>
  <c r="J135" i="341"/>
  <c r="J134" i="341"/>
  <c r="J133" i="341"/>
  <c r="J132" i="341"/>
  <c r="J131" i="341"/>
  <c r="J130" i="341"/>
  <c r="J129" i="341"/>
  <c r="J128" i="341"/>
  <c r="J127" i="341"/>
  <c r="J126" i="341"/>
  <c r="J125" i="341"/>
  <c r="J124" i="341"/>
  <c r="J123" i="341"/>
  <c r="J122" i="341"/>
  <c r="J121" i="341"/>
  <c r="J120" i="341"/>
  <c r="J119" i="341"/>
  <c r="J118" i="341"/>
  <c r="J117" i="341"/>
  <c r="J116" i="341"/>
  <c r="J115" i="341"/>
  <c r="J114" i="341"/>
  <c r="J113" i="341"/>
  <c r="J112" i="341"/>
  <c r="J111" i="341"/>
  <c r="J110" i="341"/>
  <c r="J109" i="341"/>
  <c r="J108" i="341"/>
  <c r="J107" i="341"/>
  <c r="J106" i="341"/>
  <c r="J105" i="341"/>
  <c r="J104" i="341"/>
  <c r="J103" i="341"/>
  <c r="J102" i="341"/>
  <c r="J101" i="341"/>
  <c r="J100" i="341"/>
  <c r="J99" i="341"/>
  <c r="J98" i="341"/>
  <c r="J97" i="341"/>
  <c r="J96" i="341"/>
  <c r="J95" i="341"/>
  <c r="J94" i="341"/>
  <c r="J93" i="341"/>
  <c r="J92" i="341"/>
  <c r="J91" i="341"/>
  <c r="J90" i="341"/>
  <c r="J89" i="341"/>
  <c r="J88" i="341"/>
  <c r="J87" i="341"/>
  <c r="J86" i="341"/>
  <c r="J85" i="341"/>
  <c r="J84" i="341"/>
  <c r="J83" i="341"/>
  <c r="J82" i="341"/>
  <c r="J81" i="341"/>
  <c r="J80" i="341"/>
  <c r="J79" i="341"/>
  <c r="J78" i="341"/>
  <c r="J77" i="341"/>
  <c r="J76" i="341"/>
  <c r="J75" i="341"/>
  <c r="J74" i="341"/>
  <c r="J73" i="341"/>
  <c r="J72" i="341"/>
  <c r="J71" i="341"/>
  <c r="J70" i="341"/>
  <c r="J69" i="341"/>
  <c r="J68" i="341"/>
  <c r="J67" i="341"/>
  <c r="J66" i="341"/>
  <c r="J65" i="341"/>
  <c r="J64" i="341"/>
  <c r="J63" i="341"/>
  <c r="J62" i="341"/>
  <c r="J61" i="341"/>
  <c r="J60" i="341"/>
  <c r="J59" i="341"/>
  <c r="J58" i="341"/>
  <c r="J57" i="341"/>
  <c r="J56" i="341"/>
  <c r="J55" i="341"/>
  <c r="J54" i="341"/>
  <c r="DS295" i="142"/>
  <c r="M242" i="234" s="1"/>
  <c r="DK295" i="142"/>
  <c r="M226" i="234" s="1"/>
  <c r="DC295" i="142"/>
  <c r="M210" i="234" s="1"/>
  <c r="CU295" i="142"/>
  <c r="M194" i="234" s="1"/>
  <c r="N241" i="234"/>
  <c r="DS294" i="142"/>
  <c r="M241" i="234" s="1"/>
  <c r="N225" i="234"/>
  <c r="DK294" i="142"/>
  <c r="M225" i="234" s="1"/>
  <c r="N209" i="234"/>
  <c r="DC294" i="142"/>
  <c r="M209" i="234" s="1"/>
  <c r="N193" i="234"/>
  <c r="CU294" i="142"/>
  <c r="M193" i="234" s="1"/>
  <c r="N240" i="234"/>
  <c r="DS293" i="142"/>
  <c r="M240" i="234" s="1"/>
  <c r="N224" i="234"/>
  <c r="DK293" i="142"/>
  <c r="M224" i="234" s="1"/>
  <c r="N208" i="234"/>
  <c r="DC293" i="142"/>
  <c r="M208" i="234" s="1"/>
  <c r="N192" i="234"/>
  <c r="CU293" i="142"/>
  <c r="M192" i="234" s="1"/>
  <c r="N239" i="234"/>
  <c r="DS292" i="142"/>
  <c r="M239" i="234" s="1"/>
  <c r="N223" i="234"/>
  <c r="DK292" i="142"/>
  <c r="M223" i="234" s="1"/>
  <c r="N207" i="234"/>
  <c r="DC292" i="142"/>
  <c r="M207" i="234" s="1"/>
  <c r="N191" i="234"/>
  <c r="CU292" i="142"/>
  <c r="M191" i="234" s="1"/>
  <c r="N238" i="234"/>
  <c r="DS291" i="142"/>
  <c r="M238" i="234" s="1"/>
  <c r="N222" i="234"/>
  <c r="DK291" i="142"/>
  <c r="M222" i="234" s="1"/>
  <c r="N206" i="234"/>
  <c r="DC291" i="142"/>
  <c r="M206" i="234" s="1"/>
  <c r="N190" i="234"/>
  <c r="CU291" i="142"/>
  <c r="M190" i="234" s="1"/>
  <c r="N237" i="234"/>
  <c r="DS290" i="142"/>
  <c r="M237" i="234" s="1"/>
  <c r="N221" i="234"/>
  <c r="DK290" i="142"/>
  <c r="M221" i="234" s="1"/>
  <c r="N205" i="234"/>
  <c r="DC290" i="142"/>
  <c r="M205" i="234" s="1"/>
  <c r="N189" i="234"/>
  <c r="CU290" i="142"/>
  <c r="M189" i="234" s="1"/>
  <c r="N236" i="234"/>
  <c r="DS289" i="142"/>
  <c r="M236" i="234" s="1"/>
  <c r="N220" i="234"/>
  <c r="DK289" i="142"/>
  <c r="M220" i="234" s="1"/>
  <c r="N204" i="234"/>
  <c r="DC289" i="142"/>
  <c r="M204" i="234" s="1"/>
  <c r="N188" i="234"/>
  <c r="CU289" i="142"/>
  <c r="M188" i="234" s="1"/>
  <c r="N235" i="234"/>
  <c r="DS288" i="142"/>
  <c r="N219" i="234"/>
  <c r="DK288" i="142"/>
  <c r="N203" i="234"/>
  <c r="DC288" i="142"/>
  <c r="N187" i="234"/>
  <c r="CU288" i="142"/>
  <c r="N234" i="234"/>
  <c r="DS287" i="142"/>
  <c r="M234" i="234" s="1"/>
  <c r="N218" i="234"/>
  <c r="DK287" i="142"/>
  <c r="M218" i="234" s="1"/>
  <c r="N202" i="234"/>
  <c r="DC287" i="142"/>
  <c r="M202" i="234" s="1"/>
  <c r="N186" i="234"/>
  <c r="CU287" i="142"/>
  <c r="M186" i="234" s="1"/>
  <c r="N233" i="234"/>
  <c r="DS286" i="142"/>
  <c r="M233" i="234" s="1"/>
  <c r="N217" i="234"/>
  <c r="DK286" i="142"/>
  <c r="M217" i="234" s="1"/>
  <c r="N201" i="234"/>
  <c r="DC286" i="142"/>
  <c r="M201" i="234" s="1"/>
  <c r="N185" i="234"/>
  <c r="CU286" i="142"/>
  <c r="M185" i="234" s="1"/>
  <c r="N232" i="234"/>
  <c r="DS285" i="142"/>
  <c r="M232" i="234" s="1"/>
  <c r="N216" i="234"/>
  <c r="DK285" i="142"/>
  <c r="M216" i="234" s="1"/>
  <c r="N200" i="234"/>
  <c r="DC285" i="142"/>
  <c r="M200" i="234" s="1"/>
  <c r="N184" i="234"/>
  <c r="CU285" i="142"/>
  <c r="M184" i="234" s="1"/>
  <c r="N231" i="234"/>
  <c r="DS284" i="142"/>
  <c r="M231" i="234" s="1"/>
  <c r="N215" i="234"/>
  <c r="DK284" i="142"/>
  <c r="M215" i="234" s="1"/>
  <c r="N199" i="234"/>
  <c r="DC284" i="142"/>
  <c r="M199" i="234" s="1"/>
  <c r="N183" i="234"/>
  <c r="CU284" i="142"/>
  <c r="M183" i="234" s="1"/>
  <c r="DS279" i="142"/>
  <c r="H242" i="234" s="1"/>
  <c r="DK279" i="142"/>
  <c r="H226" i="234" s="1"/>
  <c r="DC279" i="142"/>
  <c r="H210" i="234" s="1"/>
  <c r="CU279" i="142"/>
  <c r="H194" i="234" s="1"/>
  <c r="I241" i="234"/>
  <c r="DS278" i="142"/>
  <c r="H241" i="234" s="1"/>
  <c r="I225" i="234"/>
  <c r="DK278" i="142"/>
  <c r="H225" i="234" s="1"/>
  <c r="I209" i="234"/>
  <c r="DC278" i="142"/>
  <c r="H209" i="234" s="1"/>
  <c r="I193" i="234"/>
  <c r="CU278" i="142"/>
  <c r="H193" i="234" s="1"/>
  <c r="I240" i="234"/>
  <c r="DS277" i="142"/>
  <c r="H240" i="234" s="1"/>
  <c r="I224" i="234"/>
  <c r="DK277" i="142"/>
  <c r="H224" i="234" s="1"/>
  <c r="I208" i="234"/>
  <c r="DC277" i="142"/>
  <c r="H208" i="234" s="1"/>
  <c r="I192" i="234"/>
  <c r="CU277" i="142"/>
  <c r="H192" i="234" s="1"/>
  <c r="I239" i="234"/>
  <c r="DS276" i="142"/>
  <c r="H239" i="234" s="1"/>
  <c r="I223" i="234"/>
  <c r="DK276" i="142"/>
  <c r="H223" i="234" s="1"/>
  <c r="I207" i="234"/>
  <c r="DC276" i="142"/>
  <c r="H207" i="234" s="1"/>
  <c r="I191" i="234"/>
  <c r="CU276" i="142"/>
  <c r="H191" i="234" s="1"/>
  <c r="I238" i="234"/>
  <c r="DS275" i="142"/>
  <c r="H238" i="234" s="1"/>
  <c r="I222" i="234"/>
  <c r="DK275" i="142"/>
  <c r="H222" i="234" s="1"/>
  <c r="I206" i="234"/>
  <c r="DC275" i="142"/>
  <c r="H206" i="234" s="1"/>
  <c r="I190" i="234"/>
  <c r="CU275" i="142"/>
  <c r="H190" i="234" s="1"/>
  <c r="I237" i="234"/>
  <c r="DS274" i="142"/>
  <c r="H237" i="234" s="1"/>
  <c r="I221" i="234"/>
  <c r="DK274" i="142"/>
  <c r="H221" i="234" s="1"/>
  <c r="I205" i="234"/>
  <c r="DC274" i="142"/>
  <c r="H205" i="234" s="1"/>
  <c r="I189" i="234"/>
  <c r="CU274" i="142"/>
  <c r="H189" i="234" s="1"/>
  <c r="I236" i="234"/>
  <c r="DS273" i="142"/>
  <c r="H236" i="234" s="1"/>
  <c r="I220" i="234"/>
  <c r="DK273" i="142"/>
  <c r="H220" i="234" s="1"/>
  <c r="I204" i="234"/>
  <c r="DC273" i="142"/>
  <c r="H204" i="234" s="1"/>
  <c r="I188" i="234"/>
  <c r="CU273" i="142"/>
  <c r="H188" i="234" s="1"/>
  <c r="I235" i="234"/>
  <c r="DS272" i="142"/>
  <c r="H235" i="234" s="1"/>
  <c r="I219" i="234"/>
  <c r="DK272" i="142"/>
  <c r="H219" i="234" s="1"/>
  <c r="I203" i="234"/>
  <c r="DC272" i="142"/>
  <c r="H203" i="234" s="1"/>
  <c r="I187" i="234"/>
  <c r="CU272" i="142"/>
  <c r="H187" i="234" s="1"/>
  <c r="I234" i="234"/>
  <c r="DS271" i="142"/>
  <c r="H234" i="234" s="1"/>
  <c r="I218" i="234"/>
  <c r="DK271" i="142"/>
  <c r="H218" i="234" s="1"/>
  <c r="I202" i="234"/>
  <c r="DC271" i="142"/>
  <c r="H202" i="234" s="1"/>
  <c r="I186" i="234"/>
  <c r="CU271" i="142"/>
  <c r="H186" i="234" s="1"/>
  <c r="I233" i="234"/>
  <c r="DS270" i="142"/>
  <c r="H233" i="234" s="1"/>
  <c r="I217" i="234"/>
  <c r="DK270" i="142"/>
  <c r="H217" i="234" s="1"/>
  <c r="I201" i="234"/>
  <c r="DC270" i="142"/>
  <c r="H201" i="234" s="1"/>
  <c r="I185" i="234"/>
  <c r="CU270" i="142"/>
  <c r="H185" i="234" s="1"/>
  <c r="I232" i="234"/>
  <c r="DS269" i="142"/>
  <c r="H232" i="234" s="1"/>
  <c r="I216" i="234"/>
  <c r="DK269" i="142"/>
  <c r="H216" i="234" s="1"/>
  <c r="I200" i="234"/>
  <c r="DC269" i="142"/>
  <c r="H200" i="234" s="1"/>
  <c r="I184" i="234"/>
  <c r="CU269" i="142"/>
  <c r="H184" i="234" s="1"/>
  <c r="I231" i="234"/>
  <c r="DS268" i="142"/>
  <c r="H231" i="234" s="1"/>
  <c r="I215" i="234"/>
  <c r="DK268" i="142"/>
  <c r="H215" i="234" s="1"/>
  <c r="I199" i="234"/>
  <c r="DC268" i="142"/>
  <c r="H199" i="234" s="1"/>
  <c r="I183" i="234"/>
  <c r="CU268" i="142"/>
  <c r="H183" i="234" s="1"/>
  <c r="DS263" i="142"/>
  <c r="D242" i="234" s="1"/>
  <c r="DK263" i="142"/>
  <c r="D226" i="234" s="1"/>
  <c r="DC263" i="142"/>
  <c r="D210" i="234" s="1"/>
  <c r="CU263" i="142"/>
  <c r="D194" i="234" s="1"/>
  <c r="E241" i="234"/>
  <c r="DS262" i="142"/>
  <c r="D241" i="234" s="1"/>
  <c r="E225" i="234"/>
  <c r="DK262" i="142"/>
  <c r="D225" i="234" s="1"/>
  <c r="E209" i="234"/>
  <c r="DC262" i="142"/>
  <c r="D209" i="234" s="1"/>
  <c r="E193" i="234"/>
  <c r="CU262" i="142"/>
  <c r="D193" i="234" s="1"/>
  <c r="E240" i="234"/>
  <c r="DS261" i="142"/>
  <c r="D240" i="234" s="1"/>
  <c r="E224" i="234"/>
  <c r="DK261" i="142"/>
  <c r="D224" i="234" s="1"/>
  <c r="E208" i="234"/>
  <c r="DC261" i="142"/>
  <c r="D208" i="234" s="1"/>
  <c r="E192" i="234"/>
  <c r="CU261" i="142"/>
  <c r="D192" i="234" s="1"/>
  <c r="E239" i="234"/>
  <c r="DS260" i="142"/>
  <c r="D239" i="234" s="1"/>
  <c r="E223" i="234"/>
  <c r="DK260" i="142"/>
  <c r="D223" i="234" s="1"/>
  <c r="E207" i="234"/>
  <c r="DC260" i="142"/>
  <c r="D207" i="234" s="1"/>
  <c r="E191" i="234"/>
  <c r="CU260" i="142"/>
  <c r="D191" i="234" s="1"/>
  <c r="E238" i="234"/>
  <c r="DS259" i="142"/>
  <c r="D238" i="234" s="1"/>
  <c r="E222" i="234"/>
  <c r="DK259" i="142"/>
  <c r="D222" i="234" s="1"/>
  <c r="E206" i="234"/>
  <c r="DC259" i="142"/>
  <c r="D206" i="234" s="1"/>
  <c r="E190" i="234"/>
  <c r="CU259" i="142"/>
  <c r="D190" i="234" s="1"/>
  <c r="E237" i="234"/>
  <c r="DS258" i="142"/>
  <c r="D237" i="234" s="1"/>
  <c r="E221" i="234"/>
  <c r="DK258" i="142"/>
  <c r="D221" i="234" s="1"/>
  <c r="E205" i="234"/>
  <c r="DC258" i="142"/>
  <c r="D205" i="234" s="1"/>
  <c r="E189" i="234"/>
  <c r="CU258" i="142"/>
  <c r="D189" i="234" s="1"/>
  <c r="E236" i="234"/>
  <c r="DS257" i="142"/>
  <c r="D236" i="234" s="1"/>
  <c r="E220" i="234"/>
  <c r="DK257" i="142"/>
  <c r="D220" i="234" s="1"/>
  <c r="E204" i="234"/>
  <c r="DC257" i="142"/>
  <c r="D204" i="234" s="1"/>
  <c r="E188" i="234"/>
  <c r="CU257" i="142"/>
  <c r="D188" i="234" s="1"/>
  <c r="E235" i="234"/>
  <c r="DS256" i="142"/>
  <c r="D235" i="234" s="1"/>
  <c r="E219" i="234"/>
  <c r="DK256" i="142"/>
  <c r="D219" i="234" s="1"/>
  <c r="E203" i="234"/>
  <c r="DC256" i="142"/>
  <c r="D203" i="234" s="1"/>
  <c r="E187" i="234"/>
  <c r="CU256" i="142"/>
  <c r="D187" i="234" s="1"/>
  <c r="E234" i="234"/>
  <c r="DS255" i="142"/>
  <c r="D234" i="234" s="1"/>
  <c r="E218" i="234"/>
  <c r="DK255" i="142"/>
  <c r="D218" i="234" s="1"/>
  <c r="E202" i="234"/>
  <c r="DC255" i="142"/>
  <c r="D202" i="234" s="1"/>
  <c r="E186" i="234"/>
  <c r="CU255" i="142"/>
  <c r="D186" i="234" s="1"/>
  <c r="E233" i="234"/>
  <c r="DS254" i="142"/>
  <c r="D233" i="234" s="1"/>
  <c r="E217" i="234"/>
  <c r="DK254" i="142"/>
  <c r="D217" i="234" s="1"/>
  <c r="E201" i="234"/>
  <c r="DC254" i="142"/>
  <c r="D201" i="234" s="1"/>
  <c r="E185" i="234"/>
  <c r="CU254" i="142"/>
  <c r="D185" i="234" s="1"/>
  <c r="E232" i="234"/>
  <c r="DS253" i="142"/>
  <c r="D232" i="234" s="1"/>
  <c r="E216" i="234"/>
  <c r="DK253" i="142"/>
  <c r="D216" i="234" s="1"/>
  <c r="E200" i="234"/>
  <c r="DC253" i="142"/>
  <c r="D200" i="234" s="1"/>
  <c r="E184" i="234"/>
  <c r="CU253" i="142"/>
  <c r="D184" i="234" s="1"/>
  <c r="E231" i="234"/>
  <c r="DS252" i="142"/>
  <c r="D231" i="234" s="1"/>
  <c r="E215" i="234"/>
  <c r="E227" i="234" s="1"/>
  <c r="DK252" i="142"/>
  <c r="D215" i="234" s="1"/>
  <c r="E199" i="234"/>
  <c r="DC252" i="142"/>
  <c r="D199" i="234" s="1"/>
  <c r="E183" i="234"/>
  <c r="CU252" i="142"/>
  <c r="D183" i="234" s="1"/>
  <c r="DS172" i="142"/>
  <c r="DK172" i="142"/>
  <c r="DC172" i="142"/>
  <c r="CU172" i="142"/>
  <c r="DS156" i="142"/>
  <c r="DK156" i="142"/>
  <c r="DK157" i="142" s="1"/>
  <c r="DK158" i="142" s="1"/>
  <c r="DC156" i="142"/>
  <c r="CU156" i="142"/>
  <c r="DS140" i="142"/>
  <c r="DK140" i="142"/>
  <c r="DC140" i="142"/>
  <c r="CU140" i="142"/>
  <c r="DS124" i="142"/>
  <c r="DK124" i="142"/>
  <c r="DC124" i="142"/>
  <c r="CU124" i="142"/>
  <c r="DS119" i="142"/>
  <c r="DK119" i="142"/>
  <c r="DC119" i="142"/>
  <c r="C107" i="189"/>
  <c r="T229" i="235"/>
  <c r="DS118" i="142"/>
  <c r="T214" i="235"/>
  <c r="DK118" i="142"/>
  <c r="T199" i="235"/>
  <c r="DC118" i="142"/>
  <c r="T228" i="235"/>
  <c r="DS117" i="142"/>
  <c r="T213" i="235"/>
  <c r="DK117" i="142"/>
  <c r="T198" i="235"/>
  <c r="DC117" i="142"/>
  <c r="T227" i="235"/>
  <c r="DS116" i="142"/>
  <c r="T212" i="235"/>
  <c r="DK116" i="142"/>
  <c r="T197" i="235"/>
  <c r="DC116" i="142"/>
  <c r="DS115" i="142"/>
  <c r="S226" i="235" s="1"/>
  <c r="T211" i="235"/>
  <c r="DK115" i="142"/>
  <c r="T196" i="235"/>
  <c r="DC115" i="142"/>
  <c r="T225" i="235"/>
  <c r="DS114" i="142"/>
  <c r="T210" i="235"/>
  <c r="DK114" i="142"/>
  <c r="T195" i="235"/>
  <c r="DC114" i="142"/>
  <c r="T224" i="235"/>
  <c r="DS113" i="142"/>
  <c r="T209" i="235"/>
  <c r="DK113" i="142"/>
  <c r="T194" i="235"/>
  <c r="DC113" i="142"/>
  <c r="T223" i="235"/>
  <c r="DS112" i="142"/>
  <c r="T208" i="235"/>
  <c r="DK112" i="142"/>
  <c r="T193" i="235"/>
  <c r="DC112" i="142"/>
  <c r="DS111" i="142"/>
  <c r="DK111" i="142"/>
  <c r="DC111" i="142"/>
  <c r="C99" i="189"/>
  <c r="DS110" i="142"/>
  <c r="DK110" i="142"/>
  <c r="DC110" i="142"/>
  <c r="C98" i="189"/>
  <c r="DS109" i="142"/>
  <c r="T205" i="235"/>
  <c r="DK109" i="142"/>
  <c r="DC109" i="142"/>
  <c r="DS108" i="142"/>
  <c r="DC108" i="142"/>
  <c r="C78" i="342"/>
  <c r="S268" i="142"/>
  <c r="AQ270" i="142"/>
  <c r="N211" i="234" l="1"/>
  <c r="I243" i="234"/>
  <c r="E243" i="234"/>
  <c r="N243" i="234"/>
  <c r="I227" i="234"/>
  <c r="N227" i="234"/>
  <c r="I211" i="234"/>
  <c r="E211" i="234"/>
  <c r="E195" i="234"/>
  <c r="I195" i="234"/>
  <c r="N195" i="234"/>
  <c r="J122" i="189"/>
  <c r="K122" i="189" s="1"/>
  <c r="L122" i="189" s="1"/>
  <c r="S230" i="235"/>
  <c r="B122" i="189"/>
  <c r="C122" i="189" s="1"/>
  <c r="D122" i="189" s="1"/>
  <c r="S215" i="235"/>
  <c r="J107" i="189"/>
  <c r="K107" i="189" s="1"/>
  <c r="S200" i="235"/>
  <c r="E80" i="319"/>
  <c r="C106" i="189"/>
  <c r="T184" i="235"/>
  <c r="E80" i="327"/>
  <c r="C105" i="189"/>
  <c r="T183" i="235"/>
  <c r="J121" i="189"/>
  <c r="K121" i="189" s="1"/>
  <c r="L121" i="189" s="1"/>
  <c r="S229" i="235"/>
  <c r="B121" i="189"/>
  <c r="C121" i="189" s="1"/>
  <c r="D121" i="189" s="1"/>
  <c r="S214" i="235"/>
  <c r="J106" i="189"/>
  <c r="K106" i="189" s="1"/>
  <c r="S199" i="235"/>
  <c r="J120" i="189"/>
  <c r="K120" i="189" s="1"/>
  <c r="L120" i="189" s="1"/>
  <c r="S228" i="235"/>
  <c r="B120" i="189"/>
  <c r="C120" i="189" s="1"/>
  <c r="D120" i="189" s="1"/>
  <c r="S213" i="235"/>
  <c r="J105" i="189"/>
  <c r="K105" i="189" s="1"/>
  <c r="S198" i="235"/>
  <c r="E78" i="402"/>
  <c r="G78" i="402" s="1"/>
  <c r="AG78" i="332" s="1"/>
  <c r="T226" i="235"/>
  <c r="C103" i="189"/>
  <c r="T181" i="235"/>
  <c r="C104" i="189"/>
  <c r="T182" i="235"/>
  <c r="J119" i="189"/>
  <c r="K119" i="189" s="1"/>
  <c r="L119" i="189" s="1"/>
  <c r="S227" i="235"/>
  <c r="B119" i="189"/>
  <c r="C119" i="189" s="1"/>
  <c r="D119" i="189" s="1"/>
  <c r="S212" i="235"/>
  <c r="J104" i="189"/>
  <c r="K104" i="189" s="1"/>
  <c r="S197" i="235"/>
  <c r="B118" i="189"/>
  <c r="C118" i="189" s="1"/>
  <c r="D118" i="189" s="1"/>
  <c r="S211" i="235"/>
  <c r="J103" i="189"/>
  <c r="K103" i="189" s="1"/>
  <c r="S196" i="235"/>
  <c r="E80" i="321"/>
  <c r="E80" i="329"/>
  <c r="C102" i="189"/>
  <c r="T180" i="235"/>
  <c r="E80" i="325"/>
  <c r="J118" i="189"/>
  <c r="K118" i="189" s="1"/>
  <c r="L118" i="189" s="1"/>
  <c r="E80" i="331"/>
  <c r="D195" i="234"/>
  <c r="D211" i="234"/>
  <c r="H211" i="234"/>
  <c r="D227" i="234"/>
  <c r="H227" i="234"/>
  <c r="J117" i="189"/>
  <c r="K117" i="189" s="1"/>
  <c r="L117" i="189" s="1"/>
  <c r="S225" i="235"/>
  <c r="B117" i="189"/>
  <c r="C117" i="189" s="1"/>
  <c r="D117" i="189" s="1"/>
  <c r="S210" i="235"/>
  <c r="J102" i="189"/>
  <c r="K102" i="189" s="1"/>
  <c r="S195" i="235"/>
  <c r="E78" i="344"/>
  <c r="E80" i="311"/>
  <c r="C78" i="344"/>
  <c r="E80" i="317"/>
  <c r="C101" i="189"/>
  <c r="T179" i="235"/>
  <c r="E80" i="315"/>
  <c r="J116" i="189"/>
  <c r="K116" i="189" s="1"/>
  <c r="L116" i="189" s="1"/>
  <c r="S224" i="235"/>
  <c r="B116" i="189"/>
  <c r="C116" i="189" s="1"/>
  <c r="D116" i="189" s="1"/>
  <c r="S209" i="235"/>
  <c r="J101" i="189"/>
  <c r="K101" i="189" s="1"/>
  <c r="S194" i="235"/>
  <c r="H195" i="234"/>
  <c r="E78" i="342"/>
  <c r="G78" i="342" s="1"/>
  <c r="M206" i="235"/>
  <c r="D219" i="235"/>
  <c r="DS125" i="142"/>
  <c r="P219" i="235"/>
  <c r="DS173" i="142"/>
  <c r="H243" i="234"/>
  <c r="L219" i="235"/>
  <c r="DS157" i="142"/>
  <c r="E80" i="278"/>
  <c r="C78" i="343"/>
  <c r="AC78" i="332" s="1"/>
  <c r="M221" i="235"/>
  <c r="Q221" i="235"/>
  <c r="T190" i="235"/>
  <c r="E78" i="343"/>
  <c r="C100" i="189"/>
  <c r="T178" i="235"/>
  <c r="D174" i="235"/>
  <c r="CU125" i="142"/>
  <c r="H174" i="235"/>
  <c r="CU141" i="142"/>
  <c r="L174" i="235"/>
  <c r="CU157" i="142"/>
  <c r="P174" i="235"/>
  <c r="CU173" i="142"/>
  <c r="M191" i="235"/>
  <c r="Q206" i="235"/>
  <c r="T220" i="235"/>
  <c r="M176" i="235"/>
  <c r="Q176" i="235"/>
  <c r="T175" i="235"/>
  <c r="C97" i="189"/>
  <c r="H219" i="235"/>
  <c r="DS141" i="142"/>
  <c r="E78" i="345"/>
  <c r="D189" i="235"/>
  <c r="DC125" i="142"/>
  <c r="H189" i="235"/>
  <c r="DC141" i="142"/>
  <c r="L189" i="235"/>
  <c r="DC157" i="142"/>
  <c r="P189" i="235"/>
  <c r="DC173" i="142"/>
  <c r="Q191" i="235"/>
  <c r="D204" i="235"/>
  <c r="DK125" i="142"/>
  <c r="H204" i="235"/>
  <c r="DK141" i="142"/>
  <c r="DK159" i="142"/>
  <c r="L206" i="235"/>
  <c r="P204" i="235"/>
  <c r="DK173" i="142"/>
  <c r="C80" i="349"/>
  <c r="AE80" i="333"/>
  <c r="M235" i="234"/>
  <c r="M243" i="234" s="1"/>
  <c r="D243" i="234"/>
  <c r="J115" i="189"/>
  <c r="K115" i="189" s="1"/>
  <c r="L115" i="189" s="1"/>
  <c r="S223" i="235"/>
  <c r="C78" i="345"/>
  <c r="AC80" i="333"/>
  <c r="C80" i="348"/>
  <c r="M219" i="234"/>
  <c r="M227" i="234" s="1"/>
  <c r="B115" i="189"/>
  <c r="C115" i="189" s="1"/>
  <c r="D115" i="189" s="1"/>
  <c r="S208" i="235"/>
  <c r="AA80" i="333"/>
  <c r="C80" i="347"/>
  <c r="M203" i="234"/>
  <c r="M211" i="234" s="1"/>
  <c r="J100" i="189"/>
  <c r="K100" i="189" s="1"/>
  <c r="S193" i="235"/>
  <c r="C80" i="346"/>
  <c r="Y80" i="333"/>
  <c r="M187" i="234"/>
  <c r="M195" i="234" s="1"/>
  <c r="F56" i="347"/>
  <c r="T207" i="235"/>
  <c r="J114" i="189"/>
  <c r="K114" i="189" s="1"/>
  <c r="L114" i="189" s="1"/>
  <c r="S222" i="235"/>
  <c r="T222" i="235"/>
  <c r="T177" i="235"/>
  <c r="J99" i="189"/>
  <c r="K99" i="189" s="1"/>
  <c r="S192" i="235"/>
  <c r="T192" i="235"/>
  <c r="B114" i="189"/>
  <c r="C114" i="189" s="1"/>
  <c r="D114" i="189" s="1"/>
  <c r="S207" i="235"/>
  <c r="T191" i="235"/>
  <c r="B113" i="189"/>
  <c r="C113" i="189" s="1"/>
  <c r="D113" i="189" s="1"/>
  <c r="S206" i="235"/>
  <c r="T206" i="235"/>
  <c r="J113" i="189"/>
  <c r="K113" i="189" s="1"/>
  <c r="S221" i="235"/>
  <c r="T221" i="235"/>
  <c r="T176" i="235"/>
  <c r="J98" i="189"/>
  <c r="K98" i="189" s="1"/>
  <c r="S191" i="235"/>
  <c r="G74" i="345"/>
  <c r="AE74" i="332" s="1"/>
  <c r="B112" i="189"/>
  <c r="C112" i="189" s="1"/>
  <c r="D112" i="189" s="1"/>
  <c r="S205" i="235"/>
  <c r="J112" i="189"/>
  <c r="K112" i="189" s="1"/>
  <c r="L112" i="189" s="1"/>
  <c r="S220" i="235"/>
  <c r="J97" i="189"/>
  <c r="K97" i="189" s="1"/>
  <c r="S190" i="235"/>
  <c r="F67" i="348"/>
  <c r="F32" i="346"/>
  <c r="C8" i="342"/>
  <c r="Y8" i="332" s="1"/>
  <c r="Z8" i="332" s="1"/>
  <c r="C25" i="342"/>
  <c r="Y25" i="332" s="1"/>
  <c r="C32" i="342"/>
  <c r="Y32" i="332" s="1"/>
  <c r="C51" i="342"/>
  <c r="Y51" i="332" s="1"/>
  <c r="C56" i="342"/>
  <c r="Y56" i="332" s="1"/>
  <c r="C23" i="346"/>
  <c r="Y23" i="333" s="1"/>
  <c r="C14" i="346"/>
  <c r="Y14" i="333" s="1"/>
  <c r="C53" i="346"/>
  <c r="Y53" i="333" s="1"/>
  <c r="C21" i="342"/>
  <c r="Y21" i="332" s="1"/>
  <c r="C28" i="342"/>
  <c r="Y28" i="332" s="1"/>
  <c r="C41" i="342"/>
  <c r="Y41" i="332" s="1"/>
  <c r="C52" i="342"/>
  <c r="Y52" i="332" s="1"/>
  <c r="C74" i="342"/>
  <c r="Y74" i="332" s="1"/>
  <c r="C35" i="346"/>
  <c r="Y35" i="333" s="1"/>
  <c r="C8" i="346"/>
  <c r="C15" i="346"/>
  <c r="Y15" i="333" s="1"/>
  <c r="C67" i="346"/>
  <c r="Y67" i="333" s="1"/>
  <c r="C74" i="346"/>
  <c r="Y74" i="333" s="1"/>
  <c r="C12" i="342"/>
  <c r="Y12" i="332" s="1"/>
  <c r="C22" i="342"/>
  <c r="Y22" i="332" s="1"/>
  <c r="C37" i="342"/>
  <c r="Y37" i="332" s="1"/>
  <c r="C46" i="342"/>
  <c r="Y46" i="332" s="1"/>
  <c r="C63" i="342"/>
  <c r="Y63" i="332" s="1"/>
  <c r="C47" i="346"/>
  <c r="Y47" i="333" s="1"/>
  <c r="C10" i="346"/>
  <c r="Y10" i="333" s="1"/>
  <c r="C29" i="346"/>
  <c r="Y29" i="333" s="1"/>
  <c r="C14" i="342"/>
  <c r="Y14" i="332" s="1"/>
  <c r="C31" i="342"/>
  <c r="Y31" i="332" s="1"/>
  <c r="C38" i="342"/>
  <c r="Y38" i="332" s="1"/>
  <c r="C55" i="342"/>
  <c r="Y55" i="332" s="1"/>
  <c r="C64" i="342"/>
  <c r="Y64" i="332" s="1"/>
  <c r="C57" i="346"/>
  <c r="Y57" i="333" s="1"/>
  <c r="E78" i="287"/>
  <c r="E78" i="290"/>
  <c r="E78" i="291"/>
  <c r="E78" i="278"/>
  <c r="E78" i="292"/>
  <c r="E78" i="288"/>
  <c r="Y78" i="332"/>
  <c r="E78" i="285"/>
  <c r="E78" i="286"/>
  <c r="CU188" i="142"/>
  <c r="B96" i="189"/>
  <c r="C96" i="189" s="1"/>
  <c r="S174" i="235"/>
  <c r="E189" i="235"/>
  <c r="M189" i="235"/>
  <c r="V189" i="235"/>
  <c r="T189" i="235"/>
  <c r="DK188" i="142"/>
  <c r="B111" i="189"/>
  <c r="S204" i="235"/>
  <c r="E219" i="235"/>
  <c r="M219" i="235"/>
  <c r="T204" i="235"/>
  <c r="DS188" i="142"/>
  <c r="J111" i="189"/>
  <c r="S219" i="235"/>
  <c r="E174" i="235"/>
  <c r="I174" i="235"/>
  <c r="M174" i="235"/>
  <c r="Q174" i="235"/>
  <c r="I219" i="235"/>
  <c r="Q219" i="235"/>
  <c r="V219" i="235"/>
  <c r="T219" i="235"/>
  <c r="F22" i="347"/>
  <c r="I189" i="235"/>
  <c r="Q189" i="235"/>
  <c r="T174" i="235"/>
  <c r="L204" i="235"/>
  <c r="E78" i="283"/>
  <c r="DC188" i="142"/>
  <c r="J96" i="189"/>
  <c r="K96" i="189" s="1"/>
  <c r="S189" i="235"/>
  <c r="E204" i="235"/>
  <c r="I204" i="235"/>
  <c r="M204" i="235"/>
  <c r="Q204" i="235"/>
  <c r="F67" i="346"/>
  <c r="F23" i="349"/>
  <c r="F74" i="349"/>
  <c r="F23" i="347"/>
  <c r="E65" i="349"/>
  <c r="F65" i="349" s="1"/>
  <c r="C8" i="349"/>
  <c r="AE8" i="333" s="1"/>
  <c r="C14" i="349"/>
  <c r="AE14" i="333" s="1"/>
  <c r="C22" i="349"/>
  <c r="AE22" i="333" s="1"/>
  <c r="C28" i="349"/>
  <c r="AE28" i="333" s="1"/>
  <c r="C32" i="349"/>
  <c r="AE32" i="333" s="1"/>
  <c r="C38" i="349"/>
  <c r="C46" i="349"/>
  <c r="AE46" i="333" s="1"/>
  <c r="C52" i="349"/>
  <c r="AE52" i="333" s="1"/>
  <c r="C56" i="349"/>
  <c r="AE56" i="333" s="1"/>
  <c r="C64" i="349"/>
  <c r="AE64" i="333" s="1"/>
  <c r="C15" i="345"/>
  <c r="G15" i="345" s="1"/>
  <c r="AE15" i="332" s="1"/>
  <c r="C39" i="345"/>
  <c r="G39" i="345" s="1"/>
  <c r="AE39" i="332" s="1"/>
  <c r="C57" i="345"/>
  <c r="G57" i="345" s="1"/>
  <c r="AE57" i="332" s="1"/>
  <c r="C8" i="345"/>
  <c r="C14" i="345"/>
  <c r="G14" i="345" s="1"/>
  <c r="AE14" i="332" s="1"/>
  <c r="C22" i="345"/>
  <c r="G22" i="345" s="1"/>
  <c r="C28" i="345"/>
  <c r="G28" i="345" s="1"/>
  <c r="AE28" i="332" s="1"/>
  <c r="C32" i="345"/>
  <c r="G32" i="345" s="1"/>
  <c r="AE32" i="332" s="1"/>
  <c r="C38" i="345"/>
  <c r="G38" i="345" s="1"/>
  <c r="C46" i="345"/>
  <c r="G46" i="345" s="1"/>
  <c r="C52" i="345"/>
  <c r="G52" i="345" s="1"/>
  <c r="AE52" i="332" s="1"/>
  <c r="C56" i="345"/>
  <c r="G56" i="345" s="1"/>
  <c r="AE56" i="332" s="1"/>
  <c r="C64" i="345"/>
  <c r="C11" i="349"/>
  <c r="C20" i="349"/>
  <c r="AE20" i="333" s="1"/>
  <c r="C24" i="349"/>
  <c r="C30" i="349"/>
  <c r="C36" i="349"/>
  <c r="AE36" i="333" s="1"/>
  <c r="C40" i="349"/>
  <c r="AE40" i="333" s="1"/>
  <c r="C48" i="349"/>
  <c r="C54" i="349"/>
  <c r="C58" i="349"/>
  <c r="C72" i="349"/>
  <c r="C23" i="349"/>
  <c r="AE23" i="333" s="1"/>
  <c r="C53" i="349"/>
  <c r="C10" i="345"/>
  <c r="G10" i="345" s="1"/>
  <c r="C23" i="345"/>
  <c r="C47" i="345"/>
  <c r="C11" i="345"/>
  <c r="G11" i="345" s="1"/>
  <c r="AE11" i="332" s="1"/>
  <c r="C20" i="345"/>
  <c r="G20" i="345" s="1"/>
  <c r="AE20" i="332" s="1"/>
  <c r="C24" i="345"/>
  <c r="G24" i="345" s="1"/>
  <c r="AE24" i="332" s="1"/>
  <c r="C30" i="345"/>
  <c r="C36" i="345"/>
  <c r="G36" i="345" s="1"/>
  <c r="C40" i="345"/>
  <c r="G40" i="345" s="1"/>
  <c r="AE40" i="332" s="1"/>
  <c r="C48" i="345"/>
  <c r="G48" i="345" s="1"/>
  <c r="AE48" i="332" s="1"/>
  <c r="C54" i="345"/>
  <c r="C58" i="345"/>
  <c r="G58" i="345" s="1"/>
  <c r="AE58" i="332" s="1"/>
  <c r="C72" i="345"/>
  <c r="C10" i="349"/>
  <c r="C29" i="349"/>
  <c r="C47" i="349"/>
  <c r="AE47" i="333" s="1"/>
  <c r="C67" i="349"/>
  <c r="AE67" i="333" s="1"/>
  <c r="C29" i="345"/>
  <c r="G29" i="345" s="1"/>
  <c r="AE29" i="332" s="1"/>
  <c r="C67" i="345"/>
  <c r="G67" i="345" s="1"/>
  <c r="AE67" i="332" s="1"/>
  <c r="C12" i="349"/>
  <c r="C21" i="349"/>
  <c r="C25" i="349"/>
  <c r="C31" i="349"/>
  <c r="C37" i="349"/>
  <c r="AE37" i="333" s="1"/>
  <c r="C41" i="349"/>
  <c r="C51" i="349"/>
  <c r="C55" i="349"/>
  <c r="G55" i="349" s="1"/>
  <c r="C63" i="349"/>
  <c r="C74" i="349"/>
  <c r="C15" i="349"/>
  <c r="C35" i="349"/>
  <c r="C39" i="349"/>
  <c r="AE39" i="333" s="1"/>
  <c r="C57" i="349"/>
  <c r="C35" i="345"/>
  <c r="G35" i="345" s="1"/>
  <c r="AE35" i="332" s="1"/>
  <c r="C53" i="345"/>
  <c r="C12" i="345"/>
  <c r="G12" i="345" s="1"/>
  <c r="AE12" i="332" s="1"/>
  <c r="C21" i="345"/>
  <c r="G21" i="345" s="1"/>
  <c r="AE21" i="332" s="1"/>
  <c r="C25" i="345"/>
  <c r="G25" i="345" s="1"/>
  <c r="AE25" i="332" s="1"/>
  <c r="C31" i="345"/>
  <c r="G31" i="345" s="1"/>
  <c r="C37" i="345"/>
  <c r="G37" i="345" s="1"/>
  <c r="AE37" i="332" s="1"/>
  <c r="C41" i="345"/>
  <c r="G41" i="345" s="1"/>
  <c r="AE41" i="332" s="1"/>
  <c r="C51" i="345"/>
  <c r="G51" i="345" s="1"/>
  <c r="AE51" i="332" s="1"/>
  <c r="C55" i="345"/>
  <c r="G55" i="345" s="1"/>
  <c r="C63" i="345"/>
  <c r="G63" i="345" s="1"/>
  <c r="AE63" i="332" s="1"/>
  <c r="C22" i="346"/>
  <c r="Y22" i="333" s="1"/>
  <c r="C28" i="346"/>
  <c r="Y28" i="333" s="1"/>
  <c r="C32" i="346"/>
  <c r="C38" i="346"/>
  <c r="C46" i="346"/>
  <c r="C52" i="346"/>
  <c r="C56" i="346"/>
  <c r="Y56" i="333" s="1"/>
  <c r="C64" i="346"/>
  <c r="Y64" i="333" s="1"/>
  <c r="G39" i="346"/>
  <c r="H39" i="346" s="1"/>
  <c r="C10" i="342"/>
  <c r="Y10" i="332" s="1"/>
  <c r="C15" i="342"/>
  <c r="G15" i="342" s="1"/>
  <c r="H15" i="342" s="1"/>
  <c r="C23" i="342"/>
  <c r="C29" i="342"/>
  <c r="C35" i="342"/>
  <c r="C39" i="342"/>
  <c r="C47" i="342"/>
  <c r="C53" i="342"/>
  <c r="Y53" i="332" s="1"/>
  <c r="C57" i="342"/>
  <c r="C67" i="342"/>
  <c r="C11" i="346"/>
  <c r="Y11" i="333" s="1"/>
  <c r="C20" i="346"/>
  <c r="C24" i="346"/>
  <c r="C30" i="346"/>
  <c r="C36" i="346"/>
  <c r="C40" i="346"/>
  <c r="Y40" i="333" s="1"/>
  <c r="C48" i="346"/>
  <c r="C54" i="346"/>
  <c r="C58" i="346"/>
  <c r="Y58" i="333" s="1"/>
  <c r="C72" i="346"/>
  <c r="C11" i="342"/>
  <c r="G11" i="342" s="1"/>
  <c r="H11" i="342" s="1"/>
  <c r="C20" i="342"/>
  <c r="G20" i="342" s="1"/>
  <c r="H20" i="342" s="1"/>
  <c r="C24" i="342"/>
  <c r="C30" i="342"/>
  <c r="C36" i="342"/>
  <c r="C40" i="342"/>
  <c r="C48" i="342"/>
  <c r="Y48" i="332" s="1"/>
  <c r="C54" i="342"/>
  <c r="C58" i="342"/>
  <c r="C72" i="342"/>
  <c r="G72" i="342" s="1"/>
  <c r="C12" i="346"/>
  <c r="C21" i="346"/>
  <c r="C25" i="346"/>
  <c r="C31" i="346"/>
  <c r="C37" i="346"/>
  <c r="C41" i="346"/>
  <c r="C51" i="346"/>
  <c r="C55" i="346"/>
  <c r="Y55" i="333" s="1"/>
  <c r="C63" i="346"/>
  <c r="C67" i="343"/>
  <c r="AC67" i="332" s="1"/>
  <c r="C47" i="348"/>
  <c r="AC47" i="333" s="1"/>
  <c r="C57" i="348"/>
  <c r="AC57" i="333" s="1"/>
  <c r="C52" i="348"/>
  <c r="C35" i="348"/>
  <c r="C28" i="348"/>
  <c r="AC28" i="333" s="1"/>
  <c r="C10" i="348"/>
  <c r="C38" i="348"/>
  <c r="C14" i="348"/>
  <c r="C67" i="348"/>
  <c r="AC67" i="333" s="1"/>
  <c r="C56" i="348"/>
  <c r="AC56" i="333" s="1"/>
  <c r="C39" i="348"/>
  <c r="C32" i="348"/>
  <c r="C15" i="348"/>
  <c r="C8" i="348"/>
  <c r="AC8" i="333" s="1"/>
  <c r="AD8" i="333" s="1"/>
  <c r="C23" i="348"/>
  <c r="C64" i="348"/>
  <c r="AC64" i="333" s="1"/>
  <c r="C53" i="348"/>
  <c r="AC53" i="333" s="1"/>
  <c r="C46" i="348"/>
  <c r="C29" i="348"/>
  <c r="C22" i="348"/>
  <c r="C11" i="343"/>
  <c r="C20" i="343"/>
  <c r="AC20" i="332" s="1"/>
  <c r="C24" i="343"/>
  <c r="AC24" i="332" s="1"/>
  <c r="C30" i="343"/>
  <c r="C36" i="343"/>
  <c r="C40" i="343"/>
  <c r="AC40" i="332" s="1"/>
  <c r="C48" i="343"/>
  <c r="AC48" i="332" s="1"/>
  <c r="C54" i="343"/>
  <c r="C58" i="343"/>
  <c r="C72" i="343"/>
  <c r="AC72" i="332" s="1"/>
  <c r="C12" i="343"/>
  <c r="C21" i="343"/>
  <c r="C25" i="343"/>
  <c r="C31" i="343"/>
  <c r="AC31" i="332" s="1"/>
  <c r="C37" i="343"/>
  <c r="C41" i="343"/>
  <c r="AC41" i="332" s="1"/>
  <c r="C51" i="343"/>
  <c r="C55" i="343"/>
  <c r="AC55" i="332" s="1"/>
  <c r="C63" i="343"/>
  <c r="AC63" i="332" s="1"/>
  <c r="C74" i="343"/>
  <c r="C11" i="348"/>
  <c r="AC11" i="333" s="1"/>
  <c r="C20" i="348"/>
  <c r="C24" i="348"/>
  <c r="C30" i="348"/>
  <c r="AC30" i="333" s="1"/>
  <c r="C36" i="348"/>
  <c r="C40" i="348"/>
  <c r="AC40" i="333" s="1"/>
  <c r="C48" i="348"/>
  <c r="AC48" i="333" s="1"/>
  <c r="C54" i="348"/>
  <c r="AC54" i="333" s="1"/>
  <c r="C58" i="348"/>
  <c r="C72" i="348"/>
  <c r="AC72" i="333" s="1"/>
  <c r="C8" i="343"/>
  <c r="C14" i="343"/>
  <c r="C22" i="343"/>
  <c r="C28" i="343"/>
  <c r="AC28" i="332" s="1"/>
  <c r="C32" i="343"/>
  <c r="C38" i="343"/>
  <c r="C46" i="343"/>
  <c r="AC46" i="332" s="1"/>
  <c r="C52" i="343"/>
  <c r="C56" i="343"/>
  <c r="C64" i="343"/>
  <c r="C12" i="348"/>
  <c r="AC12" i="333" s="1"/>
  <c r="C21" i="348"/>
  <c r="C25" i="348"/>
  <c r="C31" i="348"/>
  <c r="AC31" i="333" s="1"/>
  <c r="C37" i="348"/>
  <c r="C41" i="348"/>
  <c r="AC41" i="333" s="1"/>
  <c r="C51" i="348"/>
  <c r="AC51" i="333" s="1"/>
  <c r="C55" i="348"/>
  <c r="AC55" i="333" s="1"/>
  <c r="C63" i="348"/>
  <c r="C74" i="348"/>
  <c r="AC74" i="333" s="1"/>
  <c r="C10" i="343"/>
  <c r="C15" i="343"/>
  <c r="AC15" i="332" s="1"/>
  <c r="C23" i="343"/>
  <c r="C29" i="343"/>
  <c r="AC29" i="332" s="1"/>
  <c r="C35" i="343"/>
  <c r="AC35" i="332" s="1"/>
  <c r="C39" i="343"/>
  <c r="C47" i="343"/>
  <c r="C53" i="343"/>
  <c r="C57" i="343"/>
  <c r="C72" i="344"/>
  <c r="AA72" i="332" s="1"/>
  <c r="C67" i="344"/>
  <c r="AA67" i="332" s="1"/>
  <c r="C8" i="347"/>
  <c r="AA8" i="333" s="1"/>
  <c r="C14" i="347"/>
  <c r="AA14" i="333" s="1"/>
  <c r="C22" i="347"/>
  <c r="AA22" i="333" s="1"/>
  <c r="C28" i="347"/>
  <c r="AA28" i="333" s="1"/>
  <c r="C32" i="347"/>
  <c r="C38" i="347"/>
  <c r="AA38" i="333" s="1"/>
  <c r="C46" i="347"/>
  <c r="AA46" i="333" s="1"/>
  <c r="C52" i="347"/>
  <c r="AA52" i="333" s="1"/>
  <c r="C56" i="347"/>
  <c r="AA56" i="333" s="1"/>
  <c r="C64" i="347"/>
  <c r="AA64" i="333" s="1"/>
  <c r="C12" i="344"/>
  <c r="AA12" i="332" s="1"/>
  <c r="C21" i="344"/>
  <c r="AA21" i="332" s="1"/>
  <c r="C25" i="344"/>
  <c r="AA25" i="332" s="1"/>
  <c r="C31" i="344"/>
  <c r="AA31" i="332" s="1"/>
  <c r="C37" i="344"/>
  <c r="AA37" i="332" s="1"/>
  <c r="C41" i="344"/>
  <c r="AA41" i="332" s="1"/>
  <c r="C51" i="344"/>
  <c r="AA51" i="332" s="1"/>
  <c r="C55" i="344"/>
  <c r="AA55" i="332" s="1"/>
  <c r="C63" i="344"/>
  <c r="G63" i="344" s="1"/>
  <c r="H63" i="344" s="1"/>
  <c r="C74" i="344"/>
  <c r="C10" i="347"/>
  <c r="AA10" i="333" s="1"/>
  <c r="C15" i="347"/>
  <c r="C23" i="347"/>
  <c r="AA23" i="333" s="1"/>
  <c r="C29" i="347"/>
  <c r="AA29" i="333" s="1"/>
  <c r="C35" i="347"/>
  <c r="AA35" i="333" s="1"/>
  <c r="C39" i="347"/>
  <c r="C47" i="347"/>
  <c r="C53" i="347"/>
  <c r="C57" i="347"/>
  <c r="C67" i="347"/>
  <c r="C8" i="344"/>
  <c r="C14" i="344"/>
  <c r="AA14" i="332" s="1"/>
  <c r="C22" i="344"/>
  <c r="AA22" i="332" s="1"/>
  <c r="C28" i="344"/>
  <c r="AA28" i="332" s="1"/>
  <c r="C32" i="344"/>
  <c r="AA32" i="332" s="1"/>
  <c r="C38" i="344"/>
  <c r="AA38" i="332" s="1"/>
  <c r="C46" i="344"/>
  <c r="C52" i="344"/>
  <c r="AA52" i="332" s="1"/>
  <c r="C56" i="344"/>
  <c r="AA56" i="332" s="1"/>
  <c r="C64" i="344"/>
  <c r="AA64" i="332" s="1"/>
  <c r="C11" i="347"/>
  <c r="C20" i="347"/>
  <c r="C24" i="347"/>
  <c r="C30" i="347"/>
  <c r="C36" i="347"/>
  <c r="C40" i="347"/>
  <c r="AA40" i="333" s="1"/>
  <c r="C48" i="347"/>
  <c r="AA48" i="333" s="1"/>
  <c r="C54" i="347"/>
  <c r="C58" i="347"/>
  <c r="C72" i="347"/>
  <c r="AA72" i="333" s="1"/>
  <c r="C10" i="344"/>
  <c r="AA10" i="332" s="1"/>
  <c r="C15" i="344"/>
  <c r="AA15" i="332" s="1"/>
  <c r="C23" i="344"/>
  <c r="AA23" i="332" s="1"/>
  <c r="C29" i="344"/>
  <c r="G29" i="344" s="1"/>
  <c r="H29" i="344" s="1"/>
  <c r="C35" i="344"/>
  <c r="AA35" i="332" s="1"/>
  <c r="C39" i="344"/>
  <c r="AA39" i="332" s="1"/>
  <c r="C47" i="344"/>
  <c r="AA47" i="332" s="1"/>
  <c r="C53" i="344"/>
  <c r="AA53" i="332" s="1"/>
  <c r="C57" i="344"/>
  <c r="AA57" i="332" s="1"/>
  <c r="C12" i="347"/>
  <c r="C21" i="347"/>
  <c r="C25" i="347"/>
  <c r="C31" i="347"/>
  <c r="AA31" i="333" s="1"/>
  <c r="C37" i="347"/>
  <c r="AA37" i="333" s="1"/>
  <c r="C41" i="347"/>
  <c r="AA41" i="333" s="1"/>
  <c r="C51" i="347"/>
  <c r="AA51" i="333" s="1"/>
  <c r="C55" i="347"/>
  <c r="C63" i="347"/>
  <c r="C74" i="347"/>
  <c r="AA74" i="333" s="1"/>
  <c r="C11" i="344"/>
  <c r="AA11" i="332" s="1"/>
  <c r="C20" i="344"/>
  <c r="G20" i="344" s="1"/>
  <c r="H20" i="344" s="1"/>
  <c r="C24" i="344"/>
  <c r="AA24" i="332" s="1"/>
  <c r="C30" i="344"/>
  <c r="AA30" i="332" s="1"/>
  <c r="C36" i="344"/>
  <c r="AA36" i="332" s="1"/>
  <c r="C40" i="344"/>
  <c r="AA40" i="332" s="1"/>
  <c r="C48" i="344"/>
  <c r="AA48" i="332" s="1"/>
  <c r="C54" i="344"/>
  <c r="AA54" i="332" s="1"/>
  <c r="C58" i="344"/>
  <c r="AA58" i="332" s="1"/>
  <c r="F28" i="349"/>
  <c r="F37" i="348"/>
  <c r="F74" i="348"/>
  <c r="E13" i="346"/>
  <c r="E16" i="346" s="1"/>
  <c r="F32" i="347"/>
  <c r="F28" i="348"/>
  <c r="E65" i="348"/>
  <c r="F65" i="348" s="1"/>
  <c r="F47" i="346"/>
  <c r="E13" i="347"/>
  <c r="F13" i="347" s="1"/>
  <c r="E13" i="349"/>
  <c r="F13" i="349" s="1"/>
  <c r="H24" i="346"/>
  <c r="F72" i="347"/>
  <c r="F67" i="342"/>
  <c r="F52" i="342"/>
  <c r="H15" i="343"/>
  <c r="E65" i="345"/>
  <c r="F65" i="345" s="1"/>
  <c r="E59" i="345"/>
  <c r="F59" i="345" s="1"/>
  <c r="F28" i="343"/>
  <c r="F23" i="345"/>
  <c r="F8" i="343"/>
  <c r="F23" i="342"/>
  <c r="F47" i="345"/>
  <c r="F67" i="344"/>
  <c r="E65" i="342"/>
  <c r="F65" i="342" s="1"/>
  <c r="F74" i="342"/>
  <c r="E65" i="344"/>
  <c r="H48" i="343"/>
  <c r="H10" i="345"/>
  <c r="F41" i="345"/>
  <c r="F52" i="344"/>
  <c r="F37" i="342"/>
  <c r="F23" i="343"/>
  <c r="F32" i="344"/>
  <c r="F8" i="342"/>
  <c r="F47" i="343"/>
  <c r="F47" i="342"/>
  <c r="F74" i="344"/>
  <c r="F41" i="346"/>
  <c r="F31" i="347"/>
  <c r="F41" i="347"/>
  <c r="F74" i="347"/>
  <c r="F28" i="347"/>
  <c r="H15" i="348"/>
  <c r="F32" i="348"/>
  <c r="F52" i="348"/>
  <c r="F56" i="346"/>
  <c r="F56" i="348"/>
  <c r="F32" i="349"/>
  <c r="F52" i="349"/>
  <c r="F28" i="346"/>
  <c r="F52" i="346"/>
  <c r="F52" i="347"/>
  <c r="F56" i="349"/>
  <c r="F74" i="346"/>
  <c r="F23" i="348"/>
  <c r="F47" i="349"/>
  <c r="F23" i="346"/>
  <c r="F67" i="347"/>
  <c r="F47" i="348"/>
  <c r="F67" i="349"/>
  <c r="F47" i="347"/>
  <c r="F37" i="346"/>
  <c r="H24" i="348"/>
  <c r="F41" i="348"/>
  <c r="F36" i="347"/>
  <c r="E26" i="348"/>
  <c r="F26" i="348" s="1"/>
  <c r="F40" i="347"/>
  <c r="F8" i="347"/>
  <c r="E65" i="346"/>
  <c r="F65" i="346" s="1"/>
  <c r="F12" i="347"/>
  <c r="F37" i="347"/>
  <c r="F51" i="347"/>
  <c r="E65" i="347"/>
  <c r="F65" i="347" s="1"/>
  <c r="F37" i="349"/>
  <c r="F37" i="344"/>
  <c r="F74" i="345"/>
  <c r="F32" i="342"/>
  <c r="F32" i="343"/>
  <c r="E13" i="344"/>
  <c r="F13" i="344" s="1"/>
  <c r="F28" i="344"/>
  <c r="F56" i="344"/>
  <c r="F52" i="343"/>
  <c r="F28" i="345"/>
  <c r="F32" i="345"/>
  <c r="F52" i="345"/>
  <c r="F56" i="345"/>
  <c r="F28" i="342"/>
  <c r="F56" i="342"/>
  <c r="F56" i="343"/>
  <c r="H24" i="342"/>
  <c r="F74" i="343"/>
  <c r="F67" i="345"/>
  <c r="F23" i="344"/>
  <c r="F47" i="344"/>
  <c r="F67" i="343"/>
  <c r="F41" i="342"/>
  <c r="F8" i="345"/>
  <c r="F41" i="349"/>
  <c r="E13" i="348"/>
  <c r="E16" i="348" s="1"/>
  <c r="F8" i="348"/>
  <c r="E49" i="347"/>
  <c r="H51" i="347"/>
  <c r="H24" i="347"/>
  <c r="E49" i="346"/>
  <c r="F49" i="346" s="1"/>
  <c r="H55" i="349"/>
  <c r="H72" i="349"/>
  <c r="E59" i="349"/>
  <c r="F12" i="349"/>
  <c r="F22" i="349"/>
  <c r="F31" i="349"/>
  <c r="F36" i="349"/>
  <c r="F40" i="349"/>
  <c r="F46" i="349"/>
  <c r="H47" i="349"/>
  <c r="F51" i="349"/>
  <c r="F55" i="349"/>
  <c r="F72" i="349"/>
  <c r="E26" i="349"/>
  <c r="E49" i="349"/>
  <c r="F11" i="349"/>
  <c r="F15" i="349"/>
  <c r="F21" i="349"/>
  <c r="F25" i="349"/>
  <c r="F30" i="349"/>
  <c r="F35" i="349"/>
  <c r="F39" i="349"/>
  <c r="F54" i="349"/>
  <c r="F58" i="349"/>
  <c r="F64" i="349"/>
  <c r="E42" i="349"/>
  <c r="E33" i="349"/>
  <c r="F10" i="349"/>
  <c r="F14" i="349"/>
  <c r="F20" i="349"/>
  <c r="F24" i="349"/>
  <c r="F29" i="349"/>
  <c r="F38" i="349"/>
  <c r="F48" i="349"/>
  <c r="F53" i="349"/>
  <c r="F57" i="349"/>
  <c r="F63" i="349"/>
  <c r="H72" i="348"/>
  <c r="E59" i="348"/>
  <c r="F12" i="348"/>
  <c r="F22" i="348"/>
  <c r="F31" i="348"/>
  <c r="F36" i="348"/>
  <c r="F40" i="348"/>
  <c r="F46" i="348"/>
  <c r="F51" i="348"/>
  <c r="F55" i="348"/>
  <c r="F72" i="348"/>
  <c r="E49" i="348"/>
  <c r="F11" i="348"/>
  <c r="F15" i="348"/>
  <c r="F21" i="348"/>
  <c r="F25" i="348"/>
  <c r="F30" i="348"/>
  <c r="F35" i="348"/>
  <c r="F39" i="348"/>
  <c r="F54" i="348"/>
  <c r="F58" i="348"/>
  <c r="F64" i="348"/>
  <c r="E33" i="348"/>
  <c r="E42" i="348"/>
  <c r="F10" i="348"/>
  <c r="F14" i="348"/>
  <c r="F20" i="348"/>
  <c r="F24" i="348"/>
  <c r="F29" i="348"/>
  <c r="F38" i="348"/>
  <c r="F48" i="348"/>
  <c r="F53" i="348"/>
  <c r="F57" i="348"/>
  <c r="F63" i="348"/>
  <c r="H25" i="347"/>
  <c r="E26" i="347"/>
  <c r="E59" i="347"/>
  <c r="F46" i="347"/>
  <c r="H47" i="347"/>
  <c r="F55" i="347"/>
  <c r="F11" i="347"/>
  <c r="F15" i="347"/>
  <c r="F21" i="347"/>
  <c r="F30" i="347"/>
  <c r="F39" i="347"/>
  <c r="F54" i="347"/>
  <c r="F64" i="347"/>
  <c r="E33" i="347"/>
  <c r="E42" i="347"/>
  <c r="F25" i="347"/>
  <c r="F35" i="347"/>
  <c r="F58" i="347"/>
  <c r="F10" i="347"/>
  <c r="F14" i="347"/>
  <c r="F20" i="347"/>
  <c r="F24" i="347"/>
  <c r="F29" i="347"/>
  <c r="F38" i="347"/>
  <c r="F48" i="347"/>
  <c r="F53" i="347"/>
  <c r="F57" i="347"/>
  <c r="F63" i="347"/>
  <c r="H48" i="346"/>
  <c r="H72" i="346"/>
  <c r="E26" i="346"/>
  <c r="E59" i="346"/>
  <c r="F12" i="346"/>
  <c r="F22" i="346"/>
  <c r="F31" i="346"/>
  <c r="F36" i="346"/>
  <c r="F40" i="346"/>
  <c r="F46" i="346"/>
  <c r="H47" i="346"/>
  <c r="F51" i="346"/>
  <c r="F55" i="346"/>
  <c r="F72" i="346"/>
  <c r="F11" i="346"/>
  <c r="F15" i="346"/>
  <c r="F21" i="346"/>
  <c r="F25" i="346"/>
  <c r="F30" i="346"/>
  <c r="F35" i="346"/>
  <c r="F39" i="346"/>
  <c r="F54" i="346"/>
  <c r="F58" i="346"/>
  <c r="F64" i="346"/>
  <c r="E33" i="346"/>
  <c r="E42" i="346"/>
  <c r="F10" i="346"/>
  <c r="F14" i="346"/>
  <c r="F20" i="346"/>
  <c r="F24" i="346"/>
  <c r="F29" i="346"/>
  <c r="F38" i="346"/>
  <c r="F48" i="346"/>
  <c r="F53" i="346"/>
  <c r="F57" i="346"/>
  <c r="F63" i="346"/>
  <c r="F37" i="345"/>
  <c r="F41" i="343"/>
  <c r="F37" i="343"/>
  <c r="F41" i="344"/>
  <c r="H40" i="345"/>
  <c r="H58" i="345"/>
  <c r="H35" i="345"/>
  <c r="H25" i="345"/>
  <c r="H39" i="345"/>
  <c r="F12" i="345"/>
  <c r="F22" i="345"/>
  <c r="F31" i="345"/>
  <c r="F36" i="345"/>
  <c r="F40" i="345"/>
  <c r="F46" i="345"/>
  <c r="H47" i="345"/>
  <c r="F51" i="345"/>
  <c r="H52" i="345"/>
  <c r="F55" i="345"/>
  <c r="F72" i="345"/>
  <c r="E26" i="345"/>
  <c r="E49" i="345"/>
  <c r="F11" i="345"/>
  <c r="H12" i="345"/>
  <c r="F15" i="345"/>
  <c r="F21" i="345"/>
  <c r="F25" i="345"/>
  <c r="F30" i="345"/>
  <c r="F35" i="345"/>
  <c r="F39" i="345"/>
  <c r="F54" i="345"/>
  <c r="F58" i="345"/>
  <c r="F64" i="345"/>
  <c r="E42" i="345"/>
  <c r="E33" i="345"/>
  <c r="F10" i="345"/>
  <c r="F14" i="345"/>
  <c r="F20" i="345"/>
  <c r="F24" i="345"/>
  <c r="F29" i="345"/>
  <c r="F38" i="345"/>
  <c r="F48" i="345"/>
  <c r="F53" i="345"/>
  <c r="F57" i="345"/>
  <c r="F63" i="345"/>
  <c r="E13" i="345"/>
  <c r="H48" i="344"/>
  <c r="H35" i="344"/>
  <c r="H51" i="344"/>
  <c r="E26" i="344"/>
  <c r="E59" i="344"/>
  <c r="F12" i="344"/>
  <c r="F22" i="344"/>
  <c r="F31" i="344"/>
  <c r="F36" i="344"/>
  <c r="F40" i="344"/>
  <c r="F46" i="344"/>
  <c r="H47" i="344"/>
  <c r="F51" i="344"/>
  <c r="F55" i="344"/>
  <c r="F72" i="344"/>
  <c r="E49" i="344"/>
  <c r="F11" i="344"/>
  <c r="F15" i="344"/>
  <c r="F21" i="344"/>
  <c r="F25" i="344"/>
  <c r="F30" i="344"/>
  <c r="F35" i="344"/>
  <c r="F39" i="344"/>
  <c r="F54" i="344"/>
  <c r="F58" i="344"/>
  <c r="F64" i="344"/>
  <c r="E33" i="344"/>
  <c r="E42" i="344"/>
  <c r="F10" i="344"/>
  <c r="F14" i="344"/>
  <c r="F20" i="344"/>
  <c r="F24" i="344"/>
  <c r="F29" i="344"/>
  <c r="F38" i="344"/>
  <c r="F48" i="344"/>
  <c r="F53" i="344"/>
  <c r="F57" i="344"/>
  <c r="F63" i="344"/>
  <c r="H25" i="343"/>
  <c r="E59" i="343"/>
  <c r="E65" i="343"/>
  <c r="F12" i="343"/>
  <c r="F22" i="343"/>
  <c r="F31" i="343"/>
  <c r="F36" i="343"/>
  <c r="F40" i="343"/>
  <c r="F46" i="343"/>
  <c r="F51" i="343"/>
  <c r="F55" i="343"/>
  <c r="F72" i="343"/>
  <c r="E26" i="343"/>
  <c r="E49" i="343"/>
  <c r="F11" i="343"/>
  <c r="F15" i="343"/>
  <c r="F21" i="343"/>
  <c r="F25" i="343"/>
  <c r="F30" i="343"/>
  <c r="F35" i="343"/>
  <c r="F39" i="343"/>
  <c r="F54" i="343"/>
  <c r="F58" i="343"/>
  <c r="F64" i="343"/>
  <c r="E33" i="343"/>
  <c r="E42" i="343"/>
  <c r="F10" i="343"/>
  <c r="F14" i="343"/>
  <c r="F20" i="343"/>
  <c r="F24" i="343"/>
  <c r="F29" i="343"/>
  <c r="F38" i="343"/>
  <c r="F48" i="343"/>
  <c r="F53" i="343"/>
  <c r="F57" i="343"/>
  <c r="F63" i="343"/>
  <c r="E13" i="343"/>
  <c r="H51" i="342"/>
  <c r="H72" i="342"/>
  <c r="E59" i="342"/>
  <c r="F12" i="342"/>
  <c r="F22" i="342"/>
  <c r="F31" i="342"/>
  <c r="F36" i="342"/>
  <c r="F40" i="342"/>
  <c r="F46" i="342"/>
  <c r="H47" i="342"/>
  <c r="F51" i="342"/>
  <c r="F55" i="342"/>
  <c r="F72" i="342"/>
  <c r="E26" i="342"/>
  <c r="E49" i="342"/>
  <c r="F11" i="342"/>
  <c r="F15" i="342"/>
  <c r="F21" i="342"/>
  <c r="F25" i="342"/>
  <c r="F30" i="342"/>
  <c r="F35" i="342"/>
  <c r="F39" i="342"/>
  <c r="F54" i="342"/>
  <c r="F58" i="342"/>
  <c r="F64" i="342"/>
  <c r="E33" i="342"/>
  <c r="E42" i="342"/>
  <c r="F10" i="342"/>
  <c r="F14" i="342"/>
  <c r="F20" i="342"/>
  <c r="F24" i="342"/>
  <c r="F29" i="342"/>
  <c r="F38" i="342"/>
  <c r="F48" i="342"/>
  <c r="F53" i="342"/>
  <c r="F57" i="342"/>
  <c r="F63" i="342"/>
  <c r="E13" i="342"/>
  <c r="H74" i="345" l="1"/>
  <c r="H29" i="345"/>
  <c r="H32" i="345"/>
  <c r="H21" i="345"/>
  <c r="H11" i="345"/>
  <c r="H57" i="345"/>
  <c r="H63" i="345"/>
  <c r="H28" i="345"/>
  <c r="H41" i="345"/>
  <c r="H37" i="345"/>
  <c r="H67" i="345"/>
  <c r="H14" i="345"/>
  <c r="H56" i="345"/>
  <c r="H15" i="345"/>
  <c r="D220" i="235"/>
  <c r="DS126" i="142"/>
  <c r="D190" i="235"/>
  <c r="DC126" i="142"/>
  <c r="H220" i="235"/>
  <c r="DS142" i="142"/>
  <c r="DS143" i="142" s="1"/>
  <c r="DS144" i="142" s="1"/>
  <c r="DS145" i="142" s="1"/>
  <c r="DS146" i="142" s="1"/>
  <c r="DS147" i="142" s="1"/>
  <c r="DS148" i="142" s="1"/>
  <c r="DS149" i="142" s="1"/>
  <c r="DS150" i="142" s="1"/>
  <c r="DS151" i="142" s="1"/>
  <c r="H190" i="235"/>
  <c r="DC142" i="142"/>
  <c r="DC143" i="142" s="1"/>
  <c r="DC144" i="142" s="1"/>
  <c r="DC145" i="142" s="1"/>
  <c r="DC146" i="142" s="1"/>
  <c r="DC147" i="142" s="1"/>
  <c r="DC148" i="142" s="1"/>
  <c r="DC149" i="142" s="1"/>
  <c r="DC150" i="142" s="1"/>
  <c r="DC151" i="142" s="1"/>
  <c r="H205" i="235"/>
  <c r="DK142" i="142"/>
  <c r="DK143" i="142" s="1"/>
  <c r="DK144" i="142" s="1"/>
  <c r="DK145" i="142" s="1"/>
  <c r="DK146" i="142" s="1"/>
  <c r="DK147" i="142" s="1"/>
  <c r="DK148" i="142" s="1"/>
  <c r="DK149" i="142" s="1"/>
  <c r="DK150" i="142" s="1"/>
  <c r="DK151" i="142" s="1"/>
  <c r="D205" i="235"/>
  <c r="DK126" i="142"/>
  <c r="H175" i="235"/>
  <c r="CU142" i="142"/>
  <c r="CU143" i="142" s="1"/>
  <c r="CU144" i="142" s="1"/>
  <c r="CU145" i="142" s="1"/>
  <c r="CU146" i="142" s="1"/>
  <c r="CU147" i="142" s="1"/>
  <c r="CU148" i="142" s="1"/>
  <c r="CU149" i="142" s="1"/>
  <c r="CU150" i="142" s="1"/>
  <c r="CU151" i="142" s="1"/>
  <c r="D175" i="235"/>
  <c r="CU126" i="142"/>
  <c r="G28" i="349"/>
  <c r="D72" i="344"/>
  <c r="G78" i="344"/>
  <c r="D35" i="346"/>
  <c r="G53" i="346"/>
  <c r="H53" i="346" s="1"/>
  <c r="AA78" i="332"/>
  <c r="AF56" i="333"/>
  <c r="G78" i="343"/>
  <c r="G28" i="346"/>
  <c r="G47" i="349"/>
  <c r="G22" i="349"/>
  <c r="H22" i="349" s="1"/>
  <c r="D57" i="346"/>
  <c r="G23" i="346"/>
  <c r="H23" i="346" s="1"/>
  <c r="G46" i="342"/>
  <c r="H46" i="342" s="1"/>
  <c r="D8" i="346"/>
  <c r="G14" i="346"/>
  <c r="H14" i="346" s="1"/>
  <c r="G64" i="342"/>
  <c r="H64" i="342" s="1"/>
  <c r="D54" i="346"/>
  <c r="D53" i="346"/>
  <c r="G35" i="346"/>
  <c r="H35" i="346" s="1"/>
  <c r="G63" i="342"/>
  <c r="H63" i="342" s="1"/>
  <c r="G78" i="345"/>
  <c r="AE78" i="332" s="1"/>
  <c r="E78" i="327"/>
  <c r="U189" i="235"/>
  <c r="DC189" i="142"/>
  <c r="M177" i="235"/>
  <c r="Q192" i="235"/>
  <c r="Q207" i="235"/>
  <c r="Q222" i="235"/>
  <c r="DS158" i="142"/>
  <c r="L220" i="235"/>
  <c r="DC174" i="142"/>
  <c r="P190" i="235"/>
  <c r="V208" i="235"/>
  <c r="M192" i="235"/>
  <c r="M222" i="235"/>
  <c r="U219" i="235"/>
  <c r="DS189" i="142"/>
  <c r="U204" i="235"/>
  <c r="DK189" i="142"/>
  <c r="DK174" i="142"/>
  <c r="P205" i="235"/>
  <c r="DC158" i="142"/>
  <c r="L190" i="235"/>
  <c r="CU174" i="142"/>
  <c r="P175" i="235"/>
  <c r="Q177" i="235"/>
  <c r="DS174" i="142"/>
  <c r="P220" i="235"/>
  <c r="M207" i="235"/>
  <c r="DK160" i="142"/>
  <c r="L207" i="235"/>
  <c r="CU158" i="142"/>
  <c r="L175" i="235"/>
  <c r="C65" i="342"/>
  <c r="Y65" i="332" s="1"/>
  <c r="Z65" i="332" s="1"/>
  <c r="G36" i="349"/>
  <c r="H36" i="349" s="1"/>
  <c r="G67" i="349"/>
  <c r="H67" i="349" s="1"/>
  <c r="D14" i="346"/>
  <c r="G57" i="346"/>
  <c r="H57" i="346" s="1"/>
  <c r="D39" i="346"/>
  <c r="D15" i="346"/>
  <c r="G15" i="346"/>
  <c r="H15" i="346" s="1"/>
  <c r="D23" i="346"/>
  <c r="Y8" i="333"/>
  <c r="Z8" i="333" s="1"/>
  <c r="G8" i="346"/>
  <c r="H8" i="346" s="1"/>
  <c r="D37" i="346"/>
  <c r="G37" i="342"/>
  <c r="H37" i="342" s="1"/>
  <c r="G22" i="347"/>
  <c r="H22" i="347" s="1"/>
  <c r="D23" i="342"/>
  <c r="V174" i="235"/>
  <c r="U174" i="235"/>
  <c r="CU189" i="142"/>
  <c r="V207" i="235"/>
  <c r="D38" i="342"/>
  <c r="D63" i="342"/>
  <c r="D21" i="342"/>
  <c r="G47" i="346"/>
  <c r="G21" i="342"/>
  <c r="H21" i="342" s="1"/>
  <c r="D64" i="342"/>
  <c r="G8" i="342"/>
  <c r="H8" i="342" s="1"/>
  <c r="G67" i="346"/>
  <c r="H67" i="346" s="1"/>
  <c r="D67" i="346"/>
  <c r="G25" i="342"/>
  <c r="D8" i="342"/>
  <c r="D10" i="346"/>
  <c r="V206" i="235"/>
  <c r="D56" i="349"/>
  <c r="G57" i="348"/>
  <c r="H57" i="348" s="1"/>
  <c r="G56" i="347"/>
  <c r="H56" i="347" s="1"/>
  <c r="D37" i="342"/>
  <c r="G32" i="342"/>
  <c r="H32" i="342" s="1"/>
  <c r="D28" i="346"/>
  <c r="G74" i="342"/>
  <c r="H74" i="342" s="1"/>
  <c r="G38" i="342"/>
  <c r="H38" i="342" s="1"/>
  <c r="G56" i="342"/>
  <c r="H56" i="342" s="1"/>
  <c r="D74" i="342"/>
  <c r="D56" i="342"/>
  <c r="G37" i="349"/>
  <c r="H37" i="349" s="1"/>
  <c r="AF67" i="333"/>
  <c r="AF28" i="333"/>
  <c r="D28" i="349"/>
  <c r="D36" i="349"/>
  <c r="D22" i="349"/>
  <c r="G56" i="349"/>
  <c r="H56" i="349" s="1"/>
  <c r="D8" i="349"/>
  <c r="AF8" i="333"/>
  <c r="D37" i="349"/>
  <c r="G8" i="349"/>
  <c r="H8" i="349" s="1"/>
  <c r="Q205" i="235"/>
  <c r="Q175" i="235"/>
  <c r="Q220" i="235"/>
  <c r="Q190" i="235"/>
  <c r="L205" i="235"/>
  <c r="M220" i="235"/>
  <c r="M175" i="235"/>
  <c r="M190" i="235"/>
  <c r="M205" i="235"/>
  <c r="I205" i="235"/>
  <c r="I175" i="235"/>
  <c r="I220" i="235"/>
  <c r="I190" i="235"/>
  <c r="E220" i="235"/>
  <c r="E205" i="235"/>
  <c r="E175" i="235"/>
  <c r="E190" i="235"/>
  <c r="D47" i="349"/>
  <c r="G41" i="342"/>
  <c r="H41" i="342" s="1"/>
  <c r="D12" i="342"/>
  <c r="D41" i="342"/>
  <c r="G12" i="342"/>
  <c r="H12" i="342" s="1"/>
  <c r="D46" i="342"/>
  <c r="D55" i="342"/>
  <c r="D47" i="346"/>
  <c r="G55" i="342"/>
  <c r="H55" i="342" s="1"/>
  <c r="D32" i="342"/>
  <c r="G14" i="342"/>
  <c r="H14" i="342" s="1"/>
  <c r="D14" i="342"/>
  <c r="D25" i="349"/>
  <c r="D24" i="349"/>
  <c r="D11" i="346"/>
  <c r="D22" i="346"/>
  <c r="D48" i="342"/>
  <c r="G22" i="346"/>
  <c r="H22" i="346" s="1"/>
  <c r="G48" i="342"/>
  <c r="H48" i="342" s="1"/>
  <c r="D58" i="346"/>
  <c r="G39" i="349"/>
  <c r="H39" i="349" s="1"/>
  <c r="G58" i="346"/>
  <c r="H58" i="346" s="1"/>
  <c r="G64" i="347"/>
  <c r="H64" i="347" s="1"/>
  <c r="G55" i="344"/>
  <c r="H55" i="344" s="1"/>
  <c r="D28" i="342"/>
  <c r="G74" i="346"/>
  <c r="H74" i="346" s="1"/>
  <c r="D25" i="342"/>
  <c r="G67" i="348"/>
  <c r="H67" i="348" s="1"/>
  <c r="G53" i="348"/>
  <c r="H53" i="348" s="1"/>
  <c r="G10" i="346"/>
  <c r="H10" i="346" s="1"/>
  <c r="G28" i="344"/>
  <c r="H28" i="344" s="1"/>
  <c r="G51" i="344"/>
  <c r="D52" i="342"/>
  <c r="D53" i="342"/>
  <c r="D64" i="349"/>
  <c r="G22" i="342"/>
  <c r="H22" i="342" s="1"/>
  <c r="G23" i="349"/>
  <c r="H23" i="349" s="1"/>
  <c r="G53" i="342"/>
  <c r="H53" i="342" s="1"/>
  <c r="G31" i="342"/>
  <c r="H31" i="342" s="1"/>
  <c r="G64" i="349"/>
  <c r="H64" i="349" s="1"/>
  <c r="D22" i="342"/>
  <c r="G56" i="346"/>
  <c r="H56" i="346" s="1"/>
  <c r="G52" i="342"/>
  <c r="H52" i="342" s="1"/>
  <c r="D51" i="342"/>
  <c r="D56" i="346"/>
  <c r="G51" i="342"/>
  <c r="D31" i="342"/>
  <c r="D40" i="346"/>
  <c r="D74" i="346"/>
  <c r="G28" i="342"/>
  <c r="H28" i="342" s="1"/>
  <c r="G55" i="346"/>
  <c r="H55" i="346" s="1"/>
  <c r="D29" i="346"/>
  <c r="D55" i="346"/>
  <c r="G29" i="346"/>
  <c r="H29" i="346" s="1"/>
  <c r="G72" i="344"/>
  <c r="H72" i="344" s="1"/>
  <c r="G74" i="348"/>
  <c r="H74" i="348" s="1"/>
  <c r="G51" i="347"/>
  <c r="AB46" i="333"/>
  <c r="G20" i="347"/>
  <c r="H20" i="347" s="1"/>
  <c r="AA20" i="333"/>
  <c r="AB20" i="333" s="1"/>
  <c r="G39" i="347"/>
  <c r="H39" i="347" s="1"/>
  <c r="AA39" i="333"/>
  <c r="AB39" i="333" s="1"/>
  <c r="G24" i="348"/>
  <c r="AC24" i="333"/>
  <c r="AD24" i="333" s="1"/>
  <c r="G29" i="348"/>
  <c r="H29" i="348" s="1"/>
  <c r="AC29" i="333"/>
  <c r="AD29" i="333" s="1"/>
  <c r="G39" i="348"/>
  <c r="H39" i="348" s="1"/>
  <c r="AC39" i="333"/>
  <c r="AD39" i="333" s="1"/>
  <c r="G52" i="348"/>
  <c r="H52" i="348" s="1"/>
  <c r="AC52" i="333"/>
  <c r="AD52" i="333" s="1"/>
  <c r="G37" i="346"/>
  <c r="H37" i="346" s="1"/>
  <c r="Y37" i="333"/>
  <c r="D72" i="346"/>
  <c r="Y72" i="333"/>
  <c r="G20" i="346"/>
  <c r="H20" i="346" s="1"/>
  <c r="Y20" i="333"/>
  <c r="D29" i="342"/>
  <c r="Y29" i="332"/>
  <c r="Z29" i="332" s="1"/>
  <c r="D32" i="346"/>
  <c r="Y32" i="333"/>
  <c r="G51" i="349"/>
  <c r="AE51" i="333"/>
  <c r="AF51" i="333" s="1"/>
  <c r="G48" i="349"/>
  <c r="H48" i="349" s="1"/>
  <c r="AE48" i="333"/>
  <c r="AF48" i="333" s="1"/>
  <c r="G38" i="349"/>
  <c r="H38" i="349" s="1"/>
  <c r="AE38" i="333"/>
  <c r="AF38" i="333" s="1"/>
  <c r="G58" i="347"/>
  <c r="H58" i="347" s="1"/>
  <c r="AA58" i="333"/>
  <c r="AB58" i="333" s="1"/>
  <c r="G20" i="348"/>
  <c r="H20" i="348" s="1"/>
  <c r="AC20" i="333"/>
  <c r="AD20" i="333" s="1"/>
  <c r="G46" i="348"/>
  <c r="AC46" i="333"/>
  <c r="AD46" i="333" s="1"/>
  <c r="G31" i="346"/>
  <c r="H31" i="346" s="1"/>
  <c r="Y31" i="333"/>
  <c r="G40" i="342"/>
  <c r="H40" i="342" s="1"/>
  <c r="Y40" i="332"/>
  <c r="Z40" i="332" s="1"/>
  <c r="G23" i="342"/>
  <c r="H23" i="342" s="1"/>
  <c r="Y23" i="332"/>
  <c r="Z23" i="332" s="1"/>
  <c r="G57" i="349"/>
  <c r="H57" i="349" s="1"/>
  <c r="AE57" i="333"/>
  <c r="AF57" i="333" s="1"/>
  <c r="G41" i="349"/>
  <c r="H41" i="349" s="1"/>
  <c r="AE41" i="333"/>
  <c r="AF41" i="333" s="1"/>
  <c r="G54" i="347"/>
  <c r="H54" i="347" s="1"/>
  <c r="AA54" i="333"/>
  <c r="AB54" i="333" s="1"/>
  <c r="G37" i="348"/>
  <c r="H37" i="348" s="1"/>
  <c r="AC37" i="333"/>
  <c r="AD37" i="333" s="1"/>
  <c r="G58" i="348"/>
  <c r="H58" i="348" s="1"/>
  <c r="AC58" i="333"/>
  <c r="AD58" i="333" s="1"/>
  <c r="D25" i="346"/>
  <c r="Y25" i="333"/>
  <c r="G36" i="342"/>
  <c r="H36" i="342" s="1"/>
  <c r="Y36" i="332"/>
  <c r="Z36" i="332" s="1"/>
  <c r="G54" i="346"/>
  <c r="H54" i="346" s="1"/>
  <c r="Y54" i="333"/>
  <c r="D67" i="342"/>
  <c r="Y67" i="332"/>
  <c r="Z67" i="332" s="1"/>
  <c r="G25" i="347"/>
  <c r="AA25" i="333"/>
  <c r="AB25" i="333" s="1"/>
  <c r="G21" i="346"/>
  <c r="H21" i="346" s="1"/>
  <c r="Y21" i="333"/>
  <c r="G30" i="342"/>
  <c r="H30" i="342" s="1"/>
  <c r="Y30" i="332"/>
  <c r="Z30" i="332" s="1"/>
  <c r="D48" i="346"/>
  <c r="Y48" i="333"/>
  <c r="G57" i="342"/>
  <c r="H57" i="342" s="1"/>
  <c r="Y57" i="332"/>
  <c r="Z57" i="332" s="1"/>
  <c r="G35" i="349"/>
  <c r="H35" i="349" s="1"/>
  <c r="AE35" i="333"/>
  <c r="AF35" i="333" s="1"/>
  <c r="G31" i="349"/>
  <c r="H31" i="349" s="1"/>
  <c r="AE31" i="333"/>
  <c r="AF31" i="333" s="1"/>
  <c r="D53" i="349"/>
  <c r="AE53" i="333"/>
  <c r="AF53" i="333" s="1"/>
  <c r="D30" i="349"/>
  <c r="AE30" i="333"/>
  <c r="AF30" i="333" s="1"/>
  <c r="G21" i="347"/>
  <c r="H21" i="347" s="1"/>
  <c r="AA21" i="333"/>
  <c r="AB21" i="333" s="1"/>
  <c r="G67" i="347"/>
  <c r="H67" i="347" s="1"/>
  <c r="AA67" i="333"/>
  <c r="AB67" i="333" s="1"/>
  <c r="G25" i="348"/>
  <c r="AC25" i="333"/>
  <c r="AD25" i="333" s="1"/>
  <c r="G23" i="348"/>
  <c r="H23" i="348" s="1"/>
  <c r="AC23" i="333"/>
  <c r="AD23" i="333" s="1"/>
  <c r="G38" i="348"/>
  <c r="H38" i="348" s="1"/>
  <c r="AC38" i="333"/>
  <c r="AD38" i="333" s="1"/>
  <c r="D63" i="346"/>
  <c r="Y63" i="333"/>
  <c r="D24" i="342"/>
  <c r="Y24" i="332"/>
  <c r="Z24" i="332" s="1"/>
  <c r="G25" i="349"/>
  <c r="AE25" i="333"/>
  <c r="AF25" i="333" s="1"/>
  <c r="G29" i="349"/>
  <c r="H29" i="349" s="1"/>
  <c r="AE29" i="333"/>
  <c r="AF29" i="333" s="1"/>
  <c r="G24" i="349"/>
  <c r="AE24" i="333"/>
  <c r="AF24" i="333" s="1"/>
  <c r="G63" i="347"/>
  <c r="H63" i="347" s="1"/>
  <c r="AA63" i="333"/>
  <c r="AB63" i="333" s="1"/>
  <c r="G36" i="347"/>
  <c r="H36" i="347" s="1"/>
  <c r="AA36" i="333"/>
  <c r="AB36" i="333" s="1"/>
  <c r="G57" i="347"/>
  <c r="H57" i="347" s="1"/>
  <c r="AA57" i="333"/>
  <c r="AB57" i="333" s="1"/>
  <c r="G32" i="347"/>
  <c r="H32" i="347" s="1"/>
  <c r="AA32" i="333"/>
  <c r="AB32" i="333" s="1"/>
  <c r="G21" i="348"/>
  <c r="H21" i="348" s="1"/>
  <c r="AC21" i="333"/>
  <c r="AD21" i="333" s="1"/>
  <c r="D72" i="342"/>
  <c r="Y72" i="332"/>
  <c r="Z72" i="332" s="1"/>
  <c r="D20" i="342"/>
  <c r="Y20" i="332"/>
  <c r="Z20" i="332" s="1"/>
  <c r="G36" i="346"/>
  <c r="H36" i="346" s="1"/>
  <c r="Y36" i="333"/>
  <c r="G47" i="342"/>
  <c r="Y47" i="332"/>
  <c r="Z47" i="332" s="1"/>
  <c r="D52" i="346"/>
  <c r="Y52" i="333"/>
  <c r="G74" i="349"/>
  <c r="H74" i="349" s="1"/>
  <c r="AE74" i="333"/>
  <c r="AF74" i="333" s="1"/>
  <c r="G21" i="349"/>
  <c r="H21" i="349" s="1"/>
  <c r="AE21" i="333"/>
  <c r="AF21" i="333" s="1"/>
  <c r="G72" i="349"/>
  <c r="AE72" i="333"/>
  <c r="AF72" i="333" s="1"/>
  <c r="G55" i="347"/>
  <c r="H55" i="347" s="1"/>
  <c r="AA55" i="333"/>
  <c r="AB55" i="333" s="1"/>
  <c r="G30" i="347"/>
  <c r="H30" i="347" s="1"/>
  <c r="AA30" i="333"/>
  <c r="AB30" i="333" s="1"/>
  <c r="G53" i="347"/>
  <c r="H53" i="347" s="1"/>
  <c r="AA53" i="333"/>
  <c r="AB53" i="333" s="1"/>
  <c r="G63" i="348"/>
  <c r="H63" i="348" s="1"/>
  <c r="AC63" i="333"/>
  <c r="AD63" i="333" s="1"/>
  <c r="G36" i="348"/>
  <c r="H36" i="348" s="1"/>
  <c r="AC36" i="333"/>
  <c r="AD36" i="333" s="1"/>
  <c r="G51" i="346"/>
  <c r="Y51" i="333"/>
  <c r="D58" i="342"/>
  <c r="Y58" i="332"/>
  <c r="Z58" i="332" s="1"/>
  <c r="D30" i="346"/>
  <c r="Y30" i="333"/>
  <c r="D39" i="342"/>
  <c r="Y39" i="332"/>
  <c r="Z39" i="332" s="1"/>
  <c r="D46" i="346"/>
  <c r="Y46" i="333"/>
  <c r="G63" i="349"/>
  <c r="H63" i="349" s="1"/>
  <c r="AE63" i="333"/>
  <c r="AF63" i="333" s="1"/>
  <c r="G58" i="349"/>
  <c r="H58" i="349" s="1"/>
  <c r="AE58" i="333"/>
  <c r="AF58" i="333" s="1"/>
  <c r="G24" i="347"/>
  <c r="AA24" i="333"/>
  <c r="AB24" i="333" s="1"/>
  <c r="G47" i="347"/>
  <c r="AA47" i="333"/>
  <c r="AB47" i="333" s="1"/>
  <c r="G22" i="348"/>
  <c r="H22" i="348" s="1"/>
  <c r="AC22" i="333"/>
  <c r="AD22" i="333" s="1"/>
  <c r="G32" i="348"/>
  <c r="H32" i="348" s="1"/>
  <c r="AC32" i="333"/>
  <c r="AD32" i="333" s="1"/>
  <c r="G35" i="348"/>
  <c r="H35" i="348" s="1"/>
  <c r="AC35" i="333"/>
  <c r="AD35" i="333" s="1"/>
  <c r="G41" i="346"/>
  <c r="H41" i="346" s="1"/>
  <c r="Y41" i="333"/>
  <c r="G54" i="342"/>
  <c r="H54" i="342" s="1"/>
  <c r="Y54" i="332"/>
  <c r="Z54" i="332" s="1"/>
  <c r="G40" i="346"/>
  <c r="H40" i="346" s="1"/>
  <c r="G24" i="346"/>
  <c r="Y24" i="333"/>
  <c r="D35" i="342"/>
  <c r="Y35" i="332"/>
  <c r="Z35" i="332" s="1"/>
  <c r="D38" i="346"/>
  <c r="Y38" i="333"/>
  <c r="D55" i="349"/>
  <c r="AE55" i="333"/>
  <c r="AF55" i="333" s="1"/>
  <c r="G54" i="349"/>
  <c r="H54" i="349" s="1"/>
  <c r="AE54" i="333"/>
  <c r="AF54" i="333" s="1"/>
  <c r="AD57" i="333"/>
  <c r="AD55" i="333"/>
  <c r="AD47" i="333"/>
  <c r="AD28" i="333"/>
  <c r="AD51" i="333"/>
  <c r="AD72" i="333"/>
  <c r="AD11" i="333"/>
  <c r="AD54" i="333"/>
  <c r="AD31" i="333"/>
  <c r="AB64" i="333"/>
  <c r="F13" i="346"/>
  <c r="AD30" i="333"/>
  <c r="G14" i="347"/>
  <c r="H14" i="347" s="1"/>
  <c r="AD12" i="333"/>
  <c r="AD64" i="333"/>
  <c r="AD56" i="333"/>
  <c r="AD40" i="333"/>
  <c r="AD53" i="333"/>
  <c r="AD48" i="333"/>
  <c r="AD67" i="333"/>
  <c r="AD41" i="333"/>
  <c r="AD74" i="333"/>
  <c r="D47" i="347"/>
  <c r="E16" i="349"/>
  <c r="F16" i="349" s="1"/>
  <c r="AF14" i="333"/>
  <c r="K111" i="189"/>
  <c r="K123" i="189" s="1"/>
  <c r="J123" i="189"/>
  <c r="M111" i="189"/>
  <c r="V204" i="235"/>
  <c r="L113" i="189"/>
  <c r="G12" i="344"/>
  <c r="H12" i="344" s="1"/>
  <c r="E111" i="189"/>
  <c r="E112" i="189" s="1"/>
  <c r="C111" i="189"/>
  <c r="C123" i="189" s="1"/>
  <c r="B123" i="189"/>
  <c r="E16" i="347"/>
  <c r="F16" i="347" s="1"/>
  <c r="D41" i="348"/>
  <c r="D72" i="348"/>
  <c r="D40" i="349"/>
  <c r="G14" i="349"/>
  <c r="H14" i="349" s="1"/>
  <c r="D39" i="349"/>
  <c r="D67" i="349"/>
  <c r="D30" i="348"/>
  <c r="D14" i="349"/>
  <c r="AB40" i="333"/>
  <c r="D31" i="347"/>
  <c r="D29" i="347"/>
  <c r="G11" i="347"/>
  <c r="H11" i="347" s="1"/>
  <c r="AA11" i="333"/>
  <c r="AB11" i="333" s="1"/>
  <c r="AB38" i="333"/>
  <c r="D8" i="347"/>
  <c r="D48" i="347"/>
  <c r="D23" i="347"/>
  <c r="G14" i="348"/>
  <c r="H14" i="348" s="1"/>
  <c r="AC14" i="333"/>
  <c r="AD14" i="333" s="1"/>
  <c r="D15" i="342"/>
  <c r="Y15" i="332"/>
  <c r="Z15" i="332" s="1"/>
  <c r="D74" i="347"/>
  <c r="D40" i="347"/>
  <c r="G15" i="347"/>
  <c r="H15" i="347" s="1"/>
  <c r="AA15" i="333"/>
  <c r="AB15" i="333" s="1"/>
  <c r="D48" i="348"/>
  <c r="G12" i="346"/>
  <c r="H12" i="346" s="1"/>
  <c r="Y12" i="333"/>
  <c r="AB8" i="333"/>
  <c r="D39" i="347"/>
  <c r="G8" i="347"/>
  <c r="H8" i="347" s="1"/>
  <c r="AB28" i="333"/>
  <c r="D56" i="347"/>
  <c r="G12" i="347"/>
  <c r="H12" i="347" s="1"/>
  <c r="AA12" i="333"/>
  <c r="AB12" i="333" s="1"/>
  <c r="G10" i="348"/>
  <c r="H10" i="348" s="1"/>
  <c r="AC10" i="333"/>
  <c r="AD10" i="333" s="1"/>
  <c r="D15" i="349"/>
  <c r="AE15" i="333"/>
  <c r="AF15" i="333" s="1"/>
  <c r="AB51" i="333"/>
  <c r="AB23" i="333"/>
  <c r="D64" i="347"/>
  <c r="D22" i="347"/>
  <c r="G15" i="348"/>
  <c r="AC15" i="333"/>
  <c r="AD15" i="333" s="1"/>
  <c r="D11" i="342"/>
  <c r="Y11" i="332"/>
  <c r="Z11" i="332" s="1"/>
  <c r="G10" i="349"/>
  <c r="H10" i="349" s="1"/>
  <c r="AE10" i="333"/>
  <c r="AF10" i="333" s="1"/>
  <c r="D37" i="347"/>
  <c r="D35" i="347"/>
  <c r="D58" i="347"/>
  <c r="D24" i="347"/>
  <c r="D14" i="347"/>
  <c r="D51" i="347"/>
  <c r="D12" i="349"/>
  <c r="AE12" i="333"/>
  <c r="AF12" i="333" s="1"/>
  <c r="G11" i="349"/>
  <c r="H11" i="349" s="1"/>
  <c r="AE11" i="333"/>
  <c r="AF11" i="333" s="1"/>
  <c r="D41" i="347"/>
  <c r="D72" i="347"/>
  <c r="G11" i="346"/>
  <c r="H11" i="346" s="1"/>
  <c r="D46" i="349"/>
  <c r="D46" i="345"/>
  <c r="D32" i="349"/>
  <c r="D58" i="349"/>
  <c r="D57" i="349"/>
  <c r="G15" i="349"/>
  <c r="H15" i="349" s="1"/>
  <c r="C26" i="345"/>
  <c r="D26" i="345" s="1"/>
  <c r="G52" i="343"/>
  <c r="H52" i="343" s="1"/>
  <c r="AC52" i="332"/>
  <c r="G57" i="343"/>
  <c r="H57" i="343" s="1"/>
  <c r="AC57" i="332"/>
  <c r="G23" i="343"/>
  <c r="H23" i="343" s="1"/>
  <c r="AC23" i="332"/>
  <c r="D29" i="348"/>
  <c r="G38" i="343"/>
  <c r="H38" i="343" s="1"/>
  <c r="AC38" i="332"/>
  <c r="G32" i="343"/>
  <c r="H32" i="343" s="1"/>
  <c r="AC32" i="332"/>
  <c r="G21" i="343"/>
  <c r="H21" i="343" s="1"/>
  <c r="AC21" i="332"/>
  <c r="G40" i="343"/>
  <c r="H40" i="343" s="1"/>
  <c r="D40" i="343"/>
  <c r="G47" i="343"/>
  <c r="H47" i="343" s="1"/>
  <c r="AC47" i="332"/>
  <c r="G12" i="343"/>
  <c r="H12" i="343" s="1"/>
  <c r="AC12" i="332"/>
  <c r="G37" i="343"/>
  <c r="H37" i="343" s="1"/>
  <c r="AC37" i="332"/>
  <c r="G39" i="343"/>
  <c r="H39" i="343" s="1"/>
  <c r="AC39" i="332"/>
  <c r="G22" i="343"/>
  <c r="H22" i="343" s="1"/>
  <c r="AC22" i="332"/>
  <c r="G10" i="343"/>
  <c r="H10" i="343" s="1"/>
  <c r="AC10" i="332"/>
  <c r="G25" i="343"/>
  <c r="AC25" i="332"/>
  <c r="G53" i="343"/>
  <c r="H53" i="343" s="1"/>
  <c r="AC53" i="332"/>
  <c r="G48" i="343"/>
  <c r="G74" i="343"/>
  <c r="H74" i="343" s="1"/>
  <c r="AC74" i="332"/>
  <c r="G31" i="343"/>
  <c r="H31" i="343" s="1"/>
  <c r="D64" i="343"/>
  <c r="AC64" i="332"/>
  <c r="G14" i="343"/>
  <c r="H14" i="343" s="1"/>
  <c r="AC14" i="332"/>
  <c r="G51" i="343"/>
  <c r="H51" i="343" s="1"/>
  <c r="AC51" i="332"/>
  <c r="G58" i="343"/>
  <c r="H58" i="343" s="1"/>
  <c r="AC58" i="332"/>
  <c r="G11" i="343"/>
  <c r="H11" i="343" s="1"/>
  <c r="AC11" i="332"/>
  <c r="G36" i="343"/>
  <c r="H36" i="343" s="1"/>
  <c r="AC36" i="332"/>
  <c r="G30" i="343"/>
  <c r="H30" i="343" s="1"/>
  <c r="AC30" i="332"/>
  <c r="D56" i="343"/>
  <c r="AC56" i="332"/>
  <c r="D8" i="343"/>
  <c r="AC8" i="332"/>
  <c r="G54" i="343"/>
  <c r="H54" i="343" s="1"/>
  <c r="AC54" i="332"/>
  <c r="D11" i="349"/>
  <c r="G40" i="349"/>
  <c r="H40" i="349" s="1"/>
  <c r="D51" i="349"/>
  <c r="D41" i="349"/>
  <c r="C26" i="349"/>
  <c r="D30" i="345"/>
  <c r="C42" i="345"/>
  <c r="D42" i="345" s="1"/>
  <c r="D31" i="345"/>
  <c r="C33" i="345"/>
  <c r="D33" i="345" s="1"/>
  <c r="D24" i="345"/>
  <c r="D51" i="345"/>
  <c r="D58" i="345"/>
  <c r="G53" i="349"/>
  <c r="H53" i="349" s="1"/>
  <c r="D21" i="349"/>
  <c r="D38" i="349"/>
  <c r="G30" i="345"/>
  <c r="D72" i="345"/>
  <c r="C13" i="345"/>
  <c r="C16" i="345" s="1"/>
  <c r="G30" i="349"/>
  <c r="H30" i="349" s="1"/>
  <c r="D10" i="349"/>
  <c r="D74" i="349"/>
  <c r="D20" i="349"/>
  <c r="D53" i="345"/>
  <c r="G32" i="349"/>
  <c r="H32" i="349" s="1"/>
  <c r="D29" i="349"/>
  <c r="G20" i="349"/>
  <c r="H20" i="349" s="1"/>
  <c r="D11" i="345"/>
  <c r="D67" i="345"/>
  <c r="C42" i="349"/>
  <c r="D35" i="349"/>
  <c r="D72" i="349"/>
  <c r="D54" i="345"/>
  <c r="C49" i="345"/>
  <c r="D49" i="345" s="1"/>
  <c r="D23" i="345"/>
  <c r="C59" i="349"/>
  <c r="D52" i="345"/>
  <c r="D38" i="345"/>
  <c r="D64" i="345"/>
  <c r="AE10" i="332"/>
  <c r="G13" i="345"/>
  <c r="AE13" i="332" s="1"/>
  <c r="G64" i="345"/>
  <c r="G65" i="345" s="1"/>
  <c r="H65" i="345" s="1"/>
  <c r="D15" i="345"/>
  <c r="D74" i="345"/>
  <c r="D37" i="345"/>
  <c r="D63" i="349"/>
  <c r="G23" i="345"/>
  <c r="C65" i="349"/>
  <c r="D55" i="345"/>
  <c r="C59" i="345"/>
  <c r="D59" i="345" s="1"/>
  <c r="D10" i="345"/>
  <c r="D56" i="345"/>
  <c r="D47" i="345"/>
  <c r="G46" i="349"/>
  <c r="H46" i="349" s="1"/>
  <c r="D52" i="349"/>
  <c r="G52" i="349"/>
  <c r="H52" i="349" s="1"/>
  <c r="C65" i="345"/>
  <c r="D65" i="345" s="1"/>
  <c r="D29" i="345"/>
  <c r="D23" i="349"/>
  <c r="D20" i="345"/>
  <c r="D39" i="345"/>
  <c r="D25" i="345"/>
  <c r="D40" i="345"/>
  <c r="D32" i="345"/>
  <c r="D36" i="345"/>
  <c r="C33" i="349"/>
  <c r="G12" i="349"/>
  <c r="H12" i="349" s="1"/>
  <c r="D31" i="349"/>
  <c r="D48" i="349"/>
  <c r="D41" i="345"/>
  <c r="G54" i="345"/>
  <c r="G47" i="345"/>
  <c r="AE47" i="332" s="1"/>
  <c r="G53" i="345"/>
  <c r="D28" i="345"/>
  <c r="G8" i="345"/>
  <c r="D54" i="349"/>
  <c r="C49" i="349"/>
  <c r="C13" i="349"/>
  <c r="AE13" i="333" s="1"/>
  <c r="AF13" i="333" s="1"/>
  <c r="D48" i="345"/>
  <c r="D14" i="345"/>
  <c r="G72" i="345"/>
  <c r="AE72" i="332" s="1"/>
  <c r="D8" i="345"/>
  <c r="D57" i="345"/>
  <c r="D22" i="345"/>
  <c r="D35" i="345"/>
  <c r="D21" i="345"/>
  <c r="D12" i="345"/>
  <c r="D63" i="345"/>
  <c r="G67" i="342"/>
  <c r="H67" i="342" s="1"/>
  <c r="D21" i="346"/>
  <c r="D12" i="346"/>
  <c r="G32" i="346"/>
  <c r="H32" i="346" s="1"/>
  <c r="D54" i="342"/>
  <c r="G72" i="346"/>
  <c r="G29" i="342"/>
  <c r="H29" i="342" s="1"/>
  <c r="D41" i="346"/>
  <c r="G63" i="346"/>
  <c r="H63" i="346" s="1"/>
  <c r="D24" i="346"/>
  <c r="G30" i="346"/>
  <c r="H30" i="346" s="1"/>
  <c r="D36" i="342"/>
  <c r="G39" i="342"/>
  <c r="H39" i="342" s="1"/>
  <c r="G24" i="342"/>
  <c r="C49" i="342"/>
  <c r="G38" i="346"/>
  <c r="H38" i="346" s="1"/>
  <c r="C13" i="346"/>
  <c r="Y13" i="333" s="1"/>
  <c r="D20" i="346"/>
  <c r="G25" i="346"/>
  <c r="C59" i="346"/>
  <c r="Y59" i="333" s="1"/>
  <c r="C65" i="346"/>
  <c r="G46" i="346"/>
  <c r="H46" i="346" s="1"/>
  <c r="G35" i="342"/>
  <c r="H35" i="342" s="1"/>
  <c r="C33" i="342"/>
  <c r="C26" i="342"/>
  <c r="G58" i="342"/>
  <c r="H58" i="342" s="1"/>
  <c r="C13" i="342"/>
  <c r="Y13" i="332" s="1"/>
  <c r="Z13" i="332" s="1"/>
  <c r="D40" i="342"/>
  <c r="G52" i="346"/>
  <c r="H52" i="346" s="1"/>
  <c r="D51" i="346"/>
  <c r="D57" i="342"/>
  <c r="C49" i="346"/>
  <c r="G48" i="346"/>
  <c r="D30" i="342"/>
  <c r="D10" i="342"/>
  <c r="D47" i="342"/>
  <c r="C33" i="346"/>
  <c r="D31" i="346"/>
  <c r="G10" i="342"/>
  <c r="H10" i="342" s="1"/>
  <c r="D64" i="346"/>
  <c r="C26" i="346"/>
  <c r="C59" i="342"/>
  <c r="Y59" i="332" s="1"/>
  <c r="Z59" i="332" s="1"/>
  <c r="C42" i="342"/>
  <c r="G64" i="346"/>
  <c r="H64" i="346" s="1"/>
  <c r="C42" i="346"/>
  <c r="D36" i="346"/>
  <c r="D24" i="343"/>
  <c r="D52" i="343"/>
  <c r="D48" i="343"/>
  <c r="D11" i="343"/>
  <c r="D31" i="343"/>
  <c r="D47" i="348"/>
  <c r="D51" i="343"/>
  <c r="D53" i="343"/>
  <c r="D52" i="348"/>
  <c r="G47" i="348"/>
  <c r="H47" i="348" s="1"/>
  <c r="D22" i="343"/>
  <c r="D28" i="348"/>
  <c r="D22" i="348"/>
  <c r="D10" i="348"/>
  <c r="D25" i="348"/>
  <c r="D57" i="348"/>
  <c r="D39" i="348"/>
  <c r="D63" i="348"/>
  <c r="D8" i="348"/>
  <c r="D74" i="348"/>
  <c r="D54" i="348"/>
  <c r="C49" i="348"/>
  <c r="D56" i="348"/>
  <c r="G8" i="348"/>
  <c r="H8" i="348" s="1"/>
  <c r="D24" i="348"/>
  <c r="D32" i="348"/>
  <c r="G28" i="348"/>
  <c r="H28" i="348" s="1"/>
  <c r="G72" i="348"/>
  <c r="D21" i="348"/>
  <c r="D20" i="348"/>
  <c r="D55" i="348"/>
  <c r="G54" i="348"/>
  <c r="H54" i="348" s="1"/>
  <c r="D40" i="348"/>
  <c r="D53" i="348"/>
  <c r="D67" i="348"/>
  <c r="D31" i="348"/>
  <c r="D46" i="348"/>
  <c r="D12" i="348"/>
  <c r="D35" i="348"/>
  <c r="D37" i="348"/>
  <c r="D51" i="348"/>
  <c r="D36" i="348"/>
  <c r="D64" i="348"/>
  <c r="G41" i="348"/>
  <c r="H41" i="348" s="1"/>
  <c r="G12" i="348"/>
  <c r="H12" i="348" s="1"/>
  <c r="G56" i="348"/>
  <c r="H56" i="348" s="1"/>
  <c r="D38" i="343"/>
  <c r="D36" i="343"/>
  <c r="D46" i="343"/>
  <c r="D30" i="343"/>
  <c r="D58" i="343"/>
  <c r="D25" i="343"/>
  <c r="G8" i="343"/>
  <c r="H8" i="343" s="1"/>
  <c r="D39" i="343"/>
  <c r="D35" i="343"/>
  <c r="G56" i="343"/>
  <c r="H56" i="343" s="1"/>
  <c r="D29" i="343"/>
  <c r="D37" i="343"/>
  <c r="D74" i="343"/>
  <c r="D23" i="343"/>
  <c r="D14" i="343"/>
  <c r="D55" i="343"/>
  <c r="D72" i="343"/>
  <c r="G31" i="348"/>
  <c r="H31" i="348" s="1"/>
  <c r="C33" i="348"/>
  <c r="D10" i="343"/>
  <c r="C26" i="348"/>
  <c r="G64" i="343"/>
  <c r="H64" i="343" s="1"/>
  <c r="G30" i="348"/>
  <c r="H30" i="348" s="1"/>
  <c r="D41" i="343"/>
  <c r="D38" i="348"/>
  <c r="D57" i="343"/>
  <c r="D23" i="348"/>
  <c r="D47" i="343"/>
  <c r="D12" i="343"/>
  <c r="D28" i="343"/>
  <c r="C65" i="343"/>
  <c r="D67" i="343"/>
  <c r="G41" i="343"/>
  <c r="H41" i="343" s="1"/>
  <c r="C26" i="343"/>
  <c r="G24" i="343"/>
  <c r="G55" i="348"/>
  <c r="H55" i="348" s="1"/>
  <c r="C13" i="343"/>
  <c r="G28" i="343"/>
  <c r="H28" i="343" s="1"/>
  <c r="G63" i="343"/>
  <c r="H63" i="343" s="1"/>
  <c r="D63" i="343"/>
  <c r="C33" i="343"/>
  <c r="G35" i="343"/>
  <c r="H35" i="343" s="1"/>
  <c r="G64" i="348"/>
  <c r="H64" i="348" s="1"/>
  <c r="G72" i="343"/>
  <c r="H72" i="343" s="1"/>
  <c r="D54" i="343"/>
  <c r="G40" i="348"/>
  <c r="H40" i="348" s="1"/>
  <c r="D15" i="348"/>
  <c r="G67" i="343"/>
  <c r="H67" i="343" s="1"/>
  <c r="C42" i="343"/>
  <c r="D14" i="348"/>
  <c r="C65" i="348"/>
  <c r="G11" i="348"/>
  <c r="H11" i="348" s="1"/>
  <c r="C13" i="348"/>
  <c r="AC13" i="333" s="1"/>
  <c r="AD13" i="333" s="1"/>
  <c r="G55" i="343"/>
  <c r="H55" i="343" s="1"/>
  <c r="D58" i="348"/>
  <c r="D11" i="348"/>
  <c r="G29" i="343"/>
  <c r="H29" i="343" s="1"/>
  <c r="G20" i="343"/>
  <c r="H20" i="343" s="1"/>
  <c r="C59" i="343"/>
  <c r="D20" i="343"/>
  <c r="D32" i="343"/>
  <c r="G15" i="343"/>
  <c r="G46" i="343"/>
  <c r="C59" i="348"/>
  <c r="C49" i="343"/>
  <c r="G51" i="348"/>
  <c r="H51" i="348" s="1"/>
  <c r="D21" i="343"/>
  <c r="C42" i="348"/>
  <c r="D15" i="343"/>
  <c r="G48" i="348"/>
  <c r="D52" i="347"/>
  <c r="G37" i="347"/>
  <c r="H37" i="347" s="1"/>
  <c r="G25" i="344"/>
  <c r="D28" i="344"/>
  <c r="D54" i="347"/>
  <c r="G31" i="347"/>
  <c r="H31" i="347" s="1"/>
  <c r="G41" i="347"/>
  <c r="H41" i="347" s="1"/>
  <c r="D55" i="347"/>
  <c r="G57" i="344"/>
  <c r="H57" i="344" s="1"/>
  <c r="D10" i="347"/>
  <c r="G30" i="344"/>
  <c r="H30" i="344" s="1"/>
  <c r="G10" i="344"/>
  <c r="H10" i="344" s="1"/>
  <c r="G38" i="344"/>
  <c r="H38" i="344" s="1"/>
  <c r="G48" i="347"/>
  <c r="G31" i="344"/>
  <c r="H31" i="344" s="1"/>
  <c r="D46" i="347"/>
  <c r="D38" i="347"/>
  <c r="D32" i="347"/>
  <c r="G35" i="344"/>
  <c r="D35" i="344"/>
  <c r="G56" i="344"/>
  <c r="H56" i="344" s="1"/>
  <c r="AA8" i="332"/>
  <c r="AB8" i="332" s="1"/>
  <c r="G29" i="347"/>
  <c r="H29" i="347" s="1"/>
  <c r="G40" i="347"/>
  <c r="H40" i="347" s="1"/>
  <c r="G23" i="347"/>
  <c r="H23" i="347" s="1"/>
  <c r="D36" i="347"/>
  <c r="D37" i="344"/>
  <c r="C26" i="344"/>
  <c r="D26" i="344" s="1"/>
  <c r="D10" i="344"/>
  <c r="D63" i="344"/>
  <c r="D23" i="344"/>
  <c r="D55" i="344"/>
  <c r="D32" i="344"/>
  <c r="D30" i="344"/>
  <c r="G8" i="344"/>
  <c r="H8" i="344" s="1"/>
  <c r="D67" i="344"/>
  <c r="D12" i="344"/>
  <c r="D57" i="344"/>
  <c r="D51" i="344"/>
  <c r="D14" i="344"/>
  <c r="G14" i="344"/>
  <c r="H14" i="344" s="1"/>
  <c r="D25" i="344"/>
  <c r="D56" i="344"/>
  <c r="D8" i="344"/>
  <c r="G23" i="344"/>
  <c r="H23" i="344" s="1"/>
  <c r="D46" i="344"/>
  <c r="D64" i="344"/>
  <c r="D40" i="344"/>
  <c r="G15" i="344"/>
  <c r="H15" i="344" s="1"/>
  <c r="G40" i="344"/>
  <c r="H40" i="344" s="1"/>
  <c r="G32" i="344"/>
  <c r="H32" i="344" s="1"/>
  <c r="D11" i="344"/>
  <c r="G41" i="344"/>
  <c r="H41" i="344" s="1"/>
  <c r="G46" i="344"/>
  <c r="H46" i="344" s="1"/>
  <c r="C49" i="347"/>
  <c r="D12" i="347"/>
  <c r="G53" i="344"/>
  <c r="H53" i="344" s="1"/>
  <c r="G24" i="344"/>
  <c r="D47" i="344"/>
  <c r="G37" i="344"/>
  <c r="H37" i="344" s="1"/>
  <c r="D67" i="347"/>
  <c r="C13" i="344"/>
  <c r="D13" i="344" s="1"/>
  <c r="G47" i="344"/>
  <c r="D25" i="347"/>
  <c r="G52" i="347"/>
  <c r="H52" i="347" s="1"/>
  <c r="D57" i="347"/>
  <c r="D20" i="347"/>
  <c r="D53" i="344"/>
  <c r="C42" i="344"/>
  <c r="D42" i="344" s="1"/>
  <c r="C59" i="347"/>
  <c r="D21" i="347"/>
  <c r="G39" i="344"/>
  <c r="H39" i="344" s="1"/>
  <c r="D48" i="344"/>
  <c r="G52" i="344"/>
  <c r="H52" i="344" s="1"/>
  <c r="D41" i="344"/>
  <c r="G72" i="347"/>
  <c r="H72" i="347" s="1"/>
  <c r="D15" i="347"/>
  <c r="D24" i="344"/>
  <c r="G10" i="347"/>
  <c r="H10" i="347" s="1"/>
  <c r="D58" i="344"/>
  <c r="G46" i="347"/>
  <c r="H46" i="347" s="1"/>
  <c r="D11" i="347"/>
  <c r="D63" i="347"/>
  <c r="G38" i="347"/>
  <c r="H38" i="347" s="1"/>
  <c r="D52" i="344"/>
  <c r="G36" i="344"/>
  <c r="H36" i="344" s="1"/>
  <c r="D39" i="344"/>
  <c r="D38" i="344"/>
  <c r="C33" i="344"/>
  <c r="D33" i="344" s="1"/>
  <c r="D31" i="344"/>
  <c r="D36" i="344"/>
  <c r="C42" i="347"/>
  <c r="C33" i="347"/>
  <c r="C59" i="344"/>
  <c r="AA59" i="332" s="1"/>
  <c r="G22" i="344"/>
  <c r="H22" i="344" s="1"/>
  <c r="D54" i="344"/>
  <c r="G35" i="347"/>
  <c r="D28" i="347"/>
  <c r="AA63" i="332"/>
  <c r="C65" i="344"/>
  <c r="D65" i="344" s="1"/>
  <c r="AA74" i="332"/>
  <c r="D74" i="344"/>
  <c r="G74" i="347"/>
  <c r="H74" i="347" s="1"/>
  <c r="G67" i="344"/>
  <c r="H67" i="344" s="1"/>
  <c r="C65" i="347"/>
  <c r="D21" i="344"/>
  <c r="G28" i="347"/>
  <c r="H28" i="347" s="1"/>
  <c r="D53" i="347"/>
  <c r="D15" i="344"/>
  <c r="D30" i="347"/>
  <c r="D22" i="344"/>
  <c r="G64" i="344"/>
  <c r="C49" i="344"/>
  <c r="AA46" i="332"/>
  <c r="C13" i="347"/>
  <c r="AA13" i="333" s="1"/>
  <c r="AB13" i="333" s="1"/>
  <c r="G58" i="344"/>
  <c r="H58" i="344" s="1"/>
  <c r="G21" i="344"/>
  <c r="H21" i="344" s="1"/>
  <c r="C26" i="347"/>
  <c r="G74" i="344"/>
  <c r="H74" i="344" s="1"/>
  <c r="G54" i="344"/>
  <c r="H54" i="344" s="1"/>
  <c r="D20" i="344"/>
  <c r="AA20" i="332"/>
  <c r="AA29" i="332"/>
  <c r="D29" i="344"/>
  <c r="G48" i="344"/>
  <c r="G11" i="344"/>
  <c r="H11" i="344" s="1"/>
  <c r="AF47" i="333"/>
  <c r="AF46" i="333"/>
  <c r="AF36" i="333"/>
  <c r="AF52" i="333"/>
  <c r="AF40" i="333"/>
  <c r="AF20" i="333"/>
  <c r="AB10" i="333"/>
  <c r="AB35" i="333"/>
  <c r="AB14" i="333"/>
  <c r="AF37" i="333"/>
  <c r="AF32" i="333"/>
  <c r="AF22" i="333"/>
  <c r="AF39" i="333"/>
  <c r="AF23" i="333"/>
  <c r="AF64" i="333"/>
  <c r="AB74" i="333"/>
  <c r="F65" i="344"/>
  <c r="Z31" i="332"/>
  <c r="Z56" i="332"/>
  <c r="Z14" i="332"/>
  <c r="Z64" i="332"/>
  <c r="Z51" i="332"/>
  <c r="Z37" i="332"/>
  <c r="Z22" i="332"/>
  <c r="Z25" i="332"/>
  <c r="Z10" i="332"/>
  <c r="Z21" i="332"/>
  <c r="Z28" i="332"/>
  <c r="Z53" i="332"/>
  <c r="Z55" i="332"/>
  <c r="Z52" i="332"/>
  <c r="Z12" i="332"/>
  <c r="Z46" i="332"/>
  <c r="Z32" i="332"/>
  <c r="Z48" i="332"/>
  <c r="Z41" i="332"/>
  <c r="Z38" i="332"/>
  <c r="Z63" i="332"/>
  <c r="Z74" i="332"/>
  <c r="E16" i="344"/>
  <c r="E18" i="344" s="1"/>
  <c r="AB37" i="333"/>
  <c r="AB22" i="333"/>
  <c r="AB41" i="333"/>
  <c r="AB72" i="333"/>
  <c r="E18" i="346"/>
  <c r="F13" i="348"/>
  <c r="AB48" i="333"/>
  <c r="E18" i="348"/>
  <c r="F18" i="348" s="1"/>
  <c r="F49" i="347"/>
  <c r="AB56" i="333"/>
  <c r="AB31" i="333"/>
  <c r="AB29" i="333"/>
  <c r="AB52" i="333"/>
  <c r="H22" i="345"/>
  <c r="AE22" i="332"/>
  <c r="H72" i="345"/>
  <c r="H55" i="345"/>
  <c r="AE55" i="332"/>
  <c r="H36" i="345"/>
  <c r="AE36" i="332"/>
  <c r="H38" i="345"/>
  <c r="AE38" i="332"/>
  <c r="AE46" i="332"/>
  <c r="H31" i="345"/>
  <c r="AE31" i="332"/>
  <c r="F33" i="349"/>
  <c r="H28" i="349"/>
  <c r="H51" i="349"/>
  <c r="F42" i="349"/>
  <c r="F49" i="349"/>
  <c r="F26" i="349"/>
  <c r="E61" i="349"/>
  <c r="F59" i="349"/>
  <c r="F42" i="348"/>
  <c r="F49" i="348"/>
  <c r="F33" i="348"/>
  <c r="H46" i="348"/>
  <c r="F16" i="348"/>
  <c r="E61" i="348"/>
  <c r="F59" i="348"/>
  <c r="E61" i="347"/>
  <c r="F59" i="347"/>
  <c r="F26" i="347"/>
  <c r="F42" i="347"/>
  <c r="F33" i="347"/>
  <c r="E61" i="346"/>
  <c r="F59" i="346"/>
  <c r="F42" i="346"/>
  <c r="F16" i="346"/>
  <c r="H28" i="346"/>
  <c r="F33" i="346"/>
  <c r="F26" i="346"/>
  <c r="F42" i="345"/>
  <c r="F49" i="345"/>
  <c r="F13" i="345"/>
  <c r="E16" i="345"/>
  <c r="H13" i="345"/>
  <c r="G42" i="345"/>
  <c r="AE42" i="332" s="1"/>
  <c r="E61" i="345"/>
  <c r="F33" i="345"/>
  <c r="H51" i="345"/>
  <c r="F26" i="345"/>
  <c r="H46" i="345"/>
  <c r="H20" i="345"/>
  <c r="F42" i="344"/>
  <c r="E61" i="344"/>
  <c r="F59" i="344"/>
  <c r="F33" i="344"/>
  <c r="F49" i="344"/>
  <c r="F26" i="344"/>
  <c r="F65" i="343"/>
  <c r="F13" i="343"/>
  <c r="E16" i="343"/>
  <c r="F49" i="343"/>
  <c r="F26" i="343"/>
  <c r="E61" i="343"/>
  <c r="F59" i="343"/>
  <c r="H46" i="343"/>
  <c r="F42" i="343"/>
  <c r="F33" i="343"/>
  <c r="F49" i="342"/>
  <c r="F13" i="342"/>
  <c r="E16" i="342"/>
  <c r="F26" i="342"/>
  <c r="F33" i="342"/>
  <c r="E61" i="342"/>
  <c r="F59" i="342"/>
  <c r="F42" i="342"/>
  <c r="AE30" i="332" l="1"/>
  <c r="H30" i="345"/>
  <c r="AE8" i="332"/>
  <c r="AF52" i="332" s="1"/>
  <c r="H8" i="345"/>
  <c r="H64" i="345"/>
  <c r="AE53" i="332"/>
  <c r="AF53" i="332" s="1"/>
  <c r="H53" i="345"/>
  <c r="AE54" i="332"/>
  <c r="AF54" i="332" s="1"/>
  <c r="H54" i="345"/>
  <c r="AE23" i="332"/>
  <c r="AF23" i="332" s="1"/>
  <c r="H23" i="345"/>
  <c r="G65" i="344"/>
  <c r="H65" i="344" s="1"/>
  <c r="H64" i="344"/>
  <c r="DS127" i="142"/>
  <c r="D221" i="235"/>
  <c r="DC127" i="142"/>
  <c r="D191" i="235"/>
  <c r="DK127" i="142"/>
  <c r="D206" i="235"/>
  <c r="CU127" i="142"/>
  <c r="D176" i="235"/>
  <c r="V220" i="235"/>
  <c r="E78" i="331"/>
  <c r="E78" i="325"/>
  <c r="E78" i="321"/>
  <c r="E78" i="311"/>
  <c r="Z59" i="333"/>
  <c r="G65" i="342"/>
  <c r="H65" i="342" s="1"/>
  <c r="V192" i="235"/>
  <c r="E78" i="329"/>
  <c r="E78" i="315"/>
  <c r="V209" i="235"/>
  <c r="Z53" i="333"/>
  <c r="Z29" i="333"/>
  <c r="E78" i="319"/>
  <c r="Z56" i="333"/>
  <c r="Z23" i="333"/>
  <c r="E78" i="317"/>
  <c r="Z41" i="333"/>
  <c r="Z46" i="333"/>
  <c r="Z51" i="333"/>
  <c r="Z21" i="333"/>
  <c r="Z32" i="333"/>
  <c r="Z37" i="333"/>
  <c r="V221" i="235"/>
  <c r="V175" i="235"/>
  <c r="V222" i="235"/>
  <c r="DK175" i="142"/>
  <c r="P206" i="235"/>
  <c r="M193" i="235"/>
  <c r="Q223" i="235"/>
  <c r="DC190" i="142"/>
  <c r="U190" i="235"/>
  <c r="DK161" i="142"/>
  <c r="L208" i="235"/>
  <c r="DK190" i="142"/>
  <c r="U205" i="235"/>
  <c r="V193" i="235"/>
  <c r="Q208" i="235"/>
  <c r="V178" i="235"/>
  <c r="M208" i="235"/>
  <c r="DS190" i="142"/>
  <c r="U220" i="235"/>
  <c r="V223" i="235"/>
  <c r="CU175" i="142"/>
  <c r="P176" i="235"/>
  <c r="DC175" i="142"/>
  <c r="P191" i="235"/>
  <c r="V191" i="235"/>
  <c r="V177" i="235"/>
  <c r="CU159" i="142"/>
  <c r="L176" i="235"/>
  <c r="DS175" i="142"/>
  <c r="P221" i="235"/>
  <c r="Q193" i="235"/>
  <c r="DC159" i="142"/>
  <c r="L191" i="235"/>
  <c r="M223" i="235"/>
  <c r="DS159" i="142"/>
  <c r="L221" i="235"/>
  <c r="V176" i="235"/>
  <c r="Q178" i="235"/>
  <c r="M178" i="235"/>
  <c r="D65" i="342"/>
  <c r="Z38" i="333"/>
  <c r="Z28" i="333"/>
  <c r="Z10" i="333"/>
  <c r="Z13" i="333"/>
  <c r="Z12" i="333"/>
  <c r="Z57" i="333"/>
  <c r="Z52" i="333"/>
  <c r="Z25" i="333"/>
  <c r="Z31" i="333"/>
  <c r="Z35" i="333"/>
  <c r="Z24" i="333"/>
  <c r="Z22" i="333"/>
  <c r="Z15" i="333"/>
  <c r="Z74" i="333"/>
  <c r="Z47" i="333"/>
  <c r="Z30" i="333"/>
  <c r="Z48" i="333"/>
  <c r="Z20" i="333"/>
  <c r="Z55" i="333"/>
  <c r="Z11" i="333"/>
  <c r="Z14" i="333"/>
  <c r="Z40" i="333"/>
  <c r="Z39" i="333"/>
  <c r="Z64" i="333"/>
  <c r="Z58" i="333"/>
  <c r="Z67" i="333"/>
  <c r="Z36" i="333"/>
  <c r="Z63" i="333"/>
  <c r="Z54" i="333"/>
  <c r="Z72" i="333"/>
  <c r="CU190" i="142"/>
  <c r="U175" i="235"/>
  <c r="G13" i="342"/>
  <c r="E206" i="235"/>
  <c r="E191" i="235"/>
  <c r="E221" i="235"/>
  <c r="E176" i="235"/>
  <c r="G49" i="342"/>
  <c r="H49" i="342" s="1"/>
  <c r="V190" i="235"/>
  <c r="V205" i="235"/>
  <c r="G65" i="347"/>
  <c r="H65" i="347" s="1"/>
  <c r="E18" i="349"/>
  <c r="G49" i="349"/>
  <c r="H49" i="349" s="1"/>
  <c r="E18" i="347"/>
  <c r="E44" i="347" s="1"/>
  <c r="G26" i="348"/>
  <c r="H26" i="348" s="1"/>
  <c r="G33" i="342"/>
  <c r="H33" i="342" s="1"/>
  <c r="G26" i="342"/>
  <c r="H26" i="342" s="1"/>
  <c r="G65" i="348"/>
  <c r="H65" i="348" s="1"/>
  <c r="G65" i="349"/>
  <c r="H65" i="349" s="1"/>
  <c r="G59" i="346"/>
  <c r="H59" i="346" s="1"/>
  <c r="G26" i="346"/>
  <c r="H26" i="346" s="1"/>
  <c r="G42" i="346"/>
  <c r="H42" i="346" s="1"/>
  <c r="D59" i="346"/>
  <c r="G26" i="349"/>
  <c r="H26" i="349" s="1"/>
  <c r="G42" i="349"/>
  <c r="H42" i="349" s="1"/>
  <c r="G59" i="347"/>
  <c r="H59" i="347" s="1"/>
  <c r="G26" i="347"/>
  <c r="H26" i="347" s="1"/>
  <c r="G13" i="346"/>
  <c r="D26" i="347"/>
  <c r="AA26" i="333"/>
  <c r="AB26" i="333" s="1"/>
  <c r="D59" i="347"/>
  <c r="AA59" i="333"/>
  <c r="AB59" i="333" s="1"/>
  <c r="D42" i="348"/>
  <c r="AC42" i="333"/>
  <c r="AD42" i="333" s="1"/>
  <c r="D49" i="346"/>
  <c r="Y49" i="333"/>
  <c r="Z49" i="333" s="1"/>
  <c r="D33" i="342"/>
  <c r="Y33" i="332"/>
  <c r="Z33" i="332" s="1"/>
  <c r="D65" i="349"/>
  <c r="AE65" i="333"/>
  <c r="AF65" i="333" s="1"/>
  <c r="D33" i="347"/>
  <c r="AA33" i="333"/>
  <c r="AB33" i="333" s="1"/>
  <c r="D65" i="348"/>
  <c r="AC65" i="333"/>
  <c r="AD65" i="333" s="1"/>
  <c r="D33" i="348"/>
  <c r="AC33" i="333"/>
  <c r="AD33" i="333" s="1"/>
  <c r="D49" i="342"/>
  <c r="Y49" i="332"/>
  <c r="Z49" i="332" s="1"/>
  <c r="D42" i="347"/>
  <c r="AA42" i="333"/>
  <c r="AB42" i="333" s="1"/>
  <c r="D42" i="349"/>
  <c r="AE42" i="333"/>
  <c r="AF42" i="333" s="1"/>
  <c r="D42" i="346"/>
  <c r="Y42" i="333"/>
  <c r="Z42" i="333" s="1"/>
  <c r="D33" i="346"/>
  <c r="Y33" i="333"/>
  <c r="Z33" i="333" s="1"/>
  <c r="D65" i="346"/>
  <c r="Y65" i="333"/>
  <c r="Z65" i="333" s="1"/>
  <c r="D49" i="349"/>
  <c r="AE49" i="333"/>
  <c r="AF49" i="333" s="1"/>
  <c r="D26" i="349"/>
  <c r="AE26" i="333"/>
  <c r="AF26" i="333" s="1"/>
  <c r="D59" i="348"/>
  <c r="AC59" i="333"/>
  <c r="AD59" i="333" s="1"/>
  <c r="D49" i="348"/>
  <c r="AC49" i="333"/>
  <c r="AD49" i="333" s="1"/>
  <c r="D59" i="349"/>
  <c r="AE59" i="333"/>
  <c r="AF59" i="333" s="1"/>
  <c r="D65" i="347"/>
  <c r="AA65" i="333"/>
  <c r="AB65" i="333" s="1"/>
  <c r="D42" i="342"/>
  <c r="Y42" i="332"/>
  <c r="Z42" i="332" s="1"/>
  <c r="G59" i="342"/>
  <c r="H59" i="342" s="1"/>
  <c r="D33" i="349"/>
  <c r="AE33" i="333"/>
  <c r="AF33" i="333" s="1"/>
  <c r="D49" i="347"/>
  <c r="AA49" i="333"/>
  <c r="AB49" i="333" s="1"/>
  <c r="D26" i="348"/>
  <c r="AC26" i="333"/>
  <c r="AD26" i="333" s="1"/>
  <c r="D26" i="346"/>
  <c r="Y26" i="333"/>
  <c r="Z26" i="333" s="1"/>
  <c r="D26" i="342"/>
  <c r="Y26" i="332"/>
  <c r="Z26" i="332" s="1"/>
  <c r="G13" i="347"/>
  <c r="G16" i="347" s="1"/>
  <c r="AF46" i="332"/>
  <c r="AF40" i="332"/>
  <c r="F111" i="189"/>
  <c r="G111" i="189" s="1"/>
  <c r="D111" i="189"/>
  <c r="AE64" i="332"/>
  <c r="AE65" i="332" s="1"/>
  <c r="AF65" i="332" s="1"/>
  <c r="L111" i="189"/>
  <c r="N111" i="189"/>
  <c r="N112" i="189" s="1"/>
  <c r="N113" i="189" s="1"/>
  <c r="N114" i="189" s="1"/>
  <c r="N115" i="189" s="1"/>
  <c r="N116" i="189" s="1"/>
  <c r="N117" i="189" s="1"/>
  <c r="N118" i="189" s="1"/>
  <c r="N119" i="189" s="1"/>
  <c r="N120" i="189" s="1"/>
  <c r="N121" i="189" s="1"/>
  <c r="N122" i="189" s="1"/>
  <c r="D13" i="345"/>
  <c r="M112" i="189"/>
  <c r="G16" i="345"/>
  <c r="AE16" i="332" s="1"/>
  <c r="G49" i="345"/>
  <c r="E113" i="189"/>
  <c r="D13" i="346"/>
  <c r="C16" i="346"/>
  <c r="Y16" i="333" s="1"/>
  <c r="Z16" i="333" s="1"/>
  <c r="E44" i="348"/>
  <c r="F44" i="348" s="1"/>
  <c r="G49" i="343"/>
  <c r="H49" i="343" s="1"/>
  <c r="G33" i="346"/>
  <c r="H33" i="346" s="1"/>
  <c r="G13" i="349"/>
  <c r="G13" i="343"/>
  <c r="G16" i="343" s="1"/>
  <c r="G18" i="343" s="1"/>
  <c r="AD51" i="332"/>
  <c r="AD54" i="332"/>
  <c r="G42" i="342"/>
  <c r="H42" i="342" s="1"/>
  <c r="G33" i="345"/>
  <c r="AF37" i="332"/>
  <c r="AD21" i="332"/>
  <c r="AF15" i="332"/>
  <c r="G59" i="349"/>
  <c r="H59" i="349" s="1"/>
  <c r="AF22" i="332"/>
  <c r="AF67" i="332"/>
  <c r="G33" i="349"/>
  <c r="H33" i="349" s="1"/>
  <c r="AF31" i="332"/>
  <c r="AF14" i="332"/>
  <c r="AF32" i="332"/>
  <c r="AF56" i="332"/>
  <c r="AF21" i="332"/>
  <c r="AF13" i="332"/>
  <c r="AF39" i="332"/>
  <c r="AF25" i="332"/>
  <c r="AF30" i="332"/>
  <c r="AF74" i="332"/>
  <c r="AF28" i="332"/>
  <c r="AF29" i="332"/>
  <c r="AF20" i="332"/>
  <c r="AF35" i="332"/>
  <c r="AF55" i="332"/>
  <c r="AF11" i="332"/>
  <c r="AF8" i="332"/>
  <c r="AF72" i="332"/>
  <c r="AF48" i="332"/>
  <c r="AF58" i="332"/>
  <c r="AF63" i="332"/>
  <c r="AF24" i="332"/>
  <c r="AF41" i="332"/>
  <c r="D49" i="343"/>
  <c r="AC49" i="332"/>
  <c r="AD49" i="332" s="1"/>
  <c r="D42" i="343"/>
  <c r="AC42" i="332"/>
  <c r="AD42" i="332" s="1"/>
  <c r="D33" i="343"/>
  <c r="AC33" i="332"/>
  <c r="AD33" i="332" s="1"/>
  <c r="AD74" i="332"/>
  <c r="AD10" i="332"/>
  <c r="AD12" i="332"/>
  <c r="AD57" i="332"/>
  <c r="AD63" i="332"/>
  <c r="AD29" i="332"/>
  <c r="AD20" i="332"/>
  <c r="AD35" i="332"/>
  <c r="AD46" i="332"/>
  <c r="AD72" i="332"/>
  <c r="AD28" i="332"/>
  <c r="AD41" i="332"/>
  <c r="AD24" i="332"/>
  <c r="AD8" i="332"/>
  <c r="AD15" i="332"/>
  <c r="AD48" i="332"/>
  <c r="AD55" i="332"/>
  <c r="AD32" i="332"/>
  <c r="D65" i="343"/>
  <c r="AC65" i="332"/>
  <c r="AD65" i="332" s="1"/>
  <c r="AD22" i="332"/>
  <c r="AD47" i="332"/>
  <c r="AD52" i="332"/>
  <c r="AD36" i="332"/>
  <c r="AD56" i="332"/>
  <c r="AD11" i="332"/>
  <c r="AD64" i="332"/>
  <c r="AD53" i="332"/>
  <c r="AD38" i="332"/>
  <c r="D26" i="343"/>
  <c r="AC26" i="332"/>
  <c r="AD26" i="332" s="1"/>
  <c r="AD14" i="332"/>
  <c r="D13" i="343"/>
  <c r="AC13" i="332"/>
  <c r="AD13" i="332" s="1"/>
  <c r="AD39" i="332"/>
  <c r="AD67" i="332"/>
  <c r="AD58" i="332"/>
  <c r="AD40" i="332"/>
  <c r="D59" i="343"/>
  <c r="AC59" i="332"/>
  <c r="AD59" i="332" s="1"/>
  <c r="AD30" i="332"/>
  <c r="AD25" i="332"/>
  <c r="AD37" i="332"/>
  <c r="AD23" i="332"/>
  <c r="AD31" i="332"/>
  <c r="C61" i="345"/>
  <c r="D61" i="345" s="1"/>
  <c r="G59" i="345"/>
  <c r="AE59" i="332" s="1"/>
  <c r="AF59" i="332" s="1"/>
  <c r="C61" i="349"/>
  <c r="D13" i="349"/>
  <c r="C16" i="349"/>
  <c r="AE16" i="333" s="1"/>
  <c r="AF16" i="333" s="1"/>
  <c r="G26" i="345"/>
  <c r="C61" i="342"/>
  <c r="D59" i="342"/>
  <c r="G65" i="346"/>
  <c r="H65" i="346" s="1"/>
  <c r="G49" i="346"/>
  <c r="H49" i="346" s="1"/>
  <c r="C61" i="346"/>
  <c r="C16" i="342"/>
  <c r="Y16" i="332" s="1"/>
  <c r="Z16" i="332" s="1"/>
  <c r="D13" i="342"/>
  <c r="G26" i="343"/>
  <c r="H26" i="343" s="1"/>
  <c r="G42" i="343"/>
  <c r="H42" i="343" s="1"/>
  <c r="G59" i="343"/>
  <c r="H59" i="343" s="1"/>
  <c r="G59" i="348"/>
  <c r="H59" i="348" s="1"/>
  <c r="G49" i="348"/>
  <c r="H49" i="348" s="1"/>
  <c r="G33" i="348"/>
  <c r="H33" i="348" s="1"/>
  <c r="G13" i="348"/>
  <c r="G65" i="343"/>
  <c r="H65" i="343" s="1"/>
  <c r="C61" i="348"/>
  <c r="C16" i="343"/>
  <c r="C61" i="343"/>
  <c r="G42" i="348"/>
  <c r="H42" i="348" s="1"/>
  <c r="G33" i="343"/>
  <c r="H33" i="343" s="1"/>
  <c r="D13" i="348"/>
  <c r="C16" i="348"/>
  <c r="AC16" i="333" s="1"/>
  <c r="AD16" i="333" s="1"/>
  <c r="G49" i="347"/>
  <c r="H49" i="347" s="1"/>
  <c r="G33" i="347"/>
  <c r="H33" i="347" s="1"/>
  <c r="AA26" i="332"/>
  <c r="AB26" i="332" s="1"/>
  <c r="AB40" i="332"/>
  <c r="G13" i="344"/>
  <c r="AB54" i="332"/>
  <c r="AB25" i="332"/>
  <c r="G33" i="344"/>
  <c r="H33" i="344" s="1"/>
  <c r="AB20" i="332"/>
  <c r="AB58" i="332"/>
  <c r="AB59" i="332"/>
  <c r="AB14" i="332"/>
  <c r="AB36" i="332"/>
  <c r="AB41" i="332"/>
  <c r="AB35" i="332"/>
  <c r="AB30" i="332"/>
  <c r="AB39" i="332"/>
  <c r="AB64" i="332"/>
  <c r="AB12" i="332"/>
  <c r="AB67" i="332"/>
  <c r="AB21" i="332"/>
  <c r="AB52" i="332"/>
  <c r="AB37" i="332"/>
  <c r="AB46" i="332"/>
  <c r="AB10" i="332"/>
  <c r="AB53" i="332"/>
  <c r="AB38" i="332"/>
  <c r="AB24" i="332"/>
  <c r="AB31" i="332"/>
  <c r="AB51" i="332"/>
  <c r="AB23" i="332"/>
  <c r="AB55" i="332"/>
  <c r="AB47" i="332"/>
  <c r="AB32" i="332"/>
  <c r="AB74" i="332"/>
  <c r="AB72" i="332"/>
  <c r="AB22" i="332"/>
  <c r="AB29" i="332"/>
  <c r="AB56" i="332"/>
  <c r="AB15" i="332"/>
  <c r="AB28" i="332"/>
  <c r="AB57" i="332"/>
  <c r="AB48" i="332"/>
  <c r="AB11" i="332"/>
  <c r="G42" i="347"/>
  <c r="H42" i="347" s="1"/>
  <c r="G42" i="344"/>
  <c r="H42" i="344" s="1"/>
  <c r="C61" i="347"/>
  <c r="AA42" i="332"/>
  <c r="AB42" i="332" s="1"/>
  <c r="G49" i="344"/>
  <c r="H49" i="344" s="1"/>
  <c r="D59" i="344"/>
  <c r="AA13" i="332"/>
  <c r="AB13" i="332" s="1"/>
  <c r="C16" i="344"/>
  <c r="AA16" i="332" s="1"/>
  <c r="AB16" i="332" s="1"/>
  <c r="G59" i="344"/>
  <c r="H59" i="344" s="1"/>
  <c r="C61" i="344"/>
  <c r="D61" i="344" s="1"/>
  <c r="AA33" i="332"/>
  <c r="AB33" i="332" s="1"/>
  <c r="G26" i="344"/>
  <c r="H26" i="344" s="1"/>
  <c r="AB63" i="332"/>
  <c r="AA65" i="332"/>
  <c r="AB65" i="332" s="1"/>
  <c r="D13" i="347"/>
  <c r="C16" i="347"/>
  <c r="AA16" i="333" s="1"/>
  <c r="AB16" i="333" s="1"/>
  <c r="AA49" i="332"/>
  <c r="AB49" i="332" s="1"/>
  <c r="D49" i="344"/>
  <c r="E44" i="346"/>
  <c r="F18" i="346"/>
  <c r="E44" i="344"/>
  <c r="F44" i="344" s="1"/>
  <c r="F18" i="344"/>
  <c r="E69" i="344"/>
  <c r="E76" i="344" s="1"/>
  <c r="F16" i="344"/>
  <c r="E69" i="348"/>
  <c r="E76" i="348" s="1"/>
  <c r="F61" i="349"/>
  <c r="F61" i="348"/>
  <c r="F61" i="347"/>
  <c r="H13" i="347"/>
  <c r="F61" i="346"/>
  <c r="E69" i="346"/>
  <c r="F61" i="345"/>
  <c r="H16" i="345"/>
  <c r="F16" i="345"/>
  <c r="E18" i="345"/>
  <c r="D16" i="345"/>
  <c r="C18" i="345"/>
  <c r="H42" i="345"/>
  <c r="F61" i="344"/>
  <c r="H16" i="343"/>
  <c r="F16" i="343"/>
  <c r="E18" i="343"/>
  <c r="F61" i="343"/>
  <c r="F61" i="342"/>
  <c r="F16" i="342"/>
  <c r="E18" i="342"/>
  <c r="AE33" i="332" l="1"/>
  <c r="AF33" i="332" s="1"/>
  <c r="H33" i="345"/>
  <c r="AE49" i="332"/>
  <c r="AF49" i="332" s="1"/>
  <c r="H49" i="345"/>
  <c r="H59" i="345"/>
  <c r="AF51" i="332"/>
  <c r="AF10" i="332"/>
  <c r="AF12" i="332"/>
  <c r="AF16" i="332"/>
  <c r="AF42" i="332"/>
  <c r="AE26" i="332"/>
  <c r="AF26" i="332" s="1"/>
  <c r="H26" i="345"/>
  <c r="AF36" i="332"/>
  <c r="AF38" i="332"/>
  <c r="AF47" i="332"/>
  <c r="AF57" i="332"/>
  <c r="G16" i="349"/>
  <c r="H16" i="349" s="1"/>
  <c r="H13" i="349"/>
  <c r="G16" i="348"/>
  <c r="H13" i="348"/>
  <c r="H13" i="343"/>
  <c r="G16" i="344"/>
  <c r="H13" i="344"/>
  <c r="G16" i="346"/>
  <c r="H13" i="346"/>
  <c r="G16" i="342"/>
  <c r="H13" i="342"/>
  <c r="DS128" i="142"/>
  <c r="D222" i="235"/>
  <c r="DC128" i="142"/>
  <c r="D192" i="235"/>
  <c r="DK128" i="142"/>
  <c r="D207" i="235"/>
  <c r="CU128" i="142"/>
  <c r="D177" i="235"/>
  <c r="V210" i="235"/>
  <c r="Q179" i="235"/>
  <c r="Q194" i="235"/>
  <c r="M209" i="235"/>
  <c r="M194" i="235"/>
  <c r="V179" i="235"/>
  <c r="DK162" i="142"/>
  <c r="L209" i="235"/>
  <c r="M224" i="235"/>
  <c r="V224" i="235"/>
  <c r="Q209" i="235"/>
  <c r="M179" i="235"/>
  <c r="V194" i="235"/>
  <c r="Q224" i="235"/>
  <c r="CU160" i="142"/>
  <c r="L177" i="235"/>
  <c r="DC191" i="142"/>
  <c r="U191" i="235"/>
  <c r="DC160" i="142"/>
  <c r="L192" i="235"/>
  <c r="DS191" i="142"/>
  <c r="U221" i="235"/>
  <c r="DC176" i="142"/>
  <c r="P192" i="235"/>
  <c r="DK191" i="142"/>
  <c r="U206" i="235"/>
  <c r="DS160" i="142"/>
  <c r="L222" i="235"/>
  <c r="DS176" i="142"/>
  <c r="P222" i="235"/>
  <c r="CU176" i="142"/>
  <c r="P177" i="235"/>
  <c r="DK176" i="142"/>
  <c r="P207" i="235"/>
  <c r="CU191" i="142"/>
  <c r="CU192" i="142" s="1"/>
  <c r="U176" i="235"/>
  <c r="F18" i="347"/>
  <c r="E69" i="347"/>
  <c r="F69" i="347" s="1"/>
  <c r="F18" i="349"/>
  <c r="E69" i="349"/>
  <c r="E76" i="349" s="1"/>
  <c r="F76" i="349" s="1"/>
  <c r="E44" i="349"/>
  <c r="F44" i="349" s="1"/>
  <c r="AF64" i="332"/>
  <c r="G18" i="349"/>
  <c r="G44" i="349" s="1"/>
  <c r="G61" i="349"/>
  <c r="H61" i="349" s="1"/>
  <c r="G61" i="342"/>
  <c r="H61" i="342" s="1"/>
  <c r="D61" i="342"/>
  <c r="Y61" i="332"/>
  <c r="Z61" i="332" s="1"/>
  <c r="D61" i="348"/>
  <c r="AC61" i="333"/>
  <c r="AD61" i="333" s="1"/>
  <c r="D61" i="346"/>
  <c r="Y61" i="333"/>
  <c r="Z61" i="333" s="1"/>
  <c r="D61" i="349"/>
  <c r="AE61" i="333"/>
  <c r="AF61" i="333" s="1"/>
  <c r="D61" i="347"/>
  <c r="AA61" i="333"/>
  <c r="AB61" i="333" s="1"/>
  <c r="F112" i="189"/>
  <c r="F113" i="189" s="1"/>
  <c r="F114" i="189" s="1"/>
  <c r="F115" i="189" s="1"/>
  <c r="F116" i="189" s="1"/>
  <c r="F117" i="189" s="1"/>
  <c r="F118" i="189" s="1"/>
  <c r="F119" i="189" s="1"/>
  <c r="F120" i="189" s="1"/>
  <c r="F121" i="189" s="1"/>
  <c r="F122" i="189" s="1"/>
  <c r="C18" i="346"/>
  <c r="Y18" i="333" s="1"/>
  <c r="Z18" i="333" s="1"/>
  <c r="G18" i="345"/>
  <c r="AE18" i="332" s="1"/>
  <c r="AF18" i="332" s="1"/>
  <c r="O111" i="189"/>
  <c r="D16" i="346"/>
  <c r="O112" i="189"/>
  <c r="M113" i="189"/>
  <c r="E114" i="189"/>
  <c r="F44" i="346"/>
  <c r="D16" i="343"/>
  <c r="AC16" i="332"/>
  <c r="AD16" i="332" s="1"/>
  <c r="D61" i="343"/>
  <c r="AC61" i="332"/>
  <c r="AD61" i="332" s="1"/>
  <c r="G61" i="343"/>
  <c r="G61" i="345"/>
  <c r="AE61" i="332" s="1"/>
  <c r="AF61" i="332" s="1"/>
  <c r="D16" i="349"/>
  <c r="C18" i="349"/>
  <c r="AE18" i="333" s="1"/>
  <c r="AF18" i="333" s="1"/>
  <c r="G61" i="346"/>
  <c r="D16" i="342"/>
  <c r="C18" i="342"/>
  <c r="Y18" i="332" s="1"/>
  <c r="Z18" i="332" s="1"/>
  <c r="G61" i="348"/>
  <c r="G44" i="343"/>
  <c r="C18" i="343"/>
  <c r="D18" i="343" s="1"/>
  <c r="D16" i="348"/>
  <c r="C18" i="348"/>
  <c r="AC18" i="333" s="1"/>
  <c r="AD18" i="333" s="1"/>
  <c r="G61" i="347"/>
  <c r="H61" i="347" s="1"/>
  <c r="AA61" i="332"/>
  <c r="AB61" i="332" s="1"/>
  <c r="D16" i="344"/>
  <c r="C18" i="344"/>
  <c r="G61" i="344"/>
  <c r="H61" i="344" s="1"/>
  <c r="D16" i="347"/>
  <c r="C18" i="347"/>
  <c r="AA18" i="333" s="1"/>
  <c r="AB18" i="333" s="1"/>
  <c r="E70" i="344"/>
  <c r="F70" i="344" s="1"/>
  <c r="F69" i="344"/>
  <c r="F69" i="348"/>
  <c r="E70" i="348"/>
  <c r="F76" i="348"/>
  <c r="H16" i="347"/>
  <c r="G18" i="347"/>
  <c r="F44" i="347"/>
  <c r="F69" i="346"/>
  <c r="E76" i="346"/>
  <c r="E70" i="346"/>
  <c r="F18" i="345"/>
  <c r="E69" i="345"/>
  <c r="E44" i="345"/>
  <c r="D18" i="345"/>
  <c r="C69" i="345"/>
  <c r="C44" i="345"/>
  <c r="D44" i="345" s="1"/>
  <c r="F76" i="344"/>
  <c r="F18" i="343"/>
  <c r="E69" i="343"/>
  <c r="E44" i="343"/>
  <c r="H18" i="343"/>
  <c r="F18" i="342"/>
  <c r="E69" i="342"/>
  <c r="E44" i="342"/>
  <c r="H61" i="345" l="1"/>
  <c r="H18" i="345"/>
  <c r="H18" i="349"/>
  <c r="H61" i="348"/>
  <c r="G18" i="348"/>
  <c r="H16" i="348"/>
  <c r="G69" i="343"/>
  <c r="G76" i="343" s="1"/>
  <c r="H61" i="343"/>
  <c r="G18" i="344"/>
  <c r="H16" i="344"/>
  <c r="H61" i="346"/>
  <c r="G18" i="346"/>
  <c r="H16" i="346"/>
  <c r="G18" i="342"/>
  <c r="G69" i="342" s="1"/>
  <c r="G76" i="342" s="1"/>
  <c r="H16" i="342"/>
  <c r="DS129" i="142"/>
  <c r="D223" i="235"/>
  <c r="DC129" i="142"/>
  <c r="D193" i="235"/>
  <c r="DK129" i="142"/>
  <c r="D208" i="235"/>
  <c r="CU129" i="142"/>
  <c r="D178" i="235"/>
  <c r="V211" i="235"/>
  <c r="M195" i="235"/>
  <c r="M210" i="235"/>
  <c r="V195" i="235"/>
  <c r="Q210" i="235"/>
  <c r="M225" i="235"/>
  <c r="Q180" i="235"/>
  <c r="M180" i="235"/>
  <c r="V225" i="235"/>
  <c r="V180" i="235"/>
  <c r="Q195" i="235"/>
  <c r="Q225" i="235"/>
  <c r="DK163" i="142"/>
  <c r="L210" i="235"/>
  <c r="L178" i="235"/>
  <c r="CU161" i="142"/>
  <c r="P223" i="235"/>
  <c r="DS177" i="142"/>
  <c r="U178" i="235"/>
  <c r="CU193" i="142"/>
  <c r="L223" i="235"/>
  <c r="DS161" i="142"/>
  <c r="L193" i="235"/>
  <c r="DC161" i="142"/>
  <c r="P178" i="235"/>
  <c r="CU177" i="142"/>
  <c r="P208" i="235"/>
  <c r="DK177" i="142"/>
  <c r="P193" i="235"/>
  <c r="DC177" i="142"/>
  <c r="DS192" i="142"/>
  <c r="DS193" i="142" s="1"/>
  <c r="U222" i="235"/>
  <c r="DK192" i="142"/>
  <c r="DK193" i="142" s="1"/>
  <c r="U207" i="235"/>
  <c r="DC192" i="142"/>
  <c r="DC193" i="142" s="1"/>
  <c r="U192" i="235"/>
  <c r="U177" i="235"/>
  <c r="E70" i="349"/>
  <c r="E76" i="347"/>
  <c r="F76" i="347" s="1"/>
  <c r="H44" i="349"/>
  <c r="F69" i="349"/>
  <c r="E70" i="347"/>
  <c r="F70" i="347" s="1"/>
  <c r="G69" i="349"/>
  <c r="G76" i="349" s="1"/>
  <c r="H76" i="349" s="1"/>
  <c r="C44" i="346"/>
  <c r="D44" i="346" s="1"/>
  <c r="C69" i="346"/>
  <c r="Y69" i="333" s="1"/>
  <c r="Z69" i="333" s="1"/>
  <c r="D18" i="346"/>
  <c r="G112" i="189"/>
  <c r="G44" i="345"/>
  <c r="AE44" i="332" s="1"/>
  <c r="AF44" i="332" s="1"/>
  <c r="G113" i="189"/>
  <c r="G114" i="189"/>
  <c r="E115" i="189"/>
  <c r="O113" i="189"/>
  <c r="M114" i="189"/>
  <c r="G69" i="345"/>
  <c r="AE69" i="332" s="1"/>
  <c r="AF69" i="332" s="1"/>
  <c r="C69" i="343"/>
  <c r="AC18" i="332"/>
  <c r="AD18" i="332" s="1"/>
  <c r="C44" i="349"/>
  <c r="D18" i="349"/>
  <c r="C69" i="349"/>
  <c r="AE69" i="333" s="1"/>
  <c r="AF69" i="333" s="1"/>
  <c r="D18" i="342"/>
  <c r="C44" i="342"/>
  <c r="C69" i="342"/>
  <c r="Y69" i="332" s="1"/>
  <c r="Z69" i="332" s="1"/>
  <c r="C44" i="343"/>
  <c r="D18" i="348"/>
  <c r="C44" i="348"/>
  <c r="C69" i="348"/>
  <c r="AC69" i="333" s="1"/>
  <c r="AD69" i="333" s="1"/>
  <c r="C69" i="344"/>
  <c r="C76" i="344" s="1"/>
  <c r="AA18" i="332"/>
  <c r="AB18" i="332" s="1"/>
  <c r="D18" i="344"/>
  <c r="C44" i="344"/>
  <c r="G69" i="344"/>
  <c r="G76" i="344" s="1"/>
  <c r="H76" i="344" s="1"/>
  <c r="D18" i="347"/>
  <c r="C69" i="347"/>
  <c r="AA69" i="333" s="1"/>
  <c r="AB69" i="333" s="1"/>
  <c r="C44" i="347"/>
  <c r="F70" i="348"/>
  <c r="G69" i="347"/>
  <c r="G44" i="347"/>
  <c r="H44" i="347" s="1"/>
  <c r="H18" i="347"/>
  <c r="F70" i="346"/>
  <c r="F76" i="346"/>
  <c r="C70" i="345"/>
  <c r="D70" i="345" s="1"/>
  <c r="D69" i="345"/>
  <c r="C76" i="345"/>
  <c r="D76" i="345" s="1"/>
  <c r="H44" i="345"/>
  <c r="F44" i="345"/>
  <c r="F69" i="345"/>
  <c r="E76" i="345"/>
  <c r="E70" i="345"/>
  <c r="H44" i="343"/>
  <c r="F44" i="343"/>
  <c r="H69" i="343"/>
  <c r="F69" i="343"/>
  <c r="E76" i="343"/>
  <c r="E70" i="343"/>
  <c r="F69" i="342"/>
  <c r="E76" i="342"/>
  <c r="E70" i="342"/>
  <c r="F44" i="342"/>
  <c r="G70" i="343" l="1"/>
  <c r="H69" i="345"/>
  <c r="H69" i="349"/>
  <c r="H18" i="348"/>
  <c r="G44" i="348"/>
  <c r="H44" i="348" s="1"/>
  <c r="G69" i="348"/>
  <c r="H69" i="342"/>
  <c r="H69" i="344"/>
  <c r="H18" i="344"/>
  <c r="G44" i="344"/>
  <c r="H44" i="344" s="1"/>
  <c r="H18" i="346"/>
  <c r="G44" i="346"/>
  <c r="H44" i="346" s="1"/>
  <c r="G69" i="346"/>
  <c r="G44" i="342"/>
  <c r="H44" i="342" s="1"/>
  <c r="H18" i="342"/>
  <c r="DS130" i="142"/>
  <c r="D224" i="235"/>
  <c r="DC130" i="142"/>
  <c r="D194" i="235"/>
  <c r="DK130" i="142"/>
  <c r="D209" i="235"/>
  <c r="CU130" i="142"/>
  <c r="D179" i="235"/>
  <c r="Q226" i="235"/>
  <c r="M226" i="235"/>
  <c r="V196" i="235"/>
  <c r="M181" i="235"/>
  <c r="Q196" i="235"/>
  <c r="Q211" i="235"/>
  <c r="V181" i="235"/>
  <c r="V226" i="235"/>
  <c r="M211" i="235"/>
  <c r="M196" i="235"/>
  <c r="DK164" i="142"/>
  <c r="L211" i="235"/>
  <c r="Q181" i="235"/>
  <c r="V212" i="235"/>
  <c r="L224" i="235"/>
  <c r="DS162" i="142"/>
  <c r="U179" i="235"/>
  <c r="CU194" i="142"/>
  <c r="P194" i="235"/>
  <c r="DC178" i="142"/>
  <c r="P224" i="235"/>
  <c r="DS178" i="142"/>
  <c r="P179" i="235"/>
  <c r="CU178" i="142"/>
  <c r="L194" i="235"/>
  <c r="DC162" i="142"/>
  <c r="U209" i="235"/>
  <c r="DK194" i="142"/>
  <c r="U224" i="235"/>
  <c r="DS194" i="142"/>
  <c r="U194" i="235"/>
  <c r="DC194" i="142"/>
  <c r="P209" i="235"/>
  <c r="DK178" i="142"/>
  <c r="L179" i="235"/>
  <c r="CU162" i="142"/>
  <c r="U193" i="235"/>
  <c r="U208" i="235"/>
  <c r="U223" i="235"/>
  <c r="G70" i="342"/>
  <c r="H70" i="342" s="1"/>
  <c r="F70" i="349"/>
  <c r="G70" i="349"/>
  <c r="H70" i="349" s="1"/>
  <c r="D69" i="346"/>
  <c r="C70" i="346"/>
  <c r="D70" i="346" s="1"/>
  <c r="Y44" i="333"/>
  <c r="Z44" i="333" s="1"/>
  <c r="C76" i="346"/>
  <c r="Y76" i="333" s="1"/>
  <c r="Z76" i="333" s="1"/>
  <c r="G70" i="345"/>
  <c r="AE70" i="332" s="1"/>
  <c r="AF70" i="332" s="1"/>
  <c r="AE76" i="332"/>
  <c r="AF76" i="332" s="1"/>
  <c r="G76" i="345"/>
  <c r="H76" i="345" s="1"/>
  <c r="O114" i="189"/>
  <c r="M115" i="189"/>
  <c r="G115" i="189"/>
  <c r="E116" i="189"/>
  <c r="D44" i="342"/>
  <c r="Y44" i="332"/>
  <c r="Z44" i="332" s="1"/>
  <c r="D44" i="347"/>
  <c r="AA44" i="333"/>
  <c r="AB44" i="333" s="1"/>
  <c r="D44" i="348"/>
  <c r="AC44" i="333"/>
  <c r="AD44" i="333" s="1"/>
  <c r="D44" i="349"/>
  <c r="AE44" i="333"/>
  <c r="AF44" i="333" s="1"/>
  <c r="D44" i="343"/>
  <c r="AC44" i="332"/>
  <c r="AD44" i="332" s="1"/>
  <c r="D69" i="343"/>
  <c r="AC69" i="332"/>
  <c r="AD69" i="332" s="1"/>
  <c r="C70" i="343"/>
  <c r="C76" i="343"/>
  <c r="C70" i="349"/>
  <c r="C76" i="349"/>
  <c r="D69" i="349"/>
  <c r="C76" i="342"/>
  <c r="C70" i="342"/>
  <c r="D69" i="342"/>
  <c r="D69" i="348"/>
  <c r="C70" i="348"/>
  <c r="C76" i="348"/>
  <c r="G70" i="344"/>
  <c r="H70" i="344" s="1"/>
  <c r="AA69" i="332"/>
  <c r="D76" i="344"/>
  <c r="D69" i="344"/>
  <c r="C70" i="344"/>
  <c r="D44" i="344"/>
  <c r="AA44" i="332"/>
  <c r="AB44" i="332" s="1"/>
  <c r="D69" i="347"/>
  <c r="C70" i="347"/>
  <c r="C76" i="347"/>
  <c r="G76" i="347"/>
  <c r="H76" i="347" s="1"/>
  <c r="G70" i="347"/>
  <c r="H70" i="347" s="1"/>
  <c r="H69" i="347"/>
  <c r="F76" i="345"/>
  <c r="F70" i="345"/>
  <c r="H70" i="343"/>
  <c r="F70" i="343"/>
  <c r="H76" i="343"/>
  <c r="F76" i="343"/>
  <c r="F70" i="342"/>
  <c r="H76" i="342"/>
  <c r="F76" i="342"/>
  <c r="H70" i="345" l="1"/>
  <c r="G76" i="348"/>
  <c r="H76" i="348" s="1"/>
  <c r="H69" i="348"/>
  <c r="G70" i="348"/>
  <c r="H70" i="348" s="1"/>
  <c r="G76" i="346"/>
  <c r="H76" i="346" s="1"/>
  <c r="H69" i="346"/>
  <c r="G70" i="346"/>
  <c r="H70" i="346" s="1"/>
  <c r="DS131" i="142"/>
  <c r="D225" i="235"/>
  <c r="DC131" i="142"/>
  <c r="D195" i="235"/>
  <c r="DK131" i="142"/>
  <c r="D210" i="235"/>
  <c r="CU131" i="142"/>
  <c r="D180" i="235"/>
  <c r="V213" i="235"/>
  <c r="P180" i="235"/>
  <c r="CU179" i="142"/>
  <c r="Q182" i="235"/>
  <c r="P210" i="235"/>
  <c r="DK179" i="142"/>
  <c r="M197" i="235"/>
  <c r="U180" i="235"/>
  <c r="CU195" i="142"/>
  <c r="M212" i="235"/>
  <c r="V197" i="235"/>
  <c r="L225" i="235"/>
  <c r="DS163" i="142"/>
  <c r="L180" i="235"/>
  <c r="CU163" i="142"/>
  <c r="Q212" i="235"/>
  <c r="P225" i="235"/>
  <c r="DS179" i="142"/>
  <c r="DK165" i="142"/>
  <c r="L212" i="235"/>
  <c r="Q197" i="235"/>
  <c r="U195" i="235"/>
  <c r="DC195" i="142"/>
  <c r="P195" i="235"/>
  <c r="DC179" i="142"/>
  <c r="M182" i="235"/>
  <c r="U225" i="235"/>
  <c r="DS195" i="142"/>
  <c r="U210" i="235"/>
  <c r="DK195" i="142"/>
  <c r="V227" i="235"/>
  <c r="M227" i="235"/>
  <c r="L195" i="235"/>
  <c r="DC163" i="142"/>
  <c r="V182" i="235"/>
  <c r="Q227" i="235"/>
  <c r="Y70" i="333"/>
  <c r="Z70" i="333" s="1"/>
  <c r="D76" i="346"/>
  <c r="G116" i="189"/>
  <c r="E117" i="189"/>
  <c r="O115" i="189"/>
  <c r="M116" i="189"/>
  <c r="D70" i="342"/>
  <c r="Y70" i="332"/>
  <c r="Z70" i="332" s="1"/>
  <c r="D76" i="342"/>
  <c r="Y76" i="332"/>
  <c r="Z76" i="332" s="1"/>
  <c r="D76" i="347"/>
  <c r="AA76" i="333"/>
  <c r="AB76" i="333" s="1"/>
  <c r="D70" i="347"/>
  <c r="AA70" i="333"/>
  <c r="AB70" i="333" s="1"/>
  <c r="D76" i="349"/>
  <c r="AE76" i="333"/>
  <c r="AF76" i="333" s="1"/>
  <c r="D76" i="348"/>
  <c r="AC76" i="333"/>
  <c r="AD76" i="333" s="1"/>
  <c r="D70" i="349"/>
  <c r="AE70" i="333"/>
  <c r="AF70" i="333" s="1"/>
  <c r="D70" i="348"/>
  <c r="AC70" i="333"/>
  <c r="AD70" i="333" s="1"/>
  <c r="D76" i="343"/>
  <c r="AC76" i="332"/>
  <c r="AD76" i="332" s="1"/>
  <c r="D70" i="343"/>
  <c r="AC70" i="332"/>
  <c r="AD70" i="332" s="1"/>
  <c r="AB69" i="332"/>
  <c r="AA76" i="332"/>
  <c r="AB76" i="332" s="1"/>
  <c r="D70" i="344"/>
  <c r="AA70" i="332"/>
  <c r="AB70" i="332" s="1"/>
  <c r="G213" i="276"/>
  <c r="G214" i="276"/>
  <c r="G215" i="276"/>
  <c r="G216" i="276"/>
  <c r="H215" i="276"/>
  <c r="J215" i="276"/>
  <c r="K215" i="276"/>
  <c r="H216" i="276"/>
  <c r="J216" i="276"/>
  <c r="K216" i="276"/>
  <c r="G217" i="276"/>
  <c r="H217" i="276"/>
  <c r="I217" i="276"/>
  <c r="I216" i="276" s="1"/>
  <c r="I215" i="276" s="1"/>
  <c r="J217" i="276"/>
  <c r="K217" i="276"/>
  <c r="G197" i="267"/>
  <c r="H197" i="267"/>
  <c r="J197" i="267"/>
  <c r="K197" i="267"/>
  <c r="G198" i="267"/>
  <c r="H198" i="267"/>
  <c r="J198" i="267"/>
  <c r="K198" i="267"/>
  <c r="G199" i="267"/>
  <c r="H199" i="267"/>
  <c r="J199" i="267"/>
  <c r="K199" i="267"/>
  <c r="G200" i="267"/>
  <c r="H200" i="267"/>
  <c r="J200" i="267"/>
  <c r="K200" i="267"/>
  <c r="G201" i="267"/>
  <c r="H201" i="267"/>
  <c r="J201" i="267"/>
  <c r="K201" i="267"/>
  <c r="G202" i="267"/>
  <c r="H202" i="267"/>
  <c r="I202" i="267"/>
  <c r="I201" i="267" s="1"/>
  <c r="I200" i="267" s="1"/>
  <c r="I199" i="267" s="1"/>
  <c r="I198" i="267" s="1"/>
  <c r="I197" i="267" s="1"/>
  <c r="J202" i="267"/>
  <c r="K202" i="267"/>
  <c r="DS132" i="142" l="1"/>
  <c r="D226" i="235"/>
  <c r="DC132" i="142"/>
  <c r="D196" i="235"/>
  <c r="DK132" i="142"/>
  <c r="D211" i="235"/>
  <c r="CU132" i="142"/>
  <c r="D181" i="235"/>
  <c r="Q228" i="235"/>
  <c r="V183" i="235"/>
  <c r="M183" i="235"/>
  <c r="Q213" i="235"/>
  <c r="M198" i="235"/>
  <c r="M228" i="235"/>
  <c r="Q183" i="235"/>
  <c r="V228" i="235"/>
  <c r="Q198" i="235"/>
  <c r="V198" i="235"/>
  <c r="M213" i="235"/>
  <c r="V214" i="235"/>
  <c r="DK166" i="142"/>
  <c r="L213" i="235"/>
  <c r="U211" i="235"/>
  <c r="DK196" i="142"/>
  <c r="CU196" i="142"/>
  <c r="U181" i="235"/>
  <c r="DC164" i="142"/>
  <c r="L196" i="235"/>
  <c r="CU164" i="142"/>
  <c r="L181" i="235"/>
  <c r="U196" i="235"/>
  <c r="DC196" i="142"/>
  <c r="DS164" i="142"/>
  <c r="L226" i="235"/>
  <c r="CU180" i="142"/>
  <c r="P181" i="235"/>
  <c r="U226" i="235"/>
  <c r="DS196" i="142"/>
  <c r="DS180" i="142"/>
  <c r="P226" i="235"/>
  <c r="DC180" i="142"/>
  <c r="P196" i="235"/>
  <c r="DK180" i="142"/>
  <c r="P211" i="235"/>
  <c r="O116" i="189"/>
  <c r="M117" i="189"/>
  <c r="G117" i="189"/>
  <c r="E118" i="189"/>
  <c r="G206" i="271"/>
  <c r="H206" i="271"/>
  <c r="I206" i="271"/>
  <c r="J206" i="271"/>
  <c r="K206" i="271"/>
  <c r="DS133" i="142" l="1"/>
  <c r="D227" i="235"/>
  <c r="DC133" i="142"/>
  <c r="D197" i="235"/>
  <c r="DK133" i="142"/>
  <c r="D212" i="235"/>
  <c r="CU133" i="142"/>
  <c r="D182" i="235"/>
  <c r="M199" i="235"/>
  <c r="V199" i="235"/>
  <c r="Q214" i="235"/>
  <c r="Q199" i="235"/>
  <c r="M184" i="235"/>
  <c r="V229" i="235"/>
  <c r="V184" i="235"/>
  <c r="M229" i="235"/>
  <c r="M214" i="235"/>
  <c r="Q184" i="235"/>
  <c r="Q229" i="235"/>
  <c r="DK167" i="142"/>
  <c r="L214" i="235"/>
  <c r="DC165" i="142"/>
  <c r="L197" i="235"/>
  <c r="DS165" i="142"/>
  <c r="L227" i="235"/>
  <c r="DC197" i="142"/>
  <c r="U197" i="235"/>
  <c r="DK181" i="142"/>
  <c r="P212" i="235"/>
  <c r="DC181" i="142"/>
  <c r="P197" i="235"/>
  <c r="CU165" i="142"/>
  <c r="L182" i="235"/>
  <c r="DS181" i="142"/>
  <c r="P227" i="235"/>
  <c r="DS197" i="142"/>
  <c r="U227" i="235"/>
  <c r="CU197" i="142"/>
  <c r="U182" i="235"/>
  <c r="DK197" i="142"/>
  <c r="U212" i="235"/>
  <c r="CU181" i="142"/>
  <c r="P182" i="235"/>
  <c r="M118" i="189"/>
  <c r="O117" i="189"/>
  <c r="G118" i="189"/>
  <c r="E119" i="189"/>
  <c r="G214" i="266"/>
  <c r="H214" i="266"/>
  <c r="J214" i="266"/>
  <c r="K214" i="266"/>
  <c r="G215" i="266"/>
  <c r="H215" i="266"/>
  <c r="J215" i="266"/>
  <c r="K215" i="266"/>
  <c r="G216" i="266"/>
  <c r="H216" i="266"/>
  <c r="I216" i="266"/>
  <c r="I215" i="266" s="1"/>
  <c r="I214" i="266" s="1"/>
  <c r="J216" i="266"/>
  <c r="K216" i="266"/>
  <c r="DS134" i="142" l="1"/>
  <c r="D228" i="235"/>
  <c r="DC134" i="142"/>
  <c r="D198" i="235"/>
  <c r="DK134" i="142"/>
  <c r="D213" i="235"/>
  <c r="CU134" i="142"/>
  <c r="D183" i="235"/>
  <c r="DS182" i="142"/>
  <c r="P228" i="235"/>
  <c r="DS166" i="142"/>
  <c r="L228" i="235"/>
  <c r="DS198" i="142"/>
  <c r="U228" i="235"/>
  <c r="DK182" i="142"/>
  <c r="P213" i="235"/>
  <c r="DK198" i="142"/>
  <c r="U213" i="235"/>
  <c r="DC182" i="142"/>
  <c r="P198" i="235"/>
  <c r="DC166" i="142"/>
  <c r="L198" i="235"/>
  <c r="DC198" i="142"/>
  <c r="U198" i="235"/>
  <c r="CU182" i="142"/>
  <c r="P183" i="235"/>
  <c r="CU166" i="142"/>
  <c r="L183" i="235"/>
  <c r="CU198" i="142"/>
  <c r="U183" i="235"/>
  <c r="O118" i="189"/>
  <c r="M119" i="189"/>
  <c r="E120" i="189"/>
  <c r="G119" i="189"/>
  <c r="E67" i="323"/>
  <c r="E72" i="323"/>
  <c r="DS135" i="142" l="1"/>
  <c r="D230" i="235" s="1"/>
  <c r="D229" i="235"/>
  <c r="DC135" i="142"/>
  <c r="D199" i="235"/>
  <c r="DK135" i="142"/>
  <c r="D215" i="235" s="1"/>
  <c r="D214" i="235"/>
  <c r="CU135" i="142"/>
  <c r="D185" i="235" s="1"/>
  <c r="D184" i="235"/>
  <c r="DS183" i="142"/>
  <c r="P230" i="235" s="1"/>
  <c r="P229" i="235"/>
  <c r="DS167" i="142"/>
  <c r="L230" i="235" s="1"/>
  <c r="L229" i="235"/>
  <c r="DS199" i="142"/>
  <c r="U230" i="235" s="1"/>
  <c r="U229" i="235"/>
  <c r="C78" i="349"/>
  <c r="AE78" i="333"/>
  <c r="DK183" i="142"/>
  <c r="P215" i="235" s="1"/>
  <c r="P214" i="235"/>
  <c r="DK199" i="142"/>
  <c r="U214" i="235"/>
  <c r="DC183" i="142"/>
  <c r="P200" i="235" s="1"/>
  <c r="P199" i="235"/>
  <c r="DC167" i="142"/>
  <c r="L200" i="235" s="1"/>
  <c r="L199" i="235"/>
  <c r="DC199" i="142"/>
  <c r="U200" i="235" s="1"/>
  <c r="U199" i="235"/>
  <c r="C78" i="347"/>
  <c r="AA78" i="333"/>
  <c r="CU183" i="142"/>
  <c r="P185" i="235" s="1"/>
  <c r="P184" i="235"/>
  <c r="CU167" i="142"/>
  <c r="L185" i="235" s="1"/>
  <c r="L184" i="235"/>
  <c r="CU199" i="142"/>
  <c r="U185" i="235" s="1"/>
  <c r="U184" i="235"/>
  <c r="Y78" i="333"/>
  <c r="C78" i="346"/>
  <c r="G120" i="189"/>
  <c r="E121" i="189"/>
  <c r="O119" i="189"/>
  <c r="M120" i="189"/>
  <c r="G211" i="266"/>
  <c r="H211" i="266"/>
  <c r="J211" i="266"/>
  <c r="K211" i="266"/>
  <c r="G212" i="266"/>
  <c r="H212" i="266"/>
  <c r="J212" i="266"/>
  <c r="K212" i="266"/>
  <c r="G213" i="266"/>
  <c r="H213" i="266"/>
  <c r="I213" i="266"/>
  <c r="I212" i="266" s="1"/>
  <c r="I211" i="266" s="1"/>
  <c r="I210" i="266" s="1"/>
  <c r="I209" i="266" s="1"/>
  <c r="J213" i="266"/>
  <c r="K213" i="266"/>
  <c r="G164" i="272"/>
  <c r="H164" i="272"/>
  <c r="J164" i="272"/>
  <c r="K164" i="272"/>
  <c r="G165" i="272"/>
  <c r="H165" i="272"/>
  <c r="J165" i="272"/>
  <c r="K165" i="272"/>
  <c r="G166" i="272"/>
  <c r="H166" i="272"/>
  <c r="J166" i="272"/>
  <c r="K166" i="272"/>
  <c r="G167" i="272"/>
  <c r="H167" i="272"/>
  <c r="J167" i="272"/>
  <c r="K167" i="272"/>
  <c r="G168" i="272"/>
  <c r="H168" i="272"/>
  <c r="J168" i="272"/>
  <c r="K168" i="272"/>
  <c r="G169" i="272"/>
  <c r="H169" i="272"/>
  <c r="J169" i="272"/>
  <c r="K169" i="272"/>
  <c r="G170" i="272"/>
  <c r="H170" i="272"/>
  <c r="J170" i="272"/>
  <c r="K170" i="272"/>
  <c r="G171" i="272"/>
  <c r="H171" i="272"/>
  <c r="J171" i="272"/>
  <c r="K171" i="272"/>
  <c r="G172" i="272"/>
  <c r="H172" i="272"/>
  <c r="J172" i="272"/>
  <c r="K172" i="272"/>
  <c r="G173" i="272"/>
  <c r="H173" i="272"/>
  <c r="J173" i="272"/>
  <c r="K173" i="272"/>
  <c r="G190" i="268"/>
  <c r="H190" i="268"/>
  <c r="J190" i="268"/>
  <c r="G191" i="268"/>
  <c r="H191" i="268"/>
  <c r="J191" i="268"/>
  <c r="G204" i="271"/>
  <c r="H204" i="271"/>
  <c r="J204" i="271"/>
  <c r="K204" i="271"/>
  <c r="G205" i="271"/>
  <c r="H205" i="271"/>
  <c r="I205" i="271"/>
  <c r="I204" i="271" s="1"/>
  <c r="J205" i="271"/>
  <c r="K205" i="271"/>
  <c r="A6091" i="282"/>
  <c r="G209" i="266"/>
  <c r="H209" i="266"/>
  <c r="J209" i="266"/>
  <c r="K209" i="266"/>
  <c r="G210" i="266"/>
  <c r="H210" i="266"/>
  <c r="J210" i="266"/>
  <c r="K210" i="266"/>
  <c r="A6090" i="282"/>
  <c r="AC78" i="333" l="1"/>
  <c r="U215" i="235"/>
  <c r="C78" i="348"/>
  <c r="O120" i="189"/>
  <c r="M121" i="189"/>
  <c r="G121" i="189"/>
  <c r="E122" i="189"/>
  <c r="G122" i="189" s="1"/>
  <c r="H237" i="142"/>
  <c r="H238" i="142"/>
  <c r="H239" i="142"/>
  <c r="H240" i="142"/>
  <c r="H241" i="142"/>
  <c r="H242" i="142"/>
  <c r="H243" i="142"/>
  <c r="H244" i="142"/>
  <c r="H245" i="142"/>
  <c r="H246" i="142"/>
  <c r="H247" i="142"/>
  <c r="H236" i="142"/>
  <c r="G237" i="142"/>
  <c r="G238" i="142"/>
  <c r="G239" i="142"/>
  <c r="G240" i="142"/>
  <c r="G241" i="142"/>
  <c r="G242" i="142"/>
  <c r="G243" i="142"/>
  <c r="G244" i="142"/>
  <c r="G245" i="142"/>
  <c r="G246" i="142"/>
  <c r="G247" i="142"/>
  <c r="G236" i="142"/>
  <c r="G284" i="142" s="1"/>
  <c r="F237" i="142"/>
  <c r="F238" i="142"/>
  <c r="F239" i="142"/>
  <c r="F240" i="142"/>
  <c r="F241" i="142"/>
  <c r="F242" i="142"/>
  <c r="F243" i="142"/>
  <c r="F244" i="142"/>
  <c r="F245" i="142"/>
  <c r="F246" i="142"/>
  <c r="F247" i="142"/>
  <c r="F236" i="142"/>
  <c r="E237" i="142"/>
  <c r="E238" i="142"/>
  <c r="E239" i="142"/>
  <c r="E240" i="142"/>
  <c r="E241" i="142"/>
  <c r="E242" i="142"/>
  <c r="E243" i="142"/>
  <c r="E244" i="142"/>
  <c r="E245" i="142"/>
  <c r="E246" i="142"/>
  <c r="E247" i="142"/>
  <c r="E236" i="142"/>
  <c r="E80" i="293"/>
  <c r="G80" i="293" s="1"/>
  <c r="H220" i="142"/>
  <c r="H271" i="142" s="1"/>
  <c r="G220" i="142"/>
  <c r="G268" i="142" s="1"/>
  <c r="F221" i="142"/>
  <c r="F222" i="142"/>
  <c r="F223" i="142"/>
  <c r="F224" i="142"/>
  <c r="F225" i="142"/>
  <c r="F226" i="142"/>
  <c r="F227" i="142"/>
  <c r="F228" i="142"/>
  <c r="F229" i="142"/>
  <c r="F230" i="142"/>
  <c r="F231" i="142"/>
  <c r="F220" i="142"/>
  <c r="E221" i="142"/>
  <c r="E222" i="142"/>
  <c r="E223" i="142"/>
  <c r="E224" i="142"/>
  <c r="E225" i="142"/>
  <c r="E226" i="142"/>
  <c r="E227" i="142"/>
  <c r="E228" i="142"/>
  <c r="E229" i="142"/>
  <c r="E230" i="142"/>
  <c r="E231" i="142"/>
  <c r="E220" i="142"/>
  <c r="D221" i="142"/>
  <c r="D222" i="142"/>
  <c r="D223" i="142"/>
  <c r="D224" i="142"/>
  <c r="D225" i="142"/>
  <c r="D226" i="142"/>
  <c r="D227" i="142"/>
  <c r="D228" i="142"/>
  <c r="D229" i="142"/>
  <c r="D230" i="142"/>
  <c r="D231" i="142"/>
  <c r="D220" i="142"/>
  <c r="G205" i="142"/>
  <c r="H205" i="142"/>
  <c r="G206" i="142"/>
  <c r="H206" i="142"/>
  <c r="G207" i="142"/>
  <c r="H207" i="142"/>
  <c r="G208" i="142"/>
  <c r="H208" i="142"/>
  <c r="G209" i="142"/>
  <c r="H209" i="142"/>
  <c r="G210" i="142"/>
  <c r="H210" i="142"/>
  <c r="G211" i="142"/>
  <c r="H211" i="142"/>
  <c r="G212" i="142"/>
  <c r="H212" i="142"/>
  <c r="G213" i="142"/>
  <c r="H213" i="142"/>
  <c r="G214" i="142"/>
  <c r="H214" i="142"/>
  <c r="G215" i="142"/>
  <c r="H215" i="142"/>
  <c r="H204" i="142"/>
  <c r="G204" i="142"/>
  <c r="F204" i="142"/>
  <c r="F205" i="142"/>
  <c r="F206" i="142"/>
  <c r="F207" i="142"/>
  <c r="F208" i="142"/>
  <c r="F209" i="142"/>
  <c r="F210" i="142"/>
  <c r="F211" i="142"/>
  <c r="F212" i="142"/>
  <c r="F213" i="142"/>
  <c r="F214" i="142"/>
  <c r="F215" i="142"/>
  <c r="E204" i="142"/>
  <c r="E205" i="142"/>
  <c r="E206" i="142"/>
  <c r="E207" i="142"/>
  <c r="E208" i="142"/>
  <c r="E209" i="142"/>
  <c r="E210" i="142"/>
  <c r="E211" i="142"/>
  <c r="E212" i="142"/>
  <c r="E213" i="142"/>
  <c r="E214" i="142"/>
  <c r="E215" i="142"/>
  <c r="D205" i="142"/>
  <c r="D206" i="142"/>
  <c r="D207" i="142"/>
  <c r="D208" i="142"/>
  <c r="D209" i="142"/>
  <c r="D210" i="142"/>
  <c r="D211" i="142"/>
  <c r="D212" i="142"/>
  <c r="D213" i="142"/>
  <c r="D214" i="142"/>
  <c r="D215" i="142"/>
  <c r="D204" i="142"/>
  <c r="E189" i="142"/>
  <c r="F189" i="142"/>
  <c r="G189" i="142"/>
  <c r="H189" i="142"/>
  <c r="E190" i="142"/>
  <c r="F190" i="142"/>
  <c r="G190" i="142"/>
  <c r="H190" i="142"/>
  <c r="E191" i="142"/>
  <c r="F191" i="142"/>
  <c r="G191" i="142"/>
  <c r="H191" i="142"/>
  <c r="E192" i="142"/>
  <c r="F192" i="142"/>
  <c r="G192" i="142"/>
  <c r="H192" i="142"/>
  <c r="E193" i="142"/>
  <c r="F193" i="142"/>
  <c r="G193" i="142"/>
  <c r="H193" i="142"/>
  <c r="E194" i="142"/>
  <c r="F194" i="142"/>
  <c r="G194" i="142"/>
  <c r="H194" i="142"/>
  <c r="F195" i="142"/>
  <c r="G195" i="142"/>
  <c r="H195" i="142"/>
  <c r="F196" i="142"/>
  <c r="G196" i="142"/>
  <c r="H196" i="142"/>
  <c r="F197" i="142"/>
  <c r="G197" i="142"/>
  <c r="H197" i="142"/>
  <c r="F198" i="142"/>
  <c r="G198" i="142"/>
  <c r="H198" i="142"/>
  <c r="F199" i="142"/>
  <c r="G199" i="142"/>
  <c r="H199" i="142"/>
  <c r="E188" i="142"/>
  <c r="F188" i="142"/>
  <c r="G188" i="142"/>
  <c r="H188" i="142"/>
  <c r="E173" i="142"/>
  <c r="F173" i="142"/>
  <c r="G173" i="142"/>
  <c r="H173" i="142"/>
  <c r="E174" i="142"/>
  <c r="F174" i="142"/>
  <c r="G174" i="142"/>
  <c r="H174" i="142"/>
  <c r="E175" i="142"/>
  <c r="F175" i="142"/>
  <c r="G175" i="142"/>
  <c r="H175" i="142"/>
  <c r="E176" i="142"/>
  <c r="F176" i="142"/>
  <c r="G176" i="142"/>
  <c r="H176" i="142"/>
  <c r="E177" i="142"/>
  <c r="F177" i="142"/>
  <c r="G177" i="142"/>
  <c r="H177" i="142"/>
  <c r="E178" i="142"/>
  <c r="F178" i="142"/>
  <c r="G178" i="142"/>
  <c r="H178" i="142"/>
  <c r="F179" i="142"/>
  <c r="G179" i="142"/>
  <c r="H179" i="142"/>
  <c r="F180" i="142"/>
  <c r="G180" i="142"/>
  <c r="H180" i="142"/>
  <c r="F181" i="142"/>
  <c r="G181" i="142"/>
  <c r="H181" i="142"/>
  <c r="F182" i="142"/>
  <c r="G182" i="142"/>
  <c r="H182" i="142"/>
  <c r="F183" i="142"/>
  <c r="G183" i="142"/>
  <c r="H183" i="142"/>
  <c r="E172" i="142"/>
  <c r="F172" i="142"/>
  <c r="G172" i="142"/>
  <c r="H172" i="142"/>
  <c r="E156" i="142"/>
  <c r="F156" i="142"/>
  <c r="G156" i="142"/>
  <c r="H156" i="142"/>
  <c r="E157" i="142"/>
  <c r="F157" i="142"/>
  <c r="G157" i="142"/>
  <c r="H157" i="142"/>
  <c r="E158" i="142"/>
  <c r="F158" i="142"/>
  <c r="G158" i="142"/>
  <c r="H158" i="142"/>
  <c r="E159" i="142"/>
  <c r="F159" i="142"/>
  <c r="G159" i="142"/>
  <c r="H159" i="142"/>
  <c r="E160" i="142"/>
  <c r="F160" i="142"/>
  <c r="G160" i="142"/>
  <c r="H160" i="142"/>
  <c r="E161" i="142"/>
  <c r="F161" i="142"/>
  <c r="G161" i="142"/>
  <c r="H161" i="142"/>
  <c r="E162" i="142"/>
  <c r="F162" i="142"/>
  <c r="G162" i="142"/>
  <c r="H162" i="142"/>
  <c r="F163" i="142"/>
  <c r="G163" i="142"/>
  <c r="H163" i="142"/>
  <c r="F164" i="142"/>
  <c r="G164" i="142"/>
  <c r="H164" i="142"/>
  <c r="F165" i="142"/>
  <c r="G165" i="142"/>
  <c r="H165" i="142"/>
  <c r="F166" i="142"/>
  <c r="G166" i="142"/>
  <c r="H166" i="142"/>
  <c r="F167" i="142"/>
  <c r="G167" i="142"/>
  <c r="H167" i="142"/>
  <c r="E141" i="142"/>
  <c r="F141" i="142"/>
  <c r="G141" i="142"/>
  <c r="H141" i="142"/>
  <c r="E142" i="142"/>
  <c r="F142" i="142"/>
  <c r="G142" i="142"/>
  <c r="H142" i="142"/>
  <c r="E143" i="142"/>
  <c r="F143" i="142"/>
  <c r="G143" i="142"/>
  <c r="H143" i="142"/>
  <c r="E144" i="142"/>
  <c r="F144" i="142"/>
  <c r="G144" i="142"/>
  <c r="H144" i="142"/>
  <c r="E145" i="142"/>
  <c r="F145" i="142"/>
  <c r="G145" i="142"/>
  <c r="H145" i="142"/>
  <c r="E146" i="142"/>
  <c r="F146" i="142"/>
  <c r="G146" i="142"/>
  <c r="H146" i="142"/>
  <c r="E147" i="142"/>
  <c r="F147" i="142"/>
  <c r="G147" i="142"/>
  <c r="H147" i="142"/>
  <c r="F148" i="142"/>
  <c r="G148" i="142"/>
  <c r="H148" i="142"/>
  <c r="F149" i="142"/>
  <c r="G149" i="142"/>
  <c r="H149" i="142"/>
  <c r="F150" i="142"/>
  <c r="G150" i="142"/>
  <c r="H150" i="142"/>
  <c r="F151" i="142"/>
  <c r="G151" i="142"/>
  <c r="H151" i="142"/>
  <c r="E140" i="142"/>
  <c r="F140" i="142"/>
  <c r="G140" i="142"/>
  <c r="H140" i="142"/>
  <c r="E125" i="142"/>
  <c r="F125" i="142"/>
  <c r="G125" i="142"/>
  <c r="H125" i="142"/>
  <c r="E126" i="142"/>
  <c r="F126" i="142"/>
  <c r="G126" i="142"/>
  <c r="H126" i="142"/>
  <c r="E127" i="142"/>
  <c r="F127" i="142"/>
  <c r="G127" i="142"/>
  <c r="H127" i="142"/>
  <c r="E128" i="142"/>
  <c r="F128" i="142"/>
  <c r="G128" i="142"/>
  <c r="H128" i="142"/>
  <c r="E129" i="142"/>
  <c r="F129" i="142"/>
  <c r="G129" i="142"/>
  <c r="H129" i="142"/>
  <c r="E130" i="142"/>
  <c r="F130" i="142"/>
  <c r="G130" i="142"/>
  <c r="H130" i="142"/>
  <c r="F131" i="142"/>
  <c r="G131" i="142"/>
  <c r="H131" i="142"/>
  <c r="F132" i="142"/>
  <c r="G132" i="142"/>
  <c r="H132" i="142"/>
  <c r="F133" i="142"/>
  <c r="G133" i="142"/>
  <c r="H133" i="142"/>
  <c r="F134" i="142"/>
  <c r="G134" i="142"/>
  <c r="H134" i="142"/>
  <c r="F135" i="142"/>
  <c r="G135" i="142"/>
  <c r="H135" i="142"/>
  <c r="E124" i="142"/>
  <c r="F124" i="142"/>
  <c r="G124" i="142"/>
  <c r="H124" i="142"/>
  <c r="E109" i="142"/>
  <c r="F109" i="142"/>
  <c r="G109" i="142"/>
  <c r="H109" i="142"/>
  <c r="E110" i="142"/>
  <c r="F110" i="142"/>
  <c r="G110" i="142"/>
  <c r="H110" i="142"/>
  <c r="E111" i="142"/>
  <c r="F111" i="142"/>
  <c r="G111" i="142"/>
  <c r="H111" i="142"/>
  <c r="E112" i="142"/>
  <c r="F112" i="142"/>
  <c r="G112" i="142"/>
  <c r="H112" i="142"/>
  <c r="E113" i="142"/>
  <c r="F113" i="142"/>
  <c r="G113" i="142"/>
  <c r="H113" i="142"/>
  <c r="E114" i="142"/>
  <c r="F114" i="142"/>
  <c r="G114" i="142"/>
  <c r="H114" i="142"/>
  <c r="E115" i="142"/>
  <c r="F115" i="142"/>
  <c r="G115" i="142"/>
  <c r="H115" i="142"/>
  <c r="E116" i="142"/>
  <c r="F116" i="142"/>
  <c r="G116" i="142"/>
  <c r="H116" i="142"/>
  <c r="E117" i="142"/>
  <c r="F117" i="142"/>
  <c r="G117" i="142"/>
  <c r="H117" i="142"/>
  <c r="E118" i="142"/>
  <c r="F118" i="142"/>
  <c r="G118" i="142"/>
  <c r="H118" i="142"/>
  <c r="E119" i="142"/>
  <c r="F119" i="142"/>
  <c r="G119" i="142"/>
  <c r="H119" i="142"/>
  <c r="E108" i="142"/>
  <c r="F108" i="142"/>
  <c r="G108" i="142"/>
  <c r="H108" i="142"/>
  <c r="E102" i="142"/>
  <c r="F102" i="142"/>
  <c r="G102" i="142"/>
  <c r="H102" i="142"/>
  <c r="E103" i="142"/>
  <c r="F103" i="142"/>
  <c r="G103" i="142"/>
  <c r="H103" i="142"/>
  <c r="D103" i="142"/>
  <c r="D93" i="142"/>
  <c r="E93" i="142"/>
  <c r="F93" i="142"/>
  <c r="G93" i="142"/>
  <c r="H93" i="142"/>
  <c r="D94" i="142"/>
  <c r="E94" i="142"/>
  <c r="F94" i="142"/>
  <c r="G94" i="142"/>
  <c r="H94" i="142"/>
  <c r="D95" i="142"/>
  <c r="E95" i="142"/>
  <c r="F95" i="142"/>
  <c r="G95" i="142"/>
  <c r="H95" i="142"/>
  <c r="D96" i="142"/>
  <c r="E96" i="142"/>
  <c r="F96" i="142"/>
  <c r="G96" i="142"/>
  <c r="H96" i="142"/>
  <c r="D97" i="142"/>
  <c r="E97" i="142"/>
  <c r="F97" i="142"/>
  <c r="G97" i="142"/>
  <c r="H97" i="142"/>
  <c r="D98" i="142"/>
  <c r="E98" i="142"/>
  <c r="F98" i="142"/>
  <c r="G98" i="142"/>
  <c r="H98" i="142"/>
  <c r="D99" i="142"/>
  <c r="E99" i="142"/>
  <c r="F99" i="142"/>
  <c r="G99" i="142"/>
  <c r="H99" i="142"/>
  <c r="D100" i="142"/>
  <c r="E100" i="142"/>
  <c r="F100" i="142"/>
  <c r="G100" i="142"/>
  <c r="H100" i="142"/>
  <c r="D101" i="142"/>
  <c r="E101" i="142"/>
  <c r="F101" i="142"/>
  <c r="G101" i="142"/>
  <c r="H101" i="142"/>
  <c r="D102" i="142"/>
  <c r="D92" i="142"/>
  <c r="E92" i="142"/>
  <c r="F92" i="142"/>
  <c r="G92" i="142"/>
  <c r="H92" i="142"/>
  <c r="E77" i="142"/>
  <c r="F77" i="142"/>
  <c r="G77" i="142"/>
  <c r="H77" i="142"/>
  <c r="D78" i="142"/>
  <c r="E78" i="142"/>
  <c r="F78" i="142"/>
  <c r="G78" i="142"/>
  <c r="H78" i="142"/>
  <c r="D79" i="142"/>
  <c r="E79" i="142"/>
  <c r="F79" i="142"/>
  <c r="G79" i="142"/>
  <c r="H79" i="142"/>
  <c r="E80" i="142"/>
  <c r="F80" i="142"/>
  <c r="G80" i="142"/>
  <c r="H80" i="142"/>
  <c r="D81" i="142"/>
  <c r="E81" i="142"/>
  <c r="F81" i="142"/>
  <c r="G81" i="142"/>
  <c r="H81" i="142"/>
  <c r="D82" i="142"/>
  <c r="E82" i="142"/>
  <c r="F82" i="142"/>
  <c r="G82" i="142"/>
  <c r="H82" i="142"/>
  <c r="D83" i="142"/>
  <c r="E83" i="142"/>
  <c r="F83" i="142"/>
  <c r="G83" i="142"/>
  <c r="H83" i="142"/>
  <c r="D84" i="142"/>
  <c r="E84" i="142"/>
  <c r="F84" i="142"/>
  <c r="G84" i="142"/>
  <c r="H84" i="142"/>
  <c r="D85" i="142"/>
  <c r="E85" i="142"/>
  <c r="F85" i="142"/>
  <c r="G85" i="142"/>
  <c r="H85" i="142"/>
  <c r="D86" i="142"/>
  <c r="E86" i="142"/>
  <c r="F86" i="142"/>
  <c r="G86" i="142"/>
  <c r="H86" i="142"/>
  <c r="D87" i="142"/>
  <c r="E87" i="142"/>
  <c r="F87" i="142"/>
  <c r="G87" i="142"/>
  <c r="H87" i="142"/>
  <c r="D76" i="142"/>
  <c r="E76" i="142"/>
  <c r="F76" i="142"/>
  <c r="G76" i="142"/>
  <c r="H76" i="142"/>
  <c r="E61" i="142"/>
  <c r="F61" i="142"/>
  <c r="G61" i="142"/>
  <c r="H61" i="142"/>
  <c r="E62" i="142"/>
  <c r="F62" i="142"/>
  <c r="G62" i="142"/>
  <c r="H62" i="142"/>
  <c r="E63" i="142"/>
  <c r="F63" i="142"/>
  <c r="G63" i="142"/>
  <c r="H63" i="142"/>
  <c r="E64" i="142"/>
  <c r="F64" i="142"/>
  <c r="G64" i="142"/>
  <c r="H64" i="142"/>
  <c r="E65" i="142"/>
  <c r="F65" i="142"/>
  <c r="G65" i="142"/>
  <c r="H65" i="142"/>
  <c r="E66" i="142"/>
  <c r="F66" i="142"/>
  <c r="G66" i="142"/>
  <c r="H66" i="142"/>
  <c r="E67" i="142"/>
  <c r="F67" i="142"/>
  <c r="G67" i="142"/>
  <c r="H67" i="142"/>
  <c r="E68" i="142"/>
  <c r="F68" i="142"/>
  <c r="G68" i="142"/>
  <c r="H68" i="142"/>
  <c r="E69" i="142"/>
  <c r="F69" i="142"/>
  <c r="G69" i="142"/>
  <c r="H69" i="142"/>
  <c r="E70" i="142"/>
  <c r="F70" i="142"/>
  <c r="G70" i="142"/>
  <c r="H70" i="142"/>
  <c r="E71" i="142"/>
  <c r="F71" i="142"/>
  <c r="G71" i="142"/>
  <c r="H71" i="142"/>
  <c r="E60" i="142"/>
  <c r="F60" i="142"/>
  <c r="G60" i="142"/>
  <c r="H60" i="142"/>
  <c r="E45" i="142"/>
  <c r="F45" i="142"/>
  <c r="G45" i="142"/>
  <c r="H45" i="142"/>
  <c r="E46" i="142"/>
  <c r="F46" i="142"/>
  <c r="G46" i="142"/>
  <c r="H46" i="142"/>
  <c r="E47" i="142"/>
  <c r="F47" i="142"/>
  <c r="G47" i="142"/>
  <c r="H47" i="142"/>
  <c r="E48" i="142"/>
  <c r="F48" i="142"/>
  <c r="G48" i="142"/>
  <c r="H48" i="142"/>
  <c r="E49" i="142"/>
  <c r="F49" i="142"/>
  <c r="G49" i="142"/>
  <c r="H49" i="142"/>
  <c r="E50" i="142"/>
  <c r="F50" i="142"/>
  <c r="G50" i="142"/>
  <c r="H50" i="142"/>
  <c r="E51" i="142"/>
  <c r="F51" i="142"/>
  <c r="G51" i="142"/>
  <c r="H51" i="142"/>
  <c r="E52" i="142"/>
  <c r="F52" i="142"/>
  <c r="G52" i="142"/>
  <c r="H52" i="142"/>
  <c r="E53" i="142"/>
  <c r="F53" i="142"/>
  <c r="G53" i="142"/>
  <c r="H53" i="142"/>
  <c r="E54" i="142"/>
  <c r="F54" i="142"/>
  <c r="G54" i="142"/>
  <c r="H54" i="142"/>
  <c r="E55" i="142"/>
  <c r="F55" i="142"/>
  <c r="G55" i="142"/>
  <c r="H55" i="142"/>
  <c r="E44" i="142"/>
  <c r="F44" i="142"/>
  <c r="G44" i="142"/>
  <c r="H44" i="142"/>
  <c r="D29" i="142"/>
  <c r="E29" i="142"/>
  <c r="F29" i="142"/>
  <c r="G29" i="142"/>
  <c r="H29" i="142"/>
  <c r="D30" i="142"/>
  <c r="E30" i="142"/>
  <c r="F30" i="142"/>
  <c r="G30" i="142"/>
  <c r="H30" i="142"/>
  <c r="D31" i="142"/>
  <c r="E31" i="142"/>
  <c r="F31" i="142"/>
  <c r="G31" i="142"/>
  <c r="H31" i="142"/>
  <c r="D32" i="142"/>
  <c r="E32" i="142"/>
  <c r="F32" i="142"/>
  <c r="G32" i="142"/>
  <c r="H32" i="142"/>
  <c r="D33" i="142"/>
  <c r="E33" i="142"/>
  <c r="F33" i="142"/>
  <c r="G33" i="142"/>
  <c r="H33" i="142"/>
  <c r="D34" i="142"/>
  <c r="E34" i="142"/>
  <c r="F34" i="142"/>
  <c r="G34" i="142"/>
  <c r="H34" i="142"/>
  <c r="D35" i="142"/>
  <c r="E35" i="142"/>
  <c r="F35" i="142"/>
  <c r="G35" i="142"/>
  <c r="H35" i="142"/>
  <c r="D36" i="142"/>
  <c r="E36" i="142"/>
  <c r="F36" i="142"/>
  <c r="G36" i="142"/>
  <c r="H36" i="142"/>
  <c r="D37" i="142"/>
  <c r="E37" i="142"/>
  <c r="F37" i="142"/>
  <c r="G37" i="142"/>
  <c r="H37" i="142"/>
  <c r="D38" i="142"/>
  <c r="E38" i="142"/>
  <c r="F38" i="142"/>
  <c r="G38" i="142"/>
  <c r="H38" i="142"/>
  <c r="D39" i="142"/>
  <c r="E39" i="142"/>
  <c r="F39" i="142"/>
  <c r="G39" i="142"/>
  <c r="H39" i="142"/>
  <c r="D28" i="142"/>
  <c r="E28" i="142"/>
  <c r="F28" i="142"/>
  <c r="G28" i="142"/>
  <c r="H28" i="142"/>
  <c r="B52" i="190"/>
  <c r="C52" i="190" s="1"/>
  <c r="B53" i="190"/>
  <c r="B54" i="190"/>
  <c r="B55" i="190"/>
  <c r="C55" i="190" s="1"/>
  <c r="B56" i="190"/>
  <c r="C56" i="190" s="1"/>
  <c r="B57" i="190"/>
  <c r="B58" i="190"/>
  <c r="B59" i="190"/>
  <c r="C59" i="190" s="1"/>
  <c r="B60" i="190"/>
  <c r="C60" i="190" s="1"/>
  <c r="B61" i="190"/>
  <c r="B62" i="190"/>
  <c r="B51" i="190"/>
  <c r="C51" i="190" s="1"/>
  <c r="J36" i="190"/>
  <c r="O36" i="190" s="1"/>
  <c r="J37" i="190"/>
  <c r="O37" i="190" s="1"/>
  <c r="J38" i="190"/>
  <c r="O38" i="190" s="1"/>
  <c r="J39" i="190"/>
  <c r="O39" i="190" s="1"/>
  <c r="J40" i="190"/>
  <c r="N40" i="190" s="1"/>
  <c r="J41" i="190"/>
  <c r="N41" i="190" s="1"/>
  <c r="J42" i="190"/>
  <c r="N42" i="190" s="1"/>
  <c r="J43" i="190"/>
  <c r="J44" i="190"/>
  <c r="O44" i="190" s="1"/>
  <c r="J45" i="190"/>
  <c r="O45" i="190" s="1"/>
  <c r="J46" i="190"/>
  <c r="O46" i="190" s="1"/>
  <c r="J47" i="190"/>
  <c r="O47" i="190" s="1"/>
  <c r="B36" i="190"/>
  <c r="F36" i="190" s="1"/>
  <c r="B37" i="190"/>
  <c r="F37" i="190" s="1"/>
  <c r="B38" i="190"/>
  <c r="F38" i="190" s="1"/>
  <c r="B39" i="190"/>
  <c r="G39" i="190" s="1"/>
  <c r="B40" i="190"/>
  <c r="G40" i="190" s="1"/>
  <c r="B41" i="190"/>
  <c r="G41" i="190" s="1"/>
  <c r="B42" i="190"/>
  <c r="G42" i="190" s="1"/>
  <c r="B43" i="190"/>
  <c r="G43" i="190" s="1"/>
  <c r="B44" i="190"/>
  <c r="F44" i="190" s="1"/>
  <c r="B45" i="190"/>
  <c r="F45" i="190" s="1"/>
  <c r="B46" i="190"/>
  <c r="F46" i="190" s="1"/>
  <c r="B47" i="190"/>
  <c r="G47" i="190" s="1"/>
  <c r="J21" i="190"/>
  <c r="O21" i="190" s="1"/>
  <c r="N22" i="190"/>
  <c r="N23" i="190"/>
  <c r="N24" i="190"/>
  <c r="O25" i="190"/>
  <c r="O26" i="190"/>
  <c r="O27" i="190"/>
  <c r="O28" i="190"/>
  <c r="O29" i="190"/>
  <c r="N30" i="190"/>
  <c r="N31" i="190"/>
  <c r="N32" i="190"/>
  <c r="B21" i="190"/>
  <c r="E21" i="190" s="1"/>
  <c r="B22" i="190"/>
  <c r="E22" i="190" s="1"/>
  <c r="B23" i="190"/>
  <c r="E23" i="190" s="1"/>
  <c r="B24" i="190"/>
  <c r="E24" i="190" s="1"/>
  <c r="B25" i="190"/>
  <c r="F25" i="190" s="1"/>
  <c r="B26" i="190"/>
  <c r="E26" i="190" s="1"/>
  <c r="B27" i="190"/>
  <c r="F27" i="190" s="1"/>
  <c r="B28" i="190"/>
  <c r="E28" i="190" s="1"/>
  <c r="B29" i="190"/>
  <c r="E29" i="190" s="1"/>
  <c r="B30" i="190"/>
  <c r="G30" i="190" s="1"/>
  <c r="B31" i="190"/>
  <c r="E31" i="190" s="1"/>
  <c r="B32" i="190"/>
  <c r="E32" i="190" s="1"/>
  <c r="J6" i="190"/>
  <c r="O6" i="190" s="1"/>
  <c r="J7" i="190"/>
  <c r="J8" i="190"/>
  <c r="O8" i="190" s="1"/>
  <c r="J9" i="190"/>
  <c r="J10" i="190"/>
  <c r="N10" i="190" s="1"/>
  <c r="J11" i="190"/>
  <c r="N11" i="190" s="1"/>
  <c r="J12" i="190"/>
  <c r="N12" i="190" s="1"/>
  <c r="J13" i="190"/>
  <c r="N13" i="190" s="1"/>
  <c r="J14" i="190"/>
  <c r="O14" i="190" s="1"/>
  <c r="J15" i="190"/>
  <c r="J16" i="190"/>
  <c r="O16" i="190" s="1"/>
  <c r="J17" i="190"/>
  <c r="M17" i="190" s="1"/>
  <c r="B6" i="190"/>
  <c r="E6" i="190" s="1"/>
  <c r="B7" i="190"/>
  <c r="G7" i="190" s="1"/>
  <c r="B8" i="190"/>
  <c r="G8" i="190" s="1"/>
  <c r="B9" i="190"/>
  <c r="G9" i="190" s="1"/>
  <c r="B10" i="190"/>
  <c r="G10" i="190" s="1"/>
  <c r="B11" i="190"/>
  <c r="F11" i="190" s="1"/>
  <c r="B12" i="190"/>
  <c r="E12" i="190" s="1"/>
  <c r="B13" i="190"/>
  <c r="F13" i="190" s="1"/>
  <c r="B14" i="190"/>
  <c r="E14" i="190" s="1"/>
  <c r="B15" i="190"/>
  <c r="G15" i="190" s="1"/>
  <c r="B16" i="190"/>
  <c r="G16" i="190" s="1"/>
  <c r="B17" i="190"/>
  <c r="G17" i="190" s="1"/>
  <c r="B168" i="234"/>
  <c r="B169" i="234"/>
  <c r="B170" i="234"/>
  <c r="B171" i="234"/>
  <c r="B172" i="234"/>
  <c r="B173" i="234"/>
  <c r="B174" i="234"/>
  <c r="B175" i="234"/>
  <c r="B176" i="234"/>
  <c r="B177" i="234"/>
  <c r="B178" i="234"/>
  <c r="B104" i="234"/>
  <c r="C104" i="234" s="1"/>
  <c r="B105" i="234"/>
  <c r="L105" i="234" s="1"/>
  <c r="B106" i="234"/>
  <c r="C106" i="234" s="1"/>
  <c r="B107" i="234"/>
  <c r="L107" i="234" s="1"/>
  <c r="B108" i="234"/>
  <c r="C108" i="234" s="1"/>
  <c r="B109" i="234"/>
  <c r="L109" i="234" s="1"/>
  <c r="B110" i="234"/>
  <c r="C110" i="234" s="1"/>
  <c r="B111" i="234"/>
  <c r="C111" i="234" s="1"/>
  <c r="B112" i="234"/>
  <c r="C112" i="234" s="1"/>
  <c r="B113" i="234"/>
  <c r="L113" i="234" s="1"/>
  <c r="B114" i="234"/>
  <c r="C114" i="234" s="1"/>
  <c r="B103" i="234"/>
  <c r="K103" i="234" s="1"/>
  <c r="B87" i="234"/>
  <c r="N87" i="234" s="1"/>
  <c r="B88" i="234"/>
  <c r="E88" i="234" s="1"/>
  <c r="B89" i="234"/>
  <c r="B90" i="234"/>
  <c r="B91" i="234"/>
  <c r="N91" i="234" s="1"/>
  <c r="B92" i="234"/>
  <c r="N92" i="234" s="1"/>
  <c r="B93" i="234"/>
  <c r="N93" i="234" s="1"/>
  <c r="B94" i="234"/>
  <c r="N94" i="234" s="1"/>
  <c r="B95" i="234"/>
  <c r="N95" i="234" s="1"/>
  <c r="B96" i="234"/>
  <c r="B97" i="234"/>
  <c r="L97" i="234" s="1"/>
  <c r="B98" i="234"/>
  <c r="E98" i="234" s="1"/>
  <c r="B71" i="234"/>
  <c r="B72" i="234"/>
  <c r="N72" i="234" s="1"/>
  <c r="B73" i="234"/>
  <c r="C73" i="234" s="1"/>
  <c r="B74" i="234"/>
  <c r="B75" i="234"/>
  <c r="C75" i="234" s="1"/>
  <c r="B76" i="234"/>
  <c r="F76" i="234" s="1"/>
  <c r="B77" i="234"/>
  <c r="K77" i="234" s="1"/>
  <c r="B78" i="234"/>
  <c r="N78" i="234" s="1"/>
  <c r="B79" i="234"/>
  <c r="B80" i="234"/>
  <c r="I80" i="234" s="1"/>
  <c r="B81" i="234"/>
  <c r="I81" i="234" s="1"/>
  <c r="B82" i="234"/>
  <c r="B55" i="234"/>
  <c r="F55" i="234" s="1"/>
  <c r="B56" i="234"/>
  <c r="I56" i="234" s="1"/>
  <c r="B57" i="234"/>
  <c r="B58" i="234"/>
  <c r="F58" i="234" s="1"/>
  <c r="B59" i="234"/>
  <c r="L59" i="234" s="1"/>
  <c r="B60" i="234"/>
  <c r="F60" i="234" s="1"/>
  <c r="B61" i="234"/>
  <c r="G61" i="234" s="1"/>
  <c r="B62" i="234"/>
  <c r="E62" i="234" s="1"/>
  <c r="B63" i="234"/>
  <c r="K63" i="234" s="1"/>
  <c r="B64" i="234"/>
  <c r="N64" i="234" s="1"/>
  <c r="B65" i="234"/>
  <c r="B66" i="234"/>
  <c r="B39" i="234"/>
  <c r="N39" i="234" s="1"/>
  <c r="B40" i="234"/>
  <c r="N40" i="234" s="1"/>
  <c r="B41" i="234"/>
  <c r="K41" i="234" s="1"/>
  <c r="B42" i="234"/>
  <c r="B43" i="234"/>
  <c r="B44" i="234"/>
  <c r="B45" i="234"/>
  <c r="B46" i="234"/>
  <c r="B47" i="234"/>
  <c r="N47" i="234" s="1"/>
  <c r="B48" i="234"/>
  <c r="N48" i="234" s="1"/>
  <c r="B49" i="234"/>
  <c r="D49" i="234" s="1"/>
  <c r="B50" i="234"/>
  <c r="M50" i="234" s="1"/>
  <c r="B23" i="234"/>
  <c r="B24" i="234"/>
  <c r="N24" i="234" s="1"/>
  <c r="B25" i="234"/>
  <c r="B26" i="234"/>
  <c r="B27" i="234"/>
  <c r="B28" i="234"/>
  <c r="B29" i="234"/>
  <c r="B30" i="234"/>
  <c r="B31" i="234"/>
  <c r="B32" i="234"/>
  <c r="N32" i="234" s="1"/>
  <c r="B33" i="234"/>
  <c r="M33" i="234" s="1"/>
  <c r="B34" i="234"/>
  <c r="B7" i="234"/>
  <c r="K7" i="234" s="1"/>
  <c r="B8" i="234"/>
  <c r="N8" i="234" s="1"/>
  <c r="B9" i="234"/>
  <c r="B10" i="234"/>
  <c r="B11" i="234"/>
  <c r="B12" i="234"/>
  <c r="B13" i="234"/>
  <c r="I13" i="234" s="1"/>
  <c r="B14" i="234"/>
  <c r="B15" i="234"/>
  <c r="B16" i="234"/>
  <c r="N16" i="234" s="1"/>
  <c r="B17" i="234"/>
  <c r="F17" i="234" s="1"/>
  <c r="B18" i="234"/>
  <c r="F18" i="234" s="1"/>
  <c r="B99" i="235"/>
  <c r="B100" i="235"/>
  <c r="B101" i="235"/>
  <c r="B102" i="235"/>
  <c r="B103" i="235"/>
  <c r="B104" i="235"/>
  <c r="B105" i="235"/>
  <c r="B106" i="235"/>
  <c r="B107" i="235"/>
  <c r="B108" i="235"/>
  <c r="B109" i="235"/>
  <c r="B98" i="235"/>
  <c r="F98" i="235" s="1"/>
  <c r="B84" i="235"/>
  <c r="C84" i="235" s="1"/>
  <c r="B85" i="235"/>
  <c r="I85" i="235" s="1"/>
  <c r="B86" i="235"/>
  <c r="C86" i="235" s="1"/>
  <c r="B87" i="235"/>
  <c r="I87" i="235" s="1"/>
  <c r="B88" i="235"/>
  <c r="C88" i="235" s="1"/>
  <c r="B89" i="235"/>
  <c r="I89" i="235" s="1"/>
  <c r="B90" i="235"/>
  <c r="C90" i="235" s="1"/>
  <c r="B91" i="235"/>
  <c r="Q91" i="235" s="1"/>
  <c r="B92" i="235"/>
  <c r="C92" i="235" s="1"/>
  <c r="B93" i="235"/>
  <c r="B94" i="235"/>
  <c r="C94" i="235" s="1"/>
  <c r="B83" i="235"/>
  <c r="V83" i="235" s="1"/>
  <c r="B69" i="235"/>
  <c r="C69" i="235" s="1"/>
  <c r="B70" i="235"/>
  <c r="C70" i="235" s="1"/>
  <c r="B71" i="235"/>
  <c r="I71" i="235" s="1"/>
  <c r="B72" i="235"/>
  <c r="Q72" i="235" s="1"/>
  <c r="B73" i="235"/>
  <c r="I73" i="235" s="1"/>
  <c r="B74" i="235"/>
  <c r="C74" i="235" s="1"/>
  <c r="B75" i="235"/>
  <c r="I75" i="235" s="1"/>
  <c r="B76" i="235"/>
  <c r="C76" i="235" s="1"/>
  <c r="B77" i="235"/>
  <c r="I77" i="235" s="1"/>
  <c r="B78" i="235"/>
  <c r="C78" i="235" s="1"/>
  <c r="B79" i="235"/>
  <c r="I79" i="235" s="1"/>
  <c r="B68" i="235"/>
  <c r="B53" i="235"/>
  <c r="V53" i="235" s="1"/>
  <c r="B54" i="235"/>
  <c r="G54" i="235" s="1"/>
  <c r="B55" i="235"/>
  <c r="Q55" i="235" s="1"/>
  <c r="B56" i="235"/>
  <c r="N56" i="235" s="1"/>
  <c r="B57" i="235"/>
  <c r="E57" i="235" s="1"/>
  <c r="B58" i="235"/>
  <c r="Q58" i="235" s="1"/>
  <c r="B59" i="235"/>
  <c r="V59" i="235" s="1"/>
  <c r="B60" i="235"/>
  <c r="O60" i="235" s="1"/>
  <c r="B61" i="235"/>
  <c r="Q61" i="235" s="1"/>
  <c r="B62" i="235"/>
  <c r="T62" i="235" s="1"/>
  <c r="B63" i="235"/>
  <c r="T63" i="235" s="1"/>
  <c r="B64" i="235"/>
  <c r="V64" i="235" s="1"/>
  <c r="B36" i="235"/>
  <c r="V36" i="235" s="1"/>
  <c r="B37" i="235"/>
  <c r="B38" i="235"/>
  <c r="O38" i="235" s="1"/>
  <c r="B39" i="235"/>
  <c r="B40" i="235"/>
  <c r="V40" i="235" s="1"/>
  <c r="B41" i="235"/>
  <c r="B42" i="235"/>
  <c r="T42" i="235" s="1"/>
  <c r="B43" i="235"/>
  <c r="N43" i="235" s="1"/>
  <c r="B44" i="235"/>
  <c r="Q44" i="235" s="1"/>
  <c r="B45" i="235"/>
  <c r="B46" i="235"/>
  <c r="O46" i="235" s="1"/>
  <c r="B47" i="235"/>
  <c r="V47" i="235" s="1"/>
  <c r="V22" i="235"/>
  <c r="V23" i="235"/>
  <c r="V24" i="235"/>
  <c r="V25" i="235"/>
  <c r="F27" i="235"/>
  <c r="G28" i="235"/>
  <c r="C29" i="235"/>
  <c r="V30" i="235"/>
  <c r="V31" i="235"/>
  <c r="V32" i="235"/>
  <c r="B21" i="235"/>
  <c r="C21" i="235" s="1"/>
  <c r="B9" i="235"/>
  <c r="G9" i="235" s="1"/>
  <c r="B10" i="235"/>
  <c r="B11" i="235"/>
  <c r="B12" i="235"/>
  <c r="F12" i="235" s="1"/>
  <c r="B13" i="235"/>
  <c r="K13" i="235" s="1"/>
  <c r="B14" i="235"/>
  <c r="V14" i="235" s="1"/>
  <c r="B15" i="235"/>
  <c r="G15" i="235" s="1"/>
  <c r="B16" i="235"/>
  <c r="G16" i="235" s="1"/>
  <c r="B17" i="235"/>
  <c r="G17" i="235" s="1"/>
  <c r="B7" i="235"/>
  <c r="G7" i="235" s="1"/>
  <c r="B8" i="235"/>
  <c r="G8" i="235" s="1"/>
  <c r="B6" i="235"/>
  <c r="V6" i="235" s="1"/>
  <c r="M48" i="102"/>
  <c r="L48" i="102"/>
  <c r="K48" i="102"/>
  <c r="J48" i="102"/>
  <c r="I48" i="102"/>
  <c r="H48" i="102"/>
  <c r="G48" i="102"/>
  <c r="F48" i="102"/>
  <c r="E48" i="102"/>
  <c r="D48" i="102"/>
  <c r="C48" i="102"/>
  <c r="B48" i="102"/>
  <c r="M47" i="102"/>
  <c r="L47" i="102"/>
  <c r="K47" i="102"/>
  <c r="J47" i="102"/>
  <c r="I47" i="102"/>
  <c r="H47" i="102"/>
  <c r="G47" i="102"/>
  <c r="F47" i="102"/>
  <c r="E47" i="102"/>
  <c r="D47" i="102"/>
  <c r="C47" i="102"/>
  <c r="B47" i="102"/>
  <c r="M46" i="102"/>
  <c r="L46" i="102"/>
  <c r="K46" i="102"/>
  <c r="J46" i="102"/>
  <c r="I46" i="102"/>
  <c r="H46" i="102"/>
  <c r="G46" i="102"/>
  <c r="F46" i="102"/>
  <c r="E46" i="102"/>
  <c r="D46" i="102"/>
  <c r="C46" i="102"/>
  <c r="B46" i="102"/>
  <c r="M45" i="102"/>
  <c r="L45" i="102"/>
  <c r="K45" i="102"/>
  <c r="J45" i="102"/>
  <c r="I45" i="102"/>
  <c r="H45" i="102"/>
  <c r="G45" i="102"/>
  <c r="F45" i="102"/>
  <c r="E45" i="102"/>
  <c r="D45" i="102"/>
  <c r="C45" i="102"/>
  <c r="B45" i="102"/>
  <c r="M44" i="102"/>
  <c r="L44" i="102"/>
  <c r="K44" i="102"/>
  <c r="J44" i="102"/>
  <c r="I44" i="102"/>
  <c r="H44" i="102"/>
  <c r="G44" i="102"/>
  <c r="F44" i="102"/>
  <c r="E44" i="102"/>
  <c r="D44" i="102"/>
  <c r="C44" i="102"/>
  <c r="B44" i="102"/>
  <c r="M43" i="102"/>
  <c r="L43" i="102"/>
  <c r="K43" i="102"/>
  <c r="J43" i="102"/>
  <c r="I43" i="102"/>
  <c r="H43" i="102"/>
  <c r="G43" i="102"/>
  <c r="F43" i="102"/>
  <c r="E43" i="102"/>
  <c r="D43" i="102"/>
  <c r="C43" i="102"/>
  <c r="B43" i="102"/>
  <c r="M42" i="102"/>
  <c r="L42" i="102"/>
  <c r="K42" i="102"/>
  <c r="J42" i="102"/>
  <c r="I42" i="102"/>
  <c r="H42" i="102"/>
  <c r="G42" i="102"/>
  <c r="F42" i="102"/>
  <c r="E42" i="102"/>
  <c r="D42" i="102"/>
  <c r="C42" i="102"/>
  <c r="B42" i="102"/>
  <c r="M33" i="102"/>
  <c r="L33" i="102"/>
  <c r="K33" i="102"/>
  <c r="J33" i="102"/>
  <c r="I33" i="102"/>
  <c r="H33" i="102"/>
  <c r="G33" i="102"/>
  <c r="F33" i="102"/>
  <c r="E33" i="102"/>
  <c r="D33" i="102"/>
  <c r="C33" i="102"/>
  <c r="B33" i="102"/>
  <c r="J32" i="102"/>
  <c r="I32" i="102"/>
  <c r="D32" i="102"/>
  <c r="C32" i="102"/>
  <c r="M31" i="102"/>
  <c r="L31" i="102"/>
  <c r="K31" i="102"/>
  <c r="J31" i="102"/>
  <c r="I31" i="102"/>
  <c r="H31" i="102"/>
  <c r="G31" i="102"/>
  <c r="F31" i="102"/>
  <c r="E31" i="102"/>
  <c r="D31" i="102"/>
  <c r="C31" i="102"/>
  <c r="B31" i="102"/>
  <c r="M30" i="102"/>
  <c r="L30" i="102"/>
  <c r="K30" i="102"/>
  <c r="J30" i="102"/>
  <c r="I30" i="102"/>
  <c r="H30" i="102"/>
  <c r="G30" i="102"/>
  <c r="F30" i="102"/>
  <c r="E30" i="102"/>
  <c r="D30" i="102"/>
  <c r="C30" i="102"/>
  <c r="B30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M27" i="102"/>
  <c r="L27" i="102"/>
  <c r="K27" i="102"/>
  <c r="J27" i="102"/>
  <c r="I27" i="102"/>
  <c r="H27" i="102"/>
  <c r="G27" i="102"/>
  <c r="F27" i="102"/>
  <c r="E27" i="102"/>
  <c r="D27" i="102"/>
  <c r="C27" i="102"/>
  <c r="B27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M11" i="102"/>
  <c r="L11" i="102"/>
  <c r="K11" i="102"/>
  <c r="J11" i="102"/>
  <c r="I11" i="102"/>
  <c r="H11" i="102"/>
  <c r="G11" i="102"/>
  <c r="F11" i="102"/>
  <c r="E11" i="102"/>
  <c r="D11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BG295" i="142"/>
  <c r="BG294" i="142"/>
  <c r="BG293" i="142"/>
  <c r="BG292" i="142"/>
  <c r="BG291" i="142"/>
  <c r="BG290" i="142"/>
  <c r="BG289" i="142"/>
  <c r="BG288" i="142"/>
  <c r="BG287" i="142"/>
  <c r="BG286" i="142"/>
  <c r="BG285" i="142"/>
  <c r="BG284" i="142"/>
  <c r="BG279" i="142"/>
  <c r="BG278" i="142"/>
  <c r="BG277" i="142"/>
  <c r="BG276" i="142"/>
  <c r="BG275" i="142"/>
  <c r="BG274" i="142"/>
  <c r="BG273" i="142"/>
  <c r="BG272" i="142"/>
  <c r="BG271" i="142"/>
  <c r="BG270" i="142"/>
  <c r="BG269" i="142"/>
  <c r="BG268" i="142"/>
  <c r="BG263" i="142"/>
  <c r="BG262" i="142"/>
  <c r="BG261" i="142"/>
  <c r="BG260" i="142"/>
  <c r="BG259" i="142"/>
  <c r="BG258" i="142"/>
  <c r="BG257" i="142"/>
  <c r="BG256" i="142"/>
  <c r="BG255" i="142"/>
  <c r="BG254" i="142"/>
  <c r="BG253" i="142"/>
  <c r="BG252" i="142"/>
  <c r="BG172" i="142"/>
  <c r="BG173" i="142" s="1"/>
  <c r="BG174" i="142" s="1"/>
  <c r="BG175" i="142" s="1"/>
  <c r="BG176" i="142" s="1"/>
  <c r="BG177" i="142" s="1"/>
  <c r="BG178" i="142" s="1"/>
  <c r="BG179" i="142" s="1"/>
  <c r="BG180" i="142" s="1"/>
  <c r="BG181" i="142" s="1"/>
  <c r="BG182" i="142" s="1"/>
  <c r="BG183" i="142" s="1"/>
  <c r="BG156" i="142"/>
  <c r="BG157" i="142" s="1"/>
  <c r="BG158" i="142" s="1"/>
  <c r="BG159" i="142" s="1"/>
  <c r="BG160" i="142" s="1"/>
  <c r="BG161" i="142" s="1"/>
  <c r="BG162" i="142" s="1"/>
  <c r="BG163" i="142" s="1"/>
  <c r="BG164" i="142" s="1"/>
  <c r="BG165" i="142" s="1"/>
  <c r="BG166" i="142" s="1"/>
  <c r="BG167" i="142" s="1"/>
  <c r="B52" i="189"/>
  <c r="B57" i="189"/>
  <c r="C57" i="189" s="1"/>
  <c r="B58" i="189"/>
  <c r="BG124" i="142"/>
  <c r="BG125" i="142" s="1"/>
  <c r="BG126" i="142" s="1"/>
  <c r="BG127" i="142" s="1"/>
  <c r="BG128" i="142" s="1"/>
  <c r="BG129" i="142" s="1"/>
  <c r="BG130" i="142" s="1"/>
  <c r="BG131" i="142" s="1"/>
  <c r="BG132" i="142" s="1"/>
  <c r="BG133" i="142" s="1"/>
  <c r="BG134" i="142" s="1"/>
  <c r="BG135" i="142" s="1"/>
  <c r="D45" i="142"/>
  <c r="D46" i="142"/>
  <c r="D47" i="142"/>
  <c r="D48" i="142"/>
  <c r="D49" i="142"/>
  <c r="D50" i="142"/>
  <c r="D51" i="142"/>
  <c r="D52" i="142"/>
  <c r="D53" i="142"/>
  <c r="D54" i="142"/>
  <c r="D55" i="142"/>
  <c r="D60" i="142"/>
  <c r="D61" i="142"/>
  <c r="D62" i="142"/>
  <c r="D63" i="142"/>
  <c r="D64" i="142"/>
  <c r="D65" i="142"/>
  <c r="D66" i="142"/>
  <c r="D67" i="142"/>
  <c r="D68" i="142"/>
  <c r="D69" i="142"/>
  <c r="D70" i="142"/>
  <c r="D71" i="142"/>
  <c r="D77" i="142"/>
  <c r="D80" i="142"/>
  <c r="E135" i="142"/>
  <c r="E151" i="142"/>
  <c r="E167" i="142"/>
  <c r="E183" i="142"/>
  <c r="E199" i="142"/>
  <c r="E32" i="102"/>
  <c r="H32" i="102"/>
  <c r="M32" i="102"/>
  <c r="AY295" i="142"/>
  <c r="AQ295" i="142"/>
  <c r="S295" i="142"/>
  <c r="AA295" i="142"/>
  <c r="AI295" i="142"/>
  <c r="K295" i="142"/>
  <c r="AY294" i="142"/>
  <c r="AQ294" i="142"/>
  <c r="S294" i="142"/>
  <c r="AA294" i="142"/>
  <c r="AI294" i="142"/>
  <c r="K294" i="142"/>
  <c r="AY293" i="142"/>
  <c r="AQ293" i="142"/>
  <c r="S293" i="142"/>
  <c r="AA293" i="142"/>
  <c r="AI293" i="142"/>
  <c r="K293" i="142"/>
  <c r="AY292" i="142"/>
  <c r="AQ292" i="142"/>
  <c r="S292" i="142"/>
  <c r="AA292" i="142"/>
  <c r="AI292" i="142"/>
  <c r="K292" i="142"/>
  <c r="AY291" i="142"/>
  <c r="AQ291" i="142"/>
  <c r="S291" i="142"/>
  <c r="AA291" i="142"/>
  <c r="AI291" i="142"/>
  <c r="K291" i="142"/>
  <c r="AY290" i="142"/>
  <c r="AQ290" i="142"/>
  <c r="S290" i="142"/>
  <c r="AA290" i="142"/>
  <c r="AI290" i="142"/>
  <c r="K290" i="142"/>
  <c r="AY289" i="142"/>
  <c r="AQ289" i="142"/>
  <c r="S289" i="142"/>
  <c r="AA289" i="142"/>
  <c r="AI289" i="142"/>
  <c r="K289" i="142"/>
  <c r="AY288" i="142"/>
  <c r="AQ288" i="142"/>
  <c r="S288" i="142"/>
  <c r="AA288" i="142"/>
  <c r="AI288" i="142"/>
  <c r="K288" i="142"/>
  <c r="AY287" i="142"/>
  <c r="AQ287" i="142"/>
  <c r="S287" i="142"/>
  <c r="AA287" i="142"/>
  <c r="AI287" i="142"/>
  <c r="K287" i="142"/>
  <c r="AY286" i="142"/>
  <c r="AQ286" i="142"/>
  <c r="S286" i="142"/>
  <c r="AA286" i="142"/>
  <c r="AI286" i="142"/>
  <c r="K286" i="142"/>
  <c r="AY285" i="142"/>
  <c r="AQ285" i="142"/>
  <c r="S285" i="142"/>
  <c r="AA285" i="142"/>
  <c r="AI285" i="142"/>
  <c r="K285" i="142"/>
  <c r="AY284" i="142"/>
  <c r="AQ284" i="142"/>
  <c r="S284" i="142"/>
  <c r="AA284" i="142"/>
  <c r="AI284" i="142"/>
  <c r="K284" i="142"/>
  <c r="AY279" i="142"/>
  <c r="AQ279" i="142"/>
  <c r="S279" i="142"/>
  <c r="AA279" i="142"/>
  <c r="AI279" i="142"/>
  <c r="K279" i="142"/>
  <c r="AY278" i="142"/>
  <c r="AQ278" i="142"/>
  <c r="S278" i="142"/>
  <c r="AA278" i="142"/>
  <c r="AI278" i="142"/>
  <c r="K278" i="142"/>
  <c r="AY277" i="142"/>
  <c r="AQ277" i="142"/>
  <c r="S277" i="142"/>
  <c r="AA277" i="142"/>
  <c r="AI277" i="142"/>
  <c r="K277" i="142"/>
  <c r="AY276" i="142"/>
  <c r="AQ276" i="142"/>
  <c r="S276" i="142"/>
  <c r="AA276" i="142"/>
  <c r="AI276" i="142"/>
  <c r="K276" i="142"/>
  <c r="AY275" i="142"/>
  <c r="AQ275" i="142"/>
  <c r="S275" i="142"/>
  <c r="AA275" i="142"/>
  <c r="AI275" i="142"/>
  <c r="K275" i="142"/>
  <c r="AY274" i="142"/>
  <c r="AQ274" i="142"/>
  <c r="S274" i="142"/>
  <c r="AA274" i="142"/>
  <c r="AI274" i="142"/>
  <c r="K274" i="142"/>
  <c r="AY273" i="142"/>
  <c r="AQ273" i="142"/>
  <c r="S273" i="142"/>
  <c r="AA273" i="142"/>
  <c r="AI273" i="142"/>
  <c r="K273" i="142"/>
  <c r="AY272" i="142"/>
  <c r="AQ272" i="142"/>
  <c r="S272" i="142"/>
  <c r="AA272" i="142"/>
  <c r="AI272" i="142"/>
  <c r="K272" i="142"/>
  <c r="AY271" i="142"/>
  <c r="AQ271" i="142"/>
  <c r="S271" i="142"/>
  <c r="AA271" i="142"/>
  <c r="AI271" i="142"/>
  <c r="K271" i="142"/>
  <c r="AY270" i="142"/>
  <c r="S270" i="142"/>
  <c r="AA270" i="142"/>
  <c r="AI270" i="142"/>
  <c r="K270" i="142"/>
  <c r="AY269" i="142"/>
  <c r="AQ269" i="142"/>
  <c r="S269" i="142"/>
  <c r="AA269" i="142"/>
  <c r="AI269" i="142"/>
  <c r="K269" i="142"/>
  <c r="AY268" i="142"/>
  <c r="AQ268" i="142"/>
  <c r="AA268" i="142"/>
  <c r="AI268" i="142"/>
  <c r="K268" i="142"/>
  <c r="AY263" i="142"/>
  <c r="AQ263" i="142"/>
  <c r="S263" i="142"/>
  <c r="AA263" i="142"/>
  <c r="AI263" i="142"/>
  <c r="K263" i="142"/>
  <c r="AY262" i="142"/>
  <c r="AQ262" i="142"/>
  <c r="S262" i="142"/>
  <c r="AA262" i="142"/>
  <c r="AI262" i="142"/>
  <c r="K262" i="142"/>
  <c r="AY261" i="142"/>
  <c r="AQ261" i="142"/>
  <c r="S261" i="142"/>
  <c r="AA261" i="142"/>
  <c r="AI261" i="142"/>
  <c r="K261" i="142"/>
  <c r="AY260" i="142"/>
  <c r="AQ260" i="142"/>
  <c r="S260" i="142"/>
  <c r="AA260" i="142"/>
  <c r="AI260" i="142"/>
  <c r="K260" i="142"/>
  <c r="AY259" i="142"/>
  <c r="AQ259" i="142"/>
  <c r="S259" i="142"/>
  <c r="AA259" i="142"/>
  <c r="AI259" i="142"/>
  <c r="K259" i="142"/>
  <c r="AY258" i="142"/>
  <c r="AQ258" i="142"/>
  <c r="S258" i="142"/>
  <c r="AA258" i="142"/>
  <c r="AI258" i="142"/>
  <c r="K258" i="142"/>
  <c r="AY257" i="142"/>
  <c r="AQ257" i="142"/>
  <c r="S257" i="142"/>
  <c r="AA257" i="142"/>
  <c r="AI257" i="142"/>
  <c r="K257" i="142"/>
  <c r="AY256" i="142"/>
  <c r="AQ256" i="142"/>
  <c r="S256" i="142"/>
  <c r="AA256" i="142"/>
  <c r="AI256" i="142"/>
  <c r="K256" i="142"/>
  <c r="AY255" i="142"/>
  <c r="AQ255" i="142"/>
  <c r="S255" i="142"/>
  <c r="AA255" i="142"/>
  <c r="AI255" i="142"/>
  <c r="K255" i="142"/>
  <c r="AY254" i="142"/>
  <c r="AQ254" i="142"/>
  <c r="S254" i="142"/>
  <c r="AA254" i="142"/>
  <c r="AI254" i="142"/>
  <c r="K254" i="142"/>
  <c r="AY253" i="142"/>
  <c r="AQ253" i="142"/>
  <c r="S253" i="142"/>
  <c r="AA253" i="142"/>
  <c r="AI253" i="142"/>
  <c r="K253" i="142"/>
  <c r="AY252" i="142"/>
  <c r="AQ252" i="142"/>
  <c r="S252" i="142"/>
  <c r="AA252" i="142"/>
  <c r="AI252" i="142"/>
  <c r="K252" i="142"/>
  <c r="AY172" i="142"/>
  <c r="AY173" i="142" s="1"/>
  <c r="AY174" i="142" s="1"/>
  <c r="AY175" i="142" s="1"/>
  <c r="AY176" i="142" s="1"/>
  <c r="AY177" i="142" s="1"/>
  <c r="AY178" i="142" s="1"/>
  <c r="AY179" i="142" s="1"/>
  <c r="AY180" i="142" s="1"/>
  <c r="AY181" i="142" s="1"/>
  <c r="AY182" i="142" s="1"/>
  <c r="AY183" i="142" s="1"/>
  <c r="AQ172" i="142"/>
  <c r="AQ173" i="142" s="1"/>
  <c r="AQ174" i="142" s="1"/>
  <c r="AQ175" i="142" s="1"/>
  <c r="AQ176" i="142" s="1"/>
  <c r="AQ177" i="142" s="1"/>
  <c r="AQ178" i="142" s="1"/>
  <c r="AQ179" i="142" s="1"/>
  <c r="S172" i="142"/>
  <c r="S173" i="142" s="1"/>
  <c r="S174" i="142" s="1"/>
  <c r="S175" i="142" s="1"/>
  <c r="S176" i="142" s="1"/>
  <c r="S177" i="142" s="1"/>
  <c r="S178" i="142" s="1"/>
  <c r="S179" i="142" s="1"/>
  <c r="S180" i="142" s="1"/>
  <c r="S181" i="142" s="1"/>
  <c r="S182" i="142" s="1"/>
  <c r="S183" i="142" s="1"/>
  <c r="AA172" i="142"/>
  <c r="AA173" i="142" s="1"/>
  <c r="AA174" i="142" s="1"/>
  <c r="AA175" i="142" s="1"/>
  <c r="AA176" i="142" s="1"/>
  <c r="AA177" i="142" s="1"/>
  <c r="AA178" i="142" s="1"/>
  <c r="AA179" i="142" s="1"/>
  <c r="AA180" i="142" s="1"/>
  <c r="AA181" i="142" s="1"/>
  <c r="AA182" i="142" s="1"/>
  <c r="AA183" i="142" s="1"/>
  <c r="AI172" i="142"/>
  <c r="AI173" i="142" s="1"/>
  <c r="AI174" i="142" s="1"/>
  <c r="AI175" i="142" s="1"/>
  <c r="AI176" i="142" s="1"/>
  <c r="AI177" i="142" s="1"/>
  <c r="AI178" i="142" s="1"/>
  <c r="AI179" i="142" s="1"/>
  <c r="AI180" i="142" s="1"/>
  <c r="K172" i="142"/>
  <c r="AY156" i="142"/>
  <c r="AY157" i="142" s="1"/>
  <c r="AY158" i="142" s="1"/>
  <c r="AY159" i="142" s="1"/>
  <c r="AY160" i="142" s="1"/>
  <c r="AY161" i="142" s="1"/>
  <c r="AY162" i="142" s="1"/>
  <c r="AY163" i="142" s="1"/>
  <c r="AY164" i="142" s="1"/>
  <c r="AY165" i="142" s="1"/>
  <c r="AY166" i="142" s="1"/>
  <c r="AY167" i="142" s="1"/>
  <c r="AQ156" i="142"/>
  <c r="AQ157" i="142" s="1"/>
  <c r="AQ158" i="142" s="1"/>
  <c r="AQ159" i="142" s="1"/>
  <c r="AQ160" i="142" s="1"/>
  <c r="AQ161" i="142" s="1"/>
  <c r="AQ162" i="142" s="1"/>
  <c r="AQ163" i="142" s="1"/>
  <c r="AQ164" i="142" s="1"/>
  <c r="AQ165" i="142" s="1"/>
  <c r="AQ166" i="142" s="1"/>
  <c r="AQ167" i="142" s="1"/>
  <c r="S156" i="142"/>
  <c r="S157" i="142" s="1"/>
  <c r="S158" i="142" s="1"/>
  <c r="S159" i="142" s="1"/>
  <c r="S160" i="142" s="1"/>
  <c r="S161" i="142" s="1"/>
  <c r="S162" i="142" s="1"/>
  <c r="S163" i="142" s="1"/>
  <c r="S164" i="142" s="1"/>
  <c r="S165" i="142" s="1"/>
  <c r="S166" i="142" s="1"/>
  <c r="S167" i="142" s="1"/>
  <c r="AA156" i="142"/>
  <c r="AA157" i="142" s="1"/>
  <c r="AA158" i="142" s="1"/>
  <c r="AA159" i="142" s="1"/>
  <c r="AA160" i="142" s="1"/>
  <c r="AA161" i="142" s="1"/>
  <c r="AA162" i="142" s="1"/>
  <c r="AA163" i="142" s="1"/>
  <c r="AA164" i="142" s="1"/>
  <c r="AA165" i="142" s="1"/>
  <c r="AA166" i="142" s="1"/>
  <c r="AA167" i="142" s="1"/>
  <c r="AI156" i="142"/>
  <c r="AI157" i="142" s="1"/>
  <c r="AI158" i="142" s="1"/>
  <c r="AI159" i="142" s="1"/>
  <c r="AI160" i="142" s="1"/>
  <c r="AI161" i="142" s="1"/>
  <c r="AI162" i="142" s="1"/>
  <c r="AI163" i="142" s="1"/>
  <c r="AI164" i="142" s="1"/>
  <c r="K156" i="142"/>
  <c r="AQ110" i="142"/>
  <c r="B38" i="189" s="1"/>
  <c r="C38" i="189" s="1"/>
  <c r="AQ109" i="142"/>
  <c r="B37" i="189" s="1"/>
  <c r="C37" i="189" s="1"/>
  <c r="K114" i="142"/>
  <c r="AQ112" i="142"/>
  <c r="B40" i="189" s="1"/>
  <c r="C40" i="189" s="1"/>
  <c r="AA111" i="142"/>
  <c r="B24" i="189" s="1"/>
  <c r="C24" i="189" s="1"/>
  <c r="AY140" i="142"/>
  <c r="AY141" i="142" s="1"/>
  <c r="AY142" i="142" s="1"/>
  <c r="AY143" i="142" s="1"/>
  <c r="AY144" i="142" s="1"/>
  <c r="AY145" i="142" s="1"/>
  <c r="AY146" i="142" s="1"/>
  <c r="AY147" i="142" s="1"/>
  <c r="AY148" i="142" s="1"/>
  <c r="AY149" i="142" s="1"/>
  <c r="AY150" i="142" s="1"/>
  <c r="AY151" i="142" s="1"/>
  <c r="AQ140" i="142"/>
  <c r="AQ141" i="142" s="1"/>
  <c r="AQ142" i="142" s="1"/>
  <c r="AQ143" i="142" s="1"/>
  <c r="AQ144" i="142" s="1"/>
  <c r="AQ145" i="142" s="1"/>
  <c r="AQ146" i="142" s="1"/>
  <c r="AQ147" i="142" s="1"/>
  <c r="AQ148" i="142" s="1"/>
  <c r="AQ149" i="142" s="1"/>
  <c r="AQ150" i="142" s="1"/>
  <c r="AQ151" i="142" s="1"/>
  <c r="S140" i="142"/>
  <c r="S141" i="142" s="1"/>
  <c r="S142" i="142" s="1"/>
  <c r="AA140" i="142"/>
  <c r="AA141" i="142" s="1"/>
  <c r="AA142" i="142" s="1"/>
  <c r="AA143" i="142" s="1"/>
  <c r="AA144" i="142" s="1"/>
  <c r="AA145" i="142" s="1"/>
  <c r="AA146" i="142" s="1"/>
  <c r="AA147" i="142" s="1"/>
  <c r="AA148" i="142" s="1"/>
  <c r="AA149" i="142" s="1"/>
  <c r="AA150" i="142" s="1"/>
  <c r="AA151" i="142" s="1"/>
  <c r="AI140" i="142"/>
  <c r="AI141" i="142" s="1"/>
  <c r="AI142" i="142" s="1"/>
  <c r="AI143" i="142" s="1"/>
  <c r="AI144" i="142" s="1"/>
  <c r="AI145" i="142" s="1"/>
  <c r="AI146" i="142" s="1"/>
  <c r="AI147" i="142" s="1"/>
  <c r="AI148" i="142" s="1"/>
  <c r="AI149" i="142" s="1"/>
  <c r="AI150" i="142" s="1"/>
  <c r="AI151" i="142" s="1"/>
  <c r="K140" i="142"/>
  <c r="AY119" i="142"/>
  <c r="J47" i="189" s="1"/>
  <c r="AY124" i="142"/>
  <c r="AY125" i="142" s="1"/>
  <c r="AY126" i="142" s="1"/>
  <c r="AY127" i="142" s="1"/>
  <c r="AY128" i="142" s="1"/>
  <c r="AY129" i="142" s="1"/>
  <c r="AY130" i="142" s="1"/>
  <c r="AY131" i="142" s="1"/>
  <c r="AY132" i="142" s="1"/>
  <c r="AY133" i="142" s="1"/>
  <c r="AY134" i="142" s="1"/>
  <c r="AY135" i="142" s="1"/>
  <c r="AQ124" i="142"/>
  <c r="AQ125" i="142" s="1"/>
  <c r="AQ126" i="142" s="1"/>
  <c r="AQ127" i="142" s="1"/>
  <c r="AQ128" i="142" s="1"/>
  <c r="AQ129" i="142" s="1"/>
  <c r="AQ130" i="142" s="1"/>
  <c r="AQ131" i="142" s="1"/>
  <c r="AQ132" i="142" s="1"/>
  <c r="AQ133" i="142" s="1"/>
  <c r="AQ134" i="142" s="1"/>
  <c r="AQ135" i="142" s="1"/>
  <c r="S124" i="142"/>
  <c r="AA124" i="142"/>
  <c r="AA125" i="142" s="1"/>
  <c r="AA126" i="142" s="1"/>
  <c r="AI124" i="142"/>
  <c r="AI125" i="142" s="1"/>
  <c r="AI126" i="142" s="1"/>
  <c r="AI127" i="142" s="1"/>
  <c r="AI128" i="142" s="1"/>
  <c r="AI129" i="142" s="1"/>
  <c r="AI130" i="142" s="1"/>
  <c r="AI131" i="142" s="1"/>
  <c r="AI132" i="142" s="1"/>
  <c r="AI133" i="142" s="1"/>
  <c r="AI134" i="142" s="1"/>
  <c r="AI135" i="142" s="1"/>
  <c r="K124" i="142"/>
  <c r="AA127" i="142" l="1"/>
  <c r="S143" i="142"/>
  <c r="D96" i="234"/>
  <c r="AQ180" i="142"/>
  <c r="AQ181" i="142" s="1"/>
  <c r="AQ182" i="142" s="1"/>
  <c r="AQ183" i="142" s="1"/>
  <c r="K157" i="142"/>
  <c r="K158" i="142" s="1"/>
  <c r="L8" i="235" s="1"/>
  <c r="K141" i="142"/>
  <c r="K173" i="142"/>
  <c r="E53" i="190"/>
  <c r="C53" i="190"/>
  <c r="D53" i="190" s="1"/>
  <c r="G62" i="190"/>
  <c r="C62" i="190"/>
  <c r="D62" i="190" s="1"/>
  <c r="E61" i="190"/>
  <c r="C61" i="190"/>
  <c r="D61" i="190" s="1"/>
  <c r="G58" i="190"/>
  <c r="C58" i="190"/>
  <c r="D58" i="190" s="1"/>
  <c r="E57" i="190"/>
  <c r="C57" i="190"/>
  <c r="D57" i="190" s="1"/>
  <c r="G54" i="190"/>
  <c r="C54" i="190"/>
  <c r="D54" i="190" s="1"/>
  <c r="AI181" i="142"/>
  <c r="P62" i="235" s="1"/>
  <c r="AI165" i="142"/>
  <c r="L62" i="235" s="1"/>
  <c r="D31" i="234"/>
  <c r="M15" i="234"/>
  <c r="M14" i="234"/>
  <c r="M30" i="234"/>
  <c r="M46" i="234"/>
  <c r="C52" i="189"/>
  <c r="D52" i="189" s="1"/>
  <c r="M45" i="234"/>
  <c r="M29" i="234"/>
  <c r="D57" i="234"/>
  <c r="D89" i="234"/>
  <c r="D183" i="142"/>
  <c r="M12" i="234"/>
  <c r="M11" i="234"/>
  <c r="M43" i="234"/>
  <c r="P41" i="235"/>
  <c r="K109" i="235"/>
  <c r="G109" i="235"/>
  <c r="F109" i="235"/>
  <c r="F108" i="235"/>
  <c r="G108" i="235"/>
  <c r="G100" i="235"/>
  <c r="F100" i="235"/>
  <c r="F107" i="235"/>
  <c r="G107" i="235"/>
  <c r="G99" i="235"/>
  <c r="F99" i="235"/>
  <c r="F106" i="235"/>
  <c r="G106" i="235"/>
  <c r="E101" i="235"/>
  <c r="G101" i="235"/>
  <c r="F101" i="235"/>
  <c r="J105" i="235"/>
  <c r="F105" i="235"/>
  <c r="G105" i="235"/>
  <c r="L104" i="235"/>
  <c r="F104" i="235"/>
  <c r="G104" i="235"/>
  <c r="O103" i="235"/>
  <c r="F103" i="235"/>
  <c r="G103" i="235"/>
  <c r="N102" i="235"/>
  <c r="F102" i="235"/>
  <c r="G102" i="235"/>
  <c r="M44" i="234"/>
  <c r="M28" i="234"/>
  <c r="F11" i="235"/>
  <c r="T68" i="235"/>
  <c r="G68" i="235"/>
  <c r="O80" i="333"/>
  <c r="C80" i="323"/>
  <c r="G80" i="323" s="1"/>
  <c r="M80" i="333"/>
  <c r="C80" i="321"/>
  <c r="G80" i="321" s="1"/>
  <c r="C80" i="319"/>
  <c r="G80" i="319" s="1"/>
  <c r="K80" i="333"/>
  <c r="C80" i="317"/>
  <c r="G80" i="317" s="1"/>
  <c r="I80" i="333"/>
  <c r="G80" i="333"/>
  <c r="C80" i="315"/>
  <c r="G80" i="315" s="1"/>
  <c r="E80" i="333"/>
  <c r="C80" i="313"/>
  <c r="G80" i="313" s="1"/>
  <c r="M27" i="234"/>
  <c r="C80" i="311"/>
  <c r="G80" i="311" s="1"/>
  <c r="C80" i="333"/>
  <c r="M10" i="234"/>
  <c r="M42" i="234"/>
  <c r="D26" i="234"/>
  <c r="D90" i="234"/>
  <c r="M9" i="234"/>
  <c r="H25" i="234"/>
  <c r="M64" i="234"/>
  <c r="H253" i="142"/>
  <c r="E90" i="234"/>
  <c r="F285" i="142"/>
  <c r="G59" i="190"/>
  <c r="M122" i="189"/>
  <c r="O122" i="189" s="1"/>
  <c r="O121" i="189"/>
  <c r="K11" i="190"/>
  <c r="L11" i="190" s="1"/>
  <c r="H97" i="234"/>
  <c r="M97" i="234"/>
  <c r="H76" i="234"/>
  <c r="M76" i="234"/>
  <c r="C98" i="234"/>
  <c r="H60" i="234"/>
  <c r="M60" i="234"/>
  <c r="C90" i="234"/>
  <c r="H73" i="234"/>
  <c r="M81" i="234"/>
  <c r="D98" i="234"/>
  <c r="I59" i="234"/>
  <c r="T71" i="235"/>
  <c r="C23" i="235"/>
  <c r="S62" i="235"/>
  <c r="L98" i="235"/>
  <c r="E87" i="234"/>
  <c r="M87" i="234"/>
  <c r="M95" i="234"/>
  <c r="C87" i="234"/>
  <c r="M14" i="190"/>
  <c r="E51" i="190"/>
  <c r="C89" i="234"/>
  <c r="L112" i="234"/>
  <c r="G51" i="190"/>
  <c r="C105" i="235"/>
  <c r="E102" i="235"/>
  <c r="E89" i="234"/>
  <c r="D23" i="234"/>
  <c r="C31" i="235"/>
  <c r="S39" i="235"/>
  <c r="V76" i="235"/>
  <c r="C92" i="234"/>
  <c r="N39" i="190"/>
  <c r="V70" i="235"/>
  <c r="P102" i="235"/>
  <c r="D95" i="234"/>
  <c r="F51" i="190"/>
  <c r="D59" i="190"/>
  <c r="J71" i="235"/>
  <c r="H87" i="234"/>
  <c r="E62" i="190"/>
  <c r="D290" i="142"/>
  <c r="D289" i="142"/>
  <c r="E255" i="142"/>
  <c r="H62" i="234"/>
  <c r="F68" i="235"/>
  <c r="J72" i="235"/>
  <c r="H83" i="235"/>
  <c r="J99" i="235"/>
  <c r="D94" i="234"/>
  <c r="M114" i="234"/>
  <c r="N6" i="190"/>
  <c r="E133" i="142"/>
  <c r="E164" i="142"/>
  <c r="D124" i="142"/>
  <c r="V78" i="235"/>
  <c r="K102" i="235"/>
  <c r="L29" i="234"/>
  <c r="C94" i="234"/>
  <c r="K114" i="234"/>
  <c r="K39" i="190"/>
  <c r="L39" i="190" s="1"/>
  <c r="E166" i="142"/>
  <c r="G272" i="142"/>
  <c r="J92" i="235"/>
  <c r="N107" i="235"/>
  <c r="F13" i="234"/>
  <c r="K110" i="234"/>
  <c r="C27" i="190"/>
  <c r="D27" i="190" s="1"/>
  <c r="E179" i="142"/>
  <c r="D257" i="142"/>
  <c r="H256" i="142"/>
  <c r="D274" i="142"/>
  <c r="E279" i="142"/>
  <c r="F273" i="142"/>
  <c r="E291" i="142"/>
  <c r="F294" i="142"/>
  <c r="G289" i="142"/>
  <c r="H292" i="142"/>
  <c r="D156" i="142"/>
  <c r="G32" i="102"/>
  <c r="I92" i="235"/>
  <c r="H107" i="235"/>
  <c r="N99" i="235"/>
  <c r="M7" i="234"/>
  <c r="L103" i="234"/>
  <c r="L108" i="234"/>
  <c r="C16" i="190"/>
  <c r="D16" i="190" s="1"/>
  <c r="G31" i="190"/>
  <c r="I103" i="235"/>
  <c r="N105" i="234"/>
  <c r="F10" i="190"/>
  <c r="I63" i="235"/>
  <c r="I101" i="235"/>
  <c r="P98" i="235"/>
  <c r="K32" i="102"/>
  <c r="D83" i="235"/>
  <c r="G76" i="234"/>
  <c r="M6" i="190"/>
  <c r="G257" i="142"/>
  <c r="E270" i="142"/>
  <c r="D172" i="142"/>
  <c r="D263" i="142"/>
  <c r="D256" i="142"/>
  <c r="D278" i="142"/>
  <c r="D273" i="142"/>
  <c r="D269" i="142"/>
  <c r="F24" i="235"/>
  <c r="K62" i="235"/>
  <c r="J78" i="235"/>
  <c r="E83" i="235"/>
  <c r="C107" i="235"/>
  <c r="E107" i="235"/>
  <c r="H102" i="235"/>
  <c r="I100" i="235"/>
  <c r="K103" i="235"/>
  <c r="M108" i="235"/>
  <c r="N98" i="235"/>
  <c r="P99" i="235"/>
  <c r="S99" i="235"/>
  <c r="N14" i="234"/>
  <c r="E61" i="234"/>
  <c r="L75" i="234"/>
  <c r="L91" i="234"/>
  <c r="M103" i="234"/>
  <c r="N113" i="234"/>
  <c r="F8" i="190"/>
  <c r="K13" i="190"/>
  <c r="L13" i="190" s="1"/>
  <c r="K47" i="190"/>
  <c r="L47" i="190" s="1"/>
  <c r="F62" i="190"/>
  <c r="F59" i="190"/>
  <c r="E150" i="142"/>
  <c r="E182" i="142"/>
  <c r="E263" i="142"/>
  <c r="F258" i="142"/>
  <c r="G261" i="142"/>
  <c r="E286" i="142"/>
  <c r="F289" i="142"/>
  <c r="G292" i="142"/>
  <c r="H295" i="142"/>
  <c r="D262" i="142"/>
  <c r="G277" i="142"/>
  <c r="H272" i="142"/>
  <c r="D268" i="142"/>
  <c r="D288" i="142"/>
  <c r="D284" i="142"/>
  <c r="H291" i="142"/>
  <c r="D261" i="142"/>
  <c r="H287" i="142"/>
  <c r="L32" i="102"/>
  <c r="O59" i="235"/>
  <c r="J83" i="235"/>
  <c r="C103" i="235"/>
  <c r="D103" i="235"/>
  <c r="J107" i="235"/>
  <c r="K100" i="235"/>
  <c r="M102" i="235"/>
  <c r="C95" i="234"/>
  <c r="C103" i="234"/>
  <c r="N111" i="234"/>
  <c r="M13" i="190"/>
  <c r="C44" i="190"/>
  <c r="D44" i="190" s="1"/>
  <c r="E148" i="142"/>
  <c r="E180" i="142"/>
  <c r="F254" i="142"/>
  <c r="D260" i="142"/>
  <c r="D254" i="142"/>
  <c r="D276" i="142"/>
  <c r="D272" i="142"/>
  <c r="D294" i="142"/>
  <c r="D287" i="142"/>
  <c r="M56" i="235"/>
  <c r="N103" i="234"/>
  <c r="E197" i="142"/>
  <c r="D255" i="142"/>
  <c r="D295" i="142"/>
  <c r="T61" i="235"/>
  <c r="P83" i="235"/>
  <c r="C102" i="235"/>
  <c r="D102" i="235"/>
  <c r="J102" i="235"/>
  <c r="K98" i="235"/>
  <c r="M100" i="235"/>
  <c r="O102" i="235"/>
  <c r="D17" i="234"/>
  <c r="D103" i="234"/>
  <c r="M111" i="234"/>
  <c r="L106" i="234"/>
  <c r="C36" i="190"/>
  <c r="F58" i="190"/>
  <c r="G55" i="190"/>
  <c r="D44" i="142"/>
  <c r="E131" i="142"/>
  <c r="E195" i="142"/>
  <c r="D259" i="142"/>
  <c r="H275" i="142"/>
  <c r="E271" i="142"/>
  <c r="D293" i="142"/>
  <c r="F286" i="142"/>
  <c r="E108" i="235"/>
  <c r="H100" i="235"/>
  <c r="O108" i="235"/>
  <c r="D277" i="142"/>
  <c r="F32" i="102"/>
  <c r="V29" i="235"/>
  <c r="I91" i="235"/>
  <c r="C100" i="235"/>
  <c r="I108" i="235"/>
  <c r="J100" i="235"/>
  <c r="L107" i="235"/>
  <c r="M98" i="235"/>
  <c r="O100" i="235"/>
  <c r="D13" i="234"/>
  <c r="D87" i="234"/>
  <c r="E103" i="234"/>
  <c r="L111" i="234"/>
  <c r="K106" i="234"/>
  <c r="N14" i="190"/>
  <c r="K22" i="190"/>
  <c r="L22" i="190" s="1"/>
  <c r="E58" i="190"/>
  <c r="F55" i="190"/>
  <c r="E134" i="142"/>
  <c r="E165" i="142"/>
  <c r="E198" i="142"/>
  <c r="H260" i="142"/>
  <c r="G258" i="142"/>
  <c r="G253" i="142"/>
  <c r="D275" i="142"/>
  <c r="D271" i="142"/>
  <c r="D292" i="142"/>
  <c r="D286" i="142"/>
  <c r="C108" i="235"/>
  <c r="K108" i="235"/>
  <c r="O13" i="190"/>
  <c r="E98" i="235"/>
  <c r="L102" i="235"/>
  <c r="G103" i="234"/>
  <c r="K111" i="234"/>
  <c r="F32" i="190"/>
  <c r="N27" i="190"/>
  <c r="E149" i="142"/>
  <c r="E181" i="142"/>
  <c r="E290" i="142"/>
  <c r="G288" i="142"/>
  <c r="H252" i="142"/>
  <c r="D258" i="142"/>
  <c r="D253" i="142"/>
  <c r="E274" i="142"/>
  <c r="D270" i="142"/>
  <c r="D291" i="142"/>
  <c r="D285" i="142"/>
  <c r="D108" i="235"/>
  <c r="M106" i="235"/>
  <c r="M63" i="234"/>
  <c r="E56" i="235"/>
  <c r="J94" i="235"/>
  <c r="C98" i="235"/>
  <c r="D98" i="235"/>
  <c r="O98" i="235"/>
  <c r="Q98" i="235"/>
  <c r="G30" i="234"/>
  <c r="C26" i="235"/>
  <c r="G59" i="235"/>
  <c r="C83" i="235"/>
  <c r="I94" i="235"/>
  <c r="C109" i="235"/>
  <c r="E109" i="235"/>
  <c r="G98" i="235"/>
  <c r="I102" i="235"/>
  <c r="J98" i="235"/>
  <c r="L99" i="235"/>
  <c r="P107" i="235"/>
  <c r="I11" i="234"/>
  <c r="I27" i="234"/>
  <c r="D76" i="234"/>
  <c r="E95" i="234"/>
  <c r="F89" i="234"/>
  <c r="H103" i="234"/>
  <c r="L114" i="234"/>
  <c r="L110" i="234"/>
  <c r="L104" i="234"/>
  <c r="C8" i="190"/>
  <c r="D8" i="190" s="1"/>
  <c r="G32" i="190"/>
  <c r="E132" i="142"/>
  <c r="E163" i="142"/>
  <c r="E196" i="142"/>
  <c r="E259" i="142"/>
  <c r="D252" i="142"/>
  <c r="D279" i="142"/>
  <c r="G269" i="142"/>
  <c r="H284" i="142"/>
  <c r="G83" i="235"/>
  <c r="J91" i="235"/>
  <c r="I88" i="235"/>
  <c r="I84" i="235"/>
  <c r="T92" i="235"/>
  <c r="V84" i="235"/>
  <c r="T88" i="235"/>
  <c r="V94" i="235"/>
  <c r="V90" i="235"/>
  <c r="T84" i="235"/>
  <c r="M83" i="235"/>
  <c r="J90" i="235"/>
  <c r="J86" i="235"/>
  <c r="V86" i="235"/>
  <c r="O83" i="235"/>
  <c r="I90" i="235"/>
  <c r="I86" i="235"/>
  <c r="T94" i="235"/>
  <c r="T90" i="235"/>
  <c r="S94" i="235"/>
  <c r="T86" i="235"/>
  <c r="V92" i="235"/>
  <c r="T83" i="235"/>
  <c r="J88" i="235"/>
  <c r="J84" i="235"/>
  <c r="V88" i="235"/>
  <c r="T85" i="235"/>
  <c r="T69" i="235"/>
  <c r="Q76" i="235"/>
  <c r="I72" i="235"/>
  <c r="S69" i="235"/>
  <c r="J76" i="235"/>
  <c r="I76" i="235"/>
  <c r="Q78" i="235"/>
  <c r="O68" i="235"/>
  <c r="I78" i="235"/>
  <c r="J69" i="235"/>
  <c r="I69" i="235"/>
  <c r="C56" i="235"/>
  <c r="E55" i="235"/>
  <c r="F57" i="235"/>
  <c r="I62" i="235"/>
  <c r="K57" i="235"/>
  <c r="M55" i="235"/>
  <c r="P55" i="235"/>
  <c r="T56" i="235"/>
  <c r="C55" i="235"/>
  <c r="E54" i="235"/>
  <c r="G56" i="235"/>
  <c r="I57" i="235"/>
  <c r="K56" i="235"/>
  <c r="M53" i="235"/>
  <c r="Q64" i="235"/>
  <c r="T55" i="235"/>
  <c r="C54" i="235"/>
  <c r="G64" i="235"/>
  <c r="F56" i="235"/>
  <c r="I56" i="235"/>
  <c r="K55" i="235"/>
  <c r="N59" i="235"/>
  <c r="Q59" i="235"/>
  <c r="T54" i="235"/>
  <c r="E64" i="235"/>
  <c r="F64" i="235"/>
  <c r="G55" i="235"/>
  <c r="I55" i="235"/>
  <c r="K54" i="235"/>
  <c r="N57" i="235"/>
  <c r="Q56" i="235"/>
  <c r="C64" i="235"/>
  <c r="E63" i="235"/>
  <c r="G63" i="235"/>
  <c r="F55" i="235"/>
  <c r="I54" i="235"/>
  <c r="M64" i="235"/>
  <c r="C63" i="235"/>
  <c r="E62" i="235"/>
  <c r="F63" i="235"/>
  <c r="K64" i="235"/>
  <c r="M63" i="235"/>
  <c r="O64" i="235"/>
  <c r="T64" i="235"/>
  <c r="C57" i="235"/>
  <c r="C62" i="235"/>
  <c r="G62" i="235"/>
  <c r="I64" i="235"/>
  <c r="K63" i="235"/>
  <c r="M62" i="235"/>
  <c r="O62" i="235"/>
  <c r="J30" i="189"/>
  <c r="K30" i="189" s="1"/>
  <c r="P54" i="235"/>
  <c r="P57" i="235"/>
  <c r="P56" i="235"/>
  <c r="E96" i="234"/>
  <c r="H95" i="234"/>
  <c r="D92" i="234"/>
  <c r="E92" i="234"/>
  <c r="I89" i="234"/>
  <c r="F97" i="234"/>
  <c r="K95" i="234"/>
  <c r="C88" i="234"/>
  <c r="D88" i="234"/>
  <c r="F95" i="234"/>
  <c r="K87" i="234"/>
  <c r="C96" i="234"/>
  <c r="F87" i="234"/>
  <c r="N97" i="234"/>
  <c r="E97" i="234"/>
  <c r="G89" i="234"/>
  <c r="N89" i="234"/>
  <c r="E81" i="234"/>
  <c r="G75" i="234"/>
  <c r="L73" i="234"/>
  <c r="E75" i="234"/>
  <c r="G73" i="234"/>
  <c r="N81" i="234"/>
  <c r="F81" i="234"/>
  <c r="I77" i="234"/>
  <c r="N76" i="234"/>
  <c r="C81" i="234"/>
  <c r="F80" i="234"/>
  <c r="I75" i="234"/>
  <c r="N75" i="234"/>
  <c r="C76" i="234"/>
  <c r="F73" i="234"/>
  <c r="G81" i="234"/>
  <c r="K73" i="234"/>
  <c r="D81" i="234"/>
  <c r="G80" i="234"/>
  <c r="L76" i="234"/>
  <c r="E60" i="234"/>
  <c r="K64" i="234"/>
  <c r="E59" i="234"/>
  <c r="K61" i="234"/>
  <c r="C62" i="234"/>
  <c r="F56" i="234"/>
  <c r="L64" i="234"/>
  <c r="C61" i="234"/>
  <c r="G64" i="234"/>
  <c r="L60" i="234"/>
  <c r="C60" i="234"/>
  <c r="G60" i="234"/>
  <c r="C59" i="234"/>
  <c r="G59" i="234"/>
  <c r="N61" i="234"/>
  <c r="I61" i="234"/>
  <c r="N59" i="234"/>
  <c r="H66" i="234"/>
  <c r="H64" i="234"/>
  <c r="N47" i="190"/>
  <c r="M98" i="234"/>
  <c r="M90" i="234"/>
  <c r="M96" i="234"/>
  <c r="M88" i="234"/>
  <c r="F43" i="190"/>
  <c r="M75" i="234"/>
  <c r="F41" i="190"/>
  <c r="M82" i="234"/>
  <c r="M74" i="234"/>
  <c r="C43" i="190"/>
  <c r="D43" i="190" s="1"/>
  <c r="C41" i="190"/>
  <c r="D41" i="190" s="1"/>
  <c r="M77" i="234"/>
  <c r="E39" i="190"/>
  <c r="K27" i="190"/>
  <c r="L27" i="190" s="1"/>
  <c r="K24" i="190"/>
  <c r="L24" i="190" s="1"/>
  <c r="K21" i="190"/>
  <c r="N29" i="190"/>
  <c r="K30" i="190"/>
  <c r="L30" i="190" s="1"/>
  <c r="N21" i="190"/>
  <c r="K29" i="190"/>
  <c r="L29" i="190" s="1"/>
  <c r="C32" i="190"/>
  <c r="D32" i="190" s="1"/>
  <c r="F30" i="190"/>
  <c r="C30" i="190"/>
  <c r="D30" i="190" s="1"/>
  <c r="F24" i="190"/>
  <c r="F22" i="190"/>
  <c r="C25" i="190"/>
  <c r="D25" i="190" s="1"/>
  <c r="G27" i="190"/>
  <c r="C24" i="190"/>
  <c r="D24" i="190" s="1"/>
  <c r="G24" i="190"/>
  <c r="C22" i="190"/>
  <c r="G23" i="190"/>
  <c r="C44" i="234"/>
  <c r="H49" i="234"/>
  <c r="N45" i="234"/>
  <c r="C43" i="234"/>
  <c r="I46" i="234"/>
  <c r="N43" i="234"/>
  <c r="E46" i="234"/>
  <c r="I45" i="234"/>
  <c r="E45" i="234"/>
  <c r="I43" i="234"/>
  <c r="E43" i="234"/>
  <c r="L46" i="234"/>
  <c r="G46" i="234"/>
  <c r="L45" i="234"/>
  <c r="C46" i="234"/>
  <c r="G45" i="234"/>
  <c r="L43" i="234"/>
  <c r="C45" i="234"/>
  <c r="G43" i="234"/>
  <c r="N46" i="234"/>
  <c r="C47" i="235"/>
  <c r="C39" i="235"/>
  <c r="M47" i="235"/>
  <c r="K41" i="235"/>
  <c r="G36" i="235"/>
  <c r="T41" i="235"/>
  <c r="F41" i="235"/>
  <c r="H40" i="235"/>
  <c r="V39" i="235"/>
  <c r="M39" i="235"/>
  <c r="O45" i="235"/>
  <c r="F36" i="235"/>
  <c r="C24" i="235"/>
  <c r="C257" i="142"/>
  <c r="H21" i="235"/>
  <c r="E31" i="235"/>
  <c r="I25" i="235"/>
  <c r="E30" i="234"/>
  <c r="E23" i="235"/>
  <c r="L21" i="235"/>
  <c r="E29" i="234"/>
  <c r="F32" i="235"/>
  <c r="E32" i="235"/>
  <c r="F25" i="235"/>
  <c r="K25" i="235"/>
  <c r="C30" i="234"/>
  <c r="E27" i="234"/>
  <c r="L30" i="234"/>
  <c r="E28" i="235"/>
  <c r="M25" i="235"/>
  <c r="C28" i="234"/>
  <c r="G29" i="234"/>
  <c r="L27" i="234"/>
  <c r="C256" i="142"/>
  <c r="C32" i="235"/>
  <c r="E27" i="235"/>
  <c r="N21" i="235"/>
  <c r="C27" i="234"/>
  <c r="G27" i="234"/>
  <c r="N30" i="234"/>
  <c r="O17" i="190"/>
  <c r="C263" i="142"/>
  <c r="E25" i="235"/>
  <c r="Q25" i="235"/>
  <c r="N29" i="234"/>
  <c r="C28" i="235"/>
  <c r="D28" i="235"/>
  <c r="E24" i="235"/>
  <c r="H29" i="235"/>
  <c r="I30" i="234"/>
  <c r="N27" i="234"/>
  <c r="K14" i="190"/>
  <c r="L14" i="190" s="1"/>
  <c r="C29" i="234"/>
  <c r="C27" i="235"/>
  <c r="T25" i="235"/>
  <c r="I29" i="234"/>
  <c r="F16" i="190"/>
  <c r="C11" i="190"/>
  <c r="D11" i="190" s="1"/>
  <c r="G6" i="190"/>
  <c r="C10" i="190"/>
  <c r="D10" i="190" s="1"/>
  <c r="C255" i="142"/>
  <c r="D7" i="234"/>
  <c r="G14" i="234"/>
  <c r="N13" i="234"/>
  <c r="C262" i="142"/>
  <c r="C254" i="142"/>
  <c r="E17" i="234"/>
  <c r="G13" i="234"/>
  <c r="L14" i="234"/>
  <c r="N11" i="234"/>
  <c r="C261" i="142"/>
  <c r="C253" i="142"/>
  <c r="F9" i="234"/>
  <c r="C14" i="234"/>
  <c r="E14" i="234"/>
  <c r="G11" i="234"/>
  <c r="L13" i="234"/>
  <c r="C260" i="142"/>
  <c r="K17" i="234"/>
  <c r="C13" i="234"/>
  <c r="E13" i="234"/>
  <c r="H15" i="234"/>
  <c r="L11" i="234"/>
  <c r="C259" i="142"/>
  <c r="C11" i="234"/>
  <c r="E11" i="234"/>
  <c r="I14" i="234"/>
  <c r="M18" i="234"/>
  <c r="C258" i="142"/>
  <c r="C9" i="234"/>
  <c r="F15" i="234"/>
  <c r="B12" i="189"/>
  <c r="C12" i="189" s="1"/>
  <c r="D6" i="235"/>
  <c r="H263" i="142"/>
  <c r="E262" i="142"/>
  <c r="G260" i="142"/>
  <c r="F257" i="142"/>
  <c r="H255" i="142"/>
  <c r="E254" i="142"/>
  <c r="G279" i="142"/>
  <c r="F276" i="142"/>
  <c r="H274" i="142"/>
  <c r="E273" i="142"/>
  <c r="G271" i="142"/>
  <c r="F268" i="142"/>
  <c r="H294" i="142"/>
  <c r="E293" i="142"/>
  <c r="G291" i="142"/>
  <c r="F288" i="142"/>
  <c r="H286" i="142"/>
  <c r="E285" i="142"/>
  <c r="G263" i="142"/>
  <c r="F260" i="142"/>
  <c r="H258" i="142"/>
  <c r="E257" i="142"/>
  <c r="G255" i="142"/>
  <c r="F279" i="142"/>
  <c r="H277" i="142"/>
  <c r="E276" i="142"/>
  <c r="G274" i="142"/>
  <c r="F271" i="142"/>
  <c r="H269" i="142"/>
  <c r="E268" i="142"/>
  <c r="G294" i="142"/>
  <c r="F291" i="142"/>
  <c r="H289" i="142"/>
  <c r="E288" i="142"/>
  <c r="G286" i="142"/>
  <c r="F263" i="142"/>
  <c r="H261" i="142"/>
  <c r="E260" i="142"/>
  <c r="F255" i="142"/>
  <c r="F274" i="142"/>
  <c r="F277" i="142"/>
  <c r="F269" i="142"/>
  <c r="E294" i="142"/>
  <c r="G252" i="142"/>
  <c r="F261" i="142"/>
  <c r="H259" i="142"/>
  <c r="E258" i="142"/>
  <c r="G256" i="142"/>
  <c r="F253" i="142"/>
  <c r="H278" i="142"/>
  <c r="E277" i="142"/>
  <c r="G275" i="142"/>
  <c r="F272" i="142"/>
  <c r="H270" i="142"/>
  <c r="E269" i="142"/>
  <c r="G295" i="142"/>
  <c r="F292" i="142"/>
  <c r="H290" i="142"/>
  <c r="E289" i="142"/>
  <c r="G287" i="142"/>
  <c r="F284" i="142"/>
  <c r="F252" i="142"/>
  <c r="H262" i="142"/>
  <c r="E261" i="142"/>
  <c r="G259" i="142"/>
  <c r="F256" i="142"/>
  <c r="H254" i="142"/>
  <c r="E253" i="142"/>
  <c r="G278" i="142"/>
  <c r="F275" i="142"/>
  <c r="H273" i="142"/>
  <c r="E272" i="142"/>
  <c r="G270" i="142"/>
  <c r="F295" i="142"/>
  <c r="H293" i="142"/>
  <c r="E292" i="142"/>
  <c r="G290" i="142"/>
  <c r="F287" i="142"/>
  <c r="H285" i="142"/>
  <c r="E284" i="142"/>
  <c r="E252" i="142"/>
  <c r="G262" i="142"/>
  <c r="F259" i="142"/>
  <c r="H257" i="142"/>
  <c r="E256" i="142"/>
  <c r="G254" i="142"/>
  <c r="F278" i="142"/>
  <c r="H276" i="142"/>
  <c r="E275" i="142"/>
  <c r="G273" i="142"/>
  <c r="F270" i="142"/>
  <c r="H268" i="142"/>
  <c r="E295" i="142"/>
  <c r="G293" i="142"/>
  <c r="F290" i="142"/>
  <c r="H288" i="142"/>
  <c r="E287" i="142"/>
  <c r="G285" i="142"/>
  <c r="F262" i="142"/>
  <c r="H279" i="142"/>
  <c r="E278" i="142"/>
  <c r="G276" i="142"/>
  <c r="F293" i="142"/>
  <c r="D58" i="235"/>
  <c r="C93" i="235"/>
  <c r="V93" i="235"/>
  <c r="J9" i="235"/>
  <c r="F23" i="235"/>
  <c r="J29" i="235"/>
  <c r="O25" i="235"/>
  <c r="V21" i="235"/>
  <c r="E45" i="235"/>
  <c r="I43" i="235"/>
  <c r="O37" i="235"/>
  <c r="V57" i="235"/>
  <c r="T57" i="235"/>
  <c r="Q57" i="235"/>
  <c r="O57" i="235"/>
  <c r="M57" i="235"/>
  <c r="C61" i="235"/>
  <c r="C53" i="235"/>
  <c r="E61" i="235"/>
  <c r="E53" i="235"/>
  <c r="F62" i="235"/>
  <c r="F58" i="235"/>
  <c r="F54" i="235"/>
  <c r="H57" i="235"/>
  <c r="I61" i="235"/>
  <c r="I53" i="235"/>
  <c r="J57" i="235"/>
  <c r="K61" i="235"/>
  <c r="K53" i="235"/>
  <c r="L57" i="235"/>
  <c r="M61" i="235"/>
  <c r="N64" i="235"/>
  <c r="N55" i="235"/>
  <c r="O58" i="235"/>
  <c r="P60" i="235"/>
  <c r="Q63" i="235"/>
  <c r="Q54" i="235"/>
  <c r="T60" i="235"/>
  <c r="V56" i="235"/>
  <c r="P68" i="235"/>
  <c r="J73" i="235"/>
  <c r="K83" i="235"/>
  <c r="Q85" i="235"/>
  <c r="T89" i="235"/>
  <c r="E103" i="235"/>
  <c r="P103" i="235"/>
  <c r="N103" i="235"/>
  <c r="L103" i="235"/>
  <c r="J103" i="235"/>
  <c r="H103" i="235"/>
  <c r="D105" i="235"/>
  <c r="M103" i="235"/>
  <c r="P106" i="235"/>
  <c r="J58" i="235"/>
  <c r="V58" i="235"/>
  <c r="J21" i="235"/>
  <c r="P29" i="235"/>
  <c r="E37" i="235"/>
  <c r="J46" i="235"/>
  <c r="P40" i="235"/>
  <c r="C60" i="235"/>
  <c r="D56" i="235"/>
  <c r="E60" i="235"/>
  <c r="F53" i="235"/>
  <c r="G61" i="235"/>
  <c r="G57" i="235"/>
  <c r="I60" i="235"/>
  <c r="J64" i="235"/>
  <c r="J56" i="235"/>
  <c r="K60" i="235"/>
  <c r="L56" i="235"/>
  <c r="M60" i="235"/>
  <c r="N63" i="235"/>
  <c r="N54" i="235"/>
  <c r="O56" i="235"/>
  <c r="P59" i="235"/>
  <c r="Q62" i="235"/>
  <c r="Q53" i="235"/>
  <c r="T59" i="235"/>
  <c r="V55" i="235"/>
  <c r="H68" i="235"/>
  <c r="Q68" i="235"/>
  <c r="J75" i="235"/>
  <c r="C71" i="235"/>
  <c r="Q71" i="235"/>
  <c r="Q83" i="235"/>
  <c r="I83" i="235"/>
  <c r="N83" i="235"/>
  <c r="F83" i="235"/>
  <c r="L83" i="235"/>
  <c r="Q87" i="235"/>
  <c r="J85" i="235"/>
  <c r="E106" i="235"/>
  <c r="I109" i="235"/>
  <c r="L106" i="235"/>
  <c r="P104" i="235"/>
  <c r="C6" i="235"/>
  <c r="D21" i="235"/>
  <c r="P21" i="235"/>
  <c r="J38" i="235"/>
  <c r="Q43" i="235"/>
  <c r="C59" i="235"/>
  <c r="E59" i="235"/>
  <c r="G53" i="235"/>
  <c r="F61" i="235"/>
  <c r="I59" i="235"/>
  <c r="J63" i="235"/>
  <c r="J55" i="235"/>
  <c r="K59" i="235"/>
  <c r="L55" i="235"/>
  <c r="M59" i="235"/>
  <c r="N62" i="235"/>
  <c r="O55" i="235"/>
  <c r="P58" i="235"/>
  <c r="T58" i="235"/>
  <c r="V63" i="235"/>
  <c r="V54" i="235"/>
  <c r="I68" i="235"/>
  <c r="V74" i="235"/>
  <c r="J77" i="235"/>
  <c r="C73" i="235"/>
  <c r="Q73" i="235"/>
  <c r="Q70" i="235"/>
  <c r="Q89" i="235"/>
  <c r="J87" i="235"/>
  <c r="T91" i="235"/>
  <c r="T109" i="235"/>
  <c r="Q109" i="235"/>
  <c r="O109" i="235"/>
  <c r="M109" i="235"/>
  <c r="P109" i="235"/>
  <c r="N109" i="235"/>
  <c r="L109" i="235"/>
  <c r="J109" i="235"/>
  <c r="H109" i="235"/>
  <c r="O101" i="235"/>
  <c r="M101" i="235"/>
  <c r="K101" i="235"/>
  <c r="P101" i="235"/>
  <c r="N101" i="235"/>
  <c r="L101" i="235"/>
  <c r="J101" i="235"/>
  <c r="H101" i="235"/>
  <c r="C101" i="235"/>
  <c r="E104" i="235"/>
  <c r="H106" i="235"/>
  <c r="J106" i="235"/>
  <c r="T104" i="235"/>
  <c r="O104" i="235"/>
  <c r="M104" i="235"/>
  <c r="K104" i="235"/>
  <c r="I104" i="235"/>
  <c r="L29" i="235"/>
  <c r="C58" i="235"/>
  <c r="D54" i="235"/>
  <c r="E58" i="235"/>
  <c r="G60" i="235"/>
  <c r="I58" i="235"/>
  <c r="J62" i="235"/>
  <c r="J54" i="235"/>
  <c r="K58" i="235"/>
  <c r="L54" i="235"/>
  <c r="M58" i="235"/>
  <c r="N60" i="235"/>
  <c r="O63" i="235"/>
  <c r="O54" i="235"/>
  <c r="Q60" i="235"/>
  <c r="V62" i="235"/>
  <c r="J68" i="235"/>
  <c r="J79" i="235"/>
  <c r="C75" i="235"/>
  <c r="Q75" i="235"/>
  <c r="J70" i="235"/>
  <c r="J89" i="235"/>
  <c r="C85" i="235"/>
  <c r="V85" i="235"/>
  <c r="H105" i="235"/>
  <c r="I106" i="235"/>
  <c r="K106" i="235"/>
  <c r="S104" i="235"/>
  <c r="E26" i="235"/>
  <c r="H58" i="235"/>
  <c r="L58" i="235"/>
  <c r="F28" i="235"/>
  <c r="G26" i="235"/>
  <c r="F45" i="235"/>
  <c r="P61" i="235"/>
  <c r="N61" i="235"/>
  <c r="P53" i="235"/>
  <c r="N53" i="235"/>
  <c r="D61" i="235"/>
  <c r="D53" i="235"/>
  <c r="F60" i="235"/>
  <c r="H61" i="235"/>
  <c r="H53" i="235"/>
  <c r="J61" i="235"/>
  <c r="J53" i="235"/>
  <c r="L61" i="235"/>
  <c r="L53" i="235"/>
  <c r="O53" i="235"/>
  <c r="V61" i="235"/>
  <c r="V68" i="235"/>
  <c r="M68" i="235"/>
  <c r="E68" i="235"/>
  <c r="K68" i="235"/>
  <c r="C77" i="235"/>
  <c r="Q77" i="235"/>
  <c r="Q74" i="235"/>
  <c r="I70" i="235"/>
  <c r="Q93" i="235"/>
  <c r="C87" i="235"/>
  <c r="V87" i="235"/>
  <c r="T93" i="235"/>
  <c r="H104" i="235"/>
  <c r="J104" i="235"/>
  <c r="L65" i="234"/>
  <c r="K65" i="234"/>
  <c r="N65" i="234"/>
  <c r="M65" i="234"/>
  <c r="H65" i="234"/>
  <c r="E65" i="234"/>
  <c r="C65" i="234"/>
  <c r="G65" i="234"/>
  <c r="D65" i="234"/>
  <c r="F65" i="234"/>
  <c r="I65" i="234"/>
  <c r="F57" i="234"/>
  <c r="I57" i="234"/>
  <c r="L57" i="234"/>
  <c r="K57" i="234"/>
  <c r="H57" i="234"/>
  <c r="E57" i="234"/>
  <c r="C57" i="234"/>
  <c r="N57" i="234"/>
  <c r="M57" i="234"/>
  <c r="G57" i="234"/>
  <c r="G58" i="235"/>
  <c r="F26" i="235"/>
  <c r="D60" i="235"/>
  <c r="H60" i="235"/>
  <c r="J60" i="235"/>
  <c r="L60" i="235"/>
  <c r="N58" i="235"/>
  <c r="O61" i="235"/>
  <c r="V60" i="235"/>
  <c r="C68" i="235"/>
  <c r="L68" i="235"/>
  <c r="C79" i="235"/>
  <c r="Q79" i="235"/>
  <c r="J74" i="235"/>
  <c r="J93" i="235"/>
  <c r="C89" i="235"/>
  <c r="V89" i="235"/>
  <c r="O106" i="235"/>
  <c r="N106" i="235"/>
  <c r="D26" i="235"/>
  <c r="N29" i="235"/>
  <c r="F37" i="235"/>
  <c r="N42" i="235"/>
  <c r="F59" i="235"/>
  <c r="J59" i="235"/>
  <c r="L59" i="235"/>
  <c r="M54" i="235"/>
  <c r="T53" i="235"/>
  <c r="D68" i="235"/>
  <c r="N68" i="235"/>
  <c r="I74" i="235"/>
  <c r="C72" i="235"/>
  <c r="V72" i="235"/>
  <c r="I93" i="235"/>
  <c r="C91" i="235"/>
  <c r="V91" i="235"/>
  <c r="T87" i="235"/>
  <c r="S105" i="235"/>
  <c r="P105" i="235"/>
  <c r="N105" i="235"/>
  <c r="L105" i="235"/>
  <c r="O105" i="235"/>
  <c r="M105" i="235"/>
  <c r="K105" i="235"/>
  <c r="I105" i="235"/>
  <c r="E105" i="235"/>
  <c r="C104" i="235"/>
  <c r="C106" i="235"/>
  <c r="N104" i="235"/>
  <c r="Q69" i="235"/>
  <c r="Q94" i="235"/>
  <c r="Q92" i="235"/>
  <c r="Q90" i="235"/>
  <c r="Q88" i="235"/>
  <c r="Q86" i="235"/>
  <c r="Q84" i="235"/>
  <c r="I107" i="235"/>
  <c r="K107" i="235"/>
  <c r="K99" i="235"/>
  <c r="M107" i="235"/>
  <c r="O107" i="235"/>
  <c r="O99" i="235"/>
  <c r="T99" i="235"/>
  <c r="N15" i="234"/>
  <c r="L15" i="234"/>
  <c r="I15" i="234"/>
  <c r="G15" i="234"/>
  <c r="E15" i="234"/>
  <c r="C15" i="234"/>
  <c r="N7" i="234"/>
  <c r="L7" i="234"/>
  <c r="I7" i="234"/>
  <c r="G7" i="234"/>
  <c r="E7" i="234"/>
  <c r="C7" i="234"/>
  <c r="D15" i="234"/>
  <c r="F7" i="234"/>
  <c r="H10" i="234"/>
  <c r="K15" i="234"/>
  <c r="M17" i="234"/>
  <c r="M34" i="234"/>
  <c r="K34" i="234"/>
  <c r="H34" i="234"/>
  <c r="F34" i="234"/>
  <c r="N34" i="234"/>
  <c r="L34" i="234"/>
  <c r="I34" i="234"/>
  <c r="G34" i="234"/>
  <c r="E34" i="234"/>
  <c r="C34" i="234"/>
  <c r="M26" i="234"/>
  <c r="K26" i="234"/>
  <c r="H26" i="234"/>
  <c r="F26" i="234"/>
  <c r="N26" i="234"/>
  <c r="L26" i="234"/>
  <c r="I26" i="234"/>
  <c r="G26" i="234"/>
  <c r="E26" i="234"/>
  <c r="C26" i="234"/>
  <c r="D34" i="234"/>
  <c r="H41" i="234"/>
  <c r="C17" i="234"/>
  <c r="E9" i="234"/>
  <c r="G17" i="234"/>
  <c r="H9" i="234"/>
  <c r="K10" i="234"/>
  <c r="N33" i="234"/>
  <c r="L33" i="234"/>
  <c r="I33" i="234"/>
  <c r="G33" i="234"/>
  <c r="E33" i="234"/>
  <c r="C33" i="234"/>
  <c r="N25" i="234"/>
  <c r="L25" i="234"/>
  <c r="I25" i="234"/>
  <c r="G25" i="234"/>
  <c r="E25" i="234"/>
  <c r="C25" i="234"/>
  <c r="D33" i="234"/>
  <c r="F33" i="234"/>
  <c r="M25" i="234"/>
  <c r="M49" i="234"/>
  <c r="L93" i="234"/>
  <c r="C93" i="234"/>
  <c r="I93" i="234"/>
  <c r="G93" i="234"/>
  <c r="E93" i="234"/>
  <c r="M93" i="234"/>
  <c r="K93" i="234"/>
  <c r="H93" i="234"/>
  <c r="D93" i="234"/>
  <c r="F93" i="234"/>
  <c r="C99" i="235"/>
  <c r="M13" i="234"/>
  <c r="K13" i="234"/>
  <c r="H13" i="234"/>
  <c r="D10" i="234"/>
  <c r="H7" i="234"/>
  <c r="K9" i="234"/>
  <c r="F25" i="234"/>
  <c r="F49" i="234"/>
  <c r="M41" i="234"/>
  <c r="H108" i="235"/>
  <c r="J108" i="235"/>
  <c r="L108" i="235"/>
  <c r="L100" i="235"/>
  <c r="N108" i="235"/>
  <c r="N100" i="235"/>
  <c r="P108" i="235"/>
  <c r="P100" i="235"/>
  <c r="D9" i="234"/>
  <c r="N31" i="234"/>
  <c r="L31" i="234"/>
  <c r="I31" i="234"/>
  <c r="G31" i="234"/>
  <c r="E31" i="234"/>
  <c r="C31" i="234"/>
  <c r="M31" i="234"/>
  <c r="K31" i="234"/>
  <c r="H31" i="234"/>
  <c r="F31" i="234"/>
  <c r="N23" i="234"/>
  <c r="L23" i="234"/>
  <c r="I23" i="234"/>
  <c r="G23" i="234"/>
  <c r="E23" i="234"/>
  <c r="C23" i="234"/>
  <c r="M23" i="234"/>
  <c r="K23" i="234"/>
  <c r="H23" i="234"/>
  <c r="F23" i="234"/>
  <c r="K33" i="234"/>
  <c r="F41" i="234"/>
  <c r="N79" i="234"/>
  <c r="L79" i="234"/>
  <c r="I79" i="234"/>
  <c r="G79" i="234"/>
  <c r="E79" i="234"/>
  <c r="C79" i="234"/>
  <c r="K79" i="234"/>
  <c r="M79" i="234"/>
  <c r="D79" i="234"/>
  <c r="F79" i="234"/>
  <c r="N71" i="234"/>
  <c r="L71" i="234"/>
  <c r="I71" i="234"/>
  <c r="G71" i="234"/>
  <c r="E71" i="234"/>
  <c r="C71" i="234"/>
  <c r="D71" i="234"/>
  <c r="F71" i="234"/>
  <c r="H71" i="234"/>
  <c r="K71" i="234"/>
  <c r="M71" i="234"/>
  <c r="H79" i="234"/>
  <c r="D25" i="234"/>
  <c r="K25" i="234"/>
  <c r="K49" i="234"/>
  <c r="N18" i="234"/>
  <c r="L18" i="234"/>
  <c r="I18" i="234"/>
  <c r="G18" i="234"/>
  <c r="E18" i="234"/>
  <c r="C18" i="234"/>
  <c r="N10" i="234"/>
  <c r="L10" i="234"/>
  <c r="I10" i="234"/>
  <c r="G10" i="234"/>
  <c r="E10" i="234"/>
  <c r="C10" i="234"/>
  <c r="H18" i="234"/>
  <c r="N17" i="234"/>
  <c r="L17" i="234"/>
  <c r="I17" i="234"/>
  <c r="N9" i="234"/>
  <c r="L9" i="234"/>
  <c r="I9" i="234"/>
  <c r="G9" i="234"/>
  <c r="D18" i="234"/>
  <c r="F10" i="234"/>
  <c r="H17" i="234"/>
  <c r="K18" i="234"/>
  <c r="H33" i="234"/>
  <c r="N49" i="234"/>
  <c r="L49" i="234"/>
  <c r="I49" i="234"/>
  <c r="G49" i="234"/>
  <c r="E49" i="234"/>
  <c r="C49" i="234"/>
  <c r="N41" i="234"/>
  <c r="L41" i="234"/>
  <c r="I41" i="234"/>
  <c r="G41" i="234"/>
  <c r="E41" i="234"/>
  <c r="C41" i="234"/>
  <c r="D41" i="234"/>
  <c r="C12" i="234"/>
  <c r="D16" i="234"/>
  <c r="D8" i="234"/>
  <c r="E12" i="234"/>
  <c r="F16" i="234"/>
  <c r="F8" i="234"/>
  <c r="G12" i="234"/>
  <c r="H16" i="234"/>
  <c r="H8" i="234"/>
  <c r="I12" i="234"/>
  <c r="K16" i="234"/>
  <c r="K8" i="234"/>
  <c r="L12" i="234"/>
  <c r="M16" i="234"/>
  <c r="M8" i="234"/>
  <c r="N12" i="234"/>
  <c r="D32" i="234"/>
  <c r="D24" i="234"/>
  <c r="E28" i="234"/>
  <c r="F32" i="234"/>
  <c r="F24" i="234"/>
  <c r="G28" i="234"/>
  <c r="H32" i="234"/>
  <c r="H24" i="234"/>
  <c r="I28" i="234"/>
  <c r="K32" i="234"/>
  <c r="K24" i="234"/>
  <c r="L28" i="234"/>
  <c r="M32" i="234"/>
  <c r="M24" i="234"/>
  <c r="N28" i="234"/>
  <c r="D48" i="234"/>
  <c r="D40" i="234"/>
  <c r="E44" i="234"/>
  <c r="F48" i="234"/>
  <c r="F40" i="234"/>
  <c r="G44" i="234"/>
  <c r="H48" i="234"/>
  <c r="H40" i="234"/>
  <c r="I44" i="234"/>
  <c r="K48" i="234"/>
  <c r="K40" i="234"/>
  <c r="L44" i="234"/>
  <c r="M48" i="234"/>
  <c r="M40" i="234"/>
  <c r="N44" i="234"/>
  <c r="D64" i="234"/>
  <c r="D56" i="234"/>
  <c r="F64" i="234"/>
  <c r="G58" i="234"/>
  <c r="H61" i="234"/>
  <c r="I64" i="234"/>
  <c r="L61" i="234"/>
  <c r="M61" i="234"/>
  <c r="N60" i="234"/>
  <c r="D80" i="234"/>
  <c r="E80" i="234"/>
  <c r="G77" i="234"/>
  <c r="H77" i="234"/>
  <c r="I76" i="234"/>
  <c r="K76" i="234"/>
  <c r="M73" i="234"/>
  <c r="N73" i="234"/>
  <c r="K97" i="234"/>
  <c r="L89" i="234"/>
  <c r="C109" i="234"/>
  <c r="K109" i="234"/>
  <c r="M109" i="234"/>
  <c r="N43" i="190"/>
  <c r="K43" i="190"/>
  <c r="L43" i="190" s="1"/>
  <c r="O43" i="190"/>
  <c r="D47" i="234"/>
  <c r="D39" i="234"/>
  <c r="F47" i="234"/>
  <c r="F39" i="234"/>
  <c r="H47" i="234"/>
  <c r="H39" i="234"/>
  <c r="K47" i="234"/>
  <c r="K39" i="234"/>
  <c r="M47" i="234"/>
  <c r="M39" i="234"/>
  <c r="N63" i="234"/>
  <c r="L63" i="234"/>
  <c r="I63" i="234"/>
  <c r="G63" i="234"/>
  <c r="N55" i="234"/>
  <c r="L55" i="234"/>
  <c r="I55" i="234"/>
  <c r="G55" i="234"/>
  <c r="D63" i="234"/>
  <c r="D55" i="234"/>
  <c r="F63" i="234"/>
  <c r="G66" i="234"/>
  <c r="C80" i="234"/>
  <c r="E77" i="234"/>
  <c r="F77" i="234"/>
  <c r="M72" i="234"/>
  <c r="M91" i="234"/>
  <c r="K91" i="234"/>
  <c r="H91" i="234"/>
  <c r="F91" i="234"/>
  <c r="E91" i="234"/>
  <c r="C91" i="234"/>
  <c r="F14" i="190"/>
  <c r="C14" i="190"/>
  <c r="D14" i="190" s="1"/>
  <c r="F6" i="190"/>
  <c r="C6" i="190"/>
  <c r="D6" i="190" s="1"/>
  <c r="G26" i="190"/>
  <c r="M25" i="190"/>
  <c r="D14" i="234"/>
  <c r="F14" i="234"/>
  <c r="H14" i="234"/>
  <c r="K14" i="234"/>
  <c r="D30" i="234"/>
  <c r="F30" i="234"/>
  <c r="H30" i="234"/>
  <c r="K30" i="234"/>
  <c r="C50" i="234"/>
  <c r="C42" i="234"/>
  <c r="D46" i="234"/>
  <c r="E50" i="234"/>
  <c r="E42" i="234"/>
  <c r="F46" i="234"/>
  <c r="G50" i="234"/>
  <c r="G42" i="234"/>
  <c r="H46" i="234"/>
  <c r="I50" i="234"/>
  <c r="I42" i="234"/>
  <c r="K46" i="234"/>
  <c r="L50" i="234"/>
  <c r="L42" i="234"/>
  <c r="N50" i="234"/>
  <c r="N42" i="234"/>
  <c r="N62" i="234"/>
  <c r="L62" i="234"/>
  <c r="I62" i="234"/>
  <c r="M62" i="234"/>
  <c r="K62" i="234"/>
  <c r="C66" i="234"/>
  <c r="C58" i="234"/>
  <c r="D62" i="234"/>
  <c r="E66" i="234"/>
  <c r="E58" i="234"/>
  <c r="F62" i="234"/>
  <c r="G56" i="234"/>
  <c r="H58" i="234"/>
  <c r="I60" i="234"/>
  <c r="K60" i="234"/>
  <c r="C77" i="234"/>
  <c r="D77" i="234"/>
  <c r="E76" i="234"/>
  <c r="I73" i="234"/>
  <c r="K72" i="234"/>
  <c r="L72" i="234"/>
  <c r="C97" i="234"/>
  <c r="H89" i="234"/>
  <c r="C107" i="234"/>
  <c r="K107" i="234"/>
  <c r="M107" i="234"/>
  <c r="N109" i="234"/>
  <c r="M43" i="190"/>
  <c r="D29" i="234"/>
  <c r="F29" i="234"/>
  <c r="H29" i="234"/>
  <c r="K29" i="234"/>
  <c r="D45" i="234"/>
  <c r="F45" i="234"/>
  <c r="H45" i="234"/>
  <c r="K45" i="234"/>
  <c r="D61" i="234"/>
  <c r="F61" i="234"/>
  <c r="M56" i="234"/>
  <c r="N56" i="234"/>
  <c r="H72" i="234"/>
  <c r="I72" i="234"/>
  <c r="D91" i="234"/>
  <c r="G97" i="234"/>
  <c r="K89" i="234"/>
  <c r="F12" i="190"/>
  <c r="C12" i="190"/>
  <c r="D12" i="190" s="1"/>
  <c r="C16" i="234"/>
  <c r="C8" i="234"/>
  <c r="D12" i="234"/>
  <c r="E16" i="234"/>
  <c r="E8" i="234"/>
  <c r="F12" i="234"/>
  <c r="G16" i="234"/>
  <c r="G8" i="234"/>
  <c r="H12" i="234"/>
  <c r="I16" i="234"/>
  <c r="I8" i="234"/>
  <c r="K12" i="234"/>
  <c r="L16" i="234"/>
  <c r="L8" i="234"/>
  <c r="C32" i="234"/>
  <c r="C24" i="234"/>
  <c r="D28" i="234"/>
  <c r="E32" i="234"/>
  <c r="E24" i="234"/>
  <c r="F28" i="234"/>
  <c r="G32" i="234"/>
  <c r="G24" i="234"/>
  <c r="H28" i="234"/>
  <c r="I32" i="234"/>
  <c r="I24" i="234"/>
  <c r="K28" i="234"/>
  <c r="L32" i="234"/>
  <c r="L24" i="234"/>
  <c r="C48" i="234"/>
  <c r="C40" i="234"/>
  <c r="D44" i="234"/>
  <c r="E48" i="234"/>
  <c r="E40" i="234"/>
  <c r="F44" i="234"/>
  <c r="G48" i="234"/>
  <c r="G40" i="234"/>
  <c r="H44" i="234"/>
  <c r="I48" i="234"/>
  <c r="I40" i="234"/>
  <c r="K44" i="234"/>
  <c r="L48" i="234"/>
  <c r="L40" i="234"/>
  <c r="C64" i="234"/>
  <c r="C56" i="234"/>
  <c r="D60" i="234"/>
  <c r="E64" i="234"/>
  <c r="E56" i="234"/>
  <c r="G62" i="234"/>
  <c r="H56" i="234"/>
  <c r="K56" i="234"/>
  <c r="L56" i="234"/>
  <c r="M55" i="234"/>
  <c r="D73" i="234"/>
  <c r="E73" i="234"/>
  <c r="F72" i="234"/>
  <c r="G72" i="234"/>
  <c r="K81" i="234"/>
  <c r="L81" i="234"/>
  <c r="M80" i="234"/>
  <c r="N80" i="234"/>
  <c r="I97" i="234"/>
  <c r="M89" i="234"/>
  <c r="C113" i="234"/>
  <c r="K113" i="234"/>
  <c r="M113" i="234"/>
  <c r="C105" i="234"/>
  <c r="K105" i="234"/>
  <c r="M105" i="234"/>
  <c r="G14" i="190"/>
  <c r="K17" i="190"/>
  <c r="L17" i="190" s="1"/>
  <c r="N17" i="190"/>
  <c r="N9" i="190"/>
  <c r="M9" i="190"/>
  <c r="K9" i="190"/>
  <c r="L9" i="190" s="1"/>
  <c r="O9" i="190"/>
  <c r="G28" i="190"/>
  <c r="F28" i="190"/>
  <c r="C28" i="190"/>
  <c r="D28" i="190" s="1"/>
  <c r="D11" i="234"/>
  <c r="F11" i="234"/>
  <c r="H11" i="234"/>
  <c r="K11" i="234"/>
  <c r="D27" i="234"/>
  <c r="F27" i="234"/>
  <c r="H27" i="234"/>
  <c r="K27" i="234"/>
  <c r="C47" i="234"/>
  <c r="C39" i="234"/>
  <c r="D43" i="234"/>
  <c r="E47" i="234"/>
  <c r="E39" i="234"/>
  <c r="F43" i="234"/>
  <c r="G47" i="234"/>
  <c r="G39" i="234"/>
  <c r="H43" i="234"/>
  <c r="I47" i="234"/>
  <c r="I39" i="234"/>
  <c r="K43" i="234"/>
  <c r="L47" i="234"/>
  <c r="L39" i="234"/>
  <c r="M59" i="234"/>
  <c r="K59" i="234"/>
  <c r="H59" i="234"/>
  <c r="F59" i="234"/>
  <c r="C63" i="234"/>
  <c r="C55" i="234"/>
  <c r="D59" i="234"/>
  <c r="E63" i="234"/>
  <c r="E55" i="234"/>
  <c r="H55" i="234"/>
  <c r="K55" i="234"/>
  <c r="D72" i="234"/>
  <c r="E72" i="234"/>
  <c r="H81" i="234"/>
  <c r="K80" i="234"/>
  <c r="L80" i="234"/>
  <c r="N77" i="234"/>
  <c r="D97" i="234"/>
  <c r="G91" i="234"/>
  <c r="N107" i="234"/>
  <c r="G12" i="190"/>
  <c r="D50" i="234"/>
  <c r="D42" i="234"/>
  <c r="F50" i="234"/>
  <c r="F42" i="234"/>
  <c r="H50" i="234"/>
  <c r="H42" i="234"/>
  <c r="K50" i="234"/>
  <c r="K42" i="234"/>
  <c r="M66" i="234"/>
  <c r="K66" i="234"/>
  <c r="N66" i="234"/>
  <c r="L66" i="234"/>
  <c r="M58" i="234"/>
  <c r="K58" i="234"/>
  <c r="N58" i="234"/>
  <c r="L58" i="234"/>
  <c r="I58" i="234"/>
  <c r="D66" i="234"/>
  <c r="D58" i="234"/>
  <c r="F66" i="234"/>
  <c r="H63" i="234"/>
  <c r="I66" i="234"/>
  <c r="C72" i="234"/>
  <c r="H80" i="234"/>
  <c r="L77" i="234"/>
  <c r="I91" i="234"/>
  <c r="O15" i="190"/>
  <c r="N15" i="190"/>
  <c r="O7" i="190"/>
  <c r="K7" i="190"/>
  <c r="L7" i="190" s="1"/>
  <c r="M7" i="190"/>
  <c r="F26" i="190"/>
  <c r="C26" i="190"/>
  <c r="D26" i="190" s="1"/>
  <c r="N25" i="190"/>
  <c r="K25" i="190"/>
  <c r="L25" i="190" s="1"/>
  <c r="F47" i="190"/>
  <c r="C47" i="190"/>
  <c r="F39" i="190"/>
  <c r="C39" i="190"/>
  <c r="D39" i="190" s="1"/>
  <c r="E47" i="190"/>
  <c r="C82" i="234"/>
  <c r="C74" i="234"/>
  <c r="D78" i="234"/>
  <c r="E82" i="234"/>
  <c r="E74" i="234"/>
  <c r="F78" i="234"/>
  <c r="G82" i="234"/>
  <c r="G74" i="234"/>
  <c r="H78" i="234"/>
  <c r="I82" i="234"/>
  <c r="I74" i="234"/>
  <c r="K78" i="234"/>
  <c r="L82" i="234"/>
  <c r="L74" i="234"/>
  <c r="M78" i="234"/>
  <c r="N82" i="234"/>
  <c r="N74" i="234"/>
  <c r="E94" i="234"/>
  <c r="F94" i="234"/>
  <c r="G98" i="234"/>
  <c r="G90" i="234"/>
  <c r="H94" i="234"/>
  <c r="I98" i="234"/>
  <c r="I90" i="234"/>
  <c r="K94" i="234"/>
  <c r="L98" i="234"/>
  <c r="L90" i="234"/>
  <c r="M94" i="234"/>
  <c r="N98" i="234"/>
  <c r="N90" i="234"/>
  <c r="F103" i="234"/>
  <c r="C17" i="190"/>
  <c r="D17" i="190" s="1"/>
  <c r="C9" i="190"/>
  <c r="D9" i="190" s="1"/>
  <c r="E13" i="190"/>
  <c r="F17" i="190"/>
  <c r="F9" i="190"/>
  <c r="G13" i="190"/>
  <c r="K6" i="190"/>
  <c r="L6" i="190" s="1"/>
  <c r="C31" i="190"/>
  <c r="D31" i="190" s="1"/>
  <c r="C23" i="190"/>
  <c r="D23" i="190" s="1"/>
  <c r="E27" i="190"/>
  <c r="F31" i="190"/>
  <c r="F23" i="190"/>
  <c r="G25" i="190"/>
  <c r="K28" i="190"/>
  <c r="M32" i="190"/>
  <c r="M24" i="190"/>
  <c r="N28" i="190"/>
  <c r="O32" i="190"/>
  <c r="O24" i="190"/>
  <c r="C42" i="190"/>
  <c r="D42" i="190" s="1"/>
  <c r="E46" i="190"/>
  <c r="E38" i="190"/>
  <c r="F42" i="190"/>
  <c r="G46" i="190"/>
  <c r="G38" i="190"/>
  <c r="K46" i="190"/>
  <c r="L46" i="190" s="1"/>
  <c r="K38" i="190"/>
  <c r="L38" i="190" s="1"/>
  <c r="M42" i="190"/>
  <c r="N46" i="190"/>
  <c r="N38" i="190"/>
  <c r="O42" i="190"/>
  <c r="M31" i="190"/>
  <c r="M23" i="190"/>
  <c r="O31" i="190"/>
  <c r="O23" i="190"/>
  <c r="E45" i="190"/>
  <c r="E37" i="190"/>
  <c r="G45" i="190"/>
  <c r="G37" i="190"/>
  <c r="K45" i="190"/>
  <c r="L45" i="190" s="1"/>
  <c r="K37" i="190"/>
  <c r="L37" i="190" s="1"/>
  <c r="M41" i="190"/>
  <c r="N45" i="190"/>
  <c r="N37" i="190"/>
  <c r="O41" i="190"/>
  <c r="F92" i="234"/>
  <c r="G96" i="234"/>
  <c r="G88" i="234"/>
  <c r="H92" i="234"/>
  <c r="I96" i="234"/>
  <c r="I88" i="234"/>
  <c r="K92" i="234"/>
  <c r="L96" i="234"/>
  <c r="L88" i="234"/>
  <c r="M92" i="234"/>
  <c r="N96" i="234"/>
  <c r="N88" i="234"/>
  <c r="C15" i="190"/>
  <c r="D15" i="190" s="1"/>
  <c r="C7" i="190"/>
  <c r="D7" i="190" s="1"/>
  <c r="E11" i="190"/>
  <c r="F15" i="190"/>
  <c r="F7" i="190"/>
  <c r="G11" i="190"/>
  <c r="O10" i="190"/>
  <c r="O11" i="190"/>
  <c r="C29" i="190"/>
  <c r="D29" i="190" s="1"/>
  <c r="C21" i="190"/>
  <c r="D21" i="190" s="1"/>
  <c r="E25" i="190"/>
  <c r="F29" i="190"/>
  <c r="F21" i="190"/>
  <c r="K26" i="190"/>
  <c r="L26" i="190" s="1"/>
  <c r="M30" i="190"/>
  <c r="M22" i="190"/>
  <c r="N26" i="190"/>
  <c r="O30" i="190"/>
  <c r="O22" i="190"/>
  <c r="C40" i="190"/>
  <c r="D40" i="190" s="1"/>
  <c r="E44" i="190"/>
  <c r="E36" i="190"/>
  <c r="F40" i="190"/>
  <c r="G44" i="190"/>
  <c r="G36" i="190"/>
  <c r="K44" i="190"/>
  <c r="L44" i="190" s="1"/>
  <c r="K36" i="190"/>
  <c r="L36" i="190" s="1"/>
  <c r="M40" i="190"/>
  <c r="N44" i="190"/>
  <c r="N36" i="190"/>
  <c r="O40" i="190"/>
  <c r="D75" i="234"/>
  <c r="F75" i="234"/>
  <c r="H75" i="234"/>
  <c r="K75" i="234"/>
  <c r="G95" i="234"/>
  <c r="G87" i="234"/>
  <c r="I95" i="234"/>
  <c r="I87" i="234"/>
  <c r="L95" i="234"/>
  <c r="L87" i="234"/>
  <c r="I103" i="234"/>
  <c r="N114" i="234"/>
  <c r="N112" i="234"/>
  <c r="N110" i="234"/>
  <c r="N108" i="234"/>
  <c r="N106" i="234"/>
  <c r="N104" i="234"/>
  <c r="E10" i="190"/>
  <c r="K10" i="190"/>
  <c r="L10" i="190" s="1"/>
  <c r="G21" i="190"/>
  <c r="G22" i="190"/>
  <c r="M29" i="190"/>
  <c r="M21" i="190"/>
  <c r="E43" i="190"/>
  <c r="M47" i="190"/>
  <c r="M39" i="190"/>
  <c r="D55" i="190"/>
  <c r="C78" i="234"/>
  <c r="D82" i="234"/>
  <c r="D74" i="234"/>
  <c r="E78" i="234"/>
  <c r="F82" i="234"/>
  <c r="F74" i="234"/>
  <c r="G78" i="234"/>
  <c r="H82" i="234"/>
  <c r="H74" i="234"/>
  <c r="I78" i="234"/>
  <c r="K82" i="234"/>
  <c r="K74" i="234"/>
  <c r="L78" i="234"/>
  <c r="F98" i="234"/>
  <c r="F90" i="234"/>
  <c r="G94" i="234"/>
  <c r="H98" i="234"/>
  <c r="H90" i="234"/>
  <c r="I94" i="234"/>
  <c r="K98" i="234"/>
  <c r="K90" i="234"/>
  <c r="L94" i="234"/>
  <c r="M112" i="234"/>
  <c r="M110" i="234"/>
  <c r="M108" i="234"/>
  <c r="M106" i="234"/>
  <c r="M104" i="234"/>
  <c r="C13" i="190"/>
  <c r="D13" i="190" s="1"/>
  <c r="E17" i="190"/>
  <c r="E9" i="190"/>
  <c r="M10" i="190"/>
  <c r="G29" i="190"/>
  <c r="K32" i="190"/>
  <c r="L32" i="190" s="1"/>
  <c r="M28" i="190"/>
  <c r="C46" i="190"/>
  <c r="D46" i="190" s="1"/>
  <c r="C38" i="190"/>
  <c r="D38" i="190" s="1"/>
  <c r="E42" i="190"/>
  <c r="K42" i="190"/>
  <c r="L42" i="190" s="1"/>
  <c r="M46" i="190"/>
  <c r="M38" i="190"/>
  <c r="E16" i="190"/>
  <c r="E8" i="190"/>
  <c r="E30" i="190"/>
  <c r="K31" i="190"/>
  <c r="L31" i="190" s="1"/>
  <c r="K23" i="190"/>
  <c r="L23" i="190" s="1"/>
  <c r="M27" i="190"/>
  <c r="C45" i="190"/>
  <c r="D45" i="190" s="1"/>
  <c r="C37" i="190"/>
  <c r="D37" i="190" s="1"/>
  <c r="E41" i="190"/>
  <c r="K41" i="190"/>
  <c r="L41" i="190" s="1"/>
  <c r="M45" i="190"/>
  <c r="M37" i="190"/>
  <c r="F54" i="190"/>
  <c r="F96" i="234"/>
  <c r="F88" i="234"/>
  <c r="G92" i="234"/>
  <c r="H96" i="234"/>
  <c r="H88" i="234"/>
  <c r="I92" i="234"/>
  <c r="K96" i="234"/>
  <c r="K88" i="234"/>
  <c r="L92" i="234"/>
  <c r="K112" i="234"/>
  <c r="K108" i="234"/>
  <c r="K104" i="234"/>
  <c r="E15" i="190"/>
  <c r="E7" i="190"/>
  <c r="M26" i="190"/>
  <c r="E40" i="190"/>
  <c r="K40" i="190"/>
  <c r="L40" i="190" s="1"/>
  <c r="M44" i="190"/>
  <c r="M36" i="190"/>
  <c r="E54" i="190"/>
  <c r="G60" i="190"/>
  <c r="E59" i="190"/>
  <c r="G56" i="190"/>
  <c r="E55" i="190"/>
  <c r="G52" i="190"/>
  <c r="F60" i="190"/>
  <c r="F56" i="190"/>
  <c r="F52" i="190"/>
  <c r="G61" i="190"/>
  <c r="E60" i="190"/>
  <c r="G57" i="190"/>
  <c r="E56" i="190"/>
  <c r="G53" i="190"/>
  <c r="E52" i="190"/>
  <c r="F61" i="190"/>
  <c r="D60" i="190"/>
  <c r="F57" i="190"/>
  <c r="D56" i="190"/>
  <c r="F53" i="190"/>
  <c r="D52" i="190"/>
  <c r="M15" i="190"/>
  <c r="K15" i="190"/>
  <c r="L15" i="190" s="1"/>
  <c r="N7" i="190"/>
  <c r="M12" i="190"/>
  <c r="N16" i="190"/>
  <c r="N8" i="190"/>
  <c r="O12" i="190"/>
  <c r="M11" i="190"/>
  <c r="K16" i="190"/>
  <c r="K12" i="190"/>
  <c r="L12" i="190" s="1"/>
  <c r="K8" i="190"/>
  <c r="L8" i="190" s="1"/>
  <c r="M16" i="190"/>
  <c r="M8" i="190"/>
  <c r="B63" i="190"/>
  <c r="D47" i="190"/>
  <c r="D51" i="190"/>
  <c r="B48" i="190"/>
  <c r="J48" i="190"/>
  <c r="B33" i="190"/>
  <c r="L16" i="190"/>
  <c r="B18" i="190"/>
  <c r="J33" i="190"/>
  <c r="L28" i="190"/>
  <c r="J18" i="190"/>
  <c r="I114" i="234"/>
  <c r="I113" i="234"/>
  <c r="I112" i="234"/>
  <c r="I111" i="234"/>
  <c r="I110" i="234"/>
  <c r="I109" i="234"/>
  <c r="I108" i="234"/>
  <c r="I107" i="234"/>
  <c r="I106" i="234"/>
  <c r="I105" i="234"/>
  <c r="I104" i="234"/>
  <c r="H114" i="234"/>
  <c r="H113" i="234"/>
  <c r="H112" i="234"/>
  <c r="H111" i="234"/>
  <c r="H110" i="234"/>
  <c r="H109" i="234"/>
  <c r="H108" i="234"/>
  <c r="H107" i="234"/>
  <c r="H106" i="234"/>
  <c r="H105" i="234"/>
  <c r="H104" i="234"/>
  <c r="G114" i="234"/>
  <c r="G113" i="234"/>
  <c r="G112" i="234"/>
  <c r="G111" i="234"/>
  <c r="G110" i="234"/>
  <c r="G109" i="234"/>
  <c r="G108" i="234"/>
  <c r="G107" i="234"/>
  <c r="G106" i="234"/>
  <c r="G105" i="234"/>
  <c r="G104" i="234"/>
  <c r="F114" i="234"/>
  <c r="F113" i="234"/>
  <c r="F112" i="234"/>
  <c r="F111" i="234"/>
  <c r="F110" i="234"/>
  <c r="F109" i="234"/>
  <c r="F108" i="234"/>
  <c r="F107" i="234"/>
  <c r="F106" i="234"/>
  <c r="F105" i="234"/>
  <c r="F104" i="234"/>
  <c r="E114" i="234"/>
  <c r="E113" i="234"/>
  <c r="E112" i="234"/>
  <c r="E111" i="234"/>
  <c r="E110" i="234"/>
  <c r="E109" i="234"/>
  <c r="E108" i="234"/>
  <c r="E107" i="234"/>
  <c r="E106" i="234"/>
  <c r="E105" i="234"/>
  <c r="E104" i="234"/>
  <c r="D114" i="234"/>
  <c r="D112" i="234"/>
  <c r="D110" i="234"/>
  <c r="D106" i="234"/>
  <c r="D104" i="234"/>
  <c r="D113" i="234"/>
  <c r="D111" i="234"/>
  <c r="D109" i="234"/>
  <c r="D108" i="234"/>
  <c r="D107" i="234"/>
  <c r="D105" i="234"/>
  <c r="B35" i="234"/>
  <c r="B19" i="234"/>
  <c r="B51" i="234"/>
  <c r="B99" i="234"/>
  <c r="B67" i="234"/>
  <c r="B83" i="234"/>
  <c r="B115" i="234"/>
  <c r="D24" i="189"/>
  <c r="D38" i="189"/>
  <c r="D40" i="189"/>
  <c r="D37" i="189"/>
  <c r="D57" i="189"/>
  <c r="P94" i="235"/>
  <c r="H94" i="235"/>
  <c r="P93" i="235"/>
  <c r="H93" i="235"/>
  <c r="P92" i="235"/>
  <c r="H92" i="235"/>
  <c r="P91" i="235"/>
  <c r="H91" i="235"/>
  <c r="P90" i="235"/>
  <c r="H90" i="235"/>
  <c r="P89" i="235"/>
  <c r="H89" i="235"/>
  <c r="P88" i="235"/>
  <c r="H88" i="235"/>
  <c r="P87" i="235"/>
  <c r="H87" i="235"/>
  <c r="P86" i="235"/>
  <c r="H86" i="235"/>
  <c r="P85" i="235"/>
  <c r="H85" i="235"/>
  <c r="P84" i="235"/>
  <c r="H84" i="235"/>
  <c r="O94" i="235"/>
  <c r="G94" i="235"/>
  <c r="O93" i="235"/>
  <c r="G93" i="235"/>
  <c r="O92" i="235"/>
  <c r="G92" i="235"/>
  <c r="O91" i="235"/>
  <c r="G91" i="235"/>
  <c r="O90" i="235"/>
  <c r="G90" i="235"/>
  <c r="O89" i="235"/>
  <c r="G89" i="235"/>
  <c r="O88" i="235"/>
  <c r="G88" i="235"/>
  <c r="O87" i="235"/>
  <c r="G87" i="235"/>
  <c r="O86" i="235"/>
  <c r="G86" i="235"/>
  <c r="O85" i="235"/>
  <c r="G85" i="235"/>
  <c r="O84" i="235"/>
  <c r="G84" i="235"/>
  <c r="N94" i="235"/>
  <c r="F94" i="235"/>
  <c r="N93" i="235"/>
  <c r="F93" i="235"/>
  <c r="N92" i="235"/>
  <c r="F92" i="235"/>
  <c r="N91" i="235"/>
  <c r="F91" i="235"/>
  <c r="N90" i="235"/>
  <c r="F90" i="235"/>
  <c r="N89" i="235"/>
  <c r="F89" i="235"/>
  <c r="N88" i="235"/>
  <c r="F88" i="235"/>
  <c r="N87" i="235"/>
  <c r="F87" i="235"/>
  <c r="N86" i="235"/>
  <c r="F86" i="235"/>
  <c r="N85" i="235"/>
  <c r="F85" i="235"/>
  <c r="N84" i="235"/>
  <c r="F84" i="235"/>
  <c r="M94" i="235"/>
  <c r="E94" i="235"/>
  <c r="M93" i="235"/>
  <c r="E93" i="235"/>
  <c r="M92" i="235"/>
  <c r="E92" i="235"/>
  <c r="M91" i="235"/>
  <c r="E91" i="235"/>
  <c r="M90" i="235"/>
  <c r="E90" i="235"/>
  <c r="M89" i="235"/>
  <c r="E89" i="235"/>
  <c r="M88" i="235"/>
  <c r="E88" i="235"/>
  <c r="M87" i="235"/>
  <c r="E87" i="235"/>
  <c r="M86" i="235"/>
  <c r="E86" i="235"/>
  <c r="M85" i="235"/>
  <c r="E85" i="235"/>
  <c r="M84" i="235"/>
  <c r="E84" i="235"/>
  <c r="L94" i="235"/>
  <c r="L93" i="235"/>
  <c r="L92" i="235"/>
  <c r="L91" i="235"/>
  <c r="L90" i="235"/>
  <c r="L89" i="235"/>
  <c r="L88" i="235"/>
  <c r="L87" i="235"/>
  <c r="L86" i="235"/>
  <c r="L85" i="235"/>
  <c r="L84" i="235"/>
  <c r="K94" i="235"/>
  <c r="K93" i="235"/>
  <c r="K92" i="235"/>
  <c r="K91" i="235"/>
  <c r="K90" i="235"/>
  <c r="K89" i="235"/>
  <c r="K88" i="235"/>
  <c r="K87" i="235"/>
  <c r="K86" i="235"/>
  <c r="K85" i="235"/>
  <c r="K84" i="235"/>
  <c r="P79" i="235"/>
  <c r="H79" i="235"/>
  <c r="P78" i="235"/>
  <c r="H78" i="235"/>
  <c r="P77" i="235"/>
  <c r="H77" i="235"/>
  <c r="P76" i="235"/>
  <c r="H76" i="235"/>
  <c r="P75" i="235"/>
  <c r="H75" i="235"/>
  <c r="P74" i="235"/>
  <c r="H74" i="235"/>
  <c r="P73" i="235"/>
  <c r="H73" i="235"/>
  <c r="P72" i="235"/>
  <c r="H72" i="235"/>
  <c r="P71" i="235"/>
  <c r="H71" i="235"/>
  <c r="P70" i="235"/>
  <c r="H70" i="235"/>
  <c r="P69" i="235"/>
  <c r="H69" i="235"/>
  <c r="T76" i="235"/>
  <c r="T72" i="235"/>
  <c r="T70" i="235"/>
  <c r="G79" i="235"/>
  <c r="O78" i="235"/>
  <c r="G78" i="235"/>
  <c r="O77" i="235"/>
  <c r="G77" i="235"/>
  <c r="O76" i="235"/>
  <c r="G76" i="235"/>
  <c r="O75" i="235"/>
  <c r="G75" i="235"/>
  <c r="O74" i="235"/>
  <c r="G74" i="235"/>
  <c r="O72" i="235"/>
  <c r="G72" i="235"/>
  <c r="O71" i="235"/>
  <c r="G71" i="235"/>
  <c r="O70" i="235"/>
  <c r="G70" i="235"/>
  <c r="O69" i="235"/>
  <c r="G69" i="235"/>
  <c r="O73" i="235"/>
  <c r="S72" i="235"/>
  <c r="S70" i="235"/>
  <c r="N79" i="235"/>
  <c r="F79" i="235"/>
  <c r="N78" i="235"/>
  <c r="F78" i="235"/>
  <c r="N77" i="235"/>
  <c r="F77" i="235"/>
  <c r="N76" i="235"/>
  <c r="F76" i="235"/>
  <c r="N75" i="235"/>
  <c r="F75" i="235"/>
  <c r="N74" i="235"/>
  <c r="F74" i="235"/>
  <c r="N73" i="235"/>
  <c r="F73" i="235"/>
  <c r="N72" i="235"/>
  <c r="F72" i="235"/>
  <c r="N71" i="235"/>
  <c r="F71" i="235"/>
  <c r="N70" i="235"/>
  <c r="F70" i="235"/>
  <c r="N69" i="235"/>
  <c r="F69" i="235"/>
  <c r="T78" i="235"/>
  <c r="T74" i="235"/>
  <c r="O79" i="235"/>
  <c r="G73" i="235"/>
  <c r="V79" i="235"/>
  <c r="V77" i="235"/>
  <c r="V75" i="235"/>
  <c r="V73" i="235"/>
  <c r="V71" i="235"/>
  <c r="V69" i="235"/>
  <c r="M79" i="235"/>
  <c r="E79" i="235"/>
  <c r="M78" i="235"/>
  <c r="E78" i="235"/>
  <c r="M77" i="235"/>
  <c r="E77" i="235"/>
  <c r="M76" i="235"/>
  <c r="E76" i="235"/>
  <c r="M75" i="235"/>
  <c r="E75" i="235"/>
  <c r="M74" i="235"/>
  <c r="E74" i="235"/>
  <c r="M73" i="235"/>
  <c r="E73" i="235"/>
  <c r="M72" i="235"/>
  <c r="E72" i="235"/>
  <c r="M71" i="235"/>
  <c r="E71" i="235"/>
  <c r="M70" i="235"/>
  <c r="E70" i="235"/>
  <c r="M69" i="235"/>
  <c r="E69" i="235"/>
  <c r="L79" i="235"/>
  <c r="L78" i="235"/>
  <c r="L77" i="235"/>
  <c r="L76" i="235"/>
  <c r="L75" i="235"/>
  <c r="L74" i="235"/>
  <c r="L73" i="235"/>
  <c r="L72" i="235"/>
  <c r="L71" i="235"/>
  <c r="L70" i="235"/>
  <c r="D70" i="235"/>
  <c r="L69" i="235"/>
  <c r="D69" i="235"/>
  <c r="T79" i="235"/>
  <c r="T77" i="235"/>
  <c r="T75" i="235"/>
  <c r="T73" i="235"/>
  <c r="K79" i="235"/>
  <c r="K78" i="235"/>
  <c r="K77" i="235"/>
  <c r="K76" i="235"/>
  <c r="K75" i="235"/>
  <c r="K74" i="235"/>
  <c r="K73" i="235"/>
  <c r="K72" i="235"/>
  <c r="K71" i="235"/>
  <c r="K70" i="235"/>
  <c r="K69" i="235"/>
  <c r="G21" i="235"/>
  <c r="G25" i="235"/>
  <c r="H28" i="235"/>
  <c r="I32" i="235"/>
  <c r="I24" i="235"/>
  <c r="J28" i="235"/>
  <c r="K32" i="235"/>
  <c r="K24" i="235"/>
  <c r="L28" i="235"/>
  <c r="M32" i="235"/>
  <c r="M24" i="235"/>
  <c r="N28" i="235"/>
  <c r="O32" i="235"/>
  <c r="O24" i="235"/>
  <c r="P28" i="235"/>
  <c r="Q32" i="235"/>
  <c r="Q24" i="235"/>
  <c r="T32" i="235"/>
  <c r="T24" i="235"/>
  <c r="V28" i="235"/>
  <c r="C46" i="235"/>
  <c r="C38" i="235"/>
  <c r="E44" i="235"/>
  <c r="G44" i="235"/>
  <c r="G40" i="235"/>
  <c r="H47" i="235"/>
  <c r="H39" i="235"/>
  <c r="I42" i="235"/>
  <c r="J45" i="235"/>
  <c r="J37" i="235"/>
  <c r="K40" i="235"/>
  <c r="L43" i="235"/>
  <c r="M46" i="235"/>
  <c r="M38" i="235"/>
  <c r="N41" i="235"/>
  <c r="O44" i="235"/>
  <c r="P47" i="235"/>
  <c r="P39" i="235"/>
  <c r="Q42" i="235"/>
  <c r="T40" i="235"/>
  <c r="V46" i="235"/>
  <c r="V38" i="235"/>
  <c r="F6" i="235"/>
  <c r="E22" i="235"/>
  <c r="G32" i="235"/>
  <c r="G24" i="235"/>
  <c r="H27" i="235"/>
  <c r="I31" i="235"/>
  <c r="I23" i="235"/>
  <c r="J27" i="235"/>
  <c r="K31" i="235"/>
  <c r="K23" i="235"/>
  <c r="L27" i="235"/>
  <c r="M31" i="235"/>
  <c r="M23" i="235"/>
  <c r="N27" i="235"/>
  <c r="O31" i="235"/>
  <c r="O23" i="235"/>
  <c r="P27" i="235"/>
  <c r="Q31" i="235"/>
  <c r="Q23" i="235"/>
  <c r="T31" i="235"/>
  <c r="T23" i="235"/>
  <c r="V27" i="235"/>
  <c r="C45" i="235"/>
  <c r="C37" i="235"/>
  <c r="E43" i="235"/>
  <c r="F44" i="235"/>
  <c r="F40" i="235"/>
  <c r="H46" i="235"/>
  <c r="H38" i="235"/>
  <c r="I41" i="235"/>
  <c r="J44" i="235"/>
  <c r="K47" i="235"/>
  <c r="K39" i="235"/>
  <c r="L42" i="235"/>
  <c r="M45" i="235"/>
  <c r="M37" i="235"/>
  <c r="N40" i="235"/>
  <c r="O43" i="235"/>
  <c r="P46" i="235"/>
  <c r="P38" i="235"/>
  <c r="Q41" i="235"/>
  <c r="T47" i="235"/>
  <c r="T39" i="235"/>
  <c r="V45" i="235"/>
  <c r="V37" i="235"/>
  <c r="F10" i="235"/>
  <c r="N17" i="235"/>
  <c r="E30" i="235"/>
  <c r="E21" i="235"/>
  <c r="G31" i="235"/>
  <c r="G23" i="235"/>
  <c r="H26" i="235"/>
  <c r="I30" i="235"/>
  <c r="I22" i="235"/>
  <c r="J26" i="235"/>
  <c r="K30" i="235"/>
  <c r="K22" i="235"/>
  <c r="L26" i="235"/>
  <c r="M30" i="235"/>
  <c r="M22" i="235"/>
  <c r="N26" i="235"/>
  <c r="O30" i="235"/>
  <c r="O22" i="235"/>
  <c r="P26" i="235"/>
  <c r="Q30" i="235"/>
  <c r="Q22" i="235"/>
  <c r="T30" i="235"/>
  <c r="T22" i="235"/>
  <c r="V26" i="235"/>
  <c r="C44" i="235"/>
  <c r="E42" i="235"/>
  <c r="G47" i="235"/>
  <c r="G43" i="235"/>
  <c r="G39" i="235"/>
  <c r="H45" i="235"/>
  <c r="H37" i="235"/>
  <c r="I40" i="235"/>
  <c r="J43" i="235"/>
  <c r="K46" i="235"/>
  <c r="K38" i="235"/>
  <c r="L41" i="235"/>
  <c r="M44" i="235"/>
  <c r="N47" i="235"/>
  <c r="N39" i="235"/>
  <c r="O42" i="235"/>
  <c r="P45" i="235"/>
  <c r="P37" i="235"/>
  <c r="Q40" i="235"/>
  <c r="T46" i="235"/>
  <c r="T38" i="235"/>
  <c r="V44" i="235"/>
  <c r="G14" i="235"/>
  <c r="N9" i="235"/>
  <c r="F21" i="235"/>
  <c r="G30" i="235"/>
  <c r="G22" i="235"/>
  <c r="H25" i="235"/>
  <c r="I29" i="235"/>
  <c r="I21" i="235"/>
  <c r="J25" i="235"/>
  <c r="K29" i="235"/>
  <c r="K21" i="235"/>
  <c r="L25" i="235"/>
  <c r="M29" i="235"/>
  <c r="M21" i="235"/>
  <c r="N25" i="235"/>
  <c r="O29" i="235"/>
  <c r="O21" i="235"/>
  <c r="P25" i="235"/>
  <c r="Q29" i="235"/>
  <c r="Q21" i="235"/>
  <c r="T29" i="235"/>
  <c r="T21" i="235"/>
  <c r="C43" i="235"/>
  <c r="D38" i="235"/>
  <c r="E41" i="235"/>
  <c r="F47" i="235"/>
  <c r="F43" i="235"/>
  <c r="F39" i="235"/>
  <c r="H44" i="235"/>
  <c r="I47" i="235"/>
  <c r="I39" i="235"/>
  <c r="J42" i="235"/>
  <c r="K45" i="235"/>
  <c r="K37" i="235"/>
  <c r="L40" i="235"/>
  <c r="M43" i="235"/>
  <c r="N46" i="235"/>
  <c r="N38" i="235"/>
  <c r="O41" i="235"/>
  <c r="P44" i="235"/>
  <c r="Q47" i="235"/>
  <c r="Q39" i="235"/>
  <c r="T45" i="235"/>
  <c r="T37" i="235"/>
  <c r="V43" i="235"/>
  <c r="H17" i="235"/>
  <c r="C22" i="235"/>
  <c r="F22" i="235"/>
  <c r="G29" i="235"/>
  <c r="H32" i="235"/>
  <c r="H24" i="235"/>
  <c r="I28" i="235"/>
  <c r="J32" i="235"/>
  <c r="J24" i="235"/>
  <c r="K28" i="235"/>
  <c r="L32" i="235"/>
  <c r="L24" i="235"/>
  <c r="M28" i="235"/>
  <c r="N32" i="235"/>
  <c r="N24" i="235"/>
  <c r="O28" i="235"/>
  <c r="P32" i="235"/>
  <c r="P24" i="235"/>
  <c r="Q28" i="235"/>
  <c r="T28" i="235"/>
  <c r="C42" i="235"/>
  <c r="E40" i="235"/>
  <c r="G46" i="235"/>
  <c r="G42" i="235"/>
  <c r="G38" i="235"/>
  <c r="H43" i="235"/>
  <c r="I46" i="235"/>
  <c r="I38" i="235"/>
  <c r="J41" i="235"/>
  <c r="K44" i="235"/>
  <c r="L47" i="235"/>
  <c r="L39" i="235"/>
  <c r="M42" i="235"/>
  <c r="N45" i="235"/>
  <c r="N37" i="235"/>
  <c r="O40" i="235"/>
  <c r="P43" i="235"/>
  <c r="Q46" i="235"/>
  <c r="Q38" i="235"/>
  <c r="T44" i="235"/>
  <c r="V42" i="235"/>
  <c r="H9" i="235"/>
  <c r="C30" i="235"/>
  <c r="F31" i="235"/>
  <c r="H31" i="235"/>
  <c r="H23" i="235"/>
  <c r="I27" i="235"/>
  <c r="J31" i="235"/>
  <c r="J23" i="235"/>
  <c r="K27" i="235"/>
  <c r="L31" i="235"/>
  <c r="L23" i="235"/>
  <c r="M27" i="235"/>
  <c r="N31" i="235"/>
  <c r="N23" i="235"/>
  <c r="O27" i="235"/>
  <c r="P31" i="235"/>
  <c r="P23" i="235"/>
  <c r="Q27" i="235"/>
  <c r="T27" i="235"/>
  <c r="C41" i="235"/>
  <c r="E47" i="235"/>
  <c r="E39" i="235"/>
  <c r="F46" i="235"/>
  <c r="F42" i="235"/>
  <c r="F38" i="235"/>
  <c r="H42" i="235"/>
  <c r="I45" i="235"/>
  <c r="I37" i="235"/>
  <c r="J40" i="235"/>
  <c r="K43" i="235"/>
  <c r="L46" i="235"/>
  <c r="L38" i="235"/>
  <c r="M41" i="235"/>
  <c r="N44" i="235"/>
  <c r="O47" i="235"/>
  <c r="O39" i="235"/>
  <c r="P42" i="235"/>
  <c r="Q45" i="235"/>
  <c r="Q37" i="235"/>
  <c r="T43" i="235"/>
  <c r="V41" i="235"/>
  <c r="L44" i="235"/>
  <c r="C14" i="235"/>
  <c r="J17" i="235"/>
  <c r="D22" i="235"/>
  <c r="F30" i="235"/>
  <c r="G27" i="235"/>
  <c r="H30" i="235"/>
  <c r="H22" i="235"/>
  <c r="I26" i="235"/>
  <c r="J30" i="235"/>
  <c r="J22" i="235"/>
  <c r="K26" i="235"/>
  <c r="L30" i="235"/>
  <c r="L22" i="235"/>
  <c r="M26" i="235"/>
  <c r="N30" i="235"/>
  <c r="N22" i="235"/>
  <c r="O26" i="235"/>
  <c r="P30" i="235"/>
  <c r="P22" i="235"/>
  <c r="Q26" i="235"/>
  <c r="T26" i="235"/>
  <c r="C40" i="235"/>
  <c r="E46" i="235"/>
  <c r="E38" i="235"/>
  <c r="G45" i="235"/>
  <c r="G41" i="235"/>
  <c r="G37" i="235"/>
  <c r="H41" i="235"/>
  <c r="I44" i="235"/>
  <c r="J47" i="235"/>
  <c r="J39" i="235"/>
  <c r="K42" i="235"/>
  <c r="L45" i="235"/>
  <c r="L37" i="235"/>
  <c r="M40" i="235"/>
  <c r="D36" i="235"/>
  <c r="H36" i="235"/>
  <c r="J36" i="235"/>
  <c r="L36" i="235"/>
  <c r="N36" i="235"/>
  <c r="P36" i="235"/>
  <c r="C36" i="235"/>
  <c r="E36" i="235"/>
  <c r="I36" i="235"/>
  <c r="K36" i="235"/>
  <c r="M36" i="235"/>
  <c r="O36" i="235"/>
  <c r="Q36" i="235"/>
  <c r="T36" i="235"/>
  <c r="E29" i="235"/>
  <c r="F29" i="235"/>
  <c r="O13" i="235"/>
  <c r="V13" i="235"/>
  <c r="C13" i="235"/>
  <c r="E12" i="235"/>
  <c r="F17" i="235"/>
  <c r="F9" i="235"/>
  <c r="G13" i="235"/>
  <c r="H16" i="235"/>
  <c r="H8" i="235"/>
  <c r="I12" i="235"/>
  <c r="J16" i="235"/>
  <c r="J8" i="235"/>
  <c r="K12" i="235"/>
  <c r="M12" i="235"/>
  <c r="N16" i="235"/>
  <c r="N8" i="235"/>
  <c r="O12" i="235"/>
  <c r="Q12" i="235"/>
  <c r="T12" i="235"/>
  <c r="V12" i="235"/>
  <c r="C12" i="235"/>
  <c r="E11" i="235"/>
  <c r="F16" i="235"/>
  <c r="F8" i="235"/>
  <c r="G12" i="235"/>
  <c r="H15" i="235"/>
  <c r="I11" i="235"/>
  <c r="J15" i="235"/>
  <c r="J7" i="235"/>
  <c r="K11" i="235"/>
  <c r="L7" i="235"/>
  <c r="M11" i="235"/>
  <c r="N15" i="235"/>
  <c r="N7" i="235"/>
  <c r="O11" i="235"/>
  <c r="Q11" i="235"/>
  <c r="T11" i="235"/>
  <c r="V11" i="235"/>
  <c r="I13" i="235"/>
  <c r="C11" i="235"/>
  <c r="D7" i="235"/>
  <c r="E10" i="235"/>
  <c r="F15" i="235"/>
  <c r="F7" i="235"/>
  <c r="G11" i="235"/>
  <c r="H14" i="235"/>
  <c r="H6" i="235"/>
  <c r="I10" i="235"/>
  <c r="J14" i="235"/>
  <c r="J6" i="235"/>
  <c r="K10" i="235"/>
  <c r="L6" i="235"/>
  <c r="M10" i="235"/>
  <c r="N14" i="235"/>
  <c r="N6" i="235"/>
  <c r="O10" i="235"/>
  <c r="P6" i="235"/>
  <c r="Q10" i="235"/>
  <c r="T10" i="235"/>
  <c r="V10" i="235"/>
  <c r="E13" i="235"/>
  <c r="M13" i="235"/>
  <c r="Q13" i="235"/>
  <c r="C10" i="235"/>
  <c r="E17" i="235"/>
  <c r="E9" i="235"/>
  <c r="F14" i="235"/>
  <c r="G6" i="235"/>
  <c r="G10" i="235"/>
  <c r="H13" i="235"/>
  <c r="I17" i="235"/>
  <c r="I9" i="235"/>
  <c r="J13" i="235"/>
  <c r="K17" i="235"/>
  <c r="K9" i="235"/>
  <c r="M17" i="235"/>
  <c r="M9" i="235"/>
  <c r="N13" i="235"/>
  <c r="O17" i="235"/>
  <c r="O9" i="235"/>
  <c r="Q17" i="235"/>
  <c r="Q9" i="235"/>
  <c r="T17" i="235"/>
  <c r="T9" i="235"/>
  <c r="V17" i="235"/>
  <c r="V9" i="235"/>
  <c r="T13" i="235"/>
  <c r="C17" i="235"/>
  <c r="C9" i="235"/>
  <c r="E16" i="235"/>
  <c r="E8" i="235"/>
  <c r="F13" i="235"/>
  <c r="H12" i="235"/>
  <c r="I16" i="235"/>
  <c r="I8" i="235"/>
  <c r="J12" i="235"/>
  <c r="K16" i="235"/>
  <c r="K8" i="235"/>
  <c r="M16" i="235"/>
  <c r="M8" i="235"/>
  <c r="N12" i="235"/>
  <c r="O16" i="235"/>
  <c r="O8" i="235"/>
  <c r="Q16" i="235"/>
  <c r="Q8" i="235"/>
  <c r="S12" i="235"/>
  <c r="T16" i="235"/>
  <c r="T8" i="235"/>
  <c r="V16" i="235"/>
  <c r="V8" i="235"/>
  <c r="C16" i="235"/>
  <c r="C8" i="235"/>
  <c r="E15" i="235"/>
  <c r="E7" i="235"/>
  <c r="H11" i="235"/>
  <c r="I15" i="235"/>
  <c r="I7" i="235"/>
  <c r="J11" i="235"/>
  <c r="K15" i="235"/>
  <c r="K7" i="235"/>
  <c r="M15" i="235"/>
  <c r="M7" i="235"/>
  <c r="N11" i="235"/>
  <c r="O15" i="235"/>
  <c r="O7" i="235"/>
  <c r="Q15" i="235"/>
  <c r="Q7" i="235"/>
  <c r="T15" i="235"/>
  <c r="T7" i="235"/>
  <c r="V15" i="235"/>
  <c r="V7" i="235"/>
  <c r="C15" i="235"/>
  <c r="C7" i="235"/>
  <c r="E14" i="235"/>
  <c r="E6" i="235"/>
  <c r="H10" i="235"/>
  <c r="I14" i="235"/>
  <c r="I6" i="235"/>
  <c r="J10" i="235"/>
  <c r="K14" i="235"/>
  <c r="K6" i="235"/>
  <c r="M14" i="235"/>
  <c r="M6" i="235"/>
  <c r="N10" i="235"/>
  <c r="O14" i="235"/>
  <c r="O6" i="235"/>
  <c r="Q14" i="235"/>
  <c r="Q6" i="235"/>
  <c r="T14" i="235"/>
  <c r="T6" i="235"/>
  <c r="D114" i="142"/>
  <c r="AQ116" i="142"/>
  <c r="B44" i="189" s="1"/>
  <c r="C44" i="189" s="1"/>
  <c r="D113" i="142"/>
  <c r="T107" i="235"/>
  <c r="B53" i="189"/>
  <c r="B61" i="189"/>
  <c r="T108" i="235"/>
  <c r="B54" i="189"/>
  <c r="D109" i="142"/>
  <c r="B62" i="189"/>
  <c r="D116" i="142"/>
  <c r="B56" i="189"/>
  <c r="B60" i="189"/>
  <c r="BG108" i="142"/>
  <c r="B59" i="189"/>
  <c r="C58" i="189"/>
  <c r="D58" i="189" s="1"/>
  <c r="D109" i="235"/>
  <c r="S116" i="142"/>
  <c r="J14" i="189" s="1"/>
  <c r="K14" i="189" s="1"/>
  <c r="BG140" i="142"/>
  <c r="BG141" i="142" s="1"/>
  <c r="J25" i="189"/>
  <c r="K25" i="189" s="1"/>
  <c r="B55" i="189"/>
  <c r="S110" i="142"/>
  <c r="J8" i="189" s="1"/>
  <c r="K8" i="189" s="1"/>
  <c r="J27" i="189"/>
  <c r="K27" i="189" s="1"/>
  <c r="D112" i="142"/>
  <c r="J12" i="189"/>
  <c r="K12" i="189" s="1"/>
  <c r="D32" i="235"/>
  <c r="J24" i="189"/>
  <c r="K24" i="189" s="1"/>
  <c r="J28" i="189"/>
  <c r="K28" i="189" s="1"/>
  <c r="AQ111" i="142"/>
  <c r="AQ115" i="142"/>
  <c r="B43" i="189" s="1"/>
  <c r="C43" i="189" s="1"/>
  <c r="K112" i="142"/>
  <c r="AA113" i="142"/>
  <c r="B26" i="189" s="1"/>
  <c r="C26" i="189" s="1"/>
  <c r="AQ114" i="142"/>
  <c r="B42" i="189" s="1"/>
  <c r="C42" i="189" s="1"/>
  <c r="H64" i="235"/>
  <c r="AY109" i="142"/>
  <c r="J37" i="189" s="1"/>
  <c r="AA119" i="142"/>
  <c r="B32" i="189" s="1"/>
  <c r="C32" i="189" s="1"/>
  <c r="AY112" i="142"/>
  <c r="J40" i="189" s="1"/>
  <c r="K40" i="189" s="1"/>
  <c r="D94" i="235"/>
  <c r="AY115" i="142"/>
  <c r="J43" i="189" s="1"/>
  <c r="S118" i="142"/>
  <c r="J16" i="189" s="1"/>
  <c r="K16" i="189" s="1"/>
  <c r="J23" i="189"/>
  <c r="K23" i="189" s="1"/>
  <c r="J10" i="189"/>
  <c r="K10" i="189" s="1"/>
  <c r="K113" i="142"/>
  <c r="S115" i="142"/>
  <c r="J13" i="189" s="1"/>
  <c r="K13" i="189" s="1"/>
  <c r="K116" i="142"/>
  <c r="AQ118" i="142"/>
  <c r="B46" i="189" s="1"/>
  <c r="C46" i="189" s="1"/>
  <c r="K108" i="142"/>
  <c r="AA110" i="142"/>
  <c r="B23" i="189" s="1"/>
  <c r="C23" i="189" s="1"/>
  <c r="AY110" i="142"/>
  <c r="J38" i="189" s="1"/>
  <c r="K38" i="189" s="1"/>
  <c r="J26" i="189"/>
  <c r="K26" i="189" s="1"/>
  <c r="D79" i="235"/>
  <c r="J29" i="189"/>
  <c r="K29" i="189" s="1"/>
  <c r="S117" i="142"/>
  <c r="AY118" i="142"/>
  <c r="J46" i="189" s="1"/>
  <c r="AI108" i="142"/>
  <c r="K111" i="142"/>
  <c r="AY113" i="142"/>
  <c r="J41" i="189" s="1"/>
  <c r="K41" i="189" s="1"/>
  <c r="AY116" i="142"/>
  <c r="J44" i="189" s="1"/>
  <c r="K44" i="189" s="1"/>
  <c r="AA117" i="142"/>
  <c r="B30" i="189" s="1"/>
  <c r="C30" i="189" s="1"/>
  <c r="S109" i="142"/>
  <c r="J7" i="189" s="1"/>
  <c r="K7" i="189" s="1"/>
  <c r="K115" i="142"/>
  <c r="AA116" i="142"/>
  <c r="B29" i="189" s="1"/>
  <c r="C29" i="189" s="1"/>
  <c r="K119" i="142"/>
  <c r="AA108" i="142"/>
  <c r="AY108" i="142"/>
  <c r="J11" i="189"/>
  <c r="K11" i="189" s="1"/>
  <c r="J31" i="189"/>
  <c r="K31" i="189" s="1"/>
  <c r="AA109" i="142"/>
  <c r="B22" i="189" s="1"/>
  <c r="C22" i="189" s="1"/>
  <c r="AQ119" i="142"/>
  <c r="B47" i="189" s="1"/>
  <c r="C47" i="189" s="1"/>
  <c r="AQ117" i="142"/>
  <c r="B45" i="189" s="1"/>
  <c r="C45" i="189" s="1"/>
  <c r="K110" i="142"/>
  <c r="AA112" i="142"/>
  <c r="B25" i="189" s="1"/>
  <c r="C25" i="189" s="1"/>
  <c r="AY117" i="142"/>
  <c r="J45" i="189" s="1"/>
  <c r="K45" i="189" s="1"/>
  <c r="S108" i="142"/>
  <c r="K109" i="142"/>
  <c r="AY111" i="142"/>
  <c r="J39" i="189" s="1"/>
  <c r="AQ113" i="142"/>
  <c r="S119" i="142"/>
  <c r="J17" i="189" s="1"/>
  <c r="K17" i="189" s="1"/>
  <c r="AA118" i="142"/>
  <c r="B31" i="189" s="1"/>
  <c r="C31" i="189" s="1"/>
  <c r="D64" i="235"/>
  <c r="AA115" i="142"/>
  <c r="B28" i="189" s="1"/>
  <c r="C28" i="189" s="1"/>
  <c r="K118" i="142"/>
  <c r="AQ108" i="142"/>
  <c r="J22" i="189"/>
  <c r="K22" i="189" s="1"/>
  <c r="J9" i="189"/>
  <c r="K9" i="189" s="1"/>
  <c r="AA114" i="142"/>
  <c r="B27" i="189" s="1"/>
  <c r="C27" i="189" s="1"/>
  <c r="AY114" i="142"/>
  <c r="J42" i="189" s="1"/>
  <c r="H7" i="235" l="1"/>
  <c r="K142" i="142"/>
  <c r="K143" i="142" s="1"/>
  <c r="K144" i="142" s="1"/>
  <c r="K145" i="142" s="1"/>
  <c r="K146" i="142" s="1"/>
  <c r="K147" i="142" s="1"/>
  <c r="K148" i="142" s="1"/>
  <c r="K149" i="142" s="1"/>
  <c r="K150" i="142" s="1"/>
  <c r="K151" i="142" s="1"/>
  <c r="H99" i="235"/>
  <c r="BG142" i="142"/>
  <c r="BG143" i="142" s="1"/>
  <c r="BG144" i="142" s="1"/>
  <c r="BG145" i="142" s="1"/>
  <c r="BG146" i="142" s="1"/>
  <c r="BG147" i="142" s="1"/>
  <c r="BG148" i="142" s="1"/>
  <c r="BG149" i="142" s="1"/>
  <c r="BG150" i="142" s="1"/>
  <c r="BG151" i="142" s="1"/>
  <c r="AA128" i="142"/>
  <c r="S144" i="142"/>
  <c r="Q108" i="235"/>
  <c r="Q106" i="235"/>
  <c r="S31" i="235"/>
  <c r="Q107" i="235"/>
  <c r="Q105" i="235"/>
  <c r="S17" i="235"/>
  <c r="S16" i="235"/>
  <c r="J15" i="189"/>
  <c r="K15" i="189" s="1"/>
  <c r="T105" i="235"/>
  <c r="S13" i="235"/>
  <c r="K174" i="142"/>
  <c r="P7" i="235"/>
  <c r="T106" i="235"/>
  <c r="D177" i="142"/>
  <c r="AI182" i="142"/>
  <c r="P63" i="235" s="1"/>
  <c r="AI166" i="142"/>
  <c r="L63" i="235" s="1"/>
  <c r="D178" i="142"/>
  <c r="Q102" i="235"/>
  <c r="D173" i="142"/>
  <c r="D181" i="142"/>
  <c r="D179" i="142"/>
  <c r="S43" i="235"/>
  <c r="Q99" i="235"/>
  <c r="Q104" i="235"/>
  <c r="Q103" i="235"/>
  <c r="D182" i="142"/>
  <c r="D175" i="142"/>
  <c r="D180" i="142"/>
  <c r="Q100" i="235"/>
  <c r="D176" i="142"/>
  <c r="Q101" i="235"/>
  <c r="D174" i="142"/>
  <c r="S28" i="235"/>
  <c r="T103" i="235"/>
  <c r="C55" i="189"/>
  <c r="D55" i="189" s="1"/>
  <c r="C56" i="189"/>
  <c r="D56" i="189" s="1"/>
  <c r="T101" i="235"/>
  <c r="T102" i="235"/>
  <c r="I98" i="235"/>
  <c r="K159" i="142"/>
  <c r="S40" i="235"/>
  <c r="D111" i="142"/>
  <c r="E100" i="235"/>
  <c r="T100" i="235"/>
  <c r="M99" i="235"/>
  <c r="E99" i="235"/>
  <c r="S83" i="235"/>
  <c r="C78" i="288"/>
  <c r="S68" i="235"/>
  <c r="C78" i="287"/>
  <c r="S53" i="235"/>
  <c r="C78" i="286"/>
  <c r="S36" i="235"/>
  <c r="C78" i="285"/>
  <c r="G78" i="285" s="1"/>
  <c r="S21" i="235"/>
  <c r="C78" i="284"/>
  <c r="S98" i="235"/>
  <c r="C78" i="289"/>
  <c r="O78" i="332" s="1"/>
  <c r="E78" i="289"/>
  <c r="S14" i="235"/>
  <c r="S7" i="235"/>
  <c r="S11" i="235"/>
  <c r="S9" i="235"/>
  <c r="S8" i="235"/>
  <c r="S6" i="235"/>
  <c r="C78" i="283"/>
  <c r="S10" i="235"/>
  <c r="S15" i="235"/>
  <c r="H98" i="235"/>
  <c r="T98" i="235"/>
  <c r="S106" i="235"/>
  <c r="S107" i="235"/>
  <c r="S109" i="235"/>
  <c r="D106" i="235"/>
  <c r="D99" i="235"/>
  <c r="S100" i="235"/>
  <c r="S101" i="235"/>
  <c r="D104" i="235"/>
  <c r="D107" i="235"/>
  <c r="S108" i="235"/>
  <c r="S103" i="235"/>
  <c r="D100" i="235"/>
  <c r="D101" i="235"/>
  <c r="S102" i="235"/>
  <c r="C54" i="189"/>
  <c r="D54" i="189" s="1"/>
  <c r="L30" i="189"/>
  <c r="D59" i="235"/>
  <c r="D62" i="235"/>
  <c r="D55" i="235"/>
  <c r="D57" i="235"/>
  <c r="D63" i="235"/>
  <c r="D30" i="235"/>
  <c r="S24" i="235"/>
  <c r="D24" i="235"/>
  <c r="D27" i="235"/>
  <c r="S32" i="235"/>
  <c r="S25" i="235"/>
  <c r="S29" i="235"/>
  <c r="D31" i="235"/>
  <c r="S26" i="235"/>
  <c r="D23" i="235"/>
  <c r="D29" i="235"/>
  <c r="S22" i="235"/>
  <c r="S30" i="235"/>
  <c r="S23" i="235"/>
  <c r="S27" i="235"/>
  <c r="D25" i="235"/>
  <c r="S37" i="235"/>
  <c r="S45" i="235"/>
  <c r="S41" i="235"/>
  <c r="D39" i="235"/>
  <c r="S46" i="235"/>
  <c r="S42" i="235"/>
  <c r="S44" i="235"/>
  <c r="S38" i="235"/>
  <c r="D37" i="235"/>
  <c r="D40" i="235"/>
  <c r="S91" i="235"/>
  <c r="D85" i="235"/>
  <c r="D89" i="235"/>
  <c r="D93" i="235"/>
  <c r="S90" i="235"/>
  <c r="S84" i="235"/>
  <c r="S88" i="235"/>
  <c r="D86" i="235"/>
  <c r="D90" i="235"/>
  <c r="S89" i="235"/>
  <c r="D87" i="235"/>
  <c r="D91" i="235"/>
  <c r="S93" i="235"/>
  <c r="S86" i="235"/>
  <c r="S87" i="235"/>
  <c r="S85" i="235"/>
  <c r="S92" i="235"/>
  <c r="D84" i="235"/>
  <c r="D88" i="235"/>
  <c r="D92" i="235"/>
  <c r="B41" i="189"/>
  <c r="C41" i="189" s="1"/>
  <c r="S73" i="235"/>
  <c r="D74" i="235"/>
  <c r="D78" i="235"/>
  <c r="S74" i="235"/>
  <c r="S76" i="235"/>
  <c r="D71" i="235"/>
  <c r="D75" i="235"/>
  <c r="S78" i="235"/>
  <c r="S77" i="235"/>
  <c r="B39" i="189"/>
  <c r="C39" i="189" s="1"/>
  <c r="S71" i="235"/>
  <c r="D72" i="235"/>
  <c r="D76" i="235"/>
  <c r="S75" i="235"/>
  <c r="S79" i="235"/>
  <c r="D73" i="235"/>
  <c r="D77" i="235"/>
  <c r="D115" i="142"/>
  <c r="C60" i="189"/>
  <c r="D60" i="189" s="1"/>
  <c r="D118" i="142"/>
  <c r="K39" i="189"/>
  <c r="L39" i="189" s="1"/>
  <c r="K37" i="189"/>
  <c r="L37" i="189" s="1"/>
  <c r="C61" i="189"/>
  <c r="D61" i="189" s="1"/>
  <c r="D110" i="142"/>
  <c r="D125" i="142"/>
  <c r="C53" i="189"/>
  <c r="D53" i="189" s="1"/>
  <c r="D140" i="142"/>
  <c r="C62" i="189"/>
  <c r="D62" i="189" s="1"/>
  <c r="D119" i="142"/>
  <c r="L11" i="189"/>
  <c r="K43" i="189"/>
  <c r="L43" i="189" s="1"/>
  <c r="D108" i="142"/>
  <c r="C59" i="189"/>
  <c r="D59" i="189" s="1"/>
  <c r="D157" i="142"/>
  <c r="K47" i="189"/>
  <c r="L47" i="189" s="1"/>
  <c r="K42" i="189"/>
  <c r="L42" i="189" s="1"/>
  <c r="K46" i="189"/>
  <c r="L46" i="189" s="1"/>
  <c r="BG188" i="142"/>
  <c r="BG189" i="142" s="1"/>
  <c r="BG190" i="142" s="1"/>
  <c r="BG191" i="142" s="1"/>
  <c r="BG192" i="142" s="1"/>
  <c r="BG193" i="142" s="1"/>
  <c r="BG194" i="142" s="1"/>
  <c r="BG195" i="142" s="1"/>
  <c r="BG196" i="142" s="1"/>
  <c r="BG197" i="142" s="1"/>
  <c r="BG198" i="142" s="1"/>
  <c r="BG199" i="142" s="1"/>
  <c r="B51" i="189"/>
  <c r="D117" i="142"/>
  <c r="L41" i="189"/>
  <c r="L44" i="189"/>
  <c r="L45" i="189"/>
  <c r="L40" i="189"/>
  <c r="AY188" i="142"/>
  <c r="AY189" i="142" s="1"/>
  <c r="AY190" i="142" s="1"/>
  <c r="AY191" i="142" s="1"/>
  <c r="AY192" i="142" s="1"/>
  <c r="AY193" i="142" s="1"/>
  <c r="AY194" i="142" s="1"/>
  <c r="AY195" i="142" s="1"/>
  <c r="AY196" i="142" s="1"/>
  <c r="AY197" i="142" s="1"/>
  <c r="AY198" i="142" s="1"/>
  <c r="AY199" i="142" s="1"/>
  <c r="J36" i="189"/>
  <c r="L38" i="189"/>
  <c r="D43" i="189"/>
  <c r="D44" i="189"/>
  <c r="D45" i="189"/>
  <c r="D42" i="189"/>
  <c r="AQ188" i="142"/>
  <c r="AQ189" i="142" s="1"/>
  <c r="B36" i="189"/>
  <c r="H62" i="235"/>
  <c r="H55" i="235"/>
  <c r="H63" i="235"/>
  <c r="H59" i="235"/>
  <c r="H54" i="235"/>
  <c r="H56" i="235"/>
  <c r="S60" i="235"/>
  <c r="L26" i="189"/>
  <c r="S59" i="235"/>
  <c r="L27" i="189"/>
  <c r="L22" i="189"/>
  <c r="S54" i="235"/>
  <c r="L25" i="189"/>
  <c r="S63" i="235"/>
  <c r="S55" i="235"/>
  <c r="S61" i="235"/>
  <c r="AI188" i="142"/>
  <c r="J21" i="189"/>
  <c r="L24" i="189"/>
  <c r="S57" i="235"/>
  <c r="S64" i="235"/>
  <c r="J32" i="189"/>
  <c r="L28" i="189"/>
  <c r="S58" i="235"/>
  <c r="S56" i="235"/>
  <c r="S47" i="235"/>
  <c r="D32" i="189"/>
  <c r="D27" i="189"/>
  <c r="AA188" i="142"/>
  <c r="AA189" i="142" s="1"/>
  <c r="AA190" i="142" s="1"/>
  <c r="AA191" i="142" s="1"/>
  <c r="AA192" i="142" s="1"/>
  <c r="B21" i="189"/>
  <c r="D30" i="189"/>
  <c r="D28" i="189"/>
  <c r="D26" i="189"/>
  <c r="D22" i="189"/>
  <c r="L13" i="189"/>
  <c r="L10" i="189"/>
  <c r="L9" i="189"/>
  <c r="S188" i="142"/>
  <c r="J6" i="189"/>
  <c r="L7" i="189"/>
  <c r="L14" i="189"/>
  <c r="L12" i="189"/>
  <c r="L16" i="189"/>
  <c r="L8" i="189"/>
  <c r="L17" i="189"/>
  <c r="G18" i="190"/>
  <c r="D8" i="235"/>
  <c r="B14" i="189"/>
  <c r="B8" i="189"/>
  <c r="B11" i="189"/>
  <c r="C11" i="189" s="1"/>
  <c r="D12" i="189"/>
  <c r="B16" i="189"/>
  <c r="B10" i="189"/>
  <c r="B7" i="189"/>
  <c r="C7" i="189" s="1"/>
  <c r="D7" i="189" s="1"/>
  <c r="B17" i="189"/>
  <c r="C17" i="189" s="1"/>
  <c r="B9" i="189"/>
  <c r="C9" i="189" s="1"/>
  <c r="B15" i="189"/>
  <c r="C15" i="189" s="1"/>
  <c r="B13" i="189"/>
  <c r="K188" i="142"/>
  <c r="B6" i="189"/>
  <c r="M48" i="190"/>
  <c r="G33" i="190"/>
  <c r="O48" i="190"/>
  <c r="G48" i="190"/>
  <c r="C63" i="190"/>
  <c r="D63" i="190" s="1"/>
  <c r="E63" i="190"/>
  <c r="E48" i="190"/>
  <c r="F48" i="190"/>
  <c r="F63" i="190"/>
  <c r="C48" i="190"/>
  <c r="D48" i="190" s="1"/>
  <c r="N48" i="190"/>
  <c r="K48" i="190"/>
  <c r="L48" i="190" s="1"/>
  <c r="D36" i="190"/>
  <c r="O33" i="190"/>
  <c r="O18" i="190"/>
  <c r="M33" i="190"/>
  <c r="C33" i="190"/>
  <c r="D33" i="190" s="1"/>
  <c r="N33" i="190"/>
  <c r="F33" i="190"/>
  <c r="D22" i="190"/>
  <c r="E33" i="190"/>
  <c r="L21" i="190"/>
  <c r="K33" i="190"/>
  <c r="L33" i="190" s="1"/>
  <c r="E18" i="190"/>
  <c r="F18" i="190"/>
  <c r="M18" i="190"/>
  <c r="K18" i="190"/>
  <c r="L18" i="190" s="1"/>
  <c r="N18" i="190"/>
  <c r="C18" i="190"/>
  <c r="D18" i="190" s="1"/>
  <c r="F51" i="234"/>
  <c r="N51" i="234"/>
  <c r="G51" i="234"/>
  <c r="I35" i="234"/>
  <c r="E51" i="234"/>
  <c r="K35" i="234"/>
  <c r="C51" i="234"/>
  <c r="K51" i="234"/>
  <c r="F19" i="234"/>
  <c r="N35" i="234"/>
  <c r="N19" i="234"/>
  <c r="M51" i="234"/>
  <c r="E19" i="234"/>
  <c r="L19" i="234"/>
  <c r="G19" i="234"/>
  <c r="L51" i="234"/>
  <c r="C19" i="234"/>
  <c r="M19" i="234"/>
  <c r="H19" i="234"/>
  <c r="D51" i="234"/>
  <c r="D19" i="234"/>
  <c r="L35" i="234"/>
  <c r="I51" i="234"/>
  <c r="H51" i="234"/>
  <c r="C35" i="234"/>
  <c r="E35" i="234"/>
  <c r="I115" i="234"/>
  <c r="H35" i="234"/>
  <c r="I19" i="234"/>
  <c r="M35" i="234"/>
  <c r="K19" i="234"/>
  <c r="L99" i="234"/>
  <c r="N115" i="234"/>
  <c r="F35" i="234"/>
  <c r="D35" i="234"/>
  <c r="G35" i="234"/>
  <c r="N83" i="234"/>
  <c r="G115" i="234"/>
  <c r="D67" i="234"/>
  <c r="C99" i="234"/>
  <c r="C67" i="234"/>
  <c r="K67" i="234"/>
  <c r="N99" i="234"/>
  <c r="F99" i="234"/>
  <c r="F83" i="234"/>
  <c r="G99" i="234"/>
  <c r="G83" i="234"/>
  <c r="M99" i="234"/>
  <c r="M67" i="234"/>
  <c r="L67" i="234"/>
  <c r="H83" i="234"/>
  <c r="H115" i="234"/>
  <c r="K99" i="234"/>
  <c r="L115" i="234"/>
  <c r="L83" i="234"/>
  <c r="H99" i="234"/>
  <c r="G67" i="234"/>
  <c r="F67" i="234"/>
  <c r="M83" i="234"/>
  <c r="F115" i="234"/>
  <c r="D115" i="234"/>
  <c r="D83" i="234"/>
  <c r="C115" i="234"/>
  <c r="C83" i="234"/>
  <c r="K83" i="234"/>
  <c r="I83" i="234"/>
  <c r="I99" i="234"/>
  <c r="H67" i="234"/>
  <c r="M115" i="234"/>
  <c r="I67" i="234"/>
  <c r="N67" i="234"/>
  <c r="E83" i="234"/>
  <c r="E115" i="234"/>
  <c r="E67" i="234"/>
  <c r="K115" i="234"/>
  <c r="E99" i="234"/>
  <c r="D99" i="234"/>
  <c r="D46" i="189"/>
  <c r="D47" i="189"/>
  <c r="L29" i="189"/>
  <c r="D29" i="189"/>
  <c r="D31" i="189"/>
  <c r="D23" i="189"/>
  <c r="D25" i="189"/>
  <c r="L31" i="189"/>
  <c r="L23" i="189"/>
  <c r="AA129" i="142" l="1"/>
  <c r="S145" i="142"/>
  <c r="L15" i="189"/>
  <c r="E78" i="293"/>
  <c r="K189" i="142"/>
  <c r="P8" i="235"/>
  <c r="K175" i="142"/>
  <c r="K176" i="142" s="1"/>
  <c r="AI183" i="142"/>
  <c r="P64" i="235" s="1"/>
  <c r="AI167" i="142"/>
  <c r="L64" i="235" s="1"/>
  <c r="U53" i="235"/>
  <c r="AI189" i="142"/>
  <c r="AI190" i="142" s="1"/>
  <c r="AI191" i="142" s="1"/>
  <c r="AI192" i="142" s="1"/>
  <c r="C78" i="323"/>
  <c r="O78" i="333"/>
  <c r="M78" i="333"/>
  <c r="C78" i="321"/>
  <c r="G78" i="321" s="1"/>
  <c r="U21" i="235"/>
  <c r="S189" i="142"/>
  <c r="S190" i="142" s="1"/>
  <c r="S191" i="142" s="1"/>
  <c r="S192" i="142" s="1"/>
  <c r="AA193" i="142"/>
  <c r="AA194" i="142" s="1"/>
  <c r="K160" i="142"/>
  <c r="L9" i="235"/>
  <c r="AQ190" i="142"/>
  <c r="I99" i="235"/>
  <c r="V98" i="235"/>
  <c r="K78" i="332"/>
  <c r="G78" i="287"/>
  <c r="I78" i="332"/>
  <c r="G78" i="286"/>
  <c r="M78" i="332"/>
  <c r="G78" i="288"/>
  <c r="G78" i="332"/>
  <c r="D39" i="189"/>
  <c r="G78" i="284"/>
  <c r="E78" i="332"/>
  <c r="G78" i="289"/>
  <c r="D141" i="142"/>
  <c r="C78" i="332" a="1"/>
  <c r="C78" i="332" s="1"/>
  <c r="G78" i="283"/>
  <c r="U98" i="235"/>
  <c r="U6" i="235"/>
  <c r="U36" i="235"/>
  <c r="U83" i="235"/>
  <c r="D41" i="189"/>
  <c r="U68" i="235"/>
  <c r="D126" i="142"/>
  <c r="E51" i="189"/>
  <c r="E52" i="189" s="1"/>
  <c r="E53" i="189" s="1"/>
  <c r="E54" i="189" s="1"/>
  <c r="E55" i="189" s="1"/>
  <c r="E56" i="189" s="1"/>
  <c r="E57" i="189" s="1"/>
  <c r="B63" i="189"/>
  <c r="C51" i="189"/>
  <c r="C63" i="189" s="1"/>
  <c r="D158" i="142"/>
  <c r="D188" i="142"/>
  <c r="K36" i="189"/>
  <c r="K48" i="189" s="1"/>
  <c r="M36" i="189"/>
  <c r="J48" i="189"/>
  <c r="E36" i="189"/>
  <c r="E37" i="189" s="1"/>
  <c r="E38" i="189" s="1"/>
  <c r="E39" i="189" s="1"/>
  <c r="E40" i="189" s="1"/>
  <c r="E41" i="189" s="1"/>
  <c r="C36" i="189"/>
  <c r="D36" i="189" s="1"/>
  <c r="B48" i="189"/>
  <c r="K32" i="189"/>
  <c r="L32" i="189" s="1"/>
  <c r="K21" i="189"/>
  <c r="J33" i="189"/>
  <c r="M21" i="189"/>
  <c r="M22" i="189" s="1"/>
  <c r="M23" i="189" s="1"/>
  <c r="M24" i="189" s="1"/>
  <c r="M25" i="189" s="1"/>
  <c r="M26" i="189" s="1"/>
  <c r="M27" i="189" s="1"/>
  <c r="M28" i="189" s="1"/>
  <c r="C21" i="189"/>
  <c r="B33" i="189"/>
  <c r="E21" i="189"/>
  <c r="E22" i="189" s="1"/>
  <c r="E23" i="189" s="1"/>
  <c r="E24" i="189" s="1"/>
  <c r="E25" i="189" s="1"/>
  <c r="K6" i="189"/>
  <c r="K18" i="189" s="1"/>
  <c r="J18" i="189"/>
  <c r="M6" i="189"/>
  <c r="C16" i="189"/>
  <c r="D16" i="189" s="1"/>
  <c r="D9" i="235"/>
  <c r="D9" i="189"/>
  <c r="D11" i="189"/>
  <c r="U7" i="235"/>
  <c r="C13" i="189"/>
  <c r="D13" i="189" s="1"/>
  <c r="C6" i="189"/>
  <c r="E6" i="189"/>
  <c r="E7" i="189" s="1"/>
  <c r="E8" i="189" s="1"/>
  <c r="B18" i="189"/>
  <c r="D17" i="189"/>
  <c r="D15" i="189"/>
  <c r="C10" i="189"/>
  <c r="D10" i="189" s="1"/>
  <c r="C8" i="189"/>
  <c r="D8" i="189" s="1"/>
  <c r="C14" i="189"/>
  <c r="D14" i="189" s="1"/>
  <c r="G195" i="268"/>
  <c r="H195" i="268"/>
  <c r="J195" i="268"/>
  <c r="K195" i="268"/>
  <c r="L195" i="268" s="1"/>
  <c r="G196" i="268"/>
  <c r="H196" i="268"/>
  <c r="J196" i="268"/>
  <c r="K196" i="268"/>
  <c r="L196" i="268" s="1"/>
  <c r="G197" i="268"/>
  <c r="H197" i="268"/>
  <c r="J197" i="268"/>
  <c r="K197" i="268"/>
  <c r="L197" i="268" s="1"/>
  <c r="G198" i="268"/>
  <c r="H198" i="268"/>
  <c r="J198" i="268"/>
  <c r="K198" i="268"/>
  <c r="L198" i="268" s="1"/>
  <c r="G199" i="268"/>
  <c r="H199" i="268"/>
  <c r="J199" i="268"/>
  <c r="K199" i="268"/>
  <c r="L199" i="268" s="1"/>
  <c r="G200" i="268"/>
  <c r="H200" i="268"/>
  <c r="J200" i="268"/>
  <c r="K200" i="268"/>
  <c r="L200" i="268" s="1"/>
  <c r="G201" i="268"/>
  <c r="H201" i="268"/>
  <c r="J201" i="268"/>
  <c r="K201" i="268"/>
  <c r="L201" i="268" s="1"/>
  <c r="G202" i="268"/>
  <c r="H202" i="268"/>
  <c r="J202" i="268"/>
  <c r="K202" i="268"/>
  <c r="L202" i="268" s="1"/>
  <c r="G203" i="268"/>
  <c r="H203" i="268"/>
  <c r="J203" i="268"/>
  <c r="K203" i="268"/>
  <c r="L203" i="268" s="1"/>
  <c r="G204" i="268"/>
  <c r="H204" i="268"/>
  <c r="J204" i="268"/>
  <c r="K204" i="268"/>
  <c r="L204" i="268" s="1"/>
  <c r="G205" i="268"/>
  <c r="H205" i="268"/>
  <c r="J205" i="268"/>
  <c r="K205" i="268"/>
  <c r="L205" i="268" s="1"/>
  <c r="G206" i="268"/>
  <c r="H206" i="268"/>
  <c r="J206" i="268"/>
  <c r="K206" i="268"/>
  <c r="L206" i="268" s="1"/>
  <c r="G207" i="268"/>
  <c r="H207" i="268"/>
  <c r="J207" i="268"/>
  <c r="K207" i="268"/>
  <c r="L207" i="268" s="1"/>
  <c r="G208" i="268"/>
  <c r="H208" i="268"/>
  <c r="J208" i="268"/>
  <c r="K208" i="268"/>
  <c r="L208" i="268" s="1"/>
  <c r="G209" i="268"/>
  <c r="H209" i="268"/>
  <c r="J209" i="268"/>
  <c r="K209" i="268"/>
  <c r="L209" i="268" s="1"/>
  <c r="G210" i="268"/>
  <c r="H210" i="268"/>
  <c r="J210" i="268"/>
  <c r="K210" i="268"/>
  <c r="L210" i="268" s="1"/>
  <c r="G211" i="268"/>
  <c r="H211" i="268"/>
  <c r="J211" i="268"/>
  <c r="K211" i="268"/>
  <c r="L211" i="268" s="1"/>
  <c r="G212" i="268"/>
  <c r="H212" i="268"/>
  <c r="J212" i="268"/>
  <c r="K212" i="268"/>
  <c r="L212" i="268" s="1"/>
  <c r="G213" i="268"/>
  <c r="H213" i="268"/>
  <c r="J213" i="268"/>
  <c r="K213" i="268"/>
  <c r="L213" i="268" s="1"/>
  <c r="G214" i="268"/>
  <c r="H214" i="268"/>
  <c r="J214" i="268"/>
  <c r="K214" i="268"/>
  <c r="L214" i="268" s="1"/>
  <c r="G215" i="268"/>
  <c r="H215" i="268"/>
  <c r="J215" i="268"/>
  <c r="K215" i="268"/>
  <c r="L215" i="268" s="1"/>
  <c r="G216" i="268"/>
  <c r="H216" i="268"/>
  <c r="J216" i="268"/>
  <c r="K216" i="268"/>
  <c r="L216" i="268" s="1"/>
  <c r="G217" i="268"/>
  <c r="H217" i="268"/>
  <c r="J217" i="268"/>
  <c r="K217" i="268"/>
  <c r="L217" i="268" s="1"/>
  <c r="G218" i="268"/>
  <c r="H218" i="268"/>
  <c r="J218" i="268"/>
  <c r="K218" i="268"/>
  <c r="L218" i="268" s="1"/>
  <c r="G219" i="268"/>
  <c r="H219" i="268"/>
  <c r="J219" i="268"/>
  <c r="K219" i="268"/>
  <c r="L219" i="268" s="1"/>
  <c r="G220" i="268"/>
  <c r="H220" i="268"/>
  <c r="J220" i="268"/>
  <c r="K220" i="268"/>
  <c r="L220" i="268" s="1"/>
  <c r="G221" i="268"/>
  <c r="H221" i="268"/>
  <c r="J221" i="268"/>
  <c r="K221" i="268"/>
  <c r="L221" i="268" s="1"/>
  <c r="G222" i="268"/>
  <c r="H222" i="268"/>
  <c r="J222" i="268"/>
  <c r="K222" i="268"/>
  <c r="L222" i="268" s="1"/>
  <c r="G223" i="268"/>
  <c r="H223" i="268"/>
  <c r="J223" i="268"/>
  <c r="K223" i="268"/>
  <c r="L223" i="268" s="1"/>
  <c r="G224" i="268"/>
  <c r="H224" i="268"/>
  <c r="J224" i="268"/>
  <c r="K224" i="268"/>
  <c r="L224" i="268" s="1"/>
  <c r="G225" i="268"/>
  <c r="H225" i="268"/>
  <c r="J225" i="268"/>
  <c r="K225" i="268"/>
  <c r="L225" i="268" s="1"/>
  <c r="G226" i="268"/>
  <c r="H226" i="268"/>
  <c r="J226" i="268"/>
  <c r="K226" i="268"/>
  <c r="L226" i="268" s="1"/>
  <c r="G227" i="268"/>
  <c r="H227" i="268"/>
  <c r="J227" i="268"/>
  <c r="K227" i="268"/>
  <c r="L227" i="268" s="1"/>
  <c r="G228" i="268"/>
  <c r="H228" i="268"/>
  <c r="J228" i="268"/>
  <c r="K228" i="268"/>
  <c r="L228" i="268" s="1"/>
  <c r="G229" i="268"/>
  <c r="H229" i="268"/>
  <c r="J229" i="268"/>
  <c r="K229" i="268"/>
  <c r="L229" i="268" s="1"/>
  <c r="G230" i="268"/>
  <c r="H230" i="268"/>
  <c r="J230" i="268"/>
  <c r="K230" i="268"/>
  <c r="L230" i="268" s="1"/>
  <c r="G231" i="268"/>
  <c r="H231" i="268"/>
  <c r="J231" i="268"/>
  <c r="K231" i="268"/>
  <c r="L231" i="268" s="1"/>
  <c r="G232" i="268"/>
  <c r="H232" i="268"/>
  <c r="J232" i="268"/>
  <c r="K232" i="268"/>
  <c r="L232" i="268" s="1"/>
  <c r="G233" i="268"/>
  <c r="H233" i="268"/>
  <c r="J233" i="268"/>
  <c r="K233" i="268"/>
  <c r="L233" i="268" s="1"/>
  <c r="G234" i="268"/>
  <c r="H234" i="268"/>
  <c r="J234" i="268"/>
  <c r="K234" i="268"/>
  <c r="L234" i="268" s="1"/>
  <c r="G235" i="268"/>
  <c r="H235" i="268"/>
  <c r="J235" i="268"/>
  <c r="K235" i="268"/>
  <c r="L235" i="268" s="1"/>
  <c r="G236" i="268"/>
  <c r="H236" i="268"/>
  <c r="J236" i="268"/>
  <c r="K236" i="268"/>
  <c r="L236" i="268" s="1"/>
  <c r="G237" i="268"/>
  <c r="H237" i="268"/>
  <c r="J237" i="268"/>
  <c r="K237" i="268"/>
  <c r="L237" i="268" s="1"/>
  <c r="G238" i="268"/>
  <c r="H238" i="268"/>
  <c r="J238" i="268"/>
  <c r="K238" i="268"/>
  <c r="L238" i="268" s="1"/>
  <c r="G239" i="268"/>
  <c r="H239" i="268"/>
  <c r="J239" i="268"/>
  <c r="K239" i="268"/>
  <c r="L239" i="268" s="1"/>
  <c r="G240" i="268"/>
  <c r="H240" i="268"/>
  <c r="J240" i="268"/>
  <c r="K240" i="268"/>
  <c r="L240" i="268" s="1"/>
  <c r="G241" i="268"/>
  <c r="H241" i="268"/>
  <c r="J241" i="268"/>
  <c r="K241" i="268"/>
  <c r="L241" i="268" s="1"/>
  <c r="G242" i="268"/>
  <c r="H242" i="268"/>
  <c r="J242" i="268"/>
  <c r="K242" i="268"/>
  <c r="L242" i="268" s="1"/>
  <c r="G243" i="268"/>
  <c r="H243" i="268"/>
  <c r="J243" i="268"/>
  <c r="K243" i="268"/>
  <c r="L243" i="268" s="1"/>
  <c r="G244" i="268"/>
  <c r="H244" i="268"/>
  <c r="J244" i="268"/>
  <c r="K244" i="268"/>
  <c r="L244" i="268" s="1"/>
  <c r="G245" i="268"/>
  <c r="H245" i="268"/>
  <c r="J245" i="268"/>
  <c r="K245" i="268"/>
  <c r="L245" i="268" s="1"/>
  <c r="G246" i="268"/>
  <c r="H246" i="268"/>
  <c r="J246" i="268"/>
  <c r="K246" i="268"/>
  <c r="L246" i="268" s="1"/>
  <c r="G247" i="268"/>
  <c r="H247" i="268"/>
  <c r="J247" i="268"/>
  <c r="K247" i="268"/>
  <c r="L247" i="268" s="1"/>
  <c r="G248" i="268"/>
  <c r="H248" i="268"/>
  <c r="J248" i="268"/>
  <c r="K248" i="268"/>
  <c r="L248" i="268" s="1"/>
  <c r="G249" i="268"/>
  <c r="H249" i="268"/>
  <c r="J249" i="268"/>
  <c r="K249" i="268"/>
  <c r="L249" i="268" s="1"/>
  <c r="G250" i="268"/>
  <c r="H250" i="268"/>
  <c r="J250" i="268"/>
  <c r="K250" i="268"/>
  <c r="L250" i="268" s="1"/>
  <c r="G251" i="268"/>
  <c r="H251" i="268"/>
  <c r="J251" i="268"/>
  <c r="K251" i="268"/>
  <c r="L251" i="268" s="1"/>
  <c r="G252" i="268"/>
  <c r="H252" i="268"/>
  <c r="J252" i="268"/>
  <c r="K252" i="268"/>
  <c r="L252" i="268" s="1"/>
  <c r="G253" i="268"/>
  <c r="H253" i="268"/>
  <c r="J253" i="268"/>
  <c r="K253" i="268"/>
  <c r="L253" i="268" s="1"/>
  <c r="G254" i="268"/>
  <c r="H254" i="268"/>
  <c r="J254" i="268"/>
  <c r="K254" i="268"/>
  <c r="L254" i="268" s="1"/>
  <c r="G255" i="268"/>
  <c r="H255" i="268"/>
  <c r="J255" i="268"/>
  <c r="K255" i="268"/>
  <c r="L255" i="268" s="1"/>
  <c r="G256" i="268"/>
  <c r="H256" i="268"/>
  <c r="J256" i="268"/>
  <c r="K256" i="268"/>
  <c r="L256" i="268" s="1"/>
  <c r="G257" i="268"/>
  <c r="H257" i="268"/>
  <c r="J257" i="268"/>
  <c r="K257" i="268"/>
  <c r="L257" i="268" s="1"/>
  <c r="G258" i="268"/>
  <c r="H258" i="268"/>
  <c r="J258" i="268"/>
  <c r="K258" i="268"/>
  <c r="L258" i="268" s="1"/>
  <c r="G259" i="268"/>
  <c r="H259" i="268"/>
  <c r="J259" i="268"/>
  <c r="K259" i="268"/>
  <c r="L259" i="268" s="1"/>
  <c r="G260" i="268"/>
  <c r="H260" i="268"/>
  <c r="J260" i="268"/>
  <c r="K260" i="268"/>
  <c r="L260" i="268" s="1"/>
  <c r="G261" i="268"/>
  <c r="H261" i="268"/>
  <c r="J261" i="268"/>
  <c r="K261" i="268"/>
  <c r="L261" i="268" s="1"/>
  <c r="G262" i="268"/>
  <c r="H262" i="268"/>
  <c r="J262" i="268"/>
  <c r="K262" i="268"/>
  <c r="L262" i="268" s="1"/>
  <c r="G263" i="268"/>
  <c r="H263" i="268"/>
  <c r="J263" i="268"/>
  <c r="K263" i="268"/>
  <c r="L263" i="268" s="1"/>
  <c r="G264" i="268"/>
  <c r="H264" i="268"/>
  <c r="J264" i="268"/>
  <c r="K264" i="268"/>
  <c r="L264" i="268" s="1"/>
  <c r="G265" i="268"/>
  <c r="H265" i="268"/>
  <c r="J265" i="268"/>
  <c r="K265" i="268"/>
  <c r="L265" i="268" s="1"/>
  <c r="G266" i="268"/>
  <c r="H266" i="268"/>
  <c r="J266" i="268"/>
  <c r="K266" i="268"/>
  <c r="L266" i="268" s="1"/>
  <c r="G267" i="268"/>
  <c r="H267" i="268"/>
  <c r="J267" i="268"/>
  <c r="K267" i="268"/>
  <c r="L267" i="268" s="1"/>
  <c r="G268" i="268"/>
  <c r="H268" i="268"/>
  <c r="J268" i="268"/>
  <c r="K268" i="268"/>
  <c r="L268" i="268" s="1"/>
  <c r="G269" i="268"/>
  <c r="H269" i="268"/>
  <c r="J269" i="268"/>
  <c r="K269" i="268"/>
  <c r="L269" i="268" s="1"/>
  <c r="G270" i="268"/>
  <c r="H270" i="268"/>
  <c r="J270" i="268"/>
  <c r="K270" i="268"/>
  <c r="L270" i="268" s="1"/>
  <c r="G271" i="268"/>
  <c r="H271" i="268"/>
  <c r="J271" i="268"/>
  <c r="K271" i="268"/>
  <c r="L271" i="268" s="1"/>
  <c r="G272" i="268"/>
  <c r="H272" i="268"/>
  <c r="J272" i="268"/>
  <c r="K272" i="268"/>
  <c r="L272" i="268" s="1"/>
  <c r="G273" i="268"/>
  <c r="H273" i="268"/>
  <c r="J273" i="268"/>
  <c r="K273" i="268"/>
  <c r="L273" i="268" s="1"/>
  <c r="G274" i="268"/>
  <c r="H274" i="268"/>
  <c r="J274" i="268"/>
  <c r="K274" i="268"/>
  <c r="L274" i="268" s="1"/>
  <c r="G275" i="268"/>
  <c r="H275" i="268"/>
  <c r="J275" i="268"/>
  <c r="K275" i="268"/>
  <c r="L275" i="268" s="1"/>
  <c r="G276" i="268"/>
  <c r="H276" i="268"/>
  <c r="J276" i="268"/>
  <c r="K276" i="268"/>
  <c r="L276" i="268" s="1"/>
  <c r="G277" i="268"/>
  <c r="H277" i="268"/>
  <c r="J277" i="268"/>
  <c r="K277" i="268"/>
  <c r="L277" i="268" s="1"/>
  <c r="G278" i="268"/>
  <c r="H278" i="268"/>
  <c r="J278" i="268"/>
  <c r="K278" i="268"/>
  <c r="L278" i="268" s="1"/>
  <c r="G279" i="268"/>
  <c r="H279" i="268"/>
  <c r="J279" i="268"/>
  <c r="K279" i="268"/>
  <c r="L279" i="268" s="1"/>
  <c r="G280" i="268"/>
  <c r="H280" i="268"/>
  <c r="J280" i="268"/>
  <c r="K280" i="268"/>
  <c r="L280" i="268" s="1"/>
  <c r="G281" i="268"/>
  <c r="H281" i="268"/>
  <c r="I281" i="268"/>
  <c r="I280" i="268" s="1"/>
  <c r="I279" i="268" s="1"/>
  <c r="I278" i="268" s="1"/>
  <c r="I277" i="268" s="1"/>
  <c r="I276" i="268" s="1"/>
  <c r="I275" i="268" s="1"/>
  <c r="I274" i="268" s="1"/>
  <c r="I273" i="268" s="1"/>
  <c r="I272" i="268" s="1"/>
  <c r="I271" i="268" s="1"/>
  <c r="I270" i="268" s="1"/>
  <c r="I269" i="268" s="1"/>
  <c r="I268" i="268" s="1"/>
  <c r="I267" i="268" s="1"/>
  <c r="I266" i="268" s="1"/>
  <c r="I265" i="268" s="1"/>
  <c r="I264" i="268" s="1"/>
  <c r="I263" i="268" s="1"/>
  <c r="I262" i="268" s="1"/>
  <c r="I261" i="268" s="1"/>
  <c r="I260" i="268" s="1"/>
  <c r="I259" i="268" s="1"/>
  <c r="I258" i="268" s="1"/>
  <c r="I257" i="268" s="1"/>
  <c r="I256" i="268" s="1"/>
  <c r="I255" i="268" s="1"/>
  <c r="I254" i="268" s="1"/>
  <c r="I253" i="268" s="1"/>
  <c r="I252" i="268" s="1"/>
  <c r="I251" i="268" s="1"/>
  <c r="I250" i="268" s="1"/>
  <c r="I249" i="268" s="1"/>
  <c r="I248" i="268" s="1"/>
  <c r="I247" i="268" s="1"/>
  <c r="I246" i="268" s="1"/>
  <c r="I245" i="268" s="1"/>
  <c r="I244" i="268" s="1"/>
  <c r="I243" i="268" s="1"/>
  <c r="I242" i="268" s="1"/>
  <c r="I241" i="268" s="1"/>
  <c r="I240" i="268" s="1"/>
  <c r="I239" i="268" s="1"/>
  <c r="I238" i="268" s="1"/>
  <c r="I237" i="268" s="1"/>
  <c r="I236" i="268" s="1"/>
  <c r="I235" i="268" s="1"/>
  <c r="I234" i="268" s="1"/>
  <c r="I233" i="268" s="1"/>
  <c r="I232" i="268" s="1"/>
  <c r="I231" i="268" s="1"/>
  <c r="I230" i="268" s="1"/>
  <c r="I229" i="268" s="1"/>
  <c r="I228" i="268" s="1"/>
  <c r="I227" i="268" s="1"/>
  <c r="I226" i="268" s="1"/>
  <c r="I225" i="268" s="1"/>
  <c r="I224" i="268" s="1"/>
  <c r="I223" i="268" s="1"/>
  <c r="I222" i="268" s="1"/>
  <c r="I221" i="268" s="1"/>
  <c r="I220" i="268" s="1"/>
  <c r="I219" i="268" s="1"/>
  <c r="I218" i="268" s="1"/>
  <c r="I217" i="268" s="1"/>
  <c r="I216" i="268" s="1"/>
  <c r="I215" i="268" s="1"/>
  <c r="I214" i="268" s="1"/>
  <c r="I213" i="268" s="1"/>
  <c r="I212" i="268" s="1"/>
  <c r="I211" i="268" s="1"/>
  <c r="I210" i="268" s="1"/>
  <c r="I209" i="268" s="1"/>
  <c r="I208" i="268" s="1"/>
  <c r="I207" i="268" s="1"/>
  <c r="I206" i="268" s="1"/>
  <c r="I205" i="268" s="1"/>
  <c r="I204" i="268" s="1"/>
  <c r="I203" i="268" s="1"/>
  <c r="I202" i="268" s="1"/>
  <c r="I201" i="268" s="1"/>
  <c r="I200" i="268" s="1"/>
  <c r="I199" i="268" s="1"/>
  <c r="I198" i="268" s="1"/>
  <c r="I197" i="268" s="1"/>
  <c r="I196" i="268" s="1"/>
  <c r="I195" i="268" s="1"/>
  <c r="J281" i="268"/>
  <c r="K281" i="268"/>
  <c r="L281" i="268" s="1"/>
  <c r="AA130" i="142" l="1"/>
  <c r="D41" i="235"/>
  <c r="S146" i="142"/>
  <c r="P9" i="235"/>
  <c r="K190" i="142"/>
  <c r="AA195" i="142"/>
  <c r="U54" i="235"/>
  <c r="S193" i="142"/>
  <c r="S194" i="142" s="1"/>
  <c r="V99" i="235"/>
  <c r="AI193" i="142"/>
  <c r="AI194" i="142" s="1"/>
  <c r="AI195" i="142" s="1"/>
  <c r="AI196" i="142" s="1"/>
  <c r="U22" i="235"/>
  <c r="K161" i="142"/>
  <c r="L10" i="235"/>
  <c r="K177" i="142"/>
  <c r="P10" i="235"/>
  <c r="V100" i="235"/>
  <c r="AQ191" i="142"/>
  <c r="D142" i="142"/>
  <c r="U99" i="235"/>
  <c r="V101" i="235"/>
  <c r="U23" i="235"/>
  <c r="U37" i="235"/>
  <c r="U84" i="235"/>
  <c r="U69" i="235"/>
  <c r="D159" i="142"/>
  <c r="D51" i="189"/>
  <c r="D189" i="142"/>
  <c r="D143" i="142"/>
  <c r="D127" i="142"/>
  <c r="F51" i="189"/>
  <c r="L36" i="189"/>
  <c r="N36" i="189"/>
  <c r="N37" i="189" s="1"/>
  <c r="N38" i="189" s="1"/>
  <c r="N39" i="189" s="1"/>
  <c r="N40" i="189" s="1"/>
  <c r="N41" i="189" s="1"/>
  <c r="N42" i="189" s="1"/>
  <c r="N43" i="189" s="1"/>
  <c r="N44" i="189" s="1"/>
  <c r="N45" i="189" s="1"/>
  <c r="N46" i="189" s="1"/>
  <c r="N47" i="189" s="1"/>
  <c r="M37" i="189"/>
  <c r="C48" i="189"/>
  <c r="F36" i="189"/>
  <c r="K33" i="189"/>
  <c r="N21" i="189"/>
  <c r="L21" i="189"/>
  <c r="F21" i="189"/>
  <c r="C33" i="189"/>
  <c r="D21" i="189"/>
  <c r="L6" i="189"/>
  <c r="M7" i="189"/>
  <c r="N6" i="189"/>
  <c r="N7" i="189" s="1"/>
  <c r="N8" i="189" s="1"/>
  <c r="N9" i="189" s="1"/>
  <c r="N10" i="189" s="1"/>
  <c r="N11" i="189" s="1"/>
  <c r="N12" i="189" s="1"/>
  <c r="N13" i="189" s="1"/>
  <c r="N14" i="189" s="1"/>
  <c r="N15" i="189" s="1"/>
  <c r="N16" i="189" s="1"/>
  <c r="N17" i="189" s="1"/>
  <c r="D10" i="235"/>
  <c r="D6" i="189"/>
  <c r="C18" i="189"/>
  <c r="F6" i="189"/>
  <c r="M29" i="189"/>
  <c r="E9" i="189"/>
  <c r="E26" i="189"/>
  <c r="E27" i="189" s="1"/>
  <c r="E58" i="189"/>
  <c r="E42" i="189"/>
  <c r="A6089" i="282"/>
  <c r="G194" i="267"/>
  <c r="H194" i="267"/>
  <c r="J194" i="267"/>
  <c r="K194" i="267"/>
  <c r="G195" i="267"/>
  <c r="H195" i="267"/>
  <c r="J195" i="267"/>
  <c r="K195" i="267"/>
  <c r="G196" i="267"/>
  <c r="H196" i="267"/>
  <c r="I196" i="267"/>
  <c r="I195" i="267" s="1"/>
  <c r="I194" i="267" s="1"/>
  <c r="J196" i="267"/>
  <c r="K196" i="267"/>
  <c r="K208" i="266"/>
  <c r="J208" i="266"/>
  <c r="I208" i="266"/>
  <c r="I207" i="266" s="1"/>
  <c r="I206" i="266" s="1"/>
  <c r="I205" i="266" s="1"/>
  <c r="I204" i="266" s="1"/>
  <c r="I203" i="266" s="1"/>
  <c r="H208" i="266"/>
  <c r="G208" i="266"/>
  <c r="K207" i="266"/>
  <c r="J207" i="266"/>
  <c r="H207" i="266"/>
  <c r="G207" i="266"/>
  <c r="K206" i="266"/>
  <c r="J206" i="266"/>
  <c r="H206" i="266"/>
  <c r="G206" i="266"/>
  <c r="G203" i="266"/>
  <c r="H203" i="266"/>
  <c r="J203" i="266"/>
  <c r="K203" i="266"/>
  <c r="A6088" i="282"/>
  <c r="A6087" i="282"/>
  <c r="A6086" i="282"/>
  <c r="A6085" i="282"/>
  <c r="A6084" i="282"/>
  <c r="A6083" i="282"/>
  <c r="A6082" i="282"/>
  <c r="G193" i="268"/>
  <c r="H193" i="268"/>
  <c r="J193" i="268"/>
  <c r="K193" i="268"/>
  <c r="L193" i="268" s="1"/>
  <c r="G194" i="268"/>
  <c r="H194" i="268"/>
  <c r="I194" i="268"/>
  <c r="I193" i="268" s="1"/>
  <c r="J194" i="268"/>
  <c r="K194" i="268"/>
  <c r="L194" i="268" s="1"/>
  <c r="A6081" i="282"/>
  <c r="A6080" i="282"/>
  <c r="G203" i="276"/>
  <c r="H203" i="276"/>
  <c r="J203" i="276"/>
  <c r="K203" i="276"/>
  <c r="G204" i="276"/>
  <c r="H204" i="276"/>
  <c r="J204" i="276"/>
  <c r="K204" i="276"/>
  <c r="G205" i="276"/>
  <c r="H205" i="276"/>
  <c r="J205" i="276"/>
  <c r="K205" i="276"/>
  <c r="G206" i="276"/>
  <c r="H206" i="276"/>
  <c r="J206" i="276"/>
  <c r="K206" i="276"/>
  <c r="G207" i="276"/>
  <c r="H207" i="276"/>
  <c r="J207" i="276"/>
  <c r="K207" i="276"/>
  <c r="G208" i="276"/>
  <c r="H208" i="276"/>
  <c r="J208" i="276"/>
  <c r="K208" i="276"/>
  <c r="G209" i="276"/>
  <c r="H209" i="276"/>
  <c r="J209" i="276"/>
  <c r="K209" i="276"/>
  <c r="G210" i="276"/>
  <c r="H210" i="276"/>
  <c r="J210" i="276"/>
  <c r="K210" i="276"/>
  <c r="G211" i="276"/>
  <c r="H211" i="276"/>
  <c r="J211" i="276"/>
  <c r="K211" i="276"/>
  <c r="G212" i="276"/>
  <c r="H212" i="276"/>
  <c r="J212" i="276"/>
  <c r="K212" i="276"/>
  <c r="H213" i="276"/>
  <c r="J213" i="276"/>
  <c r="K213" i="276"/>
  <c r="H214" i="276"/>
  <c r="I214" i="276"/>
  <c r="I213" i="276" s="1"/>
  <c r="I212" i="276" s="1"/>
  <c r="I211" i="276" s="1"/>
  <c r="I210" i="276" s="1"/>
  <c r="I209" i="276" s="1"/>
  <c r="I208" i="276" s="1"/>
  <c r="I207" i="276" s="1"/>
  <c r="I206" i="276" s="1"/>
  <c r="I205" i="276" s="1"/>
  <c r="I204" i="276" s="1"/>
  <c r="I203" i="276" s="1"/>
  <c r="J214" i="276"/>
  <c r="K214" i="276"/>
  <c r="A6079" i="282"/>
  <c r="A6078" i="282"/>
  <c r="A6077" i="282"/>
  <c r="K190" i="268"/>
  <c r="L190" i="268" s="1"/>
  <c r="K205" i="266"/>
  <c r="J205" i="266"/>
  <c r="H205" i="266"/>
  <c r="G205" i="266"/>
  <c r="K204" i="266"/>
  <c r="J204" i="266"/>
  <c r="H204" i="266"/>
  <c r="G204" i="266"/>
  <c r="K202" i="266"/>
  <c r="J202" i="266"/>
  <c r="H202" i="266"/>
  <c r="G202" i="266"/>
  <c r="K201" i="266"/>
  <c r="J201" i="266"/>
  <c r="H201" i="266"/>
  <c r="G201" i="266"/>
  <c r="K200" i="266"/>
  <c r="J200" i="266"/>
  <c r="H200" i="266"/>
  <c r="G200" i="266"/>
  <c r="K199" i="266"/>
  <c r="J199" i="266"/>
  <c r="H199" i="266"/>
  <c r="G199" i="266"/>
  <c r="K198" i="266"/>
  <c r="J198" i="266"/>
  <c r="H198" i="266"/>
  <c r="G198" i="266"/>
  <c r="K197" i="266"/>
  <c r="J197" i="266"/>
  <c r="H197" i="266"/>
  <c r="G197" i="266"/>
  <c r="K196" i="266"/>
  <c r="J196" i="266"/>
  <c r="H196" i="266"/>
  <c r="G196" i="266"/>
  <c r="G193" i="266"/>
  <c r="H193" i="266"/>
  <c r="J193" i="266"/>
  <c r="K193" i="266"/>
  <c r="G174" i="272"/>
  <c r="H174" i="272"/>
  <c r="J174" i="272"/>
  <c r="K174" i="272"/>
  <c r="G175" i="272"/>
  <c r="H175" i="272"/>
  <c r="J175" i="272"/>
  <c r="K175" i="272"/>
  <c r="G176" i="272"/>
  <c r="H176" i="272"/>
  <c r="J176" i="272"/>
  <c r="K176" i="272"/>
  <c r="G177" i="272"/>
  <c r="H177" i="272"/>
  <c r="J177" i="272"/>
  <c r="K177" i="272"/>
  <c r="G178" i="272"/>
  <c r="H178" i="272"/>
  <c r="J178" i="272"/>
  <c r="K178" i="272"/>
  <c r="G179" i="272"/>
  <c r="H179" i="272"/>
  <c r="J179" i="272"/>
  <c r="K179" i="272"/>
  <c r="G180" i="272"/>
  <c r="H180" i="272"/>
  <c r="J180" i="272"/>
  <c r="K180" i="272"/>
  <c r="G181" i="272"/>
  <c r="H181" i="272"/>
  <c r="J181" i="272"/>
  <c r="K181" i="272"/>
  <c r="G182" i="272"/>
  <c r="H182" i="272"/>
  <c r="J182" i="272"/>
  <c r="K182" i="272"/>
  <c r="G183" i="272"/>
  <c r="H183" i="272"/>
  <c r="J183" i="272"/>
  <c r="K183" i="272"/>
  <c r="G184" i="272"/>
  <c r="H184" i="272"/>
  <c r="J184" i="272"/>
  <c r="K184" i="272"/>
  <c r="G185" i="272"/>
  <c r="H185" i="272"/>
  <c r="J185" i="272"/>
  <c r="K185" i="272"/>
  <c r="G186" i="272"/>
  <c r="H186" i="272"/>
  <c r="J186" i="272"/>
  <c r="K186" i="272"/>
  <c r="G187" i="272"/>
  <c r="H187" i="272"/>
  <c r="J187" i="272"/>
  <c r="K187" i="272"/>
  <c r="G188" i="272"/>
  <c r="H188" i="272"/>
  <c r="J188" i="272"/>
  <c r="K188" i="272"/>
  <c r="G189" i="272"/>
  <c r="H189" i="272"/>
  <c r="J189" i="272"/>
  <c r="K189" i="272"/>
  <c r="G190" i="272"/>
  <c r="H190" i="272"/>
  <c r="J190" i="272"/>
  <c r="K190" i="272"/>
  <c r="G191" i="272"/>
  <c r="H191" i="272"/>
  <c r="J191" i="272"/>
  <c r="K191" i="272"/>
  <c r="G192" i="272"/>
  <c r="H192" i="272"/>
  <c r="J192" i="272"/>
  <c r="K192" i="272"/>
  <c r="G193" i="272"/>
  <c r="H193" i="272"/>
  <c r="J193" i="272"/>
  <c r="K193" i="272"/>
  <c r="G194" i="272"/>
  <c r="H194" i="272"/>
  <c r="J194" i="272"/>
  <c r="K194" i="272"/>
  <c r="G195" i="272"/>
  <c r="H195" i="272"/>
  <c r="J195" i="272"/>
  <c r="K195" i="272"/>
  <c r="G196" i="272"/>
  <c r="H196" i="272"/>
  <c r="J196" i="272"/>
  <c r="K196" i="272"/>
  <c r="G197" i="272"/>
  <c r="H197" i="272"/>
  <c r="J197" i="272"/>
  <c r="K197" i="272"/>
  <c r="G198" i="272"/>
  <c r="H198" i="272"/>
  <c r="J198" i="272"/>
  <c r="K198" i="272"/>
  <c r="G199" i="272"/>
  <c r="H199" i="272"/>
  <c r="J199" i="272"/>
  <c r="K199" i="272"/>
  <c r="G200" i="272"/>
  <c r="H200" i="272"/>
  <c r="J200" i="272"/>
  <c r="K200" i="272"/>
  <c r="G201" i="272"/>
  <c r="H201" i="272"/>
  <c r="J201" i="272"/>
  <c r="K201" i="272"/>
  <c r="G202" i="272"/>
  <c r="H202" i="272"/>
  <c r="J202" i="272"/>
  <c r="K202" i="272"/>
  <c r="G203" i="272"/>
  <c r="H203" i="272"/>
  <c r="J203" i="272"/>
  <c r="K203" i="272"/>
  <c r="G204" i="272"/>
  <c r="H204" i="272"/>
  <c r="J204" i="272"/>
  <c r="K204" i="272"/>
  <c r="G205" i="272"/>
  <c r="H205" i="272"/>
  <c r="J205" i="272"/>
  <c r="K205" i="272"/>
  <c r="G206" i="272"/>
  <c r="H206" i="272"/>
  <c r="J206" i="272"/>
  <c r="K206" i="272"/>
  <c r="G207" i="272"/>
  <c r="H207" i="272"/>
  <c r="J207" i="272"/>
  <c r="K207" i="272"/>
  <c r="G208" i="272"/>
  <c r="H208" i="272"/>
  <c r="J208" i="272"/>
  <c r="K208" i="272"/>
  <c r="G209" i="272"/>
  <c r="H209" i="272"/>
  <c r="J209" i="272"/>
  <c r="K209" i="272"/>
  <c r="G210" i="272"/>
  <c r="H210" i="272"/>
  <c r="J210" i="272"/>
  <c r="K210" i="272"/>
  <c r="G211" i="272"/>
  <c r="H211" i="272"/>
  <c r="J211" i="272"/>
  <c r="K211" i="272"/>
  <c r="G212" i="272"/>
  <c r="H212" i="272"/>
  <c r="J212" i="272"/>
  <c r="K212" i="272"/>
  <c r="G213" i="272"/>
  <c r="H213" i="272"/>
  <c r="J213" i="272"/>
  <c r="K213" i="272"/>
  <c r="G214" i="272"/>
  <c r="H214" i="272"/>
  <c r="J214" i="272"/>
  <c r="K214" i="272"/>
  <c r="G215" i="272"/>
  <c r="H215" i="272"/>
  <c r="J215" i="272"/>
  <c r="K215" i="272"/>
  <c r="G216" i="272"/>
  <c r="H216" i="272"/>
  <c r="J216" i="272"/>
  <c r="K216" i="272"/>
  <c r="G217" i="272"/>
  <c r="H217" i="272"/>
  <c r="J217" i="272"/>
  <c r="K217" i="272"/>
  <c r="G218" i="272"/>
  <c r="H218" i="272"/>
  <c r="J218" i="272"/>
  <c r="K218" i="272"/>
  <c r="G219" i="272"/>
  <c r="H219" i="272"/>
  <c r="J219" i="272"/>
  <c r="K219" i="272"/>
  <c r="G220" i="272"/>
  <c r="H220" i="272"/>
  <c r="J220" i="272"/>
  <c r="K220" i="272"/>
  <c r="G221" i="272"/>
  <c r="H221" i="272"/>
  <c r="J221" i="272"/>
  <c r="K221" i="272"/>
  <c r="G222" i="272"/>
  <c r="H222" i="272"/>
  <c r="J222" i="272"/>
  <c r="K222" i="272"/>
  <c r="G223" i="272"/>
  <c r="H223" i="272"/>
  <c r="J223" i="272"/>
  <c r="K223" i="272"/>
  <c r="G224" i="272"/>
  <c r="H224" i="272"/>
  <c r="J224" i="272"/>
  <c r="K224" i="272"/>
  <c r="G225" i="272"/>
  <c r="H225" i="272"/>
  <c r="J225" i="272"/>
  <c r="K225" i="272"/>
  <c r="G226" i="272"/>
  <c r="H226" i="272"/>
  <c r="J226" i="272"/>
  <c r="K226" i="272"/>
  <c r="G227" i="272"/>
  <c r="H227" i="272"/>
  <c r="J227" i="272"/>
  <c r="K227" i="272"/>
  <c r="G228" i="272"/>
  <c r="H228" i="272"/>
  <c r="J228" i="272"/>
  <c r="K228" i="272"/>
  <c r="G229" i="272"/>
  <c r="H229" i="272"/>
  <c r="J229" i="272"/>
  <c r="K229" i="272"/>
  <c r="G230" i="272"/>
  <c r="H230" i="272"/>
  <c r="J230" i="272"/>
  <c r="K230" i="272"/>
  <c r="G231" i="272"/>
  <c r="H231" i="272"/>
  <c r="J231" i="272"/>
  <c r="K231" i="272"/>
  <c r="G232" i="272"/>
  <c r="H232" i="272"/>
  <c r="J232" i="272"/>
  <c r="K232" i="272"/>
  <c r="G233" i="272"/>
  <c r="H233" i="272"/>
  <c r="J233" i="272"/>
  <c r="K233" i="272"/>
  <c r="G234" i="272"/>
  <c r="H234" i="272"/>
  <c r="J234" i="272"/>
  <c r="K234" i="272"/>
  <c r="G235" i="272"/>
  <c r="H235" i="272"/>
  <c r="J235" i="272"/>
  <c r="K235" i="272"/>
  <c r="G236" i="272"/>
  <c r="H236" i="272"/>
  <c r="J236" i="272"/>
  <c r="K236" i="272"/>
  <c r="G237" i="272"/>
  <c r="H237" i="272"/>
  <c r="J237" i="272"/>
  <c r="K237" i="272"/>
  <c r="G238" i="272"/>
  <c r="H238" i="272"/>
  <c r="J238" i="272"/>
  <c r="K238" i="272"/>
  <c r="G239" i="272"/>
  <c r="H239" i="272"/>
  <c r="J239" i="272"/>
  <c r="K239" i="272"/>
  <c r="G240" i="272"/>
  <c r="H240" i="272"/>
  <c r="J240" i="272"/>
  <c r="K240" i="272"/>
  <c r="G241" i="272"/>
  <c r="H241" i="272"/>
  <c r="J241" i="272"/>
  <c r="K241" i="272"/>
  <c r="G242" i="272"/>
  <c r="H242" i="272"/>
  <c r="J242" i="272"/>
  <c r="K242" i="272"/>
  <c r="G243" i="272"/>
  <c r="H243" i="272"/>
  <c r="J243" i="272"/>
  <c r="K243" i="272"/>
  <c r="G244" i="272"/>
  <c r="H244" i="272"/>
  <c r="J244" i="272"/>
  <c r="K244" i="272"/>
  <c r="G245" i="272"/>
  <c r="H245" i="272"/>
  <c r="J245" i="272"/>
  <c r="K245" i="272"/>
  <c r="G246" i="272"/>
  <c r="H246" i="272"/>
  <c r="J246" i="272"/>
  <c r="K246" i="272"/>
  <c r="G247" i="272"/>
  <c r="H247" i="272"/>
  <c r="J247" i="272"/>
  <c r="K247" i="272"/>
  <c r="G248" i="272"/>
  <c r="H248" i="272"/>
  <c r="J248" i="272"/>
  <c r="K248" i="272"/>
  <c r="G249" i="272"/>
  <c r="H249" i="272"/>
  <c r="I249" i="272"/>
  <c r="I248" i="272" s="1"/>
  <c r="I247" i="272" s="1"/>
  <c r="I246" i="272" s="1"/>
  <c r="I245" i="272" s="1"/>
  <c r="I244" i="272" s="1"/>
  <c r="I243" i="272" s="1"/>
  <c r="I242" i="272" s="1"/>
  <c r="I241" i="272" s="1"/>
  <c r="I240" i="272" s="1"/>
  <c r="I239" i="272" s="1"/>
  <c r="I238" i="272" s="1"/>
  <c r="I237" i="272" s="1"/>
  <c r="I236" i="272" s="1"/>
  <c r="I235" i="272" s="1"/>
  <c r="I234" i="272" s="1"/>
  <c r="I233" i="272" s="1"/>
  <c r="I232" i="272" s="1"/>
  <c r="I231" i="272" s="1"/>
  <c r="I230" i="272" s="1"/>
  <c r="I229" i="272" s="1"/>
  <c r="I228" i="272" s="1"/>
  <c r="I227" i="272" s="1"/>
  <c r="I226" i="272" s="1"/>
  <c r="I225" i="272" s="1"/>
  <c r="I224" i="272" s="1"/>
  <c r="I223" i="272" s="1"/>
  <c r="I222" i="272" s="1"/>
  <c r="I221" i="272" s="1"/>
  <c r="I220" i="272" s="1"/>
  <c r="I219" i="272" s="1"/>
  <c r="I218" i="272" s="1"/>
  <c r="I217" i="272" s="1"/>
  <c r="I216" i="272" s="1"/>
  <c r="I215" i="272" s="1"/>
  <c r="I214" i="272" s="1"/>
  <c r="I213" i="272" s="1"/>
  <c r="I212" i="272" s="1"/>
  <c r="I211" i="272" s="1"/>
  <c r="I210" i="272" s="1"/>
  <c r="I209" i="272" s="1"/>
  <c r="I208" i="272" s="1"/>
  <c r="I207" i="272" s="1"/>
  <c r="I206" i="272" s="1"/>
  <c r="I205" i="272" s="1"/>
  <c r="I204" i="272" s="1"/>
  <c r="I203" i="272" s="1"/>
  <c r="I202" i="272" s="1"/>
  <c r="I201" i="272" s="1"/>
  <c r="I200" i="272" s="1"/>
  <c r="I199" i="272" s="1"/>
  <c r="I198" i="272" s="1"/>
  <c r="I197" i="272" s="1"/>
  <c r="I196" i="272" s="1"/>
  <c r="I195" i="272" s="1"/>
  <c r="I194" i="272" s="1"/>
  <c r="I193" i="272" s="1"/>
  <c r="I192" i="272" s="1"/>
  <c r="I191" i="272" s="1"/>
  <c r="I190" i="272" s="1"/>
  <c r="I189" i="272" s="1"/>
  <c r="I188" i="272" s="1"/>
  <c r="I187" i="272" s="1"/>
  <c r="I186" i="272" s="1"/>
  <c r="I185" i="272" s="1"/>
  <c r="I184" i="272" s="1"/>
  <c r="I183" i="272" s="1"/>
  <c r="I182" i="272" s="1"/>
  <c r="I181" i="272" s="1"/>
  <c r="I180" i="272" s="1"/>
  <c r="I179" i="272" s="1"/>
  <c r="I178" i="272" s="1"/>
  <c r="I177" i="272" s="1"/>
  <c r="I176" i="272" s="1"/>
  <c r="I175" i="272" s="1"/>
  <c r="I174" i="272" s="1"/>
  <c r="I173" i="272" s="1"/>
  <c r="I172" i="272" s="1"/>
  <c r="I171" i="272" s="1"/>
  <c r="I170" i="272" s="1"/>
  <c r="I169" i="272" s="1"/>
  <c r="I168" i="272" s="1"/>
  <c r="I167" i="272" s="1"/>
  <c r="I166" i="272" s="1"/>
  <c r="I165" i="272" s="1"/>
  <c r="I164" i="272" s="1"/>
  <c r="J249" i="272"/>
  <c r="K249" i="272"/>
  <c r="AA131" i="142" l="1"/>
  <c r="D42" i="235"/>
  <c r="S147" i="142"/>
  <c r="K178" i="142"/>
  <c r="AA196" i="142"/>
  <c r="AA197" i="142" s="1"/>
  <c r="AA198" i="142" s="1"/>
  <c r="AA199" i="142" s="1"/>
  <c r="K162" i="142"/>
  <c r="L12" i="235" s="1"/>
  <c r="K191" i="142"/>
  <c r="U8" i="235"/>
  <c r="AI197" i="142"/>
  <c r="C78" i="315"/>
  <c r="G78" i="315" s="1"/>
  <c r="S195" i="142"/>
  <c r="S196" i="142" s="1"/>
  <c r="S197" i="142" s="1"/>
  <c r="S198" i="142" s="1"/>
  <c r="S199" i="142" s="1"/>
  <c r="E78" i="333" s="1"/>
  <c r="E78" i="323"/>
  <c r="G78" i="323" s="1"/>
  <c r="P12" i="235"/>
  <c r="P11" i="235"/>
  <c r="L11" i="235"/>
  <c r="AQ192" i="142"/>
  <c r="AQ193" i="142" s="1"/>
  <c r="AQ194" i="142" s="1"/>
  <c r="AQ195" i="142" s="1"/>
  <c r="AQ196" i="142" s="1"/>
  <c r="AQ197" i="142" s="1"/>
  <c r="AQ198" i="142" s="1"/>
  <c r="AQ199" i="142" s="1"/>
  <c r="V102" i="235"/>
  <c r="U100" i="235"/>
  <c r="U55" i="235"/>
  <c r="U56" i="235"/>
  <c r="U24" i="235"/>
  <c r="U38" i="235"/>
  <c r="U85" i="235"/>
  <c r="U70" i="235"/>
  <c r="D144" i="142"/>
  <c r="D128" i="142"/>
  <c r="D190" i="142"/>
  <c r="O6" i="189"/>
  <c r="G51" i="189"/>
  <c r="F52" i="189"/>
  <c r="D160" i="142"/>
  <c r="M38" i="189"/>
  <c r="O37" i="189"/>
  <c r="O36" i="189"/>
  <c r="G36" i="189"/>
  <c r="F37" i="189"/>
  <c r="U57" i="235"/>
  <c r="N22" i="189"/>
  <c r="O21" i="189"/>
  <c r="G21" i="189"/>
  <c r="F22" i="189"/>
  <c r="M8" i="189"/>
  <c r="O7" i="189"/>
  <c r="D11" i="235"/>
  <c r="G6" i="189"/>
  <c r="F7" i="189"/>
  <c r="M30" i="189"/>
  <c r="E28" i="189"/>
  <c r="E10" i="189"/>
  <c r="E43" i="189"/>
  <c r="E59" i="189"/>
  <c r="E60" i="189" s="1"/>
  <c r="I202" i="266"/>
  <c r="I201" i="266" s="1"/>
  <c r="I200" i="266" s="1"/>
  <c r="I199" i="266" s="1"/>
  <c r="I198" i="266" s="1"/>
  <c r="I197" i="266" s="1"/>
  <c r="I196" i="266" s="1"/>
  <c r="K202" i="276"/>
  <c r="J202" i="276"/>
  <c r="I202" i="276"/>
  <c r="I201" i="276" s="1"/>
  <c r="I200" i="276" s="1"/>
  <c r="H202" i="276"/>
  <c r="G202" i="276"/>
  <c r="K201" i="276"/>
  <c r="J201" i="276"/>
  <c r="H201" i="276"/>
  <c r="G201" i="276"/>
  <c r="K200" i="276"/>
  <c r="J200" i="276"/>
  <c r="H200" i="276"/>
  <c r="G200" i="276"/>
  <c r="K197" i="276"/>
  <c r="J197" i="276"/>
  <c r="H197" i="276"/>
  <c r="G197" i="276"/>
  <c r="AA132" i="142" l="1"/>
  <c r="D43" i="235"/>
  <c r="S148" i="142"/>
  <c r="C78" i="313"/>
  <c r="G78" i="313" s="1"/>
  <c r="K192" i="142"/>
  <c r="U9" i="235"/>
  <c r="K163" i="142"/>
  <c r="G78" i="333"/>
  <c r="K179" i="142"/>
  <c r="AI198" i="142"/>
  <c r="C78" i="319"/>
  <c r="G78" i="319" s="1"/>
  <c r="K78" i="333"/>
  <c r="U101" i="235"/>
  <c r="V103" i="235"/>
  <c r="U25" i="235"/>
  <c r="U39" i="235"/>
  <c r="U86" i="235"/>
  <c r="U71" i="235"/>
  <c r="G52" i="189"/>
  <c r="F53" i="189"/>
  <c r="D145" i="142"/>
  <c r="D191" i="142"/>
  <c r="D129" i="142"/>
  <c r="D161" i="142"/>
  <c r="M39" i="189"/>
  <c r="O38" i="189"/>
  <c r="F38" i="189"/>
  <c r="G37" i="189"/>
  <c r="N23" i="189"/>
  <c r="O22" i="189"/>
  <c r="U58" i="235"/>
  <c r="G22" i="189"/>
  <c r="F23" i="189"/>
  <c r="O8" i="189"/>
  <c r="M9" i="189"/>
  <c r="F8" i="189"/>
  <c r="G7" i="189"/>
  <c r="D12" i="235"/>
  <c r="U10" i="235"/>
  <c r="E61" i="189"/>
  <c r="M31" i="189"/>
  <c r="E29" i="189"/>
  <c r="E11" i="189"/>
  <c r="E44" i="189"/>
  <c r="A6075" i="282"/>
  <c r="A6076" i="282"/>
  <c r="K203" i="271"/>
  <c r="J203" i="271"/>
  <c r="I203" i="271"/>
  <c r="I202" i="271" s="1"/>
  <c r="I201" i="271" s="1"/>
  <c r="I200" i="271" s="1"/>
  <c r="I199" i="271" s="1"/>
  <c r="I198" i="271" s="1"/>
  <c r="I197" i="271" s="1"/>
  <c r="I196" i="271" s="1"/>
  <c r="H203" i="271"/>
  <c r="G203" i="271"/>
  <c r="K202" i="271"/>
  <c r="J202" i="271"/>
  <c r="H202" i="271"/>
  <c r="G202" i="271"/>
  <c r="K201" i="271"/>
  <c r="J201" i="271"/>
  <c r="H201" i="271"/>
  <c r="G201" i="271"/>
  <c r="K200" i="271"/>
  <c r="J200" i="271"/>
  <c r="H200" i="271"/>
  <c r="G200" i="271"/>
  <c r="K199" i="271"/>
  <c r="J199" i="271"/>
  <c r="H199" i="271"/>
  <c r="G199" i="271"/>
  <c r="K198" i="271"/>
  <c r="J198" i="271"/>
  <c r="H198" i="271"/>
  <c r="G198" i="271"/>
  <c r="K197" i="271"/>
  <c r="J197" i="271"/>
  <c r="H197" i="271"/>
  <c r="G197" i="271"/>
  <c r="K196" i="271"/>
  <c r="J196" i="271"/>
  <c r="H196" i="271"/>
  <c r="G196" i="271"/>
  <c r="G193" i="271"/>
  <c r="H193" i="271"/>
  <c r="J193" i="271"/>
  <c r="K193" i="271"/>
  <c r="G188" i="267"/>
  <c r="H188" i="267"/>
  <c r="J188" i="267"/>
  <c r="K188" i="267"/>
  <c r="G189" i="267"/>
  <c r="H189" i="267"/>
  <c r="J189" i="267"/>
  <c r="K189" i="267"/>
  <c r="G190" i="267"/>
  <c r="H190" i="267"/>
  <c r="J190" i="267"/>
  <c r="K190" i="267"/>
  <c r="G191" i="267"/>
  <c r="H191" i="267"/>
  <c r="J191" i="267"/>
  <c r="K191" i="267"/>
  <c r="G192" i="267"/>
  <c r="H192" i="267"/>
  <c r="J192" i="267"/>
  <c r="K192" i="267"/>
  <c r="G193" i="267"/>
  <c r="H193" i="267"/>
  <c r="I193" i="267"/>
  <c r="I192" i="267" s="1"/>
  <c r="I191" i="267" s="1"/>
  <c r="I190" i="267" s="1"/>
  <c r="I189" i="267" s="1"/>
  <c r="I188" i="267" s="1"/>
  <c r="J193" i="267"/>
  <c r="K193" i="267"/>
  <c r="K191" i="268"/>
  <c r="L191" i="268" s="1"/>
  <c r="G192" i="268"/>
  <c r="H192" i="268"/>
  <c r="I192" i="268"/>
  <c r="I191" i="268" s="1"/>
  <c r="I190" i="268" s="1"/>
  <c r="J192" i="268"/>
  <c r="K192" i="268"/>
  <c r="L192" i="268" s="1"/>
  <c r="I291" i="269"/>
  <c r="I290" i="269" s="1"/>
  <c r="I289" i="269" s="1"/>
  <c r="I288" i="269" s="1"/>
  <c r="I287" i="269" s="1"/>
  <c r="I286" i="269" s="1"/>
  <c r="I285" i="269" s="1"/>
  <c r="I284" i="269" s="1"/>
  <c r="I283" i="269" s="1"/>
  <c r="I282" i="269" s="1"/>
  <c r="I281" i="269" s="1"/>
  <c r="I280" i="269" s="1"/>
  <c r="I279" i="269" s="1"/>
  <c r="I278" i="269" s="1"/>
  <c r="I277" i="269" s="1"/>
  <c r="I276" i="269" s="1"/>
  <c r="I275" i="269" s="1"/>
  <c r="I274" i="269" s="1"/>
  <c r="I273" i="269" s="1"/>
  <c r="I272" i="269" s="1"/>
  <c r="I271" i="269" s="1"/>
  <c r="I270" i="269" s="1"/>
  <c r="I269" i="269" s="1"/>
  <c r="I268" i="269" s="1"/>
  <c r="I267" i="269" s="1"/>
  <c r="I266" i="269" s="1"/>
  <c r="I265" i="269" s="1"/>
  <c r="I264" i="269" s="1"/>
  <c r="I263" i="269" s="1"/>
  <c r="I262" i="269" s="1"/>
  <c r="I261" i="269" s="1"/>
  <c r="I260" i="269" s="1"/>
  <c r="I259" i="269" s="1"/>
  <c r="I258" i="269" s="1"/>
  <c r="I257" i="269" s="1"/>
  <c r="I256" i="269" s="1"/>
  <c r="I255" i="269" s="1"/>
  <c r="I254" i="269" s="1"/>
  <c r="I253" i="269" s="1"/>
  <c r="I252" i="269" s="1"/>
  <c r="I251" i="269" s="1"/>
  <c r="I250" i="269" s="1"/>
  <c r="I249" i="269" s="1"/>
  <c r="I248" i="269" s="1"/>
  <c r="I247" i="269" s="1"/>
  <c r="I246" i="269" s="1"/>
  <c r="I245" i="269" s="1"/>
  <c r="I244" i="269" s="1"/>
  <c r="I243" i="269" s="1"/>
  <c r="I242" i="269" s="1"/>
  <c r="I241" i="269" s="1"/>
  <c r="I240" i="269" s="1"/>
  <c r="I239" i="269" s="1"/>
  <c r="I238" i="269" s="1"/>
  <c r="I237" i="269" s="1"/>
  <c r="I236" i="269" s="1"/>
  <c r="I235" i="269" s="1"/>
  <c r="I234" i="269" s="1"/>
  <c r="I233" i="269" s="1"/>
  <c r="I232" i="269" s="1"/>
  <c r="I231" i="269" s="1"/>
  <c r="I230" i="269" s="1"/>
  <c r="I229" i="269" s="1"/>
  <c r="I228" i="269" s="1"/>
  <c r="I227" i="269" s="1"/>
  <c r="I226" i="269" s="1"/>
  <c r="I225" i="269" s="1"/>
  <c r="I224" i="269" s="1"/>
  <c r="I223" i="269" s="1"/>
  <c r="I222" i="269" s="1"/>
  <c r="I221" i="269" s="1"/>
  <c r="I220" i="269" s="1"/>
  <c r="I219" i="269" s="1"/>
  <c r="I218" i="269" s="1"/>
  <c r="I217" i="269" s="1"/>
  <c r="I216" i="269" s="1"/>
  <c r="I215" i="269" s="1"/>
  <c r="I214" i="269" s="1"/>
  <c r="I213" i="269" s="1"/>
  <c r="I212" i="269" s="1"/>
  <c r="I211" i="269" s="1"/>
  <c r="I210" i="269" s="1"/>
  <c r="I209" i="269" s="1"/>
  <c r="I208" i="269" s="1"/>
  <c r="I207" i="269" s="1"/>
  <c r="I206" i="269" s="1"/>
  <c r="I205" i="269" s="1"/>
  <c r="I204" i="269" s="1"/>
  <c r="I203" i="269" s="1"/>
  <c r="I202" i="269" s="1"/>
  <c r="I201" i="269" s="1"/>
  <c r="I200" i="269" s="1"/>
  <c r="I199" i="269" s="1"/>
  <c r="I198" i="269" s="1"/>
  <c r="I197" i="269" s="1"/>
  <c r="I196" i="269" s="1"/>
  <c r="I195" i="269" s="1"/>
  <c r="I194" i="269" s="1"/>
  <c r="I193" i="269" s="1"/>
  <c r="I192" i="269" s="1"/>
  <c r="I191" i="269" s="1"/>
  <c r="I190" i="269" s="1"/>
  <c r="I189" i="269" s="1"/>
  <c r="I188" i="269" s="1"/>
  <c r="G194" i="269"/>
  <c r="H194" i="269"/>
  <c r="J194" i="269"/>
  <c r="K194" i="269"/>
  <c r="G195" i="269"/>
  <c r="H195" i="269"/>
  <c r="J195" i="269"/>
  <c r="K195" i="269"/>
  <c r="G196" i="269"/>
  <c r="H196" i="269"/>
  <c r="J196" i="269"/>
  <c r="K196" i="269"/>
  <c r="G197" i="269"/>
  <c r="H197" i="269"/>
  <c r="J197" i="269"/>
  <c r="K197" i="269"/>
  <c r="G198" i="269"/>
  <c r="H198" i="269"/>
  <c r="J198" i="269"/>
  <c r="K198" i="269"/>
  <c r="G199" i="269"/>
  <c r="H199" i="269"/>
  <c r="J199" i="269"/>
  <c r="K199" i="269"/>
  <c r="G200" i="269"/>
  <c r="H200" i="269"/>
  <c r="J200" i="269"/>
  <c r="K200" i="269"/>
  <c r="G201" i="269"/>
  <c r="H201" i="269"/>
  <c r="J201" i="269"/>
  <c r="K201" i="269"/>
  <c r="G202" i="269"/>
  <c r="H202" i="269"/>
  <c r="J202" i="269"/>
  <c r="K202" i="269"/>
  <c r="G203" i="269"/>
  <c r="H203" i="269"/>
  <c r="J203" i="269"/>
  <c r="K203" i="269"/>
  <c r="G204" i="269"/>
  <c r="H204" i="269"/>
  <c r="J204" i="269"/>
  <c r="K204" i="269"/>
  <c r="G205" i="269"/>
  <c r="H205" i="269"/>
  <c r="J205" i="269"/>
  <c r="K205" i="269"/>
  <c r="G206" i="269"/>
  <c r="H206" i="269"/>
  <c r="J206" i="269"/>
  <c r="K206" i="269"/>
  <c r="G207" i="269"/>
  <c r="H207" i="269"/>
  <c r="J207" i="269"/>
  <c r="K207" i="269"/>
  <c r="G208" i="269"/>
  <c r="H208" i="269"/>
  <c r="J208" i="269"/>
  <c r="K208" i="269"/>
  <c r="G209" i="269"/>
  <c r="H209" i="269"/>
  <c r="J209" i="269"/>
  <c r="K209" i="269"/>
  <c r="G210" i="269"/>
  <c r="H210" i="269"/>
  <c r="J210" i="269"/>
  <c r="K210" i="269"/>
  <c r="G211" i="269"/>
  <c r="H211" i="269"/>
  <c r="J211" i="269"/>
  <c r="K211" i="269"/>
  <c r="G212" i="269"/>
  <c r="H212" i="269"/>
  <c r="J212" i="269"/>
  <c r="K212" i="269"/>
  <c r="G213" i="269"/>
  <c r="H213" i="269"/>
  <c r="J213" i="269"/>
  <c r="K213" i="269"/>
  <c r="G214" i="269"/>
  <c r="H214" i="269"/>
  <c r="J214" i="269"/>
  <c r="K214" i="269"/>
  <c r="G215" i="269"/>
  <c r="H215" i="269"/>
  <c r="J215" i="269"/>
  <c r="K215" i="269"/>
  <c r="G216" i="269"/>
  <c r="H216" i="269"/>
  <c r="J216" i="269"/>
  <c r="K216" i="269"/>
  <c r="G217" i="269"/>
  <c r="H217" i="269"/>
  <c r="J217" i="269"/>
  <c r="K217" i="269"/>
  <c r="G218" i="269"/>
  <c r="H218" i="269"/>
  <c r="J218" i="269"/>
  <c r="K218" i="269"/>
  <c r="G219" i="269"/>
  <c r="H219" i="269"/>
  <c r="J219" i="269"/>
  <c r="K219" i="269"/>
  <c r="G220" i="269"/>
  <c r="H220" i="269"/>
  <c r="J220" i="269"/>
  <c r="K220" i="269"/>
  <c r="G221" i="269"/>
  <c r="H221" i="269"/>
  <c r="J221" i="269"/>
  <c r="K221" i="269"/>
  <c r="G222" i="269"/>
  <c r="H222" i="269"/>
  <c r="J222" i="269"/>
  <c r="K222" i="269"/>
  <c r="G223" i="269"/>
  <c r="H223" i="269"/>
  <c r="J223" i="269"/>
  <c r="K223" i="269"/>
  <c r="G224" i="269"/>
  <c r="H224" i="269"/>
  <c r="J224" i="269"/>
  <c r="K224" i="269"/>
  <c r="G225" i="269"/>
  <c r="H225" i="269"/>
  <c r="J225" i="269"/>
  <c r="K225" i="269"/>
  <c r="G226" i="269"/>
  <c r="H226" i="269"/>
  <c r="J226" i="269"/>
  <c r="K226" i="269"/>
  <c r="G227" i="269"/>
  <c r="H227" i="269"/>
  <c r="J227" i="269"/>
  <c r="K227" i="269"/>
  <c r="G228" i="269"/>
  <c r="H228" i="269"/>
  <c r="J228" i="269"/>
  <c r="K228" i="269"/>
  <c r="G229" i="269"/>
  <c r="H229" i="269"/>
  <c r="J229" i="269"/>
  <c r="K229" i="269"/>
  <c r="G230" i="269"/>
  <c r="H230" i="269"/>
  <c r="J230" i="269"/>
  <c r="K230" i="269"/>
  <c r="G231" i="269"/>
  <c r="H231" i="269"/>
  <c r="J231" i="269"/>
  <c r="K231" i="269"/>
  <c r="G232" i="269"/>
  <c r="H232" i="269"/>
  <c r="J232" i="269"/>
  <c r="K232" i="269"/>
  <c r="G233" i="269"/>
  <c r="H233" i="269"/>
  <c r="J233" i="269"/>
  <c r="K233" i="269"/>
  <c r="G234" i="269"/>
  <c r="H234" i="269"/>
  <c r="J234" i="269"/>
  <c r="K234" i="269"/>
  <c r="G235" i="269"/>
  <c r="H235" i="269"/>
  <c r="J235" i="269"/>
  <c r="K235" i="269"/>
  <c r="G236" i="269"/>
  <c r="H236" i="269"/>
  <c r="J236" i="269"/>
  <c r="K236" i="269"/>
  <c r="G237" i="269"/>
  <c r="H237" i="269"/>
  <c r="J237" i="269"/>
  <c r="K237" i="269"/>
  <c r="G238" i="269"/>
  <c r="H238" i="269"/>
  <c r="J238" i="269"/>
  <c r="K238" i="269"/>
  <c r="G239" i="269"/>
  <c r="H239" i="269"/>
  <c r="J239" i="269"/>
  <c r="K239" i="269"/>
  <c r="G240" i="269"/>
  <c r="H240" i="269"/>
  <c r="J240" i="269"/>
  <c r="K240" i="269"/>
  <c r="G241" i="269"/>
  <c r="H241" i="269"/>
  <c r="J241" i="269"/>
  <c r="K241" i="269"/>
  <c r="G242" i="269"/>
  <c r="H242" i="269"/>
  <c r="J242" i="269"/>
  <c r="K242" i="269"/>
  <c r="G243" i="269"/>
  <c r="H243" i="269"/>
  <c r="J243" i="269"/>
  <c r="K243" i="269"/>
  <c r="G244" i="269"/>
  <c r="H244" i="269"/>
  <c r="J244" i="269"/>
  <c r="K244" i="269"/>
  <c r="G245" i="269"/>
  <c r="H245" i="269"/>
  <c r="J245" i="269"/>
  <c r="K245" i="269"/>
  <c r="G246" i="269"/>
  <c r="H246" i="269"/>
  <c r="J246" i="269"/>
  <c r="K246" i="269"/>
  <c r="G247" i="269"/>
  <c r="H247" i="269"/>
  <c r="J247" i="269"/>
  <c r="K247" i="269"/>
  <c r="G248" i="269"/>
  <c r="H248" i="269"/>
  <c r="J248" i="269"/>
  <c r="K248" i="269"/>
  <c r="G249" i="269"/>
  <c r="H249" i="269"/>
  <c r="J249" i="269"/>
  <c r="K249" i="269"/>
  <c r="G250" i="269"/>
  <c r="H250" i="269"/>
  <c r="J250" i="269"/>
  <c r="K250" i="269"/>
  <c r="G251" i="269"/>
  <c r="H251" i="269"/>
  <c r="J251" i="269"/>
  <c r="K251" i="269"/>
  <c r="G252" i="269"/>
  <c r="H252" i="269"/>
  <c r="J252" i="269"/>
  <c r="K252" i="269"/>
  <c r="G253" i="269"/>
  <c r="H253" i="269"/>
  <c r="J253" i="269"/>
  <c r="K253" i="269"/>
  <c r="G254" i="269"/>
  <c r="H254" i="269"/>
  <c r="J254" i="269"/>
  <c r="K254" i="269"/>
  <c r="G255" i="269"/>
  <c r="H255" i="269"/>
  <c r="J255" i="269"/>
  <c r="K255" i="269"/>
  <c r="G256" i="269"/>
  <c r="H256" i="269"/>
  <c r="J256" i="269"/>
  <c r="K256" i="269"/>
  <c r="G257" i="269"/>
  <c r="H257" i="269"/>
  <c r="J257" i="269"/>
  <c r="K257" i="269"/>
  <c r="G258" i="269"/>
  <c r="H258" i="269"/>
  <c r="J258" i="269"/>
  <c r="K258" i="269"/>
  <c r="G259" i="269"/>
  <c r="H259" i="269"/>
  <c r="J259" i="269"/>
  <c r="K259" i="269"/>
  <c r="G260" i="269"/>
  <c r="H260" i="269"/>
  <c r="J260" i="269"/>
  <c r="K260" i="269"/>
  <c r="G261" i="269"/>
  <c r="H261" i="269"/>
  <c r="J261" i="269"/>
  <c r="K261" i="269"/>
  <c r="G262" i="269"/>
  <c r="H262" i="269"/>
  <c r="J262" i="269"/>
  <c r="K262" i="269"/>
  <c r="G263" i="269"/>
  <c r="H263" i="269"/>
  <c r="J263" i="269"/>
  <c r="K263" i="269"/>
  <c r="G264" i="269"/>
  <c r="H264" i="269"/>
  <c r="J264" i="269"/>
  <c r="K264" i="269"/>
  <c r="G265" i="269"/>
  <c r="H265" i="269"/>
  <c r="J265" i="269"/>
  <c r="K265" i="269"/>
  <c r="G266" i="269"/>
  <c r="H266" i="269"/>
  <c r="J266" i="269"/>
  <c r="K266" i="269"/>
  <c r="G267" i="269"/>
  <c r="H267" i="269"/>
  <c r="J267" i="269"/>
  <c r="K267" i="269"/>
  <c r="G268" i="269"/>
  <c r="H268" i="269"/>
  <c r="J268" i="269"/>
  <c r="K268" i="269"/>
  <c r="G269" i="269"/>
  <c r="H269" i="269"/>
  <c r="J269" i="269"/>
  <c r="K269" i="269"/>
  <c r="G270" i="269"/>
  <c r="H270" i="269"/>
  <c r="J270" i="269"/>
  <c r="K270" i="269"/>
  <c r="G271" i="269"/>
  <c r="H271" i="269"/>
  <c r="J271" i="269"/>
  <c r="K271" i="269"/>
  <c r="G272" i="269"/>
  <c r="H272" i="269"/>
  <c r="J272" i="269"/>
  <c r="K272" i="269"/>
  <c r="G273" i="269"/>
  <c r="H273" i="269"/>
  <c r="J273" i="269"/>
  <c r="K273" i="269"/>
  <c r="G274" i="269"/>
  <c r="H274" i="269"/>
  <c r="J274" i="269"/>
  <c r="K274" i="269"/>
  <c r="G275" i="269"/>
  <c r="H275" i="269"/>
  <c r="J275" i="269"/>
  <c r="K275" i="269"/>
  <c r="G276" i="269"/>
  <c r="H276" i="269"/>
  <c r="J276" i="269"/>
  <c r="K276" i="269"/>
  <c r="G277" i="269"/>
  <c r="H277" i="269"/>
  <c r="J277" i="269"/>
  <c r="K277" i="269"/>
  <c r="G278" i="269"/>
  <c r="H278" i="269"/>
  <c r="J278" i="269"/>
  <c r="K278" i="269"/>
  <c r="G279" i="269"/>
  <c r="H279" i="269"/>
  <c r="J279" i="269"/>
  <c r="K279" i="269"/>
  <c r="G280" i="269"/>
  <c r="H280" i="269"/>
  <c r="J280" i="269"/>
  <c r="K280" i="269"/>
  <c r="G281" i="269"/>
  <c r="H281" i="269"/>
  <c r="J281" i="269"/>
  <c r="K281" i="269"/>
  <c r="G282" i="269"/>
  <c r="H282" i="269"/>
  <c r="J282" i="269"/>
  <c r="K282" i="269"/>
  <c r="G283" i="269"/>
  <c r="H283" i="269"/>
  <c r="J283" i="269"/>
  <c r="K283" i="269"/>
  <c r="G284" i="269"/>
  <c r="H284" i="269"/>
  <c r="J284" i="269"/>
  <c r="K284" i="269"/>
  <c r="G285" i="269"/>
  <c r="H285" i="269"/>
  <c r="J285" i="269"/>
  <c r="K285" i="269"/>
  <c r="G286" i="269"/>
  <c r="H286" i="269"/>
  <c r="J286" i="269"/>
  <c r="K286" i="269"/>
  <c r="G287" i="269"/>
  <c r="H287" i="269"/>
  <c r="J287" i="269"/>
  <c r="K287" i="269"/>
  <c r="G288" i="269"/>
  <c r="H288" i="269"/>
  <c r="J288" i="269"/>
  <c r="K288" i="269"/>
  <c r="G289" i="269"/>
  <c r="H289" i="269"/>
  <c r="J289" i="269"/>
  <c r="K289" i="269"/>
  <c r="G290" i="269"/>
  <c r="H290" i="269"/>
  <c r="J290" i="269"/>
  <c r="K290" i="269"/>
  <c r="G291" i="269"/>
  <c r="H291" i="269"/>
  <c r="J291" i="269"/>
  <c r="K291" i="269"/>
  <c r="AA133" i="142" l="1"/>
  <c r="D44" i="235"/>
  <c r="S149" i="142"/>
  <c r="K180" i="142"/>
  <c r="P13" i="235"/>
  <c r="K164" i="142"/>
  <c r="L13" i="235"/>
  <c r="K193" i="142"/>
  <c r="AI199" i="142"/>
  <c r="C78" i="317" s="1"/>
  <c r="G78" i="317" s="1"/>
  <c r="V104" i="235"/>
  <c r="U102" i="235"/>
  <c r="U26" i="235"/>
  <c r="U40" i="235"/>
  <c r="U87" i="235"/>
  <c r="U72" i="235"/>
  <c r="D130" i="142"/>
  <c r="D192" i="142"/>
  <c r="D146" i="142"/>
  <c r="G53" i="189"/>
  <c r="F54" i="189"/>
  <c r="D162" i="142"/>
  <c r="O39" i="189"/>
  <c r="M40" i="189"/>
  <c r="F39" i="189"/>
  <c r="G38" i="189"/>
  <c r="U59" i="235"/>
  <c r="O23" i="189"/>
  <c r="N24" i="189"/>
  <c r="G23" i="189"/>
  <c r="F24" i="189"/>
  <c r="O9" i="189"/>
  <c r="M10" i="189"/>
  <c r="U11" i="235"/>
  <c r="D13" i="235"/>
  <c r="F9" i="189"/>
  <c r="G8" i="189"/>
  <c r="E62" i="189"/>
  <c r="E45" i="189"/>
  <c r="M32" i="189"/>
  <c r="E30" i="189"/>
  <c r="E12" i="189"/>
  <c r="A6074" i="282"/>
  <c r="AA134" i="142" l="1"/>
  <c r="D45" i="235"/>
  <c r="S150" i="142"/>
  <c r="I78" i="333"/>
  <c r="K194" i="142"/>
  <c r="K165" i="142"/>
  <c r="L15" i="235" s="1"/>
  <c r="L14" i="235"/>
  <c r="K181" i="142"/>
  <c r="P15" i="235" s="1"/>
  <c r="P14" i="235"/>
  <c r="U103" i="235"/>
  <c r="V105" i="235"/>
  <c r="U27" i="235"/>
  <c r="U41" i="235"/>
  <c r="U88" i="235"/>
  <c r="U73" i="235"/>
  <c r="D163" i="142"/>
  <c r="D131" i="142"/>
  <c r="G54" i="189"/>
  <c r="F55" i="189"/>
  <c r="D147" i="142"/>
  <c r="D193" i="142"/>
  <c r="O40" i="189"/>
  <c r="M41" i="189"/>
  <c r="F40" i="189"/>
  <c r="G39" i="189"/>
  <c r="U60" i="235"/>
  <c r="O24" i="189"/>
  <c r="N25" i="189"/>
  <c r="G24" i="189"/>
  <c r="F25" i="189"/>
  <c r="M11" i="189"/>
  <c r="O10" i="189"/>
  <c r="U12" i="235"/>
  <c r="F10" i="189"/>
  <c r="G9" i="189"/>
  <c r="D14" i="235"/>
  <c r="E46" i="189"/>
  <c r="E31" i="189"/>
  <c r="E13" i="189"/>
  <c r="A6073" i="282"/>
  <c r="A6072" i="282"/>
  <c r="A6070" i="282"/>
  <c r="A6071" i="282"/>
  <c r="G191" i="271"/>
  <c r="H191" i="271"/>
  <c r="J191" i="271"/>
  <c r="K191" i="271"/>
  <c r="G192" i="271"/>
  <c r="H192" i="271"/>
  <c r="J192" i="271"/>
  <c r="K192" i="271"/>
  <c r="G194" i="271"/>
  <c r="H194" i="271"/>
  <c r="J194" i="271"/>
  <c r="K194" i="271"/>
  <c r="G195" i="271"/>
  <c r="H195" i="271"/>
  <c r="I195" i="271"/>
  <c r="I194" i="271" s="1"/>
  <c r="J195" i="271"/>
  <c r="K195" i="271"/>
  <c r="G190" i="269"/>
  <c r="H190" i="269"/>
  <c r="J190" i="269"/>
  <c r="K190" i="269"/>
  <c r="G191" i="269"/>
  <c r="H191" i="269"/>
  <c r="J191" i="269"/>
  <c r="K191" i="269"/>
  <c r="G192" i="269"/>
  <c r="H192" i="269"/>
  <c r="J192" i="269"/>
  <c r="K192" i="269"/>
  <c r="G193" i="269"/>
  <c r="H193" i="269"/>
  <c r="J193" i="269"/>
  <c r="K193" i="269"/>
  <c r="G184" i="268"/>
  <c r="H184" i="268"/>
  <c r="J184" i="268"/>
  <c r="K184" i="268"/>
  <c r="L184" i="268" s="1"/>
  <c r="G185" i="268"/>
  <c r="H185" i="268"/>
  <c r="J185" i="268"/>
  <c r="K185" i="268"/>
  <c r="L185" i="268" s="1"/>
  <c r="G186" i="268"/>
  <c r="H186" i="268"/>
  <c r="J186" i="268"/>
  <c r="K186" i="268"/>
  <c r="L186" i="268" s="1"/>
  <c r="G187" i="268"/>
  <c r="H187" i="268"/>
  <c r="J187" i="268"/>
  <c r="K187" i="268"/>
  <c r="L187" i="268" s="1"/>
  <c r="G188" i="268"/>
  <c r="H188" i="268"/>
  <c r="J188" i="268"/>
  <c r="K188" i="268"/>
  <c r="L188" i="268" s="1"/>
  <c r="G189" i="268"/>
  <c r="H189" i="268"/>
  <c r="I189" i="268"/>
  <c r="I188" i="268" s="1"/>
  <c r="I187" i="268" s="1"/>
  <c r="I186" i="268" s="1"/>
  <c r="I185" i="268" s="1"/>
  <c r="I184" i="268" s="1"/>
  <c r="J189" i="268"/>
  <c r="K189" i="268"/>
  <c r="L189" i="268" s="1"/>
  <c r="A6069" i="282"/>
  <c r="A6068" i="282"/>
  <c r="A6067" i="282"/>
  <c r="G192" i="266"/>
  <c r="H192" i="266"/>
  <c r="J192" i="266"/>
  <c r="K192" i="266"/>
  <c r="G194" i="266"/>
  <c r="H194" i="266"/>
  <c r="J194" i="266"/>
  <c r="K194" i="266"/>
  <c r="G195" i="266"/>
  <c r="H195" i="266"/>
  <c r="I195" i="266"/>
  <c r="I194" i="266" s="1"/>
  <c r="J195" i="266"/>
  <c r="K195" i="266"/>
  <c r="A5605" i="282"/>
  <c r="A5606" i="282"/>
  <c r="A5607" i="282"/>
  <c r="A5608" i="282"/>
  <c r="A5609" i="282"/>
  <c r="A5610" i="282"/>
  <c r="A5611" i="282"/>
  <c r="A5612" i="282"/>
  <c r="A5613" i="282"/>
  <c r="A5614" i="282"/>
  <c r="A5615" i="282"/>
  <c r="A5616" i="282"/>
  <c r="A5617" i="282"/>
  <c r="A5618" i="282"/>
  <c r="A5619" i="282"/>
  <c r="A5620" i="282"/>
  <c r="A5621" i="282"/>
  <c r="A5622" i="282"/>
  <c r="A5623" i="282"/>
  <c r="A5624" i="282"/>
  <c r="A5625" i="282"/>
  <c r="A5626" i="282"/>
  <c r="A5627" i="282"/>
  <c r="A5628" i="282"/>
  <c r="A5629" i="282"/>
  <c r="A5630" i="282"/>
  <c r="A5631" i="282"/>
  <c r="A5632" i="282"/>
  <c r="A5633" i="282"/>
  <c r="A5634" i="282"/>
  <c r="A5635" i="282"/>
  <c r="A5636" i="282"/>
  <c r="A5637" i="282"/>
  <c r="A5638" i="282"/>
  <c r="A5639" i="282"/>
  <c r="A5640" i="282"/>
  <c r="A5641" i="282"/>
  <c r="A5642" i="282"/>
  <c r="A5643" i="282"/>
  <c r="A5644" i="282"/>
  <c r="A5645" i="282"/>
  <c r="A5646" i="282"/>
  <c r="A5647" i="282"/>
  <c r="A5648" i="282"/>
  <c r="A5649" i="282"/>
  <c r="A5650" i="282"/>
  <c r="A5651" i="282"/>
  <c r="A5652" i="282"/>
  <c r="A5653" i="282"/>
  <c r="A5654" i="282"/>
  <c r="A5655" i="282"/>
  <c r="A5656" i="282"/>
  <c r="A5657" i="282"/>
  <c r="A5658" i="282"/>
  <c r="A5659" i="282"/>
  <c r="A5660" i="282"/>
  <c r="A5661" i="282"/>
  <c r="A5662" i="282"/>
  <c r="A5663" i="282"/>
  <c r="A5664" i="282"/>
  <c r="A5665" i="282"/>
  <c r="A5666" i="282"/>
  <c r="A5667" i="282"/>
  <c r="A5668" i="282"/>
  <c r="A5669" i="282"/>
  <c r="A5670" i="282"/>
  <c r="A5671" i="282"/>
  <c r="A5672" i="282"/>
  <c r="A5673" i="282"/>
  <c r="A5674" i="282"/>
  <c r="A5675" i="282"/>
  <c r="A5676" i="282"/>
  <c r="A5677" i="282"/>
  <c r="A5678" i="282"/>
  <c r="A5679" i="282"/>
  <c r="A5680" i="282"/>
  <c r="A5681" i="282"/>
  <c r="A5682" i="282"/>
  <c r="A5683" i="282"/>
  <c r="A5684" i="282"/>
  <c r="A5685" i="282"/>
  <c r="A5686" i="282"/>
  <c r="A5687" i="282"/>
  <c r="A5688" i="282"/>
  <c r="A5689" i="282"/>
  <c r="A5690" i="282"/>
  <c r="A5691" i="282"/>
  <c r="A5692" i="282"/>
  <c r="A5693" i="282"/>
  <c r="A5694" i="282"/>
  <c r="A5695" i="282"/>
  <c r="A5696" i="282"/>
  <c r="A5697" i="282"/>
  <c r="A5698" i="282"/>
  <c r="A5699" i="282"/>
  <c r="A5700" i="282"/>
  <c r="A5701" i="282"/>
  <c r="A5702" i="282"/>
  <c r="A5703" i="282"/>
  <c r="A5704" i="282"/>
  <c r="A5705" i="282"/>
  <c r="A5706" i="282"/>
  <c r="A5707" i="282"/>
  <c r="A5708" i="282"/>
  <c r="A5709" i="282"/>
  <c r="A5710" i="282"/>
  <c r="A5711" i="282"/>
  <c r="A5712" i="282"/>
  <c r="A5713" i="282"/>
  <c r="A5714" i="282"/>
  <c r="A5715" i="282"/>
  <c r="A5716" i="282"/>
  <c r="A5717" i="282"/>
  <c r="A5718" i="282"/>
  <c r="A5719" i="282"/>
  <c r="A5720" i="282"/>
  <c r="A5721" i="282"/>
  <c r="A5722" i="282"/>
  <c r="A5723" i="282"/>
  <c r="A5724" i="282"/>
  <c r="A5725" i="282"/>
  <c r="A5726" i="282"/>
  <c r="A5727" i="282"/>
  <c r="A5728" i="282"/>
  <c r="A5729" i="282"/>
  <c r="A5730" i="282"/>
  <c r="A5731" i="282"/>
  <c r="A5732" i="282"/>
  <c r="A5733" i="282"/>
  <c r="A5734" i="282"/>
  <c r="A5735" i="282"/>
  <c r="A5736" i="282"/>
  <c r="A5737" i="282"/>
  <c r="A5738" i="282"/>
  <c r="A5739" i="282"/>
  <c r="A5740" i="282"/>
  <c r="A5741" i="282"/>
  <c r="A5742" i="282"/>
  <c r="A5743" i="282"/>
  <c r="A5744" i="282"/>
  <c r="A5745" i="282"/>
  <c r="A5746" i="282"/>
  <c r="A5747" i="282"/>
  <c r="A5748" i="282"/>
  <c r="A5749" i="282"/>
  <c r="A5750" i="282"/>
  <c r="A5751" i="282"/>
  <c r="A5752" i="282"/>
  <c r="A5753" i="282"/>
  <c r="A5754" i="282"/>
  <c r="A5755" i="282"/>
  <c r="A5756" i="282"/>
  <c r="A5757" i="282"/>
  <c r="A5758" i="282"/>
  <c r="A5759" i="282"/>
  <c r="A5760" i="282"/>
  <c r="A5761" i="282"/>
  <c r="A5762" i="282"/>
  <c r="A5763" i="282"/>
  <c r="A5764" i="282"/>
  <c r="A5765" i="282"/>
  <c r="A5766" i="282"/>
  <c r="A5767" i="282"/>
  <c r="A5768" i="282"/>
  <c r="A5769" i="282"/>
  <c r="A5770" i="282"/>
  <c r="A5771" i="282"/>
  <c r="A5772" i="282"/>
  <c r="A5773" i="282"/>
  <c r="A5774" i="282"/>
  <c r="A5775" i="282"/>
  <c r="A5776" i="282"/>
  <c r="A5777" i="282"/>
  <c r="A5778" i="282"/>
  <c r="A5779" i="282"/>
  <c r="A5780" i="282"/>
  <c r="A5781" i="282"/>
  <c r="A5782" i="282"/>
  <c r="A5783" i="282"/>
  <c r="A5784" i="282"/>
  <c r="A5785" i="282"/>
  <c r="A5786" i="282"/>
  <c r="A5787" i="282"/>
  <c r="A5788" i="282"/>
  <c r="A5789" i="282"/>
  <c r="A5790" i="282"/>
  <c r="A5791" i="282"/>
  <c r="A5792" i="282"/>
  <c r="A5793" i="282"/>
  <c r="A5794" i="282"/>
  <c r="A5795" i="282"/>
  <c r="A5796" i="282"/>
  <c r="A5797" i="282"/>
  <c r="A5798" i="282"/>
  <c r="A5799" i="282"/>
  <c r="A5800" i="282"/>
  <c r="A5801" i="282"/>
  <c r="A5802" i="282"/>
  <c r="A5803" i="282"/>
  <c r="A5804" i="282"/>
  <c r="A5805" i="282"/>
  <c r="A5806" i="282"/>
  <c r="A5807" i="282"/>
  <c r="A5808" i="282"/>
  <c r="A5809" i="282"/>
  <c r="A5810" i="282"/>
  <c r="A5811" i="282"/>
  <c r="A5812" i="282"/>
  <c r="A5813" i="282"/>
  <c r="A5814" i="282"/>
  <c r="A5815" i="282"/>
  <c r="A5816" i="282"/>
  <c r="A5817" i="282"/>
  <c r="A5818" i="282"/>
  <c r="A5819" i="282"/>
  <c r="A5820" i="282"/>
  <c r="A5821" i="282"/>
  <c r="A5822" i="282"/>
  <c r="A5823" i="282"/>
  <c r="A5824" i="282"/>
  <c r="A5825" i="282"/>
  <c r="A5826" i="282"/>
  <c r="A5827" i="282"/>
  <c r="A5828" i="282"/>
  <c r="A5829" i="282"/>
  <c r="A5830" i="282"/>
  <c r="A5831" i="282"/>
  <c r="A5832" i="282"/>
  <c r="A5833" i="282"/>
  <c r="A5834" i="282"/>
  <c r="A5835" i="282"/>
  <c r="A5836" i="282"/>
  <c r="A5837" i="282"/>
  <c r="A5838" i="282"/>
  <c r="A5839" i="282"/>
  <c r="A5840" i="282"/>
  <c r="A5841" i="282"/>
  <c r="A5842" i="282"/>
  <c r="A5843" i="282"/>
  <c r="A5844" i="282"/>
  <c r="A5845" i="282"/>
  <c r="A5846" i="282"/>
  <c r="A5847" i="282"/>
  <c r="A5848" i="282"/>
  <c r="A5849" i="282"/>
  <c r="A5850" i="282"/>
  <c r="A5851" i="282"/>
  <c r="A5852" i="282"/>
  <c r="A5853" i="282"/>
  <c r="A5854" i="282"/>
  <c r="A5855" i="282"/>
  <c r="A5856" i="282"/>
  <c r="A5857" i="282"/>
  <c r="A5858" i="282"/>
  <c r="A5859" i="282"/>
  <c r="A5860" i="282"/>
  <c r="A5861" i="282"/>
  <c r="A5862" i="282"/>
  <c r="A5863" i="282"/>
  <c r="A5864" i="282"/>
  <c r="A5865" i="282"/>
  <c r="A5866" i="282"/>
  <c r="A5867" i="282"/>
  <c r="A5868" i="282"/>
  <c r="A5869" i="282"/>
  <c r="A5870" i="282"/>
  <c r="A5871" i="282"/>
  <c r="A5872" i="282"/>
  <c r="A5873" i="282"/>
  <c r="A5874" i="282"/>
  <c r="A5875" i="282"/>
  <c r="A5876" i="282"/>
  <c r="A5877" i="282"/>
  <c r="A5878" i="282"/>
  <c r="A5879" i="282"/>
  <c r="A5880" i="282"/>
  <c r="A5881" i="282"/>
  <c r="A5882" i="282"/>
  <c r="A5883" i="282"/>
  <c r="A5884" i="282"/>
  <c r="A5885" i="282"/>
  <c r="A5886" i="282"/>
  <c r="A5887" i="282"/>
  <c r="A5888" i="282"/>
  <c r="A5889" i="282"/>
  <c r="A5890" i="282"/>
  <c r="A5891" i="282"/>
  <c r="A5892" i="282"/>
  <c r="A5893" i="282"/>
  <c r="A5894" i="282"/>
  <c r="A5895" i="282"/>
  <c r="A5896" i="282"/>
  <c r="A5897" i="282"/>
  <c r="A5898" i="282"/>
  <c r="A5899" i="282"/>
  <c r="A5900" i="282"/>
  <c r="A5901" i="282"/>
  <c r="A5902" i="282"/>
  <c r="A5903" i="282"/>
  <c r="A5904" i="282"/>
  <c r="A5905" i="282"/>
  <c r="A5906" i="282"/>
  <c r="A5907" i="282"/>
  <c r="A5908" i="282"/>
  <c r="A5909" i="282"/>
  <c r="A5910" i="282"/>
  <c r="A5911" i="282"/>
  <c r="A5912" i="282"/>
  <c r="A5913" i="282"/>
  <c r="A5914" i="282"/>
  <c r="A5915" i="282"/>
  <c r="A5916" i="282"/>
  <c r="A5917" i="282"/>
  <c r="A5918" i="282"/>
  <c r="A5919" i="282"/>
  <c r="A5920" i="282"/>
  <c r="A5921" i="282"/>
  <c r="A5922" i="282"/>
  <c r="A5923" i="282"/>
  <c r="A5924" i="282"/>
  <c r="A5925" i="282"/>
  <c r="A5926" i="282"/>
  <c r="A5927" i="282"/>
  <c r="A5928" i="282"/>
  <c r="A5929" i="282"/>
  <c r="A5930" i="282"/>
  <c r="A5931" i="282"/>
  <c r="A5932" i="282"/>
  <c r="A5933" i="282"/>
  <c r="A5934" i="282"/>
  <c r="A5935" i="282"/>
  <c r="A5936" i="282"/>
  <c r="A5937" i="282"/>
  <c r="A5938" i="282"/>
  <c r="A5939" i="282"/>
  <c r="A5940" i="282"/>
  <c r="A5941" i="282"/>
  <c r="A5942" i="282"/>
  <c r="A5943" i="282"/>
  <c r="A5944" i="282"/>
  <c r="A5945" i="282"/>
  <c r="A5946" i="282"/>
  <c r="A5947" i="282"/>
  <c r="A5948" i="282"/>
  <c r="A5949" i="282"/>
  <c r="A5950" i="282"/>
  <c r="A5951" i="282"/>
  <c r="A5952" i="282"/>
  <c r="A5953" i="282"/>
  <c r="A5954" i="282"/>
  <c r="A5955" i="282"/>
  <c r="A5956" i="282"/>
  <c r="A5957" i="282"/>
  <c r="A5958" i="282"/>
  <c r="A5959" i="282"/>
  <c r="A5960" i="282"/>
  <c r="A5961" i="282"/>
  <c r="A5962" i="282"/>
  <c r="A5963" i="282"/>
  <c r="A5964" i="282"/>
  <c r="A5965" i="282"/>
  <c r="A5966" i="282"/>
  <c r="A5967" i="282"/>
  <c r="A5968" i="282"/>
  <c r="A5969" i="282"/>
  <c r="A5970" i="282"/>
  <c r="A5971" i="282"/>
  <c r="A5972" i="282"/>
  <c r="A5973" i="282"/>
  <c r="A5974" i="282"/>
  <c r="A5975" i="282"/>
  <c r="A5976" i="282"/>
  <c r="A5977" i="282"/>
  <c r="A5978" i="282"/>
  <c r="A5979" i="282"/>
  <c r="A5980" i="282"/>
  <c r="A5981" i="282"/>
  <c r="A5982" i="282"/>
  <c r="A5983" i="282"/>
  <c r="A5984" i="282"/>
  <c r="A5985" i="282"/>
  <c r="A5986" i="282"/>
  <c r="A5987" i="282"/>
  <c r="A5988" i="282"/>
  <c r="A5989" i="282"/>
  <c r="A5990" i="282"/>
  <c r="A5991" i="282"/>
  <c r="A5992" i="282"/>
  <c r="A5993" i="282"/>
  <c r="A5994" i="282"/>
  <c r="A5995" i="282"/>
  <c r="A5996" i="282"/>
  <c r="A5997" i="282"/>
  <c r="A5998" i="282"/>
  <c r="A5999" i="282"/>
  <c r="A6000" i="282"/>
  <c r="A6001" i="282"/>
  <c r="A6002" i="282"/>
  <c r="A6003" i="282"/>
  <c r="A6004" i="282"/>
  <c r="A6005" i="282"/>
  <c r="A6006" i="282"/>
  <c r="A6007" i="282"/>
  <c r="A6008" i="282"/>
  <c r="A6009" i="282"/>
  <c r="A6010" i="282"/>
  <c r="A6011" i="282"/>
  <c r="A6012" i="282"/>
  <c r="A6013" i="282"/>
  <c r="A6014" i="282"/>
  <c r="A6015" i="282"/>
  <c r="A6016" i="282"/>
  <c r="A6017" i="282"/>
  <c r="A6018" i="282"/>
  <c r="A6019" i="282"/>
  <c r="A6020" i="282"/>
  <c r="A6021" i="282"/>
  <c r="A6022" i="282"/>
  <c r="A6023" i="282"/>
  <c r="A6024" i="282"/>
  <c r="A6025" i="282"/>
  <c r="A6026" i="282"/>
  <c r="A6027" i="282"/>
  <c r="A6028" i="282"/>
  <c r="A6029" i="282"/>
  <c r="A6030" i="282"/>
  <c r="A6031" i="282"/>
  <c r="A6032" i="282"/>
  <c r="A6033" i="282"/>
  <c r="A6034" i="282"/>
  <c r="A6035" i="282"/>
  <c r="A6036" i="282"/>
  <c r="A6037" i="282"/>
  <c r="A6038" i="282"/>
  <c r="A6039" i="282"/>
  <c r="A6040" i="282"/>
  <c r="A6041" i="282"/>
  <c r="A6042" i="282"/>
  <c r="A6043" i="282"/>
  <c r="A6044" i="282"/>
  <c r="A6045" i="282"/>
  <c r="A6046" i="282"/>
  <c r="A6047" i="282"/>
  <c r="A6048" i="282"/>
  <c r="A6049" i="282"/>
  <c r="A6050" i="282"/>
  <c r="A6051" i="282"/>
  <c r="A6052" i="282"/>
  <c r="A6053" i="282"/>
  <c r="A6054" i="282"/>
  <c r="A6055" i="282"/>
  <c r="A6056" i="282"/>
  <c r="A6057" i="282"/>
  <c r="A6058" i="282"/>
  <c r="A6059" i="282"/>
  <c r="A6060" i="282"/>
  <c r="A6061" i="282"/>
  <c r="A6062" i="282"/>
  <c r="A6063" i="282"/>
  <c r="A6064" i="282"/>
  <c r="A6065" i="282"/>
  <c r="A6066" i="282"/>
  <c r="G174" i="275"/>
  <c r="H174" i="275"/>
  <c r="J174" i="275"/>
  <c r="K174" i="275"/>
  <c r="G175" i="275"/>
  <c r="H175" i="275"/>
  <c r="J175" i="275"/>
  <c r="K175" i="275"/>
  <c r="G176" i="275"/>
  <c r="H176" i="275"/>
  <c r="I176" i="275"/>
  <c r="I175" i="275" s="1"/>
  <c r="I174" i="275" s="1"/>
  <c r="I173" i="275" s="1"/>
  <c r="I172" i="275" s="1"/>
  <c r="I171" i="275" s="1"/>
  <c r="I170" i="275" s="1"/>
  <c r="I169" i="275" s="1"/>
  <c r="I168" i="275" s="1"/>
  <c r="I167" i="275" s="1"/>
  <c r="I166" i="275" s="1"/>
  <c r="I165" i="275" s="1"/>
  <c r="I164" i="275" s="1"/>
  <c r="I163" i="275" s="1"/>
  <c r="I162" i="275" s="1"/>
  <c r="J176" i="275"/>
  <c r="K176" i="275"/>
  <c r="G177" i="275"/>
  <c r="H177" i="275"/>
  <c r="I177" i="275"/>
  <c r="J177" i="275"/>
  <c r="K177" i="275"/>
  <c r="G178" i="275"/>
  <c r="H178" i="275"/>
  <c r="I178" i="275"/>
  <c r="J178" i="275"/>
  <c r="K178" i="275"/>
  <c r="G179" i="275"/>
  <c r="H179" i="275"/>
  <c r="I179" i="275"/>
  <c r="J179" i="275"/>
  <c r="K179" i="275"/>
  <c r="G180" i="275"/>
  <c r="H180" i="275"/>
  <c r="I180" i="275"/>
  <c r="J180" i="275"/>
  <c r="K180" i="275"/>
  <c r="G181" i="275"/>
  <c r="H181" i="275"/>
  <c r="I181" i="275"/>
  <c r="J181" i="275"/>
  <c r="K181" i="275"/>
  <c r="G182" i="275"/>
  <c r="H182" i="275"/>
  <c r="I182" i="275"/>
  <c r="J182" i="275"/>
  <c r="K182" i="275"/>
  <c r="G183" i="275"/>
  <c r="H183" i="275"/>
  <c r="I183" i="275"/>
  <c r="J183" i="275"/>
  <c r="K183" i="275"/>
  <c r="G184" i="275"/>
  <c r="H184" i="275"/>
  <c r="I184" i="275"/>
  <c r="J184" i="275"/>
  <c r="K184" i="275"/>
  <c r="G185" i="275"/>
  <c r="H185" i="275"/>
  <c r="I185" i="275"/>
  <c r="J185" i="275"/>
  <c r="K185" i="275"/>
  <c r="G186" i="275"/>
  <c r="H186" i="275"/>
  <c r="I186" i="275"/>
  <c r="J186" i="275"/>
  <c r="K186" i="275"/>
  <c r="G187" i="275"/>
  <c r="H187" i="275"/>
  <c r="I187" i="275"/>
  <c r="J187" i="275"/>
  <c r="K187" i="275"/>
  <c r="G188" i="275"/>
  <c r="H188" i="275"/>
  <c r="I188" i="275"/>
  <c r="J188" i="275"/>
  <c r="K188" i="275"/>
  <c r="G189" i="275"/>
  <c r="H189" i="275"/>
  <c r="I189" i="275"/>
  <c r="J189" i="275"/>
  <c r="K189" i="275"/>
  <c r="G190" i="275"/>
  <c r="H190" i="275"/>
  <c r="I190" i="275"/>
  <c r="J190" i="275"/>
  <c r="K190" i="275"/>
  <c r="G191" i="275"/>
  <c r="H191" i="275"/>
  <c r="I191" i="275"/>
  <c r="J191" i="275"/>
  <c r="K191" i="275"/>
  <c r="G192" i="275"/>
  <c r="H192" i="275"/>
  <c r="I192" i="275"/>
  <c r="J192" i="275"/>
  <c r="K192" i="275"/>
  <c r="G193" i="275"/>
  <c r="H193" i="275"/>
  <c r="I193" i="275"/>
  <c r="J193" i="275"/>
  <c r="K193" i="275"/>
  <c r="G194" i="275"/>
  <c r="H194" i="275"/>
  <c r="I194" i="275"/>
  <c r="J194" i="275"/>
  <c r="K194" i="275"/>
  <c r="G195" i="275"/>
  <c r="H195" i="275"/>
  <c r="I195" i="275"/>
  <c r="J195" i="275"/>
  <c r="K195" i="275"/>
  <c r="G196" i="275"/>
  <c r="H196" i="275"/>
  <c r="I196" i="275"/>
  <c r="J196" i="275"/>
  <c r="K196" i="275"/>
  <c r="G197" i="275"/>
  <c r="H197" i="275"/>
  <c r="I197" i="275"/>
  <c r="J197" i="275"/>
  <c r="K197" i="275"/>
  <c r="G198" i="275"/>
  <c r="H198" i="275"/>
  <c r="I198" i="275"/>
  <c r="J198" i="275"/>
  <c r="K198" i="275"/>
  <c r="G199" i="275"/>
  <c r="H199" i="275"/>
  <c r="I199" i="275"/>
  <c r="J199" i="275"/>
  <c r="K199" i="275"/>
  <c r="G200" i="275"/>
  <c r="H200" i="275"/>
  <c r="I200" i="275"/>
  <c r="J200" i="275"/>
  <c r="K200" i="275"/>
  <c r="G201" i="275"/>
  <c r="H201" i="275"/>
  <c r="I201" i="275"/>
  <c r="J201" i="275"/>
  <c r="K201" i="275"/>
  <c r="G202" i="275"/>
  <c r="H202" i="275"/>
  <c r="I202" i="275"/>
  <c r="J202" i="275"/>
  <c r="K202" i="275"/>
  <c r="G203" i="275"/>
  <c r="H203" i="275"/>
  <c r="I203" i="275"/>
  <c r="J203" i="275"/>
  <c r="K203" i="275"/>
  <c r="G204" i="275"/>
  <c r="H204" i="275"/>
  <c r="I204" i="275"/>
  <c r="J204" i="275"/>
  <c r="K204" i="275"/>
  <c r="G205" i="275"/>
  <c r="H205" i="275"/>
  <c r="I205" i="275"/>
  <c r="J205" i="275"/>
  <c r="K205" i="275"/>
  <c r="G206" i="275"/>
  <c r="H206" i="275"/>
  <c r="I206" i="275"/>
  <c r="J206" i="275"/>
  <c r="K206" i="275"/>
  <c r="G207" i="275"/>
  <c r="H207" i="275"/>
  <c r="I207" i="275"/>
  <c r="J207" i="275"/>
  <c r="K207" i="275"/>
  <c r="G208" i="275"/>
  <c r="H208" i="275"/>
  <c r="I208" i="275"/>
  <c r="J208" i="275"/>
  <c r="K208" i="275"/>
  <c r="G209" i="275"/>
  <c r="H209" i="275"/>
  <c r="I209" i="275"/>
  <c r="J209" i="275"/>
  <c r="K209" i="275"/>
  <c r="G210" i="275"/>
  <c r="H210" i="275"/>
  <c r="I210" i="275"/>
  <c r="J210" i="275"/>
  <c r="K210" i="275"/>
  <c r="G211" i="275"/>
  <c r="H211" i="275"/>
  <c r="I211" i="275"/>
  <c r="J211" i="275"/>
  <c r="K211" i="275"/>
  <c r="G212" i="275"/>
  <c r="H212" i="275"/>
  <c r="I212" i="275"/>
  <c r="J212" i="275"/>
  <c r="K212" i="275"/>
  <c r="G213" i="275"/>
  <c r="H213" i="275"/>
  <c r="I213" i="275"/>
  <c r="J213" i="275"/>
  <c r="K213" i="275"/>
  <c r="G214" i="275"/>
  <c r="H214" i="275"/>
  <c r="I214" i="275"/>
  <c r="J214" i="275"/>
  <c r="K214" i="275"/>
  <c r="G215" i="275"/>
  <c r="H215" i="275"/>
  <c r="I215" i="275"/>
  <c r="J215" i="275"/>
  <c r="K215" i="275"/>
  <c r="G216" i="275"/>
  <c r="H216" i="275"/>
  <c r="I216" i="275"/>
  <c r="J216" i="275"/>
  <c r="K216" i="275"/>
  <c r="G217" i="275"/>
  <c r="H217" i="275"/>
  <c r="I217" i="275"/>
  <c r="J217" i="275"/>
  <c r="K217" i="275"/>
  <c r="G218" i="275"/>
  <c r="H218" i="275"/>
  <c r="I218" i="275"/>
  <c r="J218" i="275"/>
  <c r="K218" i="275"/>
  <c r="G219" i="275"/>
  <c r="H219" i="275"/>
  <c r="I219" i="275"/>
  <c r="J219" i="275"/>
  <c r="K219" i="275"/>
  <c r="G220" i="275"/>
  <c r="H220" i="275"/>
  <c r="I220" i="275"/>
  <c r="J220" i="275"/>
  <c r="K220" i="275"/>
  <c r="G221" i="275"/>
  <c r="H221" i="275"/>
  <c r="I221" i="275"/>
  <c r="J221" i="275"/>
  <c r="K221" i="275"/>
  <c r="G222" i="275"/>
  <c r="H222" i="275"/>
  <c r="I222" i="275"/>
  <c r="J222" i="275"/>
  <c r="K222" i="275"/>
  <c r="G223" i="275"/>
  <c r="H223" i="275"/>
  <c r="I223" i="275"/>
  <c r="J223" i="275"/>
  <c r="K223" i="275"/>
  <c r="G224" i="275"/>
  <c r="H224" i="275"/>
  <c r="I224" i="275"/>
  <c r="J224" i="275"/>
  <c r="K224" i="275"/>
  <c r="G225" i="275"/>
  <c r="H225" i="275"/>
  <c r="I225" i="275"/>
  <c r="J225" i="275"/>
  <c r="K225" i="275"/>
  <c r="G226" i="275"/>
  <c r="H226" i="275"/>
  <c r="I226" i="275"/>
  <c r="J226" i="275"/>
  <c r="K226" i="275"/>
  <c r="G227" i="275"/>
  <c r="H227" i="275"/>
  <c r="I227" i="275"/>
  <c r="J227" i="275"/>
  <c r="K227" i="275"/>
  <c r="G228" i="275"/>
  <c r="H228" i="275"/>
  <c r="I228" i="275"/>
  <c r="J228" i="275"/>
  <c r="K228" i="275"/>
  <c r="G229" i="275"/>
  <c r="H229" i="275"/>
  <c r="I229" i="275"/>
  <c r="J229" i="275"/>
  <c r="K229" i="275"/>
  <c r="G230" i="275"/>
  <c r="H230" i="275"/>
  <c r="I230" i="275"/>
  <c r="J230" i="275"/>
  <c r="K230" i="275"/>
  <c r="G231" i="275"/>
  <c r="H231" i="275"/>
  <c r="I231" i="275"/>
  <c r="J231" i="275"/>
  <c r="K231" i="275"/>
  <c r="G232" i="275"/>
  <c r="H232" i="275"/>
  <c r="I232" i="275"/>
  <c r="J232" i="275"/>
  <c r="K232" i="275"/>
  <c r="G233" i="275"/>
  <c r="H233" i="275"/>
  <c r="I233" i="275"/>
  <c r="J233" i="275"/>
  <c r="K233" i="275"/>
  <c r="G234" i="275"/>
  <c r="H234" i="275"/>
  <c r="I234" i="275"/>
  <c r="J234" i="275"/>
  <c r="K234" i="275"/>
  <c r="G235" i="275"/>
  <c r="H235" i="275"/>
  <c r="I235" i="275"/>
  <c r="J235" i="275"/>
  <c r="K235" i="275"/>
  <c r="G236" i="275"/>
  <c r="H236" i="275"/>
  <c r="I236" i="275"/>
  <c r="J236" i="275"/>
  <c r="K236" i="275"/>
  <c r="G237" i="275"/>
  <c r="H237" i="275"/>
  <c r="I237" i="275"/>
  <c r="J237" i="275"/>
  <c r="K237" i="275"/>
  <c r="G238" i="275"/>
  <c r="H238" i="275"/>
  <c r="I238" i="275"/>
  <c r="J238" i="275"/>
  <c r="K238" i="275"/>
  <c r="G239" i="275"/>
  <c r="H239" i="275"/>
  <c r="I239" i="275"/>
  <c r="J239" i="275"/>
  <c r="K239" i="275"/>
  <c r="G240" i="275"/>
  <c r="H240" i="275"/>
  <c r="I240" i="275"/>
  <c r="J240" i="275"/>
  <c r="K240" i="275"/>
  <c r="G241" i="275"/>
  <c r="H241" i="275"/>
  <c r="I241" i="275"/>
  <c r="J241" i="275"/>
  <c r="K241" i="275"/>
  <c r="G242" i="275"/>
  <c r="H242" i="275"/>
  <c r="I242" i="275"/>
  <c r="J242" i="275"/>
  <c r="K242" i="275"/>
  <c r="G243" i="275"/>
  <c r="H243" i="275"/>
  <c r="I243" i="275"/>
  <c r="J243" i="275"/>
  <c r="K243" i="275"/>
  <c r="G244" i="275"/>
  <c r="H244" i="275"/>
  <c r="I244" i="275"/>
  <c r="J244" i="275"/>
  <c r="K244" i="275"/>
  <c r="G245" i="275"/>
  <c r="H245" i="275"/>
  <c r="I245" i="275"/>
  <c r="J245" i="275"/>
  <c r="K245" i="275"/>
  <c r="G246" i="275"/>
  <c r="H246" i="275"/>
  <c r="I246" i="275"/>
  <c r="J246" i="275"/>
  <c r="K246" i="275"/>
  <c r="G247" i="275"/>
  <c r="H247" i="275"/>
  <c r="I247" i="275"/>
  <c r="J247" i="275"/>
  <c r="K247" i="275"/>
  <c r="G248" i="275"/>
  <c r="H248" i="275"/>
  <c r="I248" i="275"/>
  <c r="J248" i="275"/>
  <c r="K248" i="275"/>
  <c r="G249" i="275"/>
  <c r="H249" i="275"/>
  <c r="I249" i="275"/>
  <c r="J249" i="275"/>
  <c r="K249" i="275"/>
  <c r="G250" i="275"/>
  <c r="H250" i="275"/>
  <c r="I250" i="275"/>
  <c r="J250" i="275"/>
  <c r="K250" i="275"/>
  <c r="G251" i="275"/>
  <c r="H251" i="275"/>
  <c r="I251" i="275"/>
  <c r="J251" i="275"/>
  <c r="K251" i="275"/>
  <c r="G252" i="275"/>
  <c r="H252" i="275"/>
  <c r="I252" i="275"/>
  <c r="J252" i="275"/>
  <c r="K252" i="275"/>
  <c r="G253" i="275"/>
  <c r="H253" i="275"/>
  <c r="I253" i="275"/>
  <c r="J253" i="275"/>
  <c r="K253" i="275"/>
  <c r="G254" i="275"/>
  <c r="H254" i="275"/>
  <c r="I254" i="275"/>
  <c r="J254" i="275"/>
  <c r="K254" i="275"/>
  <c r="G255" i="275"/>
  <c r="H255" i="275"/>
  <c r="I255" i="275"/>
  <c r="J255" i="275"/>
  <c r="K255" i="275"/>
  <c r="G256" i="275"/>
  <c r="H256" i="275"/>
  <c r="I256" i="275"/>
  <c r="J256" i="275"/>
  <c r="K256" i="275"/>
  <c r="G257" i="275"/>
  <c r="H257" i="275"/>
  <c r="I257" i="275"/>
  <c r="J257" i="275"/>
  <c r="K257" i="275"/>
  <c r="G258" i="275"/>
  <c r="H258" i="275"/>
  <c r="I258" i="275"/>
  <c r="J258" i="275"/>
  <c r="K258" i="275"/>
  <c r="G259" i="275"/>
  <c r="H259" i="275"/>
  <c r="I259" i="275"/>
  <c r="J259" i="275"/>
  <c r="K259" i="275"/>
  <c r="G260" i="275"/>
  <c r="H260" i="275"/>
  <c r="I260" i="275"/>
  <c r="J260" i="275"/>
  <c r="K260" i="275"/>
  <c r="G261" i="275"/>
  <c r="H261" i="275"/>
  <c r="I261" i="275"/>
  <c r="J261" i="275"/>
  <c r="K261" i="275"/>
  <c r="G262" i="275"/>
  <c r="H262" i="275"/>
  <c r="I262" i="275"/>
  <c r="J262" i="275"/>
  <c r="K262" i="275"/>
  <c r="G263" i="275"/>
  <c r="H263" i="275"/>
  <c r="I263" i="275"/>
  <c r="J263" i="275"/>
  <c r="K263" i="275"/>
  <c r="G264" i="275"/>
  <c r="H264" i="275"/>
  <c r="I264" i="275"/>
  <c r="J264" i="275"/>
  <c r="K264" i="275"/>
  <c r="G265" i="275"/>
  <c r="H265" i="275"/>
  <c r="I265" i="275"/>
  <c r="J265" i="275"/>
  <c r="K265" i="275"/>
  <c r="AA135" i="142" l="1"/>
  <c r="D46" i="235"/>
  <c r="S151" i="142"/>
  <c r="K182" i="142"/>
  <c r="P16" i="235" s="1"/>
  <c r="K166" i="142"/>
  <c r="L16" i="235" s="1"/>
  <c r="K195" i="142"/>
  <c r="V106" i="235"/>
  <c r="U104" i="235"/>
  <c r="U28" i="235"/>
  <c r="U42" i="235"/>
  <c r="U89" i="235"/>
  <c r="U74" i="235"/>
  <c r="D148" i="142"/>
  <c r="G55" i="189"/>
  <c r="F56" i="189"/>
  <c r="D132" i="142"/>
  <c r="D194" i="142"/>
  <c r="D164" i="142"/>
  <c r="O41" i="189"/>
  <c r="M42" i="189"/>
  <c r="F41" i="189"/>
  <c r="G40" i="189"/>
  <c r="N26" i="189"/>
  <c r="O25" i="189"/>
  <c r="U61" i="235"/>
  <c r="F26" i="189"/>
  <c r="G25" i="189"/>
  <c r="M12" i="189"/>
  <c r="O11" i="189"/>
  <c r="U13" i="235"/>
  <c r="D15" i="235"/>
  <c r="F11" i="189"/>
  <c r="G10" i="189"/>
  <c r="E47" i="189"/>
  <c r="E32" i="189"/>
  <c r="E14" i="189"/>
  <c r="I193" i="266"/>
  <c r="I192" i="266" s="1"/>
  <c r="I193" i="271"/>
  <c r="I192" i="271" s="1"/>
  <c r="I191" i="271" s="1"/>
  <c r="E72" i="278"/>
  <c r="D47" i="235" l="1"/>
  <c r="K196" i="142"/>
  <c r="K167" i="142"/>
  <c r="L17" i="235" s="1"/>
  <c r="K183" i="142"/>
  <c r="P17" i="235" s="1"/>
  <c r="U105" i="235"/>
  <c r="V107" i="235"/>
  <c r="U29" i="235"/>
  <c r="U43" i="235"/>
  <c r="U90" i="235"/>
  <c r="U75" i="235"/>
  <c r="D165" i="142"/>
  <c r="D149" i="142"/>
  <c r="D195" i="142"/>
  <c r="F57" i="189"/>
  <c r="G56" i="189"/>
  <c r="D133" i="142"/>
  <c r="M43" i="189"/>
  <c r="O42" i="189"/>
  <c r="F42" i="189"/>
  <c r="G41" i="189"/>
  <c r="U62" i="235"/>
  <c r="O26" i="189"/>
  <c r="N27" i="189"/>
  <c r="F27" i="189"/>
  <c r="G26" i="189"/>
  <c r="M13" i="189"/>
  <c r="O12" i="189"/>
  <c r="F12" i="189"/>
  <c r="G11" i="189"/>
  <c r="D16" i="235"/>
  <c r="U14" i="235"/>
  <c r="E15" i="189"/>
  <c r="A5604" i="282"/>
  <c r="A5603" i="282"/>
  <c r="A5602" i="282"/>
  <c r="A5598" i="282"/>
  <c r="A5599" i="282"/>
  <c r="A5600" i="282"/>
  <c r="A5601" i="282"/>
  <c r="A5597" i="282"/>
  <c r="A5596" i="282"/>
  <c r="A5595" i="282"/>
  <c r="A5594" i="282"/>
  <c r="A5593" i="282"/>
  <c r="A5592" i="282"/>
  <c r="A5591" i="282"/>
  <c r="A5590" i="282"/>
  <c r="A5589" i="282"/>
  <c r="A5587" i="282"/>
  <c r="A5588" i="282"/>
  <c r="A5585" i="282"/>
  <c r="A5586" i="282"/>
  <c r="A5584" i="282"/>
  <c r="A5583" i="282"/>
  <c r="A5582" i="282"/>
  <c r="K197" i="142" l="1"/>
  <c r="K198" i="142" s="1"/>
  <c r="K199" i="142" s="1"/>
  <c r="C78" i="311"/>
  <c r="G78" i="311" s="1"/>
  <c r="C78" i="333"/>
  <c r="V109" i="235"/>
  <c r="V108" i="235"/>
  <c r="U106" i="235"/>
  <c r="U30" i="235"/>
  <c r="U44" i="235"/>
  <c r="U91" i="235"/>
  <c r="U76" i="235"/>
  <c r="D135" i="142"/>
  <c r="D134" i="142"/>
  <c r="F58" i="189"/>
  <c r="G57" i="189"/>
  <c r="D167" i="142"/>
  <c r="D166" i="142"/>
  <c r="D196" i="142"/>
  <c r="D151" i="142"/>
  <c r="D150" i="142"/>
  <c r="O43" i="189"/>
  <c r="M44" i="189"/>
  <c r="F43" i="189"/>
  <c r="G42" i="189"/>
  <c r="U64" i="235"/>
  <c r="U63" i="235"/>
  <c r="N28" i="189"/>
  <c r="O27" i="189"/>
  <c r="F28" i="189"/>
  <c r="G27" i="189"/>
  <c r="M14" i="189"/>
  <c r="O13" i="189"/>
  <c r="U15" i="235"/>
  <c r="F13" i="189"/>
  <c r="G12" i="189"/>
  <c r="E16" i="189"/>
  <c r="B3" i="333"/>
  <c r="C7" i="334"/>
  <c r="H1" i="333"/>
  <c r="U107" i="235" l="1"/>
  <c r="D17" i="235"/>
  <c r="U32" i="235"/>
  <c r="U31" i="235"/>
  <c r="U45" i="235"/>
  <c r="U92" i="235"/>
  <c r="U77" i="235"/>
  <c r="D197" i="142"/>
  <c r="G58" i="189"/>
  <c r="F59" i="189"/>
  <c r="M45" i="189"/>
  <c r="O44" i="189"/>
  <c r="F44" i="189"/>
  <c r="G43" i="189"/>
  <c r="N29" i="189"/>
  <c r="O28" i="189"/>
  <c r="F29" i="189"/>
  <c r="G28" i="189"/>
  <c r="M15" i="189"/>
  <c r="O14" i="189"/>
  <c r="F14" i="189"/>
  <c r="G13" i="189"/>
  <c r="U16" i="235"/>
  <c r="E17" i="189"/>
  <c r="A5579" i="282"/>
  <c r="A5580" i="282"/>
  <c r="A5581" i="282"/>
  <c r="A5578" i="282"/>
  <c r="A5577" i="282"/>
  <c r="A5576" i="282"/>
  <c r="A5575" i="282"/>
  <c r="A5574" i="282"/>
  <c r="U109" i="235" l="1"/>
  <c r="U108" i="235"/>
  <c r="U47" i="235"/>
  <c r="U46" i="235"/>
  <c r="U94" i="235"/>
  <c r="U93" i="235"/>
  <c r="U79" i="235"/>
  <c r="U78" i="235"/>
  <c r="G59" i="189"/>
  <c r="F60" i="189"/>
  <c r="D199" i="142"/>
  <c r="D198" i="142"/>
  <c r="M46" i="189"/>
  <c r="O45" i="189"/>
  <c r="F45" i="189"/>
  <c r="G44" i="189"/>
  <c r="O29" i="189"/>
  <c r="N30" i="189"/>
  <c r="F30" i="189"/>
  <c r="G29" i="189"/>
  <c r="O15" i="189"/>
  <c r="M16" i="189"/>
  <c r="F15" i="189"/>
  <c r="G14" i="189"/>
  <c r="E74" i="331"/>
  <c r="E72" i="331"/>
  <c r="E67" i="331"/>
  <c r="E64" i="331"/>
  <c r="E63" i="331"/>
  <c r="E58" i="331"/>
  <c r="E57" i="331"/>
  <c r="E56" i="331"/>
  <c r="E55" i="331"/>
  <c r="E54" i="331"/>
  <c r="E53" i="331"/>
  <c r="E52" i="331"/>
  <c r="E51" i="331"/>
  <c r="E48" i="331"/>
  <c r="E47" i="331"/>
  <c r="E46" i="331"/>
  <c r="E41" i="331"/>
  <c r="E40" i="331"/>
  <c r="E39" i="331"/>
  <c r="E38" i="331"/>
  <c r="E37" i="331"/>
  <c r="E36" i="331"/>
  <c r="E35" i="331"/>
  <c r="E32" i="331"/>
  <c r="E31" i="331"/>
  <c r="E30" i="331"/>
  <c r="E29" i="331"/>
  <c r="E28" i="331"/>
  <c r="E25" i="331"/>
  <c r="E24" i="331"/>
  <c r="H24" i="331" s="1"/>
  <c r="E23" i="331"/>
  <c r="E22" i="331"/>
  <c r="E21" i="331"/>
  <c r="E20" i="331"/>
  <c r="E15" i="331"/>
  <c r="E14" i="331"/>
  <c r="E12" i="331"/>
  <c r="E11" i="331"/>
  <c r="E10" i="331"/>
  <c r="E8" i="331"/>
  <c r="H1" i="331"/>
  <c r="E74" i="329"/>
  <c r="E72" i="329"/>
  <c r="E67" i="329"/>
  <c r="E64" i="329"/>
  <c r="E63" i="329"/>
  <c r="E58" i="329"/>
  <c r="E57" i="329"/>
  <c r="H57" i="329" s="1"/>
  <c r="E56" i="329"/>
  <c r="E55" i="329"/>
  <c r="E54" i="329"/>
  <c r="E53" i="329"/>
  <c r="E52" i="329"/>
  <c r="E51" i="329"/>
  <c r="E48" i="329"/>
  <c r="E47" i="329"/>
  <c r="E46" i="329"/>
  <c r="E41" i="329"/>
  <c r="E40" i="329"/>
  <c r="E39" i="329"/>
  <c r="E38" i="329"/>
  <c r="E37" i="329"/>
  <c r="E36" i="329"/>
  <c r="E35" i="329"/>
  <c r="E32" i="329"/>
  <c r="E31" i="329"/>
  <c r="E30" i="329"/>
  <c r="E29" i="329"/>
  <c r="E28" i="329"/>
  <c r="E25" i="329"/>
  <c r="E24" i="329"/>
  <c r="H24" i="329" s="1"/>
  <c r="E23" i="329"/>
  <c r="E22" i="329"/>
  <c r="E21" i="329"/>
  <c r="E20" i="329"/>
  <c r="E15" i="329"/>
  <c r="E14" i="329"/>
  <c r="E12" i="329"/>
  <c r="E11" i="329"/>
  <c r="E10" i="329"/>
  <c r="E8" i="329"/>
  <c r="H1" i="329"/>
  <c r="E74" i="327"/>
  <c r="E72" i="327"/>
  <c r="E67" i="327"/>
  <c r="E64" i="327"/>
  <c r="E63" i="327"/>
  <c r="E58" i="327"/>
  <c r="E57" i="327"/>
  <c r="H57" i="327" s="1"/>
  <c r="E56" i="327"/>
  <c r="E55" i="327"/>
  <c r="E54" i="327"/>
  <c r="E53" i="327"/>
  <c r="E52" i="327"/>
  <c r="E51" i="327"/>
  <c r="E48" i="327"/>
  <c r="E47" i="327"/>
  <c r="H47" i="327" s="1"/>
  <c r="E46" i="327"/>
  <c r="E41" i="327"/>
  <c r="E40" i="327"/>
  <c r="E39" i="327"/>
  <c r="E38" i="327"/>
  <c r="E37" i="327"/>
  <c r="E36" i="327"/>
  <c r="E35" i="327"/>
  <c r="H35" i="327" s="1"/>
  <c r="E32" i="327"/>
  <c r="E31" i="327"/>
  <c r="E30" i="327"/>
  <c r="E29" i="327"/>
  <c r="E28" i="327"/>
  <c r="E25" i="327"/>
  <c r="E24" i="327"/>
  <c r="H24" i="327" s="1"/>
  <c r="E23" i="327"/>
  <c r="E22" i="327"/>
  <c r="E21" i="327"/>
  <c r="E20" i="327"/>
  <c r="E15" i="327"/>
  <c r="E14" i="327"/>
  <c r="E12" i="327"/>
  <c r="E11" i="327"/>
  <c r="E10" i="327"/>
  <c r="E8" i="327"/>
  <c r="H1" i="327"/>
  <c r="E74" i="325"/>
  <c r="E72" i="325"/>
  <c r="E67" i="325"/>
  <c r="E64" i="325"/>
  <c r="E63" i="325"/>
  <c r="E58" i="325"/>
  <c r="E57" i="325"/>
  <c r="E56" i="325"/>
  <c r="E55" i="325"/>
  <c r="E54" i="325"/>
  <c r="E53" i="325"/>
  <c r="E52" i="325"/>
  <c r="E51" i="325"/>
  <c r="E48" i="325"/>
  <c r="E47" i="325"/>
  <c r="E46" i="325"/>
  <c r="E41" i="325"/>
  <c r="E40" i="325"/>
  <c r="E39" i="325"/>
  <c r="E38" i="325"/>
  <c r="E37" i="325"/>
  <c r="E36" i="325"/>
  <c r="E35" i="325"/>
  <c r="E32" i="325"/>
  <c r="E31" i="325"/>
  <c r="E30" i="325"/>
  <c r="E29" i="325"/>
  <c r="E28" i="325"/>
  <c r="E25" i="325"/>
  <c r="E24" i="325"/>
  <c r="E23" i="325"/>
  <c r="E22" i="325"/>
  <c r="E21" i="325"/>
  <c r="E20" i="325"/>
  <c r="E15" i="325"/>
  <c r="E14" i="325"/>
  <c r="E12" i="325"/>
  <c r="E11" i="325"/>
  <c r="E10" i="325"/>
  <c r="E8" i="325"/>
  <c r="H1" i="325"/>
  <c r="F56" i="329" l="1"/>
  <c r="F8" i="329"/>
  <c r="F74" i="331"/>
  <c r="U17" i="235"/>
  <c r="F61" i="189"/>
  <c r="G60" i="189"/>
  <c r="M47" i="189"/>
  <c r="O47" i="189" s="1"/>
  <c r="O46" i="189"/>
  <c r="F46" i="189"/>
  <c r="G45" i="189"/>
  <c r="O30" i="189"/>
  <c r="N31" i="189"/>
  <c r="F31" i="189"/>
  <c r="G30" i="189"/>
  <c r="O16" i="189"/>
  <c r="M17" i="189"/>
  <c r="O17" i="189" s="1"/>
  <c r="F16" i="189"/>
  <c r="G15" i="189"/>
  <c r="E65" i="329"/>
  <c r="F65" i="329" s="1"/>
  <c r="F47" i="327"/>
  <c r="F32" i="327"/>
  <c r="E65" i="331"/>
  <c r="F65" i="331" s="1"/>
  <c r="E59" i="329"/>
  <c r="F59" i="329" s="1"/>
  <c r="F52" i="327"/>
  <c r="F52" i="329"/>
  <c r="F28" i="325"/>
  <c r="F52" i="325"/>
  <c r="E26" i="327"/>
  <c r="F26" i="327" s="1"/>
  <c r="F37" i="327"/>
  <c r="H57" i="331"/>
  <c r="F32" i="331"/>
  <c r="F56" i="327"/>
  <c r="F67" i="327"/>
  <c r="E13" i="331"/>
  <c r="F13" i="331" s="1"/>
  <c r="F23" i="331"/>
  <c r="F56" i="325"/>
  <c r="F52" i="331"/>
  <c r="F28" i="331"/>
  <c r="F56" i="331"/>
  <c r="H57" i="325"/>
  <c r="F41" i="325"/>
  <c r="F47" i="325"/>
  <c r="E65" i="325"/>
  <c r="F65" i="325" s="1"/>
  <c r="F74" i="325"/>
  <c r="F32" i="325"/>
  <c r="E65" i="327"/>
  <c r="F65" i="327" s="1"/>
  <c r="F37" i="329"/>
  <c r="F32" i="329"/>
  <c r="F67" i="325"/>
  <c r="F23" i="325"/>
  <c r="F28" i="329"/>
  <c r="F8" i="331"/>
  <c r="E26" i="329"/>
  <c r="F26" i="329" s="1"/>
  <c r="F47" i="331"/>
  <c r="F74" i="327"/>
  <c r="F41" i="329"/>
  <c r="F23" i="327"/>
  <c r="F67" i="331"/>
  <c r="F37" i="331"/>
  <c r="F41" i="331"/>
  <c r="E26" i="331"/>
  <c r="E59" i="331"/>
  <c r="F12" i="331"/>
  <c r="F22" i="331"/>
  <c r="F31" i="331"/>
  <c r="F36" i="331"/>
  <c r="F40" i="331"/>
  <c r="F46" i="331"/>
  <c r="H47" i="331"/>
  <c r="F51" i="331"/>
  <c r="F55" i="331"/>
  <c r="F72" i="331"/>
  <c r="E49" i="331"/>
  <c r="F11" i="331"/>
  <c r="F15" i="331"/>
  <c r="F21" i="331"/>
  <c r="F25" i="331"/>
  <c r="F30" i="331"/>
  <c r="F35" i="331"/>
  <c r="F39" i="331"/>
  <c r="F54" i="331"/>
  <c r="F58" i="331"/>
  <c r="F64" i="331"/>
  <c r="E33" i="331"/>
  <c r="E42" i="331"/>
  <c r="F10" i="331"/>
  <c r="F14" i="331"/>
  <c r="F20" i="331"/>
  <c r="F24" i="331"/>
  <c r="F29" i="331"/>
  <c r="F38" i="331"/>
  <c r="F48" i="331"/>
  <c r="F53" i="331"/>
  <c r="F57" i="331"/>
  <c r="F63" i="331"/>
  <c r="F47" i="329"/>
  <c r="F67" i="329"/>
  <c r="F23" i="329"/>
  <c r="F74" i="329"/>
  <c r="F12" i="329"/>
  <c r="F22" i="329"/>
  <c r="F31" i="329"/>
  <c r="F36" i="329"/>
  <c r="F40" i="329"/>
  <c r="F46" i="329"/>
  <c r="H47" i="329"/>
  <c r="F51" i="329"/>
  <c r="F55" i="329"/>
  <c r="F72" i="329"/>
  <c r="E49" i="329"/>
  <c r="F11" i="329"/>
  <c r="F15" i="329"/>
  <c r="F21" i="329"/>
  <c r="F25" i="329"/>
  <c r="F30" i="329"/>
  <c r="F35" i="329"/>
  <c r="F39" i="329"/>
  <c r="F54" i="329"/>
  <c r="F58" i="329"/>
  <c r="F64" i="329"/>
  <c r="E33" i="329"/>
  <c r="E42" i="329"/>
  <c r="F10" i="329"/>
  <c r="F14" i="329"/>
  <c r="F20" i="329"/>
  <c r="F24" i="329"/>
  <c r="F29" i="329"/>
  <c r="F38" i="329"/>
  <c r="F48" i="329"/>
  <c r="F53" i="329"/>
  <c r="F57" i="329"/>
  <c r="F63" i="329"/>
  <c r="E13" i="329"/>
  <c r="F28" i="327"/>
  <c r="F8" i="327"/>
  <c r="F41" i="327"/>
  <c r="E59" i="327"/>
  <c r="F12" i="327"/>
  <c r="F22" i="327"/>
  <c r="F31" i="327"/>
  <c r="F36" i="327"/>
  <c r="F40" i="327"/>
  <c r="F46" i="327"/>
  <c r="F51" i="327"/>
  <c r="F55" i="327"/>
  <c r="F72" i="327"/>
  <c r="E49" i="327"/>
  <c r="F11" i="327"/>
  <c r="F15" i="327"/>
  <c r="F21" i="327"/>
  <c r="F25" i="327"/>
  <c r="F30" i="327"/>
  <c r="F35" i="327"/>
  <c r="F39" i="327"/>
  <c r="F54" i="327"/>
  <c r="F58" i="327"/>
  <c r="F64" i="327"/>
  <c r="E33" i="327"/>
  <c r="E42" i="327"/>
  <c r="F10" i="327"/>
  <c r="F14" i="327"/>
  <c r="F20" i="327"/>
  <c r="F24" i="327"/>
  <c r="F29" i="327"/>
  <c r="F38" i="327"/>
  <c r="F48" i="327"/>
  <c r="F53" i="327"/>
  <c r="F57" i="327"/>
  <c r="F63" i="327"/>
  <c r="E13" i="327"/>
  <c r="F8" i="325"/>
  <c r="E13" i="325"/>
  <c r="F13" i="325" s="1"/>
  <c r="H24" i="325"/>
  <c r="F37" i="325"/>
  <c r="E26" i="325"/>
  <c r="E59" i="325"/>
  <c r="F12" i="325"/>
  <c r="F22" i="325"/>
  <c r="F31" i="325"/>
  <c r="F36" i="325"/>
  <c r="F40" i="325"/>
  <c r="F46" i="325"/>
  <c r="H47" i="325"/>
  <c r="F51" i="325"/>
  <c r="F55" i="325"/>
  <c r="F72" i="325"/>
  <c r="E49" i="325"/>
  <c r="F11" i="325"/>
  <c r="F15" i="325"/>
  <c r="F21" i="325"/>
  <c r="F25" i="325"/>
  <c r="F30" i="325"/>
  <c r="F35" i="325"/>
  <c r="F39" i="325"/>
  <c r="F54" i="325"/>
  <c r="F58" i="325"/>
  <c r="F64" i="325"/>
  <c r="E33" i="325"/>
  <c r="E42" i="325"/>
  <c r="F10" i="325"/>
  <c r="F14" i="325"/>
  <c r="F20" i="325"/>
  <c r="F24" i="325"/>
  <c r="F29" i="325"/>
  <c r="F38" i="325"/>
  <c r="F48" i="325"/>
  <c r="F53" i="325"/>
  <c r="F57" i="325"/>
  <c r="F63" i="325"/>
  <c r="F62" i="189" l="1"/>
  <c r="G62" i="189" s="1"/>
  <c r="G61" i="189"/>
  <c r="F47" i="189"/>
  <c r="G47" i="189" s="1"/>
  <c r="G46" i="189"/>
  <c r="N32" i="189"/>
  <c r="O32" i="189" s="1"/>
  <c r="O31" i="189"/>
  <c r="F32" i="189"/>
  <c r="G32" i="189" s="1"/>
  <c r="G31" i="189"/>
  <c r="F17" i="189"/>
  <c r="G17" i="189" s="1"/>
  <c r="G16" i="189"/>
  <c r="E16" i="331"/>
  <c r="E18" i="331" s="1"/>
  <c r="F18" i="331" s="1"/>
  <c r="E16" i="325"/>
  <c r="E18" i="325" s="1"/>
  <c r="F26" i="331"/>
  <c r="E61" i="331"/>
  <c r="F59" i="331"/>
  <c r="F42" i="331"/>
  <c r="F33" i="331"/>
  <c r="F49" i="331"/>
  <c r="E61" i="329"/>
  <c r="F61" i="329" s="1"/>
  <c r="F13" i="329"/>
  <c r="E16" i="329"/>
  <c r="F42" i="329"/>
  <c r="F49" i="329"/>
  <c r="F33" i="329"/>
  <c r="F42" i="327"/>
  <c r="F33" i="327"/>
  <c r="E61" i="327"/>
  <c r="F59" i="327"/>
  <c r="F49" i="327"/>
  <c r="F13" i="327"/>
  <c r="E16" i="327"/>
  <c r="F49" i="325"/>
  <c r="E61" i="325"/>
  <c r="F59" i="325"/>
  <c r="F42" i="325"/>
  <c r="F26" i="325"/>
  <c r="F33" i="325"/>
  <c r="E69" i="331" l="1"/>
  <c r="F69" i="331" s="1"/>
  <c r="E44" i="331"/>
  <c r="F44" i="331" s="1"/>
  <c r="F16" i="331"/>
  <c r="F16" i="325"/>
  <c r="F61" i="331"/>
  <c r="F16" i="329"/>
  <c r="E18" i="329"/>
  <c r="F16" i="327"/>
  <c r="E18" i="327"/>
  <c r="F61" i="327"/>
  <c r="F61" i="325"/>
  <c r="F18" i="325"/>
  <c r="E69" i="325"/>
  <c r="E44" i="325"/>
  <c r="E70" i="331" l="1"/>
  <c r="F70" i="331" s="1"/>
  <c r="E76" i="331"/>
  <c r="F76" i="331" s="1"/>
  <c r="F18" i="329"/>
  <c r="E69" i="329"/>
  <c r="E44" i="329"/>
  <c r="F18" i="327"/>
  <c r="E69" i="327"/>
  <c r="E44" i="327"/>
  <c r="F69" i="325"/>
  <c r="E76" i="325"/>
  <c r="E70" i="325"/>
  <c r="F44" i="325"/>
  <c r="F44" i="329" l="1"/>
  <c r="F69" i="329"/>
  <c r="E76" i="329"/>
  <c r="E70" i="329"/>
  <c r="F44" i="327"/>
  <c r="F69" i="327"/>
  <c r="E76" i="327"/>
  <c r="E70" i="327"/>
  <c r="F70" i="325"/>
  <c r="F76" i="325"/>
  <c r="F70" i="329" l="1"/>
  <c r="F76" i="329"/>
  <c r="F70" i="327"/>
  <c r="F76" i="327"/>
  <c r="E74" i="323" l="1"/>
  <c r="E64" i="323"/>
  <c r="E58" i="323"/>
  <c r="E57" i="323"/>
  <c r="H57" i="323" s="1"/>
  <c r="E56" i="323"/>
  <c r="E55" i="323"/>
  <c r="E54" i="323"/>
  <c r="E53" i="323"/>
  <c r="E52" i="323"/>
  <c r="E51" i="323"/>
  <c r="E48" i="323"/>
  <c r="E47" i="323"/>
  <c r="E46" i="323"/>
  <c r="E41" i="323"/>
  <c r="E40" i="323"/>
  <c r="E39" i="323"/>
  <c r="E38" i="323"/>
  <c r="E37" i="323"/>
  <c r="E36" i="323"/>
  <c r="E35" i="323"/>
  <c r="H35" i="323" s="1"/>
  <c r="E32" i="323"/>
  <c r="E31" i="323"/>
  <c r="E30" i="323"/>
  <c r="E29" i="323"/>
  <c r="E28" i="323"/>
  <c r="E25" i="323"/>
  <c r="E24" i="323"/>
  <c r="E23" i="323"/>
  <c r="E22" i="323"/>
  <c r="E21" i="323"/>
  <c r="E20" i="323"/>
  <c r="E15" i="323"/>
  <c r="E14" i="323"/>
  <c r="E12" i="323"/>
  <c r="E11" i="323"/>
  <c r="E10" i="323"/>
  <c r="H1" i="323"/>
  <c r="E74" i="321"/>
  <c r="E72" i="321"/>
  <c r="E67" i="321"/>
  <c r="E64" i="321"/>
  <c r="E63" i="321"/>
  <c r="E58" i="321"/>
  <c r="E57" i="321"/>
  <c r="E56" i="321"/>
  <c r="E55" i="321"/>
  <c r="E54" i="321"/>
  <c r="E53" i="321"/>
  <c r="E52" i="321"/>
  <c r="E51" i="321"/>
  <c r="E48" i="321"/>
  <c r="E47" i="321"/>
  <c r="E46" i="321"/>
  <c r="E41" i="321"/>
  <c r="E40" i="321"/>
  <c r="E39" i="321"/>
  <c r="E38" i="321"/>
  <c r="E37" i="321"/>
  <c r="E36" i="321"/>
  <c r="E35" i="321"/>
  <c r="E32" i="321"/>
  <c r="E31" i="321"/>
  <c r="E30" i="321"/>
  <c r="E29" i="321"/>
  <c r="E28" i="321"/>
  <c r="E25" i="321"/>
  <c r="E24" i="321"/>
  <c r="H24" i="321" s="1"/>
  <c r="E23" i="321"/>
  <c r="E22" i="321"/>
  <c r="E21" i="321"/>
  <c r="E20" i="321"/>
  <c r="E15" i="321"/>
  <c r="E14" i="321"/>
  <c r="E12" i="321"/>
  <c r="E11" i="321"/>
  <c r="E10" i="321"/>
  <c r="E8" i="321"/>
  <c r="F8" i="321" s="1"/>
  <c r="H1" i="321"/>
  <c r="E74" i="319"/>
  <c r="E72" i="319"/>
  <c r="E67" i="319"/>
  <c r="E64" i="319"/>
  <c r="E63" i="319"/>
  <c r="E58" i="319"/>
  <c r="E57" i="319"/>
  <c r="H57" i="319" s="1"/>
  <c r="E56" i="319"/>
  <c r="E55" i="319"/>
  <c r="E54" i="319"/>
  <c r="E53" i="319"/>
  <c r="E52" i="319"/>
  <c r="E51" i="319"/>
  <c r="E48" i="319"/>
  <c r="E47" i="319"/>
  <c r="E46" i="319"/>
  <c r="E41" i="319"/>
  <c r="E40" i="319"/>
  <c r="E39" i="319"/>
  <c r="E38" i="319"/>
  <c r="E37" i="319"/>
  <c r="E36" i="319"/>
  <c r="E35" i="319"/>
  <c r="E32" i="319"/>
  <c r="E31" i="319"/>
  <c r="E30" i="319"/>
  <c r="E29" i="319"/>
  <c r="E28" i="319"/>
  <c r="E25" i="319"/>
  <c r="E24" i="319"/>
  <c r="H24" i="319" s="1"/>
  <c r="E23" i="319"/>
  <c r="E22" i="319"/>
  <c r="E21" i="319"/>
  <c r="E20" i="319"/>
  <c r="E15" i="319"/>
  <c r="E14" i="319"/>
  <c r="E12" i="319"/>
  <c r="E11" i="319"/>
  <c r="E10" i="319"/>
  <c r="E8" i="319"/>
  <c r="F8" i="319" s="1"/>
  <c r="H1" i="319"/>
  <c r="E74" i="317"/>
  <c r="E72" i="317"/>
  <c r="E67" i="317"/>
  <c r="E64" i="317"/>
  <c r="E63" i="317"/>
  <c r="E58" i="317"/>
  <c r="E57" i="317"/>
  <c r="H57" i="317" s="1"/>
  <c r="E56" i="317"/>
  <c r="E55" i="317"/>
  <c r="E54" i="317"/>
  <c r="E53" i="317"/>
  <c r="E52" i="317"/>
  <c r="E51" i="317"/>
  <c r="E48" i="317"/>
  <c r="E47" i="317"/>
  <c r="E46" i="317"/>
  <c r="E41" i="317"/>
  <c r="E40" i="317"/>
  <c r="E39" i="317"/>
  <c r="E38" i="317"/>
  <c r="E37" i="317"/>
  <c r="E36" i="317"/>
  <c r="E35" i="317"/>
  <c r="E32" i="317"/>
  <c r="E31" i="317"/>
  <c r="E30" i="317"/>
  <c r="E29" i="317"/>
  <c r="E28" i="317"/>
  <c r="E25" i="317"/>
  <c r="E24" i="317"/>
  <c r="H24" i="317" s="1"/>
  <c r="E23" i="317"/>
  <c r="E22" i="317"/>
  <c r="E21" i="317"/>
  <c r="E20" i="317"/>
  <c r="E15" i="317"/>
  <c r="E14" i="317"/>
  <c r="E12" i="317"/>
  <c r="E11" i="317"/>
  <c r="E10" i="317"/>
  <c r="E8" i="317"/>
  <c r="H1" i="317"/>
  <c r="E65" i="317" l="1"/>
  <c r="F65" i="317" s="1"/>
  <c r="F74" i="319"/>
  <c r="F74" i="317"/>
  <c r="E26" i="319"/>
  <c r="F26" i="319" s="1"/>
  <c r="H57" i="321"/>
  <c r="F47" i="323"/>
  <c r="F12" i="321"/>
  <c r="F32" i="319"/>
  <c r="F8" i="323"/>
  <c r="E65" i="323"/>
  <c r="F65" i="323" s="1"/>
  <c r="F41" i="323"/>
  <c r="F37" i="317"/>
  <c r="F37" i="319"/>
  <c r="F52" i="319"/>
  <c r="E65" i="319"/>
  <c r="F65" i="319" s="1"/>
  <c r="F23" i="323"/>
  <c r="F56" i="319"/>
  <c r="F56" i="317"/>
  <c r="F23" i="319"/>
  <c r="E13" i="323"/>
  <c r="F13" i="323" s="1"/>
  <c r="F47" i="319"/>
  <c r="E65" i="321"/>
  <c r="F65" i="321" s="1"/>
  <c r="F41" i="319"/>
  <c r="F37" i="323"/>
  <c r="F28" i="323"/>
  <c r="F32" i="323"/>
  <c r="F52" i="323"/>
  <c r="F56" i="323"/>
  <c r="F67" i="323"/>
  <c r="H24" i="323"/>
  <c r="F74" i="323"/>
  <c r="E26" i="323"/>
  <c r="E59" i="323"/>
  <c r="F12" i="323"/>
  <c r="F22" i="323"/>
  <c r="F31" i="323"/>
  <c r="F36" i="323"/>
  <c r="F40" i="323"/>
  <c r="F46" i="323"/>
  <c r="H47" i="323"/>
  <c r="F51" i="323"/>
  <c r="F55" i="323"/>
  <c r="F72" i="323"/>
  <c r="E49" i="323"/>
  <c r="F11" i="323"/>
  <c r="F15" i="323"/>
  <c r="F21" i="323"/>
  <c r="F25" i="323"/>
  <c r="F30" i="323"/>
  <c r="F35" i="323"/>
  <c r="F39" i="323"/>
  <c r="F54" i="323"/>
  <c r="F58" i="323"/>
  <c r="F64" i="323"/>
  <c r="E33" i="323"/>
  <c r="E42" i="323"/>
  <c r="F10" i="323"/>
  <c r="F14" i="323"/>
  <c r="F20" i="323"/>
  <c r="F24" i="323"/>
  <c r="F29" i="323"/>
  <c r="F38" i="323"/>
  <c r="F48" i="323"/>
  <c r="F53" i="323"/>
  <c r="F57" i="323"/>
  <c r="F63" i="323"/>
  <c r="F28" i="321"/>
  <c r="F55" i="321"/>
  <c r="E59" i="321"/>
  <c r="F67" i="321"/>
  <c r="F37" i="321"/>
  <c r="F32" i="321"/>
  <c r="F56" i="321"/>
  <c r="F31" i="321"/>
  <c r="F40" i="321"/>
  <c r="F47" i="321"/>
  <c r="F52" i="321"/>
  <c r="E13" i="321"/>
  <c r="F41" i="321"/>
  <c r="F72" i="321"/>
  <c r="F22" i="321"/>
  <c r="H35" i="321"/>
  <c r="E26" i="321"/>
  <c r="F74" i="321"/>
  <c r="F23" i="321"/>
  <c r="F36" i="321"/>
  <c r="F46" i="321"/>
  <c r="E49" i="321"/>
  <c r="F51" i="321"/>
  <c r="F11" i="321"/>
  <c r="F15" i="321"/>
  <c r="F21" i="321"/>
  <c r="F25" i="321"/>
  <c r="F30" i="321"/>
  <c r="F35" i="321"/>
  <c r="F39" i="321"/>
  <c r="F54" i="321"/>
  <c r="F58" i="321"/>
  <c r="F64" i="321"/>
  <c r="E33" i="321"/>
  <c r="E42" i="321"/>
  <c r="F10" i="321"/>
  <c r="F14" i="321"/>
  <c r="F20" i="321"/>
  <c r="F24" i="321"/>
  <c r="F29" i="321"/>
  <c r="F38" i="321"/>
  <c r="F48" i="321"/>
  <c r="F53" i="321"/>
  <c r="F57" i="321"/>
  <c r="F63" i="321"/>
  <c r="F28" i="319"/>
  <c r="F67" i="319"/>
  <c r="E59" i="319"/>
  <c r="F12" i="319"/>
  <c r="F22" i="319"/>
  <c r="F31" i="319"/>
  <c r="F36" i="319"/>
  <c r="F40" i="319"/>
  <c r="F46" i="319"/>
  <c r="F51" i="319"/>
  <c r="F55" i="319"/>
  <c r="F72" i="319"/>
  <c r="E49" i="319"/>
  <c r="F11" i="319"/>
  <c r="F15" i="319"/>
  <c r="F21" i="319"/>
  <c r="F25" i="319"/>
  <c r="F30" i="319"/>
  <c r="F35" i="319"/>
  <c r="F39" i="319"/>
  <c r="F54" i="319"/>
  <c r="F58" i="319"/>
  <c r="F64" i="319"/>
  <c r="E33" i="319"/>
  <c r="E42" i="319"/>
  <c r="F10" i="319"/>
  <c r="F14" i="319"/>
  <c r="F20" i="319"/>
  <c r="F24" i="319"/>
  <c r="F29" i="319"/>
  <c r="F38" i="319"/>
  <c r="F48" i="319"/>
  <c r="F53" i="319"/>
  <c r="F57" i="319"/>
  <c r="F63" i="319"/>
  <c r="E13" i="319"/>
  <c r="F28" i="317"/>
  <c r="F52" i="317"/>
  <c r="F32" i="317"/>
  <c r="F23" i="317"/>
  <c r="F47" i="317"/>
  <c r="E26" i="317"/>
  <c r="F26" i="317" s="1"/>
  <c r="E13" i="317"/>
  <c r="F13" i="317" s="1"/>
  <c r="F41" i="317"/>
  <c r="F67" i="317"/>
  <c r="F8" i="317"/>
  <c r="E59" i="317"/>
  <c r="F12" i="317"/>
  <c r="F22" i="317"/>
  <c r="F31" i="317"/>
  <c r="F36" i="317"/>
  <c r="F40" i="317"/>
  <c r="F46" i="317"/>
  <c r="H47" i="317"/>
  <c r="F51" i="317"/>
  <c r="F55" i="317"/>
  <c r="F72" i="317"/>
  <c r="E49" i="317"/>
  <c r="F11" i="317"/>
  <c r="F15" i="317"/>
  <c r="F21" i="317"/>
  <c r="F25" i="317"/>
  <c r="F30" i="317"/>
  <c r="F35" i="317"/>
  <c r="F39" i="317"/>
  <c r="F54" i="317"/>
  <c r="F58" i="317"/>
  <c r="F64" i="317"/>
  <c r="E33" i="317"/>
  <c r="E42" i="317"/>
  <c r="F10" i="317"/>
  <c r="F14" i="317"/>
  <c r="F20" i="317"/>
  <c r="F24" i="317"/>
  <c r="F29" i="317"/>
  <c r="F38" i="317"/>
  <c r="F48" i="317"/>
  <c r="F53" i="317"/>
  <c r="F57" i="317"/>
  <c r="F63" i="317"/>
  <c r="E16" i="323" l="1"/>
  <c r="E18" i="323" s="1"/>
  <c r="F49" i="323"/>
  <c r="F33" i="323"/>
  <c r="E61" i="323"/>
  <c r="F59" i="323"/>
  <c r="F26" i="323"/>
  <c r="F42" i="323"/>
  <c r="F49" i="321"/>
  <c r="E61" i="321"/>
  <c r="F59" i="321"/>
  <c r="F42" i="321"/>
  <c r="F26" i="321"/>
  <c r="F33" i="321"/>
  <c r="F13" i="321"/>
  <c r="E16" i="321"/>
  <c r="F42" i="319"/>
  <c r="F33" i="319"/>
  <c r="F49" i="319"/>
  <c r="F13" i="319"/>
  <c r="E16" i="319"/>
  <c r="E61" i="319"/>
  <c r="F59" i="319"/>
  <c r="E16" i="317"/>
  <c r="E18" i="317" s="1"/>
  <c r="F18" i="317" s="1"/>
  <c r="F42" i="317"/>
  <c r="F33" i="317"/>
  <c r="E61" i="317"/>
  <c r="F59" i="317"/>
  <c r="F49" i="317"/>
  <c r="F18" i="323" l="1"/>
  <c r="E69" i="323"/>
  <c r="E44" i="323"/>
  <c r="F16" i="323"/>
  <c r="F61" i="323"/>
  <c r="F16" i="321"/>
  <c r="E18" i="321"/>
  <c r="F61" i="321"/>
  <c r="F61" i="319"/>
  <c r="F16" i="319"/>
  <c r="E18" i="319"/>
  <c r="E44" i="317"/>
  <c r="F44" i="317" s="1"/>
  <c r="F16" i="317"/>
  <c r="F61" i="317"/>
  <c r="E69" i="317"/>
  <c r="F44" i="323" l="1"/>
  <c r="F69" i="323"/>
  <c r="E76" i="323"/>
  <c r="E70" i="323"/>
  <c r="F18" i="321"/>
  <c r="E69" i="321"/>
  <c r="E44" i="321"/>
  <c r="F18" i="319"/>
  <c r="E69" i="319"/>
  <c r="E44" i="319"/>
  <c r="F69" i="317"/>
  <c r="E76" i="317"/>
  <c r="E70" i="317"/>
  <c r="F70" i="323" l="1"/>
  <c r="F76" i="323"/>
  <c r="F44" i="321"/>
  <c r="F69" i="321"/>
  <c r="E76" i="321"/>
  <c r="E70" i="321"/>
  <c r="F44" i="319"/>
  <c r="F69" i="319"/>
  <c r="E76" i="319"/>
  <c r="E70" i="319"/>
  <c r="F70" i="317"/>
  <c r="F76" i="317"/>
  <c r="F76" i="321" l="1"/>
  <c r="F70" i="321"/>
  <c r="F76" i="319"/>
  <c r="F70" i="319"/>
  <c r="E74" i="315" l="1"/>
  <c r="E72" i="315"/>
  <c r="E67" i="315"/>
  <c r="E64" i="315"/>
  <c r="E63" i="315"/>
  <c r="E58" i="315"/>
  <c r="E57" i="315"/>
  <c r="H57" i="315" s="1"/>
  <c r="E56" i="315"/>
  <c r="E55" i="315"/>
  <c r="E54" i="315"/>
  <c r="E53" i="315"/>
  <c r="E52" i="315"/>
  <c r="E51" i="315"/>
  <c r="E48" i="315"/>
  <c r="E47" i="315"/>
  <c r="E46" i="315"/>
  <c r="E41" i="315"/>
  <c r="E40" i="315"/>
  <c r="E39" i="315"/>
  <c r="E38" i="315"/>
  <c r="E37" i="315"/>
  <c r="E36" i="315"/>
  <c r="E35" i="315"/>
  <c r="E32" i="315"/>
  <c r="E31" i="315"/>
  <c r="E30" i="315"/>
  <c r="E29" i="315"/>
  <c r="E28" i="315"/>
  <c r="E25" i="315"/>
  <c r="E24" i="315"/>
  <c r="E23" i="315"/>
  <c r="E22" i="315"/>
  <c r="E21" i="315"/>
  <c r="E20" i="315"/>
  <c r="E15" i="315"/>
  <c r="E14" i="315"/>
  <c r="E12" i="315"/>
  <c r="E11" i="315"/>
  <c r="E10" i="315"/>
  <c r="E8" i="315"/>
  <c r="H1" i="315"/>
  <c r="F72" i="315" l="1"/>
  <c r="E49" i="315"/>
  <c r="F49" i="315" s="1"/>
  <c r="F55" i="315"/>
  <c r="F28" i="315"/>
  <c r="F22" i="315"/>
  <c r="F51" i="315"/>
  <c r="F8" i="315"/>
  <c r="F32" i="315"/>
  <c r="F12" i="315"/>
  <c r="F37" i="315"/>
  <c r="F23" i="315"/>
  <c r="F46" i="315"/>
  <c r="F67" i="315"/>
  <c r="F36" i="315"/>
  <c r="H24" i="315"/>
  <c r="F74" i="315"/>
  <c r="F31" i="315"/>
  <c r="F41" i="315"/>
  <c r="F40" i="315"/>
  <c r="F47" i="315"/>
  <c r="F52" i="315"/>
  <c r="F56" i="315"/>
  <c r="E26" i="315"/>
  <c r="E13" i="315"/>
  <c r="E59" i="315"/>
  <c r="E65" i="315"/>
  <c r="H47" i="315"/>
  <c r="F11" i="315"/>
  <c r="F15" i="315"/>
  <c r="F21" i="315"/>
  <c r="F25" i="315"/>
  <c r="F30" i="315"/>
  <c r="F35" i="315"/>
  <c r="F39" i="315"/>
  <c r="F54" i="315"/>
  <c r="F58" i="315"/>
  <c r="F64" i="315"/>
  <c r="E33" i="315"/>
  <c r="E42" i="315"/>
  <c r="F10" i="315"/>
  <c r="F14" i="315"/>
  <c r="F20" i="315"/>
  <c r="F24" i="315"/>
  <c r="F29" i="315"/>
  <c r="F38" i="315"/>
  <c r="F48" i="315"/>
  <c r="F53" i="315"/>
  <c r="F57" i="315"/>
  <c r="F63" i="315"/>
  <c r="E74" i="313"/>
  <c r="E72" i="313"/>
  <c r="E67" i="313"/>
  <c r="E64" i="313"/>
  <c r="E63" i="313"/>
  <c r="E58" i="313"/>
  <c r="E57" i="313"/>
  <c r="E56" i="313"/>
  <c r="E55" i="313"/>
  <c r="E54" i="313"/>
  <c r="E53" i="313"/>
  <c r="E52" i="313"/>
  <c r="E51" i="313"/>
  <c r="E48" i="313"/>
  <c r="E47" i="313"/>
  <c r="E46" i="313"/>
  <c r="E41" i="313"/>
  <c r="E40" i="313"/>
  <c r="E39" i="313"/>
  <c r="E38" i="313"/>
  <c r="E37" i="313"/>
  <c r="E36" i="313"/>
  <c r="E35" i="313"/>
  <c r="E32" i="313"/>
  <c r="E31" i="313"/>
  <c r="E30" i="313"/>
  <c r="E29" i="313"/>
  <c r="E28" i="313"/>
  <c r="E25" i="313"/>
  <c r="E24" i="313"/>
  <c r="E23" i="313"/>
  <c r="E22" i="313"/>
  <c r="E21" i="313"/>
  <c r="E20" i="313"/>
  <c r="E15" i="313"/>
  <c r="E14" i="313"/>
  <c r="E12" i="313"/>
  <c r="E11" i="313"/>
  <c r="E10" i="313"/>
  <c r="E8" i="313"/>
  <c r="F42" i="315" l="1"/>
  <c r="F65" i="315"/>
  <c r="E61" i="315"/>
  <c r="F59" i="315"/>
  <c r="F26" i="315"/>
  <c r="F33" i="315"/>
  <c r="F13" i="315"/>
  <c r="E16" i="315"/>
  <c r="F16" i="315" l="1"/>
  <c r="E18" i="315"/>
  <c r="F61" i="315"/>
  <c r="F18" i="315" l="1"/>
  <c r="E69" i="315"/>
  <c r="E44" i="315"/>
  <c r="F44" i="315" l="1"/>
  <c r="F69" i="315"/>
  <c r="E76" i="315"/>
  <c r="E70" i="315"/>
  <c r="F70" i="315" l="1"/>
  <c r="F76" i="315"/>
  <c r="F74" i="313" l="1"/>
  <c r="F67" i="313"/>
  <c r="E65" i="313"/>
  <c r="H57" i="313"/>
  <c r="F56" i="313"/>
  <c r="F52" i="313"/>
  <c r="F47" i="313"/>
  <c r="F41" i="313"/>
  <c r="F37" i="313"/>
  <c r="F32" i="313"/>
  <c r="F28" i="313"/>
  <c r="H24" i="313"/>
  <c r="F23" i="313"/>
  <c r="E13" i="313"/>
  <c r="F13" i="313" s="1"/>
  <c r="F8" i="313"/>
  <c r="H1" i="313"/>
  <c r="A5573" i="282"/>
  <c r="A5572" i="282"/>
  <c r="A5571" i="282"/>
  <c r="E67" i="311"/>
  <c r="E68" i="334" s="1"/>
  <c r="E64" i="311"/>
  <c r="E65" i="334" s="1"/>
  <c r="E63" i="311"/>
  <c r="E64" i="334" s="1"/>
  <c r="E74" i="311"/>
  <c r="E75" i="334" s="1"/>
  <c r="E72" i="311"/>
  <c r="E73" i="334" s="1"/>
  <c r="E58" i="311"/>
  <c r="E59" i="334" s="1"/>
  <c r="E57" i="311"/>
  <c r="E58" i="334" s="1"/>
  <c r="E56" i="311"/>
  <c r="E57" i="334" s="1"/>
  <c r="E55" i="311"/>
  <c r="E56" i="334" s="1"/>
  <c r="E54" i="311"/>
  <c r="E55" i="334" s="1"/>
  <c r="E53" i="311"/>
  <c r="E54" i="334" s="1"/>
  <c r="E52" i="311"/>
  <c r="E53" i="334" s="1"/>
  <c r="E51" i="311"/>
  <c r="E52" i="334" s="1"/>
  <c r="E48" i="311"/>
  <c r="E49" i="334" s="1"/>
  <c r="E47" i="311"/>
  <c r="E48" i="334" s="1"/>
  <c r="E46" i="311"/>
  <c r="E47" i="334" s="1"/>
  <c r="E41" i="311"/>
  <c r="E42" i="334" s="1"/>
  <c r="E40" i="311"/>
  <c r="E41" i="334" s="1"/>
  <c r="E39" i="311"/>
  <c r="E40" i="334" s="1"/>
  <c r="E38" i="311"/>
  <c r="E39" i="334" s="1"/>
  <c r="E37" i="311"/>
  <c r="E38" i="334" s="1"/>
  <c r="E36" i="311"/>
  <c r="E37" i="334" s="1"/>
  <c r="E35" i="311"/>
  <c r="E36" i="334" s="1"/>
  <c r="E32" i="311"/>
  <c r="E33" i="334" s="1"/>
  <c r="E31" i="311"/>
  <c r="E32" i="334" s="1"/>
  <c r="E30" i="311"/>
  <c r="E31" i="334" s="1"/>
  <c r="E29" i="311"/>
  <c r="E30" i="334" s="1"/>
  <c r="E28" i="311"/>
  <c r="E29" i="334" s="1"/>
  <c r="E25" i="311"/>
  <c r="E26" i="334" s="1"/>
  <c r="E24" i="311"/>
  <c r="E25" i="334" s="1"/>
  <c r="E23" i="311"/>
  <c r="E24" i="334" s="1"/>
  <c r="E22" i="311"/>
  <c r="E23" i="334" s="1"/>
  <c r="E21" i="311"/>
  <c r="E22" i="334" s="1"/>
  <c r="E20" i="311"/>
  <c r="E21" i="334" s="1"/>
  <c r="E15" i="311"/>
  <c r="E16" i="334" s="1"/>
  <c r="E14" i="311"/>
  <c r="E15" i="334" s="1"/>
  <c r="E12" i="311"/>
  <c r="E13" i="334" s="1"/>
  <c r="E11" i="311"/>
  <c r="E12" i="334" s="1"/>
  <c r="E10" i="311"/>
  <c r="E11" i="334" s="1"/>
  <c r="E8" i="311"/>
  <c r="E9" i="334" s="1"/>
  <c r="H1" i="311"/>
  <c r="A5570" i="282"/>
  <c r="A5567" i="282"/>
  <c r="A5568" i="282"/>
  <c r="A5569" i="282"/>
  <c r="E10" i="283"/>
  <c r="H57" i="311" l="1"/>
  <c r="H24" i="311"/>
  <c r="F41" i="334"/>
  <c r="F22" i="334"/>
  <c r="F32" i="334"/>
  <c r="F42" i="334"/>
  <c r="F56" i="334"/>
  <c r="F68" i="334"/>
  <c r="F48" i="334"/>
  <c r="F9" i="334"/>
  <c r="F23" i="334"/>
  <c r="F33" i="334"/>
  <c r="F47" i="334"/>
  <c r="E50" i="334"/>
  <c r="F50" i="334" s="1"/>
  <c r="F57" i="334"/>
  <c r="E27" i="334"/>
  <c r="F21" i="334"/>
  <c r="F11" i="334"/>
  <c r="E14" i="334"/>
  <c r="F24" i="334"/>
  <c r="E43" i="334"/>
  <c r="F36" i="334"/>
  <c r="F58" i="334"/>
  <c r="F65" i="334"/>
  <c r="F12" i="334"/>
  <c r="H25" i="334"/>
  <c r="F25" i="334"/>
  <c r="F37" i="334"/>
  <c r="F49" i="334"/>
  <c r="F59" i="334"/>
  <c r="F31" i="334"/>
  <c r="F13" i="334"/>
  <c r="F26" i="334"/>
  <c r="F38" i="334"/>
  <c r="E60" i="334"/>
  <c r="F52" i="334"/>
  <c r="F73" i="334"/>
  <c r="F55" i="334"/>
  <c r="F15" i="334"/>
  <c r="E34" i="334"/>
  <c r="F29" i="334"/>
  <c r="F39" i="334"/>
  <c r="F53" i="334"/>
  <c r="F75" i="334"/>
  <c r="F30" i="334"/>
  <c r="F40" i="334"/>
  <c r="F54" i="334"/>
  <c r="E66" i="334"/>
  <c r="F64" i="334"/>
  <c r="F67" i="311"/>
  <c r="E65" i="311"/>
  <c r="F65" i="311" s="1"/>
  <c r="F8" i="311"/>
  <c r="E59" i="313"/>
  <c r="E16" i="313"/>
  <c r="E18" i="313" s="1"/>
  <c r="E26" i="313"/>
  <c r="F12" i="313"/>
  <c r="F22" i="313"/>
  <c r="F31" i="313"/>
  <c r="F36" i="313"/>
  <c r="F40" i="313"/>
  <c r="F46" i="313"/>
  <c r="H47" i="313"/>
  <c r="F51" i="313"/>
  <c r="F55" i="313"/>
  <c r="F65" i="313"/>
  <c r="F72" i="313"/>
  <c r="E49" i="313"/>
  <c r="F11" i="313"/>
  <c r="F15" i="313"/>
  <c r="F21" i="313"/>
  <c r="F25" i="313"/>
  <c r="F30" i="313"/>
  <c r="F35" i="313"/>
  <c r="F39" i="313"/>
  <c r="F54" i="313"/>
  <c r="F58" i="313"/>
  <c r="F64" i="313"/>
  <c r="E33" i="313"/>
  <c r="E42" i="313"/>
  <c r="F10" i="313"/>
  <c r="F14" i="313"/>
  <c r="F20" i="313"/>
  <c r="F24" i="313"/>
  <c r="F29" i="313"/>
  <c r="F38" i="313"/>
  <c r="F48" i="313"/>
  <c r="F53" i="313"/>
  <c r="F57" i="313"/>
  <c r="F63" i="313"/>
  <c r="F56" i="311"/>
  <c r="F32" i="311"/>
  <c r="F28" i="311"/>
  <c r="F74" i="311"/>
  <c r="F41" i="311"/>
  <c r="F47" i="311"/>
  <c r="F52" i="311"/>
  <c r="F23" i="311"/>
  <c r="E13" i="311"/>
  <c r="F13" i="311" s="1"/>
  <c r="F37" i="311"/>
  <c r="E59" i="311"/>
  <c r="F12" i="311"/>
  <c r="F22" i="311"/>
  <c r="F31" i="311"/>
  <c r="F36" i="311"/>
  <c r="F40" i="311"/>
  <c r="F46" i="311"/>
  <c r="H47" i="311"/>
  <c r="F51" i="311"/>
  <c r="F55" i="311"/>
  <c r="F72" i="311"/>
  <c r="E26" i="311"/>
  <c r="E49" i="311"/>
  <c r="F11" i="311"/>
  <c r="F15" i="311"/>
  <c r="F21" i="311"/>
  <c r="F25" i="311"/>
  <c r="F30" i="311"/>
  <c r="F35" i="311"/>
  <c r="F39" i="311"/>
  <c r="F54" i="311"/>
  <c r="F58" i="311"/>
  <c r="F64" i="311"/>
  <c r="E33" i="311"/>
  <c r="E42" i="311"/>
  <c r="F10" i="311"/>
  <c r="F14" i="311"/>
  <c r="F20" i="311"/>
  <c r="F24" i="311"/>
  <c r="F29" i="311"/>
  <c r="F38" i="311"/>
  <c r="F48" i="311"/>
  <c r="F53" i="311"/>
  <c r="F57" i="311"/>
  <c r="F63" i="311"/>
  <c r="G172" i="276"/>
  <c r="H172" i="276"/>
  <c r="J172" i="276"/>
  <c r="K172" i="276"/>
  <c r="G173" i="276"/>
  <c r="H173" i="276"/>
  <c r="J173" i="276"/>
  <c r="K173" i="276"/>
  <c r="G174" i="276"/>
  <c r="H174" i="276"/>
  <c r="J174" i="276"/>
  <c r="K174" i="276"/>
  <c r="G175" i="276"/>
  <c r="H175" i="276"/>
  <c r="J175" i="276"/>
  <c r="K175" i="276"/>
  <c r="G176" i="276"/>
  <c r="H176" i="276"/>
  <c r="J176" i="276"/>
  <c r="K176" i="276"/>
  <c r="G177" i="276"/>
  <c r="H177" i="276"/>
  <c r="J177" i="276"/>
  <c r="K177" i="276"/>
  <c r="G178" i="276"/>
  <c r="H178" i="276"/>
  <c r="J178" i="276"/>
  <c r="K178" i="276"/>
  <c r="G179" i="276"/>
  <c r="H179" i="276"/>
  <c r="J179" i="276"/>
  <c r="K179" i="276"/>
  <c r="G180" i="276"/>
  <c r="H180" i="276"/>
  <c r="J180" i="276"/>
  <c r="K180" i="276"/>
  <c r="G181" i="276"/>
  <c r="H181" i="276"/>
  <c r="J181" i="276"/>
  <c r="K181" i="276"/>
  <c r="G182" i="276"/>
  <c r="H182" i="276"/>
  <c r="J182" i="276"/>
  <c r="K182" i="276"/>
  <c r="G183" i="276"/>
  <c r="H183" i="276"/>
  <c r="J183" i="276"/>
  <c r="K183" i="276"/>
  <c r="G184" i="276"/>
  <c r="H184" i="276"/>
  <c r="J184" i="276"/>
  <c r="K184" i="276"/>
  <c r="G185" i="276"/>
  <c r="H185" i="276"/>
  <c r="J185" i="276"/>
  <c r="K185" i="276"/>
  <c r="G186" i="276"/>
  <c r="H186" i="276"/>
  <c r="J186" i="276"/>
  <c r="K186" i="276"/>
  <c r="G187" i="276"/>
  <c r="H187" i="276"/>
  <c r="J187" i="276"/>
  <c r="K187" i="276"/>
  <c r="G188" i="276"/>
  <c r="H188" i="276"/>
  <c r="J188" i="276"/>
  <c r="K188" i="276"/>
  <c r="G189" i="276"/>
  <c r="H189" i="276"/>
  <c r="J189" i="276"/>
  <c r="K189" i="276"/>
  <c r="G190" i="276"/>
  <c r="H190" i="276"/>
  <c r="J190" i="276"/>
  <c r="K190" i="276"/>
  <c r="G191" i="276"/>
  <c r="H191" i="276"/>
  <c r="J191" i="276"/>
  <c r="K191" i="276"/>
  <c r="G192" i="276"/>
  <c r="H192" i="276"/>
  <c r="J192" i="276"/>
  <c r="K192" i="276"/>
  <c r="G193" i="276"/>
  <c r="H193" i="276"/>
  <c r="J193" i="276"/>
  <c r="K193" i="276"/>
  <c r="G194" i="276"/>
  <c r="H194" i="276"/>
  <c r="J194" i="276"/>
  <c r="K194" i="276"/>
  <c r="G195" i="276"/>
  <c r="H195" i="276"/>
  <c r="J195" i="276"/>
  <c r="K195" i="276"/>
  <c r="G196" i="276"/>
  <c r="H196" i="276"/>
  <c r="J196" i="276"/>
  <c r="K196" i="276"/>
  <c r="G198" i="276"/>
  <c r="H198" i="276"/>
  <c r="J198" i="276"/>
  <c r="K198" i="276"/>
  <c r="G199" i="276"/>
  <c r="H199" i="276"/>
  <c r="J199" i="276"/>
  <c r="K199" i="276"/>
  <c r="I199" i="276"/>
  <c r="I198" i="276" s="1"/>
  <c r="G163" i="275"/>
  <c r="H163" i="275"/>
  <c r="J163" i="275"/>
  <c r="K163" i="275"/>
  <c r="G164" i="275"/>
  <c r="H164" i="275"/>
  <c r="J164" i="275"/>
  <c r="K164" i="275"/>
  <c r="G165" i="275"/>
  <c r="H165" i="275"/>
  <c r="J165" i="275"/>
  <c r="K165" i="275"/>
  <c r="G166" i="275"/>
  <c r="H166" i="275"/>
  <c r="J166" i="275"/>
  <c r="K166" i="275"/>
  <c r="G167" i="275"/>
  <c r="H167" i="275"/>
  <c r="J167" i="275"/>
  <c r="K167" i="275"/>
  <c r="G168" i="275"/>
  <c r="H168" i="275"/>
  <c r="J168" i="275"/>
  <c r="K168" i="275"/>
  <c r="G169" i="275"/>
  <c r="H169" i="275"/>
  <c r="J169" i="275"/>
  <c r="K169" i="275"/>
  <c r="G170" i="275"/>
  <c r="H170" i="275"/>
  <c r="J170" i="275"/>
  <c r="K170" i="275"/>
  <c r="G171" i="275"/>
  <c r="H171" i="275"/>
  <c r="J171" i="275"/>
  <c r="K171" i="275"/>
  <c r="G172" i="275"/>
  <c r="H172" i="275"/>
  <c r="J172" i="275"/>
  <c r="K172" i="275"/>
  <c r="G173" i="275"/>
  <c r="H173" i="275"/>
  <c r="J173" i="275"/>
  <c r="K173" i="275"/>
  <c r="G168" i="274"/>
  <c r="H168" i="274"/>
  <c r="J168" i="274"/>
  <c r="K168" i="274"/>
  <c r="G169" i="274"/>
  <c r="H169" i="274"/>
  <c r="J169" i="274"/>
  <c r="K169" i="274"/>
  <c r="G170" i="274"/>
  <c r="H170" i="274"/>
  <c r="J170" i="274"/>
  <c r="K170" i="274"/>
  <c r="G171" i="274"/>
  <c r="H171" i="274"/>
  <c r="J171" i="274"/>
  <c r="K171" i="274"/>
  <c r="G172" i="274"/>
  <c r="H172" i="274"/>
  <c r="J172" i="274"/>
  <c r="K172" i="274"/>
  <c r="G173" i="274"/>
  <c r="H173" i="274"/>
  <c r="J173" i="274"/>
  <c r="K173" i="274"/>
  <c r="G174" i="274"/>
  <c r="H174" i="274"/>
  <c r="J174" i="274"/>
  <c r="K174" i="274"/>
  <c r="G175" i="274"/>
  <c r="H175" i="274"/>
  <c r="J175" i="274"/>
  <c r="K175" i="274"/>
  <c r="G176" i="274"/>
  <c r="H176" i="274"/>
  <c r="J176" i="274"/>
  <c r="K176" i="274"/>
  <c r="G177" i="274"/>
  <c r="H177" i="274"/>
  <c r="J177" i="274"/>
  <c r="K177" i="274"/>
  <c r="G178" i="274"/>
  <c r="H178" i="274"/>
  <c r="J178" i="274"/>
  <c r="K178" i="274"/>
  <c r="G179" i="274"/>
  <c r="H179" i="274"/>
  <c r="J179" i="274"/>
  <c r="K179" i="274"/>
  <c r="G180" i="274"/>
  <c r="H180" i="274"/>
  <c r="J180" i="274"/>
  <c r="K180" i="274"/>
  <c r="G181" i="274"/>
  <c r="H181" i="274"/>
  <c r="J181" i="274"/>
  <c r="K181" i="274"/>
  <c r="G182" i="274"/>
  <c r="H182" i="274"/>
  <c r="J182" i="274"/>
  <c r="K182" i="274"/>
  <c r="G183" i="274"/>
  <c r="H183" i="274"/>
  <c r="J183" i="274"/>
  <c r="K183" i="274"/>
  <c r="G184" i="274"/>
  <c r="H184" i="274"/>
  <c r="J184" i="274"/>
  <c r="K184" i="274"/>
  <c r="G185" i="274"/>
  <c r="H185" i="274"/>
  <c r="J185" i="274"/>
  <c r="K185" i="274"/>
  <c r="G186" i="274"/>
  <c r="H186" i="274"/>
  <c r="J186" i="274"/>
  <c r="K186" i="274"/>
  <c r="G187" i="274"/>
  <c r="H187" i="274"/>
  <c r="J187" i="274"/>
  <c r="K187" i="274"/>
  <c r="G188" i="274"/>
  <c r="H188" i="274"/>
  <c r="J188" i="274"/>
  <c r="K188" i="274"/>
  <c r="G189" i="274"/>
  <c r="H189" i="274"/>
  <c r="J189" i="274"/>
  <c r="K189" i="274"/>
  <c r="G190" i="274"/>
  <c r="H190" i="274"/>
  <c r="J190" i="274"/>
  <c r="K190" i="274"/>
  <c r="G191" i="274"/>
  <c r="H191" i="274"/>
  <c r="J191" i="274"/>
  <c r="K191" i="274"/>
  <c r="G192" i="274"/>
  <c r="H192" i="274"/>
  <c r="J192" i="274"/>
  <c r="K192" i="274"/>
  <c r="G193" i="274"/>
  <c r="H193" i="274"/>
  <c r="J193" i="274"/>
  <c r="K193" i="274"/>
  <c r="G194" i="274"/>
  <c r="H194" i="274"/>
  <c r="J194" i="274"/>
  <c r="K194" i="274"/>
  <c r="G195" i="274"/>
  <c r="H195" i="274"/>
  <c r="J195" i="274"/>
  <c r="K195" i="274"/>
  <c r="G196" i="274"/>
  <c r="H196" i="274"/>
  <c r="J196" i="274"/>
  <c r="K196" i="274"/>
  <c r="G197" i="274"/>
  <c r="H197" i="274"/>
  <c r="J197" i="274"/>
  <c r="K197" i="274"/>
  <c r="G198" i="274"/>
  <c r="H198" i="274"/>
  <c r="J198" i="274"/>
  <c r="K198" i="274"/>
  <c r="G199" i="274"/>
  <c r="H199" i="274"/>
  <c r="J199" i="274"/>
  <c r="K199" i="274"/>
  <c r="G200" i="274"/>
  <c r="H200" i="274"/>
  <c r="J200" i="274"/>
  <c r="K200" i="274"/>
  <c r="G201" i="274"/>
  <c r="H201" i="274"/>
  <c r="J201" i="274"/>
  <c r="K201" i="274"/>
  <c r="G202" i="274"/>
  <c r="H202" i="274"/>
  <c r="J202" i="274"/>
  <c r="K202" i="274"/>
  <c r="G203" i="274"/>
  <c r="H203" i="274"/>
  <c r="J203" i="274"/>
  <c r="K203" i="274"/>
  <c r="G204" i="274"/>
  <c r="H204" i="274"/>
  <c r="J204" i="274"/>
  <c r="K204" i="274"/>
  <c r="G205" i="274"/>
  <c r="H205" i="274"/>
  <c r="J205" i="274"/>
  <c r="K205" i="274"/>
  <c r="G206" i="274"/>
  <c r="H206" i="274"/>
  <c r="J206" i="274"/>
  <c r="K206" i="274"/>
  <c r="G207" i="274"/>
  <c r="H207" i="274"/>
  <c r="J207" i="274"/>
  <c r="K207" i="274"/>
  <c r="G208" i="274"/>
  <c r="H208" i="274"/>
  <c r="J208" i="274"/>
  <c r="K208" i="274"/>
  <c r="G209" i="274"/>
  <c r="H209" i="274"/>
  <c r="J209" i="274"/>
  <c r="K209" i="274"/>
  <c r="G210" i="274"/>
  <c r="H210" i="274"/>
  <c r="J210" i="274"/>
  <c r="K210" i="274"/>
  <c r="G211" i="274"/>
  <c r="H211" i="274"/>
  <c r="J211" i="274"/>
  <c r="K211" i="274"/>
  <c r="G212" i="274"/>
  <c r="H212" i="274"/>
  <c r="J212" i="274"/>
  <c r="K212" i="274"/>
  <c r="G213" i="274"/>
  <c r="H213" i="274"/>
  <c r="J213" i="274"/>
  <c r="K213" i="274"/>
  <c r="G214" i="274"/>
  <c r="H214" i="274"/>
  <c r="J214" i="274"/>
  <c r="K214" i="274"/>
  <c r="G215" i="274"/>
  <c r="H215" i="274"/>
  <c r="J215" i="274"/>
  <c r="K215" i="274"/>
  <c r="G216" i="274"/>
  <c r="H216" i="274"/>
  <c r="J216" i="274"/>
  <c r="K216" i="274"/>
  <c r="G217" i="274"/>
  <c r="H217" i="274"/>
  <c r="J217" i="274"/>
  <c r="K217" i="274"/>
  <c r="G218" i="274"/>
  <c r="H218" i="274"/>
  <c r="J218" i="274"/>
  <c r="K218" i="274"/>
  <c r="G219" i="274"/>
  <c r="H219" i="274"/>
  <c r="J219" i="274"/>
  <c r="K219" i="274"/>
  <c r="G220" i="274"/>
  <c r="H220" i="274"/>
  <c r="J220" i="274"/>
  <c r="K220" i="274"/>
  <c r="G221" i="274"/>
  <c r="H221" i="274"/>
  <c r="J221" i="274"/>
  <c r="K221" i="274"/>
  <c r="G222" i="274"/>
  <c r="H222" i="274"/>
  <c r="J222" i="274"/>
  <c r="K222" i="274"/>
  <c r="G223" i="274"/>
  <c r="H223" i="274"/>
  <c r="J223" i="274"/>
  <c r="K223" i="274"/>
  <c r="G224" i="274"/>
  <c r="H224" i="274"/>
  <c r="J224" i="274"/>
  <c r="K224" i="274"/>
  <c r="G225" i="274"/>
  <c r="H225" i="274"/>
  <c r="J225" i="274"/>
  <c r="K225" i="274"/>
  <c r="G226" i="274"/>
  <c r="H226" i="274"/>
  <c r="J226" i="274"/>
  <c r="K226" i="274"/>
  <c r="G227" i="274"/>
  <c r="H227" i="274"/>
  <c r="J227" i="274"/>
  <c r="K227" i="274"/>
  <c r="G228" i="274"/>
  <c r="H228" i="274"/>
  <c r="J228" i="274"/>
  <c r="K228" i="274"/>
  <c r="G229" i="274"/>
  <c r="H229" i="274"/>
  <c r="J229" i="274"/>
  <c r="K229" i="274"/>
  <c r="G230" i="274"/>
  <c r="H230" i="274"/>
  <c r="J230" i="274"/>
  <c r="K230" i="274"/>
  <c r="G231" i="274"/>
  <c r="H231" i="274"/>
  <c r="J231" i="274"/>
  <c r="K231" i="274"/>
  <c r="G232" i="274"/>
  <c r="H232" i="274"/>
  <c r="J232" i="274"/>
  <c r="K232" i="274"/>
  <c r="G233" i="274"/>
  <c r="H233" i="274"/>
  <c r="J233" i="274"/>
  <c r="K233" i="274"/>
  <c r="G234" i="274"/>
  <c r="H234" i="274"/>
  <c r="J234" i="274"/>
  <c r="K234" i="274"/>
  <c r="G235" i="274"/>
  <c r="H235" i="274"/>
  <c r="J235" i="274"/>
  <c r="K235" i="274"/>
  <c r="G236" i="274"/>
  <c r="H236" i="274"/>
  <c r="J236" i="274"/>
  <c r="K236" i="274"/>
  <c r="G237" i="274"/>
  <c r="H237" i="274"/>
  <c r="J237" i="274"/>
  <c r="K237" i="274"/>
  <c r="G238" i="274"/>
  <c r="H238" i="274"/>
  <c r="J238" i="274"/>
  <c r="K238" i="274"/>
  <c r="G239" i="274"/>
  <c r="H239" i="274"/>
  <c r="J239" i="274"/>
  <c r="K239" i="274"/>
  <c r="G240" i="274"/>
  <c r="H240" i="274"/>
  <c r="J240" i="274"/>
  <c r="K240" i="274"/>
  <c r="G241" i="274"/>
  <c r="H241" i="274"/>
  <c r="J241" i="274"/>
  <c r="K241" i="274"/>
  <c r="G242" i="274"/>
  <c r="H242" i="274"/>
  <c r="J242" i="274"/>
  <c r="K242" i="274"/>
  <c r="G243" i="274"/>
  <c r="H243" i="274"/>
  <c r="J243" i="274"/>
  <c r="K243" i="274"/>
  <c r="G244" i="274"/>
  <c r="H244" i="274"/>
  <c r="J244" i="274"/>
  <c r="K244" i="274"/>
  <c r="G245" i="274"/>
  <c r="H245" i="274"/>
  <c r="J245" i="274"/>
  <c r="K245" i="274"/>
  <c r="G246" i="274"/>
  <c r="H246" i="274"/>
  <c r="J246" i="274"/>
  <c r="K246" i="274"/>
  <c r="G247" i="274"/>
  <c r="H247" i="274"/>
  <c r="J247" i="274"/>
  <c r="K247" i="274"/>
  <c r="G248" i="274"/>
  <c r="H248" i="274"/>
  <c r="J248" i="274"/>
  <c r="K248" i="274"/>
  <c r="G249" i="274"/>
  <c r="H249" i="274"/>
  <c r="J249" i="274"/>
  <c r="K249" i="274"/>
  <c r="G250" i="274"/>
  <c r="H250" i="274"/>
  <c r="J250" i="274"/>
  <c r="K250" i="274"/>
  <c r="G251" i="274"/>
  <c r="H251" i="274"/>
  <c r="J251" i="274"/>
  <c r="K251" i="274"/>
  <c r="G252" i="274"/>
  <c r="H252" i="274"/>
  <c r="J252" i="274"/>
  <c r="K252" i="274"/>
  <c r="G253" i="274"/>
  <c r="H253" i="274"/>
  <c r="J253" i="274"/>
  <c r="K253" i="274"/>
  <c r="G254" i="274"/>
  <c r="H254" i="274"/>
  <c r="J254" i="274"/>
  <c r="K254" i="274"/>
  <c r="G255" i="274"/>
  <c r="H255" i="274"/>
  <c r="J255" i="274"/>
  <c r="K255" i="274"/>
  <c r="G256" i="274"/>
  <c r="H256" i="274"/>
  <c r="J256" i="274"/>
  <c r="K256" i="274"/>
  <c r="G257" i="274"/>
  <c r="H257" i="274"/>
  <c r="J257" i="274"/>
  <c r="K257" i="274"/>
  <c r="G258" i="274"/>
  <c r="H258" i="274"/>
  <c r="J258" i="274"/>
  <c r="K258" i="274"/>
  <c r="G259" i="274"/>
  <c r="H259" i="274"/>
  <c r="J259" i="274"/>
  <c r="K259" i="274"/>
  <c r="G260" i="274"/>
  <c r="H260" i="274"/>
  <c r="J260" i="274"/>
  <c r="K260" i="274"/>
  <c r="G261" i="274"/>
  <c r="H261" i="274"/>
  <c r="J261" i="274"/>
  <c r="K261" i="274"/>
  <c r="G262" i="274"/>
  <c r="H262" i="274"/>
  <c r="J262" i="274"/>
  <c r="K262" i="274"/>
  <c r="G263" i="274"/>
  <c r="H263" i="274"/>
  <c r="J263" i="274"/>
  <c r="K263" i="274"/>
  <c r="G264" i="274"/>
  <c r="H264" i="274"/>
  <c r="J264" i="274"/>
  <c r="K264" i="274"/>
  <c r="G265" i="274"/>
  <c r="H265" i="274"/>
  <c r="J265" i="274"/>
  <c r="K265" i="274"/>
  <c r="G266" i="274"/>
  <c r="H266" i="274"/>
  <c r="J266" i="274"/>
  <c r="K266" i="274"/>
  <c r="G267" i="274"/>
  <c r="H267" i="274"/>
  <c r="I267" i="274"/>
  <c r="I266" i="274" s="1"/>
  <c r="I265" i="274" s="1"/>
  <c r="I264" i="274" s="1"/>
  <c r="I263" i="274" s="1"/>
  <c r="I262" i="274" s="1"/>
  <c r="I261" i="274" s="1"/>
  <c r="I260" i="274" s="1"/>
  <c r="I259" i="274" s="1"/>
  <c r="I258" i="274" s="1"/>
  <c r="I257" i="274" s="1"/>
  <c r="I256" i="274" s="1"/>
  <c r="I255" i="274" s="1"/>
  <c r="I254" i="274" s="1"/>
  <c r="I253" i="274" s="1"/>
  <c r="I252" i="274" s="1"/>
  <c r="I251" i="274" s="1"/>
  <c r="I250" i="274" s="1"/>
  <c r="I249" i="274" s="1"/>
  <c r="I248" i="274" s="1"/>
  <c r="I247" i="274" s="1"/>
  <c r="I246" i="274" s="1"/>
  <c r="I245" i="274" s="1"/>
  <c r="I244" i="274" s="1"/>
  <c r="I243" i="274" s="1"/>
  <c r="I242" i="274" s="1"/>
  <c r="I241" i="274" s="1"/>
  <c r="I240" i="274" s="1"/>
  <c r="I239" i="274" s="1"/>
  <c r="I238" i="274" s="1"/>
  <c r="I237" i="274" s="1"/>
  <c r="I236" i="274" s="1"/>
  <c r="I235" i="274" s="1"/>
  <c r="I234" i="274" s="1"/>
  <c r="I233" i="274" s="1"/>
  <c r="I232" i="274" s="1"/>
  <c r="I231" i="274" s="1"/>
  <c r="I230" i="274" s="1"/>
  <c r="I229" i="274" s="1"/>
  <c r="I228" i="274" s="1"/>
  <c r="I227" i="274" s="1"/>
  <c r="I226" i="274" s="1"/>
  <c r="I225" i="274" s="1"/>
  <c r="I224" i="274" s="1"/>
  <c r="I223" i="274" s="1"/>
  <c r="I222" i="274" s="1"/>
  <c r="I221" i="274" s="1"/>
  <c r="I220" i="274" s="1"/>
  <c r="I219" i="274" s="1"/>
  <c r="I218" i="274" s="1"/>
  <c r="I217" i="274" s="1"/>
  <c r="I216" i="274" s="1"/>
  <c r="I215" i="274" s="1"/>
  <c r="I214" i="274" s="1"/>
  <c r="I213" i="274" s="1"/>
  <c r="I212" i="274" s="1"/>
  <c r="I211" i="274" s="1"/>
  <c r="I210" i="274" s="1"/>
  <c r="I209" i="274" s="1"/>
  <c r="I208" i="274" s="1"/>
  <c r="I207" i="274" s="1"/>
  <c r="I206" i="274" s="1"/>
  <c r="I205" i="274" s="1"/>
  <c r="I204" i="274" s="1"/>
  <c r="I203" i="274" s="1"/>
  <c r="I202" i="274" s="1"/>
  <c r="I201" i="274" s="1"/>
  <c r="I200" i="274" s="1"/>
  <c r="I199" i="274" s="1"/>
  <c r="I198" i="274" s="1"/>
  <c r="I197" i="274" s="1"/>
  <c r="I196" i="274" s="1"/>
  <c r="I195" i="274" s="1"/>
  <c r="I194" i="274" s="1"/>
  <c r="I193" i="274" s="1"/>
  <c r="I192" i="274" s="1"/>
  <c r="I191" i="274" s="1"/>
  <c r="I190" i="274" s="1"/>
  <c r="I189" i="274" s="1"/>
  <c r="I188" i="274" s="1"/>
  <c r="I187" i="274" s="1"/>
  <c r="I186" i="274" s="1"/>
  <c r="I185" i="274" s="1"/>
  <c r="I184" i="274" s="1"/>
  <c r="I183" i="274" s="1"/>
  <c r="I182" i="274" s="1"/>
  <c r="I181" i="274" s="1"/>
  <c r="I180" i="274" s="1"/>
  <c r="I179" i="274" s="1"/>
  <c r="I178" i="274" s="1"/>
  <c r="I177" i="274" s="1"/>
  <c r="I176" i="274" s="1"/>
  <c r="I175" i="274" s="1"/>
  <c r="I174" i="274" s="1"/>
  <c r="I173" i="274" s="1"/>
  <c r="I172" i="274" s="1"/>
  <c r="I171" i="274" s="1"/>
  <c r="I170" i="274" s="1"/>
  <c r="I169" i="274" s="1"/>
  <c r="I168" i="274" s="1"/>
  <c r="J267" i="274"/>
  <c r="K267" i="274"/>
  <c r="G148" i="272"/>
  <c r="H148" i="272"/>
  <c r="J148" i="272"/>
  <c r="K148" i="272"/>
  <c r="G149" i="272"/>
  <c r="H149" i="272"/>
  <c r="J149" i="272"/>
  <c r="K149" i="272"/>
  <c r="G150" i="272"/>
  <c r="H150" i="272"/>
  <c r="J150" i="272"/>
  <c r="K150" i="272"/>
  <c r="G151" i="272"/>
  <c r="H151" i="272"/>
  <c r="J151" i="272"/>
  <c r="K151" i="272"/>
  <c r="G152" i="272"/>
  <c r="H152" i="272"/>
  <c r="J152" i="272"/>
  <c r="K152" i="272"/>
  <c r="G153" i="272"/>
  <c r="H153" i="272"/>
  <c r="J153" i="272"/>
  <c r="K153" i="272"/>
  <c r="G154" i="272"/>
  <c r="H154" i="272"/>
  <c r="J154" i="272"/>
  <c r="K154" i="272"/>
  <c r="G155" i="272"/>
  <c r="H155" i="272"/>
  <c r="J155" i="272"/>
  <c r="K155" i="272"/>
  <c r="G156" i="272"/>
  <c r="H156" i="272"/>
  <c r="J156" i="272"/>
  <c r="K156" i="272"/>
  <c r="G157" i="272"/>
  <c r="H157" i="272"/>
  <c r="J157" i="272"/>
  <c r="K157" i="272"/>
  <c r="G158" i="272"/>
  <c r="H158" i="272"/>
  <c r="J158" i="272"/>
  <c r="K158" i="272"/>
  <c r="G159" i="272"/>
  <c r="H159" i="272"/>
  <c r="J159" i="272"/>
  <c r="K159" i="272"/>
  <c r="G160" i="272"/>
  <c r="H160" i="272"/>
  <c r="J160" i="272"/>
  <c r="K160" i="272"/>
  <c r="G161" i="272"/>
  <c r="H161" i="272"/>
  <c r="J161" i="272"/>
  <c r="K161" i="272"/>
  <c r="G162" i="272"/>
  <c r="H162" i="272"/>
  <c r="J162" i="272"/>
  <c r="K162" i="272"/>
  <c r="G163" i="272"/>
  <c r="H163" i="272"/>
  <c r="J163" i="272"/>
  <c r="K163" i="272"/>
  <c r="I163" i="272"/>
  <c r="G170" i="271"/>
  <c r="H170" i="271"/>
  <c r="J170" i="271"/>
  <c r="K170" i="271"/>
  <c r="G171" i="271"/>
  <c r="H171" i="271"/>
  <c r="J171" i="271"/>
  <c r="K171" i="271"/>
  <c r="G172" i="271"/>
  <c r="H172" i="271"/>
  <c r="J172" i="271"/>
  <c r="K172" i="271"/>
  <c r="G173" i="271"/>
  <c r="H173" i="271"/>
  <c r="J173" i="271"/>
  <c r="K173" i="271"/>
  <c r="G174" i="271"/>
  <c r="H174" i="271"/>
  <c r="J174" i="271"/>
  <c r="K174" i="271"/>
  <c r="G175" i="271"/>
  <c r="H175" i="271"/>
  <c r="J175" i="271"/>
  <c r="K175" i="271"/>
  <c r="G176" i="271"/>
  <c r="H176" i="271"/>
  <c r="J176" i="271"/>
  <c r="K176" i="271"/>
  <c r="G177" i="271"/>
  <c r="H177" i="271"/>
  <c r="J177" i="271"/>
  <c r="K177" i="271"/>
  <c r="G178" i="271"/>
  <c r="H178" i="271"/>
  <c r="J178" i="271"/>
  <c r="K178" i="271"/>
  <c r="G179" i="271"/>
  <c r="H179" i="271"/>
  <c r="J179" i="271"/>
  <c r="K179" i="271"/>
  <c r="G180" i="271"/>
  <c r="H180" i="271"/>
  <c r="J180" i="271"/>
  <c r="K180" i="271"/>
  <c r="G181" i="271"/>
  <c r="H181" i="271"/>
  <c r="J181" i="271"/>
  <c r="K181" i="271"/>
  <c r="G182" i="271"/>
  <c r="H182" i="271"/>
  <c r="J182" i="271"/>
  <c r="K182" i="271"/>
  <c r="G183" i="271"/>
  <c r="H183" i="271"/>
  <c r="J183" i="271"/>
  <c r="K183" i="271"/>
  <c r="G184" i="271"/>
  <c r="H184" i="271"/>
  <c r="J184" i="271"/>
  <c r="K184" i="271"/>
  <c r="G185" i="271"/>
  <c r="H185" i="271"/>
  <c r="J185" i="271"/>
  <c r="K185" i="271"/>
  <c r="G186" i="271"/>
  <c r="H186" i="271"/>
  <c r="J186" i="271"/>
  <c r="K186" i="271"/>
  <c r="G187" i="271"/>
  <c r="H187" i="271"/>
  <c r="J187" i="271"/>
  <c r="K187" i="271"/>
  <c r="G188" i="271"/>
  <c r="H188" i="271"/>
  <c r="J188" i="271"/>
  <c r="K188" i="271"/>
  <c r="G189" i="271"/>
  <c r="H189" i="271"/>
  <c r="J189" i="271"/>
  <c r="K189" i="271"/>
  <c r="G190" i="271"/>
  <c r="H190" i="271"/>
  <c r="I190" i="271"/>
  <c r="I189" i="271" s="1"/>
  <c r="I188" i="271" s="1"/>
  <c r="I187" i="271" s="1"/>
  <c r="I186" i="271" s="1"/>
  <c r="I185" i="271" s="1"/>
  <c r="I184" i="271" s="1"/>
  <c r="I183" i="271" s="1"/>
  <c r="I182" i="271" s="1"/>
  <c r="I181" i="271" s="1"/>
  <c r="I180" i="271" s="1"/>
  <c r="I179" i="271" s="1"/>
  <c r="I178" i="271" s="1"/>
  <c r="I177" i="271" s="1"/>
  <c r="I176" i="271" s="1"/>
  <c r="I175" i="271" s="1"/>
  <c r="I174" i="271" s="1"/>
  <c r="I173" i="271" s="1"/>
  <c r="I172" i="271" s="1"/>
  <c r="I171" i="271" s="1"/>
  <c r="I170" i="271" s="1"/>
  <c r="J190" i="271"/>
  <c r="K190" i="271"/>
  <c r="G172" i="269"/>
  <c r="H172" i="269"/>
  <c r="J172" i="269"/>
  <c r="K172" i="269"/>
  <c r="G173" i="269"/>
  <c r="H173" i="269"/>
  <c r="J173" i="269"/>
  <c r="K173" i="269"/>
  <c r="G174" i="269"/>
  <c r="H174" i="269"/>
  <c r="J174" i="269"/>
  <c r="K174" i="269"/>
  <c r="G175" i="269"/>
  <c r="H175" i="269"/>
  <c r="J175" i="269"/>
  <c r="K175" i="269"/>
  <c r="G176" i="269"/>
  <c r="H176" i="269"/>
  <c r="J176" i="269"/>
  <c r="K176" i="269"/>
  <c r="G177" i="269"/>
  <c r="H177" i="269"/>
  <c r="J177" i="269"/>
  <c r="K177" i="269"/>
  <c r="G178" i="269"/>
  <c r="H178" i="269"/>
  <c r="J178" i="269"/>
  <c r="K178" i="269"/>
  <c r="G179" i="269"/>
  <c r="H179" i="269"/>
  <c r="J179" i="269"/>
  <c r="K179" i="269"/>
  <c r="G180" i="269"/>
  <c r="H180" i="269"/>
  <c r="J180" i="269"/>
  <c r="K180" i="269"/>
  <c r="G181" i="269"/>
  <c r="H181" i="269"/>
  <c r="J181" i="269"/>
  <c r="K181" i="269"/>
  <c r="G182" i="269"/>
  <c r="H182" i="269"/>
  <c r="J182" i="269"/>
  <c r="K182" i="269"/>
  <c r="G183" i="269"/>
  <c r="H183" i="269"/>
  <c r="J183" i="269"/>
  <c r="K183" i="269"/>
  <c r="G184" i="269"/>
  <c r="H184" i="269"/>
  <c r="J184" i="269"/>
  <c r="K184" i="269"/>
  <c r="G185" i="269"/>
  <c r="H185" i="269"/>
  <c r="J185" i="269"/>
  <c r="K185" i="269"/>
  <c r="G186" i="269"/>
  <c r="H186" i="269"/>
  <c r="J186" i="269"/>
  <c r="K186" i="269"/>
  <c r="G187" i="269"/>
  <c r="H187" i="269"/>
  <c r="J187" i="269"/>
  <c r="K187" i="269"/>
  <c r="G188" i="269"/>
  <c r="H188" i="269"/>
  <c r="J188" i="269"/>
  <c r="K188" i="269"/>
  <c r="G189" i="269"/>
  <c r="H189" i="269"/>
  <c r="I187" i="269"/>
  <c r="I186" i="269" s="1"/>
  <c r="I185" i="269" s="1"/>
  <c r="I184" i="269" s="1"/>
  <c r="I183" i="269" s="1"/>
  <c r="I182" i="269" s="1"/>
  <c r="I181" i="269" s="1"/>
  <c r="I180" i="269" s="1"/>
  <c r="I179" i="269" s="1"/>
  <c r="I178" i="269" s="1"/>
  <c r="I177" i="269" s="1"/>
  <c r="I176" i="269" s="1"/>
  <c r="I175" i="269" s="1"/>
  <c r="I174" i="269" s="1"/>
  <c r="I173" i="269" s="1"/>
  <c r="I172" i="269" s="1"/>
  <c r="J189" i="269"/>
  <c r="K189" i="269"/>
  <c r="G166" i="268"/>
  <c r="H166" i="268"/>
  <c r="J166" i="268"/>
  <c r="K166" i="268"/>
  <c r="L166" i="268" s="1"/>
  <c r="G167" i="268"/>
  <c r="H167" i="268"/>
  <c r="J167" i="268"/>
  <c r="K167" i="268"/>
  <c r="L167" i="268" s="1"/>
  <c r="G168" i="268"/>
  <c r="H168" i="268"/>
  <c r="J168" i="268"/>
  <c r="K168" i="268"/>
  <c r="L168" i="268" s="1"/>
  <c r="G169" i="268"/>
  <c r="H169" i="268"/>
  <c r="J169" i="268"/>
  <c r="K169" i="268"/>
  <c r="L169" i="268" s="1"/>
  <c r="G170" i="268"/>
  <c r="H170" i="268"/>
  <c r="J170" i="268"/>
  <c r="K170" i="268"/>
  <c r="L170" i="268" s="1"/>
  <c r="G171" i="268"/>
  <c r="H171" i="268"/>
  <c r="J171" i="268"/>
  <c r="K171" i="268"/>
  <c r="L171" i="268" s="1"/>
  <c r="G172" i="268"/>
  <c r="H172" i="268"/>
  <c r="J172" i="268"/>
  <c r="K172" i="268"/>
  <c r="L172" i="268" s="1"/>
  <c r="G173" i="268"/>
  <c r="H173" i="268"/>
  <c r="J173" i="268"/>
  <c r="K173" i="268"/>
  <c r="L173" i="268" s="1"/>
  <c r="G174" i="268"/>
  <c r="H174" i="268"/>
  <c r="J174" i="268"/>
  <c r="K174" i="268"/>
  <c r="L174" i="268" s="1"/>
  <c r="G175" i="268"/>
  <c r="H175" i="268"/>
  <c r="J175" i="268"/>
  <c r="K175" i="268"/>
  <c r="L175" i="268" s="1"/>
  <c r="G176" i="268"/>
  <c r="H176" i="268"/>
  <c r="J176" i="268"/>
  <c r="K176" i="268"/>
  <c r="L176" i="268" s="1"/>
  <c r="G177" i="268"/>
  <c r="H177" i="268"/>
  <c r="J177" i="268"/>
  <c r="K177" i="268"/>
  <c r="L177" i="268" s="1"/>
  <c r="G178" i="268"/>
  <c r="H178" i="268"/>
  <c r="J178" i="268"/>
  <c r="K178" i="268"/>
  <c r="L178" i="268" s="1"/>
  <c r="G179" i="268"/>
  <c r="H179" i="268"/>
  <c r="J179" i="268"/>
  <c r="K179" i="268"/>
  <c r="L179" i="268" s="1"/>
  <c r="G180" i="268"/>
  <c r="H180" i="268"/>
  <c r="J180" i="268"/>
  <c r="K180" i="268"/>
  <c r="L180" i="268" s="1"/>
  <c r="G181" i="268"/>
  <c r="H181" i="268"/>
  <c r="J181" i="268"/>
  <c r="K181" i="268"/>
  <c r="L181" i="268" s="1"/>
  <c r="G182" i="268"/>
  <c r="H182" i="268"/>
  <c r="J182" i="268"/>
  <c r="K182" i="268"/>
  <c r="L182" i="268" s="1"/>
  <c r="G183" i="268"/>
  <c r="H183" i="268"/>
  <c r="I183" i="268"/>
  <c r="I182" i="268" s="1"/>
  <c r="I181" i="268" s="1"/>
  <c r="I180" i="268" s="1"/>
  <c r="I179" i="268" s="1"/>
  <c r="I178" i="268" s="1"/>
  <c r="I177" i="268" s="1"/>
  <c r="I176" i="268" s="1"/>
  <c r="I175" i="268" s="1"/>
  <c r="I174" i="268" s="1"/>
  <c r="I173" i="268" s="1"/>
  <c r="I172" i="268" s="1"/>
  <c r="I171" i="268" s="1"/>
  <c r="I170" i="268" s="1"/>
  <c r="I169" i="268" s="1"/>
  <c r="I168" i="268" s="1"/>
  <c r="I167" i="268" s="1"/>
  <c r="I166" i="268" s="1"/>
  <c r="J183" i="268"/>
  <c r="K183" i="268"/>
  <c r="L183" i="268" s="1"/>
  <c r="I187" i="267"/>
  <c r="I186" i="267" s="1"/>
  <c r="I185" i="267" s="1"/>
  <c r="I184" i="267" s="1"/>
  <c r="I183" i="267" s="1"/>
  <c r="I182" i="267" s="1"/>
  <c r="I181" i="267" s="1"/>
  <c r="I180" i="267" s="1"/>
  <c r="I179" i="267" s="1"/>
  <c r="I178" i="267" s="1"/>
  <c r="I177" i="267" s="1"/>
  <c r="I176" i="267" s="1"/>
  <c r="I175" i="267" s="1"/>
  <c r="I174" i="267" s="1"/>
  <c r="I173" i="267" s="1"/>
  <c r="I172" i="267" s="1"/>
  <c r="I171" i="267" s="1"/>
  <c r="I170" i="267" s="1"/>
  <c r="I169" i="267" s="1"/>
  <c r="I168" i="267" s="1"/>
  <c r="I167" i="267" s="1"/>
  <c r="I166" i="267" s="1"/>
  <c r="I165" i="267" s="1"/>
  <c r="I164" i="267" s="1"/>
  <c r="I163" i="267" s="1"/>
  <c r="I162" i="267" s="1"/>
  <c r="I161" i="267" s="1"/>
  <c r="I160" i="267" s="1"/>
  <c r="I159" i="267" s="1"/>
  <c r="I158" i="267" s="1"/>
  <c r="I157" i="267" s="1"/>
  <c r="I156" i="267" s="1"/>
  <c r="I155" i="267" s="1"/>
  <c r="G164" i="267"/>
  <c r="H164" i="267"/>
  <c r="J164" i="267"/>
  <c r="K164" i="267"/>
  <c r="G165" i="267"/>
  <c r="H165" i="267"/>
  <c r="J165" i="267"/>
  <c r="K165" i="267"/>
  <c r="G166" i="267"/>
  <c r="H166" i="267"/>
  <c r="J166" i="267"/>
  <c r="K166" i="267"/>
  <c r="G167" i="267"/>
  <c r="H167" i="267"/>
  <c r="J167" i="267"/>
  <c r="K167" i="267"/>
  <c r="G168" i="267"/>
  <c r="H168" i="267"/>
  <c r="J168" i="267"/>
  <c r="K168" i="267"/>
  <c r="G169" i="267"/>
  <c r="H169" i="267"/>
  <c r="J169" i="267"/>
  <c r="K169" i="267"/>
  <c r="G170" i="267"/>
  <c r="H170" i="267"/>
  <c r="J170" i="267"/>
  <c r="K170" i="267"/>
  <c r="G171" i="267"/>
  <c r="H171" i="267"/>
  <c r="J171" i="267"/>
  <c r="K171" i="267"/>
  <c r="G172" i="267"/>
  <c r="H172" i="267"/>
  <c r="J172" i="267"/>
  <c r="K172" i="267"/>
  <c r="G173" i="267"/>
  <c r="H173" i="267"/>
  <c r="J173" i="267"/>
  <c r="K173" i="267"/>
  <c r="G174" i="267"/>
  <c r="H174" i="267"/>
  <c r="J174" i="267"/>
  <c r="K174" i="267"/>
  <c r="G175" i="267"/>
  <c r="H175" i="267"/>
  <c r="J175" i="267"/>
  <c r="K175" i="267"/>
  <c r="G176" i="267"/>
  <c r="H176" i="267"/>
  <c r="J176" i="267"/>
  <c r="K176" i="267"/>
  <c r="G177" i="267"/>
  <c r="H177" i="267"/>
  <c r="J177" i="267"/>
  <c r="K177" i="267"/>
  <c r="G178" i="267"/>
  <c r="H178" i="267"/>
  <c r="J178" i="267"/>
  <c r="K178" i="267"/>
  <c r="G179" i="267"/>
  <c r="H179" i="267"/>
  <c r="J179" i="267"/>
  <c r="K179" i="267"/>
  <c r="G180" i="267"/>
  <c r="H180" i="267"/>
  <c r="J180" i="267"/>
  <c r="K180" i="267"/>
  <c r="G181" i="267"/>
  <c r="H181" i="267"/>
  <c r="J181" i="267"/>
  <c r="K181" i="267"/>
  <c r="G182" i="267"/>
  <c r="H182" i="267"/>
  <c r="J182" i="267"/>
  <c r="K182" i="267"/>
  <c r="G183" i="267"/>
  <c r="H183" i="267"/>
  <c r="J183" i="267"/>
  <c r="K183" i="267"/>
  <c r="G184" i="267"/>
  <c r="H184" i="267"/>
  <c r="J184" i="267"/>
  <c r="K184" i="267"/>
  <c r="G185" i="267"/>
  <c r="H185" i="267"/>
  <c r="J185" i="267"/>
  <c r="K185" i="267"/>
  <c r="G186" i="267"/>
  <c r="H186" i="267"/>
  <c r="J186" i="267"/>
  <c r="K186" i="267"/>
  <c r="G187" i="267"/>
  <c r="H187" i="267"/>
  <c r="J187" i="267"/>
  <c r="K187" i="267"/>
  <c r="G173" i="266"/>
  <c r="H173" i="266"/>
  <c r="J173" i="266"/>
  <c r="K173" i="266"/>
  <c r="G174" i="266"/>
  <c r="H174" i="266"/>
  <c r="J174" i="266"/>
  <c r="K174" i="266"/>
  <c r="G175" i="266"/>
  <c r="H175" i="266"/>
  <c r="J175" i="266"/>
  <c r="K175" i="266"/>
  <c r="G176" i="266"/>
  <c r="H176" i="266"/>
  <c r="J176" i="266"/>
  <c r="K176" i="266"/>
  <c r="G177" i="266"/>
  <c r="H177" i="266"/>
  <c r="J177" i="266"/>
  <c r="K177" i="266"/>
  <c r="G178" i="266"/>
  <c r="H178" i="266"/>
  <c r="J178" i="266"/>
  <c r="K178" i="266"/>
  <c r="G179" i="266"/>
  <c r="H179" i="266"/>
  <c r="J179" i="266"/>
  <c r="K179" i="266"/>
  <c r="G180" i="266"/>
  <c r="H180" i="266"/>
  <c r="J180" i="266"/>
  <c r="K180" i="266"/>
  <c r="G181" i="266"/>
  <c r="H181" i="266"/>
  <c r="J181" i="266"/>
  <c r="K181" i="266"/>
  <c r="G182" i="266"/>
  <c r="H182" i="266"/>
  <c r="J182" i="266"/>
  <c r="K182" i="266"/>
  <c r="G183" i="266"/>
  <c r="H183" i="266"/>
  <c r="J183" i="266"/>
  <c r="K183" i="266"/>
  <c r="G184" i="266"/>
  <c r="H184" i="266"/>
  <c r="J184" i="266"/>
  <c r="K184" i="266"/>
  <c r="G185" i="266"/>
  <c r="H185" i="266"/>
  <c r="J185" i="266"/>
  <c r="K185" i="266"/>
  <c r="G186" i="266"/>
  <c r="H186" i="266"/>
  <c r="J186" i="266"/>
  <c r="K186" i="266"/>
  <c r="G187" i="266"/>
  <c r="H187" i="266"/>
  <c r="J187" i="266"/>
  <c r="K187" i="266"/>
  <c r="G188" i="266"/>
  <c r="H188" i="266"/>
  <c r="J188" i="266"/>
  <c r="K188" i="266"/>
  <c r="G189" i="266"/>
  <c r="H189" i="266"/>
  <c r="J189" i="266"/>
  <c r="K189" i="266"/>
  <c r="G190" i="266"/>
  <c r="H190" i="266"/>
  <c r="J190" i="266"/>
  <c r="K190" i="266"/>
  <c r="G191" i="266"/>
  <c r="H191" i="266"/>
  <c r="I191" i="266"/>
  <c r="I190" i="266" s="1"/>
  <c r="I189" i="266" s="1"/>
  <c r="I188" i="266" s="1"/>
  <c r="I187" i="266" s="1"/>
  <c r="I186" i="266" s="1"/>
  <c r="I185" i="266" s="1"/>
  <c r="I184" i="266" s="1"/>
  <c r="I183" i="266" s="1"/>
  <c r="I182" i="266" s="1"/>
  <c r="I181" i="266" s="1"/>
  <c r="I180" i="266" s="1"/>
  <c r="I179" i="266" s="1"/>
  <c r="I178" i="266" s="1"/>
  <c r="I177" i="266" s="1"/>
  <c r="I176" i="266" s="1"/>
  <c r="I175" i="266" s="1"/>
  <c r="I174" i="266" s="1"/>
  <c r="I173" i="266" s="1"/>
  <c r="J191" i="266"/>
  <c r="K191" i="266"/>
  <c r="E62" i="334" l="1"/>
  <c r="I197" i="276"/>
  <c r="I196" i="276" s="1"/>
  <c r="I195" i="276" s="1"/>
  <c r="I194" i="276" s="1"/>
  <c r="I193" i="276" s="1"/>
  <c r="I192" i="276" s="1"/>
  <c r="I191" i="276" s="1"/>
  <c r="I190" i="276" s="1"/>
  <c r="I189" i="276" s="1"/>
  <c r="I188" i="276" s="1"/>
  <c r="I187" i="276" s="1"/>
  <c r="I186" i="276" s="1"/>
  <c r="I185" i="276" s="1"/>
  <c r="I184" i="276" s="1"/>
  <c r="I183" i="276" s="1"/>
  <c r="I182" i="276" s="1"/>
  <c r="I181" i="276" s="1"/>
  <c r="I180" i="276" s="1"/>
  <c r="I179" i="276" s="1"/>
  <c r="I178" i="276" s="1"/>
  <c r="I177" i="276" s="1"/>
  <c r="I176" i="276" s="1"/>
  <c r="I175" i="276" s="1"/>
  <c r="I174" i="276" s="1"/>
  <c r="I173" i="276" s="1"/>
  <c r="I172" i="276" s="1"/>
  <c r="I162" i="272"/>
  <c r="I161" i="272" s="1"/>
  <c r="I160" i="272" s="1"/>
  <c r="I159" i="272" s="1"/>
  <c r="I158" i="272" s="1"/>
  <c r="I157" i="272" s="1"/>
  <c r="I156" i="272" s="1"/>
  <c r="I155" i="272" s="1"/>
  <c r="I154" i="272" s="1"/>
  <c r="I153" i="272" s="1"/>
  <c r="I152" i="272" s="1"/>
  <c r="I151" i="272" s="1"/>
  <c r="I150" i="272" s="1"/>
  <c r="I149" i="272" s="1"/>
  <c r="I148" i="272" s="1"/>
  <c r="F60" i="334"/>
  <c r="F43" i="334"/>
  <c r="F66" i="334"/>
  <c r="F14" i="334"/>
  <c r="E17" i="334"/>
  <c r="F27" i="334"/>
  <c r="F16" i="334"/>
  <c r="F34" i="334"/>
  <c r="F18" i="313"/>
  <c r="E44" i="313"/>
  <c r="F26" i="313"/>
  <c r="F42" i="313"/>
  <c r="F16" i="313"/>
  <c r="F33" i="313"/>
  <c r="F49" i="313"/>
  <c r="E61" i="313"/>
  <c r="F59" i="313"/>
  <c r="E16" i="311"/>
  <c r="E18" i="311" s="1"/>
  <c r="E44" i="311" s="1"/>
  <c r="E61" i="311"/>
  <c r="F59" i="311"/>
  <c r="F33" i="311"/>
  <c r="F49" i="311"/>
  <c r="F42" i="311"/>
  <c r="F26" i="311"/>
  <c r="K3" i="277"/>
  <c r="K4" i="277"/>
  <c r="K5" i="277"/>
  <c r="K6" i="277"/>
  <c r="K7" i="277"/>
  <c r="K8" i="277"/>
  <c r="K9" i="277"/>
  <c r="K10" i="277"/>
  <c r="K11" i="277"/>
  <c r="K12" i="277"/>
  <c r="K13" i="277"/>
  <c r="K14" i="277"/>
  <c r="K15" i="277"/>
  <c r="K16" i="277"/>
  <c r="K17" i="277"/>
  <c r="K18" i="277"/>
  <c r="K19" i="277"/>
  <c r="K20" i="277"/>
  <c r="K21" i="277"/>
  <c r="K22" i="277"/>
  <c r="K23" i="277"/>
  <c r="K24" i="277"/>
  <c r="K25" i="277"/>
  <c r="K26" i="277"/>
  <c r="K27" i="277"/>
  <c r="K28" i="277"/>
  <c r="K29" i="277"/>
  <c r="K30" i="277"/>
  <c r="K31" i="277"/>
  <c r="K32" i="277"/>
  <c r="K33" i="277"/>
  <c r="K34" i="277"/>
  <c r="K35" i="277"/>
  <c r="K36" i="277"/>
  <c r="K37" i="277"/>
  <c r="K38" i="277"/>
  <c r="K39" i="277"/>
  <c r="K40" i="277"/>
  <c r="K41" i="277"/>
  <c r="K42" i="277"/>
  <c r="K43" i="277"/>
  <c r="K44" i="277"/>
  <c r="K45" i="277"/>
  <c r="K46" i="277"/>
  <c r="K47" i="277"/>
  <c r="K48" i="277"/>
  <c r="K49" i="277"/>
  <c r="K50" i="277"/>
  <c r="K51" i="277"/>
  <c r="K52" i="277"/>
  <c r="K53" i="277"/>
  <c r="K54" i="277"/>
  <c r="K55" i="277"/>
  <c r="K56" i="277"/>
  <c r="K57" i="277"/>
  <c r="K58" i="277"/>
  <c r="K59" i="277"/>
  <c r="K60" i="277"/>
  <c r="K61" i="277"/>
  <c r="K62" i="277"/>
  <c r="K63" i="277"/>
  <c r="K64" i="277"/>
  <c r="K65" i="277"/>
  <c r="K66" i="277"/>
  <c r="K67" i="277"/>
  <c r="K68" i="277"/>
  <c r="K69" i="277"/>
  <c r="K70" i="277"/>
  <c r="K71" i="277"/>
  <c r="K72" i="277"/>
  <c r="K73" i="277"/>
  <c r="K74" i="277"/>
  <c r="K75" i="277"/>
  <c r="K76" i="277"/>
  <c r="K77" i="277"/>
  <c r="K78" i="277"/>
  <c r="K79" i="277"/>
  <c r="K80" i="277"/>
  <c r="K81" i="277"/>
  <c r="K82" i="277"/>
  <c r="K83" i="277"/>
  <c r="K84" i="277"/>
  <c r="K85" i="277"/>
  <c r="K86" i="277"/>
  <c r="K87" i="277"/>
  <c r="K88" i="277"/>
  <c r="K89" i="277"/>
  <c r="K90" i="277"/>
  <c r="K91" i="277"/>
  <c r="K92" i="277"/>
  <c r="K93" i="277"/>
  <c r="K94" i="277"/>
  <c r="K95" i="277"/>
  <c r="K96" i="277"/>
  <c r="K97" i="277"/>
  <c r="K98" i="277"/>
  <c r="K99" i="277"/>
  <c r="K100" i="277"/>
  <c r="K101" i="277"/>
  <c r="K102" i="277"/>
  <c r="K103" i="277"/>
  <c r="K104" i="277"/>
  <c r="K105" i="277"/>
  <c r="K106" i="277"/>
  <c r="K107" i="277"/>
  <c r="K108" i="277"/>
  <c r="K109" i="277"/>
  <c r="K110" i="277"/>
  <c r="K111" i="277"/>
  <c r="K112" i="277"/>
  <c r="K113" i="277"/>
  <c r="K114" i="277"/>
  <c r="K115" i="277"/>
  <c r="K116" i="277"/>
  <c r="K117" i="277"/>
  <c r="K118" i="277"/>
  <c r="K119" i="277"/>
  <c r="K120" i="277"/>
  <c r="K121" i="277"/>
  <c r="K122" i="277"/>
  <c r="K123" i="277"/>
  <c r="K124" i="277"/>
  <c r="K125" i="277"/>
  <c r="K126" i="277"/>
  <c r="K127" i="277"/>
  <c r="K128" i="277"/>
  <c r="K129" i="277"/>
  <c r="K130" i="277"/>
  <c r="K131" i="277"/>
  <c r="K132" i="277"/>
  <c r="K133" i="277"/>
  <c r="K134" i="277"/>
  <c r="K135" i="277"/>
  <c r="K136" i="277"/>
  <c r="K137" i="277"/>
  <c r="K138" i="277"/>
  <c r="K139" i="277"/>
  <c r="K140" i="277"/>
  <c r="K141" i="277"/>
  <c r="K142" i="277"/>
  <c r="K143" i="277"/>
  <c r="K144" i="277"/>
  <c r="K145" i="277"/>
  <c r="K146" i="277"/>
  <c r="K147" i="277"/>
  <c r="K148" i="277"/>
  <c r="K149" i="277"/>
  <c r="K150" i="277"/>
  <c r="K151" i="277"/>
  <c r="K152" i="277"/>
  <c r="K153" i="277"/>
  <c r="K154" i="277"/>
  <c r="K155" i="277"/>
  <c r="K156" i="277"/>
  <c r="K157" i="277"/>
  <c r="K158" i="277"/>
  <c r="K159" i="277"/>
  <c r="K160" i="277"/>
  <c r="K161" i="277"/>
  <c r="K162" i="277"/>
  <c r="K163" i="277"/>
  <c r="K164" i="277"/>
  <c r="K165" i="277"/>
  <c r="K166" i="277"/>
  <c r="K167" i="277"/>
  <c r="K168" i="277"/>
  <c r="K169" i="277"/>
  <c r="K170" i="277"/>
  <c r="K171" i="277"/>
  <c r="K172" i="277"/>
  <c r="K173" i="277"/>
  <c r="K174" i="277"/>
  <c r="K175" i="277"/>
  <c r="K176" i="277"/>
  <c r="K177" i="277"/>
  <c r="K178" i="277"/>
  <c r="K179" i="277"/>
  <c r="K180" i="277"/>
  <c r="K181" i="277"/>
  <c r="K182" i="277"/>
  <c r="K183" i="277"/>
  <c r="K184" i="277"/>
  <c r="K185" i="277"/>
  <c r="K186" i="277"/>
  <c r="K187" i="277"/>
  <c r="K188" i="277"/>
  <c r="K189" i="277"/>
  <c r="K190" i="277"/>
  <c r="K191" i="277"/>
  <c r="K192" i="277"/>
  <c r="K193" i="277"/>
  <c r="K194" i="277"/>
  <c r="K195" i="277"/>
  <c r="K196" i="277"/>
  <c r="K197" i="277"/>
  <c r="K198" i="277"/>
  <c r="K199" i="277"/>
  <c r="K200" i="277"/>
  <c r="K201" i="277"/>
  <c r="K202" i="277"/>
  <c r="K203" i="277"/>
  <c r="K204" i="277"/>
  <c r="K205" i="277"/>
  <c r="K206" i="277"/>
  <c r="K207" i="277"/>
  <c r="K208" i="277"/>
  <c r="K209" i="277"/>
  <c r="K210" i="277"/>
  <c r="K211" i="277"/>
  <c r="K212" i="277"/>
  <c r="K213" i="277"/>
  <c r="K214" i="277"/>
  <c r="K215" i="277"/>
  <c r="K216" i="277"/>
  <c r="K217" i="277"/>
  <c r="K218" i="277"/>
  <c r="K219" i="277"/>
  <c r="K220" i="277"/>
  <c r="K221" i="277"/>
  <c r="K222" i="277"/>
  <c r="K223" i="277"/>
  <c r="K224" i="277"/>
  <c r="K225" i="277"/>
  <c r="K226" i="277"/>
  <c r="K227" i="277"/>
  <c r="K228" i="277"/>
  <c r="K229" i="277"/>
  <c r="K2" i="277"/>
  <c r="K3" i="276"/>
  <c r="K4" i="276"/>
  <c r="K5" i="276"/>
  <c r="K6" i="276"/>
  <c r="K7" i="276"/>
  <c r="K8" i="276"/>
  <c r="K9" i="276"/>
  <c r="K10" i="276"/>
  <c r="K11" i="276"/>
  <c r="K12" i="276"/>
  <c r="K13" i="276"/>
  <c r="K14" i="276"/>
  <c r="K15" i="276"/>
  <c r="K16" i="276"/>
  <c r="K17" i="276"/>
  <c r="K18" i="276"/>
  <c r="K19" i="276"/>
  <c r="K20" i="276"/>
  <c r="K21" i="276"/>
  <c r="K22" i="276"/>
  <c r="K23" i="276"/>
  <c r="K24" i="276"/>
  <c r="K25" i="276"/>
  <c r="K26" i="276"/>
  <c r="K27" i="276"/>
  <c r="K28" i="276"/>
  <c r="K29" i="276"/>
  <c r="K30" i="276"/>
  <c r="K31" i="276"/>
  <c r="K32" i="276"/>
  <c r="K33" i="276"/>
  <c r="K34" i="276"/>
  <c r="K35" i="276"/>
  <c r="K36" i="276"/>
  <c r="K37" i="276"/>
  <c r="K38" i="276"/>
  <c r="K39" i="276"/>
  <c r="K40" i="276"/>
  <c r="K41" i="276"/>
  <c r="K42" i="276"/>
  <c r="K43" i="276"/>
  <c r="K44" i="276"/>
  <c r="K45" i="276"/>
  <c r="K46" i="276"/>
  <c r="K47" i="276"/>
  <c r="K48" i="276"/>
  <c r="K49" i="276"/>
  <c r="K50" i="276"/>
  <c r="K51" i="276"/>
  <c r="K52" i="276"/>
  <c r="K53" i="276"/>
  <c r="K54" i="276"/>
  <c r="K55" i="276"/>
  <c r="K56" i="276"/>
  <c r="K57" i="276"/>
  <c r="K58" i="276"/>
  <c r="K59" i="276"/>
  <c r="K60" i="276"/>
  <c r="K61" i="276"/>
  <c r="K62" i="276"/>
  <c r="K63" i="276"/>
  <c r="K64" i="276"/>
  <c r="K65" i="276"/>
  <c r="K66" i="276"/>
  <c r="K67" i="276"/>
  <c r="K68" i="276"/>
  <c r="K69" i="276"/>
  <c r="K70" i="276"/>
  <c r="K71" i="276"/>
  <c r="K72" i="276"/>
  <c r="K73" i="276"/>
  <c r="K74" i="276"/>
  <c r="K75" i="276"/>
  <c r="K76" i="276"/>
  <c r="K77" i="276"/>
  <c r="K78" i="276"/>
  <c r="K79" i="276"/>
  <c r="K80" i="276"/>
  <c r="K81" i="276"/>
  <c r="K82" i="276"/>
  <c r="K83" i="276"/>
  <c r="K84" i="276"/>
  <c r="K85" i="276"/>
  <c r="K86" i="276"/>
  <c r="K87" i="276"/>
  <c r="K88" i="276"/>
  <c r="K89" i="276"/>
  <c r="K90" i="276"/>
  <c r="K91" i="276"/>
  <c r="K92" i="276"/>
  <c r="K93" i="276"/>
  <c r="K94" i="276"/>
  <c r="K95" i="276"/>
  <c r="K96" i="276"/>
  <c r="K97" i="276"/>
  <c r="K98" i="276"/>
  <c r="K99" i="276"/>
  <c r="K100" i="276"/>
  <c r="K101" i="276"/>
  <c r="K102" i="276"/>
  <c r="K103" i="276"/>
  <c r="K104" i="276"/>
  <c r="K105" i="276"/>
  <c r="K106" i="276"/>
  <c r="K107" i="276"/>
  <c r="K108" i="276"/>
  <c r="K109" i="276"/>
  <c r="K110" i="276"/>
  <c r="K111" i="276"/>
  <c r="K112" i="276"/>
  <c r="K113" i="276"/>
  <c r="K114" i="276"/>
  <c r="K115" i="276"/>
  <c r="K116" i="276"/>
  <c r="K117" i="276"/>
  <c r="K118" i="276"/>
  <c r="K119" i="276"/>
  <c r="K120" i="276"/>
  <c r="K121" i="276"/>
  <c r="K122" i="276"/>
  <c r="K123" i="276"/>
  <c r="K124" i="276"/>
  <c r="K125" i="276"/>
  <c r="K126" i="276"/>
  <c r="K127" i="276"/>
  <c r="K128" i="276"/>
  <c r="K129" i="276"/>
  <c r="K130" i="276"/>
  <c r="K131" i="276"/>
  <c r="K132" i="276"/>
  <c r="K133" i="276"/>
  <c r="K134" i="276"/>
  <c r="K135" i="276"/>
  <c r="K136" i="276"/>
  <c r="K137" i="276"/>
  <c r="K138" i="276"/>
  <c r="K139" i="276"/>
  <c r="K140" i="276"/>
  <c r="K141" i="276"/>
  <c r="K142" i="276"/>
  <c r="K143" i="276"/>
  <c r="K144" i="276"/>
  <c r="K145" i="276"/>
  <c r="K146" i="276"/>
  <c r="K147" i="276"/>
  <c r="K148" i="276"/>
  <c r="K149" i="276"/>
  <c r="K150" i="276"/>
  <c r="K151" i="276"/>
  <c r="K152" i="276"/>
  <c r="K153" i="276"/>
  <c r="K154" i="276"/>
  <c r="K155" i="276"/>
  <c r="K156" i="276"/>
  <c r="K157" i="276"/>
  <c r="K158" i="276"/>
  <c r="K159" i="276"/>
  <c r="K160" i="276"/>
  <c r="K161" i="276"/>
  <c r="K162" i="276"/>
  <c r="K163" i="276"/>
  <c r="K164" i="276"/>
  <c r="K165" i="276"/>
  <c r="K166" i="276"/>
  <c r="K167" i="276"/>
  <c r="K168" i="276"/>
  <c r="K169" i="276"/>
  <c r="K170" i="276"/>
  <c r="K171" i="276"/>
  <c r="K2" i="276"/>
  <c r="K3" i="275"/>
  <c r="K4" i="275"/>
  <c r="K5" i="275"/>
  <c r="K6" i="275"/>
  <c r="K7" i="275"/>
  <c r="K8" i="275"/>
  <c r="K9" i="275"/>
  <c r="K10" i="275"/>
  <c r="K11" i="275"/>
  <c r="K12" i="275"/>
  <c r="K13" i="275"/>
  <c r="K14" i="275"/>
  <c r="K15" i="275"/>
  <c r="K16" i="275"/>
  <c r="K17" i="275"/>
  <c r="K18" i="275"/>
  <c r="K19" i="275"/>
  <c r="K20" i="275"/>
  <c r="K21" i="275"/>
  <c r="K22" i="275"/>
  <c r="K23" i="275"/>
  <c r="K24" i="275"/>
  <c r="K25" i="275"/>
  <c r="K26" i="275"/>
  <c r="K27" i="275"/>
  <c r="K28" i="275"/>
  <c r="K29" i="275"/>
  <c r="K30" i="275"/>
  <c r="K31" i="275"/>
  <c r="K32" i="275"/>
  <c r="K33" i="275"/>
  <c r="K34" i="275"/>
  <c r="K35" i="275"/>
  <c r="K36" i="275"/>
  <c r="K37" i="275"/>
  <c r="K38" i="275"/>
  <c r="K39" i="275"/>
  <c r="K40" i="275"/>
  <c r="K41" i="275"/>
  <c r="K42" i="275"/>
  <c r="K43" i="275"/>
  <c r="K44" i="275"/>
  <c r="K45" i="275"/>
  <c r="K46" i="275"/>
  <c r="K47" i="275"/>
  <c r="K48" i="275"/>
  <c r="K49" i="275"/>
  <c r="K50" i="275"/>
  <c r="K51" i="275"/>
  <c r="K52" i="275"/>
  <c r="K53" i="275"/>
  <c r="K54" i="275"/>
  <c r="K55" i="275"/>
  <c r="K56" i="275"/>
  <c r="K57" i="275"/>
  <c r="K58" i="275"/>
  <c r="K59" i="275"/>
  <c r="K60" i="275"/>
  <c r="K61" i="275"/>
  <c r="K62" i="275"/>
  <c r="K63" i="275"/>
  <c r="K64" i="275"/>
  <c r="K65" i="275"/>
  <c r="K66" i="275"/>
  <c r="K67" i="275"/>
  <c r="K68" i="275"/>
  <c r="K69" i="275"/>
  <c r="K70" i="275"/>
  <c r="K71" i="275"/>
  <c r="K72" i="275"/>
  <c r="K73" i="275"/>
  <c r="K74" i="275"/>
  <c r="K75" i="275"/>
  <c r="K76" i="275"/>
  <c r="K77" i="275"/>
  <c r="K78" i="275"/>
  <c r="K79" i="275"/>
  <c r="K80" i="275"/>
  <c r="K81" i="275"/>
  <c r="K82" i="275"/>
  <c r="K83" i="275"/>
  <c r="K84" i="275"/>
  <c r="K85" i="275"/>
  <c r="K86" i="275"/>
  <c r="K87" i="275"/>
  <c r="K88" i="275"/>
  <c r="K89" i="275"/>
  <c r="K90" i="275"/>
  <c r="K91" i="275"/>
  <c r="K92" i="275"/>
  <c r="K93" i="275"/>
  <c r="K94" i="275"/>
  <c r="K95" i="275"/>
  <c r="K96" i="275"/>
  <c r="K97" i="275"/>
  <c r="K98" i="275"/>
  <c r="K99" i="275"/>
  <c r="K100" i="275"/>
  <c r="K101" i="275"/>
  <c r="K102" i="275"/>
  <c r="K103" i="275"/>
  <c r="K104" i="275"/>
  <c r="K105" i="275"/>
  <c r="K106" i="275"/>
  <c r="K107" i="275"/>
  <c r="K108" i="275"/>
  <c r="K109" i="275"/>
  <c r="K110" i="275"/>
  <c r="K111" i="275"/>
  <c r="K112" i="275"/>
  <c r="K113" i="275"/>
  <c r="K114" i="275"/>
  <c r="K115" i="275"/>
  <c r="K116" i="275"/>
  <c r="K117" i="275"/>
  <c r="K118" i="275"/>
  <c r="K119" i="275"/>
  <c r="K120" i="275"/>
  <c r="K121" i="275"/>
  <c r="K122" i="275"/>
  <c r="K123" i="275"/>
  <c r="K124" i="275"/>
  <c r="K125" i="275"/>
  <c r="K126" i="275"/>
  <c r="K127" i="275"/>
  <c r="K128" i="275"/>
  <c r="K129" i="275"/>
  <c r="K130" i="275"/>
  <c r="K131" i="275"/>
  <c r="K132" i="275"/>
  <c r="K133" i="275"/>
  <c r="K134" i="275"/>
  <c r="K135" i="275"/>
  <c r="K136" i="275"/>
  <c r="K137" i="275"/>
  <c r="K138" i="275"/>
  <c r="K139" i="275"/>
  <c r="K140" i="275"/>
  <c r="K141" i="275"/>
  <c r="K142" i="275"/>
  <c r="K143" i="275"/>
  <c r="K144" i="275"/>
  <c r="K145" i="275"/>
  <c r="K146" i="275"/>
  <c r="K147" i="275"/>
  <c r="K148" i="275"/>
  <c r="K149" i="275"/>
  <c r="K150" i="275"/>
  <c r="K151" i="275"/>
  <c r="K152" i="275"/>
  <c r="K153" i="275"/>
  <c r="K154" i="275"/>
  <c r="K155" i="275"/>
  <c r="K156" i="275"/>
  <c r="K157" i="275"/>
  <c r="K158" i="275"/>
  <c r="K159" i="275"/>
  <c r="K160" i="275"/>
  <c r="K161" i="275"/>
  <c r="K162" i="275"/>
  <c r="K2" i="275"/>
  <c r="K3" i="274"/>
  <c r="K4" i="274"/>
  <c r="K5" i="274"/>
  <c r="K6" i="274"/>
  <c r="K7" i="274"/>
  <c r="K8" i="274"/>
  <c r="K9" i="274"/>
  <c r="K10" i="274"/>
  <c r="K11" i="274"/>
  <c r="K12" i="274"/>
  <c r="K13" i="274"/>
  <c r="K14" i="274"/>
  <c r="K15" i="274"/>
  <c r="K16" i="274"/>
  <c r="K17" i="274"/>
  <c r="K18" i="274"/>
  <c r="K19" i="274"/>
  <c r="K20" i="274"/>
  <c r="K21" i="274"/>
  <c r="K22" i="274"/>
  <c r="K23" i="274"/>
  <c r="K24" i="274"/>
  <c r="K25" i="274"/>
  <c r="K26" i="274"/>
  <c r="K27" i="274"/>
  <c r="K28" i="274"/>
  <c r="K29" i="274"/>
  <c r="K30" i="274"/>
  <c r="K31" i="274"/>
  <c r="K32" i="274"/>
  <c r="K33" i="274"/>
  <c r="K34" i="274"/>
  <c r="K35" i="274"/>
  <c r="K36" i="274"/>
  <c r="K37" i="274"/>
  <c r="K38" i="274"/>
  <c r="K39" i="274"/>
  <c r="K40" i="274"/>
  <c r="K41" i="274"/>
  <c r="K42" i="274"/>
  <c r="K43" i="274"/>
  <c r="K44" i="274"/>
  <c r="K45" i="274"/>
  <c r="K46" i="274"/>
  <c r="K47" i="274"/>
  <c r="K48" i="274"/>
  <c r="K49" i="274"/>
  <c r="K50" i="274"/>
  <c r="K51" i="274"/>
  <c r="K52" i="274"/>
  <c r="K53" i="274"/>
  <c r="K54" i="274"/>
  <c r="K55" i="274"/>
  <c r="K56" i="274"/>
  <c r="K57" i="274"/>
  <c r="K58" i="274"/>
  <c r="K59" i="274"/>
  <c r="K60" i="274"/>
  <c r="K61" i="274"/>
  <c r="K62" i="274"/>
  <c r="K63" i="274"/>
  <c r="K64" i="274"/>
  <c r="K65" i="274"/>
  <c r="K66" i="274"/>
  <c r="K67" i="274"/>
  <c r="K68" i="274"/>
  <c r="K69" i="274"/>
  <c r="K70" i="274"/>
  <c r="K71" i="274"/>
  <c r="K72" i="274"/>
  <c r="K73" i="274"/>
  <c r="K74" i="274"/>
  <c r="K75" i="274"/>
  <c r="K76" i="274"/>
  <c r="K77" i="274"/>
  <c r="K78" i="274"/>
  <c r="K79" i="274"/>
  <c r="K80" i="274"/>
  <c r="K81" i="274"/>
  <c r="K82" i="274"/>
  <c r="K83" i="274"/>
  <c r="K84" i="274"/>
  <c r="K85" i="274"/>
  <c r="K86" i="274"/>
  <c r="K87" i="274"/>
  <c r="K88" i="274"/>
  <c r="K89" i="274"/>
  <c r="K90" i="274"/>
  <c r="K91" i="274"/>
  <c r="K92" i="274"/>
  <c r="K93" i="274"/>
  <c r="K94" i="274"/>
  <c r="K95" i="274"/>
  <c r="K96" i="274"/>
  <c r="K97" i="274"/>
  <c r="K98" i="274"/>
  <c r="K99" i="274"/>
  <c r="K100" i="274"/>
  <c r="K101" i="274"/>
  <c r="K102" i="274"/>
  <c r="K103" i="274"/>
  <c r="K104" i="274"/>
  <c r="K105" i="274"/>
  <c r="K106" i="274"/>
  <c r="K107" i="274"/>
  <c r="K108" i="274"/>
  <c r="K109" i="274"/>
  <c r="K110" i="274"/>
  <c r="K111" i="274"/>
  <c r="K112" i="274"/>
  <c r="K113" i="274"/>
  <c r="K114" i="274"/>
  <c r="K115" i="274"/>
  <c r="K116" i="274"/>
  <c r="K117" i="274"/>
  <c r="K118" i="274"/>
  <c r="K119" i="274"/>
  <c r="K120" i="274"/>
  <c r="K121" i="274"/>
  <c r="K122" i="274"/>
  <c r="K123" i="274"/>
  <c r="K124" i="274"/>
  <c r="K125" i="274"/>
  <c r="K126" i="274"/>
  <c r="K127" i="274"/>
  <c r="K128" i="274"/>
  <c r="K129" i="274"/>
  <c r="K130" i="274"/>
  <c r="K131" i="274"/>
  <c r="K132" i="274"/>
  <c r="K133" i="274"/>
  <c r="K134" i="274"/>
  <c r="K135" i="274"/>
  <c r="K136" i="274"/>
  <c r="K137" i="274"/>
  <c r="K138" i="274"/>
  <c r="K139" i="274"/>
  <c r="K140" i="274"/>
  <c r="K141" i="274"/>
  <c r="K142" i="274"/>
  <c r="K143" i="274"/>
  <c r="K144" i="274"/>
  <c r="K145" i="274"/>
  <c r="K146" i="274"/>
  <c r="K147" i="274"/>
  <c r="K148" i="274"/>
  <c r="K149" i="274"/>
  <c r="K150" i="274"/>
  <c r="K151" i="274"/>
  <c r="K152" i="274"/>
  <c r="K153" i="274"/>
  <c r="K154" i="274"/>
  <c r="K155" i="274"/>
  <c r="K156" i="274"/>
  <c r="K157" i="274"/>
  <c r="K158" i="274"/>
  <c r="K159" i="274"/>
  <c r="K160" i="274"/>
  <c r="K161" i="274"/>
  <c r="K162" i="274"/>
  <c r="K163" i="274"/>
  <c r="K164" i="274"/>
  <c r="K165" i="274"/>
  <c r="K166" i="274"/>
  <c r="K167" i="274"/>
  <c r="K2" i="274"/>
  <c r="K3" i="273"/>
  <c r="K4" i="273"/>
  <c r="K5" i="273"/>
  <c r="K6" i="273"/>
  <c r="K7" i="273"/>
  <c r="K8" i="273"/>
  <c r="K9" i="273"/>
  <c r="K10" i="273"/>
  <c r="K11" i="273"/>
  <c r="K12" i="273"/>
  <c r="K13" i="273"/>
  <c r="K14" i="273"/>
  <c r="K15" i="273"/>
  <c r="K16" i="273"/>
  <c r="K17" i="273"/>
  <c r="K18" i="273"/>
  <c r="K19" i="273"/>
  <c r="K20" i="273"/>
  <c r="K21" i="273"/>
  <c r="K22" i="273"/>
  <c r="K23" i="273"/>
  <c r="K24" i="273"/>
  <c r="K25" i="273"/>
  <c r="K26" i="273"/>
  <c r="K27" i="273"/>
  <c r="K28" i="273"/>
  <c r="K29" i="273"/>
  <c r="K30" i="273"/>
  <c r="K31" i="273"/>
  <c r="K32" i="273"/>
  <c r="K33" i="273"/>
  <c r="K34" i="273"/>
  <c r="K35" i="273"/>
  <c r="K36" i="273"/>
  <c r="K37" i="273"/>
  <c r="K38" i="273"/>
  <c r="K39" i="273"/>
  <c r="K40" i="273"/>
  <c r="K41" i="273"/>
  <c r="K42" i="273"/>
  <c r="K43" i="273"/>
  <c r="K44" i="273"/>
  <c r="K45" i="273"/>
  <c r="K46" i="273"/>
  <c r="K47" i="273"/>
  <c r="K48" i="273"/>
  <c r="K49" i="273"/>
  <c r="K50" i="273"/>
  <c r="K51" i="273"/>
  <c r="K52" i="273"/>
  <c r="K53" i="273"/>
  <c r="K54" i="273"/>
  <c r="K55" i="273"/>
  <c r="K56" i="273"/>
  <c r="K57" i="273"/>
  <c r="K58" i="273"/>
  <c r="K59" i="273"/>
  <c r="K60" i="273"/>
  <c r="K61" i="273"/>
  <c r="K62" i="273"/>
  <c r="K63" i="273"/>
  <c r="K64" i="273"/>
  <c r="K65" i="273"/>
  <c r="K66" i="273"/>
  <c r="K67" i="273"/>
  <c r="K68" i="273"/>
  <c r="K69" i="273"/>
  <c r="K70" i="273"/>
  <c r="K71" i="273"/>
  <c r="K72" i="273"/>
  <c r="K73" i="273"/>
  <c r="K74" i="273"/>
  <c r="K75" i="273"/>
  <c r="K76" i="273"/>
  <c r="K77" i="273"/>
  <c r="K78" i="273"/>
  <c r="K79" i="273"/>
  <c r="K80" i="273"/>
  <c r="K81" i="273"/>
  <c r="K82" i="273"/>
  <c r="K83" i="273"/>
  <c r="K84" i="273"/>
  <c r="K85" i="273"/>
  <c r="K86" i="273"/>
  <c r="K87" i="273"/>
  <c r="K88" i="273"/>
  <c r="K89" i="273"/>
  <c r="K90" i="273"/>
  <c r="K91" i="273"/>
  <c r="K92" i="273"/>
  <c r="K93" i="273"/>
  <c r="K94" i="273"/>
  <c r="K95" i="273"/>
  <c r="K96" i="273"/>
  <c r="K97" i="273"/>
  <c r="K98" i="273"/>
  <c r="K99" i="273"/>
  <c r="K100" i="273"/>
  <c r="K101" i="273"/>
  <c r="K102" i="273"/>
  <c r="K103" i="273"/>
  <c r="K104" i="273"/>
  <c r="K105" i="273"/>
  <c r="K106" i="273"/>
  <c r="K107" i="273"/>
  <c r="K108" i="273"/>
  <c r="K109" i="273"/>
  <c r="K110" i="273"/>
  <c r="K111" i="273"/>
  <c r="K112" i="273"/>
  <c r="K113" i="273"/>
  <c r="K114" i="273"/>
  <c r="K115" i="273"/>
  <c r="K116" i="273"/>
  <c r="K117" i="273"/>
  <c r="K118" i="273"/>
  <c r="K119" i="273"/>
  <c r="K120" i="273"/>
  <c r="K121" i="273"/>
  <c r="K122" i="273"/>
  <c r="K123" i="273"/>
  <c r="K124" i="273"/>
  <c r="K125" i="273"/>
  <c r="K126" i="273"/>
  <c r="K127" i="273"/>
  <c r="K128" i="273"/>
  <c r="K129" i="273"/>
  <c r="K130" i="273"/>
  <c r="K131" i="273"/>
  <c r="K132" i="273"/>
  <c r="K133" i="273"/>
  <c r="K134" i="273"/>
  <c r="K135" i="273"/>
  <c r="K136" i="273"/>
  <c r="K137" i="273"/>
  <c r="K138" i="273"/>
  <c r="K139" i="273"/>
  <c r="K140" i="273"/>
  <c r="K141" i="273"/>
  <c r="K142" i="273"/>
  <c r="K143" i="273"/>
  <c r="K144" i="273"/>
  <c r="K145" i="273"/>
  <c r="K146" i="273"/>
  <c r="K147" i="273"/>
  <c r="K148" i="273"/>
  <c r="K149" i="273"/>
  <c r="K150" i="273"/>
  <c r="K151" i="273"/>
  <c r="K152" i="273"/>
  <c r="K153" i="273"/>
  <c r="K154" i="273"/>
  <c r="K155" i="273"/>
  <c r="K156" i="273"/>
  <c r="K157" i="273"/>
  <c r="K158" i="273"/>
  <c r="K159" i="273"/>
  <c r="K160" i="273"/>
  <c r="K161" i="273"/>
  <c r="K162" i="273"/>
  <c r="K163" i="273"/>
  <c r="K164" i="273"/>
  <c r="K165" i="273"/>
  <c r="K166" i="273"/>
  <c r="K167" i="273"/>
  <c r="K168" i="273"/>
  <c r="K169" i="273"/>
  <c r="K170" i="273"/>
  <c r="K171" i="273"/>
  <c r="K172" i="273"/>
  <c r="K173" i="273"/>
  <c r="K174" i="273"/>
  <c r="K175" i="273"/>
  <c r="K176" i="273"/>
  <c r="K177" i="273"/>
  <c r="K178" i="273"/>
  <c r="K179" i="273"/>
  <c r="K180" i="273"/>
  <c r="K181" i="273"/>
  <c r="K182" i="273"/>
  <c r="K183" i="273"/>
  <c r="K184" i="273"/>
  <c r="K185" i="273"/>
  <c r="K186" i="273"/>
  <c r="K187" i="273"/>
  <c r="K188" i="273"/>
  <c r="K189" i="273"/>
  <c r="K190" i="273"/>
  <c r="K191" i="273"/>
  <c r="K192" i="273"/>
  <c r="K193" i="273"/>
  <c r="K194" i="273"/>
  <c r="K195" i="273"/>
  <c r="K196" i="273"/>
  <c r="K197" i="273"/>
  <c r="K198" i="273"/>
  <c r="K199" i="273"/>
  <c r="K200" i="273"/>
  <c r="K201" i="273"/>
  <c r="K202" i="273"/>
  <c r="K203" i="273"/>
  <c r="K204" i="273"/>
  <c r="K205" i="273"/>
  <c r="K206" i="273"/>
  <c r="K207" i="273"/>
  <c r="K208" i="273"/>
  <c r="K209" i="273"/>
  <c r="K210" i="273"/>
  <c r="K211" i="273"/>
  <c r="K212" i="273"/>
  <c r="K213" i="273"/>
  <c r="K214" i="273"/>
  <c r="K215" i="273"/>
  <c r="K216" i="273"/>
  <c r="K217" i="273"/>
  <c r="K218" i="273"/>
  <c r="K219" i="273"/>
  <c r="K220" i="273"/>
  <c r="K221" i="273"/>
  <c r="K222" i="273"/>
  <c r="K223" i="273"/>
  <c r="K224" i="273"/>
  <c r="K225" i="273"/>
  <c r="K226" i="273"/>
  <c r="K227" i="273"/>
  <c r="K228" i="273"/>
  <c r="K229" i="273"/>
  <c r="K230" i="273"/>
  <c r="K231" i="273"/>
  <c r="K232" i="273"/>
  <c r="K233" i="273"/>
  <c r="K234" i="273"/>
  <c r="K235" i="273"/>
  <c r="K236" i="273"/>
  <c r="K237" i="273"/>
  <c r="K238" i="273"/>
  <c r="K239" i="273"/>
  <c r="K240" i="273"/>
  <c r="K241" i="273"/>
  <c r="K242" i="273"/>
  <c r="K243" i="273"/>
  <c r="K244" i="273"/>
  <c r="K245" i="273"/>
  <c r="K246" i="273"/>
  <c r="K247" i="273"/>
  <c r="K248" i="273"/>
  <c r="K249" i="273"/>
  <c r="K250" i="273"/>
  <c r="K251" i="273"/>
  <c r="K252" i="273"/>
  <c r="K2" i="273"/>
  <c r="K2" i="272"/>
  <c r="K3" i="272"/>
  <c r="K4" i="272"/>
  <c r="K5" i="272"/>
  <c r="K6" i="272"/>
  <c r="K7" i="272"/>
  <c r="K8" i="272"/>
  <c r="K9" i="272"/>
  <c r="K10" i="272"/>
  <c r="K11" i="272"/>
  <c r="K12" i="272"/>
  <c r="K13" i="272"/>
  <c r="K14" i="272"/>
  <c r="K15" i="272"/>
  <c r="K16" i="272"/>
  <c r="K17" i="272"/>
  <c r="K18" i="272"/>
  <c r="K19" i="272"/>
  <c r="K20" i="272"/>
  <c r="K21" i="272"/>
  <c r="K22" i="272"/>
  <c r="K23" i="272"/>
  <c r="K24" i="272"/>
  <c r="K25" i="272"/>
  <c r="K26" i="272"/>
  <c r="K27" i="272"/>
  <c r="K28" i="272"/>
  <c r="K29" i="272"/>
  <c r="K30" i="272"/>
  <c r="K31" i="272"/>
  <c r="K32" i="272"/>
  <c r="K33" i="272"/>
  <c r="K34" i="272"/>
  <c r="K35" i="272"/>
  <c r="K36" i="272"/>
  <c r="K37" i="272"/>
  <c r="K38" i="272"/>
  <c r="K39" i="272"/>
  <c r="K40" i="272"/>
  <c r="K41" i="272"/>
  <c r="K42" i="272"/>
  <c r="K43" i="272"/>
  <c r="K44" i="272"/>
  <c r="K45" i="272"/>
  <c r="K46" i="272"/>
  <c r="K47" i="272"/>
  <c r="K48" i="272"/>
  <c r="K49" i="272"/>
  <c r="K50" i="272"/>
  <c r="K51" i="272"/>
  <c r="K52" i="272"/>
  <c r="K53" i="272"/>
  <c r="K54" i="272"/>
  <c r="K55" i="272"/>
  <c r="K56" i="272"/>
  <c r="K57" i="272"/>
  <c r="K58" i="272"/>
  <c r="K59" i="272"/>
  <c r="K60" i="272"/>
  <c r="K61" i="272"/>
  <c r="K62" i="272"/>
  <c r="K63" i="272"/>
  <c r="K64" i="272"/>
  <c r="K65" i="272"/>
  <c r="K66" i="272"/>
  <c r="K67" i="272"/>
  <c r="K68" i="272"/>
  <c r="K69" i="272"/>
  <c r="K70" i="272"/>
  <c r="K71" i="272"/>
  <c r="K72" i="272"/>
  <c r="K73" i="272"/>
  <c r="K74" i="272"/>
  <c r="K75" i="272"/>
  <c r="K76" i="272"/>
  <c r="K77" i="272"/>
  <c r="K78" i="272"/>
  <c r="K79" i="272"/>
  <c r="K80" i="272"/>
  <c r="K81" i="272"/>
  <c r="K82" i="272"/>
  <c r="K83" i="272"/>
  <c r="K84" i="272"/>
  <c r="K85" i="272"/>
  <c r="K86" i="272"/>
  <c r="K87" i="272"/>
  <c r="K88" i="272"/>
  <c r="K89" i="272"/>
  <c r="K90" i="272"/>
  <c r="K91" i="272"/>
  <c r="K92" i="272"/>
  <c r="K93" i="272"/>
  <c r="K94" i="272"/>
  <c r="K95" i="272"/>
  <c r="K96" i="272"/>
  <c r="K97" i="272"/>
  <c r="K98" i="272"/>
  <c r="K99" i="272"/>
  <c r="K100" i="272"/>
  <c r="K101" i="272"/>
  <c r="K102" i="272"/>
  <c r="K103" i="272"/>
  <c r="K104" i="272"/>
  <c r="K105" i="272"/>
  <c r="K106" i="272"/>
  <c r="K107" i="272"/>
  <c r="K108" i="272"/>
  <c r="K109" i="272"/>
  <c r="K110" i="272"/>
  <c r="K111" i="272"/>
  <c r="K112" i="272"/>
  <c r="K113" i="272"/>
  <c r="K114" i="272"/>
  <c r="K115" i="272"/>
  <c r="K116" i="272"/>
  <c r="K117" i="272"/>
  <c r="K118" i="272"/>
  <c r="K119" i="272"/>
  <c r="K120" i="272"/>
  <c r="K121" i="272"/>
  <c r="K122" i="272"/>
  <c r="K123" i="272"/>
  <c r="K124" i="272"/>
  <c r="K125" i="272"/>
  <c r="K126" i="272"/>
  <c r="K127" i="272"/>
  <c r="K128" i="272"/>
  <c r="K129" i="272"/>
  <c r="K130" i="272"/>
  <c r="K131" i="272"/>
  <c r="K132" i="272"/>
  <c r="K133" i="272"/>
  <c r="K134" i="272"/>
  <c r="K135" i="272"/>
  <c r="K136" i="272"/>
  <c r="K137" i="272"/>
  <c r="K138" i="272"/>
  <c r="K139" i="272"/>
  <c r="K140" i="272"/>
  <c r="K141" i="272"/>
  <c r="K142" i="272"/>
  <c r="K143" i="272"/>
  <c r="K144" i="272"/>
  <c r="K145" i="272"/>
  <c r="K146" i="272"/>
  <c r="K147" i="272"/>
  <c r="K3" i="271"/>
  <c r="K4" i="271"/>
  <c r="K5" i="271"/>
  <c r="K6" i="271"/>
  <c r="K7" i="271"/>
  <c r="K8" i="271"/>
  <c r="K9" i="271"/>
  <c r="K10" i="271"/>
  <c r="K11" i="271"/>
  <c r="K12" i="271"/>
  <c r="K13" i="271"/>
  <c r="K14" i="271"/>
  <c r="K15" i="271"/>
  <c r="K16" i="271"/>
  <c r="K17" i="271"/>
  <c r="K18" i="271"/>
  <c r="K19" i="271"/>
  <c r="K20" i="271"/>
  <c r="K21" i="271"/>
  <c r="K22" i="271"/>
  <c r="K23" i="271"/>
  <c r="K24" i="271"/>
  <c r="K25" i="271"/>
  <c r="K26" i="271"/>
  <c r="K27" i="271"/>
  <c r="K28" i="271"/>
  <c r="K29" i="271"/>
  <c r="K30" i="271"/>
  <c r="K31" i="271"/>
  <c r="K32" i="271"/>
  <c r="K33" i="271"/>
  <c r="K34" i="271"/>
  <c r="K35" i="271"/>
  <c r="K36" i="271"/>
  <c r="K37" i="271"/>
  <c r="K38" i="271"/>
  <c r="K39" i="271"/>
  <c r="K40" i="271"/>
  <c r="K41" i="271"/>
  <c r="K42" i="271"/>
  <c r="K43" i="271"/>
  <c r="K44" i="271"/>
  <c r="K45" i="271"/>
  <c r="K46" i="271"/>
  <c r="K47" i="271"/>
  <c r="K48" i="271"/>
  <c r="K49" i="271"/>
  <c r="K50" i="271"/>
  <c r="K51" i="271"/>
  <c r="K52" i="271"/>
  <c r="K53" i="271"/>
  <c r="K54" i="271"/>
  <c r="K55" i="271"/>
  <c r="K56" i="271"/>
  <c r="K57" i="271"/>
  <c r="K58" i="271"/>
  <c r="K59" i="271"/>
  <c r="K60" i="271"/>
  <c r="K61" i="271"/>
  <c r="K62" i="271"/>
  <c r="K63" i="271"/>
  <c r="K64" i="271"/>
  <c r="K65" i="271"/>
  <c r="K66" i="271"/>
  <c r="K67" i="271"/>
  <c r="K68" i="271"/>
  <c r="K69" i="271"/>
  <c r="K70" i="271"/>
  <c r="K71" i="271"/>
  <c r="K72" i="271"/>
  <c r="K73" i="271"/>
  <c r="K74" i="271"/>
  <c r="K75" i="271"/>
  <c r="K76" i="271"/>
  <c r="K77" i="271"/>
  <c r="K78" i="271"/>
  <c r="K79" i="271"/>
  <c r="K80" i="271"/>
  <c r="K81" i="271"/>
  <c r="K82" i="271"/>
  <c r="K83" i="271"/>
  <c r="K84" i="271"/>
  <c r="K85" i="271"/>
  <c r="K86" i="271"/>
  <c r="K87" i="271"/>
  <c r="K88" i="271"/>
  <c r="K89" i="271"/>
  <c r="K90" i="271"/>
  <c r="K91" i="271"/>
  <c r="K92" i="271"/>
  <c r="K93" i="271"/>
  <c r="K94" i="271"/>
  <c r="K95" i="271"/>
  <c r="K96" i="271"/>
  <c r="K97" i="271"/>
  <c r="K98" i="271"/>
  <c r="K99" i="271"/>
  <c r="K100" i="271"/>
  <c r="K101" i="271"/>
  <c r="K102" i="271"/>
  <c r="K103" i="271"/>
  <c r="K104" i="271"/>
  <c r="K105" i="271"/>
  <c r="K106" i="271"/>
  <c r="K107" i="271"/>
  <c r="K108" i="271"/>
  <c r="K109" i="271"/>
  <c r="K110" i="271"/>
  <c r="K111" i="271"/>
  <c r="K112" i="271"/>
  <c r="K113" i="271"/>
  <c r="K114" i="271"/>
  <c r="K115" i="271"/>
  <c r="K116" i="271"/>
  <c r="K117" i="271"/>
  <c r="K118" i="271"/>
  <c r="K119" i="271"/>
  <c r="K120" i="271"/>
  <c r="K121" i="271"/>
  <c r="K122" i="271"/>
  <c r="K123" i="271"/>
  <c r="K124" i="271"/>
  <c r="K125" i="271"/>
  <c r="K126" i="271"/>
  <c r="K127" i="271"/>
  <c r="K128" i="271"/>
  <c r="K129" i="271"/>
  <c r="K130" i="271"/>
  <c r="K131" i="271"/>
  <c r="K132" i="271"/>
  <c r="K133" i="271"/>
  <c r="K134" i="271"/>
  <c r="K135" i="271"/>
  <c r="K136" i="271"/>
  <c r="K137" i="271"/>
  <c r="K138" i="271"/>
  <c r="K139" i="271"/>
  <c r="K140" i="271"/>
  <c r="K141" i="271"/>
  <c r="K142" i="271"/>
  <c r="K143" i="271"/>
  <c r="K144" i="271"/>
  <c r="K145" i="271"/>
  <c r="K146" i="271"/>
  <c r="K147" i="271"/>
  <c r="K148" i="271"/>
  <c r="K149" i="271"/>
  <c r="K150" i="271"/>
  <c r="K151" i="271"/>
  <c r="K152" i="271"/>
  <c r="K153" i="271"/>
  <c r="K154" i="271"/>
  <c r="K155" i="271"/>
  <c r="K156" i="271"/>
  <c r="K157" i="271"/>
  <c r="K158" i="271"/>
  <c r="K159" i="271"/>
  <c r="K160" i="271"/>
  <c r="K161" i="271"/>
  <c r="K162" i="271"/>
  <c r="K163" i="271"/>
  <c r="K164" i="271"/>
  <c r="K165" i="271"/>
  <c r="K166" i="271"/>
  <c r="K167" i="271"/>
  <c r="K168" i="271"/>
  <c r="K169" i="271"/>
  <c r="K2" i="271"/>
  <c r="K3" i="269"/>
  <c r="K4" i="269"/>
  <c r="K5" i="269"/>
  <c r="K6" i="269"/>
  <c r="K7" i="269"/>
  <c r="K8" i="269"/>
  <c r="K9" i="269"/>
  <c r="K10" i="269"/>
  <c r="K11" i="269"/>
  <c r="K12" i="269"/>
  <c r="K13" i="269"/>
  <c r="K14" i="269"/>
  <c r="K15" i="269"/>
  <c r="K16" i="269"/>
  <c r="K17" i="269"/>
  <c r="K18" i="269"/>
  <c r="K19" i="269"/>
  <c r="K20" i="269"/>
  <c r="K21" i="269"/>
  <c r="K22" i="269"/>
  <c r="K23" i="269"/>
  <c r="K24" i="269"/>
  <c r="K25" i="269"/>
  <c r="K26" i="269"/>
  <c r="K27" i="269"/>
  <c r="K28" i="269"/>
  <c r="K29" i="269"/>
  <c r="K30" i="269"/>
  <c r="K31" i="269"/>
  <c r="K32" i="269"/>
  <c r="K33" i="269"/>
  <c r="K34" i="269"/>
  <c r="K35" i="269"/>
  <c r="K36" i="269"/>
  <c r="K37" i="269"/>
  <c r="K38" i="269"/>
  <c r="K39" i="269"/>
  <c r="K40" i="269"/>
  <c r="K41" i="269"/>
  <c r="K42" i="269"/>
  <c r="K43" i="269"/>
  <c r="K44" i="269"/>
  <c r="K45" i="269"/>
  <c r="K46" i="269"/>
  <c r="K47" i="269"/>
  <c r="K48" i="269"/>
  <c r="K49" i="269"/>
  <c r="K50" i="269"/>
  <c r="K51" i="269"/>
  <c r="K52" i="269"/>
  <c r="K53" i="269"/>
  <c r="K54" i="269"/>
  <c r="K55" i="269"/>
  <c r="K56" i="269"/>
  <c r="K57" i="269"/>
  <c r="K58" i="269"/>
  <c r="K59" i="269"/>
  <c r="K60" i="269"/>
  <c r="K61" i="269"/>
  <c r="K62" i="269"/>
  <c r="K63" i="269"/>
  <c r="K64" i="269"/>
  <c r="K65" i="269"/>
  <c r="K66" i="269"/>
  <c r="K67" i="269"/>
  <c r="K68" i="269"/>
  <c r="K69" i="269"/>
  <c r="K70" i="269"/>
  <c r="K71" i="269"/>
  <c r="K72" i="269"/>
  <c r="K73" i="269"/>
  <c r="K74" i="269"/>
  <c r="K75" i="269"/>
  <c r="K76" i="269"/>
  <c r="K77" i="269"/>
  <c r="K78" i="269"/>
  <c r="K79" i="269"/>
  <c r="K80" i="269"/>
  <c r="K81" i="269"/>
  <c r="K82" i="269"/>
  <c r="K83" i="269"/>
  <c r="K84" i="269"/>
  <c r="K85" i="269"/>
  <c r="K86" i="269"/>
  <c r="K87" i="269"/>
  <c r="K88" i="269"/>
  <c r="K89" i="269"/>
  <c r="K90" i="269"/>
  <c r="K91" i="269"/>
  <c r="K92" i="269"/>
  <c r="K93" i="269"/>
  <c r="K94" i="269"/>
  <c r="K95" i="269"/>
  <c r="K96" i="269"/>
  <c r="K97" i="269"/>
  <c r="K98" i="269"/>
  <c r="K99" i="269"/>
  <c r="K100" i="269"/>
  <c r="K101" i="269"/>
  <c r="K102" i="269"/>
  <c r="K103" i="269"/>
  <c r="K104" i="269"/>
  <c r="K105" i="269"/>
  <c r="K106" i="269"/>
  <c r="K107" i="269"/>
  <c r="K108" i="269"/>
  <c r="K109" i="269"/>
  <c r="K110" i="269"/>
  <c r="K111" i="269"/>
  <c r="K112" i="269"/>
  <c r="K113" i="269"/>
  <c r="K114" i="269"/>
  <c r="K115" i="269"/>
  <c r="K116" i="269"/>
  <c r="K117" i="269"/>
  <c r="K118" i="269"/>
  <c r="K119" i="269"/>
  <c r="K120" i="269"/>
  <c r="K121" i="269"/>
  <c r="K122" i="269"/>
  <c r="K123" i="269"/>
  <c r="K124" i="269"/>
  <c r="K125" i="269"/>
  <c r="K126" i="269"/>
  <c r="K127" i="269"/>
  <c r="K128" i="269"/>
  <c r="K129" i="269"/>
  <c r="K130" i="269"/>
  <c r="K131" i="269"/>
  <c r="K132" i="269"/>
  <c r="K133" i="269"/>
  <c r="K134" i="269"/>
  <c r="K135" i="269"/>
  <c r="K136" i="269"/>
  <c r="K137" i="269"/>
  <c r="K138" i="269"/>
  <c r="K139" i="269"/>
  <c r="K140" i="269"/>
  <c r="K141" i="269"/>
  <c r="K142" i="269"/>
  <c r="K143" i="269"/>
  <c r="K144" i="269"/>
  <c r="K145" i="269"/>
  <c r="K146" i="269"/>
  <c r="K147" i="269"/>
  <c r="K148" i="269"/>
  <c r="K149" i="269"/>
  <c r="K150" i="269"/>
  <c r="K151" i="269"/>
  <c r="K152" i="269"/>
  <c r="K153" i="269"/>
  <c r="K154" i="269"/>
  <c r="K155" i="269"/>
  <c r="K156" i="269"/>
  <c r="K157" i="269"/>
  <c r="K158" i="269"/>
  <c r="K159" i="269"/>
  <c r="K160" i="269"/>
  <c r="K161" i="269"/>
  <c r="K162" i="269"/>
  <c r="K163" i="269"/>
  <c r="K164" i="269"/>
  <c r="K165" i="269"/>
  <c r="K166" i="269"/>
  <c r="K167" i="269"/>
  <c r="K168" i="269"/>
  <c r="K169" i="269"/>
  <c r="K170" i="269"/>
  <c r="K171" i="269"/>
  <c r="K2" i="269"/>
  <c r="K3" i="268"/>
  <c r="K4" i="268"/>
  <c r="K5" i="268"/>
  <c r="K6" i="268"/>
  <c r="K7" i="268"/>
  <c r="K8" i="268"/>
  <c r="K9" i="268"/>
  <c r="K10" i="268"/>
  <c r="K11" i="268"/>
  <c r="K12" i="268"/>
  <c r="K13" i="268"/>
  <c r="K14" i="268"/>
  <c r="K15" i="268"/>
  <c r="K16" i="268"/>
  <c r="K17" i="268"/>
  <c r="K18" i="268"/>
  <c r="K19" i="268"/>
  <c r="K20" i="268"/>
  <c r="K21" i="268"/>
  <c r="K22" i="268"/>
  <c r="K23" i="268"/>
  <c r="K24" i="268"/>
  <c r="K25" i="268"/>
  <c r="K26" i="268"/>
  <c r="K27" i="268"/>
  <c r="L27" i="268" s="1"/>
  <c r="K28" i="268"/>
  <c r="L28" i="268" s="1"/>
  <c r="K29" i="268"/>
  <c r="L29" i="268" s="1"/>
  <c r="K30" i="268"/>
  <c r="L30" i="268" s="1"/>
  <c r="K31" i="268"/>
  <c r="L31" i="268" s="1"/>
  <c r="K32" i="268"/>
  <c r="L32" i="268" s="1"/>
  <c r="K33" i="268"/>
  <c r="L33" i="268" s="1"/>
  <c r="K34" i="268"/>
  <c r="L34" i="268" s="1"/>
  <c r="K35" i="268"/>
  <c r="L35" i="268" s="1"/>
  <c r="K36" i="268"/>
  <c r="L36" i="268" s="1"/>
  <c r="K37" i="268"/>
  <c r="L37" i="268" s="1"/>
  <c r="K38" i="268"/>
  <c r="L38" i="268" s="1"/>
  <c r="K39" i="268"/>
  <c r="L39" i="268" s="1"/>
  <c r="K40" i="268"/>
  <c r="L40" i="268" s="1"/>
  <c r="K41" i="268"/>
  <c r="L41" i="268" s="1"/>
  <c r="K42" i="268"/>
  <c r="L42" i="268" s="1"/>
  <c r="K43" i="268"/>
  <c r="L43" i="268" s="1"/>
  <c r="K44" i="268"/>
  <c r="L44" i="268" s="1"/>
  <c r="K45" i="268"/>
  <c r="L45" i="268" s="1"/>
  <c r="K46" i="268"/>
  <c r="L46" i="268" s="1"/>
  <c r="K47" i="268"/>
  <c r="L47" i="268" s="1"/>
  <c r="K48" i="268"/>
  <c r="L48" i="268" s="1"/>
  <c r="K49" i="268"/>
  <c r="L49" i="268" s="1"/>
  <c r="K50" i="268"/>
  <c r="L50" i="268" s="1"/>
  <c r="K51" i="268"/>
  <c r="L51" i="268" s="1"/>
  <c r="K52" i="268"/>
  <c r="L52" i="268" s="1"/>
  <c r="K53" i="268"/>
  <c r="L53" i="268" s="1"/>
  <c r="K54" i="268"/>
  <c r="L54" i="268" s="1"/>
  <c r="K55" i="268"/>
  <c r="L55" i="268" s="1"/>
  <c r="K56" i="268"/>
  <c r="L56" i="268" s="1"/>
  <c r="K57" i="268"/>
  <c r="L57" i="268" s="1"/>
  <c r="K58" i="268"/>
  <c r="L58" i="268" s="1"/>
  <c r="K59" i="268"/>
  <c r="L59" i="268" s="1"/>
  <c r="K60" i="268"/>
  <c r="L60" i="268" s="1"/>
  <c r="K61" i="268"/>
  <c r="L61" i="268" s="1"/>
  <c r="K62" i="268"/>
  <c r="L62" i="268" s="1"/>
  <c r="K63" i="268"/>
  <c r="L63" i="268" s="1"/>
  <c r="K64" i="268"/>
  <c r="L64" i="268" s="1"/>
  <c r="K65" i="268"/>
  <c r="L65" i="268" s="1"/>
  <c r="K66" i="268"/>
  <c r="L66" i="268" s="1"/>
  <c r="K67" i="268"/>
  <c r="L67" i="268" s="1"/>
  <c r="K68" i="268"/>
  <c r="L68" i="268" s="1"/>
  <c r="K69" i="268"/>
  <c r="L69" i="268" s="1"/>
  <c r="K70" i="268"/>
  <c r="L70" i="268" s="1"/>
  <c r="K71" i="268"/>
  <c r="L71" i="268" s="1"/>
  <c r="K72" i="268"/>
  <c r="L72" i="268" s="1"/>
  <c r="K73" i="268"/>
  <c r="L73" i="268" s="1"/>
  <c r="K74" i="268"/>
  <c r="L74" i="268" s="1"/>
  <c r="K75" i="268"/>
  <c r="L75" i="268" s="1"/>
  <c r="K76" i="268"/>
  <c r="L76" i="268" s="1"/>
  <c r="K77" i="268"/>
  <c r="L77" i="268" s="1"/>
  <c r="K78" i="268"/>
  <c r="L78" i="268" s="1"/>
  <c r="K79" i="268"/>
  <c r="L79" i="268" s="1"/>
  <c r="K80" i="268"/>
  <c r="L80" i="268" s="1"/>
  <c r="K81" i="268"/>
  <c r="L81" i="268" s="1"/>
  <c r="K82" i="268"/>
  <c r="L82" i="268" s="1"/>
  <c r="K83" i="268"/>
  <c r="L83" i="268" s="1"/>
  <c r="K84" i="268"/>
  <c r="L84" i="268" s="1"/>
  <c r="K85" i="268"/>
  <c r="L85" i="268" s="1"/>
  <c r="K86" i="268"/>
  <c r="L86" i="268" s="1"/>
  <c r="K87" i="268"/>
  <c r="L87" i="268" s="1"/>
  <c r="K88" i="268"/>
  <c r="L88" i="268" s="1"/>
  <c r="K89" i="268"/>
  <c r="L89" i="268" s="1"/>
  <c r="K90" i="268"/>
  <c r="L90" i="268" s="1"/>
  <c r="K91" i="268"/>
  <c r="L91" i="268" s="1"/>
  <c r="K92" i="268"/>
  <c r="L92" i="268" s="1"/>
  <c r="K93" i="268"/>
  <c r="L93" i="268" s="1"/>
  <c r="K94" i="268"/>
  <c r="L94" i="268" s="1"/>
  <c r="K95" i="268"/>
  <c r="L95" i="268" s="1"/>
  <c r="K96" i="268"/>
  <c r="L96" i="268" s="1"/>
  <c r="K97" i="268"/>
  <c r="L97" i="268" s="1"/>
  <c r="K98" i="268"/>
  <c r="L98" i="268" s="1"/>
  <c r="K99" i="268"/>
  <c r="L99" i="268" s="1"/>
  <c r="K100" i="268"/>
  <c r="L100" i="268" s="1"/>
  <c r="K101" i="268"/>
  <c r="L101" i="268" s="1"/>
  <c r="K102" i="268"/>
  <c r="L102" i="268" s="1"/>
  <c r="K103" i="268"/>
  <c r="L103" i="268" s="1"/>
  <c r="K104" i="268"/>
  <c r="L104" i="268" s="1"/>
  <c r="K105" i="268"/>
  <c r="L105" i="268" s="1"/>
  <c r="K106" i="268"/>
  <c r="L106" i="268" s="1"/>
  <c r="K107" i="268"/>
  <c r="L107" i="268" s="1"/>
  <c r="K108" i="268"/>
  <c r="L108" i="268" s="1"/>
  <c r="K109" i="268"/>
  <c r="L109" i="268" s="1"/>
  <c r="K110" i="268"/>
  <c r="L110" i="268" s="1"/>
  <c r="K111" i="268"/>
  <c r="L111" i="268" s="1"/>
  <c r="K112" i="268"/>
  <c r="L112" i="268" s="1"/>
  <c r="K113" i="268"/>
  <c r="L113" i="268" s="1"/>
  <c r="K114" i="268"/>
  <c r="L114" i="268" s="1"/>
  <c r="K115" i="268"/>
  <c r="L115" i="268" s="1"/>
  <c r="K116" i="268"/>
  <c r="L116" i="268" s="1"/>
  <c r="K117" i="268"/>
  <c r="L117" i="268" s="1"/>
  <c r="K118" i="268"/>
  <c r="L118" i="268" s="1"/>
  <c r="K119" i="268"/>
  <c r="L119" i="268" s="1"/>
  <c r="K120" i="268"/>
  <c r="L120" i="268" s="1"/>
  <c r="K121" i="268"/>
  <c r="L121" i="268" s="1"/>
  <c r="K122" i="268"/>
  <c r="L122" i="268" s="1"/>
  <c r="K123" i="268"/>
  <c r="L123" i="268" s="1"/>
  <c r="K124" i="268"/>
  <c r="L124" i="268" s="1"/>
  <c r="K125" i="268"/>
  <c r="L125" i="268" s="1"/>
  <c r="K126" i="268"/>
  <c r="L126" i="268" s="1"/>
  <c r="K127" i="268"/>
  <c r="L127" i="268" s="1"/>
  <c r="K128" i="268"/>
  <c r="L128" i="268" s="1"/>
  <c r="K129" i="268"/>
  <c r="L129" i="268" s="1"/>
  <c r="K130" i="268"/>
  <c r="L130" i="268" s="1"/>
  <c r="K131" i="268"/>
  <c r="L131" i="268" s="1"/>
  <c r="K132" i="268"/>
  <c r="L132" i="268" s="1"/>
  <c r="K133" i="268"/>
  <c r="L133" i="268" s="1"/>
  <c r="K134" i="268"/>
  <c r="L134" i="268" s="1"/>
  <c r="K135" i="268"/>
  <c r="L135" i="268" s="1"/>
  <c r="K136" i="268"/>
  <c r="L136" i="268" s="1"/>
  <c r="K137" i="268"/>
  <c r="L137" i="268" s="1"/>
  <c r="K138" i="268"/>
  <c r="L138" i="268" s="1"/>
  <c r="K139" i="268"/>
  <c r="L139" i="268" s="1"/>
  <c r="K140" i="268"/>
  <c r="L140" i="268" s="1"/>
  <c r="K141" i="268"/>
  <c r="L141" i="268" s="1"/>
  <c r="K142" i="268"/>
  <c r="L142" i="268" s="1"/>
  <c r="K143" i="268"/>
  <c r="L143" i="268" s="1"/>
  <c r="K144" i="268"/>
  <c r="L144" i="268" s="1"/>
  <c r="K145" i="268"/>
  <c r="L145" i="268" s="1"/>
  <c r="K146" i="268"/>
  <c r="L146" i="268" s="1"/>
  <c r="K147" i="268"/>
  <c r="L147" i="268" s="1"/>
  <c r="K148" i="268"/>
  <c r="L148" i="268" s="1"/>
  <c r="K149" i="268"/>
  <c r="L149" i="268" s="1"/>
  <c r="K150" i="268"/>
  <c r="L150" i="268" s="1"/>
  <c r="K151" i="268"/>
  <c r="L151" i="268" s="1"/>
  <c r="K152" i="268"/>
  <c r="L152" i="268" s="1"/>
  <c r="K153" i="268"/>
  <c r="L153" i="268" s="1"/>
  <c r="K154" i="268"/>
  <c r="L154" i="268" s="1"/>
  <c r="K155" i="268"/>
  <c r="L155" i="268" s="1"/>
  <c r="K156" i="268"/>
  <c r="L156" i="268" s="1"/>
  <c r="K157" i="268"/>
  <c r="L157" i="268" s="1"/>
  <c r="K158" i="268"/>
  <c r="L158" i="268" s="1"/>
  <c r="K159" i="268"/>
  <c r="L159" i="268" s="1"/>
  <c r="K160" i="268"/>
  <c r="L160" i="268" s="1"/>
  <c r="K161" i="268"/>
  <c r="L161" i="268" s="1"/>
  <c r="K162" i="268"/>
  <c r="L162" i="268" s="1"/>
  <c r="K163" i="268"/>
  <c r="L163" i="268" s="1"/>
  <c r="K164" i="268"/>
  <c r="L164" i="268" s="1"/>
  <c r="K165" i="268"/>
  <c r="L165" i="268" s="1"/>
  <c r="K2" i="268"/>
  <c r="K3" i="267"/>
  <c r="K4" i="267"/>
  <c r="K5" i="267"/>
  <c r="K6" i="267"/>
  <c r="K7" i="267"/>
  <c r="K8" i="267"/>
  <c r="K9" i="267"/>
  <c r="K10" i="267"/>
  <c r="K11" i="267"/>
  <c r="K12" i="267"/>
  <c r="K13" i="267"/>
  <c r="K14" i="267"/>
  <c r="K15" i="267"/>
  <c r="K16" i="267"/>
  <c r="K17" i="267"/>
  <c r="K18" i="267"/>
  <c r="K19" i="267"/>
  <c r="K20" i="267"/>
  <c r="K21" i="267"/>
  <c r="K22" i="267"/>
  <c r="K23" i="267"/>
  <c r="K24" i="267"/>
  <c r="K25" i="267"/>
  <c r="K26" i="267"/>
  <c r="K27" i="267"/>
  <c r="K28" i="267"/>
  <c r="K29" i="267"/>
  <c r="K30" i="267"/>
  <c r="K31" i="267"/>
  <c r="K32" i="267"/>
  <c r="K33" i="267"/>
  <c r="K34" i="267"/>
  <c r="K35" i="267"/>
  <c r="K36" i="267"/>
  <c r="K37" i="267"/>
  <c r="K38" i="267"/>
  <c r="K39" i="267"/>
  <c r="K40" i="267"/>
  <c r="K41" i="267"/>
  <c r="K42" i="267"/>
  <c r="K43" i="267"/>
  <c r="K44" i="267"/>
  <c r="K45" i="267"/>
  <c r="K46" i="267"/>
  <c r="K47" i="267"/>
  <c r="K48" i="267"/>
  <c r="K49" i="267"/>
  <c r="K50" i="267"/>
  <c r="K51" i="267"/>
  <c r="K53" i="267"/>
  <c r="K54" i="267"/>
  <c r="K55" i="267"/>
  <c r="K56" i="267"/>
  <c r="K57" i="267"/>
  <c r="K58" i="267"/>
  <c r="K59" i="267"/>
  <c r="K60" i="267"/>
  <c r="K61" i="267"/>
  <c r="K62" i="267"/>
  <c r="K63" i="267"/>
  <c r="K64" i="267"/>
  <c r="K65" i="267"/>
  <c r="K66" i="267"/>
  <c r="K67" i="267"/>
  <c r="K68" i="267"/>
  <c r="K69" i="267"/>
  <c r="K70" i="267"/>
  <c r="K71" i="267"/>
  <c r="K72" i="267"/>
  <c r="K73" i="267"/>
  <c r="K74" i="267"/>
  <c r="K75" i="267"/>
  <c r="K76" i="267"/>
  <c r="K77" i="267"/>
  <c r="K78" i="267"/>
  <c r="K79" i="267"/>
  <c r="K80" i="267"/>
  <c r="K81" i="267"/>
  <c r="K82" i="267"/>
  <c r="K83" i="267"/>
  <c r="K84" i="267"/>
  <c r="K85" i="267"/>
  <c r="K86" i="267"/>
  <c r="K87" i="267"/>
  <c r="K88" i="267"/>
  <c r="K89" i="267"/>
  <c r="K90" i="267"/>
  <c r="K91" i="267"/>
  <c r="K92" i="267"/>
  <c r="K93" i="267"/>
  <c r="K94" i="267"/>
  <c r="K95" i="267"/>
  <c r="K96" i="267"/>
  <c r="K97" i="267"/>
  <c r="K98" i="267"/>
  <c r="K99" i="267"/>
  <c r="K100" i="267"/>
  <c r="K101" i="267"/>
  <c r="K102" i="267"/>
  <c r="K103" i="267"/>
  <c r="K104" i="267"/>
  <c r="K105" i="267"/>
  <c r="K106" i="267"/>
  <c r="K107" i="267"/>
  <c r="K108" i="267"/>
  <c r="K109" i="267"/>
  <c r="K110" i="267"/>
  <c r="K111" i="267"/>
  <c r="K112" i="267"/>
  <c r="K113" i="267"/>
  <c r="K114" i="267"/>
  <c r="K115" i="267"/>
  <c r="K116" i="267"/>
  <c r="K117" i="267"/>
  <c r="K118" i="267"/>
  <c r="K119" i="267"/>
  <c r="K120" i="267"/>
  <c r="K121" i="267"/>
  <c r="K122" i="267"/>
  <c r="K123" i="267"/>
  <c r="K124" i="267"/>
  <c r="K125" i="267"/>
  <c r="K126" i="267"/>
  <c r="K127" i="267"/>
  <c r="K128" i="267"/>
  <c r="K129" i="267"/>
  <c r="K130" i="267"/>
  <c r="K131" i="267"/>
  <c r="K132" i="267"/>
  <c r="K133" i="267"/>
  <c r="K134" i="267"/>
  <c r="K135" i="267"/>
  <c r="K136" i="267"/>
  <c r="K137" i="267"/>
  <c r="K138" i="267"/>
  <c r="K139" i="267"/>
  <c r="K140" i="267"/>
  <c r="K141" i="267"/>
  <c r="K142" i="267"/>
  <c r="K143" i="267"/>
  <c r="K144" i="267"/>
  <c r="K145" i="267"/>
  <c r="K146" i="267"/>
  <c r="K147" i="267"/>
  <c r="K148" i="267"/>
  <c r="K149" i="267"/>
  <c r="K150" i="267"/>
  <c r="K151" i="267"/>
  <c r="K152" i="267"/>
  <c r="K153" i="267"/>
  <c r="K154" i="267"/>
  <c r="K155" i="267"/>
  <c r="K156" i="267"/>
  <c r="K157" i="267"/>
  <c r="K158" i="267"/>
  <c r="K159" i="267"/>
  <c r="K160" i="267"/>
  <c r="K161" i="267"/>
  <c r="K162" i="267"/>
  <c r="K163" i="267"/>
  <c r="K2" i="267"/>
  <c r="A4484" i="282"/>
  <c r="A4485" i="282"/>
  <c r="A4486" i="282"/>
  <c r="F17" i="334" l="1"/>
  <c r="E19" i="334"/>
  <c r="E70" i="334" s="1"/>
  <c r="F62" i="334"/>
  <c r="F61" i="313"/>
  <c r="F44" i="313"/>
  <c r="E69" i="313"/>
  <c r="E69" i="311"/>
  <c r="E76" i="311" s="1"/>
  <c r="F18" i="311"/>
  <c r="F16" i="311"/>
  <c r="F44" i="311"/>
  <c r="F61" i="311"/>
  <c r="F19" i="334" l="1"/>
  <c r="E45" i="334"/>
  <c r="F69" i="313"/>
  <c r="E76" i="313"/>
  <c r="E70" i="313"/>
  <c r="E70" i="311"/>
  <c r="F70" i="311" s="1"/>
  <c r="F69" i="311"/>
  <c r="F76" i="311"/>
  <c r="E71" i="334" l="1"/>
  <c r="F70" i="334"/>
  <c r="E77" i="334"/>
  <c r="F45" i="334"/>
  <c r="F76" i="313"/>
  <c r="F70" i="313"/>
  <c r="C6" i="293"/>
  <c r="E6" i="293"/>
  <c r="H1" i="293"/>
  <c r="E74" i="292"/>
  <c r="E72" i="292"/>
  <c r="E67" i="292"/>
  <c r="E64" i="292"/>
  <c r="E63" i="292"/>
  <c r="E58" i="292"/>
  <c r="E57" i="292"/>
  <c r="E56" i="292"/>
  <c r="E55" i="292"/>
  <c r="E54" i="292"/>
  <c r="E53" i="292"/>
  <c r="E52" i="292"/>
  <c r="E51" i="292"/>
  <c r="E48" i="292"/>
  <c r="E47" i="292"/>
  <c r="E46" i="292"/>
  <c r="E41" i="292"/>
  <c r="E40" i="292"/>
  <c r="E39" i="292"/>
  <c r="E38" i="292"/>
  <c r="E37" i="292"/>
  <c r="E36" i="292"/>
  <c r="E35" i="292"/>
  <c r="E32" i="292"/>
  <c r="E31" i="292"/>
  <c r="E30" i="292"/>
  <c r="E29" i="292"/>
  <c r="E28" i="292"/>
  <c r="E25" i="292"/>
  <c r="E24" i="292"/>
  <c r="E23" i="292"/>
  <c r="E22" i="292"/>
  <c r="E21" i="292"/>
  <c r="E20" i="292"/>
  <c r="E15" i="292"/>
  <c r="E14" i="292"/>
  <c r="E12" i="292"/>
  <c r="E11" i="292"/>
  <c r="E10" i="292"/>
  <c r="E8" i="292"/>
  <c r="E6" i="292"/>
  <c r="C6" i="292"/>
  <c r="H1" i="292"/>
  <c r="E74" i="291"/>
  <c r="E72" i="291"/>
  <c r="E67" i="291"/>
  <c r="E64" i="291"/>
  <c r="E63" i="291"/>
  <c r="E58" i="291"/>
  <c r="E57" i="291"/>
  <c r="E56" i="291"/>
  <c r="E55" i="291"/>
  <c r="E54" i="291"/>
  <c r="E53" i="291"/>
  <c r="E52" i="291"/>
  <c r="E51" i="291"/>
  <c r="E48" i="291"/>
  <c r="E47" i="291"/>
  <c r="E46" i="291"/>
  <c r="E41" i="291"/>
  <c r="E40" i="291"/>
  <c r="E39" i="291"/>
  <c r="E38" i="291"/>
  <c r="E37" i="291"/>
  <c r="E36" i="291"/>
  <c r="E35" i="291"/>
  <c r="E32" i="291"/>
  <c r="E31" i="291"/>
  <c r="E30" i="291"/>
  <c r="E29" i="291"/>
  <c r="E28" i="291"/>
  <c r="E25" i="291"/>
  <c r="E24" i="291"/>
  <c r="E23" i="291"/>
  <c r="E22" i="291"/>
  <c r="E21" i="291"/>
  <c r="E20" i="291"/>
  <c r="E15" i="291"/>
  <c r="E14" i="291"/>
  <c r="E12" i="291"/>
  <c r="E11" i="291"/>
  <c r="E10" i="291"/>
  <c r="E8" i="291"/>
  <c r="E6" i="291"/>
  <c r="C6" i="291"/>
  <c r="H1" i="291"/>
  <c r="E74" i="290"/>
  <c r="E72" i="290"/>
  <c r="E67" i="290"/>
  <c r="E64" i="290"/>
  <c r="E63" i="290"/>
  <c r="E58" i="290"/>
  <c r="E57" i="290"/>
  <c r="E56" i="290"/>
  <c r="E55" i="290"/>
  <c r="E54" i="290"/>
  <c r="E53" i="290"/>
  <c r="E52" i="290"/>
  <c r="E51" i="290"/>
  <c r="E48" i="290"/>
  <c r="E47" i="290"/>
  <c r="E46" i="290"/>
  <c r="E41" i="290"/>
  <c r="E40" i="290"/>
  <c r="E39" i="290"/>
  <c r="E38" i="290"/>
  <c r="E37" i="290"/>
  <c r="E36" i="290"/>
  <c r="E35" i="290"/>
  <c r="E32" i="290"/>
  <c r="E31" i="290"/>
  <c r="E30" i="290"/>
  <c r="E29" i="290"/>
  <c r="E28" i="290"/>
  <c r="E25" i="290"/>
  <c r="E24" i="290"/>
  <c r="E23" i="290"/>
  <c r="E22" i="290"/>
  <c r="E21" i="290"/>
  <c r="E20" i="290"/>
  <c r="E15" i="290"/>
  <c r="E14" i="290"/>
  <c r="E12" i="290"/>
  <c r="E11" i="290"/>
  <c r="E10" i="290"/>
  <c r="E8" i="290"/>
  <c r="E6" i="290"/>
  <c r="C6" i="290"/>
  <c r="H1" i="290"/>
  <c r="E74" i="289"/>
  <c r="E72" i="289"/>
  <c r="E64" i="289"/>
  <c r="E63" i="289"/>
  <c r="E58" i="289"/>
  <c r="E57" i="289"/>
  <c r="E56" i="289"/>
  <c r="E55" i="289"/>
  <c r="E54" i="289"/>
  <c r="E53" i="289"/>
  <c r="E52" i="289"/>
  <c r="E51" i="289"/>
  <c r="E48" i="289"/>
  <c r="E47" i="289"/>
  <c r="E46" i="289"/>
  <c r="E41" i="289"/>
  <c r="E40" i="289"/>
  <c r="E39" i="289"/>
  <c r="E38" i="289"/>
  <c r="E37" i="289"/>
  <c r="E36" i="289"/>
  <c r="E35" i="289"/>
  <c r="E32" i="289"/>
  <c r="E31" i="289"/>
  <c r="E30" i="289"/>
  <c r="E29" i="289"/>
  <c r="E28" i="289"/>
  <c r="E25" i="289"/>
  <c r="E24" i="289"/>
  <c r="E23" i="289"/>
  <c r="E22" i="289"/>
  <c r="E21" i="289"/>
  <c r="E20" i="289"/>
  <c r="E15" i="289"/>
  <c r="E14" i="289"/>
  <c r="E12" i="289"/>
  <c r="E11" i="289"/>
  <c r="E10" i="289"/>
  <c r="E8" i="289"/>
  <c r="E6" i="289"/>
  <c r="C6" i="289"/>
  <c r="H1" i="289"/>
  <c r="E74" i="288"/>
  <c r="E72" i="288"/>
  <c r="E67" i="288"/>
  <c r="E64" i="288"/>
  <c r="E63" i="288"/>
  <c r="E58" i="288"/>
  <c r="E57" i="288"/>
  <c r="E56" i="288"/>
  <c r="E55" i="288"/>
  <c r="E54" i="288"/>
  <c r="E53" i="288"/>
  <c r="E52" i="288"/>
  <c r="E51" i="288"/>
  <c r="E48" i="288"/>
  <c r="E47" i="288"/>
  <c r="E46" i="288"/>
  <c r="E41" i="288"/>
  <c r="E40" i="288"/>
  <c r="E39" i="288"/>
  <c r="E38" i="288"/>
  <c r="E37" i="288"/>
  <c r="E36" i="288"/>
  <c r="E35" i="288"/>
  <c r="E32" i="288"/>
  <c r="E31" i="288"/>
  <c r="E30" i="288"/>
  <c r="E29" i="288"/>
  <c r="E28" i="288"/>
  <c r="E25" i="288"/>
  <c r="E24" i="288"/>
  <c r="E23" i="288"/>
  <c r="E22" i="288"/>
  <c r="E21" i="288"/>
  <c r="E20" i="288"/>
  <c r="E15" i="288"/>
  <c r="E14" i="288"/>
  <c r="E12" i="288"/>
  <c r="E11" i="288"/>
  <c r="E10" i="288"/>
  <c r="E8" i="288"/>
  <c r="E6" i="288"/>
  <c r="C6" i="288"/>
  <c r="H1" i="288"/>
  <c r="E74" i="287"/>
  <c r="E72" i="287"/>
  <c r="E67" i="287"/>
  <c r="E64" i="287"/>
  <c r="E63" i="287"/>
  <c r="E58" i="287"/>
  <c r="E57" i="287"/>
  <c r="E56" i="287"/>
  <c r="E55" i="287"/>
  <c r="E54" i="287"/>
  <c r="E53" i="287"/>
  <c r="E52" i="287"/>
  <c r="E51" i="287"/>
  <c r="E48" i="287"/>
  <c r="E47" i="287"/>
  <c r="E46" i="287"/>
  <c r="E41" i="287"/>
  <c r="E40" i="287"/>
  <c r="E39" i="287"/>
  <c r="E38" i="287"/>
  <c r="E37" i="287"/>
  <c r="E36" i="287"/>
  <c r="E35" i="287"/>
  <c r="E32" i="287"/>
  <c r="E31" i="287"/>
  <c r="E30" i="287"/>
  <c r="E29" i="287"/>
  <c r="E28" i="287"/>
  <c r="E25" i="287"/>
  <c r="E24" i="287"/>
  <c r="E23" i="287"/>
  <c r="E22" i="287"/>
  <c r="E21" i="287"/>
  <c r="E20" i="287"/>
  <c r="E15" i="287"/>
  <c r="E14" i="287"/>
  <c r="E12" i="287"/>
  <c r="E11" i="287"/>
  <c r="E10" i="287"/>
  <c r="E8" i="287"/>
  <c r="E6" i="287"/>
  <c r="C6" i="287"/>
  <c r="H1" i="287"/>
  <c r="E72" i="283"/>
  <c r="E72" i="284"/>
  <c r="E72" i="285"/>
  <c r="E72" i="286"/>
  <c r="E74" i="286"/>
  <c r="E67" i="286"/>
  <c r="E64" i="286"/>
  <c r="E63" i="286"/>
  <c r="E58" i="286"/>
  <c r="E57" i="286"/>
  <c r="E56" i="286"/>
  <c r="E55" i="286"/>
  <c r="E54" i="286"/>
  <c r="E53" i="286"/>
  <c r="E52" i="286"/>
  <c r="E51" i="286"/>
  <c r="E48" i="286"/>
  <c r="E47" i="286"/>
  <c r="E46" i="286"/>
  <c r="E41" i="286"/>
  <c r="E40" i="286"/>
  <c r="E39" i="286"/>
  <c r="E38" i="286"/>
  <c r="E37" i="286"/>
  <c r="E36" i="286"/>
  <c r="E35" i="286"/>
  <c r="E32" i="286"/>
  <c r="E31" i="286"/>
  <c r="E30" i="286"/>
  <c r="E29" i="286"/>
  <c r="E28" i="286"/>
  <c r="E25" i="286"/>
  <c r="E24" i="286"/>
  <c r="E23" i="286"/>
  <c r="E22" i="286"/>
  <c r="E21" i="286"/>
  <c r="E20" i="286"/>
  <c r="E15" i="286"/>
  <c r="E14" i="286"/>
  <c r="E12" i="286"/>
  <c r="E11" i="286"/>
  <c r="E10" i="286"/>
  <c r="E8" i="286"/>
  <c r="E6" i="286"/>
  <c r="C6" i="286"/>
  <c r="H1" i="286"/>
  <c r="E74" i="285"/>
  <c r="E67" i="285"/>
  <c r="E64" i="285"/>
  <c r="E63" i="285"/>
  <c r="E58" i="285"/>
  <c r="E57" i="285"/>
  <c r="E56" i="285"/>
  <c r="E55" i="285"/>
  <c r="E54" i="285"/>
  <c r="E53" i="285"/>
  <c r="E52" i="285"/>
  <c r="E51" i="285"/>
  <c r="E48" i="285"/>
  <c r="E47" i="285"/>
  <c r="E46" i="285"/>
  <c r="E41" i="285"/>
  <c r="E40" i="285"/>
  <c r="E39" i="285"/>
  <c r="E38" i="285"/>
  <c r="E37" i="285"/>
  <c r="E36" i="285"/>
  <c r="E35" i="285"/>
  <c r="E32" i="285"/>
  <c r="E31" i="285"/>
  <c r="E30" i="285"/>
  <c r="E29" i="285"/>
  <c r="E28" i="285"/>
  <c r="E25" i="285"/>
  <c r="E24" i="285"/>
  <c r="E23" i="285"/>
  <c r="E22" i="285"/>
  <c r="E21" i="285"/>
  <c r="E20" i="285"/>
  <c r="E15" i="285"/>
  <c r="E14" i="285"/>
  <c r="E12" i="285"/>
  <c r="E11" i="285"/>
  <c r="E10" i="285"/>
  <c r="E8" i="285"/>
  <c r="E6" i="285"/>
  <c r="C6" i="285"/>
  <c r="H1" i="285"/>
  <c r="E74" i="284"/>
  <c r="E67" i="284"/>
  <c r="E64" i="284"/>
  <c r="E63" i="284"/>
  <c r="E58" i="284"/>
  <c r="E57" i="284"/>
  <c r="E56" i="284"/>
  <c r="E55" i="284"/>
  <c r="E54" i="284"/>
  <c r="E53" i="284"/>
  <c r="E52" i="284"/>
  <c r="E51" i="284"/>
  <c r="E48" i="284"/>
  <c r="E47" i="284"/>
  <c r="E46" i="284"/>
  <c r="E41" i="284"/>
  <c r="E40" i="284"/>
  <c r="E39" i="284"/>
  <c r="E38" i="284"/>
  <c r="E37" i="284"/>
  <c r="E36" i="284"/>
  <c r="E35" i="284"/>
  <c r="E32" i="284"/>
  <c r="E31" i="284"/>
  <c r="E30" i="284"/>
  <c r="E29" i="284"/>
  <c r="E28" i="284"/>
  <c r="E25" i="284"/>
  <c r="E24" i="284"/>
  <c r="E23" i="284"/>
  <c r="E22" i="284"/>
  <c r="E21" i="284"/>
  <c r="E20" i="284"/>
  <c r="E15" i="284"/>
  <c r="E14" i="284"/>
  <c r="E12" i="284"/>
  <c r="E11" i="284"/>
  <c r="E10" i="284"/>
  <c r="E8" i="284"/>
  <c r="E6" i="284"/>
  <c r="C6" i="284"/>
  <c r="H1" i="284"/>
  <c r="E74" i="283"/>
  <c r="E67" i="283"/>
  <c r="E64" i="283"/>
  <c r="E63" i="283"/>
  <c r="E58" i="283"/>
  <c r="E57" i="283"/>
  <c r="E56" i="283"/>
  <c r="E55" i="283"/>
  <c r="E54" i="283"/>
  <c r="E53" i="283"/>
  <c r="E52" i="283"/>
  <c r="E51" i="283"/>
  <c r="E48" i="283"/>
  <c r="E47" i="283"/>
  <c r="E46" i="283"/>
  <c r="E41" i="283"/>
  <c r="E40" i="283"/>
  <c r="E39" i="283"/>
  <c r="E38" i="283"/>
  <c r="E37" i="283"/>
  <c r="E36" i="283"/>
  <c r="E35" i="283"/>
  <c r="E32" i="283"/>
  <c r="E31" i="283"/>
  <c r="E30" i="283"/>
  <c r="E29" i="283"/>
  <c r="E28" i="283"/>
  <c r="E25" i="283"/>
  <c r="E24" i="283"/>
  <c r="E23" i="283"/>
  <c r="E22" i="283"/>
  <c r="E21" i="283"/>
  <c r="E20" i="283"/>
  <c r="E15" i="283"/>
  <c r="E14" i="283"/>
  <c r="E12" i="283"/>
  <c r="E11" i="283"/>
  <c r="E8" i="283"/>
  <c r="C6" i="283"/>
  <c r="H1" i="283"/>
  <c r="K2" i="266"/>
  <c r="K3" i="266"/>
  <c r="K4" i="266"/>
  <c r="K5" i="266"/>
  <c r="K6" i="266"/>
  <c r="K7" i="266"/>
  <c r="K8" i="266"/>
  <c r="K9" i="266"/>
  <c r="K10" i="266"/>
  <c r="K11" i="266"/>
  <c r="K12" i="266"/>
  <c r="K13" i="266"/>
  <c r="K14" i="266"/>
  <c r="K15" i="266"/>
  <c r="K16" i="266"/>
  <c r="K17" i="266"/>
  <c r="K18" i="266"/>
  <c r="K19" i="266"/>
  <c r="K20" i="266"/>
  <c r="K21" i="266"/>
  <c r="K22" i="266"/>
  <c r="K23" i="266"/>
  <c r="K24" i="266"/>
  <c r="K25" i="266"/>
  <c r="K26" i="266"/>
  <c r="K27" i="266"/>
  <c r="K28" i="266"/>
  <c r="K29" i="266"/>
  <c r="K30" i="266"/>
  <c r="K31" i="266"/>
  <c r="K32" i="266"/>
  <c r="K33" i="266"/>
  <c r="K34" i="266"/>
  <c r="K35" i="266"/>
  <c r="K36" i="266"/>
  <c r="K37" i="266"/>
  <c r="K38" i="266"/>
  <c r="K39" i="266"/>
  <c r="K40" i="266"/>
  <c r="K41" i="266"/>
  <c r="K42" i="266"/>
  <c r="K43" i="266"/>
  <c r="K44" i="266"/>
  <c r="K45" i="266"/>
  <c r="K46" i="266"/>
  <c r="K47" i="266"/>
  <c r="K48" i="266"/>
  <c r="K49" i="266"/>
  <c r="K50" i="266"/>
  <c r="K51" i="266"/>
  <c r="K52" i="266"/>
  <c r="K53" i="266"/>
  <c r="K54" i="266"/>
  <c r="K55" i="266"/>
  <c r="K56" i="266"/>
  <c r="K57" i="266"/>
  <c r="K58" i="266"/>
  <c r="K59" i="266"/>
  <c r="K60" i="266"/>
  <c r="K61" i="266"/>
  <c r="K62" i="266"/>
  <c r="K63" i="266"/>
  <c r="K64" i="266"/>
  <c r="K65" i="266"/>
  <c r="K66" i="266"/>
  <c r="K67" i="266"/>
  <c r="K68" i="266"/>
  <c r="K69" i="266"/>
  <c r="K70" i="266"/>
  <c r="K71" i="266"/>
  <c r="K72" i="266"/>
  <c r="K73" i="266"/>
  <c r="K74" i="266"/>
  <c r="K75" i="266"/>
  <c r="K76" i="266"/>
  <c r="K77" i="266"/>
  <c r="K78" i="266"/>
  <c r="K79" i="266"/>
  <c r="K80" i="266"/>
  <c r="K81" i="266"/>
  <c r="K82" i="266"/>
  <c r="K83" i="266"/>
  <c r="K84" i="266"/>
  <c r="K85" i="266"/>
  <c r="K86" i="266"/>
  <c r="K87" i="266"/>
  <c r="K88" i="266"/>
  <c r="K89" i="266"/>
  <c r="K90" i="266"/>
  <c r="K91" i="266"/>
  <c r="K92" i="266"/>
  <c r="K93" i="266"/>
  <c r="K94" i="266"/>
  <c r="K95" i="266"/>
  <c r="K96" i="266"/>
  <c r="K97" i="266"/>
  <c r="K98" i="266"/>
  <c r="K99" i="266"/>
  <c r="K100" i="266"/>
  <c r="K101" i="266"/>
  <c r="K102" i="266"/>
  <c r="K103" i="266"/>
  <c r="K104" i="266"/>
  <c r="K105" i="266"/>
  <c r="K106" i="266"/>
  <c r="K107" i="266"/>
  <c r="K108" i="266"/>
  <c r="K109" i="266"/>
  <c r="K110" i="266"/>
  <c r="K111" i="266"/>
  <c r="K112" i="266"/>
  <c r="K113" i="266"/>
  <c r="K114" i="266"/>
  <c r="K115" i="266"/>
  <c r="K116" i="266"/>
  <c r="K117" i="266"/>
  <c r="K118" i="266"/>
  <c r="K119" i="266"/>
  <c r="K120" i="266"/>
  <c r="K121" i="266"/>
  <c r="K122" i="266"/>
  <c r="K123" i="266"/>
  <c r="K124" i="266"/>
  <c r="K125" i="266"/>
  <c r="K126" i="266"/>
  <c r="K127" i="266"/>
  <c r="K128" i="266"/>
  <c r="K129" i="266"/>
  <c r="K130" i="266"/>
  <c r="K131" i="266"/>
  <c r="K132" i="266"/>
  <c r="K133" i="266"/>
  <c r="K134" i="266"/>
  <c r="K135" i="266"/>
  <c r="K136" i="266"/>
  <c r="K137" i="266"/>
  <c r="K138" i="266"/>
  <c r="K139" i="266"/>
  <c r="K140" i="266"/>
  <c r="K141" i="266"/>
  <c r="K142" i="266"/>
  <c r="K143" i="266"/>
  <c r="K144" i="266"/>
  <c r="K145" i="266"/>
  <c r="K146" i="266"/>
  <c r="K147" i="266"/>
  <c r="K148" i="266"/>
  <c r="K149" i="266"/>
  <c r="K150" i="266"/>
  <c r="K151" i="266"/>
  <c r="K152" i="266"/>
  <c r="K153" i="266"/>
  <c r="K154" i="266"/>
  <c r="K155" i="266"/>
  <c r="K156" i="266"/>
  <c r="K157" i="266"/>
  <c r="K158" i="266"/>
  <c r="K159" i="266"/>
  <c r="K160" i="266"/>
  <c r="K161" i="266"/>
  <c r="K162" i="266"/>
  <c r="K163" i="266"/>
  <c r="K164" i="266"/>
  <c r="K165" i="266"/>
  <c r="K166" i="266"/>
  <c r="K167" i="266"/>
  <c r="K168" i="266"/>
  <c r="K169" i="266"/>
  <c r="K170" i="266"/>
  <c r="K171" i="266"/>
  <c r="K172" i="266"/>
  <c r="A5566" i="282"/>
  <c r="A5565" i="282"/>
  <c r="A5564" i="282"/>
  <c r="A5563" i="282"/>
  <c r="A5562" i="282"/>
  <c r="A5561" i="282"/>
  <c r="A5560" i="282"/>
  <c r="A5559" i="282"/>
  <c r="A5558" i="282"/>
  <c r="A5557" i="282"/>
  <c r="A5556" i="282"/>
  <c r="A5555" i="282"/>
  <c r="A5554" i="282"/>
  <c r="A5553" i="282"/>
  <c r="A5552" i="282"/>
  <c r="A5551" i="282"/>
  <c r="A5550" i="282"/>
  <c r="A5549" i="282"/>
  <c r="A5548" i="282"/>
  <c r="A5547" i="282"/>
  <c r="A5546" i="282"/>
  <c r="A5545" i="282"/>
  <c r="A5544" i="282"/>
  <c r="A5543" i="282"/>
  <c r="A5542" i="282"/>
  <c r="A5541" i="282"/>
  <c r="A5540" i="282"/>
  <c r="A5539" i="282"/>
  <c r="A5538" i="282"/>
  <c r="A5537" i="282"/>
  <c r="A5536" i="282"/>
  <c r="A5535" i="282"/>
  <c r="A5534" i="282"/>
  <c r="A5533" i="282"/>
  <c r="A5532" i="282"/>
  <c r="A5531" i="282"/>
  <c r="A5530" i="282"/>
  <c r="A5529" i="282"/>
  <c r="A5528" i="282"/>
  <c r="A5527" i="282"/>
  <c r="A5526" i="282"/>
  <c r="A5525" i="282"/>
  <c r="A5524" i="282"/>
  <c r="A5523" i="282"/>
  <c r="A5522" i="282"/>
  <c r="A5521" i="282"/>
  <c r="A5520" i="282"/>
  <c r="A5519" i="282"/>
  <c r="A5518" i="282"/>
  <c r="A5517" i="282"/>
  <c r="A5516" i="282"/>
  <c r="A5515" i="282"/>
  <c r="A5514" i="282"/>
  <c r="A5513" i="282"/>
  <c r="A5512" i="282"/>
  <c r="A5511" i="282"/>
  <c r="A5510" i="282"/>
  <c r="A5509" i="282"/>
  <c r="A5508" i="282"/>
  <c r="A5507" i="282"/>
  <c r="A5506" i="282"/>
  <c r="A5505" i="282"/>
  <c r="A5504" i="282"/>
  <c r="A5503" i="282"/>
  <c r="A5502" i="282"/>
  <c r="A5501" i="282"/>
  <c r="A5500" i="282"/>
  <c r="A5499" i="282"/>
  <c r="A5498" i="282"/>
  <c r="A5497" i="282"/>
  <c r="A5496" i="282"/>
  <c r="A5495" i="282"/>
  <c r="A5494" i="282"/>
  <c r="A5493" i="282"/>
  <c r="A5492" i="282"/>
  <c r="A5491" i="282"/>
  <c r="A5490" i="282"/>
  <c r="A5489" i="282"/>
  <c r="A5488" i="282"/>
  <c r="A5487" i="282"/>
  <c r="A5486" i="282"/>
  <c r="A5485" i="282"/>
  <c r="A5484" i="282"/>
  <c r="A5483" i="282"/>
  <c r="A5482" i="282"/>
  <c r="A5481" i="282"/>
  <c r="A5480" i="282"/>
  <c r="A5479" i="282"/>
  <c r="A5478" i="282"/>
  <c r="A5477" i="282"/>
  <c r="A5476" i="282"/>
  <c r="A5475" i="282"/>
  <c r="A5474" i="282"/>
  <c r="A5473" i="282"/>
  <c r="A5472" i="282"/>
  <c r="A5471" i="282"/>
  <c r="A5470" i="282"/>
  <c r="A5469" i="282"/>
  <c r="A5468" i="282"/>
  <c r="A5467" i="282"/>
  <c r="A5466" i="282"/>
  <c r="A5465" i="282"/>
  <c r="A5464" i="282"/>
  <c r="A5463" i="282"/>
  <c r="A5462" i="282"/>
  <c r="A5461" i="282"/>
  <c r="A5460" i="282"/>
  <c r="A5459" i="282"/>
  <c r="A5458" i="282"/>
  <c r="A5457" i="282"/>
  <c r="A5456" i="282"/>
  <c r="A5455" i="282"/>
  <c r="A5454" i="282"/>
  <c r="A5453" i="282"/>
  <c r="A5452" i="282"/>
  <c r="A5451" i="282"/>
  <c r="A5450" i="282"/>
  <c r="A5449" i="282"/>
  <c r="A5448" i="282"/>
  <c r="A5447" i="282"/>
  <c r="A5446" i="282"/>
  <c r="A5445" i="282"/>
  <c r="A5444" i="282"/>
  <c r="A5443" i="282"/>
  <c r="A5442" i="282"/>
  <c r="A5441" i="282"/>
  <c r="A5440" i="282"/>
  <c r="A5439" i="282"/>
  <c r="A5438" i="282"/>
  <c r="A5437" i="282"/>
  <c r="A5436" i="282"/>
  <c r="A5435" i="282"/>
  <c r="A5434" i="282"/>
  <c r="A5433" i="282"/>
  <c r="A5432" i="282"/>
  <c r="A5431" i="282"/>
  <c r="A5430" i="282"/>
  <c r="A5429" i="282"/>
  <c r="A5428" i="282"/>
  <c r="A5427" i="282"/>
  <c r="A5426" i="282"/>
  <c r="A5425" i="282"/>
  <c r="A5424" i="282"/>
  <c r="A5423" i="282"/>
  <c r="A5422" i="282"/>
  <c r="A5421" i="282"/>
  <c r="A5420" i="282"/>
  <c r="A5419" i="282"/>
  <c r="A5418" i="282"/>
  <c r="A5417" i="282"/>
  <c r="A5416" i="282"/>
  <c r="A5415" i="282"/>
  <c r="A5414" i="282"/>
  <c r="A5413" i="282"/>
  <c r="A5412" i="282"/>
  <c r="A5411" i="282"/>
  <c r="A5410" i="282"/>
  <c r="A5409" i="282"/>
  <c r="A5408" i="282"/>
  <c r="A5407" i="282"/>
  <c r="A5406" i="282"/>
  <c r="A5405" i="282"/>
  <c r="A5404" i="282"/>
  <c r="A5403" i="282"/>
  <c r="A5402" i="282"/>
  <c r="A5401" i="282"/>
  <c r="A5400" i="282"/>
  <c r="A5399" i="282"/>
  <c r="A5398" i="282"/>
  <c r="A5397" i="282"/>
  <c r="A5396" i="282"/>
  <c r="A5395" i="282"/>
  <c r="A5394" i="282"/>
  <c r="A5393" i="282"/>
  <c r="A5392" i="282"/>
  <c r="A5391" i="282"/>
  <c r="A5390" i="282"/>
  <c r="A5389" i="282"/>
  <c r="A5388" i="282"/>
  <c r="A5387" i="282"/>
  <c r="A5386" i="282"/>
  <c r="A5385" i="282"/>
  <c r="A5384" i="282"/>
  <c r="A5383" i="282"/>
  <c r="A5382" i="282"/>
  <c r="A5381" i="282"/>
  <c r="A5380" i="282"/>
  <c r="A5379" i="282"/>
  <c r="A5378" i="282"/>
  <c r="A5377" i="282"/>
  <c r="A5376" i="282"/>
  <c r="A5375" i="282"/>
  <c r="A5374" i="282"/>
  <c r="A5373" i="282"/>
  <c r="A5372" i="282"/>
  <c r="A5371" i="282"/>
  <c r="A5370" i="282"/>
  <c r="A5369" i="282"/>
  <c r="A5368" i="282"/>
  <c r="A5367" i="282"/>
  <c r="A5366" i="282"/>
  <c r="A5365" i="282"/>
  <c r="A5364" i="282"/>
  <c r="A5363" i="282"/>
  <c r="A5362" i="282"/>
  <c r="A5361" i="282"/>
  <c r="A5360" i="282"/>
  <c r="A5359" i="282"/>
  <c r="A5358" i="282"/>
  <c r="A5357" i="282"/>
  <c r="A5356" i="282"/>
  <c r="A5355" i="282"/>
  <c r="A5354" i="282"/>
  <c r="A5353" i="282"/>
  <c r="A5352" i="282"/>
  <c r="A5351" i="282"/>
  <c r="A5350" i="282"/>
  <c r="A5349" i="282"/>
  <c r="A5348" i="282"/>
  <c r="A5347" i="282"/>
  <c r="A5346" i="282"/>
  <c r="A5345" i="282"/>
  <c r="A5344" i="282"/>
  <c r="A5343" i="282"/>
  <c r="A5342" i="282"/>
  <c r="A5341" i="282"/>
  <c r="A5340" i="282"/>
  <c r="A5339" i="282"/>
  <c r="A5338" i="282"/>
  <c r="A5337" i="282"/>
  <c r="A5336" i="282"/>
  <c r="A5335" i="282"/>
  <c r="A5334" i="282"/>
  <c r="A5333" i="282"/>
  <c r="A5332" i="282"/>
  <c r="A5331" i="282"/>
  <c r="A5330" i="282"/>
  <c r="A5329" i="282"/>
  <c r="A5328" i="282"/>
  <c r="A5327" i="282"/>
  <c r="A5326" i="282"/>
  <c r="A5325" i="282"/>
  <c r="A5324" i="282"/>
  <c r="A5323" i="282"/>
  <c r="A5322" i="282"/>
  <c r="A5321" i="282"/>
  <c r="A5320" i="282"/>
  <c r="A5319" i="282"/>
  <c r="A5318" i="282"/>
  <c r="A5317" i="282"/>
  <c r="A5316" i="282"/>
  <c r="A5315" i="282"/>
  <c r="A5314" i="282"/>
  <c r="A5313" i="282"/>
  <c r="A5312" i="282"/>
  <c r="A5311" i="282"/>
  <c r="A5310" i="282"/>
  <c r="A5309" i="282"/>
  <c r="A5308" i="282"/>
  <c r="A5307" i="282"/>
  <c r="A5306" i="282"/>
  <c r="A5305" i="282"/>
  <c r="A5304" i="282"/>
  <c r="A5303" i="282"/>
  <c r="A5302" i="282"/>
  <c r="A5301" i="282"/>
  <c r="A5300" i="282"/>
  <c r="A5299" i="282"/>
  <c r="A5298" i="282"/>
  <c r="A5297" i="282"/>
  <c r="A5296" i="282"/>
  <c r="A5295" i="282"/>
  <c r="A5294" i="282"/>
  <c r="A5293" i="282"/>
  <c r="A5292" i="282"/>
  <c r="A5291" i="282"/>
  <c r="A5290" i="282"/>
  <c r="A5289" i="282"/>
  <c r="A5288" i="282"/>
  <c r="A5287" i="282"/>
  <c r="A5286" i="282"/>
  <c r="A5285" i="282"/>
  <c r="A5284" i="282"/>
  <c r="A5283" i="282"/>
  <c r="A5282" i="282"/>
  <c r="A5281" i="282"/>
  <c r="A5280" i="282"/>
  <c r="A5279" i="282"/>
  <c r="A5278" i="282"/>
  <c r="A5277" i="282"/>
  <c r="A5276" i="282"/>
  <c r="A5275" i="282"/>
  <c r="A5274" i="282"/>
  <c r="A5273" i="282"/>
  <c r="A5272" i="282"/>
  <c r="A5271" i="282"/>
  <c r="A5270" i="282"/>
  <c r="A5269" i="282"/>
  <c r="A5268" i="282"/>
  <c r="A5267" i="282"/>
  <c r="A5266" i="282"/>
  <c r="A5265" i="282"/>
  <c r="A5264" i="282"/>
  <c r="A5263" i="282"/>
  <c r="A5262" i="282"/>
  <c r="A5261" i="282"/>
  <c r="A5260" i="282"/>
  <c r="A5259" i="282"/>
  <c r="A5258" i="282"/>
  <c r="A5257" i="282"/>
  <c r="A5256" i="282"/>
  <c r="A5255" i="282"/>
  <c r="A5254" i="282"/>
  <c r="A5253" i="282"/>
  <c r="A5252" i="282"/>
  <c r="A5251" i="282"/>
  <c r="A5250" i="282"/>
  <c r="A5249" i="282"/>
  <c r="A5248" i="282"/>
  <c r="A5247" i="282"/>
  <c r="A5246" i="282"/>
  <c r="A5245" i="282"/>
  <c r="A5244" i="282"/>
  <c r="A5243" i="282"/>
  <c r="A5242" i="282"/>
  <c r="A5241" i="282"/>
  <c r="A5240" i="282"/>
  <c r="A5239" i="282"/>
  <c r="A5238" i="282"/>
  <c r="A5237" i="282"/>
  <c r="A5236" i="282"/>
  <c r="A5235" i="282"/>
  <c r="A5234" i="282"/>
  <c r="A5233" i="282"/>
  <c r="A5232" i="282"/>
  <c r="A5231" i="282"/>
  <c r="A5230" i="282"/>
  <c r="A5229" i="282"/>
  <c r="A5228" i="282"/>
  <c r="A5227" i="282"/>
  <c r="A5226" i="282"/>
  <c r="A5225" i="282"/>
  <c r="A5224" i="282"/>
  <c r="A5223" i="282"/>
  <c r="A5222" i="282"/>
  <c r="A5221" i="282"/>
  <c r="A5220" i="282"/>
  <c r="A5219" i="282"/>
  <c r="A5218" i="282"/>
  <c r="A5217" i="282"/>
  <c r="A5216" i="282"/>
  <c r="A5215" i="282"/>
  <c r="A5214" i="282"/>
  <c r="A5213" i="282"/>
  <c r="A5212" i="282"/>
  <c r="A5211" i="282"/>
  <c r="A5210" i="282"/>
  <c r="A5209" i="282"/>
  <c r="A5208" i="282"/>
  <c r="A5207" i="282"/>
  <c r="A5206" i="282"/>
  <c r="A5205" i="282"/>
  <c r="A5204" i="282"/>
  <c r="A5203" i="282"/>
  <c r="A5202" i="282"/>
  <c r="A5201" i="282"/>
  <c r="A5200" i="282"/>
  <c r="A5199" i="282"/>
  <c r="A5198" i="282"/>
  <c r="A5197" i="282"/>
  <c r="A5196" i="282"/>
  <c r="A5195" i="282"/>
  <c r="A5194" i="282"/>
  <c r="A5193" i="282"/>
  <c r="A5192" i="282"/>
  <c r="A5191" i="282"/>
  <c r="A5190" i="282"/>
  <c r="A5189" i="282"/>
  <c r="A5188" i="282"/>
  <c r="A5187" i="282"/>
  <c r="A5186" i="282"/>
  <c r="A5185" i="282"/>
  <c r="A5184" i="282"/>
  <c r="A5183" i="282"/>
  <c r="A5182" i="282"/>
  <c r="A5181" i="282"/>
  <c r="A5180" i="282"/>
  <c r="A5179" i="282"/>
  <c r="A5178" i="282"/>
  <c r="A5177" i="282"/>
  <c r="A5176" i="282"/>
  <c r="A5175" i="282"/>
  <c r="A5174" i="282"/>
  <c r="A5173" i="282"/>
  <c r="A5172" i="282"/>
  <c r="A5171" i="282"/>
  <c r="A5170" i="282"/>
  <c r="A5169" i="282"/>
  <c r="A5168" i="282"/>
  <c r="A5167" i="282"/>
  <c r="A5166" i="282"/>
  <c r="A5165" i="282"/>
  <c r="A5164" i="282"/>
  <c r="A5163" i="282"/>
  <c r="A5162" i="282"/>
  <c r="A5161" i="282"/>
  <c r="A5160" i="282"/>
  <c r="A5159" i="282"/>
  <c r="A5158" i="282"/>
  <c r="A5157" i="282"/>
  <c r="A5156" i="282"/>
  <c r="A5155" i="282"/>
  <c r="A5154" i="282"/>
  <c r="A5153" i="282"/>
  <c r="A5152" i="282"/>
  <c r="A5151" i="282"/>
  <c r="A5150" i="282"/>
  <c r="A5149" i="282"/>
  <c r="A5148" i="282"/>
  <c r="A5147" i="282"/>
  <c r="A5146" i="282"/>
  <c r="A5145" i="282"/>
  <c r="A5144" i="282"/>
  <c r="A5143" i="282"/>
  <c r="A5142" i="282"/>
  <c r="A5141" i="282"/>
  <c r="A5140" i="282"/>
  <c r="A5139" i="282"/>
  <c r="A5138" i="282"/>
  <c r="A5137" i="282"/>
  <c r="A5136" i="282"/>
  <c r="A5135" i="282"/>
  <c r="A5134" i="282"/>
  <c r="A5133" i="282"/>
  <c r="A5132" i="282"/>
  <c r="A5131" i="282"/>
  <c r="A5130" i="282"/>
  <c r="A5129" i="282"/>
  <c r="A5128" i="282"/>
  <c r="A5127" i="282"/>
  <c r="A5126" i="282"/>
  <c r="A5125" i="282"/>
  <c r="A5124" i="282"/>
  <c r="A5123" i="282"/>
  <c r="A5122" i="282"/>
  <c r="A5121" i="282"/>
  <c r="A5120" i="282"/>
  <c r="A5119" i="282"/>
  <c r="A5118" i="282"/>
  <c r="A5117" i="282"/>
  <c r="A5116" i="282"/>
  <c r="A5115" i="282"/>
  <c r="A5114" i="282"/>
  <c r="A5113" i="282"/>
  <c r="A5112" i="282"/>
  <c r="A5111" i="282"/>
  <c r="A5110" i="282"/>
  <c r="A5109" i="282"/>
  <c r="A5108" i="282"/>
  <c r="A5107" i="282"/>
  <c r="A5106" i="282"/>
  <c r="A5105" i="282"/>
  <c r="A5104" i="282"/>
  <c r="A5103" i="282"/>
  <c r="A5102" i="282"/>
  <c r="A5101" i="282"/>
  <c r="A5100" i="282"/>
  <c r="A5099" i="282"/>
  <c r="A5098" i="282"/>
  <c r="A5097" i="282"/>
  <c r="A5096" i="282"/>
  <c r="A5095" i="282"/>
  <c r="A5094" i="282"/>
  <c r="A5093" i="282"/>
  <c r="A5092" i="282"/>
  <c r="A5091" i="282"/>
  <c r="A5090" i="282"/>
  <c r="A5089" i="282"/>
  <c r="A5088" i="282"/>
  <c r="A5087" i="282"/>
  <c r="A5086" i="282"/>
  <c r="A5085" i="282"/>
  <c r="A5084" i="282"/>
  <c r="A5083" i="282"/>
  <c r="A5082" i="282"/>
  <c r="A5081" i="282"/>
  <c r="A5080" i="282"/>
  <c r="A5079" i="282"/>
  <c r="A5078" i="282"/>
  <c r="A5077" i="282"/>
  <c r="A5076" i="282"/>
  <c r="A5075" i="282"/>
  <c r="A5074" i="282"/>
  <c r="A5073" i="282"/>
  <c r="A5072" i="282"/>
  <c r="A5071" i="282"/>
  <c r="A5070" i="282"/>
  <c r="A5069" i="282"/>
  <c r="A5068" i="282"/>
  <c r="A5067" i="282"/>
  <c r="A5066" i="282"/>
  <c r="A5065" i="282"/>
  <c r="A5064" i="282"/>
  <c r="A5063" i="282"/>
  <c r="A5062" i="282"/>
  <c r="A5061" i="282"/>
  <c r="A5060" i="282"/>
  <c r="A5059" i="282"/>
  <c r="A5058" i="282"/>
  <c r="A5057" i="282"/>
  <c r="A5056" i="282"/>
  <c r="A5055" i="282"/>
  <c r="A5054" i="282"/>
  <c r="A5053" i="282"/>
  <c r="A5052" i="282"/>
  <c r="A5051" i="282"/>
  <c r="A5050" i="282"/>
  <c r="A5049" i="282"/>
  <c r="A5048" i="282"/>
  <c r="A5047" i="282"/>
  <c r="A5046" i="282"/>
  <c r="A5045" i="282"/>
  <c r="A5044" i="282"/>
  <c r="A5043" i="282"/>
  <c r="A5042" i="282"/>
  <c r="A5041" i="282"/>
  <c r="A5040" i="282"/>
  <c r="A5039" i="282"/>
  <c r="A5038" i="282"/>
  <c r="A5037" i="282"/>
  <c r="A5036" i="282"/>
  <c r="A5035" i="282"/>
  <c r="A5034" i="282"/>
  <c r="A5033" i="282"/>
  <c r="A5032" i="282"/>
  <c r="A5031" i="282"/>
  <c r="A5030" i="282"/>
  <c r="A5029" i="282"/>
  <c r="A5028" i="282"/>
  <c r="A5027" i="282"/>
  <c r="A5026" i="282"/>
  <c r="A5025" i="282"/>
  <c r="A5024" i="282"/>
  <c r="A5023" i="282"/>
  <c r="A5022" i="282"/>
  <c r="A5021" i="282"/>
  <c r="A5020" i="282"/>
  <c r="A5019" i="282"/>
  <c r="A5018" i="282"/>
  <c r="A5017" i="282"/>
  <c r="A5016" i="282"/>
  <c r="A5015" i="282"/>
  <c r="A5014" i="282"/>
  <c r="A5013" i="282"/>
  <c r="A5012" i="282"/>
  <c r="A5011" i="282"/>
  <c r="A5010" i="282"/>
  <c r="A5009" i="282"/>
  <c r="A5008" i="282"/>
  <c r="A5007" i="282"/>
  <c r="A5006" i="282"/>
  <c r="A5005" i="282"/>
  <c r="A5004" i="282"/>
  <c r="A5003" i="282"/>
  <c r="A5002" i="282"/>
  <c r="A5001" i="282"/>
  <c r="A5000" i="282"/>
  <c r="A4999" i="282"/>
  <c r="A4998" i="282"/>
  <c r="A4997" i="282"/>
  <c r="A4996" i="282"/>
  <c r="A4995" i="282"/>
  <c r="A4994" i="282"/>
  <c r="A4993" i="282"/>
  <c r="A4992" i="282"/>
  <c r="A4991" i="282"/>
  <c r="A4990" i="282"/>
  <c r="A4989" i="282"/>
  <c r="A4988" i="282"/>
  <c r="A4987" i="282"/>
  <c r="A4986" i="282"/>
  <c r="A4985" i="282"/>
  <c r="A4984" i="282"/>
  <c r="A4983" i="282"/>
  <c r="A4982" i="282"/>
  <c r="A4981" i="282"/>
  <c r="A4980" i="282"/>
  <c r="A4979" i="282"/>
  <c r="A4978" i="282"/>
  <c r="A4977" i="282"/>
  <c r="A4976" i="282"/>
  <c r="A4975" i="282"/>
  <c r="A4974" i="282"/>
  <c r="A4973" i="282"/>
  <c r="A4972" i="282"/>
  <c r="A4971" i="282"/>
  <c r="A4970" i="282"/>
  <c r="A4969" i="282"/>
  <c r="A4968" i="282"/>
  <c r="A4967" i="282"/>
  <c r="A4966" i="282"/>
  <c r="A4965" i="282"/>
  <c r="A4964" i="282"/>
  <c r="A4963" i="282"/>
  <c r="A4962" i="282"/>
  <c r="A4961" i="282"/>
  <c r="A4960" i="282"/>
  <c r="A4959" i="282"/>
  <c r="A4958" i="282"/>
  <c r="A4957" i="282"/>
  <c r="A4956" i="282"/>
  <c r="A4955" i="282"/>
  <c r="A4954" i="282"/>
  <c r="A4953" i="282"/>
  <c r="A4952" i="282"/>
  <c r="A4951" i="282"/>
  <c r="A4950" i="282"/>
  <c r="A4949" i="282"/>
  <c r="A4948" i="282"/>
  <c r="A4947" i="282"/>
  <c r="A4946" i="282"/>
  <c r="A4945" i="282"/>
  <c r="A4944" i="282"/>
  <c r="A4943" i="282"/>
  <c r="A4942" i="282"/>
  <c r="A4941" i="282"/>
  <c r="A4940" i="282"/>
  <c r="A4939" i="282"/>
  <c r="A4938" i="282"/>
  <c r="A4937" i="282"/>
  <c r="A4936" i="282"/>
  <c r="A4935" i="282"/>
  <c r="A4934" i="282"/>
  <c r="A4933" i="282"/>
  <c r="A4932" i="282"/>
  <c r="A4931" i="282"/>
  <c r="A4930" i="282"/>
  <c r="A4929" i="282"/>
  <c r="A4928" i="282"/>
  <c r="A4927" i="282"/>
  <c r="A4926" i="282"/>
  <c r="A4925" i="282"/>
  <c r="A4924" i="282"/>
  <c r="A4923" i="282"/>
  <c r="A4922" i="282"/>
  <c r="A4921" i="282"/>
  <c r="A4920" i="282"/>
  <c r="A4919" i="282"/>
  <c r="A4918" i="282"/>
  <c r="A4917" i="282"/>
  <c r="A4916" i="282"/>
  <c r="A4915" i="282"/>
  <c r="A4914" i="282"/>
  <c r="A4913" i="282"/>
  <c r="A4912" i="282"/>
  <c r="A4911" i="282"/>
  <c r="A4910" i="282"/>
  <c r="A4909" i="282"/>
  <c r="A4908" i="282"/>
  <c r="A4907" i="282"/>
  <c r="A4906" i="282"/>
  <c r="A4905" i="282"/>
  <c r="A4904" i="282"/>
  <c r="A4903" i="282"/>
  <c r="A4902" i="282"/>
  <c r="A4901" i="282"/>
  <c r="A4900" i="282"/>
  <c r="A4899" i="282"/>
  <c r="A4898" i="282"/>
  <c r="A4897" i="282"/>
  <c r="A4896" i="282"/>
  <c r="A4895" i="282"/>
  <c r="A4894" i="282"/>
  <c r="A4893" i="282"/>
  <c r="A4892" i="282"/>
  <c r="A4891" i="282"/>
  <c r="A4890" i="282"/>
  <c r="A4889" i="282"/>
  <c r="A4888" i="282"/>
  <c r="A4887" i="282"/>
  <c r="A4886" i="282"/>
  <c r="A4885" i="282"/>
  <c r="A4884" i="282"/>
  <c r="A4883" i="282"/>
  <c r="A4882" i="282"/>
  <c r="A4881" i="282"/>
  <c r="A4880" i="282"/>
  <c r="A4879" i="282"/>
  <c r="A4878" i="282"/>
  <c r="A4877" i="282"/>
  <c r="A4876" i="282"/>
  <c r="A4875" i="282"/>
  <c r="A4874" i="282"/>
  <c r="A4873" i="282"/>
  <c r="A4872" i="282"/>
  <c r="A4871" i="282"/>
  <c r="A4870" i="282"/>
  <c r="A4869" i="282"/>
  <c r="A4868" i="282"/>
  <c r="A4867" i="282"/>
  <c r="A4866" i="282"/>
  <c r="A4865" i="282"/>
  <c r="A4864" i="282"/>
  <c r="A4863" i="282"/>
  <c r="A4862" i="282"/>
  <c r="A4861" i="282"/>
  <c r="A4860" i="282"/>
  <c r="A4859" i="282"/>
  <c r="A4858" i="282"/>
  <c r="A4857" i="282"/>
  <c r="A4856" i="282"/>
  <c r="A4855" i="282"/>
  <c r="A4854" i="282"/>
  <c r="A4853" i="282"/>
  <c r="A4852" i="282"/>
  <c r="A4851" i="282"/>
  <c r="A4850" i="282"/>
  <c r="A4849" i="282"/>
  <c r="A4848" i="282"/>
  <c r="A4847" i="282"/>
  <c r="A4846" i="282"/>
  <c r="A4845" i="282"/>
  <c r="A4844" i="282"/>
  <c r="A4843" i="282"/>
  <c r="A4842" i="282"/>
  <c r="A4841" i="282"/>
  <c r="A4840" i="282"/>
  <c r="A4839" i="282"/>
  <c r="A4838" i="282"/>
  <c r="A4837" i="282"/>
  <c r="A4836" i="282"/>
  <c r="A4835" i="282"/>
  <c r="A4834" i="282"/>
  <c r="A4833" i="282"/>
  <c r="A4832" i="282"/>
  <c r="A4831" i="282"/>
  <c r="A4830" i="282"/>
  <c r="A4829" i="282"/>
  <c r="A4828" i="282"/>
  <c r="A4827" i="282"/>
  <c r="A4826" i="282"/>
  <c r="A4825" i="282"/>
  <c r="A4824" i="282"/>
  <c r="A4823" i="282"/>
  <c r="A4822" i="282"/>
  <c r="A4821" i="282"/>
  <c r="A4820" i="282"/>
  <c r="A4819" i="282"/>
  <c r="A4818" i="282"/>
  <c r="A4817" i="282"/>
  <c r="A4816" i="282"/>
  <c r="A4815" i="282"/>
  <c r="A4814" i="282"/>
  <c r="A4813" i="282"/>
  <c r="A4812" i="282"/>
  <c r="A4811" i="282"/>
  <c r="A4810" i="282"/>
  <c r="A4809" i="282"/>
  <c r="A4808" i="282"/>
  <c r="A4807" i="282"/>
  <c r="A4806" i="282"/>
  <c r="A4805" i="282"/>
  <c r="A4804" i="282"/>
  <c r="A4803" i="282"/>
  <c r="A4802" i="282"/>
  <c r="A4801" i="282"/>
  <c r="A4800" i="282"/>
  <c r="A4799" i="282"/>
  <c r="A4798" i="282"/>
  <c r="A4797" i="282"/>
  <c r="A4796" i="282"/>
  <c r="A4795" i="282"/>
  <c r="A4794" i="282"/>
  <c r="A4793" i="282"/>
  <c r="A4792" i="282"/>
  <c r="A4791" i="282"/>
  <c r="A4790" i="282"/>
  <c r="A4789" i="282"/>
  <c r="A4788" i="282"/>
  <c r="A4787" i="282"/>
  <c r="A4786" i="282"/>
  <c r="A4785" i="282"/>
  <c r="A4784" i="282"/>
  <c r="A4783" i="282"/>
  <c r="A4782" i="282"/>
  <c r="A4781" i="282"/>
  <c r="A4780" i="282"/>
  <c r="A4779" i="282"/>
  <c r="A4778" i="282"/>
  <c r="A4777" i="282"/>
  <c r="A4776" i="282"/>
  <c r="A4775" i="282"/>
  <c r="A4774" i="282"/>
  <c r="A4773" i="282"/>
  <c r="A4772" i="282"/>
  <c r="A4771" i="282"/>
  <c r="A4770" i="282"/>
  <c r="A4769" i="282"/>
  <c r="A4768" i="282"/>
  <c r="A4767" i="282"/>
  <c r="A4766" i="282"/>
  <c r="A4765" i="282"/>
  <c r="A4764" i="282"/>
  <c r="A4763" i="282"/>
  <c r="A4762" i="282"/>
  <c r="A4761" i="282"/>
  <c r="A4760" i="282"/>
  <c r="A4759" i="282"/>
  <c r="A4758" i="282"/>
  <c r="A4757" i="282"/>
  <c r="A4756" i="282"/>
  <c r="A4755" i="282"/>
  <c r="A4754" i="282"/>
  <c r="A4753" i="282"/>
  <c r="A4752" i="282"/>
  <c r="A4751" i="282"/>
  <c r="A4750" i="282"/>
  <c r="A4749" i="282"/>
  <c r="A4748" i="282"/>
  <c r="A4747" i="282"/>
  <c r="A4746" i="282"/>
  <c r="A4745" i="282"/>
  <c r="A4744" i="282"/>
  <c r="A4743" i="282"/>
  <c r="A4742" i="282"/>
  <c r="A4741" i="282"/>
  <c r="A4740" i="282"/>
  <c r="A4739" i="282"/>
  <c r="A4738" i="282"/>
  <c r="A4737" i="282"/>
  <c r="A4736" i="282"/>
  <c r="A4735" i="282"/>
  <c r="A4734" i="282"/>
  <c r="A4733" i="282"/>
  <c r="A4732" i="282"/>
  <c r="A4731" i="282"/>
  <c r="A4730" i="282"/>
  <c r="A4729" i="282"/>
  <c r="A4728" i="282"/>
  <c r="A4727" i="282"/>
  <c r="A4726" i="282"/>
  <c r="A4725" i="282"/>
  <c r="A4724" i="282"/>
  <c r="A4723" i="282"/>
  <c r="A4722" i="282"/>
  <c r="A4721" i="282"/>
  <c r="A4720" i="282"/>
  <c r="A4719" i="282"/>
  <c r="A4718" i="282"/>
  <c r="A4717" i="282"/>
  <c r="A4716" i="282"/>
  <c r="A4715" i="282"/>
  <c r="A4714" i="282"/>
  <c r="A4713" i="282"/>
  <c r="A4712" i="282"/>
  <c r="A4711" i="282"/>
  <c r="A4710" i="282"/>
  <c r="A4709" i="282"/>
  <c r="A4708" i="282"/>
  <c r="A4707" i="282"/>
  <c r="A4706" i="282"/>
  <c r="A4705" i="282"/>
  <c r="A4704" i="282"/>
  <c r="A4703" i="282"/>
  <c r="A4702" i="282"/>
  <c r="A4701" i="282"/>
  <c r="A4700" i="282"/>
  <c r="A4699" i="282"/>
  <c r="A4698" i="282"/>
  <c r="A4697" i="282"/>
  <c r="A4696" i="282"/>
  <c r="A4695" i="282"/>
  <c r="A4694" i="282"/>
  <c r="A4693" i="282"/>
  <c r="A4692" i="282"/>
  <c r="A4691" i="282"/>
  <c r="A4690" i="282"/>
  <c r="A4689" i="282"/>
  <c r="A4688" i="282"/>
  <c r="A4687" i="282"/>
  <c r="A4686" i="282"/>
  <c r="A4685" i="282"/>
  <c r="A4684" i="282"/>
  <c r="A4683" i="282"/>
  <c r="A4682" i="282"/>
  <c r="A4681" i="282"/>
  <c r="A4680" i="282"/>
  <c r="A4679" i="282"/>
  <c r="A4678" i="282"/>
  <c r="A4677" i="282"/>
  <c r="A4676" i="282"/>
  <c r="A4675" i="282"/>
  <c r="A4674" i="282"/>
  <c r="A4673" i="282"/>
  <c r="A4672" i="282"/>
  <c r="A4671" i="282"/>
  <c r="A4670" i="282"/>
  <c r="A4669" i="282"/>
  <c r="A4668" i="282"/>
  <c r="A4667" i="282"/>
  <c r="A4666" i="282"/>
  <c r="A4665" i="282"/>
  <c r="A4664" i="282"/>
  <c r="A4663" i="282"/>
  <c r="A4662" i="282"/>
  <c r="A4661" i="282"/>
  <c r="A4660" i="282"/>
  <c r="A4659" i="282"/>
  <c r="A4658" i="282"/>
  <c r="A4657" i="282"/>
  <c r="A4656" i="282"/>
  <c r="A4655" i="282"/>
  <c r="A4654" i="282"/>
  <c r="A4653" i="282"/>
  <c r="A4652" i="282"/>
  <c r="A4651" i="282"/>
  <c r="A4650" i="282"/>
  <c r="A4649" i="282"/>
  <c r="A4648" i="282"/>
  <c r="A4647" i="282"/>
  <c r="A4646" i="282"/>
  <c r="A4645" i="282"/>
  <c r="A4644" i="282"/>
  <c r="A4643" i="282"/>
  <c r="A4642" i="282"/>
  <c r="A4641" i="282"/>
  <c r="A4640" i="282"/>
  <c r="A4639" i="282"/>
  <c r="A4638" i="282"/>
  <c r="A4637" i="282"/>
  <c r="A4636" i="282"/>
  <c r="A4635" i="282"/>
  <c r="A4634" i="282"/>
  <c r="A4633" i="282"/>
  <c r="A4632" i="282"/>
  <c r="A4631" i="282"/>
  <c r="A4630" i="282"/>
  <c r="A4629" i="282"/>
  <c r="A4628" i="282"/>
  <c r="A4627" i="282"/>
  <c r="A4626" i="282"/>
  <c r="A4625" i="282"/>
  <c r="A4624" i="282"/>
  <c r="A4623" i="282"/>
  <c r="A4622" i="282"/>
  <c r="A4621" i="282"/>
  <c r="A4620" i="282"/>
  <c r="A4619" i="282"/>
  <c r="A4618" i="282"/>
  <c r="A4617" i="282"/>
  <c r="A4616" i="282"/>
  <c r="A4615" i="282"/>
  <c r="A4614" i="282"/>
  <c r="A4613" i="282"/>
  <c r="A4612" i="282"/>
  <c r="A4611" i="282"/>
  <c r="A4610" i="282"/>
  <c r="A4609" i="282"/>
  <c r="A4608" i="282"/>
  <c r="A4607" i="282"/>
  <c r="A4606" i="282"/>
  <c r="A4605" i="282"/>
  <c r="A4604" i="282"/>
  <c r="A4603" i="282"/>
  <c r="A4602" i="282"/>
  <c r="A4601" i="282"/>
  <c r="A4600" i="282"/>
  <c r="A4599" i="282"/>
  <c r="A4598" i="282"/>
  <c r="A4597" i="282"/>
  <c r="A4596" i="282"/>
  <c r="A4595" i="282"/>
  <c r="A4594" i="282"/>
  <c r="A4593" i="282"/>
  <c r="A4592" i="282"/>
  <c r="A4591" i="282"/>
  <c r="A4590" i="282"/>
  <c r="A4589" i="282"/>
  <c r="A4588" i="282"/>
  <c r="A4587" i="282"/>
  <c r="A4586" i="282"/>
  <c r="A4585" i="282"/>
  <c r="A4584" i="282"/>
  <c r="A4583" i="282"/>
  <c r="A4582" i="282"/>
  <c r="A4581" i="282"/>
  <c r="A4580" i="282"/>
  <c r="A4579" i="282"/>
  <c r="A4578" i="282"/>
  <c r="A4577" i="282"/>
  <c r="A4576" i="282"/>
  <c r="A4575" i="282"/>
  <c r="A4574" i="282"/>
  <c r="A4573" i="282"/>
  <c r="A4572" i="282"/>
  <c r="A4571" i="282"/>
  <c r="A4570" i="282"/>
  <c r="A4569" i="282"/>
  <c r="A4568" i="282"/>
  <c r="A4567" i="282"/>
  <c r="A4566" i="282"/>
  <c r="A4565" i="282"/>
  <c r="A4564" i="282"/>
  <c r="A4563" i="282"/>
  <c r="A4562" i="282"/>
  <c r="A4561" i="282"/>
  <c r="A4560" i="282"/>
  <c r="A4559" i="282"/>
  <c r="A4558" i="282"/>
  <c r="A4557" i="282"/>
  <c r="A4556" i="282"/>
  <c r="A4555" i="282"/>
  <c r="A4554" i="282"/>
  <c r="A4553" i="282"/>
  <c r="A4552" i="282"/>
  <c r="A4551" i="282"/>
  <c r="A4550" i="282"/>
  <c r="A4549" i="282"/>
  <c r="A4548" i="282"/>
  <c r="A4547" i="282"/>
  <c r="A4546" i="282"/>
  <c r="A4545" i="282"/>
  <c r="A4544" i="282"/>
  <c r="A4543" i="282"/>
  <c r="A4542" i="282"/>
  <c r="A4541" i="282"/>
  <c r="A4540" i="282"/>
  <c r="A4539" i="282"/>
  <c r="A4538" i="282"/>
  <c r="A4537" i="282"/>
  <c r="A4536" i="282"/>
  <c r="A4535" i="282"/>
  <c r="A4534" i="282"/>
  <c r="A4533" i="282"/>
  <c r="A4532" i="282"/>
  <c r="A4531" i="282"/>
  <c r="A4530" i="282"/>
  <c r="A4529" i="282"/>
  <c r="A4528" i="282"/>
  <c r="A4527" i="282"/>
  <c r="A4526" i="282"/>
  <c r="A4525" i="282"/>
  <c r="A4524" i="282"/>
  <c r="A4523" i="282"/>
  <c r="A4522" i="282"/>
  <c r="A4521" i="282"/>
  <c r="A4520" i="282"/>
  <c r="A4519" i="282"/>
  <c r="A4518" i="282"/>
  <c r="A4517" i="282"/>
  <c r="A4516" i="282"/>
  <c r="A4515" i="282"/>
  <c r="A4514" i="282"/>
  <c r="A4513" i="282"/>
  <c r="A4512" i="282"/>
  <c r="A4511" i="282"/>
  <c r="A4510" i="282"/>
  <c r="A4509" i="282"/>
  <c r="A4508" i="282"/>
  <c r="A4507" i="282"/>
  <c r="A4506" i="282"/>
  <c r="A4505" i="282"/>
  <c r="A4504" i="282"/>
  <c r="A4503" i="282"/>
  <c r="A4502" i="282"/>
  <c r="A4501" i="282"/>
  <c r="A4500" i="282"/>
  <c r="A4499" i="282"/>
  <c r="A4498" i="282"/>
  <c r="A4497" i="282"/>
  <c r="A4496" i="282"/>
  <c r="A4495" i="282"/>
  <c r="A4494" i="282"/>
  <c r="A4493" i="282"/>
  <c r="A4492" i="282"/>
  <c r="A4491" i="282"/>
  <c r="A4490" i="282"/>
  <c r="A4489" i="282"/>
  <c r="A4488" i="282"/>
  <c r="A4487" i="282"/>
  <c r="A4483" i="282"/>
  <c r="A4482" i="282"/>
  <c r="A4481" i="282"/>
  <c r="A4480" i="282"/>
  <c r="A4479" i="282"/>
  <c r="A4478" i="282"/>
  <c r="A4477" i="282"/>
  <c r="A4476" i="282"/>
  <c r="A4475" i="282"/>
  <c r="A4474" i="282"/>
  <c r="A4473" i="282"/>
  <c r="A4472" i="282"/>
  <c r="A4471" i="282"/>
  <c r="A4470" i="282"/>
  <c r="A4469" i="282"/>
  <c r="A4468" i="282"/>
  <c r="A4467" i="282"/>
  <c r="A4466" i="282"/>
  <c r="A4465" i="282"/>
  <c r="A4464" i="282"/>
  <c r="A4463" i="282"/>
  <c r="A4462" i="282"/>
  <c r="A4461" i="282"/>
  <c r="A4460" i="282"/>
  <c r="A4459" i="282"/>
  <c r="A4458" i="282"/>
  <c r="A4457" i="282"/>
  <c r="A4456" i="282"/>
  <c r="A4455" i="282"/>
  <c r="A4454" i="282"/>
  <c r="A4453" i="282"/>
  <c r="A4452" i="282"/>
  <c r="A4451" i="282"/>
  <c r="A4450" i="282"/>
  <c r="A4449" i="282"/>
  <c r="A4448" i="282"/>
  <c r="A4447" i="282"/>
  <c r="A4446" i="282"/>
  <c r="A4445" i="282"/>
  <c r="A4444" i="282"/>
  <c r="A4443" i="282"/>
  <c r="A4442" i="282"/>
  <c r="A4441" i="282"/>
  <c r="A4440" i="282"/>
  <c r="A4439" i="282"/>
  <c r="A4438" i="282"/>
  <c r="A4437" i="282"/>
  <c r="A4436" i="282"/>
  <c r="A4435" i="282"/>
  <c r="A4434" i="282"/>
  <c r="A4433" i="282"/>
  <c r="A4432" i="282"/>
  <c r="A4431" i="282"/>
  <c r="A4430" i="282"/>
  <c r="A4429" i="282"/>
  <c r="A4428" i="282"/>
  <c r="A4427" i="282"/>
  <c r="A4426" i="282"/>
  <c r="A4425" i="282"/>
  <c r="A4424" i="282"/>
  <c r="A4423" i="282"/>
  <c r="A4422" i="282"/>
  <c r="A4421" i="282"/>
  <c r="A4420" i="282"/>
  <c r="A4419" i="282"/>
  <c r="A4418" i="282"/>
  <c r="A4417" i="282"/>
  <c r="A4416" i="282"/>
  <c r="A4415" i="282"/>
  <c r="A4414" i="282"/>
  <c r="A4413" i="282"/>
  <c r="A4412" i="282"/>
  <c r="A4411" i="282"/>
  <c r="A4410" i="282"/>
  <c r="A4409" i="282"/>
  <c r="A4408" i="282"/>
  <c r="A4407" i="282"/>
  <c r="A4406" i="282"/>
  <c r="A4405" i="282"/>
  <c r="A4404" i="282"/>
  <c r="A4403" i="282"/>
  <c r="A4402" i="282"/>
  <c r="A4401" i="282"/>
  <c r="A4400" i="282"/>
  <c r="A4399" i="282"/>
  <c r="A4398" i="282"/>
  <c r="A4397" i="282"/>
  <c r="A4396" i="282"/>
  <c r="A4395" i="282"/>
  <c r="A4394" i="282"/>
  <c r="A4393" i="282"/>
  <c r="A4392" i="282"/>
  <c r="A4391" i="282"/>
  <c r="A4390" i="282"/>
  <c r="A4389" i="282"/>
  <c r="A4388" i="282"/>
  <c r="A4387" i="282"/>
  <c r="A4386" i="282"/>
  <c r="A4385" i="282"/>
  <c r="A4384" i="282"/>
  <c r="A4383" i="282"/>
  <c r="A4382" i="282"/>
  <c r="A4381" i="282"/>
  <c r="A4380" i="282"/>
  <c r="A4379" i="282"/>
  <c r="A4378" i="282"/>
  <c r="A4377" i="282"/>
  <c r="A4376" i="282"/>
  <c r="A4375" i="282"/>
  <c r="A4374" i="282"/>
  <c r="A4373" i="282"/>
  <c r="A4372" i="282"/>
  <c r="A4371" i="282"/>
  <c r="A4370" i="282"/>
  <c r="A4369" i="282"/>
  <c r="A4368" i="282"/>
  <c r="A4367" i="282"/>
  <c r="A4366" i="282"/>
  <c r="A4365" i="282"/>
  <c r="A4364" i="282"/>
  <c r="A4363" i="282"/>
  <c r="A4362" i="282"/>
  <c r="A4361" i="282"/>
  <c r="A4360" i="282"/>
  <c r="A4359" i="282"/>
  <c r="A4358" i="282"/>
  <c r="A4357" i="282"/>
  <c r="A4356" i="282"/>
  <c r="A4355" i="282"/>
  <c r="A4354" i="282"/>
  <c r="A4353" i="282"/>
  <c r="A4352" i="282"/>
  <c r="A4351" i="282"/>
  <c r="A4350" i="282"/>
  <c r="A4349" i="282"/>
  <c r="A4348" i="282"/>
  <c r="A4347" i="282"/>
  <c r="A4346" i="282"/>
  <c r="A4345" i="282"/>
  <c r="A4344" i="282"/>
  <c r="A4343" i="282"/>
  <c r="A4342" i="282"/>
  <c r="A4341" i="282"/>
  <c r="A4340" i="282"/>
  <c r="A4339" i="282"/>
  <c r="A4338" i="282"/>
  <c r="A4337" i="282"/>
  <c r="A4336" i="282"/>
  <c r="A4335" i="282"/>
  <c r="A4334" i="282"/>
  <c r="A4333" i="282"/>
  <c r="A4332" i="282"/>
  <c r="A4331" i="282"/>
  <c r="A4330" i="282"/>
  <c r="A4329" i="282"/>
  <c r="A4328" i="282"/>
  <c r="A4327" i="282"/>
  <c r="A4326" i="282"/>
  <c r="A4325" i="282"/>
  <c r="A4324" i="282"/>
  <c r="A4323" i="282"/>
  <c r="A4322" i="282"/>
  <c r="A4321" i="282"/>
  <c r="A4320" i="282"/>
  <c r="A4319" i="282"/>
  <c r="A4318" i="282"/>
  <c r="A4317" i="282"/>
  <c r="A4316" i="282"/>
  <c r="A4315" i="282"/>
  <c r="A4314" i="282"/>
  <c r="A4313" i="282"/>
  <c r="A4312" i="282"/>
  <c r="A4311" i="282"/>
  <c r="A4310" i="282"/>
  <c r="A4309" i="282"/>
  <c r="A4308" i="282"/>
  <c r="A4307" i="282"/>
  <c r="A4306" i="282"/>
  <c r="A4305" i="282"/>
  <c r="A4304" i="282"/>
  <c r="A4303" i="282"/>
  <c r="A4302" i="282"/>
  <c r="A4301" i="282"/>
  <c r="A4300" i="282"/>
  <c r="A4299" i="282"/>
  <c r="A4298" i="282"/>
  <c r="A4297" i="282"/>
  <c r="A4296" i="282"/>
  <c r="A4295" i="282"/>
  <c r="A4294" i="282"/>
  <c r="A4293" i="282"/>
  <c r="A4292" i="282"/>
  <c r="A4291" i="282"/>
  <c r="A4290" i="282"/>
  <c r="A4289" i="282"/>
  <c r="A4288" i="282"/>
  <c r="A4287" i="282"/>
  <c r="A4286" i="282"/>
  <c r="A4285" i="282"/>
  <c r="A4284" i="282"/>
  <c r="A4283" i="282"/>
  <c r="A4282" i="282"/>
  <c r="A4281" i="282"/>
  <c r="A4280" i="282"/>
  <c r="A4279" i="282"/>
  <c r="A4278" i="282"/>
  <c r="A4277" i="282"/>
  <c r="A4276" i="282"/>
  <c r="A4275" i="282"/>
  <c r="A4274" i="282"/>
  <c r="A4273" i="282"/>
  <c r="A4272" i="282"/>
  <c r="A4271" i="282"/>
  <c r="A4270" i="282"/>
  <c r="A4269" i="282"/>
  <c r="A4268" i="282"/>
  <c r="A4267" i="282"/>
  <c r="A4266" i="282"/>
  <c r="A4265" i="282"/>
  <c r="A4264" i="282"/>
  <c r="A4263" i="282"/>
  <c r="A4262" i="282"/>
  <c r="A4261" i="282"/>
  <c r="A4260" i="282"/>
  <c r="A4259" i="282"/>
  <c r="A4258" i="282"/>
  <c r="A4257" i="282"/>
  <c r="A4256" i="282"/>
  <c r="A4255" i="282"/>
  <c r="A4254" i="282"/>
  <c r="A4253" i="282"/>
  <c r="A4252" i="282"/>
  <c r="A4251" i="282"/>
  <c r="A4250" i="282"/>
  <c r="A4249" i="282"/>
  <c r="A4248" i="282"/>
  <c r="A4247" i="282"/>
  <c r="A4246" i="282"/>
  <c r="A4245" i="282"/>
  <c r="A4244" i="282"/>
  <c r="A4243" i="282"/>
  <c r="A4242" i="282"/>
  <c r="A4241" i="282"/>
  <c r="A4240" i="282"/>
  <c r="A4239" i="282"/>
  <c r="A4238" i="282"/>
  <c r="A4237" i="282"/>
  <c r="A4236" i="282"/>
  <c r="A4235" i="282"/>
  <c r="A4234" i="282"/>
  <c r="A4233" i="282"/>
  <c r="A4232" i="282"/>
  <c r="A4231" i="282"/>
  <c r="A4230" i="282"/>
  <c r="A4229" i="282"/>
  <c r="A4228" i="282"/>
  <c r="A4227" i="282"/>
  <c r="A4226" i="282"/>
  <c r="A4225" i="282"/>
  <c r="A4224" i="282"/>
  <c r="A4223" i="282"/>
  <c r="A4222" i="282"/>
  <c r="A4221" i="282"/>
  <c r="A4220" i="282"/>
  <c r="A4219" i="282"/>
  <c r="A4218" i="282"/>
  <c r="A4217" i="282"/>
  <c r="A4216" i="282"/>
  <c r="A4215" i="282"/>
  <c r="A4214" i="282"/>
  <c r="A4213" i="282"/>
  <c r="A4212" i="282"/>
  <c r="A4211" i="282"/>
  <c r="A4210" i="282"/>
  <c r="A4209" i="282"/>
  <c r="A4208" i="282"/>
  <c r="A4207" i="282"/>
  <c r="A4206" i="282"/>
  <c r="A4205" i="282"/>
  <c r="A4204" i="282"/>
  <c r="A4203" i="282"/>
  <c r="A4202" i="282"/>
  <c r="A4201" i="282"/>
  <c r="A4200" i="282"/>
  <c r="A4199" i="282"/>
  <c r="A4198" i="282"/>
  <c r="A4197" i="282"/>
  <c r="A4196" i="282"/>
  <c r="A4195" i="282"/>
  <c r="A4194" i="282"/>
  <c r="A4193" i="282"/>
  <c r="A4192" i="282"/>
  <c r="A4191" i="282"/>
  <c r="A4190" i="282"/>
  <c r="A4189" i="282"/>
  <c r="A4188" i="282"/>
  <c r="A4187" i="282"/>
  <c r="A4186" i="282"/>
  <c r="A4185" i="282"/>
  <c r="A4184" i="282"/>
  <c r="A4183" i="282"/>
  <c r="A4182" i="282"/>
  <c r="A4181" i="282"/>
  <c r="A4180" i="282"/>
  <c r="A4179" i="282"/>
  <c r="A4178" i="282"/>
  <c r="A4177" i="282"/>
  <c r="A4176" i="282"/>
  <c r="A4175" i="282"/>
  <c r="A4174" i="282"/>
  <c r="A4173" i="282"/>
  <c r="A4172" i="282"/>
  <c r="A4171" i="282"/>
  <c r="A4170" i="282"/>
  <c r="A4169" i="282"/>
  <c r="A4168" i="282"/>
  <c r="A4167" i="282"/>
  <c r="A4166" i="282"/>
  <c r="A4165" i="282"/>
  <c r="A4164" i="282"/>
  <c r="A4163" i="282"/>
  <c r="A4162" i="282"/>
  <c r="A4161" i="282"/>
  <c r="A4160" i="282"/>
  <c r="A4159" i="282"/>
  <c r="A4158" i="282"/>
  <c r="A4157" i="282"/>
  <c r="A4156" i="282"/>
  <c r="A4155" i="282"/>
  <c r="A4154" i="282"/>
  <c r="A4153" i="282"/>
  <c r="A4152" i="282"/>
  <c r="A4151" i="282"/>
  <c r="A4150" i="282"/>
  <c r="A4149" i="282"/>
  <c r="A4148" i="282"/>
  <c r="A4147" i="282"/>
  <c r="A4146" i="282"/>
  <c r="A4145" i="282"/>
  <c r="A4144" i="282"/>
  <c r="A4143" i="282"/>
  <c r="A4142" i="282"/>
  <c r="A4141" i="282"/>
  <c r="A4140" i="282"/>
  <c r="A4139" i="282"/>
  <c r="A4138" i="282"/>
  <c r="A4137" i="282"/>
  <c r="A4136" i="282"/>
  <c r="A4135" i="282"/>
  <c r="A4134" i="282"/>
  <c r="A4133" i="282"/>
  <c r="A4132" i="282"/>
  <c r="A4131" i="282"/>
  <c r="A4130" i="282"/>
  <c r="A4129" i="282"/>
  <c r="A4128" i="282"/>
  <c r="A4127" i="282"/>
  <c r="A4126" i="282"/>
  <c r="A4125" i="282"/>
  <c r="A4124" i="282"/>
  <c r="A4123" i="282"/>
  <c r="A4122" i="282"/>
  <c r="A4121" i="282"/>
  <c r="A4120" i="282"/>
  <c r="A4119" i="282"/>
  <c r="A4118" i="282"/>
  <c r="A4117" i="282"/>
  <c r="A4116" i="282"/>
  <c r="A4115" i="282"/>
  <c r="A4114" i="282"/>
  <c r="A4113" i="282"/>
  <c r="A4112" i="282"/>
  <c r="A4111" i="282"/>
  <c r="A4110" i="282"/>
  <c r="A4109" i="282"/>
  <c r="A4108" i="282"/>
  <c r="A4107" i="282"/>
  <c r="A4106" i="282"/>
  <c r="A4105" i="282"/>
  <c r="A4104" i="282"/>
  <c r="A4103" i="282"/>
  <c r="A4102" i="282"/>
  <c r="A4101" i="282"/>
  <c r="A4100" i="282"/>
  <c r="A4099" i="282"/>
  <c r="A4098" i="282"/>
  <c r="A4097" i="282"/>
  <c r="A4096" i="282"/>
  <c r="A4095" i="282"/>
  <c r="A4094" i="282"/>
  <c r="A4093" i="282"/>
  <c r="A4092" i="282"/>
  <c r="A4091" i="282"/>
  <c r="A4090" i="282"/>
  <c r="A4089" i="282"/>
  <c r="A4088" i="282"/>
  <c r="A4087" i="282"/>
  <c r="A4086" i="282"/>
  <c r="A4085" i="282"/>
  <c r="A4084" i="282"/>
  <c r="A4083" i="282"/>
  <c r="A4082" i="282"/>
  <c r="A4081" i="282"/>
  <c r="A4080" i="282"/>
  <c r="A4079" i="282"/>
  <c r="A4078" i="282"/>
  <c r="A4077" i="282"/>
  <c r="A4076" i="282"/>
  <c r="A4075" i="282"/>
  <c r="A4074" i="282"/>
  <c r="A4073" i="282"/>
  <c r="A4072" i="282"/>
  <c r="A4071" i="282"/>
  <c r="A4070" i="282"/>
  <c r="A4069" i="282"/>
  <c r="A4068" i="282"/>
  <c r="A4067" i="282"/>
  <c r="A4066" i="282"/>
  <c r="A4065" i="282"/>
  <c r="A4064" i="282"/>
  <c r="A4063" i="282"/>
  <c r="A4062" i="282"/>
  <c r="A4061" i="282"/>
  <c r="A4060" i="282"/>
  <c r="A4059" i="282"/>
  <c r="A4058" i="282"/>
  <c r="A4057" i="282"/>
  <c r="A4056" i="282"/>
  <c r="A4055" i="282"/>
  <c r="A4054" i="282"/>
  <c r="A4053" i="282"/>
  <c r="A4052" i="282"/>
  <c r="A4051" i="282"/>
  <c r="A4050" i="282"/>
  <c r="A4049" i="282"/>
  <c r="A4048" i="282"/>
  <c r="A4047" i="282"/>
  <c r="A4046" i="282"/>
  <c r="A4045" i="282"/>
  <c r="A4044" i="282"/>
  <c r="A4043" i="282"/>
  <c r="A4042" i="282"/>
  <c r="A4041" i="282"/>
  <c r="A4040" i="282"/>
  <c r="A4039" i="282"/>
  <c r="A4038" i="282"/>
  <c r="A4037" i="282"/>
  <c r="A4036" i="282"/>
  <c r="A4035" i="282"/>
  <c r="A4034" i="282"/>
  <c r="A4033" i="282"/>
  <c r="A4032" i="282"/>
  <c r="A4031" i="282"/>
  <c r="A4030" i="282"/>
  <c r="A4029" i="282"/>
  <c r="A4028" i="282"/>
  <c r="A4027" i="282"/>
  <c r="A4026" i="282"/>
  <c r="A4025" i="282"/>
  <c r="A4024" i="282"/>
  <c r="A4023" i="282"/>
  <c r="A4022" i="282"/>
  <c r="A4021" i="282"/>
  <c r="A4020" i="282"/>
  <c r="A4019" i="282"/>
  <c r="A4018" i="282"/>
  <c r="A4017" i="282"/>
  <c r="A4016" i="282"/>
  <c r="A4015" i="282"/>
  <c r="A4014" i="282"/>
  <c r="A4013" i="282"/>
  <c r="A4012" i="282"/>
  <c r="A4011" i="282"/>
  <c r="A4010" i="282"/>
  <c r="A4009" i="282"/>
  <c r="A4008" i="282"/>
  <c r="A4007" i="282"/>
  <c r="A4006" i="282"/>
  <c r="A4005" i="282"/>
  <c r="A4004" i="282"/>
  <c r="A4003" i="282"/>
  <c r="A4002" i="282"/>
  <c r="A4001" i="282"/>
  <c r="A4000" i="282"/>
  <c r="A3999" i="282"/>
  <c r="A3998" i="282"/>
  <c r="A3997" i="282"/>
  <c r="A3996" i="282"/>
  <c r="A3995" i="282"/>
  <c r="A3994" i="282"/>
  <c r="A3993" i="282"/>
  <c r="A3992" i="282"/>
  <c r="A3991" i="282"/>
  <c r="A3990" i="282"/>
  <c r="A3989" i="282"/>
  <c r="A3988" i="282"/>
  <c r="A3987" i="282"/>
  <c r="A3986" i="282"/>
  <c r="A3985" i="282"/>
  <c r="A3984" i="282"/>
  <c r="A3983" i="282"/>
  <c r="A3982" i="282"/>
  <c r="A3981" i="282"/>
  <c r="A3980" i="282"/>
  <c r="A3979" i="282"/>
  <c r="A3978" i="282"/>
  <c r="A3977" i="282"/>
  <c r="A3976" i="282"/>
  <c r="A3975" i="282"/>
  <c r="A3974" i="282"/>
  <c r="A3973" i="282"/>
  <c r="A3972" i="282"/>
  <c r="A3971" i="282"/>
  <c r="A3970" i="282"/>
  <c r="A3969" i="282"/>
  <c r="A3968" i="282"/>
  <c r="A3967" i="282"/>
  <c r="A3966" i="282"/>
  <c r="A3965" i="282"/>
  <c r="A3964" i="282"/>
  <c r="A3963" i="282"/>
  <c r="A3962" i="282"/>
  <c r="A3961" i="282"/>
  <c r="A3960" i="282"/>
  <c r="A3959" i="282"/>
  <c r="A3958" i="282"/>
  <c r="A3957" i="282"/>
  <c r="A3956" i="282"/>
  <c r="A3955" i="282"/>
  <c r="A3954" i="282"/>
  <c r="A3953" i="282"/>
  <c r="A3952" i="282"/>
  <c r="A3951" i="282"/>
  <c r="A3950" i="282"/>
  <c r="A3949" i="282"/>
  <c r="A3948" i="282"/>
  <c r="A3947" i="282"/>
  <c r="A3946" i="282"/>
  <c r="A3945" i="282"/>
  <c r="A3944" i="282"/>
  <c r="A3943" i="282"/>
  <c r="A3942" i="282"/>
  <c r="A3941" i="282"/>
  <c r="A3940" i="282"/>
  <c r="A3939" i="282"/>
  <c r="A3938" i="282"/>
  <c r="A3937" i="282"/>
  <c r="A3936" i="282"/>
  <c r="A3935" i="282"/>
  <c r="A3934" i="282"/>
  <c r="A3933" i="282"/>
  <c r="A3932" i="282"/>
  <c r="A3931" i="282"/>
  <c r="A3930" i="282"/>
  <c r="A3929" i="282"/>
  <c r="A3928" i="282"/>
  <c r="A3927" i="282"/>
  <c r="A3926" i="282"/>
  <c r="A3925" i="282"/>
  <c r="A3924" i="282"/>
  <c r="A3923" i="282"/>
  <c r="A3922" i="282"/>
  <c r="A3921" i="282"/>
  <c r="A3920" i="282"/>
  <c r="A3919" i="282"/>
  <c r="A3918" i="282"/>
  <c r="A3917" i="282"/>
  <c r="A3916" i="282"/>
  <c r="A3915" i="282"/>
  <c r="A3914" i="282"/>
  <c r="A3913" i="282"/>
  <c r="A3912" i="282"/>
  <c r="A3911" i="282"/>
  <c r="A3910" i="282"/>
  <c r="A3909" i="282"/>
  <c r="A3908" i="282"/>
  <c r="A3907" i="282"/>
  <c r="A3906" i="282"/>
  <c r="A3905" i="282"/>
  <c r="A3904" i="282"/>
  <c r="A3903" i="282"/>
  <c r="A3902" i="282"/>
  <c r="A3901" i="282"/>
  <c r="A3900" i="282"/>
  <c r="A3899" i="282"/>
  <c r="A3898" i="282"/>
  <c r="A3897" i="282"/>
  <c r="A3896" i="282"/>
  <c r="A3895" i="282"/>
  <c r="A3894" i="282"/>
  <c r="A3893" i="282"/>
  <c r="A3892" i="282"/>
  <c r="A3891" i="282"/>
  <c r="A3890" i="282"/>
  <c r="A3889" i="282"/>
  <c r="A3888" i="282"/>
  <c r="A3887" i="282"/>
  <c r="A3886" i="282"/>
  <c r="A3885" i="282"/>
  <c r="A3884" i="282"/>
  <c r="A3883" i="282"/>
  <c r="A3882" i="282"/>
  <c r="A3881" i="282"/>
  <c r="A3880" i="282"/>
  <c r="A3879" i="282"/>
  <c r="A3878" i="282"/>
  <c r="A3877" i="282"/>
  <c r="A3876" i="282"/>
  <c r="A3875" i="282"/>
  <c r="A3874" i="282"/>
  <c r="A3873" i="282"/>
  <c r="A3872" i="282"/>
  <c r="A3871" i="282"/>
  <c r="A3870" i="282"/>
  <c r="A3869" i="282"/>
  <c r="A3868" i="282"/>
  <c r="A3867" i="282"/>
  <c r="A3866" i="282"/>
  <c r="A3865" i="282"/>
  <c r="A3864" i="282"/>
  <c r="A3863" i="282"/>
  <c r="A3862" i="282"/>
  <c r="A3861" i="282"/>
  <c r="A3860" i="282"/>
  <c r="A3859" i="282"/>
  <c r="A3858" i="282"/>
  <c r="A3857" i="282"/>
  <c r="A3856" i="282"/>
  <c r="A3855" i="282"/>
  <c r="A3854" i="282"/>
  <c r="A3853" i="282"/>
  <c r="A3852" i="282"/>
  <c r="A3851" i="282"/>
  <c r="A3850" i="282"/>
  <c r="A3849" i="282"/>
  <c r="A3848" i="282"/>
  <c r="A3847" i="282"/>
  <c r="A3846" i="282"/>
  <c r="A3845" i="282"/>
  <c r="A3844" i="282"/>
  <c r="A3843" i="282"/>
  <c r="A3842" i="282"/>
  <c r="A3841" i="282"/>
  <c r="A3840" i="282"/>
  <c r="A3839" i="282"/>
  <c r="A3838" i="282"/>
  <c r="A3837" i="282"/>
  <c r="A3836" i="282"/>
  <c r="A3835" i="282"/>
  <c r="A3834" i="282"/>
  <c r="A3833" i="282"/>
  <c r="A3832" i="282"/>
  <c r="A3831" i="282"/>
  <c r="A3830" i="282"/>
  <c r="A3829" i="282"/>
  <c r="A3828" i="282"/>
  <c r="A3827" i="282"/>
  <c r="A3826" i="282"/>
  <c r="A3825" i="282"/>
  <c r="A3824" i="282"/>
  <c r="A3823" i="282"/>
  <c r="A3822" i="282"/>
  <c r="A3821" i="282"/>
  <c r="A3820" i="282"/>
  <c r="A3819" i="282"/>
  <c r="A3818" i="282"/>
  <c r="A3817" i="282"/>
  <c r="A3816" i="282"/>
  <c r="A3815" i="282"/>
  <c r="A3814" i="282"/>
  <c r="A3813" i="282"/>
  <c r="A3812" i="282"/>
  <c r="A3811" i="282"/>
  <c r="A3810" i="282"/>
  <c r="A3809" i="282"/>
  <c r="A3808" i="282"/>
  <c r="A3807" i="282"/>
  <c r="A3806" i="282"/>
  <c r="A3805" i="282"/>
  <c r="A3804" i="282"/>
  <c r="A3803" i="282"/>
  <c r="A3802" i="282"/>
  <c r="A3801" i="282"/>
  <c r="A3800" i="282"/>
  <c r="A3799" i="282"/>
  <c r="A3798" i="282"/>
  <c r="A3797" i="282"/>
  <c r="A3796" i="282"/>
  <c r="A3795" i="282"/>
  <c r="A3794" i="282"/>
  <c r="A3793" i="282"/>
  <c r="A3792" i="282"/>
  <c r="A3791" i="282"/>
  <c r="A3790" i="282"/>
  <c r="A3789" i="282"/>
  <c r="A3788" i="282"/>
  <c r="A3787" i="282"/>
  <c r="A3786" i="282"/>
  <c r="A3785" i="282"/>
  <c r="A3784" i="282"/>
  <c r="A3783" i="282"/>
  <c r="A3782" i="282"/>
  <c r="A3781" i="282"/>
  <c r="A3780" i="282"/>
  <c r="A3779" i="282"/>
  <c r="A3778" i="282"/>
  <c r="A3777" i="282"/>
  <c r="A3776" i="282"/>
  <c r="A3775" i="282"/>
  <c r="A3774" i="282"/>
  <c r="A3773" i="282"/>
  <c r="A3772" i="282"/>
  <c r="A3771" i="282"/>
  <c r="A3770" i="282"/>
  <c r="A3769" i="282"/>
  <c r="A3768" i="282"/>
  <c r="A3767" i="282"/>
  <c r="A3766" i="282"/>
  <c r="A3765" i="282"/>
  <c r="A3764" i="282"/>
  <c r="A3763" i="282"/>
  <c r="A3762" i="282"/>
  <c r="A3761" i="282"/>
  <c r="A3760" i="282"/>
  <c r="A3759" i="282"/>
  <c r="A3758" i="282"/>
  <c r="A3757" i="282"/>
  <c r="A3756" i="282"/>
  <c r="A3755" i="282"/>
  <c r="A3754" i="282"/>
  <c r="A3753" i="282"/>
  <c r="A3752" i="282"/>
  <c r="A3751" i="282"/>
  <c r="A3750" i="282"/>
  <c r="A3749" i="282"/>
  <c r="A3748" i="282"/>
  <c r="A3747" i="282"/>
  <c r="A3746" i="282"/>
  <c r="A3745" i="282"/>
  <c r="A3744" i="282"/>
  <c r="A3743" i="282"/>
  <c r="A3742" i="282"/>
  <c r="A3741" i="282"/>
  <c r="A3740" i="282"/>
  <c r="A3739" i="282"/>
  <c r="A3738" i="282"/>
  <c r="A3737" i="282"/>
  <c r="A3736" i="282"/>
  <c r="A3735" i="282"/>
  <c r="A3734" i="282"/>
  <c r="A3733" i="282"/>
  <c r="A3732" i="282"/>
  <c r="A3731" i="282"/>
  <c r="A3730" i="282"/>
  <c r="A3729" i="282"/>
  <c r="A3728" i="282"/>
  <c r="A3727" i="282"/>
  <c r="A3726" i="282"/>
  <c r="A3725" i="282"/>
  <c r="A3724" i="282"/>
  <c r="A3723" i="282"/>
  <c r="A3722" i="282"/>
  <c r="A3721" i="282"/>
  <c r="A3720" i="282"/>
  <c r="A3719" i="282"/>
  <c r="A3718" i="282"/>
  <c r="A3717" i="282"/>
  <c r="A3716" i="282"/>
  <c r="A3715" i="282"/>
  <c r="A3714" i="282"/>
  <c r="A3713" i="282"/>
  <c r="A3712" i="282"/>
  <c r="A3711" i="282"/>
  <c r="A3710" i="282"/>
  <c r="A3709" i="282"/>
  <c r="A3708" i="282"/>
  <c r="A3707" i="282"/>
  <c r="A3706" i="282"/>
  <c r="A3705" i="282"/>
  <c r="A3704" i="282"/>
  <c r="A3703" i="282"/>
  <c r="A3702" i="282"/>
  <c r="A3701" i="282"/>
  <c r="A3700" i="282"/>
  <c r="A3699" i="282"/>
  <c r="A3698" i="282"/>
  <c r="A3697" i="282"/>
  <c r="A3696" i="282"/>
  <c r="A3695" i="282"/>
  <c r="A3694" i="282"/>
  <c r="A3693" i="282"/>
  <c r="A3692" i="282"/>
  <c r="A3691" i="282"/>
  <c r="A3690" i="282"/>
  <c r="A3689" i="282"/>
  <c r="A3688" i="282"/>
  <c r="A3687" i="282"/>
  <c r="A3686" i="282"/>
  <c r="A3685" i="282"/>
  <c r="A3684" i="282"/>
  <c r="A3683" i="282"/>
  <c r="A3682" i="282"/>
  <c r="A3681" i="282"/>
  <c r="A3680" i="282"/>
  <c r="A3679" i="282"/>
  <c r="A3678" i="282"/>
  <c r="A3677" i="282"/>
  <c r="A3676" i="282"/>
  <c r="A3675" i="282"/>
  <c r="A3674" i="282"/>
  <c r="A3673" i="282"/>
  <c r="A3672" i="282"/>
  <c r="A3671" i="282"/>
  <c r="A3670" i="282"/>
  <c r="A3669" i="282"/>
  <c r="A3668" i="282"/>
  <c r="A3667" i="282"/>
  <c r="A3666" i="282"/>
  <c r="A3665" i="282"/>
  <c r="A3664" i="282"/>
  <c r="A3663" i="282"/>
  <c r="A3662" i="282"/>
  <c r="A3661" i="282"/>
  <c r="A3660" i="282"/>
  <c r="A3659" i="282"/>
  <c r="A3658" i="282"/>
  <c r="A3657" i="282"/>
  <c r="A3656" i="282"/>
  <c r="A3655" i="282"/>
  <c r="A3654" i="282"/>
  <c r="A3653" i="282"/>
  <c r="A3652" i="282"/>
  <c r="A3651" i="282"/>
  <c r="A3650" i="282"/>
  <c r="A3649" i="282"/>
  <c r="A3648" i="282"/>
  <c r="A3647" i="282"/>
  <c r="A3646" i="282"/>
  <c r="A3645" i="282"/>
  <c r="A3644" i="282"/>
  <c r="A3643" i="282"/>
  <c r="A3642" i="282"/>
  <c r="A3641" i="282"/>
  <c r="A3640" i="282"/>
  <c r="A3639" i="282"/>
  <c r="A3638" i="282"/>
  <c r="A3637" i="282"/>
  <c r="A3636" i="282"/>
  <c r="A3635" i="282"/>
  <c r="A3634" i="282"/>
  <c r="A3633" i="282"/>
  <c r="A3632" i="282"/>
  <c r="A3631" i="282"/>
  <c r="A3630" i="282"/>
  <c r="A3629" i="282"/>
  <c r="A3628" i="282"/>
  <c r="A3627" i="282"/>
  <c r="A3626" i="282"/>
  <c r="A3625" i="282"/>
  <c r="A3624" i="282"/>
  <c r="A3623" i="282"/>
  <c r="A3622" i="282"/>
  <c r="A3621" i="282"/>
  <c r="A3620" i="282"/>
  <c r="A3619" i="282"/>
  <c r="A3618" i="282"/>
  <c r="A3617" i="282"/>
  <c r="A3616" i="282"/>
  <c r="A3615" i="282"/>
  <c r="A3614" i="282"/>
  <c r="A3613" i="282"/>
  <c r="A3612" i="282"/>
  <c r="A3611" i="282"/>
  <c r="A3610" i="282"/>
  <c r="A3609" i="282"/>
  <c r="A3608" i="282"/>
  <c r="A3607" i="282"/>
  <c r="A3606" i="282"/>
  <c r="A3605" i="282"/>
  <c r="A3604" i="282"/>
  <c r="A3603" i="282"/>
  <c r="A3602" i="282"/>
  <c r="A3601" i="282"/>
  <c r="A3600" i="282"/>
  <c r="A3599" i="282"/>
  <c r="A3598" i="282"/>
  <c r="A3597" i="282"/>
  <c r="A3596" i="282"/>
  <c r="A3595" i="282"/>
  <c r="A3594" i="282"/>
  <c r="A3593" i="282"/>
  <c r="A3592" i="282"/>
  <c r="A3591" i="282"/>
  <c r="A3590" i="282"/>
  <c r="A3589" i="282"/>
  <c r="A3588" i="282"/>
  <c r="A3587" i="282"/>
  <c r="A3586" i="282"/>
  <c r="A3585" i="282"/>
  <c r="A3584" i="282"/>
  <c r="A3583" i="282"/>
  <c r="A3582" i="282"/>
  <c r="A3581" i="282"/>
  <c r="A3580" i="282"/>
  <c r="A3579" i="282"/>
  <c r="A3578" i="282"/>
  <c r="A3577" i="282"/>
  <c r="A3576" i="282"/>
  <c r="A3575" i="282"/>
  <c r="A3574" i="282"/>
  <c r="A3573" i="282"/>
  <c r="A3572" i="282"/>
  <c r="A3571" i="282"/>
  <c r="A3570" i="282"/>
  <c r="A3569" i="282"/>
  <c r="A3568" i="282"/>
  <c r="A3567" i="282"/>
  <c r="A3566" i="282"/>
  <c r="A3565" i="282"/>
  <c r="A3564" i="282"/>
  <c r="A3563" i="282"/>
  <c r="A3562" i="282"/>
  <c r="A3561" i="282"/>
  <c r="A3560" i="282"/>
  <c r="A3559" i="282"/>
  <c r="A3558" i="282"/>
  <c r="A3557" i="282"/>
  <c r="A3556" i="282"/>
  <c r="A3555" i="282"/>
  <c r="A3554" i="282"/>
  <c r="A3553" i="282"/>
  <c r="A3552" i="282"/>
  <c r="A3551" i="282"/>
  <c r="A3550" i="282"/>
  <c r="A3549" i="282"/>
  <c r="A3548" i="282"/>
  <c r="A3547" i="282"/>
  <c r="A3546" i="282"/>
  <c r="A3545" i="282"/>
  <c r="A3544" i="282"/>
  <c r="A3543" i="282"/>
  <c r="A3542" i="282"/>
  <c r="A3541" i="282"/>
  <c r="A3540" i="282"/>
  <c r="A3539" i="282"/>
  <c r="A3538" i="282"/>
  <c r="A3537" i="282"/>
  <c r="A3536" i="282"/>
  <c r="A3535" i="282"/>
  <c r="A3534" i="282"/>
  <c r="A3533" i="282"/>
  <c r="A3532" i="282"/>
  <c r="A3531" i="282"/>
  <c r="A3530" i="282"/>
  <c r="A3529" i="282"/>
  <c r="A3528" i="282"/>
  <c r="A3527" i="282"/>
  <c r="A3526" i="282"/>
  <c r="A3525" i="282"/>
  <c r="A3524" i="282"/>
  <c r="A3523" i="282"/>
  <c r="A3522" i="282"/>
  <c r="A3521" i="282"/>
  <c r="A3520" i="282"/>
  <c r="A3519" i="282"/>
  <c r="A3518" i="282"/>
  <c r="A3517" i="282"/>
  <c r="A3516" i="282"/>
  <c r="A3515" i="282"/>
  <c r="A3514" i="282"/>
  <c r="A3513" i="282"/>
  <c r="A3512" i="282"/>
  <c r="A3511" i="282"/>
  <c r="A3510" i="282"/>
  <c r="A3509" i="282"/>
  <c r="A3508" i="282"/>
  <c r="A3507" i="282"/>
  <c r="A3506" i="282"/>
  <c r="A3505" i="282"/>
  <c r="A3504" i="282"/>
  <c r="A3503" i="282"/>
  <c r="A3502" i="282"/>
  <c r="A3501" i="282"/>
  <c r="A3500" i="282"/>
  <c r="A3499" i="282"/>
  <c r="A3498" i="282"/>
  <c r="A3497" i="282"/>
  <c r="A3496" i="282"/>
  <c r="A3495" i="282"/>
  <c r="A3494" i="282"/>
  <c r="A3493" i="282"/>
  <c r="A3492" i="282"/>
  <c r="A3491" i="282"/>
  <c r="A3490" i="282"/>
  <c r="A3489" i="282"/>
  <c r="A3488" i="282"/>
  <c r="A3487" i="282"/>
  <c r="A3486" i="282"/>
  <c r="A3485" i="282"/>
  <c r="A3484" i="282"/>
  <c r="A3483" i="282"/>
  <c r="A3482" i="282"/>
  <c r="A3481" i="282"/>
  <c r="A3480" i="282"/>
  <c r="A3479" i="282"/>
  <c r="A3478" i="282"/>
  <c r="A3477" i="282"/>
  <c r="A3476" i="282"/>
  <c r="A3475" i="282"/>
  <c r="A3474" i="282"/>
  <c r="A3473" i="282"/>
  <c r="A3472" i="282"/>
  <c r="A3471" i="282"/>
  <c r="A3470" i="282"/>
  <c r="A3469" i="282"/>
  <c r="A3468" i="282"/>
  <c r="A3467" i="282"/>
  <c r="A3466" i="282"/>
  <c r="A3465" i="282"/>
  <c r="A3464" i="282"/>
  <c r="A3463" i="282"/>
  <c r="A3462" i="282"/>
  <c r="A3461" i="282"/>
  <c r="A3460" i="282"/>
  <c r="A3459" i="282"/>
  <c r="A3458" i="282"/>
  <c r="A3457" i="282"/>
  <c r="A3456" i="282"/>
  <c r="A3455" i="282"/>
  <c r="A3454" i="282"/>
  <c r="A3453" i="282"/>
  <c r="A3452" i="282"/>
  <c r="A3451" i="282"/>
  <c r="A3450" i="282"/>
  <c r="A3449" i="282"/>
  <c r="A3448" i="282"/>
  <c r="A3447" i="282"/>
  <c r="A3446" i="282"/>
  <c r="A3445" i="282"/>
  <c r="A3444" i="282"/>
  <c r="A3443" i="282"/>
  <c r="A3442" i="282"/>
  <c r="A3441" i="282"/>
  <c r="A3440" i="282"/>
  <c r="A3439" i="282"/>
  <c r="A3438" i="282"/>
  <c r="A3437" i="282"/>
  <c r="A3436" i="282"/>
  <c r="A3435" i="282"/>
  <c r="A3434" i="282"/>
  <c r="A3433" i="282"/>
  <c r="A3432" i="282"/>
  <c r="A3431" i="282"/>
  <c r="A3430" i="282"/>
  <c r="A3429" i="282"/>
  <c r="A3428" i="282"/>
  <c r="A3427" i="282"/>
  <c r="A3426" i="282"/>
  <c r="A3425" i="282"/>
  <c r="A3424" i="282"/>
  <c r="A3423" i="282"/>
  <c r="A3422" i="282"/>
  <c r="A3421" i="282"/>
  <c r="A3420" i="282"/>
  <c r="A3419" i="282"/>
  <c r="A3418" i="282"/>
  <c r="A3417" i="282"/>
  <c r="A3416" i="282"/>
  <c r="A3415" i="282"/>
  <c r="A3414" i="282"/>
  <c r="A3413" i="282"/>
  <c r="A3412" i="282"/>
  <c r="A3411" i="282"/>
  <c r="A3410" i="282"/>
  <c r="A3409" i="282"/>
  <c r="A3408" i="282"/>
  <c r="A3407" i="282"/>
  <c r="A3406" i="282"/>
  <c r="A3405" i="282"/>
  <c r="A3404" i="282"/>
  <c r="A3403" i="282"/>
  <c r="A3402" i="282"/>
  <c r="A3401" i="282"/>
  <c r="A3400" i="282"/>
  <c r="A3399" i="282"/>
  <c r="A3398" i="282"/>
  <c r="A3397" i="282"/>
  <c r="A3396" i="282"/>
  <c r="A3395" i="282"/>
  <c r="A3394" i="282"/>
  <c r="A3393" i="282"/>
  <c r="A3392" i="282"/>
  <c r="A3391" i="282"/>
  <c r="A3390" i="282"/>
  <c r="A3389" i="282"/>
  <c r="A3388" i="282"/>
  <c r="A3387" i="282"/>
  <c r="A3386" i="282"/>
  <c r="A3385" i="282"/>
  <c r="A3384" i="282"/>
  <c r="A3383" i="282"/>
  <c r="A3382" i="282"/>
  <c r="A3381" i="282"/>
  <c r="A3380" i="282"/>
  <c r="A3379" i="282"/>
  <c r="A3378" i="282"/>
  <c r="A3377" i="282"/>
  <c r="A3376" i="282"/>
  <c r="A3375" i="282"/>
  <c r="A3374" i="282"/>
  <c r="A3373" i="282"/>
  <c r="A3372" i="282"/>
  <c r="A3371" i="282"/>
  <c r="A3370" i="282"/>
  <c r="A3369" i="282"/>
  <c r="A3368" i="282"/>
  <c r="A3367" i="282"/>
  <c r="A3366" i="282"/>
  <c r="A3365" i="282"/>
  <c r="A3364" i="282"/>
  <c r="A3363" i="282"/>
  <c r="A3362" i="282"/>
  <c r="A3361" i="282"/>
  <c r="A3360" i="282"/>
  <c r="A3359" i="282"/>
  <c r="A3358" i="282"/>
  <c r="A3357" i="282"/>
  <c r="A3356" i="282"/>
  <c r="A3355" i="282"/>
  <c r="A3354" i="282"/>
  <c r="A3353" i="282"/>
  <c r="A3352" i="282"/>
  <c r="A3351" i="282"/>
  <c r="A3350" i="282"/>
  <c r="A3349" i="282"/>
  <c r="A3348" i="282"/>
  <c r="A3347" i="282"/>
  <c r="A3346" i="282"/>
  <c r="A3345" i="282"/>
  <c r="A3344" i="282"/>
  <c r="A3343" i="282"/>
  <c r="A3342" i="282"/>
  <c r="A3341" i="282"/>
  <c r="A3340" i="282"/>
  <c r="A3339" i="282"/>
  <c r="A3338" i="282"/>
  <c r="A3337" i="282"/>
  <c r="A3336" i="282"/>
  <c r="A3335" i="282"/>
  <c r="A3334" i="282"/>
  <c r="A3333" i="282"/>
  <c r="A3332" i="282"/>
  <c r="A3331" i="282"/>
  <c r="A3330" i="282"/>
  <c r="A3329" i="282"/>
  <c r="A3328" i="282"/>
  <c r="A3327" i="282"/>
  <c r="A3326" i="282"/>
  <c r="A3325" i="282"/>
  <c r="A3324" i="282"/>
  <c r="A3323" i="282"/>
  <c r="A3322" i="282"/>
  <c r="A3321" i="282"/>
  <c r="A3320" i="282"/>
  <c r="A3319" i="282"/>
  <c r="A3318" i="282"/>
  <c r="A3317" i="282"/>
  <c r="A3316" i="282"/>
  <c r="A3315" i="282"/>
  <c r="A3314" i="282"/>
  <c r="A3313" i="282"/>
  <c r="A3312" i="282"/>
  <c r="A3311" i="282"/>
  <c r="A3310" i="282"/>
  <c r="A3309" i="282"/>
  <c r="A3308" i="282"/>
  <c r="A3307" i="282"/>
  <c r="A3306" i="282"/>
  <c r="A3305" i="282"/>
  <c r="A3304" i="282"/>
  <c r="A3303" i="282"/>
  <c r="A3302" i="282"/>
  <c r="A3301" i="282"/>
  <c r="A3300" i="282"/>
  <c r="A3299" i="282"/>
  <c r="A3298" i="282"/>
  <c r="A3297" i="282"/>
  <c r="A3296" i="282"/>
  <c r="A3295" i="282"/>
  <c r="A3294" i="282"/>
  <c r="A3293" i="282"/>
  <c r="A3292" i="282"/>
  <c r="A3291" i="282"/>
  <c r="A3290" i="282"/>
  <c r="A3289" i="282"/>
  <c r="A3288" i="282"/>
  <c r="A3287" i="282"/>
  <c r="A3286" i="282"/>
  <c r="A3285" i="282"/>
  <c r="A3284" i="282"/>
  <c r="A3283" i="282"/>
  <c r="A3282" i="282"/>
  <c r="A3281" i="282"/>
  <c r="A3280" i="282"/>
  <c r="A3279" i="282"/>
  <c r="A3278" i="282"/>
  <c r="A3277" i="282"/>
  <c r="A3276" i="282"/>
  <c r="A3275" i="282"/>
  <c r="A3274" i="282"/>
  <c r="A3273" i="282"/>
  <c r="A3272" i="282"/>
  <c r="A3271" i="282"/>
  <c r="A3270" i="282"/>
  <c r="A3269" i="282"/>
  <c r="A3268" i="282"/>
  <c r="A3267" i="282"/>
  <c r="A3266" i="282"/>
  <c r="A3265" i="282"/>
  <c r="A3264" i="282"/>
  <c r="A3263" i="282"/>
  <c r="A3262" i="282"/>
  <c r="A3261" i="282"/>
  <c r="A3260" i="282"/>
  <c r="A3259" i="282"/>
  <c r="A3258" i="282"/>
  <c r="A3257" i="282"/>
  <c r="A3256" i="282"/>
  <c r="A3255" i="282"/>
  <c r="A3254" i="282"/>
  <c r="A3253" i="282"/>
  <c r="A3252" i="282"/>
  <c r="A3251" i="282"/>
  <c r="A3250" i="282"/>
  <c r="A3249" i="282"/>
  <c r="A3248" i="282"/>
  <c r="A3247" i="282"/>
  <c r="A3246" i="282"/>
  <c r="A3245" i="282"/>
  <c r="A3244" i="282"/>
  <c r="A3243" i="282"/>
  <c r="A3242" i="282"/>
  <c r="A3241" i="282"/>
  <c r="A3240" i="282"/>
  <c r="A3239" i="282"/>
  <c r="A3238" i="282"/>
  <c r="A3237" i="282"/>
  <c r="A3236" i="282"/>
  <c r="A3235" i="282"/>
  <c r="A3234" i="282"/>
  <c r="A3233" i="282"/>
  <c r="A3232" i="282"/>
  <c r="A3231" i="282"/>
  <c r="A3230" i="282"/>
  <c r="A3229" i="282"/>
  <c r="A3228" i="282"/>
  <c r="A3227" i="282"/>
  <c r="A3226" i="282"/>
  <c r="A3225" i="282"/>
  <c r="A3224" i="282"/>
  <c r="A3223" i="282"/>
  <c r="A3222" i="282"/>
  <c r="A3221" i="282"/>
  <c r="A3220" i="282"/>
  <c r="A3219" i="282"/>
  <c r="A3218" i="282"/>
  <c r="A3217" i="282"/>
  <c r="A3216" i="282"/>
  <c r="A3215" i="282"/>
  <c r="A3214" i="282"/>
  <c r="A3213" i="282"/>
  <c r="A3212" i="282"/>
  <c r="A3211" i="282"/>
  <c r="A3210" i="282"/>
  <c r="A3209" i="282"/>
  <c r="A3208" i="282"/>
  <c r="A3207" i="282"/>
  <c r="A3206" i="282"/>
  <c r="A3205" i="282"/>
  <c r="A3204" i="282"/>
  <c r="A3203" i="282"/>
  <c r="A3202" i="282"/>
  <c r="A3201" i="282"/>
  <c r="A3200" i="282"/>
  <c r="A3199" i="282"/>
  <c r="A3198" i="282"/>
  <c r="A3197" i="282"/>
  <c r="A3196" i="282"/>
  <c r="A3195" i="282"/>
  <c r="A3194" i="282"/>
  <c r="A3193" i="282"/>
  <c r="A3192" i="282"/>
  <c r="A3191" i="282"/>
  <c r="A3190" i="282"/>
  <c r="A3189" i="282"/>
  <c r="A3188" i="282"/>
  <c r="A3187" i="282"/>
  <c r="A3186" i="282"/>
  <c r="A3185" i="282"/>
  <c r="A3184" i="282"/>
  <c r="A3183" i="282"/>
  <c r="A3182" i="282"/>
  <c r="A3181" i="282"/>
  <c r="A3180" i="282"/>
  <c r="A3179" i="282"/>
  <c r="A3178" i="282"/>
  <c r="A3177" i="282"/>
  <c r="A3176" i="282"/>
  <c r="A3175" i="282"/>
  <c r="A3174" i="282"/>
  <c r="A3173" i="282"/>
  <c r="A3172" i="282"/>
  <c r="A3171" i="282"/>
  <c r="A3170" i="282"/>
  <c r="A3169" i="282"/>
  <c r="A3168" i="282"/>
  <c r="A3167" i="282"/>
  <c r="A3166" i="282"/>
  <c r="A3165" i="282"/>
  <c r="A3164" i="282"/>
  <c r="A3163" i="282"/>
  <c r="A3162" i="282"/>
  <c r="A3161" i="282"/>
  <c r="A3160" i="282"/>
  <c r="A3159" i="282"/>
  <c r="A3158" i="282"/>
  <c r="A3157" i="282"/>
  <c r="A3156" i="282"/>
  <c r="A3155" i="282"/>
  <c r="A3154" i="282"/>
  <c r="A3153" i="282"/>
  <c r="A3152" i="282"/>
  <c r="A3151" i="282"/>
  <c r="A3150" i="282"/>
  <c r="A3149" i="282"/>
  <c r="A3148" i="282"/>
  <c r="A3147" i="282"/>
  <c r="A3146" i="282"/>
  <c r="A3145" i="282"/>
  <c r="A3144" i="282"/>
  <c r="A3143" i="282"/>
  <c r="A3142" i="282"/>
  <c r="A3141" i="282"/>
  <c r="A3140" i="282"/>
  <c r="A3139" i="282"/>
  <c r="A3138" i="282"/>
  <c r="A3137" i="282"/>
  <c r="A3136" i="282"/>
  <c r="A3135" i="282"/>
  <c r="A3134" i="282"/>
  <c r="A3133" i="282"/>
  <c r="A3132" i="282"/>
  <c r="A3131" i="282"/>
  <c r="A3130" i="282"/>
  <c r="A3129" i="282"/>
  <c r="A3128" i="282"/>
  <c r="A3127" i="282"/>
  <c r="A3126" i="282"/>
  <c r="A3125" i="282"/>
  <c r="A3124" i="282"/>
  <c r="A3123" i="282"/>
  <c r="A3122" i="282"/>
  <c r="A3121" i="282"/>
  <c r="A3120" i="282"/>
  <c r="A3119" i="282"/>
  <c r="A3118" i="282"/>
  <c r="A3117" i="282"/>
  <c r="A3116" i="282"/>
  <c r="A3115" i="282"/>
  <c r="A3114" i="282"/>
  <c r="A3113" i="282"/>
  <c r="A3112" i="282"/>
  <c r="A3111" i="282"/>
  <c r="A3110" i="282"/>
  <c r="A3109" i="282"/>
  <c r="A3108" i="282"/>
  <c r="A3107" i="282"/>
  <c r="A3106" i="282"/>
  <c r="A3105" i="282"/>
  <c r="A3104" i="282"/>
  <c r="A3103" i="282"/>
  <c r="A3102" i="282"/>
  <c r="A3101" i="282"/>
  <c r="A3100" i="282"/>
  <c r="A3099" i="282"/>
  <c r="A3098" i="282"/>
  <c r="A3097" i="282"/>
  <c r="A3096" i="282"/>
  <c r="A3095" i="282"/>
  <c r="A3094" i="282"/>
  <c r="A3093" i="282"/>
  <c r="A3092" i="282"/>
  <c r="A3091" i="282"/>
  <c r="A3090" i="282"/>
  <c r="A3089" i="282"/>
  <c r="A3088" i="282"/>
  <c r="A3087" i="282"/>
  <c r="A3086" i="282"/>
  <c r="A3085" i="282"/>
  <c r="A3084" i="282"/>
  <c r="A3083" i="282"/>
  <c r="A3082" i="282"/>
  <c r="A3081" i="282"/>
  <c r="A3080" i="282"/>
  <c r="A3079" i="282"/>
  <c r="A3078" i="282"/>
  <c r="A3077" i="282"/>
  <c r="A3076" i="282"/>
  <c r="A3075" i="282"/>
  <c r="A3074" i="282"/>
  <c r="A3073" i="282"/>
  <c r="A3072" i="282"/>
  <c r="A3071" i="282"/>
  <c r="A3070" i="282"/>
  <c r="A3069" i="282"/>
  <c r="A3068" i="282"/>
  <c r="A3067" i="282"/>
  <c r="A3066" i="282"/>
  <c r="A3065" i="282"/>
  <c r="A3064" i="282"/>
  <c r="A3063" i="282"/>
  <c r="A3062" i="282"/>
  <c r="A3061" i="282"/>
  <c r="A3060" i="282"/>
  <c r="A3059" i="282"/>
  <c r="A3058" i="282"/>
  <c r="A3057" i="282"/>
  <c r="A3056" i="282"/>
  <c r="A3055" i="282"/>
  <c r="A3054" i="282"/>
  <c r="A3053" i="282"/>
  <c r="A3052" i="282"/>
  <c r="A3051" i="282"/>
  <c r="A3050" i="282"/>
  <c r="A3049" i="282"/>
  <c r="A3048" i="282"/>
  <c r="A3047" i="282"/>
  <c r="A3046" i="282"/>
  <c r="A3045" i="282"/>
  <c r="A3044" i="282"/>
  <c r="A3043" i="282"/>
  <c r="A3042" i="282"/>
  <c r="A3041" i="282"/>
  <c r="A3040" i="282"/>
  <c r="A3039" i="282"/>
  <c r="A3038" i="282"/>
  <c r="A3037" i="282"/>
  <c r="A3036" i="282"/>
  <c r="A3035" i="282"/>
  <c r="A3034" i="282"/>
  <c r="A3033" i="282"/>
  <c r="A3032" i="282"/>
  <c r="A3031" i="282"/>
  <c r="A3030" i="282"/>
  <c r="A3029" i="282"/>
  <c r="A3028" i="282"/>
  <c r="A3027" i="282"/>
  <c r="A3026" i="282"/>
  <c r="A3025" i="282"/>
  <c r="A3024" i="282"/>
  <c r="A3023" i="282"/>
  <c r="A3022" i="282"/>
  <c r="A3021" i="282"/>
  <c r="A3020" i="282"/>
  <c r="A3019" i="282"/>
  <c r="A3018" i="282"/>
  <c r="A3017" i="282"/>
  <c r="A3016" i="282"/>
  <c r="A3015" i="282"/>
  <c r="A3014" i="282"/>
  <c r="A3013" i="282"/>
  <c r="A3012" i="282"/>
  <c r="A3011" i="282"/>
  <c r="A3010" i="282"/>
  <c r="A3009" i="282"/>
  <c r="A3008" i="282"/>
  <c r="A3007" i="282"/>
  <c r="A3006" i="282"/>
  <c r="A3005" i="282"/>
  <c r="A3004" i="282"/>
  <c r="A3003" i="282"/>
  <c r="A3002" i="282"/>
  <c r="A3001" i="282"/>
  <c r="A3000" i="282"/>
  <c r="A2999" i="282"/>
  <c r="A2998" i="282"/>
  <c r="A2997" i="282"/>
  <c r="A2996" i="282"/>
  <c r="A2995" i="282"/>
  <c r="A2994" i="282"/>
  <c r="A2993" i="282"/>
  <c r="A2992" i="282"/>
  <c r="A2991" i="282"/>
  <c r="A2990" i="282"/>
  <c r="A2989" i="282"/>
  <c r="A2988" i="282"/>
  <c r="A2987" i="282"/>
  <c r="A2986" i="282"/>
  <c r="A2985" i="282"/>
  <c r="A2984" i="282"/>
  <c r="A2983" i="282"/>
  <c r="A2982" i="282"/>
  <c r="A2981" i="282"/>
  <c r="A2980" i="282"/>
  <c r="A2979" i="282"/>
  <c r="A2978" i="282"/>
  <c r="A2977" i="282"/>
  <c r="A2976" i="282"/>
  <c r="A2975" i="282"/>
  <c r="A2974" i="282"/>
  <c r="A2973" i="282"/>
  <c r="A2972" i="282"/>
  <c r="A2971" i="282"/>
  <c r="A2970" i="282"/>
  <c r="A2969" i="282"/>
  <c r="A2968" i="282"/>
  <c r="A2967" i="282"/>
  <c r="A2966" i="282"/>
  <c r="A2965" i="282"/>
  <c r="A2964" i="282"/>
  <c r="A2963" i="282"/>
  <c r="A2962" i="282"/>
  <c r="A2961" i="282"/>
  <c r="A2960" i="282"/>
  <c r="A2959" i="282"/>
  <c r="A2958" i="282"/>
  <c r="A2957" i="282"/>
  <c r="A2956" i="282"/>
  <c r="A2955" i="282"/>
  <c r="A2954" i="282"/>
  <c r="A2953" i="282"/>
  <c r="A2952" i="282"/>
  <c r="A2951" i="282"/>
  <c r="A2950" i="282"/>
  <c r="A2949" i="282"/>
  <c r="A2948" i="282"/>
  <c r="A2947" i="282"/>
  <c r="A2946" i="282"/>
  <c r="A2945" i="282"/>
  <c r="A2944" i="282"/>
  <c r="A2943" i="282"/>
  <c r="A2942" i="282"/>
  <c r="A2941" i="282"/>
  <c r="A2940" i="282"/>
  <c r="A2939" i="282"/>
  <c r="A2938" i="282"/>
  <c r="A2937" i="282"/>
  <c r="A2936" i="282"/>
  <c r="A2935" i="282"/>
  <c r="A2934" i="282"/>
  <c r="A2933" i="282"/>
  <c r="A2932" i="282"/>
  <c r="A2931" i="282"/>
  <c r="A2930" i="282"/>
  <c r="A2929" i="282"/>
  <c r="A2928" i="282"/>
  <c r="A2927" i="282"/>
  <c r="A2926" i="282"/>
  <c r="A2925" i="282"/>
  <c r="A2924" i="282"/>
  <c r="A2923" i="282"/>
  <c r="A2922" i="282"/>
  <c r="A2921" i="282"/>
  <c r="A2920" i="282"/>
  <c r="A2919" i="282"/>
  <c r="A2918" i="282"/>
  <c r="A2917" i="282"/>
  <c r="A2916" i="282"/>
  <c r="A2915" i="282"/>
  <c r="A2914" i="282"/>
  <c r="A2913" i="282"/>
  <c r="A2912" i="282"/>
  <c r="A2911" i="282"/>
  <c r="A2910" i="282"/>
  <c r="A2909" i="282"/>
  <c r="A2908" i="282"/>
  <c r="A2907" i="282"/>
  <c r="A2906" i="282"/>
  <c r="A2905" i="282"/>
  <c r="A2904" i="282"/>
  <c r="A2903" i="282"/>
  <c r="A2902" i="282"/>
  <c r="A2901" i="282"/>
  <c r="A2900" i="282"/>
  <c r="A2899" i="282"/>
  <c r="A2898" i="282"/>
  <c r="A2897" i="282"/>
  <c r="A2896" i="282"/>
  <c r="A2895" i="282"/>
  <c r="A2894" i="282"/>
  <c r="A2893" i="282"/>
  <c r="A2892" i="282"/>
  <c r="A2891" i="282"/>
  <c r="A2890" i="282"/>
  <c r="A2889" i="282"/>
  <c r="A2888" i="282"/>
  <c r="A2887" i="282"/>
  <c r="A2886" i="282"/>
  <c r="A2885" i="282"/>
  <c r="A2884" i="282"/>
  <c r="A2883" i="282"/>
  <c r="A2882" i="282"/>
  <c r="A2881" i="282"/>
  <c r="A2880" i="282"/>
  <c r="A2879" i="282"/>
  <c r="A2878" i="282"/>
  <c r="A2877" i="282"/>
  <c r="A2876" i="282"/>
  <c r="A2875" i="282"/>
  <c r="A2874" i="282"/>
  <c r="A2873" i="282"/>
  <c r="A2872" i="282"/>
  <c r="A2871" i="282"/>
  <c r="A2870" i="282"/>
  <c r="A2869" i="282"/>
  <c r="A2868" i="282"/>
  <c r="A2867" i="282"/>
  <c r="A2866" i="282"/>
  <c r="A2865" i="282"/>
  <c r="A2864" i="282"/>
  <c r="A2863" i="282"/>
  <c r="A2862" i="282"/>
  <c r="A2861" i="282"/>
  <c r="A2860" i="282"/>
  <c r="A2859" i="282"/>
  <c r="A2858" i="282"/>
  <c r="A2857" i="282"/>
  <c r="A2856" i="282"/>
  <c r="A2855" i="282"/>
  <c r="A2854" i="282"/>
  <c r="A2853" i="282"/>
  <c r="A2852" i="282"/>
  <c r="A2851" i="282"/>
  <c r="A2850" i="282"/>
  <c r="A2849" i="282"/>
  <c r="A2848" i="282"/>
  <c r="A2847" i="282"/>
  <c r="A2846" i="282"/>
  <c r="A2845" i="282"/>
  <c r="A2844" i="282"/>
  <c r="A2843" i="282"/>
  <c r="A2842" i="282"/>
  <c r="A2841" i="282"/>
  <c r="A2840" i="282"/>
  <c r="A2839" i="282"/>
  <c r="A2838" i="282"/>
  <c r="A2837" i="282"/>
  <c r="A2836" i="282"/>
  <c r="A2835" i="282"/>
  <c r="A2834" i="282"/>
  <c r="A2833" i="282"/>
  <c r="A2832" i="282"/>
  <c r="A2831" i="282"/>
  <c r="A2830" i="282"/>
  <c r="A2829" i="282"/>
  <c r="A2828" i="282"/>
  <c r="A2827" i="282"/>
  <c r="A2826" i="282"/>
  <c r="A2825" i="282"/>
  <c r="A2824" i="282"/>
  <c r="A2823" i="282"/>
  <c r="A2822" i="282"/>
  <c r="A2821" i="282"/>
  <c r="A2820" i="282"/>
  <c r="A2819" i="282"/>
  <c r="A2818" i="282"/>
  <c r="A2817" i="282"/>
  <c r="A2816" i="282"/>
  <c r="A2815" i="282"/>
  <c r="A2814" i="282"/>
  <c r="A2813" i="282"/>
  <c r="A2812" i="282"/>
  <c r="A2811" i="282"/>
  <c r="A2810" i="282"/>
  <c r="A2809" i="282"/>
  <c r="A2808" i="282"/>
  <c r="A2807" i="282"/>
  <c r="A2806" i="282"/>
  <c r="A2805" i="282"/>
  <c r="A2804" i="282"/>
  <c r="A2803" i="282"/>
  <c r="A2802" i="282"/>
  <c r="A2801" i="282"/>
  <c r="A2800" i="282"/>
  <c r="A2799" i="282"/>
  <c r="A2798" i="282"/>
  <c r="A2797" i="282"/>
  <c r="A2796" i="282"/>
  <c r="A2795" i="282"/>
  <c r="A2794" i="282"/>
  <c r="A2793" i="282"/>
  <c r="A2792" i="282"/>
  <c r="A2791" i="282"/>
  <c r="A2790" i="282"/>
  <c r="A2789" i="282"/>
  <c r="A2788" i="282"/>
  <c r="A2787" i="282"/>
  <c r="A2786" i="282"/>
  <c r="A2785" i="282"/>
  <c r="A2784" i="282"/>
  <c r="A2783" i="282"/>
  <c r="A2782" i="282"/>
  <c r="A2781" i="282"/>
  <c r="A2780" i="282"/>
  <c r="A2779" i="282"/>
  <c r="A2778" i="282"/>
  <c r="A2777" i="282"/>
  <c r="A2776" i="282"/>
  <c r="A2775" i="282"/>
  <c r="A2774" i="282"/>
  <c r="A2773" i="282"/>
  <c r="A2772" i="282"/>
  <c r="A2771" i="282"/>
  <c r="A2770" i="282"/>
  <c r="A2769" i="282"/>
  <c r="A2768" i="282"/>
  <c r="A2767" i="282"/>
  <c r="A2766" i="282"/>
  <c r="A2765" i="282"/>
  <c r="A2764" i="282"/>
  <c r="A2763" i="282"/>
  <c r="A2762" i="282"/>
  <c r="A2761" i="282"/>
  <c r="A2760" i="282"/>
  <c r="A2759" i="282"/>
  <c r="A2758" i="282"/>
  <c r="A2757" i="282"/>
  <c r="A2756" i="282"/>
  <c r="A2755" i="282"/>
  <c r="A2754" i="282"/>
  <c r="A2753" i="282"/>
  <c r="A2752" i="282"/>
  <c r="A2751" i="282"/>
  <c r="A2750" i="282"/>
  <c r="A2749" i="282"/>
  <c r="A2748" i="282"/>
  <c r="A2747" i="282"/>
  <c r="A2746" i="282"/>
  <c r="A2745" i="282"/>
  <c r="A2744" i="282"/>
  <c r="A2743" i="282"/>
  <c r="A2742" i="282"/>
  <c r="A2741" i="282"/>
  <c r="A2740" i="282"/>
  <c r="A2739" i="282"/>
  <c r="A2738" i="282"/>
  <c r="A2737" i="282"/>
  <c r="A2736" i="282"/>
  <c r="A2735" i="282"/>
  <c r="A2734" i="282"/>
  <c r="A2733" i="282"/>
  <c r="A2732" i="282"/>
  <c r="A2731" i="282"/>
  <c r="A2730" i="282"/>
  <c r="A2729" i="282"/>
  <c r="A2728" i="282"/>
  <c r="A2727" i="282"/>
  <c r="A2726" i="282"/>
  <c r="A2725" i="282"/>
  <c r="A2724" i="282"/>
  <c r="A2723" i="282"/>
  <c r="A2722" i="282"/>
  <c r="A2721" i="282"/>
  <c r="A2720" i="282"/>
  <c r="A2719" i="282"/>
  <c r="A2718" i="282"/>
  <c r="A2717" i="282"/>
  <c r="A2716" i="282"/>
  <c r="A2715" i="282"/>
  <c r="A2714" i="282"/>
  <c r="A2713" i="282"/>
  <c r="A2712" i="282"/>
  <c r="A2711" i="282"/>
  <c r="A2710" i="282"/>
  <c r="A2709" i="282"/>
  <c r="A2708" i="282"/>
  <c r="A2707" i="282"/>
  <c r="A2706" i="282"/>
  <c r="A2705" i="282"/>
  <c r="A2704" i="282"/>
  <c r="A2703" i="282"/>
  <c r="A2702" i="282"/>
  <c r="A2701" i="282"/>
  <c r="A2700" i="282"/>
  <c r="A2699" i="282"/>
  <c r="A2698" i="282"/>
  <c r="A2697" i="282"/>
  <c r="A2696" i="282"/>
  <c r="A2695" i="282"/>
  <c r="A2694" i="282"/>
  <c r="A2693" i="282"/>
  <c r="A2692" i="282"/>
  <c r="A2691" i="282"/>
  <c r="A2690" i="282"/>
  <c r="A2689" i="282"/>
  <c r="A2688" i="282"/>
  <c r="A2687" i="282"/>
  <c r="A2686" i="282"/>
  <c r="A2685" i="282"/>
  <c r="A2684" i="282"/>
  <c r="A2683" i="282"/>
  <c r="A2682" i="282"/>
  <c r="A2681" i="282"/>
  <c r="A2680" i="282"/>
  <c r="A2679" i="282"/>
  <c r="A2678" i="282"/>
  <c r="A2677" i="282"/>
  <c r="A2676" i="282"/>
  <c r="A2675" i="282"/>
  <c r="A2674" i="282"/>
  <c r="A2673" i="282"/>
  <c r="A2672" i="282"/>
  <c r="A2671" i="282"/>
  <c r="A2670" i="282"/>
  <c r="A2669" i="282"/>
  <c r="A2668" i="282"/>
  <c r="A2667" i="282"/>
  <c r="A2666" i="282"/>
  <c r="A2665" i="282"/>
  <c r="A2664" i="282"/>
  <c r="A2663" i="282"/>
  <c r="A2662" i="282"/>
  <c r="A2661" i="282"/>
  <c r="A2660" i="282"/>
  <c r="A2659" i="282"/>
  <c r="A2658" i="282"/>
  <c r="A2657" i="282"/>
  <c r="A2656" i="282"/>
  <c r="A2655" i="282"/>
  <c r="A2654" i="282"/>
  <c r="A2653" i="282"/>
  <c r="A2652" i="282"/>
  <c r="A2651" i="282"/>
  <c r="A2650" i="282"/>
  <c r="A2649" i="282"/>
  <c r="A2648" i="282"/>
  <c r="A2647" i="282"/>
  <c r="A2646" i="282"/>
  <c r="A2645" i="282"/>
  <c r="A2644" i="282"/>
  <c r="A2643" i="282"/>
  <c r="A2642" i="282"/>
  <c r="A2641" i="282"/>
  <c r="A2640" i="282"/>
  <c r="A2639" i="282"/>
  <c r="A2638" i="282"/>
  <c r="A2637" i="282"/>
  <c r="A2636" i="282"/>
  <c r="A2635" i="282"/>
  <c r="A2634" i="282"/>
  <c r="A2633" i="282"/>
  <c r="A2632" i="282"/>
  <c r="A2631" i="282"/>
  <c r="A2630" i="282"/>
  <c r="A2629" i="282"/>
  <c r="A2628" i="282"/>
  <c r="A2627" i="282"/>
  <c r="A2626" i="282"/>
  <c r="A2625" i="282"/>
  <c r="A2624" i="282"/>
  <c r="A2623" i="282"/>
  <c r="A2622" i="282"/>
  <c r="A2621" i="282"/>
  <c r="A2620" i="282"/>
  <c r="A2619" i="282"/>
  <c r="A2618" i="282"/>
  <c r="A2617" i="282"/>
  <c r="A2616" i="282"/>
  <c r="A2615" i="282"/>
  <c r="A2614" i="282"/>
  <c r="A2613" i="282"/>
  <c r="A2612" i="282"/>
  <c r="A2611" i="282"/>
  <c r="A2610" i="282"/>
  <c r="A2609" i="282"/>
  <c r="A2608" i="282"/>
  <c r="A2607" i="282"/>
  <c r="A2606" i="282"/>
  <c r="A2605" i="282"/>
  <c r="A2604" i="282"/>
  <c r="A2603" i="282"/>
  <c r="A2602" i="282"/>
  <c r="A2601" i="282"/>
  <c r="A2600" i="282"/>
  <c r="A2599" i="282"/>
  <c r="A2598" i="282"/>
  <c r="A2597" i="282"/>
  <c r="A2596" i="282"/>
  <c r="A2595" i="282"/>
  <c r="A2594" i="282"/>
  <c r="A2593" i="282"/>
  <c r="A2592" i="282"/>
  <c r="A2591" i="282"/>
  <c r="A2590" i="282"/>
  <c r="A2589" i="282"/>
  <c r="A2588" i="282"/>
  <c r="A2587" i="282"/>
  <c r="A2586" i="282"/>
  <c r="A2585" i="282"/>
  <c r="A2584" i="282"/>
  <c r="A2583" i="282"/>
  <c r="A2582" i="282"/>
  <c r="A2581" i="282"/>
  <c r="A2580" i="282"/>
  <c r="A2579" i="282"/>
  <c r="A2578" i="282"/>
  <c r="A2577" i="282"/>
  <c r="A2576" i="282"/>
  <c r="A2575" i="282"/>
  <c r="A2574" i="282"/>
  <c r="A2573" i="282"/>
  <c r="A2572" i="282"/>
  <c r="A2571" i="282"/>
  <c r="A2570" i="282"/>
  <c r="A2569" i="282"/>
  <c r="A2568" i="282"/>
  <c r="A2567" i="282"/>
  <c r="A2566" i="282"/>
  <c r="A2565" i="282"/>
  <c r="A2564" i="282"/>
  <c r="A2563" i="282"/>
  <c r="A2562" i="282"/>
  <c r="A2561" i="282"/>
  <c r="A2560" i="282"/>
  <c r="A2559" i="282"/>
  <c r="A2558" i="282"/>
  <c r="A2557" i="282"/>
  <c r="A2556" i="282"/>
  <c r="A2555" i="282"/>
  <c r="A2554" i="282"/>
  <c r="A2553" i="282"/>
  <c r="A2552" i="282"/>
  <c r="A2551" i="282"/>
  <c r="A2550" i="282"/>
  <c r="A2549" i="282"/>
  <c r="A2548" i="282"/>
  <c r="A2547" i="282"/>
  <c r="A2546" i="282"/>
  <c r="A2545" i="282"/>
  <c r="A2544" i="282"/>
  <c r="A2543" i="282"/>
  <c r="A2542" i="282"/>
  <c r="A2541" i="282"/>
  <c r="A2540" i="282"/>
  <c r="A2539" i="282"/>
  <c r="A2538" i="282"/>
  <c r="A2537" i="282"/>
  <c r="A2536" i="282"/>
  <c r="A2535" i="282"/>
  <c r="A2534" i="282"/>
  <c r="A2533" i="282"/>
  <c r="A2532" i="282"/>
  <c r="A2531" i="282"/>
  <c r="A2530" i="282"/>
  <c r="A2529" i="282"/>
  <c r="A2528" i="282"/>
  <c r="A2527" i="282"/>
  <c r="A2526" i="282"/>
  <c r="A2525" i="282"/>
  <c r="A2524" i="282"/>
  <c r="A2523" i="282"/>
  <c r="A2522" i="282"/>
  <c r="A2521" i="282"/>
  <c r="A2520" i="282"/>
  <c r="A2519" i="282"/>
  <c r="A2518" i="282"/>
  <c r="A2517" i="282"/>
  <c r="A2516" i="282"/>
  <c r="A2515" i="282"/>
  <c r="A2514" i="282"/>
  <c r="A2513" i="282"/>
  <c r="A2512" i="282"/>
  <c r="A2511" i="282"/>
  <c r="A2510" i="282"/>
  <c r="A2509" i="282"/>
  <c r="A2508" i="282"/>
  <c r="A2507" i="282"/>
  <c r="A2506" i="282"/>
  <c r="A2505" i="282"/>
  <c r="A2504" i="282"/>
  <c r="A2503" i="282"/>
  <c r="A2502" i="282"/>
  <c r="A2501" i="282"/>
  <c r="A2500" i="282"/>
  <c r="A2499" i="282"/>
  <c r="A2498" i="282"/>
  <c r="A2497" i="282"/>
  <c r="A2496" i="282"/>
  <c r="A2495" i="282"/>
  <c r="A2494" i="282"/>
  <c r="A2493" i="282"/>
  <c r="A2492" i="282"/>
  <c r="A2491" i="282"/>
  <c r="A2490" i="282"/>
  <c r="A2489" i="282"/>
  <c r="A2488" i="282"/>
  <c r="A2487" i="282"/>
  <c r="A2486" i="282"/>
  <c r="A2485" i="282"/>
  <c r="A2484" i="282"/>
  <c r="A2483" i="282"/>
  <c r="A2482" i="282"/>
  <c r="A2481" i="282"/>
  <c r="A2480" i="282"/>
  <c r="A2479" i="282"/>
  <c r="A2478" i="282"/>
  <c r="A2477" i="282"/>
  <c r="A2476" i="282"/>
  <c r="A2475" i="282"/>
  <c r="A2474" i="282"/>
  <c r="A2473" i="282"/>
  <c r="A2472" i="282"/>
  <c r="A2471" i="282"/>
  <c r="A2470" i="282"/>
  <c r="A2469" i="282"/>
  <c r="A2468" i="282"/>
  <c r="A2467" i="282"/>
  <c r="A2466" i="282"/>
  <c r="A2465" i="282"/>
  <c r="A2464" i="282"/>
  <c r="A2463" i="282"/>
  <c r="A2462" i="282"/>
  <c r="A2461" i="282"/>
  <c r="A2460" i="282"/>
  <c r="A2459" i="282"/>
  <c r="A2458" i="282"/>
  <c r="A2457" i="282"/>
  <c r="A2456" i="282"/>
  <c r="A2455" i="282"/>
  <c r="A2454" i="282"/>
  <c r="A2453" i="282"/>
  <c r="A2452" i="282"/>
  <c r="A2451" i="282"/>
  <c r="A2450" i="282"/>
  <c r="A2449" i="282"/>
  <c r="A2448" i="282"/>
  <c r="A2447" i="282"/>
  <c r="A2446" i="282"/>
  <c r="A2445" i="282"/>
  <c r="A2444" i="282"/>
  <c r="A2443" i="282"/>
  <c r="A2442" i="282"/>
  <c r="A2441" i="282"/>
  <c r="A2440" i="282"/>
  <c r="A2439" i="282"/>
  <c r="A2438" i="282"/>
  <c r="A2437" i="282"/>
  <c r="A2436" i="282"/>
  <c r="A2435" i="282"/>
  <c r="A2434" i="282"/>
  <c r="A2433" i="282"/>
  <c r="A2432" i="282"/>
  <c r="A2431" i="282"/>
  <c r="A2430" i="282"/>
  <c r="A2429" i="282"/>
  <c r="A2428" i="282"/>
  <c r="A2427" i="282"/>
  <c r="A2426" i="282"/>
  <c r="A2425" i="282"/>
  <c r="A2424" i="282"/>
  <c r="A2423" i="282"/>
  <c r="A2422" i="282"/>
  <c r="A2421" i="282"/>
  <c r="A2420" i="282"/>
  <c r="A2419" i="282"/>
  <c r="A2418" i="282"/>
  <c r="A2417" i="282"/>
  <c r="A2416" i="282"/>
  <c r="A2415" i="282"/>
  <c r="A2414" i="282"/>
  <c r="A2413" i="282"/>
  <c r="A2412" i="282"/>
  <c r="A2411" i="282"/>
  <c r="A2410" i="282"/>
  <c r="A2409" i="282"/>
  <c r="A2408" i="282"/>
  <c r="A2407" i="282"/>
  <c r="A2406" i="282"/>
  <c r="A2405" i="282"/>
  <c r="A2404" i="282"/>
  <c r="A2403" i="282"/>
  <c r="A2402" i="282"/>
  <c r="A2401" i="282"/>
  <c r="A2400" i="282"/>
  <c r="A2399" i="282"/>
  <c r="A2398" i="282"/>
  <c r="A2397" i="282"/>
  <c r="A2396" i="282"/>
  <c r="A2395" i="282"/>
  <c r="A2394" i="282"/>
  <c r="A2393" i="282"/>
  <c r="A2392" i="282"/>
  <c r="A2391" i="282"/>
  <c r="A2390" i="282"/>
  <c r="A2389" i="282"/>
  <c r="A2388" i="282"/>
  <c r="A2387" i="282"/>
  <c r="A2386" i="282"/>
  <c r="A2385" i="282"/>
  <c r="A2384" i="282"/>
  <c r="A2383" i="282"/>
  <c r="A2382" i="282"/>
  <c r="A2381" i="282"/>
  <c r="A2380" i="282"/>
  <c r="A2379" i="282"/>
  <c r="A2378" i="282"/>
  <c r="A2377" i="282"/>
  <c r="A2376" i="282"/>
  <c r="A2375" i="282"/>
  <c r="A2374" i="282"/>
  <c r="A2373" i="282"/>
  <c r="A2372" i="282"/>
  <c r="A2371" i="282"/>
  <c r="A2370" i="282"/>
  <c r="A2369" i="282"/>
  <c r="A2368" i="282"/>
  <c r="A2367" i="282"/>
  <c r="A2366" i="282"/>
  <c r="A2365" i="282"/>
  <c r="A2364" i="282"/>
  <c r="A2363" i="282"/>
  <c r="A2362" i="282"/>
  <c r="A2361" i="282"/>
  <c r="A2360" i="282"/>
  <c r="A2359" i="282"/>
  <c r="A2358" i="282"/>
  <c r="A2357" i="282"/>
  <c r="A2356" i="282"/>
  <c r="A2355" i="282"/>
  <c r="A2354" i="282"/>
  <c r="A2353" i="282"/>
  <c r="A2352" i="282"/>
  <c r="A2351" i="282"/>
  <c r="A2350" i="282"/>
  <c r="A2349" i="282"/>
  <c r="A2348" i="282"/>
  <c r="A2347" i="282"/>
  <c r="A2346" i="282"/>
  <c r="A2345" i="282"/>
  <c r="A2344" i="282"/>
  <c r="A2343" i="282"/>
  <c r="A2342" i="282"/>
  <c r="A2341" i="282"/>
  <c r="A2340" i="282"/>
  <c r="A2339" i="282"/>
  <c r="A2338" i="282"/>
  <c r="A2337" i="282"/>
  <c r="A2336" i="282"/>
  <c r="A2335" i="282"/>
  <c r="A2334" i="282"/>
  <c r="A2333" i="282"/>
  <c r="A2332" i="282"/>
  <c r="A2331" i="282"/>
  <c r="A2330" i="282"/>
  <c r="A2329" i="282"/>
  <c r="A2328" i="282"/>
  <c r="A2327" i="282"/>
  <c r="A2326" i="282"/>
  <c r="A2325" i="282"/>
  <c r="A2324" i="282"/>
  <c r="A2323" i="282"/>
  <c r="A2322" i="282"/>
  <c r="A2321" i="282"/>
  <c r="A2320" i="282"/>
  <c r="A2319" i="282"/>
  <c r="A2318" i="282"/>
  <c r="A2317" i="282"/>
  <c r="A2316" i="282"/>
  <c r="A2315" i="282"/>
  <c r="A2314" i="282"/>
  <c r="A2313" i="282"/>
  <c r="A2312" i="282"/>
  <c r="A2311" i="282"/>
  <c r="A2310" i="282"/>
  <c r="A2309" i="282"/>
  <c r="A2308" i="282"/>
  <c r="A2307" i="282"/>
  <c r="A2306" i="282"/>
  <c r="A2305" i="282"/>
  <c r="A2304" i="282"/>
  <c r="A2303" i="282"/>
  <c r="A2302" i="282"/>
  <c r="A2301" i="282"/>
  <c r="A2300" i="282"/>
  <c r="A2299" i="282"/>
  <c r="A2298" i="282"/>
  <c r="A2297" i="282"/>
  <c r="A2296" i="282"/>
  <c r="A2295" i="282"/>
  <c r="A2294" i="282"/>
  <c r="A2293" i="282"/>
  <c r="A2292" i="282"/>
  <c r="A2291" i="282"/>
  <c r="A2290" i="282"/>
  <c r="A2289" i="282"/>
  <c r="A2288" i="282"/>
  <c r="A2287" i="282"/>
  <c r="A2286" i="282"/>
  <c r="A2285" i="282"/>
  <c r="A2284" i="282"/>
  <c r="A2283" i="282"/>
  <c r="A2282" i="282"/>
  <c r="A2281" i="282"/>
  <c r="A2280" i="282"/>
  <c r="A2279" i="282"/>
  <c r="A2278" i="282"/>
  <c r="A2277" i="282"/>
  <c r="A2276" i="282"/>
  <c r="A2275" i="282"/>
  <c r="A2274" i="282"/>
  <c r="A2273" i="282"/>
  <c r="A2272" i="282"/>
  <c r="A2271" i="282"/>
  <c r="A2270" i="282"/>
  <c r="A2269" i="282"/>
  <c r="A2268" i="282"/>
  <c r="A2267" i="282"/>
  <c r="A2266" i="282"/>
  <c r="A2265" i="282"/>
  <c r="A2264" i="282"/>
  <c r="A2263" i="282"/>
  <c r="A2262" i="282"/>
  <c r="A2261" i="282"/>
  <c r="A2260" i="282"/>
  <c r="A2259" i="282"/>
  <c r="A2258" i="282"/>
  <c r="A2257" i="282"/>
  <c r="A2256" i="282"/>
  <c r="A2255" i="282"/>
  <c r="A2254" i="282"/>
  <c r="A2253" i="282"/>
  <c r="A2252" i="282"/>
  <c r="A2251" i="282"/>
  <c r="A2250" i="282"/>
  <c r="A2249" i="282"/>
  <c r="A2248" i="282"/>
  <c r="A2247" i="282"/>
  <c r="A2246" i="282"/>
  <c r="A2245" i="282"/>
  <c r="A2244" i="282"/>
  <c r="A2243" i="282"/>
  <c r="A2242" i="282"/>
  <c r="A2241" i="282"/>
  <c r="A2240" i="282"/>
  <c r="A2239" i="282"/>
  <c r="A2238" i="282"/>
  <c r="A2237" i="282"/>
  <c r="A2236" i="282"/>
  <c r="A2235" i="282"/>
  <c r="A2234" i="282"/>
  <c r="A2233" i="282"/>
  <c r="A2232" i="282"/>
  <c r="A2231" i="282"/>
  <c r="A2230" i="282"/>
  <c r="A2229" i="282"/>
  <c r="A2228" i="282"/>
  <c r="A2227" i="282"/>
  <c r="A2226" i="282"/>
  <c r="A2225" i="282"/>
  <c r="A2224" i="282"/>
  <c r="A2223" i="282"/>
  <c r="A2222" i="282"/>
  <c r="A2221" i="282"/>
  <c r="A2220" i="282"/>
  <c r="A2219" i="282"/>
  <c r="A2218" i="282"/>
  <c r="A2217" i="282"/>
  <c r="A2216" i="282"/>
  <c r="A2215" i="282"/>
  <c r="A2214" i="282"/>
  <c r="A2213" i="282"/>
  <c r="A2212" i="282"/>
  <c r="A2211" i="282"/>
  <c r="A2210" i="282"/>
  <c r="A2209" i="282"/>
  <c r="A2208" i="282"/>
  <c r="A2207" i="282"/>
  <c r="A2206" i="282"/>
  <c r="A2205" i="282"/>
  <c r="A2204" i="282"/>
  <c r="A2203" i="282"/>
  <c r="A2202" i="282"/>
  <c r="A2201" i="282"/>
  <c r="A2200" i="282"/>
  <c r="A2199" i="282"/>
  <c r="A2198" i="282"/>
  <c r="A2197" i="282"/>
  <c r="A2196" i="282"/>
  <c r="A2195" i="282"/>
  <c r="A2194" i="282"/>
  <c r="A2193" i="282"/>
  <c r="A2192" i="282"/>
  <c r="A2191" i="282"/>
  <c r="A2190" i="282"/>
  <c r="A2189" i="282"/>
  <c r="A2188" i="282"/>
  <c r="A2187" i="282"/>
  <c r="A2186" i="282"/>
  <c r="A2185" i="282"/>
  <c r="A2184" i="282"/>
  <c r="A2183" i="282"/>
  <c r="A2182" i="282"/>
  <c r="A2181" i="282"/>
  <c r="A2180" i="282"/>
  <c r="A2179" i="282"/>
  <c r="A2178" i="282"/>
  <c r="A2177" i="282"/>
  <c r="A2176" i="282"/>
  <c r="A2175" i="282"/>
  <c r="A2174" i="282"/>
  <c r="A2173" i="282"/>
  <c r="A2172" i="282"/>
  <c r="A2171" i="282"/>
  <c r="A2170" i="282"/>
  <c r="A2169" i="282"/>
  <c r="A2168" i="282"/>
  <c r="A2167" i="282"/>
  <c r="A2166" i="282"/>
  <c r="A2165" i="282"/>
  <c r="A2164" i="282"/>
  <c r="A2163" i="282"/>
  <c r="A2162" i="282"/>
  <c r="A2161" i="282"/>
  <c r="A2160" i="282"/>
  <c r="A2159" i="282"/>
  <c r="A2158" i="282"/>
  <c r="A2157" i="282"/>
  <c r="A2156" i="282"/>
  <c r="A2155" i="282"/>
  <c r="A2154" i="282"/>
  <c r="A2153" i="282"/>
  <c r="A2152" i="282"/>
  <c r="A2151" i="282"/>
  <c r="A2150" i="282"/>
  <c r="A2149" i="282"/>
  <c r="A2148" i="282"/>
  <c r="A2147" i="282"/>
  <c r="A2146" i="282"/>
  <c r="A2145" i="282"/>
  <c r="A2144" i="282"/>
  <c r="A2143" i="282"/>
  <c r="A2142" i="282"/>
  <c r="A2141" i="282"/>
  <c r="A2140" i="282"/>
  <c r="A2139" i="282"/>
  <c r="A2138" i="282"/>
  <c r="A2137" i="282"/>
  <c r="A2136" i="282"/>
  <c r="A2135" i="282"/>
  <c r="A2134" i="282"/>
  <c r="A2133" i="282"/>
  <c r="A2132" i="282"/>
  <c r="A2131" i="282"/>
  <c r="A2130" i="282"/>
  <c r="A2129" i="282"/>
  <c r="A2128" i="282"/>
  <c r="A2127" i="282"/>
  <c r="A2126" i="282"/>
  <c r="A2125" i="282"/>
  <c r="A2124" i="282"/>
  <c r="A2123" i="282"/>
  <c r="A2122" i="282"/>
  <c r="A2121" i="282"/>
  <c r="A2120" i="282"/>
  <c r="A2119" i="282"/>
  <c r="A2118" i="282"/>
  <c r="A2117" i="282"/>
  <c r="A2116" i="282"/>
  <c r="A2115" i="282"/>
  <c r="A2114" i="282"/>
  <c r="A2113" i="282"/>
  <c r="A2112" i="282"/>
  <c r="A2111" i="282"/>
  <c r="A2110" i="282"/>
  <c r="A2109" i="282"/>
  <c r="A2108" i="282"/>
  <c r="A2107" i="282"/>
  <c r="A2106" i="282"/>
  <c r="A2105" i="282"/>
  <c r="A2104" i="282"/>
  <c r="A2103" i="282"/>
  <c r="A2102" i="282"/>
  <c r="A2101" i="282"/>
  <c r="A2100" i="282"/>
  <c r="A2099" i="282"/>
  <c r="A2098" i="282"/>
  <c r="A2097" i="282"/>
  <c r="A2096" i="282"/>
  <c r="A2095" i="282"/>
  <c r="A2094" i="282"/>
  <c r="A2093" i="282"/>
  <c r="A2092" i="282"/>
  <c r="A2091" i="282"/>
  <c r="A2090" i="282"/>
  <c r="A2089" i="282"/>
  <c r="A2088" i="282"/>
  <c r="A2087" i="282"/>
  <c r="A2086" i="282"/>
  <c r="A2085" i="282"/>
  <c r="A2084" i="282"/>
  <c r="A2083" i="282"/>
  <c r="A2082" i="282"/>
  <c r="A2081" i="282"/>
  <c r="A2080" i="282"/>
  <c r="A2079" i="282"/>
  <c r="A2078" i="282"/>
  <c r="A2077" i="282"/>
  <c r="A2076" i="282"/>
  <c r="A2075" i="282"/>
  <c r="A2074" i="282"/>
  <c r="A2073" i="282"/>
  <c r="A2072" i="282"/>
  <c r="A2071" i="282"/>
  <c r="A2070" i="282"/>
  <c r="A2069" i="282"/>
  <c r="A2068" i="282"/>
  <c r="A2067" i="282"/>
  <c r="A2066" i="282"/>
  <c r="A2065" i="282"/>
  <c r="A2064" i="282"/>
  <c r="A2063" i="282"/>
  <c r="A2062" i="282"/>
  <c r="A2061" i="282"/>
  <c r="A2060" i="282"/>
  <c r="A2059" i="282"/>
  <c r="A2058" i="282"/>
  <c r="A2057" i="282"/>
  <c r="A2056" i="282"/>
  <c r="A2055" i="282"/>
  <c r="A2054" i="282"/>
  <c r="A2053" i="282"/>
  <c r="A2052" i="282"/>
  <c r="A2051" i="282"/>
  <c r="A2050" i="282"/>
  <c r="A2049" i="282"/>
  <c r="A2048" i="282"/>
  <c r="A2047" i="282"/>
  <c r="A2046" i="282"/>
  <c r="A2045" i="282"/>
  <c r="A2044" i="282"/>
  <c r="A2043" i="282"/>
  <c r="A2042" i="282"/>
  <c r="A2041" i="282"/>
  <c r="A2040" i="282"/>
  <c r="A2039" i="282"/>
  <c r="A2038" i="282"/>
  <c r="A2037" i="282"/>
  <c r="A2036" i="282"/>
  <c r="A2035" i="282"/>
  <c r="A2034" i="282"/>
  <c r="A2033" i="282"/>
  <c r="A2032" i="282"/>
  <c r="A2031" i="282"/>
  <c r="A2030" i="282"/>
  <c r="A2029" i="282"/>
  <c r="A2028" i="282"/>
  <c r="A2027" i="282"/>
  <c r="A2026" i="282"/>
  <c r="A2025" i="282"/>
  <c r="A2024" i="282"/>
  <c r="A2023" i="282"/>
  <c r="A2022" i="282"/>
  <c r="A2021" i="282"/>
  <c r="A2020" i="282"/>
  <c r="A2019" i="282"/>
  <c r="A2018" i="282"/>
  <c r="A2017" i="282"/>
  <c r="A2016" i="282"/>
  <c r="A2015" i="282"/>
  <c r="A2014" i="282"/>
  <c r="A2013" i="282"/>
  <c r="A2012" i="282"/>
  <c r="A2011" i="282"/>
  <c r="A2010" i="282"/>
  <c r="A2009" i="282"/>
  <c r="A2008" i="282"/>
  <c r="A2007" i="282"/>
  <c r="A2006" i="282"/>
  <c r="A2005" i="282"/>
  <c r="A2004" i="282"/>
  <c r="A2003" i="282"/>
  <c r="A2002" i="282"/>
  <c r="A2001" i="282"/>
  <c r="A2000" i="282"/>
  <c r="A1999" i="282"/>
  <c r="A1998" i="282"/>
  <c r="A1997" i="282"/>
  <c r="A1996" i="282"/>
  <c r="A1995" i="282"/>
  <c r="A1994" i="282"/>
  <c r="A1993" i="282"/>
  <c r="A1992" i="282"/>
  <c r="A1991" i="282"/>
  <c r="A1990" i="282"/>
  <c r="A1989" i="282"/>
  <c r="A1988" i="282"/>
  <c r="A1987" i="282"/>
  <c r="A1986" i="282"/>
  <c r="A1985" i="282"/>
  <c r="A1984" i="282"/>
  <c r="A1983" i="282"/>
  <c r="A1982" i="282"/>
  <c r="A1981" i="282"/>
  <c r="A1980" i="282"/>
  <c r="A1979" i="282"/>
  <c r="A1978" i="282"/>
  <c r="A1977" i="282"/>
  <c r="A1976" i="282"/>
  <c r="A1975" i="282"/>
  <c r="A1974" i="282"/>
  <c r="A1973" i="282"/>
  <c r="A1972" i="282"/>
  <c r="A1971" i="282"/>
  <c r="A1970" i="282"/>
  <c r="A1969" i="282"/>
  <c r="A1968" i="282"/>
  <c r="A1967" i="282"/>
  <c r="A1966" i="282"/>
  <c r="A1965" i="282"/>
  <c r="A1964" i="282"/>
  <c r="A1963" i="282"/>
  <c r="A1962" i="282"/>
  <c r="A1961" i="282"/>
  <c r="A1960" i="282"/>
  <c r="A1959" i="282"/>
  <c r="A1958" i="282"/>
  <c r="A1957" i="282"/>
  <c r="A1956" i="282"/>
  <c r="A1955" i="282"/>
  <c r="A1954" i="282"/>
  <c r="A1953" i="282"/>
  <c r="A1952" i="282"/>
  <c r="A1951" i="282"/>
  <c r="A1950" i="282"/>
  <c r="A1949" i="282"/>
  <c r="A1948" i="282"/>
  <c r="A1947" i="282"/>
  <c r="A1946" i="282"/>
  <c r="A1945" i="282"/>
  <c r="A1944" i="282"/>
  <c r="A1943" i="282"/>
  <c r="A1942" i="282"/>
  <c r="A1941" i="282"/>
  <c r="A1940" i="282"/>
  <c r="A1939" i="282"/>
  <c r="A1938" i="282"/>
  <c r="A1937" i="282"/>
  <c r="A1936" i="282"/>
  <c r="A1935" i="282"/>
  <c r="A1934" i="282"/>
  <c r="A1933" i="282"/>
  <c r="A1932" i="282"/>
  <c r="A1931" i="282"/>
  <c r="A1930" i="282"/>
  <c r="A1929" i="282"/>
  <c r="A1928" i="282"/>
  <c r="A1927" i="282"/>
  <c r="A1926" i="282"/>
  <c r="A1925" i="282"/>
  <c r="A1924" i="282"/>
  <c r="A1923" i="282"/>
  <c r="A1922" i="282"/>
  <c r="A1921" i="282"/>
  <c r="A1920" i="282"/>
  <c r="A1919" i="282"/>
  <c r="A1918" i="282"/>
  <c r="A1917" i="282"/>
  <c r="A1916" i="282"/>
  <c r="A1915" i="282"/>
  <c r="A1914" i="282"/>
  <c r="A1913" i="282"/>
  <c r="A1912" i="282"/>
  <c r="A1911" i="282"/>
  <c r="A1910" i="282"/>
  <c r="A1909" i="282"/>
  <c r="A1908" i="282"/>
  <c r="A1907" i="282"/>
  <c r="A1906" i="282"/>
  <c r="A1905" i="282"/>
  <c r="A1904" i="282"/>
  <c r="A1903" i="282"/>
  <c r="A1902" i="282"/>
  <c r="A1901" i="282"/>
  <c r="A1900" i="282"/>
  <c r="A1899" i="282"/>
  <c r="A1898" i="282"/>
  <c r="A1897" i="282"/>
  <c r="A1896" i="282"/>
  <c r="A1895" i="282"/>
  <c r="A1894" i="282"/>
  <c r="A1893" i="282"/>
  <c r="A1892" i="282"/>
  <c r="A1891" i="282"/>
  <c r="A1890" i="282"/>
  <c r="A1889" i="282"/>
  <c r="A1888" i="282"/>
  <c r="A1887" i="282"/>
  <c r="A1886" i="282"/>
  <c r="A1885" i="282"/>
  <c r="A1884" i="282"/>
  <c r="A1883" i="282"/>
  <c r="A1882" i="282"/>
  <c r="A1881" i="282"/>
  <c r="A1880" i="282"/>
  <c r="A1879" i="282"/>
  <c r="A1878" i="282"/>
  <c r="A1877" i="282"/>
  <c r="A1876" i="282"/>
  <c r="A1875" i="282"/>
  <c r="A1874" i="282"/>
  <c r="A1873" i="282"/>
  <c r="A1872" i="282"/>
  <c r="A1871" i="282"/>
  <c r="A1870" i="282"/>
  <c r="A1869" i="282"/>
  <c r="A1868" i="282"/>
  <c r="A1867" i="282"/>
  <c r="A1866" i="282"/>
  <c r="A1865" i="282"/>
  <c r="A1864" i="282"/>
  <c r="A1863" i="282"/>
  <c r="A1862" i="282"/>
  <c r="A1861" i="282"/>
  <c r="A1860" i="282"/>
  <c r="A1859" i="282"/>
  <c r="A1858" i="282"/>
  <c r="A1857" i="282"/>
  <c r="A1856" i="282"/>
  <c r="A1855" i="282"/>
  <c r="A1854" i="282"/>
  <c r="A1853" i="282"/>
  <c r="A1852" i="282"/>
  <c r="A1851" i="282"/>
  <c r="A1850" i="282"/>
  <c r="A1849" i="282"/>
  <c r="A1848" i="282"/>
  <c r="A1847" i="282"/>
  <c r="A1846" i="282"/>
  <c r="A1845" i="282"/>
  <c r="A1844" i="282"/>
  <c r="A1843" i="282"/>
  <c r="A1842" i="282"/>
  <c r="A1841" i="282"/>
  <c r="A1840" i="282"/>
  <c r="A1839" i="282"/>
  <c r="A1838" i="282"/>
  <c r="A1837" i="282"/>
  <c r="A1836" i="282"/>
  <c r="A1835" i="282"/>
  <c r="A1834" i="282"/>
  <c r="A1833" i="282"/>
  <c r="A1832" i="282"/>
  <c r="A1831" i="282"/>
  <c r="A1830" i="282"/>
  <c r="A1829" i="282"/>
  <c r="A1828" i="282"/>
  <c r="A1827" i="282"/>
  <c r="A1826" i="282"/>
  <c r="A1825" i="282"/>
  <c r="A1824" i="282"/>
  <c r="A1823" i="282"/>
  <c r="A1822" i="282"/>
  <c r="A1821" i="282"/>
  <c r="A1820" i="282"/>
  <c r="A1819" i="282"/>
  <c r="A1818" i="282"/>
  <c r="A1817" i="282"/>
  <c r="A1816" i="282"/>
  <c r="A1815" i="282"/>
  <c r="A1814" i="282"/>
  <c r="A1813" i="282"/>
  <c r="A1812" i="282"/>
  <c r="A1811" i="282"/>
  <c r="A1810" i="282"/>
  <c r="A1809" i="282"/>
  <c r="A1808" i="282"/>
  <c r="A1807" i="282"/>
  <c r="A1806" i="282"/>
  <c r="A1805" i="282"/>
  <c r="A1804" i="282"/>
  <c r="A1803" i="282"/>
  <c r="A1802" i="282"/>
  <c r="A1801" i="282"/>
  <c r="A1800" i="282"/>
  <c r="A1799" i="282"/>
  <c r="A1798" i="282"/>
  <c r="A1797" i="282"/>
  <c r="A1796" i="282"/>
  <c r="A1795" i="282"/>
  <c r="A1794" i="282"/>
  <c r="A1793" i="282"/>
  <c r="A1792" i="282"/>
  <c r="A1791" i="282"/>
  <c r="A1790" i="282"/>
  <c r="A1789" i="282"/>
  <c r="A1788" i="282"/>
  <c r="A1787" i="282"/>
  <c r="A1786" i="282"/>
  <c r="A1785" i="282"/>
  <c r="A1784" i="282"/>
  <c r="A1783" i="282"/>
  <c r="A1782" i="282"/>
  <c r="A1781" i="282"/>
  <c r="A1780" i="282"/>
  <c r="A1779" i="282"/>
  <c r="A1778" i="282"/>
  <c r="A1777" i="282"/>
  <c r="A1776" i="282"/>
  <c r="A1775" i="282"/>
  <c r="A1774" i="282"/>
  <c r="A1773" i="282"/>
  <c r="A1772" i="282"/>
  <c r="A1771" i="282"/>
  <c r="A1770" i="282"/>
  <c r="A1769" i="282"/>
  <c r="A1768" i="282"/>
  <c r="A1767" i="282"/>
  <c r="A1766" i="282"/>
  <c r="A1765" i="282"/>
  <c r="A1764" i="282"/>
  <c r="A1763" i="282"/>
  <c r="A1762" i="282"/>
  <c r="A1761" i="282"/>
  <c r="A1760" i="282"/>
  <c r="A1759" i="282"/>
  <c r="A1758" i="282"/>
  <c r="A1757" i="282"/>
  <c r="A1756" i="282"/>
  <c r="A1755" i="282"/>
  <c r="A1754" i="282"/>
  <c r="A1753" i="282"/>
  <c r="A1752" i="282"/>
  <c r="A1751" i="282"/>
  <c r="A1750" i="282"/>
  <c r="A1749" i="282"/>
  <c r="A1748" i="282"/>
  <c r="A1747" i="282"/>
  <c r="A1746" i="282"/>
  <c r="A1745" i="282"/>
  <c r="A1744" i="282"/>
  <c r="A1743" i="282"/>
  <c r="A1742" i="282"/>
  <c r="A1741" i="282"/>
  <c r="A1740" i="282"/>
  <c r="A1739" i="282"/>
  <c r="A1738" i="282"/>
  <c r="A1737" i="282"/>
  <c r="A1736" i="282"/>
  <c r="A1735" i="282"/>
  <c r="A1734" i="282"/>
  <c r="A1733" i="282"/>
  <c r="A1732" i="282"/>
  <c r="A1731" i="282"/>
  <c r="A1730" i="282"/>
  <c r="A1729" i="282"/>
  <c r="A1728" i="282"/>
  <c r="A1727" i="282"/>
  <c r="A1726" i="282"/>
  <c r="A1725" i="282"/>
  <c r="A1724" i="282"/>
  <c r="A1723" i="282"/>
  <c r="A1722" i="282"/>
  <c r="A1721" i="282"/>
  <c r="A1720" i="282"/>
  <c r="A1719" i="282"/>
  <c r="A1718" i="282"/>
  <c r="A1717" i="282"/>
  <c r="A1716" i="282"/>
  <c r="A1715" i="282"/>
  <c r="A1714" i="282"/>
  <c r="A1713" i="282"/>
  <c r="A1712" i="282"/>
  <c r="A1711" i="282"/>
  <c r="A1710" i="282"/>
  <c r="A1709" i="282"/>
  <c r="A1708" i="282"/>
  <c r="A1707" i="282"/>
  <c r="A1706" i="282"/>
  <c r="A1705" i="282"/>
  <c r="A1704" i="282"/>
  <c r="A1703" i="282"/>
  <c r="A1702" i="282"/>
  <c r="A1701" i="282"/>
  <c r="A1700" i="282"/>
  <c r="A1699" i="282"/>
  <c r="A1698" i="282"/>
  <c r="A1697" i="282"/>
  <c r="A1696" i="282"/>
  <c r="A1695" i="282"/>
  <c r="A1694" i="282"/>
  <c r="A1693" i="282"/>
  <c r="A1692" i="282"/>
  <c r="A1691" i="282"/>
  <c r="A1690" i="282"/>
  <c r="A1689" i="282"/>
  <c r="A1688" i="282"/>
  <c r="A1687" i="282"/>
  <c r="A1686" i="282"/>
  <c r="A1685" i="282"/>
  <c r="A1684" i="282"/>
  <c r="A1683" i="282"/>
  <c r="A1682" i="282"/>
  <c r="A1681" i="282"/>
  <c r="A1680" i="282"/>
  <c r="A1679" i="282"/>
  <c r="A1678" i="282"/>
  <c r="A1677" i="282"/>
  <c r="A1676" i="282"/>
  <c r="A1675" i="282"/>
  <c r="A1674" i="282"/>
  <c r="A1673" i="282"/>
  <c r="A1672" i="282"/>
  <c r="A1671" i="282"/>
  <c r="A1670" i="282"/>
  <c r="A1669" i="282"/>
  <c r="A1668" i="282"/>
  <c r="A1667" i="282"/>
  <c r="A1666" i="282"/>
  <c r="A1665" i="282"/>
  <c r="A1664" i="282"/>
  <c r="A1663" i="282"/>
  <c r="A1662" i="282"/>
  <c r="A1661" i="282"/>
  <c r="A1660" i="282"/>
  <c r="A1659" i="282"/>
  <c r="A1658" i="282"/>
  <c r="A1657" i="282"/>
  <c r="A1656" i="282"/>
  <c r="A1655" i="282"/>
  <c r="A1654" i="282"/>
  <c r="A1653" i="282"/>
  <c r="A1652" i="282"/>
  <c r="A1651" i="282"/>
  <c r="A1650" i="282"/>
  <c r="A1649" i="282"/>
  <c r="A1648" i="282"/>
  <c r="A1647" i="282"/>
  <c r="A1646" i="282"/>
  <c r="A1645" i="282"/>
  <c r="A1644" i="282"/>
  <c r="A1643" i="282"/>
  <c r="A1642" i="282"/>
  <c r="A1641" i="282"/>
  <c r="A1640" i="282"/>
  <c r="A1639" i="282"/>
  <c r="A1638" i="282"/>
  <c r="A1637" i="282"/>
  <c r="A1636" i="282"/>
  <c r="A1635" i="282"/>
  <c r="A1634" i="282"/>
  <c r="A1633" i="282"/>
  <c r="A1632" i="282"/>
  <c r="A1631" i="282"/>
  <c r="A1630" i="282"/>
  <c r="A1629" i="282"/>
  <c r="A1628" i="282"/>
  <c r="A1627" i="282"/>
  <c r="A1626" i="282"/>
  <c r="A1625" i="282"/>
  <c r="A1624" i="282"/>
  <c r="A1623" i="282"/>
  <c r="A1622" i="282"/>
  <c r="A1621" i="282"/>
  <c r="A1620" i="282"/>
  <c r="A1619" i="282"/>
  <c r="A1618" i="282"/>
  <c r="A1617" i="282"/>
  <c r="A1616" i="282"/>
  <c r="A1615" i="282"/>
  <c r="A1614" i="282"/>
  <c r="A1613" i="282"/>
  <c r="A1612" i="282"/>
  <c r="A1611" i="282"/>
  <c r="A1610" i="282"/>
  <c r="A1609" i="282"/>
  <c r="A1608" i="282"/>
  <c r="A1607" i="282"/>
  <c r="A1606" i="282"/>
  <c r="A1605" i="282"/>
  <c r="A1604" i="282"/>
  <c r="A1603" i="282"/>
  <c r="A1602" i="282"/>
  <c r="A1601" i="282"/>
  <c r="A1600" i="282"/>
  <c r="A1599" i="282"/>
  <c r="A1598" i="282"/>
  <c r="A1597" i="282"/>
  <c r="A1596" i="282"/>
  <c r="A1595" i="282"/>
  <c r="A1594" i="282"/>
  <c r="A1593" i="282"/>
  <c r="A1592" i="282"/>
  <c r="A1591" i="282"/>
  <c r="A1590" i="282"/>
  <c r="A1589" i="282"/>
  <c r="A1588" i="282"/>
  <c r="A1587" i="282"/>
  <c r="A1586" i="282"/>
  <c r="A1585" i="282"/>
  <c r="A1584" i="282"/>
  <c r="A1583" i="282"/>
  <c r="A1582" i="282"/>
  <c r="A1581" i="282"/>
  <c r="A1580" i="282"/>
  <c r="A1579" i="282"/>
  <c r="A1578" i="282"/>
  <c r="A1577" i="282"/>
  <c r="A1576" i="282"/>
  <c r="A1575" i="282"/>
  <c r="A1574" i="282"/>
  <c r="A1573" i="282"/>
  <c r="A1572" i="282"/>
  <c r="A1571" i="282"/>
  <c r="A1570" i="282"/>
  <c r="A1569" i="282"/>
  <c r="A1568" i="282"/>
  <c r="A1567" i="282"/>
  <c r="A1566" i="282"/>
  <c r="A1565" i="282"/>
  <c r="A1564" i="282"/>
  <c r="A1563" i="282"/>
  <c r="A1562" i="282"/>
  <c r="A1561" i="282"/>
  <c r="A1560" i="282"/>
  <c r="A1559" i="282"/>
  <c r="A1558" i="282"/>
  <c r="A1557" i="282"/>
  <c r="A1556" i="282"/>
  <c r="A1555" i="282"/>
  <c r="A1554" i="282"/>
  <c r="A1553" i="282"/>
  <c r="A1552" i="282"/>
  <c r="A1551" i="282"/>
  <c r="A1550" i="282"/>
  <c r="A1549" i="282"/>
  <c r="A1548" i="282"/>
  <c r="A1547" i="282"/>
  <c r="A1546" i="282"/>
  <c r="A1545" i="282"/>
  <c r="A1544" i="282"/>
  <c r="A1543" i="282"/>
  <c r="A1542" i="282"/>
  <c r="A1541" i="282"/>
  <c r="A1540" i="282"/>
  <c r="A1539" i="282"/>
  <c r="A1538" i="282"/>
  <c r="A1537" i="282"/>
  <c r="A1536" i="282"/>
  <c r="A1535" i="282"/>
  <c r="A1534" i="282"/>
  <c r="A1533" i="282"/>
  <c r="A1532" i="282"/>
  <c r="A1531" i="282"/>
  <c r="A1530" i="282"/>
  <c r="A1529" i="282"/>
  <c r="A1528" i="282"/>
  <c r="A1527" i="282"/>
  <c r="A1526" i="282"/>
  <c r="A1525" i="282"/>
  <c r="A1524" i="282"/>
  <c r="A1523" i="282"/>
  <c r="A1522" i="282"/>
  <c r="A1521" i="282"/>
  <c r="A1520" i="282"/>
  <c r="A1519" i="282"/>
  <c r="A1518" i="282"/>
  <c r="A1517" i="282"/>
  <c r="A1516" i="282"/>
  <c r="A1515" i="282"/>
  <c r="A1514" i="282"/>
  <c r="A1513" i="282"/>
  <c r="A1512" i="282"/>
  <c r="A1511" i="282"/>
  <c r="A1510" i="282"/>
  <c r="A1509" i="282"/>
  <c r="A1508" i="282"/>
  <c r="A1507" i="282"/>
  <c r="A1506" i="282"/>
  <c r="A1505" i="282"/>
  <c r="A1504" i="282"/>
  <c r="A1503" i="282"/>
  <c r="A1502" i="282"/>
  <c r="A1501" i="282"/>
  <c r="A1500" i="282"/>
  <c r="A1499" i="282"/>
  <c r="A1498" i="282"/>
  <c r="A1497" i="282"/>
  <c r="A1496" i="282"/>
  <c r="A1495" i="282"/>
  <c r="A1494" i="282"/>
  <c r="A1493" i="282"/>
  <c r="A1492" i="282"/>
  <c r="A1491" i="282"/>
  <c r="A1490" i="282"/>
  <c r="A1489" i="282"/>
  <c r="A1488" i="282"/>
  <c r="A1487" i="282"/>
  <c r="A1486" i="282"/>
  <c r="A1485" i="282"/>
  <c r="A1484" i="282"/>
  <c r="A1483" i="282"/>
  <c r="A1482" i="282"/>
  <c r="A1481" i="282"/>
  <c r="A1480" i="282"/>
  <c r="A1479" i="282"/>
  <c r="A1478" i="282"/>
  <c r="A1477" i="282"/>
  <c r="A1476" i="282"/>
  <c r="A1475" i="282"/>
  <c r="A1474" i="282"/>
  <c r="A1473" i="282"/>
  <c r="A1472" i="282"/>
  <c r="A1471" i="282"/>
  <c r="A1470" i="282"/>
  <c r="A1469" i="282"/>
  <c r="A1468" i="282"/>
  <c r="A1467" i="282"/>
  <c r="A1466" i="282"/>
  <c r="A1465" i="282"/>
  <c r="A1464" i="282"/>
  <c r="A1463" i="282"/>
  <c r="A1462" i="282"/>
  <c r="A1461" i="282"/>
  <c r="A1460" i="282"/>
  <c r="A1459" i="282"/>
  <c r="A1458" i="282"/>
  <c r="A1457" i="282"/>
  <c r="A1456" i="282"/>
  <c r="A1455" i="282"/>
  <c r="A1454" i="282"/>
  <c r="A1453" i="282"/>
  <c r="A1452" i="282"/>
  <c r="A1451" i="282"/>
  <c r="A1450" i="282"/>
  <c r="A1449" i="282"/>
  <c r="A1448" i="282"/>
  <c r="A1447" i="282"/>
  <c r="A1446" i="282"/>
  <c r="A1445" i="282"/>
  <c r="A1444" i="282"/>
  <c r="A1443" i="282"/>
  <c r="A1442" i="282"/>
  <c r="A1441" i="282"/>
  <c r="A1440" i="282"/>
  <c r="A1439" i="282"/>
  <c r="A1438" i="282"/>
  <c r="A1437" i="282"/>
  <c r="A1436" i="282"/>
  <c r="A1435" i="282"/>
  <c r="A1434" i="282"/>
  <c r="A1433" i="282"/>
  <c r="A1432" i="282"/>
  <c r="A1431" i="282"/>
  <c r="A1430" i="282"/>
  <c r="A1429" i="282"/>
  <c r="A1428" i="282"/>
  <c r="A1427" i="282"/>
  <c r="A1426" i="282"/>
  <c r="A1425" i="282"/>
  <c r="A1424" i="282"/>
  <c r="A1423" i="282"/>
  <c r="A1422" i="282"/>
  <c r="A1421" i="282"/>
  <c r="A1420" i="282"/>
  <c r="A1419" i="282"/>
  <c r="A1418" i="282"/>
  <c r="A1417" i="282"/>
  <c r="A1416" i="282"/>
  <c r="A1415" i="282"/>
  <c r="A1414" i="282"/>
  <c r="A1413" i="282"/>
  <c r="A1412" i="282"/>
  <c r="A1411" i="282"/>
  <c r="A1410" i="282"/>
  <c r="A1409" i="282"/>
  <c r="A1408" i="282"/>
  <c r="A1407" i="282"/>
  <c r="A1406" i="282"/>
  <c r="A1405" i="282"/>
  <c r="A1404" i="282"/>
  <c r="A1403" i="282"/>
  <c r="A1402" i="282"/>
  <c r="A1401" i="282"/>
  <c r="A1400" i="282"/>
  <c r="A1399" i="282"/>
  <c r="A1398" i="282"/>
  <c r="A1397" i="282"/>
  <c r="A1396" i="282"/>
  <c r="A1395" i="282"/>
  <c r="A1394" i="282"/>
  <c r="A1393" i="282"/>
  <c r="A1392" i="282"/>
  <c r="A1391" i="282"/>
  <c r="A1390" i="282"/>
  <c r="A1389" i="282"/>
  <c r="A1388" i="282"/>
  <c r="A1387" i="282"/>
  <c r="A1386" i="282"/>
  <c r="A1385" i="282"/>
  <c r="A1384" i="282"/>
  <c r="A1383" i="282"/>
  <c r="A1382" i="282"/>
  <c r="A1381" i="282"/>
  <c r="A1380" i="282"/>
  <c r="A1379" i="282"/>
  <c r="A1378" i="282"/>
  <c r="A1377" i="282"/>
  <c r="A1376" i="282"/>
  <c r="A1375" i="282"/>
  <c r="A1374" i="282"/>
  <c r="A1373" i="282"/>
  <c r="A1372" i="282"/>
  <c r="A1371" i="282"/>
  <c r="A1370" i="282"/>
  <c r="A1369" i="282"/>
  <c r="A1368" i="282"/>
  <c r="A1367" i="282"/>
  <c r="A1366" i="282"/>
  <c r="A1365" i="282"/>
  <c r="A1364" i="282"/>
  <c r="A1363" i="282"/>
  <c r="A1362" i="282"/>
  <c r="A1361" i="282"/>
  <c r="A1360" i="282"/>
  <c r="A1359" i="282"/>
  <c r="A1358" i="282"/>
  <c r="A1357" i="282"/>
  <c r="A1356" i="282"/>
  <c r="A1355" i="282"/>
  <c r="A1354" i="282"/>
  <c r="A1353" i="282"/>
  <c r="A1352" i="282"/>
  <c r="A1351" i="282"/>
  <c r="A1350" i="282"/>
  <c r="A1349" i="282"/>
  <c r="A1348" i="282"/>
  <c r="A1347" i="282"/>
  <c r="A1346" i="282"/>
  <c r="A1345" i="282"/>
  <c r="A1344" i="282"/>
  <c r="A1343" i="282"/>
  <c r="A1342" i="282"/>
  <c r="A1341" i="282"/>
  <c r="A1340" i="282"/>
  <c r="A1339" i="282"/>
  <c r="A1338" i="282"/>
  <c r="A1337" i="282"/>
  <c r="A1336" i="282"/>
  <c r="A1335" i="282"/>
  <c r="A1334" i="282"/>
  <c r="A1333" i="282"/>
  <c r="A1332" i="282"/>
  <c r="A1331" i="282"/>
  <c r="A1330" i="282"/>
  <c r="A1329" i="282"/>
  <c r="A1328" i="282"/>
  <c r="A1327" i="282"/>
  <c r="A1326" i="282"/>
  <c r="A1325" i="282"/>
  <c r="A1324" i="282"/>
  <c r="A1323" i="282"/>
  <c r="A1322" i="282"/>
  <c r="A1321" i="282"/>
  <c r="A1320" i="282"/>
  <c r="A1319" i="282"/>
  <c r="A1318" i="282"/>
  <c r="A1317" i="282"/>
  <c r="A1316" i="282"/>
  <c r="A1315" i="282"/>
  <c r="A1314" i="282"/>
  <c r="A1313" i="282"/>
  <c r="A1312" i="282"/>
  <c r="A1311" i="282"/>
  <c r="A1310" i="282"/>
  <c r="A1309" i="282"/>
  <c r="A1308" i="282"/>
  <c r="A1307" i="282"/>
  <c r="A1306" i="282"/>
  <c r="A1305" i="282"/>
  <c r="A1304" i="282"/>
  <c r="A1303" i="282"/>
  <c r="A1302" i="282"/>
  <c r="A1301" i="282"/>
  <c r="A1300" i="282"/>
  <c r="A1299" i="282"/>
  <c r="A1298" i="282"/>
  <c r="A1297" i="282"/>
  <c r="A1296" i="282"/>
  <c r="A1295" i="282"/>
  <c r="A1294" i="282"/>
  <c r="A1293" i="282"/>
  <c r="A1292" i="282"/>
  <c r="A1291" i="282"/>
  <c r="A1290" i="282"/>
  <c r="A1289" i="282"/>
  <c r="A1288" i="282"/>
  <c r="A1287" i="282"/>
  <c r="A1286" i="282"/>
  <c r="A1285" i="282"/>
  <c r="A1284" i="282"/>
  <c r="A1283" i="282"/>
  <c r="A1282" i="282"/>
  <c r="A1281" i="282"/>
  <c r="A1280" i="282"/>
  <c r="A1279" i="282"/>
  <c r="A1278" i="282"/>
  <c r="A1277" i="282"/>
  <c r="A1276" i="282"/>
  <c r="A1275" i="282"/>
  <c r="A1274" i="282"/>
  <c r="A1273" i="282"/>
  <c r="A1272" i="282"/>
  <c r="A1271" i="282"/>
  <c r="A1270" i="282"/>
  <c r="A1269" i="282"/>
  <c r="A1268" i="282"/>
  <c r="A1267" i="282"/>
  <c r="A1266" i="282"/>
  <c r="A1265" i="282"/>
  <c r="A1264" i="282"/>
  <c r="A1263" i="282"/>
  <c r="A1262" i="282"/>
  <c r="A1261" i="282"/>
  <c r="A1260" i="282"/>
  <c r="A1259" i="282"/>
  <c r="A1258" i="282"/>
  <c r="A1257" i="282"/>
  <c r="A1256" i="282"/>
  <c r="A1255" i="282"/>
  <c r="A1254" i="282"/>
  <c r="A1253" i="282"/>
  <c r="A1252" i="282"/>
  <c r="A1251" i="282"/>
  <c r="A1250" i="282"/>
  <c r="A1249" i="282"/>
  <c r="A1248" i="282"/>
  <c r="A1247" i="282"/>
  <c r="A1246" i="282"/>
  <c r="A1245" i="282"/>
  <c r="A1244" i="282"/>
  <c r="A1243" i="282"/>
  <c r="A1242" i="282"/>
  <c r="A1241" i="282"/>
  <c r="A1240" i="282"/>
  <c r="A1239" i="282"/>
  <c r="A1238" i="282"/>
  <c r="A1237" i="282"/>
  <c r="A1236" i="282"/>
  <c r="A1235" i="282"/>
  <c r="A1234" i="282"/>
  <c r="A1233" i="282"/>
  <c r="A1232" i="282"/>
  <c r="A1231" i="282"/>
  <c r="A1230" i="282"/>
  <c r="A1229" i="282"/>
  <c r="A1228" i="282"/>
  <c r="A1227" i="282"/>
  <c r="A1226" i="282"/>
  <c r="A1225" i="282"/>
  <c r="A1224" i="282"/>
  <c r="A1223" i="282"/>
  <c r="A1222" i="282"/>
  <c r="A1221" i="282"/>
  <c r="A1220" i="282"/>
  <c r="A1219" i="282"/>
  <c r="A1218" i="282"/>
  <c r="A1217" i="282"/>
  <c r="A1216" i="282"/>
  <c r="A1215" i="282"/>
  <c r="A1214" i="282"/>
  <c r="A1213" i="282"/>
  <c r="A1212" i="282"/>
  <c r="A1211" i="282"/>
  <c r="A1210" i="282"/>
  <c r="A1209" i="282"/>
  <c r="A1208" i="282"/>
  <c r="A1207" i="282"/>
  <c r="A1206" i="282"/>
  <c r="A1205" i="282"/>
  <c r="A1204" i="282"/>
  <c r="A1203" i="282"/>
  <c r="A1202" i="282"/>
  <c r="A1201" i="282"/>
  <c r="A1200" i="282"/>
  <c r="A1199" i="282"/>
  <c r="A1198" i="282"/>
  <c r="A1197" i="282"/>
  <c r="A1196" i="282"/>
  <c r="A1195" i="282"/>
  <c r="A1194" i="282"/>
  <c r="A1193" i="282"/>
  <c r="A1192" i="282"/>
  <c r="A1191" i="282"/>
  <c r="A1190" i="282"/>
  <c r="A1189" i="282"/>
  <c r="A1188" i="282"/>
  <c r="A1187" i="282"/>
  <c r="A1186" i="282"/>
  <c r="A1185" i="282"/>
  <c r="A1184" i="282"/>
  <c r="A1183" i="282"/>
  <c r="A1182" i="282"/>
  <c r="A1181" i="282"/>
  <c r="A1180" i="282"/>
  <c r="A1179" i="282"/>
  <c r="A1178" i="282"/>
  <c r="A1177" i="282"/>
  <c r="A1176" i="282"/>
  <c r="A1175" i="282"/>
  <c r="A1174" i="282"/>
  <c r="A1173" i="282"/>
  <c r="A1172" i="282"/>
  <c r="A1171" i="282"/>
  <c r="A1170" i="282"/>
  <c r="A1169" i="282"/>
  <c r="A1168" i="282"/>
  <c r="A1167" i="282"/>
  <c r="A1166" i="282"/>
  <c r="A1165" i="282"/>
  <c r="A1164" i="282"/>
  <c r="A1163" i="282"/>
  <c r="A1162" i="282"/>
  <c r="A1161" i="282"/>
  <c r="A1160" i="282"/>
  <c r="A1159" i="282"/>
  <c r="A1158" i="282"/>
  <c r="A1157" i="282"/>
  <c r="A1156" i="282"/>
  <c r="A1155" i="282"/>
  <c r="A1154" i="282"/>
  <c r="A1153" i="282"/>
  <c r="A1152" i="282"/>
  <c r="A1151" i="282"/>
  <c r="A1150" i="282"/>
  <c r="A1149" i="282"/>
  <c r="A1148" i="282"/>
  <c r="A1147" i="282"/>
  <c r="A1146" i="282"/>
  <c r="A1145" i="282"/>
  <c r="A1144" i="282"/>
  <c r="A1143" i="282"/>
  <c r="A1142" i="282"/>
  <c r="A1141" i="282"/>
  <c r="A1140" i="282"/>
  <c r="A1139" i="282"/>
  <c r="A1138" i="282"/>
  <c r="A1137" i="282"/>
  <c r="A1136" i="282"/>
  <c r="A1135" i="282"/>
  <c r="A1134" i="282"/>
  <c r="A1133" i="282"/>
  <c r="A1132" i="282"/>
  <c r="A1131" i="282"/>
  <c r="A1130" i="282"/>
  <c r="A1129" i="282"/>
  <c r="A1128" i="282"/>
  <c r="A1127" i="282"/>
  <c r="A1126" i="282"/>
  <c r="A1125" i="282"/>
  <c r="A1124" i="282"/>
  <c r="A1123" i="282"/>
  <c r="A1122" i="282"/>
  <c r="A1121" i="282"/>
  <c r="A1120" i="282"/>
  <c r="A1119" i="282"/>
  <c r="A1118" i="282"/>
  <c r="A1117" i="282"/>
  <c r="A1116" i="282"/>
  <c r="A1115" i="282"/>
  <c r="A1114" i="282"/>
  <c r="A1113" i="282"/>
  <c r="A1112" i="282"/>
  <c r="A1111" i="282"/>
  <c r="A1110" i="282"/>
  <c r="A1109" i="282"/>
  <c r="A1108" i="282"/>
  <c r="A1107" i="282"/>
  <c r="A1106" i="282"/>
  <c r="A1105" i="282"/>
  <c r="A1104" i="282"/>
  <c r="A1103" i="282"/>
  <c r="A1102" i="282"/>
  <c r="A1101" i="282"/>
  <c r="A1100" i="282"/>
  <c r="A1099" i="282"/>
  <c r="A1098" i="282"/>
  <c r="A1097" i="282"/>
  <c r="A1096" i="282"/>
  <c r="A1095" i="282"/>
  <c r="A1094" i="282"/>
  <c r="A1093" i="282"/>
  <c r="A1092" i="282"/>
  <c r="A1091" i="282"/>
  <c r="A1090" i="282"/>
  <c r="A1089" i="282"/>
  <c r="A1088" i="282"/>
  <c r="A1087" i="282"/>
  <c r="A1086" i="282"/>
  <c r="A1085" i="282"/>
  <c r="A1084" i="282"/>
  <c r="A1083" i="282"/>
  <c r="A1082" i="282"/>
  <c r="A1081" i="282"/>
  <c r="A1080" i="282"/>
  <c r="A1079" i="282"/>
  <c r="A1078" i="282"/>
  <c r="A1077" i="282"/>
  <c r="A1076" i="282"/>
  <c r="A1075" i="282"/>
  <c r="A1074" i="282"/>
  <c r="A1073" i="282"/>
  <c r="A1072" i="282"/>
  <c r="A1071" i="282"/>
  <c r="A1070" i="282"/>
  <c r="A1069" i="282"/>
  <c r="A1068" i="282"/>
  <c r="A1067" i="282"/>
  <c r="A1066" i="282"/>
  <c r="A1065" i="282"/>
  <c r="A1064" i="282"/>
  <c r="A1063" i="282"/>
  <c r="A1062" i="282"/>
  <c r="A1061" i="282"/>
  <c r="A1060" i="282"/>
  <c r="A1059" i="282"/>
  <c r="A1058" i="282"/>
  <c r="A1057" i="282"/>
  <c r="A1056" i="282"/>
  <c r="A1055" i="282"/>
  <c r="A1054" i="282"/>
  <c r="A1053" i="282"/>
  <c r="A1052" i="282"/>
  <c r="A1051" i="282"/>
  <c r="A1050" i="282"/>
  <c r="A1049" i="282"/>
  <c r="A1048" i="282"/>
  <c r="A1047" i="282"/>
  <c r="A1046" i="282"/>
  <c r="A1045" i="282"/>
  <c r="A1044" i="282"/>
  <c r="A1043" i="282"/>
  <c r="A1042" i="282"/>
  <c r="A1041" i="282"/>
  <c r="A1040" i="282"/>
  <c r="A1039" i="282"/>
  <c r="A1038" i="282"/>
  <c r="A1037" i="282"/>
  <c r="A1036" i="282"/>
  <c r="A1035" i="282"/>
  <c r="A1034" i="282"/>
  <c r="A1033" i="282"/>
  <c r="A1032" i="282"/>
  <c r="A1031" i="282"/>
  <c r="A1030" i="282"/>
  <c r="A1029" i="282"/>
  <c r="A1028" i="282"/>
  <c r="A1027" i="282"/>
  <c r="A1026" i="282"/>
  <c r="A1025" i="282"/>
  <c r="A1024" i="282"/>
  <c r="A1023" i="282"/>
  <c r="A1022" i="282"/>
  <c r="A1021" i="282"/>
  <c r="A1020" i="282"/>
  <c r="A1019" i="282"/>
  <c r="A1018" i="282"/>
  <c r="A1017" i="282"/>
  <c r="A1016" i="282"/>
  <c r="A1015" i="282"/>
  <c r="A1014" i="282"/>
  <c r="A1013" i="282"/>
  <c r="A1012" i="282"/>
  <c r="A1011" i="282"/>
  <c r="A1010" i="282"/>
  <c r="A1009" i="282"/>
  <c r="A1008" i="282"/>
  <c r="A1007" i="282"/>
  <c r="A1006" i="282"/>
  <c r="A1005" i="282"/>
  <c r="A1004" i="282"/>
  <c r="A1003" i="282"/>
  <c r="A1002" i="282"/>
  <c r="A1001" i="282"/>
  <c r="A1000" i="282"/>
  <c r="A999" i="282"/>
  <c r="A998" i="282"/>
  <c r="A997" i="282"/>
  <c r="A996" i="282"/>
  <c r="A995" i="282"/>
  <c r="A994" i="282"/>
  <c r="A993" i="282"/>
  <c r="A992" i="282"/>
  <c r="A991" i="282"/>
  <c r="A990" i="282"/>
  <c r="A989" i="282"/>
  <c r="A988" i="282"/>
  <c r="A987" i="282"/>
  <c r="A986" i="282"/>
  <c r="A985" i="282"/>
  <c r="A984" i="282"/>
  <c r="A983" i="282"/>
  <c r="A982" i="282"/>
  <c r="A981" i="282"/>
  <c r="A980" i="282"/>
  <c r="A979" i="282"/>
  <c r="A978" i="282"/>
  <c r="A977" i="282"/>
  <c r="A976" i="282"/>
  <c r="A975" i="282"/>
  <c r="A974" i="282"/>
  <c r="A973" i="282"/>
  <c r="A972" i="282"/>
  <c r="A971" i="282"/>
  <c r="A970" i="282"/>
  <c r="A969" i="282"/>
  <c r="A968" i="282"/>
  <c r="A967" i="282"/>
  <c r="A966" i="282"/>
  <c r="A965" i="282"/>
  <c r="A964" i="282"/>
  <c r="A963" i="282"/>
  <c r="A962" i="282"/>
  <c r="A961" i="282"/>
  <c r="A960" i="282"/>
  <c r="A959" i="282"/>
  <c r="A958" i="282"/>
  <c r="A957" i="282"/>
  <c r="A956" i="282"/>
  <c r="A955" i="282"/>
  <c r="A954" i="282"/>
  <c r="A953" i="282"/>
  <c r="A952" i="282"/>
  <c r="A951" i="282"/>
  <c r="A950" i="282"/>
  <c r="A949" i="282"/>
  <c r="A948" i="282"/>
  <c r="A947" i="282"/>
  <c r="A946" i="282"/>
  <c r="A945" i="282"/>
  <c r="A944" i="282"/>
  <c r="A943" i="282"/>
  <c r="A942" i="282"/>
  <c r="A941" i="282"/>
  <c r="A940" i="282"/>
  <c r="A939" i="282"/>
  <c r="A938" i="282"/>
  <c r="A937" i="282"/>
  <c r="A936" i="282"/>
  <c r="A935" i="282"/>
  <c r="A934" i="282"/>
  <c r="A933" i="282"/>
  <c r="A932" i="282"/>
  <c r="A931" i="282"/>
  <c r="A930" i="282"/>
  <c r="A929" i="282"/>
  <c r="A928" i="282"/>
  <c r="A927" i="282"/>
  <c r="A926" i="282"/>
  <c r="A925" i="282"/>
  <c r="A924" i="282"/>
  <c r="A923" i="282"/>
  <c r="A922" i="282"/>
  <c r="A921" i="282"/>
  <c r="A920" i="282"/>
  <c r="A919" i="282"/>
  <c r="A918" i="282"/>
  <c r="A917" i="282"/>
  <c r="A916" i="282"/>
  <c r="A915" i="282"/>
  <c r="A914" i="282"/>
  <c r="A913" i="282"/>
  <c r="A912" i="282"/>
  <c r="A911" i="282"/>
  <c r="A910" i="282"/>
  <c r="A909" i="282"/>
  <c r="A908" i="282"/>
  <c r="A907" i="282"/>
  <c r="A906" i="282"/>
  <c r="A905" i="282"/>
  <c r="A904" i="282"/>
  <c r="A903" i="282"/>
  <c r="A902" i="282"/>
  <c r="A901" i="282"/>
  <c r="A900" i="282"/>
  <c r="A899" i="282"/>
  <c r="A898" i="282"/>
  <c r="A897" i="282"/>
  <c r="A896" i="282"/>
  <c r="A895" i="282"/>
  <c r="A894" i="282"/>
  <c r="A893" i="282"/>
  <c r="A892" i="282"/>
  <c r="A891" i="282"/>
  <c r="A890" i="282"/>
  <c r="A889" i="282"/>
  <c r="A888" i="282"/>
  <c r="A887" i="282"/>
  <c r="A886" i="282"/>
  <c r="A885" i="282"/>
  <c r="A884" i="282"/>
  <c r="A883" i="282"/>
  <c r="A882" i="282"/>
  <c r="A881" i="282"/>
  <c r="A880" i="282"/>
  <c r="A879" i="282"/>
  <c r="A878" i="282"/>
  <c r="A877" i="282"/>
  <c r="A876" i="282"/>
  <c r="A875" i="282"/>
  <c r="A874" i="282"/>
  <c r="A873" i="282"/>
  <c r="A872" i="282"/>
  <c r="A871" i="282"/>
  <c r="A870" i="282"/>
  <c r="A869" i="282"/>
  <c r="A868" i="282"/>
  <c r="A867" i="282"/>
  <c r="A866" i="282"/>
  <c r="A865" i="282"/>
  <c r="A864" i="282"/>
  <c r="A863" i="282"/>
  <c r="A862" i="282"/>
  <c r="A861" i="282"/>
  <c r="A860" i="282"/>
  <c r="A859" i="282"/>
  <c r="A858" i="282"/>
  <c r="A857" i="282"/>
  <c r="A856" i="282"/>
  <c r="A855" i="282"/>
  <c r="A854" i="282"/>
  <c r="A853" i="282"/>
  <c r="A852" i="282"/>
  <c r="A851" i="282"/>
  <c r="A850" i="282"/>
  <c r="A849" i="282"/>
  <c r="A848" i="282"/>
  <c r="A847" i="282"/>
  <c r="A846" i="282"/>
  <c r="A845" i="282"/>
  <c r="A844" i="282"/>
  <c r="A843" i="282"/>
  <c r="A842" i="282"/>
  <c r="A841" i="282"/>
  <c r="A840" i="282"/>
  <c r="A839" i="282"/>
  <c r="A838" i="282"/>
  <c r="A837" i="282"/>
  <c r="A836" i="282"/>
  <c r="A835" i="282"/>
  <c r="A834" i="282"/>
  <c r="A833" i="282"/>
  <c r="A832" i="282"/>
  <c r="A831" i="282"/>
  <c r="A830" i="282"/>
  <c r="A829" i="282"/>
  <c r="A828" i="282"/>
  <c r="A827" i="282"/>
  <c r="A826" i="282"/>
  <c r="A825" i="282"/>
  <c r="A824" i="282"/>
  <c r="A823" i="282"/>
  <c r="A822" i="282"/>
  <c r="A821" i="282"/>
  <c r="A820" i="282"/>
  <c r="A819" i="282"/>
  <c r="A818" i="282"/>
  <c r="A817" i="282"/>
  <c r="A816" i="282"/>
  <c r="A815" i="282"/>
  <c r="A814" i="282"/>
  <c r="A813" i="282"/>
  <c r="A812" i="282"/>
  <c r="A811" i="282"/>
  <c r="A810" i="282"/>
  <c r="A809" i="282"/>
  <c r="A808" i="282"/>
  <c r="A807" i="282"/>
  <c r="A806" i="282"/>
  <c r="A805" i="282"/>
  <c r="A804" i="282"/>
  <c r="A803" i="282"/>
  <c r="A802" i="282"/>
  <c r="A801" i="282"/>
  <c r="A800" i="282"/>
  <c r="A799" i="282"/>
  <c r="A798" i="282"/>
  <c r="A797" i="282"/>
  <c r="A796" i="282"/>
  <c r="A795" i="282"/>
  <c r="A794" i="282"/>
  <c r="A793" i="282"/>
  <c r="A792" i="282"/>
  <c r="A791" i="282"/>
  <c r="A790" i="282"/>
  <c r="A789" i="282"/>
  <c r="A788" i="282"/>
  <c r="A787" i="282"/>
  <c r="A786" i="282"/>
  <c r="A785" i="282"/>
  <c r="A784" i="282"/>
  <c r="A783" i="282"/>
  <c r="A782" i="282"/>
  <c r="A781" i="282"/>
  <c r="A780" i="282"/>
  <c r="A779" i="282"/>
  <c r="A778" i="282"/>
  <c r="A777" i="282"/>
  <c r="A776" i="282"/>
  <c r="A775" i="282"/>
  <c r="A774" i="282"/>
  <c r="A773" i="282"/>
  <c r="A772" i="282"/>
  <c r="A771" i="282"/>
  <c r="A770" i="282"/>
  <c r="A769" i="282"/>
  <c r="A768" i="282"/>
  <c r="A767" i="282"/>
  <c r="A766" i="282"/>
  <c r="A765" i="282"/>
  <c r="A764" i="282"/>
  <c r="A763" i="282"/>
  <c r="A762" i="282"/>
  <c r="A761" i="282"/>
  <c r="A760" i="282"/>
  <c r="A759" i="282"/>
  <c r="A758" i="282"/>
  <c r="A757" i="282"/>
  <c r="A756" i="282"/>
  <c r="A755" i="282"/>
  <c r="A754" i="282"/>
  <c r="A753" i="282"/>
  <c r="A752" i="282"/>
  <c r="A751" i="282"/>
  <c r="A750" i="282"/>
  <c r="A749" i="282"/>
  <c r="A748" i="282"/>
  <c r="A747" i="282"/>
  <c r="A746" i="282"/>
  <c r="A745" i="282"/>
  <c r="A744" i="282"/>
  <c r="A743" i="282"/>
  <c r="A742" i="282"/>
  <c r="A741" i="282"/>
  <c r="A740" i="282"/>
  <c r="A739" i="282"/>
  <c r="A738" i="282"/>
  <c r="A737" i="282"/>
  <c r="A736" i="282"/>
  <c r="A735" i="282"/>
  <c r="A734" i="282"/>
  <c r="A733" i="282"/>
  <c r="A732" i="282"/>
  <c r="A731" i="282"/>
  <c r="A730" i="282"/>
  <c r="A729" i="282"/>
  <c r="A728" i="282"/>
  <c r="A727" i="282"/>
  <c r="A726" i="282"/>
  <c r="A725" i="282"/>
  <c r="A724" i="282"/>
  <c r="A723" i="282"/>
  <c r="A722" i="282"/>
  <c r="A721" i="282"/>
  <c r="A720" i="282"/>
  <c r="A719" i="282"/>
  <c r="A718" i="282"/>
  <c r="A717" i="282"/>
  <c r="A716" i="282"/>
  <c r="A715" i="282"/>
  <c r="A714" i="282"/>
  <c r="A713" i="282"/>
  <c r="A712" i="282"/>
  <c r="A711" i="282"/>
  <c r="A710" i="282"/>
  <c r="A709" i="282"/>
  <c r="A708" i="282"/>
  <c r="A707" i="282"/>
  <c r="A706" i="282"/>
  <c r="A705" i="282"/>
  <c r="A704" i="282"/>
  <c r="A703" i="282"/>
  <c r="A702" i="282"/>
  <c r="A701" i="282"/>
  <c r="A700" i="282"/>
  <c r="A699" i="282"/>
  <c r="A698" i="282"/>
  <c r="A697" i="282"/>
  <c r="A696" i="282"/>
  <c r="A695" i="282"/>
  <c r="A694" i="282"/>
  <c r="A693" i="282"/>
  <c r="A692" i="282"/>
  <c r="A691" i="282"/>
  <c r="A690" i="282"/>
  <c r="A689" i="282"/>
  <c r="A688" i="282"/>
  <c r="A687" i="282"/>
  <c r="A686" i="282"/>
  <c r="A685" i="282"/>
  <c r="A684" i="282"/>
  <c r="A683" i="282"/>
  <c r="A682" i="282"/>
  <c r="A681" i="282"/>
  <c r="A680" i="282"/>
  <c r="A679" i="282"/>
  <c r="A678" i="282"/>
  <c r="A677" i="282"/>
  <c r="A676" i="282"/>
  <c r="A675" i="282"/>
  <c r="A674" i="282"/>
  <c r="A673" i="282"/>
  <c r="A672" i="282"/>
  <c r="A671" i="282"/>
  <c r="A670" i="282"/>
  <c r="A669" i="282"/>
  <c r="A668" i="282"/>
  <c r="A667" i="282"/>
  <c r="A666" i="282"/>
  <c r="A665" i="282"/>
  <c r="A664" i="282"/>
  <c r="A663" i="282"/>
  <c r="A662" i="282"/>
  <c r="A661" i="282"/>
  <c r="A660" i="282"/>
  <c r="A659" i="282"/>
  <c r="A658" i="282"/>
  <c r="A657" i="282"/>
  <c r="A656" i="282"/>
  <c r="A655" i="282"/>
  <c r="A654" i="282"/>
  <c r="A653" i="282"/>
  <c r="A652" i="282"/>
  <c r="A651" i="282"/>
  <c r="A650" i="282"/>
  <c r="A649" i="282"/>
  <c r="A648" i="282"/>
  <c r="A647" i="282"/>
  <c r="A646" i="282"/>
  <c r="A645" i="282"/>
  <c r="A644" i="282"/>
  <c r="A643" i="282"/>
  <c r="A642" i="282"/>
  <c r="A641" i="282"/>
  <c r="A640" i="282"/>
  <c r="A639" i="282"/>
  <c r="A638" i="282"/>
  <c r="A637" i="282"/>
  <c r="A636" i="282"/>
  <c r="A635" i="282"/>
  <c r="A634" i="282"/>
  <c r="A633" i="282"/>
  <c r="A632" i="282"/>
  <c r="A631" i="282"/>
  <c r="A630" i="282"/>
  <c r="A629" i="282"/>
  <c r="A628" i="282"/>
  <c r="A627" i="282"/>
  <c r="A626" i="282"/>
  <c r="A625" i="282"/>
  <c r="A624" i="282"/>
  <c r="A623" i="282"/>
  <c r="A622" i="282"/>
  <c r="A621" i="282"/>
  <c r="A620" i="282"/>
  <c r="A619" i="282"/>
  <c r="A618" i="282"/>
  <c r="A617" i="282"/>
  <c r="A616" i="282"/>
  <c r="A615" i="282"/>
  <c r="A614" i="282"/>
  <c r="A613" i="282"/>
  <c r="A612" i="282"/>
  <c r="A611" i="282"/>
  <c r="A610" i="282"/>
  <c r="A609" i="282"/>
  <c r="A608" i="282"/>
  <c r="A607" i="282"/>
  <c r="A606" i="282"/>
  <c r="A605" i="282"/>
  <c r="A604" i="282"/>
  <c r="A603" i="282"/>
  <c r="A602" i="282"/>
  <c r="A601" i="282"/>
  <c r="A600" i="282"/>
  <c r="A599" i="282"/>
  <c r="A598" i="282"/>
  <c r="A597" i="282"/>
  <c r="A596" i="282"/>
  <c r="A595" i="282"/>
  <c r="A594" i="282"/>
  <c r="A593" i="282"/>
  <c r="A592" i="282"/>
  <c r="A591" i="282"/>
  <c r="A590" i="282"/>
  <c r="A589" i="282"/>
  <c r="A588" i="282"/>
  <c r="A587" i="282"/>
  <c r="A586" i="282"/>
  <c r="A585" i="282"/>
  <c r="A584" i="282"/>
  <c r="A583" i="282"/>
  <c r="A582" i="282"/>
  <c r="A581" i="282"/>
  <c r="A580" i="282"/>
  <c r="A579" i="282"/>
  <c r="A578" i="282"/>
  <c r="A577" i="282"/>
  <c r="A576" i="282"/>
  <c r="A575" i="282"/>
  <c r="A574" i="282"/>
  <c r="A573" i="282"/>
  <c r="A572" i="282"/>
  <c r="A571" i="282"/>
  <c r="A570" i="282"/>
  <c r="A569" i="282"/>
  <c r="A568" i="282"/>
  <c r="A567" i="282"/>
  <c r="A566" i="282"/>
  <c r="A565" i="282"/>
  <c r="A564" i="282"/>
  <c r="A563" i="282"/>
  <c r="A562" i="282"/>
  <c r="A561" i="282"/>
  <c r="A560" i="282"/>
  <c r="A559" i="282"/>
  <c r="A558" i="282"/>
  <c r="A557" i="282"/>
  <c r="A556" i="282"/>
  <c r="A555" i="282"/>
  <c r="A554" i="282"/>
  <c r="A553" i="282"/>
  <c r="A552" i="282"/>
  <c r="A551" i="282"/>
  <c r="A550" i="282"/>
  <c r="A549" i="282"/>
  <c r="A548" i="282"/>
  <c r="A547" i="282"/>
  <c r="A546" i="282"/>
  <c r="A545" i="282"/>
  <c r="A544" i="282"/>
  <c r="A543" i="282"/>
  <c r="A542" i="282"/>
  <c r="A541" i="282"/>
  <c r="A540" i="282"/>
  <c r="A539" i="282"/>
  <c r="A538" i="282"/>
  <c r="A537" i="282"/>
  <c r="A536" i="282"/>
  <c r="A535" i="282"/>
  <c r="A534" i="282"/>
  <c r="A533" i="282"/>
  <c r="A532" i="282"/>
  <c r="A531" i="282"/>
  <c r="A530" i="282"/>
  <c r="A529" i="282"/>
  <c r="A528" i="282"/>
  <c r="A527" i="282"/>
  <c r="A526" i="282"/>
  <c r="A525" i="282"/>
  <c r="A524" i="282"/>
  <c r="A523" i="282"/>
  <c r="A522" i="282"/>
  <c r="A521" i="282"/>
  <c r="A520" i="282"/>
  <c r="A519" i="282"/>
  <c r="A518" i="282"/>
  <c r="A517" i="282"/>
  <c r="A516" i="282"/>
  <c r="A515" i="282"/>
  <c r="A514" i="282"/>
  <c r="A513" i="282"/>
  <c r="A512" i="282"/>
  <c r="A511" i="282"/>
  <c r="A510" i="282"/>
  <c r="A509" i="282"/>
  <c r="A508" i="282"/>
  <c r="A507" i="282"/>
  <c r="A506" i="282"/>
  <c r="A505" i="282"/>
  <c r="A504" i="282"/>
  <c r="A503" i="282"/>
  <c r="A502" i="282"/>
  <c r="A501" i="282"/>
  <c r="A500" i="282"/>
  <c r="A499" i="282"/>
  <c r="A498" i="282"/>
  <c r="A497" i="282"/>
  <c r="A496" i="282"/>
  <c r="A495" i="282"/>
  <c r="A494" i="282"/>
  <c r="A493" i="282"/>
  <c r="A492" i="282"/>
  <c r="A491" i="282"/>
  <c r="A490" i="282"/>
  <c r="A489" i="282"/>
  <c r="A488" i="282"/>
  <c r="A487" i="282"/>
  <c r="A486" i="282"/>
  <c r="A485" i="282"/>
  <c r="A484" i="282"/>
  <c r="A483" i="282"/>
  <c r="A482" i="282"/>
  <c r="A481" i="282"/>
  <c r="A480" i="282"/>
  <c r="A479" i="282"/>
  <c r="A478" i="282"/>
  <c r="A477" i="282"/>
  <c r="A476" i="282"/>
  <c r="A475" i="282"/>
  <c r="A474" i="282"/>
  <c r="A473" i="282"/>
  <c r="A472" i="282"/>
  <c r="A471" i="282"/>
  <c r="A470" i="282"/>
  <c r="A469" i="282"/>
  <c r="A468" i="282"/>
  <c r="A467" i="282"/>
  <c r="A466" i="282"/>
  <c r="A465" i="282"/>
  <c r="A464" i="282"/>
  <c r="A463" i="282"/>
  <c r="A462" i="282"/>
  <c r="A461" i="282"/>
  <c r="A460" i="282"/>
  <c r="A459" i="282"/>
  <c r="A458" i="282"/>
  <c r="A457" i="282"/>
  <c r="A456" i="282"/>
  <c r="A455" i="282"/>
  <c r="A454" i="282"/>
  <c r="A453" i="282"/>
  <c r="A452" i="282"/>
  <c r="A451" i="282"/>
  <c r="A450" i="282"/>
  <c r="A449" i="282"/>
  <c r="A448" i="282"/>
  <c r="A447" i="282"/>
  <c r="A446" i="282"/>
  <c r="A445" i="282"/>
  <c r="A444" i="282"/>
  <c r="A443" i="282"/>
  <c r="A442" i="282"/>
  <c r="A441" i="282"/>
  <c r="A440" i="282"/>
  <c r="A439" i="282"/>
  <c r="A438" i="282"/>
  <c r="A437" i="282"/>
  <c r="A436" i="282"/>
  <c r="A435" i="282"/>
  <c r="A434" i="282"/>
  <c r="A433" i="282"/>
  <c r="A432" i="282"/>
  <c r="A431" i="282"/>
  <c r="A430" i="282"/>
  <c r="A429" i="282"/>
  <c r="A428" i="282"/>
  <c r="A427" i="282"/>
  <c r="A426" i="282"/>
  <c r="A425" i="282"/>
  <c r="A424" i="282"/>
  <c r="A423" i="282"/>
  <c r="A422" i="282"/>
  <c r="A421" i="282"/>
  <c r="A420" i="282"/>
  <c r="A419" i="282"/>
  <c r="A418" i="282"/>
  <c r="A417" i="282"/>
  <c r="A416" i="282"/>
  <c r="A415" i="282"/>
  <c r="A414" i="282"/>
  <c r="A413" i="282"/>
  <c r="A412" i="282"/>
  <c r="A411" i="282"/>
  <c r="A410" i="282"/>
  <c r="A409" i="282"/>
  <c r="A408" i="282"/>
  <c r="A407" i="282"/>
  <c r="A406" i="282"/>
  <c r="A405" i="282"/>
  <c r="A404" i="282"/>
  <c r="A403" i="282"/>
  <c r="A402" i="282"/>
  <c r="A401" i="282"/>
  <c r="A400" i="282"/>
  <c r="A399" i="282"/>
  <c r="A398" i="282"/>
  <c r="A397" i="282"/>
  <c r="A396" i="282"/>
  <c r="A395" i="282"/>
  <c r="A394" i="282"/>
  <c r="A393" i="282"/>
  <c r="A392" i="282"/>
  <c r="A391" i="282"/>
  <c r="A390" i="282"/>
  <c r="A389" i="282"/>
  <c r="A388" i="282"/>
  <c r="A387" i="282"/>
  <c r="A386" i="282"/>
  <c r="A385" i="282"/>
  <c r="A384" i="282"/>
  <c r="A383" i="282"/>
  <c r="A382" i="282"/>
  <c r="A381" i="282"/>
  <c r="A380" i="282"/>
  <c r="A379" i="282"/>
  <c r="A378" i="282"/>
  <c r="A377" i="282"/>
  <c r="A376" i="282"/>
  <c r="A375" i="282"/>
  <c r="A374" i="282"/>
  <c r="A373" i="282"/>
  <c r="A372" i="282"/>
  <c r="A371" i="282"/>
  <c r="A370" i="282"/>
  <c r="A369" i="282"/>
  <c r="A368" i="282"/>
  <c r="A367" i="282"/>
  <c r="A366" i="282"/>
  <c r="A365" i="282"/>
  <c r="A364" i="282"/>
  <c r="A363" i="282"/>
  <c r="A362" i="282"/>
  <c r="A361" i="282"/>
  <c r="A360" i="282"/>
  <c r="A359" i="282"/>
  <c r="A358" i="282"/>
  <c r="A357" i="282"/>
  <c r="A356" i="282"/>
  <c r="A355" i="282"/>
  <c r="A354" i="282"/>
  <c r="A353" i="282"/>
  <c r="A352" i="282"/>
  <c r="A351" i="282"/>
  <c r="A350" i="282"/>
  <c r="A349" i="282"/>
  <c r="A348" i="282"/>
  <c r="A347" i="282"/>
  <c r="A346" i="282"/>
  <c r="A345" i="282"/>
  <c r="A344" i="282"/>
  <c r="A343" i="282"/>
  <c r="A342" i="282"/>
  <c r="A341" i="282"/>
  <c r="A340" i="282"/>
  <c r="A339" i="282"/>
  <c r="A338" i="282"/>
  <c r="A337" i="282"/>
  <c r="A336" i="282"/>
  <c r="A335" i="282"/>
  <c r="A334" i="282"/>
  <c r="A333" i="282"/>
  <c r="A332" i="282"/>
  <c r="A331" i="282"/>
  <c r="A330" i="282"/>
  <c r="A329" i="282"/>
  <c r="A328" i="282"/>
  <c r="A327" i="282"/>
  <c r="A326" i="282"/>
  <c r="A325" i="282"/>
  <c r="A324" i="282"/>
  <c r="A323" i="282"/>
  <c r="A322" i="282"/>
  <c r="A321" i="282"/>
  <c r="A320" i="282"/>
  <c r="A319" i="282"/>
  <c r="A318" i="282"/>
  <c r="A317" i="282"/>
  <c r="A316" i="282"/>
  <c r="A315" i="282"/>
  <c r="A314" i="282"/>
  <c r="A313" i="282"/>
  <c r="A312" i="282"/>
  <c r="A311" i="282"/>
  <c r="A310" i="282"/>
  <c r="A309" i="282"/>
  <c r="A308" i="282"/>
  <c r="A307" i="282"/>
  <c r="A306" i="282"/>
  <c r="A305" i="282"/>
  <c r="A304" i="282"/>
  <c r="A303" i="282"/>
  <c r="A302" i="282"/>
  <c r="A301" i="282"/>
  <c r="A300" i="282"/>
  <c r="A299" i="282"/>
  <c r="A298" i="282"/>
  <c r="A297" i="282"/>
  <c r="A296" i="282"/>
  <c r="A295" i="282"/>
  <c r="A294" i="282"/>
  <c r="A293" i="282"/>
  <c r="A292" i="282"/>
  <c r="A291" i="282"/>
  <c r="A290" i="282"/>
  <c r="A289" i="282"/>
  <c r="A288" i="282"/>
  <c r="A287" i="282"/>
  <c r="A286" i="282"/>
  <c r="A285" i="282"/>
  <c r="A284" i="282"/>
  <c r="A283" i="282"/>
  <c r="A282" i="282"/>
  <c r="A281" i="282"/>
  <c r="A280" i="282"/>
  <c r="A279" i="282"/>
  <c r="A278" i="282"/>
  <c r="A277" i="282"/>
  <c r="A276" i="282"/>
  <c r="A275" i="282"/>
  <c r="A274" i="282"/>
  <c r="A273" i="282"/>
  <c r="A272" i="282"/>
  <c r="A271" i="282"/>
  <c r="A270" i="282"/>
  <c r="A269" i="282"/>
  <c r="A268" i="282"/>
  <c r="A267" i="282"/>
  <c r="A266" i="282"/>
  <c r="A265" i="282"/>
  <c r="A264" i="282"/>
  <c r="A263" i="282"/>
  <c r="A262" i="282"/>
  <c r="A261" i="282"/>
  <c r="A260" i="282"/>
  <c r="A259" i="282"/>
  <c r="A258" i="282"/>
  <c r="A257" i="282"/>
  <c r="A256" i="282"/>
  <c r="A255" i="282"/>
  <c r="A254" i="282"/>
  <c r="A253" i="282"/>
  <c r="A252" i="282"/>
  <c r="A251" i="282"/>
  <c r="A250" i="282"/>
  <c r="A249" i="282"/>
  <c r="A248" i="282"/>
  <c r="A247" i="282"/>
  <c r="A246" i="282"/>
  <c r="A245" i="282"/>
  <c r="A244" i="282"/>
  <c r="A243" i="282"/>
  <c r="A242" i="282"/>
  <c r="A241" i="282"/>
  <c r="A240" i="282"/>
  <c r="A239" i="282"/>
  <c r="A238" i="282"/>
  <c r="A237" i="282"/>
  <c r="A236" i="282"/>
  <c r="A235" i="282"/>
  <c r="A234" i="282"/>
  <c r="A233" i="282"/>
  <c r="A232" i="282"/>
  <c r="A231" i="282"/>
  <c r="A230" i="282"/>
  <c r="A229" i="282"/>
  <c r="A228" i="282"/>
  <c r="A227" i="282"/>
  <c r="A226" i="282"/>
  <c r="A225" i="282"/>
  <c r="A224" i="282"/>
  <c r="A223" i="282"/>
  <c r="A222" i="282"/>
  <c r="A221" i="282"/>
  <c r="A220" i="282"/>
  <c r="A219" i="282"/>
  <c r="A218" i="282"/>
  <c r="A217" i="282"/>
  <c r="A216" i="282"/>
  <c r="A215" i="282"/>
  <c r="A214" i="282"/>
  <c r="A213" i="282"/>
  <c r="A212" i="282"/>
  <c r="A211" i="282"/>
  <c r="A210" i="282"/>
  <c r="A209" i="282"/>
  <c r="A208" i="282"/>
  <c r="A207" i="282"/>
  <c r="A206" i="282"/>
  <c r="A205" i="282"/>
  <c r="A204" i="282"/>
  <c r="A203" i="282"/>
  <c r="A202" i="282"/>
  <c r="A201" i="282"/>
  <c r="A200" i="282"/>
  <c r="A199" i="282"/>
  <c r="A198" i="282"/>
  <c r="A197" i="282"/>
  <c r="A196" i="282"/>
  <c r="A195" i="282"/>
  <c r="A194" i="282"/>
  <c r="A193" i="282"/>
  <c r="A192" i="282"/>
  <c r="A191" i="282"/>
  <c r="A190" i="282"/>
  <c r="A189" i="282"/>
  <c r="A188" i="282"/>
  <c r="A187" i="282"/>
  <c r="A186" i="282"/>
  <c r="A185" i="282"/>
  <c r="A184" i="282"/>
  <c r="A183" i="282"/>
  <c r="A182" i="282"/>
  <c r="A181" i="282"/>
  <c r="A180" i="282"/>
  <c r="A179" i="282"/>
  <c r="A178" i="282"/>
  <c r="A177" i="282"/>
  <c r="A176" i="282"/>
  <c r="A175" i="282"/>
  <c r="A174" i="282"/>
  <c r="A173" i="282"/>
  <c r="A172" i="282"/>
  <c r="A171" i="282"/>
  <c r="A170" i="282"/>
  <c r="A169" i="282"/>
  <c r="A168" i="282"/>
  <c r="A167" i="282"/>
  <c r="A166" i="282"/>
  <c r="A165" i="282"/>
  <c r="A164" i="282"/>
  <c r="A163" i="282"/>
  <c r="A162" i="282"/>
  <c r="A161" i="282"/>
  <c r="A160" i="282"/>
  <c r="A159" i="282"/>
  <c r="A158" i="282"/>
  <c r="A157" i="282"/>
  <c r="A156" i="282"/>
  <c r="A155" i="282"/>
  <c r="A154" i="282"/>
  <c r="A153" i="282"/>
  <c r="A152" i="282"/>
  <c r="A151" i="282"/>
  <c r="A150" i="282"/>
  <c r="A149" i="282"/>
  <c r="A148" i="282"/>
  <c r="A147" i="282"/>
  <c r="A146" i="282"/>
  <c r="A145" i="282"/>
  <c r="A144" i="282"/>
  <c r="A143" i="282"/>
  <c r="A142" i="282"/>
  <c r="A141" i="282"/>
  <c r="A140" i="282"/>
  <c r="A139" i="282"/>
  <c r="A138" i="282"/>
  <c r="A137" i="282"/>
  <c r="A136" i="282"/>
  <c r="A135" i="282"/>
  <c r="A134" i="282"/>
  <c r="A133" i="282"/>
  <c r="A132" i="282"/>
  <c r="A131" i="282"/>
  <c r="A130" i="282"/>
  <c r="A129" i="282"/>
  <c r="A128" i="282"/>
  <c r="A127" i="282"/>
  <c r="A126" i="282"/>
  <c r="A125" i="282"/>
  <c r="A124" i="282"/>
  <c r="A123" i="282"/>
  <c r="A122" i="282"/>
  <c r="A121" i="282"/>
  <c r="A120" i="282"/>
  <c r="A119" i="282"/>
  <c r="A118" i="282"/>
  <c r="A117" i="282"/>
  <c r="A116" i="282"/>
  <c r="A115" i="282"/>
  <c r="A114" i="282"/>
  <c r="A113" i="282"/>
  <c r="A112" i="282"/>
  <c r="A111" i="282"/>
  <c r="A110" i="282"/>
  <c r="A109" i="282"/>
  <c r="A108" i="282"/>
  <c r="A107" i="282"/>
  <c r="A106" i="282"/>
  <c r="A105" i="282"/>
  <c r="A104" i="282"/>
  <c r="A103" i="282"/>
  <c r="A102" i="282"/>
  <c r="A101" i="282"/>
  <c r="A100" i="282"/>
  <c r="A99" i="282"/>
  <c r="A98" i="282"/>
  <c r="A97" i="282"/>
  <c r="A96" i="282"/>
  <c r="A95" i="282"/>
  <c r="A94" i="282"/>
  <c r="A93" i="282"/>
  <c r="A92" i="282"/>
  <c r="A91" i="282"/>
  <c r="A90" i="282"/>
  <c r="A89" i="282"/>
  <c r="A88" i="282"/>
  <c r="A87" i="282"/>
  <c r="A86" i="282"/>
  <c r="A85" i="282"/>
  <c r="A84" i="282"/>
  <c r="A83" i="282"/>
  <c r="A82" i="282"/>
  <c r="A81" i="282"/>
  <c r="A80" i="282"/>
  <c r="A79" i="282"/>
  <c r="A78" i="282"/>
  <c r="A77" i="282"/>
  <c r="A76" i="282"/>
  <c r="A75" i="282"/>
  <c r="A74" i="282"/>
  <c r="A73" i="282"/>
  <c r="A72" i="282"/>
  <c r="A71" i="282"/>
  <c r="A70" i="282"/>
  <c r="A69" i="282"/>
  <c r="A68" i="282"/>
  <c r="A67" i="282"/>
  <c r="A66" i="282"/>
  <c r="A65" i="282"/>
  <c r="A64" i="282"/>
  <c r="A63" i="282"/>
  <c r="A62" i="282"/>
  <c r="A61" i="282"/>
  <c r="A60" i="282"/>
  <c r="A59" i="282"/>
  <c r="A58" i="282"/>
  <c r="A57" i="282"/>
  <c r="A56" i="282"/>
  <c r="A55" i="282"/>
  <c r="A54" i="282"/>
  <c r="A53" i="282"/>
  <c r="A52" i="282"/>
  <c r="A51" i="282"/>
  <c r="A50" i="282"/>
  <c r="A49" i="282"/>
  <c r="A48" i="282"/>
  <c r="A47" i="282"/>
  <c r="A46" i="282"/>
  <c r="A45" i="282"/>
  <c r="A44" i="282"/>
  <c r="A43" i="282"/>
  <c r="A42" i="282"/>
  <c r="A41" i="282"/>
  <c r="A40" i="282"/>
  <c r="A39" i="282"/>
  <c r="A38" i="282"/>
  <c r="A37" i="282"/>
  <c r="A36" i="282"/>
  <c r="A35" i="282"/>
  <c r="A34" i="282"/>
  <c r="A33" i="282"/>
  <c r="A32" i="282"/>
  <c r="A31" i="282"/>
  <c r="A30" i="282"/>
  <c r="A29" i="282"/>
  <c r="A28" i="282"/>
  <c r="A27" i="282"/>
  <c r="A26" i="282"/>
  <c r="A25" i="282"/>
  <c r="A24" i="282"/>
  <c r="A23" i="282"/>
  <c r="A22" i="282"/>
  <c r="A21" i="282"/>
  <c r="A20" i="282"/>
  <c r="A19" i="282"/>
  <c r="A18" i="282"/>
  <c r="A17" i="282"/>
  <c r="A16" i="282"/>
  <c r="A15" i="282"/>
  <c r="A14" i="282"/>
  <c r="A13" i="282"/>
  <c r="A12" i="282"/>
  <c r="A11" i="282"/>
  <c r="A10" i="282"/>
  <c r="A9" i="282"/>
  <c r="A8" i="282"/>
  <c r="A7" i="282"/>
  <c r="A6" i="282"/>
  <c r="A5" i="282"/>
  <c r="A4" i="282"/>
  <c r="A3" i="282"/>
  <c r="A2" i="282"/>
  <c r="E63" i="278"/>
  <c r="E67" i="278"/>
  <c r="E74" i="278"/>
  <c r="E64" i="278"/>
  <c r="E58" i="278"/>
  <c r="E57" i="278"/>
  <c r="E56" i="278"/>
  <c r="E55" i="278"/>
  <c r="E54" i="278"/>
  <c r="E53" i="278"/>
  <c r="E52" i="278"/>
  <c r="E51" i="278"/>
  <c r="E48" i="278"/>
  <c r="E47" i="278"/>
  <c r="E46" i="278"/>
  <c r="E41" i="278"/>
  <c r="E40" i="278"/>
  <c r="E39" i="278"/>
  <c r="E38" i="278"/>
  <c r="E37" i="278"/>
  <c r="E36" i="278"/>
  <c r="E35" i="278"/>
  <c r="E32" i="278"/>
  <c r="E31" i="278"/>
  <c r="E30" i="278"/>
  <c r="E29" i="278"/>
  <c r="E28" i="278"/>
  <c r="E25" i="278"/>
  <c r="E24" i="278"/>
  <c r="E23" i="278"/>
  <c r="E22" i="278"/>
  <c r="E21" i="278"/>
  <c r="E20" i="278"/>
  <c r="E15" i="278"/>
  <c r="E14" i="278"/>
  <c r="E12" i="278"/>
  <c r="E11" i="278"/>
  <c r="E10" i="278"/>
  <c r="E8" i="278"/>
  <c r="I165" i="268"/>
  <c r="I164" i="268" s="1"/>
  <c r="I163" i="268" s="1"/>
  <c r="I162" i="268" s="1"/>
  <c r="I161" i="268" s="1"/>
  <c r="I160" i="268" s="1"/>
  <c r="I159" i="268" s="1"/>
  <c r="I158" i="268" s="1"/>
  <c r="I157" i="268" s="1"/>
  <c r="I156" i="268" s="1"/>
  <c r="I155" i="268" s="1"/>
  <c r="I154" i="268" s="1"/>
  <c r="I153" i="268" s="1"/>
  <c r="I152" i="268" s="1"/>
  <c r="I151" i="268" s="1"/>
  <c r="I150" i="268" s="1"/>
  <c r="I149" i="268" s="1"/>
  <c r="I148" i="268" s="1"/>
  <c r="I147" i="268" s="1"/>
  <c r="I146" i="268" s="1"/>
  <c r="I145" i="268" s="1"/>
  <c r="I144" i="268" s="1"/>
  <c r="I143" i="268" s="1"/>
  <c r="I142" i="268" s="1"/>
  <c r="I141" i="268" s="1"/>
  <c r="I140" i="268" s="1"/>
  <c r="I139" i="268" s="1"/>
  <c r="I138" i="268" s="1"/>
  <c r="I137" i="268" s="1"/>
  <c r="I136" i="268" s="1"/>
  <c r="I135" i="268" s="1"/>
  <c r="I134" i="268" s="1"/>
  <c r="I133" i="268" s="1"/>
  <c r="I132" i="268" s="1"/>
  <c r="I131" i="268" s="1"/>
  <c r="I130" i="268" s="1"/>
  <c r="I129" i="268" s="1"/>
  <c r="I128" i="268" s="1"/>
  <c r="I127" i="268" s="1"/>
  <c r="I126" i="268" s="1"/>
  <c r="I125" i="268" s="1"/>
  <c r="I124" i="268" s="1"/>
  <c r="I123" i="268" s="1"/>
  <c r="I122" i="268" s="1"/>
  <c r="I121" i="268" s="1"/>
  <c r="I120" i="268" s="1"/>
  <c r="I119" i="268" s="1"/>
  <c r="I118" i="268" s="1"/>
  <c r="I117" i="268" s="1"/>
  <c r="I116" i="268" s="1"/>
  <c r="I115" i="268" s="1"/>
  <c r="I114" i="268" s="1"/>
  <c r="I113" i="268" s="1"/>
  <c r="I112" i="268" s="1"/>
  <c r="I111" i="268" s="1"/>
  <c r="I110" i="268" s="1"/>
  <c r="I109" i="268" s="1"/>
  <c r="I108" i="268" s="1"/>
  <c r="I107" i="268" s="1"/>
  <c r="I106" i="268" s="1"/>
  <c r="I105" i="268" s="1"/>
  <c r="I104" i="268" s="1"/>
  <c r="I103" i="268" s="1"/>
  <c r="I102" i="268" s="1"/>
  <c r="I101" i="268" s="1"/>
  <c r="I100" i="268" s="1"/>
  <c r="I99" i="268" s="1"/>
  <c r="I98" i="268" s="1"/>
  <c r="I97" i="268" s="1"/>
  <c r="I96" i="268" s="1"/>
  <c r="I95" i="268" s="1"/>
  <c r="I94" i="268" s="1"/>
  <c r="I93" i="268" s="1"/>
  <c r="I92" i="268" s="1"/>
  <c r="I91" i="268" s="1"/>
  <c r="I90" i="268" s="1"/>
  <c r="I89" i="268" s="1"/>
  <c r="I88" i="268" s="1"/>
  <c r="I87" i="268" s="1"/>
  <c r="I86" i="268" s="1"/>
  <c r="I85" i="268" s="1"/>
  <c r="I84" i="268" s="1"/>
  <c r="I83" i="268" s="1"/>
  <c r="I82" i="268" s="1"/>
  <c r="I81" i="268" s="1"/>
  <c r="I80" i="268" s="1"/>
  <c r="I79" i="268" s="1"/>
  <c r="I78" i="268" s="1"/>
  <c r="I77" i="268" s="1"/>
  <c r="I76" i="268" s="1"/>
  <c r="I75" i="268" s="1"/>
  <c r="I74" i="268" s="1"/>
  <c r="I73" i="268" s="1"/>
  <c r="I72" i="268" s="1"/>
  <c r="I71" i="268" s="1"/>
  <c r="I70" i="268" s="1"/>
  <c r="I69" i="268" s="1"/>
  <c r="I68" i="268" s="1"/>
  <c r="I67" i="268" s="1"/>
  <c r="I66" i="268" s="1"/>
  <c r="I65" i="268" s="1"/>
  <c r="I64" i="268" s="1"/>
  <c r="I63" i="268" s="1"/>
  <c r="I62" i="268" s="1"/>
  <c r="I61" i="268" s="1"/>
  <c r="I60" i="268" s="1"/>
  <c r="I59" i="268" s="1"/>
  <c r="I58" i="268" s="1"/>
  <c r="I57" i="268" s="1"/>
  <c r="I56" i="268" s="1"/>
  <c r="I55" i="268" s="1"/>
  <c r="I54" i="268" s="1"/>
  <c r="I53" i="268" s="1"/>
  <c r="I52" i="268" s="1"/>
  <c r="I51" i="268" s="1"/>
  <c r="I50" i="268" s="1"/>
  <c r="I49" i="268" s="1"/>
  <c r="I48" i="268" s="1"/>
  <c r="I47" i="268" s="1"/>
  <c r="I46" i="268" s="1"/>
  <c r="I45" i="268" s="1"/>
  <c r="I44" i="268" s="1"/>
  <c r="I43" i="268" s="1"/>
  <c r="I42" i="268" s="1"/>
  <c r="I41" i="268" s="1"/>
  <c r="I40" i="268" s="1"/>
  <c r="I39" i="268" s="1"/>
  <c r="I38" i="268" s="1"/>
  <c r="I37" i="268" s="1"/>
  <c r="I36" i="268" s="1"/>
  <c r="I35" i="268" s="1"/>
  <c r="I34" i="268" s="1"/>
  <c r="I33" i="268" s="1"/>
  <c r="I32" i="268" s="1"/>
  <c r="I31" i="268" s="1"/>
  <c r="I30" i="268" s="1"/>
  <c r="I29" i="268" s="1"/>
  <c r="I28" i="268" s="1"/>
  <c r="I27" i="268" s="1"/>
  <c r="I26" i="268" s="1"/>
  <c r="I25" i="268" s="1"/>
  <c r="I24" i="268" s="1"/>
  <c r="I23" i="268" s="1"/>
  <c r="I22" i="268" s="1"/>
  <c r="I21" i="268" s="1"/>
  <c r="I20" i="268" s="1"/>
  <c r="I19" i="268" s="1"/>
  <c r="I18" i="268" s="1"/>
  <c r="I17" i="268" s="1"/>
  <c r="I16" i="268" s="1"/>
  <c r="I15" i="268" s="1"/>
  <c r="I14" i="268" s="1"/>
  <c r="I13" i="268" s="1"/>
  <c r="I12" i="268" s="1"/>
  <c r="I11" i="268" s="1"/>
  <c r="I10" i="268" s="1"/>
  <c r="I9" i="268" s="1"/>
  <c r="I8" i="268" s="1"/>
  <c r="I7" i="268" s="1"/>
  <c r="I6" i="268" s="1"/>
  <c r="I5" i="268" s="1"/>
  <c r="I4" i="268" s="1"/>
  <c r="I3" i="268" s="1"/>
  <c r="I2" i="268" s="1"/>
  <c r="I171" i="269"/>
  <c r="I170" i="269" s="1"/>
  <c r="I169" i="269" s="1"/>
  <c r="I168" i="269" s="1"/>
  <c r="I167" i="269" s="1"/>
  <c r="I166" i="269" s="1"/>
  <c r="I165" i="269" s="1"/>
  <c r="I164" i="269" s="1"/>
  <c r="I163" i="269" s="1"/>
  <c r="I162" i="269" s="1"/>
  <c r="I161" i="269" s="1"/>
  <c r="I160" i="269" s="1"/>
  <c r="I159" i="269" s="1"/>
  <c r="I158" i="269" s="1"/>
  <c r="I157" i="269" s="1"/>
  <c r="I156" i="269" s="1"/>
  <c r="I155" i="269" s="1"/>
  <c r="I154" i="269" s="1"/>
  <c r="I153" i="269" s="1"/>
  <c r="I152" i="269" s="1"/>
  <c r="I151" i="269" s="1"/>
  <c r="I150" i="269" s="1"/>
  <c r="I149" i="269" s="1"/>
  <c r="I148" i="269" s="1"/>
  <c r="I147" i="269" s="1"/>
  <c r="I146" i="269" s="1"/>
  <c r="I145" i="269" s="1"/>
  <c r="I144" i="269" s="1"/>
  <c r="I143" i="269" s="1"/>
  <c r="I142" i="269" s="1"/>
  <c r="I141" i="269" s="1"/>
  <c r="I140" i="269" s="1"/>
  <c r="I139" i="269" s="1"/>
  <c r="I138" i="269" s="1"/>
  <c r="I137" i="269" s="1"/>
  <c r="I136" i="269" s="1"/>
  <c r="I135" i="269" s="1"/>
  <c r="I134" i="269" s="1"/>
  <c r="I133" i="269" s="1"/>
  <c r="I132" i="269" s="1"/>
  <c r="I131" i="269" s="1"/>
  <c r="I130" i="269" s="1"/>
  <c r="I129" i="269" s="1"/>
  <c r="I128" i="269" s="1"/>
  <c r="I127" i="269" s="1"/>
  <c r="I126" i="269" s="1"/>
  <c r="I125" i="269" s="1"/>
  <c r="I124" i="269" s="1"/>
  <c r="I123" i="269" s="1"/>
  <c r="I122" i="269" s="1"/>
  <c r="I121" i="269" s="1"/>
  <c r="I120" i="269" s="1"/>
  <c r="I119" i="269" s="1"/>
  <c r="I118" i="269" s="1"/>
  <c r="I117" i="269" s="1"/>
  <c r="I116" i="269" s="1"/>
  <c r="I115" i="269" s="1"/>
  <c r="I114" i="269" s="1"/>
  <c r="I113" i="269" s="1"/>
  <c r="I112" i="269" s="1"/>
  <c r="I111" i="269" s="1"/>
  <c r="I110" i="269" s="1"/>
  <c r="I109" i="269" s="1"/>
  <c r="I108" i="269" s="1"/>
  <c r="I107" i="269" s="1"/>
  <c r="I106" i="269" s="1"/>
  <c r="I105" i="269" s="1"/>
  <c r="I104" i="269" s="1"/>
  <c r="I103" i="269" s="1"/>
  <c r="I102" i="269" s="1"/>
  <c r="I101" i="269" s="1"/>
  <c r="I100" i="269" s="1"/>
  <c r="I99" i="269" s="1"/>
  <c r="I98" i="269" s="1"/>
  <c r="I97" i="269" s="1"/>
  <c r="I96" i="269" s="1"/>
  <c r="I95" i="269" s="1"/>
  <c r="I94" i="269" s="1"/>
  <c r="I93" i="269" s="1"/>
  <c r="I92" i="269" s="1"/>
  <c r="I91" i="269" s="1"/>
  <c r="I90" i="269" s="1"/>
  <c r="I89" i="269" s="1"/>
  <c r="I88" i="269" s="1"/>
  <c r="I87" i="269" s="1"/>
  <c r="I86" i="269" s="1"/>
  <c r="I85" i="269" s="1"/>
  <c r="I84" i="269" s="1"/>
  <c r="I83" i="269" s="1"/>
  <c r="I82" i="269" s="1"/>
  <c r="I81" i="269" s="1"/>
  <c r="I80" i="269" s="1"/>
  <c r="I79" i="269" s="1"/>
  <c r="I78" i="269" s="1"/>
  <c r="I77" i="269" s="1"/>
  <c r="I76" i="269" s="1"/>
  <c r="I75" i="269" s="1"/>
  <c r="I74" i="269" s="1"/>
  <c r="I73" i="269" s="1"/>
  <c r="I72" i="269" s="1"/>
  <c r="I71" i="269" s="1"/>
  <c r="I70" i="269" s="1"/>
  <c r="I69" i="269" s="1"/>
  <c r="I68" i="269" s="1"/>
  <c r="I67" i="269" s="1"/>
  <c r="I66" i="269" s="1"/>
  <c r="I65" i="269" s="1"/>
  <c r="I64" i="269" s="1"/>
  <c r="I63" i="269" s="1"/>
  <c r="I62" i="269" s="1"/>
  <c r="I61" i="269" s="1"/>
  <c r="I60" i="269" s="1"/>
  <c r="I59" i="269" s="1"/>
  <c r="I58" i="269" s="1"/>
  <c r="I57" i="269" s="1"/>
  <c r="I56" i="269" s="1"/>
  <c r="I55" i="269" s="1"/>
  <c r="I54" i="269" s="1"/>
  <c r="I53" i="269" s="1"/>
  <c r="I52" i="269" s="1"/>
  <c r="I51" i="269" s="1"/>
  <c r="I50" i="269" s="1"/>
  <c r="I49" i="269" s="1"/>
  <c r="I48" i="269" s="1"/>
  <c r="I47" i="269" s="1"/>
  <c r="I46" i="269" s="1"/>
  <c r="I45" i="269" s="1"/>
  <c r="I44" i="269" s="1"/>
  <c r="I43" i="269" s="1"/>
  <c r="I42" i="269" s="1"/>
  <c r="I41" i="269" s="1"/>
  <c r="I40" i="269" s="1"/>
  <c r="I39" i="269" s="1"/>
  <c r="I38" i="269" s="1"/>
  <c r="I37" i="269" s="1"/>
  <c r="I36" i="269" s="1"/>
  <c r="I35" i="269" s="1"/>
  <c r="I34" i="269" s="1"/>
  <c r="I33" i="269" s="1"/>
  <c r="I32" i="269" s="1"/>
  <c r="I31" i="269" s="1"/>
  <c r="I30" i="269" s="1"/>
  <c r="I29" i="269" s="1"/>
  <c r="I28" i="269" s="1"/>
  <c r="I27" i="269" s="1"/>
  <c r="I26" i="269" s="1"/>
  <c r="I25" i="269" s="1"/>
  <c r="I24" i="269" s="1"/>
  <c r="I23" i="269" s="1"/>
  <c r="I22" i="269" s="1"/>
  <c r="I21" i="269" s="1"/>
  <c r="I20" i="269" s="1"/>
  <c r="I19" i="269" s="1"/>
  <c r="I18" i="269" s="1"/>
  <c r="I17" i="269" s="1"/>
  <c r="I16" i="269" s="1"/>
  <c r="I15" i="269" s="1"/>
  <c r="I14" i="269" s="1"/>
  <c r="I13" i="269" s="1"/>
  <c r="I12" i="269" s="1"/>
  <c r="I11" i="269" s="1"/>
  <c r="I10" i="269" s="1"/>
  <c r="I9" i="269" s="1"/>
  <c r="I8" i="269" s="1"/>
  <c r="I7" i="269" s="1"/>
  <c r="I6" i="269" s="1"/>
  <c r="I5" i="269" s="1"/>
  <c r="I4" i="269" s="1"/>
  <c r="I3" i="269" s="1"/>
  <c r="I2" i="269" s="1"/>
  <c r="I169" i="271"/>
  <c r="I168" i="271" s="1"/>
  <c r="I167" i="271" s="1"/>
  <c r="I166" i="271" s="1"/>
  <c r="I165" i="271" s="1"/>
  <c r="I164" i="271" s="1"/>
  <c r="I163" i="271" s="1"/>
  <c r="I162" i="271" s="1"/>
  <c r="I161" i="271" s="1"/>
  <c r="I160" i="271" s="1"/>
  <c r="I159" i="271" s="1"/>
  <c r="I158" i="271" s="1"/>
  <c r="I157" i="271" s="1"/>
  <c r="I156" i="271" s="1"/>
  <c r="I155" i="271" s="1"/>
  <c r="I154" i="271" s="1"/>
  <c r="I153" i="271" s="1"/>
  <c r="I152" i="271" s="1"/>
  <c r="I151" i="271" s="1"/>
  <c r="I150" i="271" s="1"/>
  <c r="I149" i="271" s="1"/>
  <c r="I148" i="271" s="1"/>
  <c r="I147" i="271" s="1"/>
  <c r="I146" i="271" s="1"/>
  <c r="I145" i="271" s="1"/>
  <c r="I144" i="271" s="1"/>
  <c r="I143" i="271" s="1"/>
  <c r="I142" i="271" s="1"/>
  <c r="I141" i="271" s="1"/>
  <c r="I140" i="271" s="1"/>
  <c r="I139" i="271" s="1"/>
  <c r="I138" i="271" s="1"/>
  <c r="I137" i="271" s="1"/>
  <c r="I136" i="271" s="1"/>
  <c r="I135" i="271" s="1"/>
  <c r="I134" i="271" s="1"/>
  <c r="I133" i="271" s="1"/>
  <c r="I132" i="271" s="1"/>
  <c r="I131" i="271" s="1"/>
  <c r="I130" i="271" s="1"/>
  <c r="I129" i="271" s="1"/>
  <c r="I128" i="271" s="1"/>
  <c r="I127" i="271" s="1"/>
  <c r="I126" i="271" s="1"/>
  <c r="I125" i="271" s="1"/>
  <c r="I124" i="271" s="1"/>
  <c r="I123" i="271" s="1"/>
  <c r="I122" i="271" s="1"/>
  <c r="I121" i="271" s="1"/>
  <c r="I120" i="271" s="1"/>
  <c r="I119" i="271" s="1"/>
  <c r="I118" i="271" s="1"/>
  <c r="I117" i="271" s="1"/>
  <c r="I116" i="271" s="1"/>
  <c r="I115" i="271" s="1"/>
  <c r="I114" i="271" s="1"/>
  <c r="I113" i="271" s="1"/>
  <c r="I112" i="271" s="1"/>
  <c r="I111" i="271" s="1"/>
  <c r="I110" i="271" s="1"/>
  <c r="I109" i="271" s="1"/>
  <c r="I108" i="271" s="1"/>
  <c r="I107" i="271" s="1"/>
  <c r="I106" i="271" s="1"/>
  <c r="I105" i="271" s="1"/>
  <c r="I104" i="271" s="1"/>
  <c r="I103" i="271" s="1"/>
  <c r="I102" i="271" s="1"/>
  <c r="I101" i="271" s="1"/>
  <c r="I100" i="271" s="1"/>
  <c r="I99" i="271" s="1"/>
  <c r="I98" i="271" s="1"/>
  <c r="I97" i="271" s="1"/>
  <c r="I96" i="271" s="1"/>
  <c r="I95" i="271" s="1"/>
  <c r="I94" i="271" s="1"/>
  <c r="I93" i="271" s="1"/>
  <c r="I92" i="271" s="1"/>
  <c r="I91" i="271" s="1"/>
  <c r="I90" i="271" s="1"/>
  <c r="I89" i="271" s="1"/>
  <c r="I88" i="271" s="1"/>
  <c r="I87" i="271" s="1"/>
  <c r="I86" i="271" s="1"/>
  <c r="I85" i="271" s="1"/>
  <c r="I84" i="271" s="1"/>
  <c r="I83" i="271" s="1"/>
  <c r="I82" i="271" s="1"/>
  <c r="I81" i="271" s="1"/>
  <c r="I80" i="271" s="1"/>
  <c r="I79" i="271" s="1"/>
  <c r="I78" i="271" s="1"/>
  <c r="I77" i="271" s="1"/>
  <c r="I76" i="271" s="1"/>
  <c r="I75" i="271" s="1"/>
  <c r="I74" i="271" s="1"/>
  <c r="I73" i="271" s="1"/>
  <c r="I72" i="271" s="1"/>
  <c r="I71" i="271" s="1"/>
  <c r="I70" i="271" s="1"/>
  <c r="I69" i="271" s="1"/>
  <c r="I68" i="271" s="1"/>
  <c r="I67" i="271" s="1"/>
  <c r="I66" i="271" s="1"/>
  <c r="I65" i="271" s="1"/>
  <c r="I64" i="271" s="1"/>
  <c r="I63" i="271" s="1"/>
  <c r="I62" i="271" s="1"/>
  <c r="I61" i="271" s="1"/>
  <c r="I60" i="271" s="1"/>
  <c r="I59" i="271" s="1"/>
  <c r="I58" i="271" s="1"/>
  <c r="I57" i="271" s="1"/>
  <c r="I56" i="271" s="1"/>
  <c r="I55" i="271" s="1"/>
  <c r="I54" i="271" s="1"/>
  <c r="I53" i="271" s="1"/>
  <c r="I52" i="271" s="1"/>
  <c r="I51" i="271" s="1"/>
  <c r="I50" i="271" s="1"/>
  <c r="I49" i="271" s="1"/>
  <c r="I48" i="271" s="1"/>
  <c r="I47" i="271" s="1"/>
  <c r="I46" i="271" s="1"/>
  <c r="I45" i="271" s="1"/>
  <c r="I44" i="271" s="1"/>
  <c r="I43" i="271" s="1"/>
  <c r="I42" i="271" s="1"/>
  <c r="I41" i="271" s="1"/>
  <c r="I40" i="271" s="1"/>
  <c r="I39" i="271" s="1"/>
  <c r="I38" i="271" s="1"/>
  <c r="I37" i="271" s="1"/>
  <c r="I36" i="271" s="1"/>
  <c r="I35" i="271" s="1"/>
  <c r="I34" i="271" s="1"/>
  <c r="I33" i="271" s="1"/>
  <c r="I32" i="271" s="1"/>
  <c r="I31" i="271" s="1"/>
  <c r="I30" i="271" s="1"/>
  <c r="I29" i="271" s="1"/>
  <c r="I28" i="271" s="1"/>
  <c r="I27" i="271" s="1"/>
  <c r="I26" i="271" s="1"/>
  <c r="I25" i="271" s="1"/>
  <c r="I24" i="271" s="1"/>
  <c r="I23" i="271" s="1"/>
  <c r="I22" i="271" s="1"/>
  <c r="I21" i="271" s="1"/>
  <c r="I20" i="271" s="1"/>
  <c r="I19" i="271" s="1"/>
  <c r="I18" i="271" s="1"/>
  <c r="I17" i="271" s="1"/>
  <c r="I16" i="271" s="1"/>
  <c r="I15" i="271" s="1"/>
  <c r="I14" i="271" s="1"/>
  <c r="I13" i="271" s="1"/>
  <c r="I12" i="271" s="1"/>
  <c r="I11" i="271" s="1"/>
  <c r="I10" i="271" s="1"/>
  <c r="I9" i="271" s="1"/>
  <c r="I8" i="271" s="1"/>
  <c r="I7" i="271" s="1"/>
  <c r="I6" i="271" s="1"/>
  <c r="I5" i="271" s="1"/>
  <c r="I4" i="271" s="1"/>
  <c r="I3" i="271" s="1"/>
  <c r="I2" i="271" s="1"/>
  <c r="I147" i="272"/>
  <c r="I146" i="272" s="1"/>
  <c r="I145" i="272" s="1"/>
  <c r="I144" i="272" s="1"/>
  <c r="I143" i="272" s="1"/>
  <c r="I142" i="272" s="1"/>
  <c r="I141" i="272" s="1"/>
  <c r="I140" i="272" s="1"/>
  <c r="I139" i="272" s="1"/>
  <c r="I138" i="272" s="1"/>
  <c r="I137" i="272" s="1"/>
  <c r="I136" i="272" s="1"/>
  <c r="I135" i="272" s="1"/>
  <c r="I134" i="272" s="1"/>
  <c r="I133" i="272" s="1"/>
  <c r="I132" i="272" s="1"/>
  <c r="I131" i="272" s="1"/>
  <c r="I130" i="272" s="1"/>
  <c r="I129" i="272" s="1"/>
  <c r="I128" i="272" s="1"/>
  <c r="I127" i="272" s="1"/>
  <c r="I126" i="272" s="1"/>
  <c r="I125" i="272" s="1"/>
  <c r="I124" i="272" s="1"/>
  <c r="I123" i="272" s="1"/>
  <c r="I122" i="272" s="1"/>
  <c r="I121" i="272" s="1"/>
  <c r="I120" i="272" s="1"/>
  <c r="I119" i="272" s="1"/>
  <c r="I118" i="272" s="1"/>
  <c r="I117" i="272" s="1"/>
  <c r="I116" i="272" s="1"/>
  <c r="I115" i="272" s="1"/>
  <c r="I114" i="272" s="1"/>
  <c r="I113" i="272" s="1"/>
  <c r="I112" i="272" s="1"/>
  <c r="I111" i="272" s="1"/>
  <c r="I110" i="272" s="1"/>
  <c r="I109" i="272" s="1"/>
  <c r="I108" i="272" s="1"/>
  <c r="I107" i="272" s="1"/>
  <c r="I106" i="272" s="1"/>
  <c r="I105" i="272" s="1"/>
  <c r="I104" i="272" s="1"/>
  <c r="I103" i="272" s="1"/>
  <c r="I102" i="272" s="1"/>
  <c r="I101" i="272" s="1"/>
  <c r="I100" i="272" s="1"/>
  <c r="I99" i="272" s="1"/>
  <c r="I98" i="272" s="1"/>
  <c r="I97" i="272" s="1"/>
  <c r="I96" i="272" s="1"/>
  <c r="I95" i="272" s="1"/>
  <c r="I94" i="272" s="1"/>
  <c r="I93" i="272" s="1"/>
  <c r="I92" i="272" s="1"/>
  <c r="I91" i="272" s="1"/>
  <c r="I90" i="272" s="1"/>
  <c r="I89" i="272" s="1"/>
  <c r="I88" i="272" s="1"/>
  <c r="I87" i="272" s="1"/>
  <c r="I86" i="272" s="1"/>
  <c r="I85" i="272" s="1"/>
  <c r="I84" i="272" s="1"/>
  <c r="I83" i="272" s="1"/>
  <c r="I82" i="272" s="1"/>
  <c r="I81" i="272" s="1"/>
  <c r="I80" i="272" s="1"/>
  <c r="I79" i="272" s="1"/>
  <c r="I78" i="272" s="1"/>
  <c r="I77" i="272" s="1"/>
  <c r="I76" i="272" s="1"/>
  <c r="I75" i="272" s="1"/>
  <c r="I74" i="272" s="1"/>
  <c r="I73" i="272" s="1"/>
  <c r="I72" i="272" s="1"/>
  <c r="I71" i="272" s="1"/>
  <c r="I70" i="272" s="1"/>
  <c r="I69" i="272" s="1"/>
  <c r="I68" i="272" s="1"/>
  <c r="I67" i="272" s="1"/>
  <c r="I66" i="272" s="1"/>
  <c r="I65" i="272" s="1"/>
  <c r="I64" i="272" s="1"/>
  <c r="I63" i="272" s="1"/>
  <c r="I62" i="272" s="1"/>
  <c r="I61" i="272" s="1"/>
  <c r="I60" i="272" s="1"/>
  <c r="I59" i="272" s="1"/>
  <c r="I58" i="272" s="1"/>
  <c r="I57" i="272" s="1"/>
  <c r="I56" i="272" s="1"/>
  <c r="I55" i="272" s="1"/>
  <c r="I54" i="272" s="1"/>
  <c r="I53" i="272" s="1"/>
  <c r="I52" i="272" s="1"/>
  <c r="I51" i="272" s="1"/>
  <c r="I50" i="272" s="1"/>
  <c r="I49" i="272" s="1"/>
  <c r="I48" i="272" s="1"/>
  <c r="I47" i="272" s="1"/>
  <c r="I46" i="272" s="1"/>
  <c r="I45" i="272" s="1"/>
  <c r="I44" i="272" s="1"/>
  <c r="I43" i="272" s="1"/>
  <c r="I42" i="272" s="1"/>
  <c r="I41" i="272" s="1"/>
  <c r="I40" i="272" s="1"/>
  <c r="I39" i="272" s="1"/>
  <c r="I38" i="272" s="1"/>
  <c r="I37" i="272" s="1"/>
  <c r="I36" i="272" s="1"/>
  <c r="I35" i="272" s="1"/>
  <c r="I34" i="272" s="1"/>
  <c r="I33" i="272" s="1"/>
  <c r="I32" i="272" s="1"/>
  <c r="I31" i="272" s="1"/>
  <c r="I30" i="272" s="1"/>
  <c r="I29" i="272" s="1"/>
  <c r="I28" i="272" s="1"/>
  <c r="I27" i="272" s="1"/>
  <c r="I26" i="272" s="1"/>
  <c r="I25" i="272" s="1"/>
  <c r="I24" i="272" s="1"/>
  <c r="I23" i="272" s="1"/>
  <c r="I22" i="272" s="1"/>
  <c r="I21" i="272" s="1"/>
  <c r="I20" i="272" s="1"/>
  <c r="I19" i="272" s="1"/>
  <c r="I18" i="272" s="1"/>
  <c r="I17" i="272" s="1"/>
  <c r="I16" i="272" s="1"/>
  <c r="I15" i="272" s="1"/>
  <c r="I14" i="272" s="1"/>
  <c r="I13" i="272" s="1"/>
  <c r="I12" i="272" s="1"/>
  <c r="I11" i="272" s="1"/>
  <c r="I10" i="272" s="1"/>
  <c r="I9" i="272" s="1"/>
  <c r="I8" i="272" s="1"/>
  <c r="I7" i="272" s="1"/>
  <c r="I6" i="272" s="1"/>
  <c r="I5" i="272" s="1"/>
  <c r="I4" i="272" s="1"/>
  <c r="I3" i="272" s="1"/>
  <c r="I2" i="272" s="1"/>
  <c r="I167" i="274"/>
  <c r="I166" i="274" s="1"/>
  <c r="I165" i="274" s="1"/>
  <c r="I164" i="274" s="1"/>
  <c r="I163" i="274" s="1"/>
  <c r="I162" i="274" s="1"/>
  <c r="I161" i="274" s="1"/>
  <c r="I160" i="274" s="1"/>
  <c r="I159" i="274" s="1"/>
  <c r="I158" i="274" s="1"/>
  <c r="I157" i="274" s="1"/>
  <c r="I156" i="274" s="1"/>
  <c r="I155" i="274" s="1"/>
  <c r="I154" i="274" s="1"/>
  <c r="I153" i="274" s="1"/>
  <c r="I152" i="274" s="1"/>
  <c r="I151" i="274" s="1"/>
  <c r="I150" i="274" s="1"/>
  <c r="I149" i="274" s="1"/>
  <c r="I148" i="274" s="1"/>
  <c r="I147" i="274" s="1"/>
  <c r="I146" i="274" s="1"/>
  <c r="I145" i="274" s="1"/>
  <c r="I144" i="274" s="1"/>
  <c r="I143" i="274" s="1"/>
  <c r="I142" i="274" s="1"/>
  <c r="I141" i="274" s="1"/>
  <c r="I140" i="274" s="1"/>
  <c r="I139" i="274" s="1"/>
  <c r="I138" i="274" s="1"/>
  <c r="I137" i="274" s="1"/>
  <c r="I136" i="274" s="1"/>
  <c r="I135" i="274" s="1"/>
  <c r="I134" i="274" s="1"/>
  <c r="I133" i="274" s="1"/>
  <c r="I132" i="274" s="1"/>
  <c r="I131" i="274" s="1"/>
  <c r="I130" i="274" s="1"/>
  <c r="I129" i="274" s="1"/>
  <c r="I128" i="274" s="1"/>
  <c r="I127" i="274" s="1"/>
  <c r="I126" i="274" s="1"/>
  <c r="I125" i="274" s="1"/>
  <c r="I124" i="274" s="1"/>
  <c r="I123" i="274" s="1"/>
  <c r="I122" i="274" s="1"/>
  <c r="I121" i="274" s="1"/>
  <c r="I120" i="274" s="1"/>
  <c r="I119" i="274" s="1"/>
  <c r="I118" i="274" s="1"/>
  <c r="I117" i="274" s="1"/>
  <c r="I116" i="274" s="1"/>
  <c r="I115" i="274" s="1"/>
  <c r="I114" i="274" s="1"/>
  <c r="I113" i="274" s="1"/>
  <c r="I112" i="274" s="1"/>
  <c r="I111" i="274" s="1"/>
  <c r="I110" i="274" s="1"/>
  <c r="I109" i="274" s="1"/>
  <c r="I108" i="274" s="1"/>
  <c r="I107" i="274" s="1"/>
  <c r="I106" i="274" s="1"/>
  <c r="I105" i="274" s="1"/>
  <c r="I104" i="274" s="1"/>
  <c r="I103" i="274" s="1"/>
  <c r="I102" i="274" s="1"/>
  <c r="I101" i="274" s="1"/>
  <c r="I100" i="274" s="1"/>
  <c r="I99" i="274" s="1"/>
  <c r="I98" i="274" s="1"/>
  <c r="I97" i="274" s="1"/>
  <c r="I96" i="274" s="1"/>
  <c r="I95" i="274" s="1"/>
  <c r="I94" i="274" s="1"/>
  <c r="I93" i="274" s="1"/>
  <c r="I92" i="274" s="1"/>
  <c r="I91" i="274" s="1"/>
  <c r="I90" i="274" s="1"/>
  <c r="I89" i="274" s="1"/>
  <c r="I88" i="274" s="1"/>
  <c r="I87" i="274" s="1"/>
  <c r="I86" i="274" s="1"/>
  <c r="I85" i="274" s="1"/>
  <c r="I84" i="274" s="1"/>
  <c r="I83" i="274" s="1"/>
  <c r="I82" i="274" s="1"/>
  <c r="I81" i="274" s="1"/>
  <c r="I80" i="274" s="1"/>
  <c r="I79" i="274" s="1"/>
  <c r="I78" i="274" s="1"/>
  <c r="I77" i="274" s="1"/>
  <c r="I76" i="274" s="1"/>
  <c r="I75" i="274" s="1"/>
  <c r="I74" i="274" s="1"/>
  <c r="I73" i="274" s="1"/>
  <c r="I72" i="274" s="1"/>
  <c r="I71" i="274" s="1"/>
  <c r="I70" i="274" s="1"/>
  <c r="I69" i="274" s="1"/>
  <c r="I68" i="274" s="1"/>
  <c r="I67" i="274" s="1"/>
  <c r="I66" i="274" s="1"/>
  <c r="I65" i="274" s="1"/>
  <c r="I64" i="274" s="1"/>
  <c r="I63" i="274" s="1"/>
  <c r="I62" i="274" s="1"/>
  <c r="I61" i="274" s="1"/>
  <c r="I60" i="274" s="1"/>
  <c r="I59" i="274" s="1"/>
  <c r="I58" i="274" s="1"/>
  <c r="I57" i="274" s="1"/>
  <c r="I56" i="274" s="1"/>
  <c r="I55" i="274" s="1"/>
  <c r="I54" i="274" s="1"/>
  <c r="I53" i="274" s="1"/>
  <c r="I52" i="274" s="1"/>
  <c r="I51" i="274" s="1"/>
  <c r="I50" i="274" s="1"/>
  <c r="I49" i="274" s="1"/>
  <c r="I48" i="274" s="1"/>
  <c r="I47" i="274" s="1"/>
  <c r="I46" i="274" s="1"/>
  <c r="I45" i="274" s="1"/>
  <c r="I44" i="274" s="1"/>
  <c r="I43" i="274" s="1"/>
  <c r="I42" i="274" s="1"/>
  <c r="I41" i="274" s="1"/>
  <c r="I40" i="274" s="1"/>
  <c r="I39" i="274" s="1"/>
  <c r="I38" i="274" s="1"/>
  <c r="I37" i="274" s="1"/>
  <c r="I36" i="274" s="1"/>
  <c r="I35" i="274" s="1"/>
  <c r="I34" i="274" s="1"/>
  <c r="I33" i="274" s="1"/>
  <c r="I32" i="274" s="1"/>
  <c r="I31" i="274" s="1"/>
  <c r="I30" i="274" s="1"/>
  <c r="I29" i="274" s="1"/>
  <c r="I28" i="274" s="1"/>
  <c r="I27" i="274" s="1"/>
  <c r="I26" i="274" s="1"/>
  <c r="I25" i="274" s="1"/>
  <c r="I24" i="274" s="1"/>
  <c r="I23" i="274" s="1"/>
  <c r="I22" i="274" s="1"/>
  <c r="I21" i="274" s="1"/>
  <c r="I20" i="274" s="1"/>
  <c r="I19" i="274" s="1"/>
  <c r="I18" i="274" s="1"/>
  <c r="I17" i="274" s="1"/>
  <c r="I16" i="274" s="1"/>
  <c r="I15" i="274" s="1"/>
  <c r="I14" i="274" s="1"/>
  <c r="I13" i="274" s="1"/>
  <c r="I12" i="274" s="1"/>
  <c r="I11" i="274" s="1"/>
  <c r="I10" i="274" s="1"/>
  <c r="I9" i="274" s="1"/>
  <c r="I8" i="274" s="1"/>
  <c r="I7" i="274" s="1"/>
  <c r="I6" i="274" s="1"/>
  <c r="I5" i="274" s="1"/>
  <c r="I4" i="274" s="1"/>
  <c r="I3" i="274" s="1"/>
  <c r="I2" i="274" s="1"/>
  <c r="I161" i="275"/>
  <c r="I160" i="275" s="1"/>
  <c r="I171" i="276"/>
  <c r="I170" i="276" s="1"/>
  <c r="I169" i="276" s="1"/>
  <c r="I168" i="276" s="1"/>
  <c r="I167" i="276" s="1"/>
  <c r="I166" i="276" s="1"/>
  <c r="I165" i="276" s="1"/>
  <c r="I164" i="276" s="1"/>
  <c r="I163" i="276" s="1"/>
  <c r="I162" i="276" s="1"/>
  <c r="I161" i="276" s="1"/>
  <c r="I160" i="276" s="1"/>
  <c r="I159" i="276" s="1"/>
  <c r="I158" i="276" s="1"/>
  <c r="I157" i="276" s="1"/>
  <c r="I156" i="276" s="1"/>
  <c r="I155" i="276" s="1"/>
  <c r="I154" i="276" s="1"/>
  <c r="I153" i="276" s="1"/>
  <c r="I152" i="276" s="1"/>
  <c r="I151" i="276" s="1"/>
  <c r="I150" i="276" s="1"/>
  <c r="I149" i="276" s="1"/>
  <c r="I148" i="276" s="1"/>
  <c r="I147" i="276" s="1"/>
  <c r="I146" i="276" s="1"/>
  <c r="I145" i="276" s="1"/>
  <c r="I144" i="276" s="1"/>
  <c r="I143" i="276" s="1"/>
  <c r="I142" i="276" s="1"/>
  <c r="I141" i="276" s="1"/>
  <c r="I140" i="276" s="1"/>
  <c r="I139" i="276" s="1"/>
  <c r="I138" i="276" s="1"/>
  <c r="I137" i="276" s="1"/>
  <c r="I136" i="276" s="1"/>
  <c r="I135" i="276" s="1"/>
  <c r="I134" i="276" s="1"/>
  <c r="I133" i="276" s="1"/>
  <c r="I132" i="276" s="1"/>
  <c r="I131" i="276" s="1"/>
  <c r="I130" i="276" s="1"/>
  <c r="I129" i="276" s="1"/>
  <c r="I128" i="276" s="1"/>
  <c r="I127" i="276" s="1"/>
  <c r="I126" i="276" s="1"/>
  <c r="I125" i="276" s="1"/>
  <c r="I124" i="276" s="1"/>
  <c r="I123" i="276" s="1"/>
  <c r="I122" i="276" s="1"/>
  <c r="I121" i="276" s="1"/>
  <c r="I120" i="276" s="1"/>
  <c r="I119" i="276" s="1"/>
  <c r="I118" i="276" s="1"/>
  <c r="I117" i="276" s="1"/>
  <c r="I116" i="276" s="1"/>
  <c r="I115" i="276" s="1"/>
  <c r="I114" i="276" s="1"/>
  <c r="I113" i="276" s="1"/>
  <c r="I112" i="276" s="1"/>
  <c r="I111" i="276" s="1"/>
  <c r="I110" i="276" s="1"/>
  <c r="I109" i="276" s="1"/>
  <c r="I108" i="276" s="1"/>
  <c r="I107" i="276" s="1"/>
  <c r="I106" i="276" s="1"/>
  <c r="I105" i="276" s="1"/>
  <c r="I104" i="276" s="1"/>
  <c r="I103" i="276" s="1"/>
  <c r="I102" i="276" s="1"/>
  <c r="I101" i="276" s="1"/>
  <c r="I100" i="276" s="1"/>
  <c r="I99" i="276" s="1"/>
  <c r="I98" i="276" s="1"/>
  <c r="I97" i="276" s="1"/>
  <c r="I96" i="276" s="1"/>
  <c r="I95" i="276" s="1"/>
  <c r="I94" i="276" s="1"/>
  <c r="I93" i="276" s="1"/>
  <c r="I92" i="276" s="1"/>
  <c r="I91" i="276" s="1"/>
  <c r="I90" i="276" s="1"/>
  <c r="I89" i="276" s="1"/>
  <c r="I88" i="276" s="1"/>
  <c r="I87" i="276" s="1"/>
  <c r="I86" i="276" s="1"/>
  <c r="I85" i="276" s="1"/>
  <c r="I84" i="276" s="1"/>
  <c r="I83" i="276" s="1"/>
  <c r="I82" i="276" s="1"/>
  <c r="I81" i="276" s="1"/>
  <c r="I80" i="276" s="1"/>
  <c r="I79" i="276" s="1"/>
  <c r="I78" i="276" s="1"/>
  <c r="I77" i="276" s="1"/>
  <c r="I76" i="276" s="1"/>
  <c r="I75" i="276" s="1"/>
  <c r="I74" i="276" s="1"/>
  <c r="I73" i="276" s="1"/>
  <c r="I72" i="276" s="1"/>
  <c r="I71" i="276" s="1"/>
  <c r="I70" i="276" s="1"/>
  <c r="I69" i="276" s="1"/>
  <c r="I68" i="276" s="1"/>
  <c r="I67" i="276" s="1"/>
  <c r="I66" i="276" s="1"/>
  <c r="I65" i="276" s="1"/>
  <c r="I64" i="276" s="1"/>
  <c r="I63" i="276" s="1"/>
  <c r="I62" i="276" s="1"/>
  <c r="I61" i="276" s="1"/>
  <c r="I60" i="276" s="1"/>
  <c r="I59" i="276" s="1"/>
  <c r="I58" i="276" s="1"/>
  <c r="I57" i="276" s="1"/>
  <c r="I56" i="276" s="1"/>
  <c r="I55" i="276" s="1"/>
  <c r="I54" i="276" s="1"/>
  <c r="I53" i="276" s="1"/>
  <c r="I52" i="276" s="1"/>
  <c r="I51" i="276" s="1"/>
  <c r="I50" i="276" s="1"/>
  <c r="I49" i="276" s="1"/>
  <c r="I48" i="276" s="1"/>
  <c r="I47" i="276" s="1"/>
  <c r="I46" i="276" s="1"/>
  <c r="I45" i="276" s="1"/>
  <c r="I44" i="276" s="1"/>
  <c r="I43" i="276" s="1"/>
  <c r="I42" i="276" s="1"/>
  <c r="I41" i="276" s="1"/>
  <c r="I40" i="276" s="1"/>
  <c r="I39" i="276" s="1"/>
  <c r="I38" i="276" s="1"/>
  <c r="I37" i="276" s="1"/>
  <c r="I36" i="276" s="1"/>
  <c r="I35" i="276" s="1"/>
  <c r="I34" i="276" s="1"/>
  <c r="I33" i="276" s="1"/>
  <c r="I32" i="276" s="1"/>
  <c r="I31" i="276" s="1"/>
  <c r="I30" i="276" s="1"/>
  <c r="I29" i="276" s="1"/>
  <c r="I28" i="276" s="1"/>
  <c r="I27" i="276" s="1"/>
  <c r="I26" i="276" s="1"/>
  <c r="I25" i="276" s="1"/>
  <c r="I24" i="276" s="1"/>
  <c r="I23" i="276" s="1"/>
  <c r="I22" i="276" s="1"/>
  <c r="I21" i="276" s="1"/>
  <c r="I20" i="276" s="1"/>
  <c r="I19" i="276" s="1"/>
  <c r="I18" i="276" s="1"/>
  <c r="I17" i="276" s="1"/>
  <c r="I16" i="276" s="1"/>
  <c r="I15" i="276" s="1"/>
  <c r="I14" i="276" s="1"/>
  <c r="I13" i="276" s="1"/>
  <c r="I12" i="276" s="1"/>
  <c r="I11" i="276" s="1"/>
  <c r="I10" i="276" s="1"/>
  <c r="I9" i="276" s="1"/>
  <c r="I8" i="276" s="1"/>
  <c r="I7" i="276" s="1"/>
  <c r="I6" i="276" s="1"/>
  <c r="I5" i="276" s="1"/>
  <c r="I4" i="276" s="1"/>
  <c r="I3" i="276" s="1"/>
  <c r="I2" i="276" s="1"/>
  <c r="I229" i="277"/>
  <c r="I228" i="277" s="1"/>
  <c r="I227" i="277" s="1"/>
  <c r="I226" i="277" s="1"/>
  <c r="I225" i="277" s="1"/>
  <c r="I224" i="277" s="1"/>
  <c r="I223" i="277" s="1"/>
  <c r="I222" i="277" s="1"/>
  <c r="I221" i="277" s="1"/>
  <c r="I220" i="277" s="1"/>
  <c r="I219" i="277" s="1"/>
  <c r="I218" i="277" s="1"/>
  <c r="I217" i="277" s="1"/>
  <c r="I216" i="277" s="1"/>
  <c r="I215" i="277" s="1"/>
  <c r="I214" i="277" s="1"/>
  <c r="I213" i="277" s="1"/>
  <c r="I212" i="277" s="1"/>
  <c r="I211" i="277" s="1"/>
  <c r="I210" i="277" s="1"/>
  <c r="I209" i="277" s="1"/>
  <c r="I208" i="277" s="1"/>
  <c r="I207" i="277" s="1"/>
  <c r="I206" i="277" s="1"/>
  <c r="I205" i="277" s="1"/>
  <c r="I204" i="277" s="1"/>
  <c r="I203" i="277" s="1"/>
  <c r="I202" i="277" s="1"/>
  <c r="I201" i="277" s="1"/>
  <c r="I200" i="277" s="1"/>
  <c r="I199" i="277" s="1"/>
  <c r="I198" i="277" s="1"/>
  <c r="I197" i="277" s="1"/>
  <c r="I196" i="277" s="1"/>
  <c r="I195" i="277" s="1"/>
  <c r="I194" i="277" s="1"/>
  <c r="I193" i="277" s="1"/>
  <c r="I192" i="277" s="1"/>
  <c r="I191" i="277" s="1"/>
  <c r="I190" i="277" s="1"/>
  <c r="I189" i="277" s="1"/>
  <c r="I188" i="277" s="1"/>
  <c r="I187" i="277" s="1"/>
  <c r="I186" i="277" s="1"/>
  <c r="I185" i="277" s="1"/>
  <c r="I184" i="277" s="1"/>
  <c r="I183" i="277" s="1"/>
  <c r="I182" i="277" s="1"/>
  <c r="I181" i="277" s="1"/>
  <c r="I180" i="277" s="1"/>
  <c r="I179" i="277" s="1"/>
  <c r="I178" i="277" s="1"/>
  <c r="I177" i="277" s="1"/>
  <c r="I176" i="277" s="1"/>
  <c r="I175" i="277" s="1"/>
  <c r="I174" i="277" s="1"/>
  <c r="I173" i="277" s="1"/>
  <c r="I172" i="277" s="1"/>
  <c r="I171" i="277" s="1"/>
  <c r="I170" i="277" s="1"/>
  <c r="I169" i="277" s="1"/>
  <c r="I168" i="277" s="1"/>
  <c r="I167" i="277" s="1"/>
  <c r="I166" i="277" s="1"/>
  <c r="I165" i="277" s="1"/>
  <c r="I164" i="277" s="1"/>
  <c r="I163" i="277" s="1"/>
  <c r="I162" i="277" s="1"/>
  <c r="I161" i="277" s="1"/>
  <c r="I160" i="277" s="1"/>
  <c r="I159" i="277" s="1"/>
  <c r="I158" i="277" s="1"/>
  <c r="I157" i="277" s="1"/>
  <c r="I156" i="277" s="1"/>
  <c r="I155" i="277" s="1"/>
  <c r="I154" i="277" s="1"/>
  <c r="I153" i="277" s="1"/>
  <c r="I152" i="277" s="1"/>
  <c r="I151" i="277" s="1"/>
  <c r="I150" i="277" s="1"/>
  <c r="I149" i="277" s="1"/>
  <c r="I148" i="277" s="1"/>
  <c r="I147" i="277" s="1"/>
  <c r="I146" i="277" s="1"/>
  <c r="I145" i="277" s="1"/>
  <c r="I144" i="277" s="1"/>
  <c r="I143" i="277" s="1"/>
  <c r="I142" i="277" s="1"/>
  <c r="I141" i="277" s="1"/>
  <c r="I140" i="277" s="1"/>
  <c r="I139" i="277" s="1"/>
  <c r="I138" i="277" s="1"/>
  <c r="I137" i="277" s="1"/>
  <c r="I136" i="277" s="1"/>
  <c r="I135" i="277" s="1"/>
  <c r="I134" i="277" s="1"/>
  <c r="I133" i="277" s="1"/>
  <c r="I132" i="277" s="1"/>
  <c r="I131" i="277" s="1"/>
  <c r="I130" i="277" s="1"/>
  <c r="I129" i="277" s="1"/>
  <c r="I128" i="277" s="1"/>
  <c r="I127" i="277" s="1"/>
  <c r="I126" i="277" s="1"/>
  <c r="I125" i="277" s="1"/>
  <c r="I124" i="277" s="1"/>
  <c r="I123" i="277" s="1"/>
  <c r="I122" i="277" s="1"/>
  <c r="I121" i="277" s="1"/>
  <c r="I120" i="277" s="1"/>
  <c r="I119" i="277" s="1"/>
  <c r="I118" i="277" s="1"/>
  <c r="I117" i="277" s="1"/>
  <c r="I116" i="277" s="1"/>
  <c r="I115" i="277" s="1"/>
  <c r="I114" i="277" s="1"/>
  <c r="I113" i="277" s="1"/>
  <c r="I112" i="277" s="1"/>
  <c r="I111" i="277" s="1"/>
  <c r="I110" i="277" s="1"/>
  <c r="I109" i="277" s="1"/>
  <c r="I108" i="277" s="1"/>
  <c r="I107" i="277" s="1"/>
  <c r="I106" i="277" s="1"/>
  <c r="I105" i="277" s="1"/>
  <c r="I104" i="277" s="1"/>
  <c r="I103" i="277" s="1"/>
  <c r="I102" i="277" s="1"/>
  <c r="I101" i="277" s="1"/>
  <c r="I100" i="277" s="1"/>
  <c r="I99" i="277" s="1"/>
  <c r="I98" i="277" s="1"/>
  <c r="I97" i="277" s="1"/>
  <c r="I96" i="277" s="1"/>
  <c r="I95" i="277" s="1"/>
  <c r="I94" i="277" s="1"/>
  <c r="I93" i="277" s="1"/>
  <c r="I92" i="277" s="1"/>
  <c r="I91" i="277" s="1"/>
  <c r="I90" i="277" s="1"/>
  <c r="I89" i="277" s="1"/>
  <c r="I88" i="277" s="1"/>
  <c r="I87" i="277" s="1"/>
  <c r="I86" i="277" s="1"/>
  <c r="I85" i="277" s="1"/>
  <c r="I84" i="277" s="1"/>
  <c r="I83" i="277" s="1"/>
  <c r="I82" i="277" s="1"/>
  <c r="I81" i="277" s="1"/>
  <c r="I80" i="277" s="1"/>
  <c r="I79" i="277" s="1"/>
  <c r="I78" i="277" s="1"/>
  <c r="I77" i="277" s="1"/>
  <c r="I76" i="277" s="1"/>
  <c r="I75" i="277" s="1"/>
  <c r="I74" i="277" s="1"/>
  <c r="I73" i="277" s="1"/>
  <c r="I72" i="277" s="1"/>
  <c r="I71" i="277" s="1"/>
  <c r="I70" i="277" s="1"/>
  <c r="I69" i="277" s="1"/>
  <c r="I68" i="277" s="1"/>
  <c r="I67" i="277" s="1"/>
  <c r="I66" i="277" s="1"/>
  <c r="I65" i="277" s="1"/>
  <c r="I64" i="277" s="1"/>
  <c r="I63" i="277" s="1"/>
  <c r="I62" i="277" s="1"/>
  <c r="I61" i="277" s="1"/>
  <c r="I60" i="277" s="1"/>
  <c r="I59" i="277" s="1"/>
  <c r="I58" i="277" s="1"/>
  <c r="I57" i="277" s="1"/>
  <c r="I56" i="277" s="1"/>
  <c r="I55" i="277" s="1"/>
  <c r="I54" i="277" s="1"/>
  <c r="I53" i="277" s="1"/>
  <c r="I52" i="277" s="1"/>
  <c r="I51" i="277" s="1"/>
  <c r="I50" i="277" s="1"/>
  <c r="I49" i="277" s="1"/>
  <c r="I48" i="277" s="1"/>
  <c r="I47" i="277" s="1"/>
  <c r="I46" i="277" s="1"/>
  <c r="I45" i="277" s="1"/>
  <c r="I44" i="277" s="1"/>
  <c r="I43" i="277" s="1"/>
  <c r="I42" i="277" s="1"/>
  <c r="I41" i="277" s="1"/>
  <c r="I40" i="277" s="1"/>
  <c r="I39" i="277" s="1"/>
  <c r="I38" i="277" s="1"/>
  <c r="I37" i="277" s="1"/>
  <c r="I36" i="277" s="1"/>
  <c r="I35" i="277" s="1"/>
  <c r="I34" i="277" s="1"/>
  <c r="I33" i="277" s="1"/>
  <c r="I32" i="277" s="1"/>
  <c r="I31" i="277" s="1"/>
  <c r="I30" i="277" s="1"/>
  <c r="I29" i="277" s="1"/>
  <c r="I28" i="277" s="1"/>
  <c r="I27" i="277" s="1"/>
  <c r="I26" i="277" s="1"/>
  <c r="I25" i="277" s="1"/>
  <c r="I24" i="277" s="1"/>
  <c r="I23" i="277" s="1"/>
  <c r="I22" i="277" s="1"/>
  <c r="I21" i="277" s="1"/>
  <c r="I20" i="277" s="1"/>
  <c r="I19" i="277" s="1"/>
  <c r="I18" i="277" s="1"/>
  <c r="I17" i="277" s="1"/>
  <c r="I16" i="277" s="1"/>
  <c r="I15" i="277" s="1"/>
  <c r="I14" i="277" s="1"/>
  <c r="I13" i="277" s="1"/>
  <c r="I12" i="277" s="1"/>
  <c r="I11" i="277" s="1"/>
  <c r="I10" i="277" s="1"/>
  <c r="I9" i="277" s="1"/>
  <c r="I8" i="277" s="1"/>
  <c r="I7" i="277" s="1"/>
  <c r="I6" i="277" s="1"/>
  <c r="I5" i="277" s="1"/>
  <c r="I4" i="277" s="1"/>
  <c r="I3" i="277" s="1"/>
  <c r="I2" i="277" s="1"/>
  <c r="I154" i="267"/>
  <c r="I153" i="267" s="1"/>
  <c r="I152" i="267" s="1"/>
  <c r="I151" i="267" s="1"/>
  <c r="I150" i="267" s="1"/>
  <c r="I149" i="267" s="1"/>
  <c r="I148" i="267" s="1"/>
  <c r="I147" i="267" s="1"/>
  <c r="I146" i="267" s="1"/>
  <c r="I145" i="267" s="1"/>
  <c r="I144" i="267" s="1"/>
  <c r="I143" i="267" s="1"/>
  <c r="I142" i="267" s="1"/>
  <c r="I141" i="267" s="1"/>
  <c r="I140" i="267" s="1"/>
  <c r="I139" i="267" s="1"/>
  <c r="I138" i="267" s="1"/>
  <c r="I137" i="267" s="1"/>
  <c r="I136" i="267" s="1"/>
  <c r="I135" i="267" s="1"/>
  <c r="I134" i="267" s="1"/>
  <c r="I133" i="267" s="1"/>
  <c r="I132" i="267" s="1"/>
  <c r="I131" i="267" s="1"/>
  <c r="I130" i="267" s="1"/>
  <c r="I129" i="267" s="1"/>
  <c r="I128" i="267" s="1"/>
  <c r="I127" i="267" s="1"/>
  <c r="I126" i="267" s="1"/>
  <c r="I125" i="267" s="1"/>
  <c r="I124" i="267" s="1"/>
  <c r="I123" i="267" s="1"/>
  <c r="I122" i="267" s="1"/>
  <c r="I121" i="267" s="1"/>
  <c r="I120" i="267" s="1"/>
  <c r="I119" i="267" s="1"/>
  <c r="I118" i="267" s="1"/>
  <c r="I117" i="267" s="1"/>
  <c r="I116" i="267" s="1"/>
  <c r="I115" i="267" s="1"/>
  <c r="I114" i="267" s="1"/>
  <c r="I113" i="267" s="1"/>
  <c r="I112" i="267" s="1"/>
  <c r="I111" i="267" s="1"/>
  <c r="I110" i="267" s="1"/>
  <c r="I109" i="267" s="1"/>
  <c r="I108" i="267" s="1"/>
  <c r="I107" i="267" s="1"/>
  <c r="I106" i="267" s="1"/>
  <c r="I105" i="267" s="1"/>
  <c r="I104" i="267" s="1"/>
  <c r="I103" i="267" s="1"/>
  <c r="I102" i="267" s="1"/>
  <c r="I101" i="267" s="1"/>
  <c r="I100" i="267" s="1"/>
  <c r="I99" i="267" s="1"/>
  <c r="I98" i="267" s="1"/>
  <c r="I97" i="267" s="1"/>
  <c r="I96" i="267" s="1"/>
  <c r="I95" i="267" s="1"/>
  <c r="I94" i="267" s="1"/>
  <c r="I93" i="267" s="1"/>
  <c r="I92" i="267" s="1"/>
  <c r="I91" i="267" s="1"/>
  <c r="I90" i="267" s="1"/>
  <c r="I89" i="267" s="1"/>
  <c r="I88" i="267" s="1"/>
  <c r="I87" i="267" s="1"/>
  <c r="I86" i="267" s="1"/>
  <c r="I85" i="267" s="1"/>
  <c r="I84" i="267" s="1"/>
  <c r="I83" i="267" s="1"/>
  <c r="I82" i="267" s="1"/>
  <c r="I81" i="267" s="1"/>
  <c r="I80" i="267" s="1"/>
  <c r="I79" i="267" s="1"/>
  <c r="I78" i="267" s="1"/>
  <c r="I77" i="267" s="1"/>
  <c r="I76" i="267" s="1"/>
  <c r="I75" i="267" s="1"/>
  <c r="I74" i="267" s="1"/>
  <c r="I73" i="267" s="1"/>
  <c r="I72" i="267" s="1"/>
  <c r="I71" i="267" s="1"/>
  <c r="I70" i="267" s="1"/>
  <c r="I69" i="267" s="1"/>
  <c r="I68" i="267" s="1"/>
  <c r="I67" i="267" s="1"/>
  <c r="I66" i="267" s="1"/>
  <c r="I65" i="267" s="1"/>
  <c r="I64" i="267" s="1"/>
  <c r="I63" i="267" s="1"/>
  <c r="I62" i="267" s="1"/>
  <c r="I61" i="267" s="1"/>
  <c r="I60" i="267" s="1"/>
  <c r="I59" i="267" s="1"/>
  <c r="I58" i="267" s="1"/>
  <c r="I57" i="267" s="1"/>
  <c r="I56" i="267" s="1"/>
  <c r="I55" i="267" s="1"/>
  <c r="I54" i="267" s="1"/>
  <c r="I53" i="267" s="1"/>
  <c r="I52" i="267" s="1"/>
  <c r="I51" i="267" s="1"/>
  <c r="I50" i="267" s="1"/>
  <c r="I49" i="267" s="1"/>
  <c r="I48" i="267" s="1"/>
  <c r="I47" i="267" s="1"/>
  <c r="I46" i="267" s="1"/>
  <c r="I45" i="267" s="1"/>
  <c r="I44" i="267" s="1"/>
  <c r="I43" i="267" s="1"/>
  <c r="I42" i="267" s="1"/>
  <c r="I41" i="267" s="1"/>
  <c r="I40" i="267" s="1"/>
  <c r="I39" i="267" s="1"/>
  <c r="I38" i="267" s="1"/>
  <c r="I37" i="267" s="1"/>
  <c r="I36" i="267" s="1"/>
  <c r="I35" i="267" s="1"/>
  <c r="I34" i="267" s="1"/>
  <c r="I33" i="267" s="1"/>
  <c r="I32" i="267" s="1"/>
  <c r="I31" i="267" s="1"/>
  <c r="I30" i="267" s="1"/>
  <c r="I29" i="267" s="1"/>
  <c r="I28" i="267" s="1"/>
  <c r="I27" i="267" s="1"/>
  <c r="I26" i="267" s="1"/>
  <c r="I25" i="267" s="1"/>
  <c r="I24" i="267" s="1"/>
  <c r="I23" i="267" s="1"/>
  <c r="I22" i="267" s="1"/>
  <c r="I21" i="267" s="1"/>
  <c r="I20" i="267" s="1"/>
  <c r="I19" i="267" s="1"/>
  <c r="I18" i="267" s="1"/>
  <c r="I17" i="267" s="1"/>
  <c r="I16" i="267" s="1"/>
  <c r="I15" i="267" s="1"/>
  <c r="I14" i="267" s="1"/>
  <c r="I13" i="267" s="1"/>
  <c r="I12" i="267" s="1"/>
  <c r="I11" i="267" s="1"/>
  <c r="I10" i="267" s="1"/>
  <c r="I9" i="267" s="1"/>
  <c r="I8" i="267" s="1"/>
  <c r="I7" i="267" s="1"/>
  <c r="I6" i="267" s="1"/>
  <c r="I5" i="267" s="1"/>
  <c r="I4" i="267" s="1"/>
  <c r="I3" i="267" s="1"/>
  <c r="I2" i="267" s="1"/>
  <c r="I172" i="266"/>
  <c r="I171" i="266" s="1"/>
  <c r="I170" i="266" s="1"/>
  <c r="I169" i="266" s="1"/>
  <c r="I168" i="266" s="1"/>
  <c r="I167" i="266" s="1"/>
  <c r="I166" i="266" s="1"/>
  <c r="I165" i="266" s="1"/>
  <c r="I164" i="266" s="1"/>
  <c r="I163" i="266" s="1"/>
  <c r="I162" i="266" s="1"/>
  <c r="I161" i="266" s="1"/>
  <c r="I160" i="266" s="1"/>
  <c r="I159" i="266" s="1"/>
  <c r="I158" i="266" s="1"/>
  <c r="I157" i="266" s="1"/>
  <c r="I156" i="266" s="1"/>
  <c r="I155" i="266" s="1"/>
  <c r="I154" i="266" s="1"/>
  <c r="I153" i="266" s="1"/>
  <c r="I152" i="266" s="1"/>
  <c r="I151" i="266" s="1"/>
  <c r="I150" i="266" s="1"/>
  <c r="I149" i="266" s="1"/>
  <c r="I148" i="266" s="1"/>
  <c r="I147" i="266" s="1"/>
  <c r="I146" i="266" s="1"/>
  <c r="I145" i="266" s="1"/>
  <c r="I144" i="266" s="1"/>
  <c r="I143" i="266" s="1"/>
  <c r="I142" i="266" s="1"/>
  <c r="I141" i="266" s="1"/>
  <c r="I140" i="266" s="1"/>
  <c r="I139" i="266" s="1"/>
  <c r="I138" i="266" s="1"/>
  <c r="I137" i="266" s="1"/>
  <c r="I136" i="266" s="1"/>
  <c r="I135" i="266" s="1"/>
  <c r="I134" i="266" s="1"/>
  <c r="I133" i="266" s="1"/>
  <c r="I132" i="266" s="1"/>
  <c r="I131" i="266" s="1"/>
  <c r="I130" i="266" s="1"/>
  <c r="I129" i="266" s="1"/>
  <c r="I128" i="266" s="1"/>
  <c r="I127" i="266" s="1"/>
  <c r="I126" i="266" s="1"/>
  <c r="I125" i="266" s="1"/>
  <c r="I124" i="266" s="1"/>
  <c r="I123" i="266" s="1"/>
  <c r="I122" i="266" s="1"/>
  <c r="I121" i="266" s="1"/>
  <c r="I120" i="266" s="1"/>
  <c r="I119" i="266" s="1"/>
  <c r="I118" i="266" s="1"/>
  <c r="I117" i="266" s="1"/>
  <c r="I116" i="266" s="1"/>
  <c r="I115" i="266" s="1"/>
  <c r="I114" i="266" s="1"/>
  <c r="I113" i="266" s="1"/>
  <c r="I112" i="266" s="1"/>
  <c r="I111" i="266" s="1"/>
  <c r="I110" i="266" s="1"/>
  <c r="I109" i="266" s="1"/>
  <c r="I108" i="266" s="1"/>
  <c r="I107" i="266" s="1"/>
  <c r="I106" i="266" s="1"/>
  <c r="I105" i="266" s="1"/>
  <c r="I104" i="266" s="1"/>
  <c r="I103" i="266" s="1"/>
  <c r="I102" i="266" s="1"/>
  <c r="I101" i="266" s="1"/>
  <c r="I100" i="266" s="1"/>
  <c r="I99" i="266" s="1"/>
  <c r="I98" i="266" s="1"/>
  <c r="I97" i="266" s="1"/>
  <c r="I96" i="266" s="1"/>
  <c r="I95" i="266" s="1"/>
  <c r="I94" i="266" s="1"/>
  <c r="I93" i="266" s="1"/>
  <c r="I92" i="266" s="1"/>
  <c r="I91" i="266" s="1"/>
  <c r="I90" i="266" s="1"/>
  <c r="I89" i="266" s="1"/>
  <c r="I88" i="266" s="1"/>
  <c r="I87" i="266" s="1"/>
  <c r="I86" i="266" s="1"/>
  <c r="I85" i="266" s="1"/>
  <c r="I84" i="266" s="1"/>
  <c r="I83" i="266" s="1"/>
  <c r="I82" i="266" s="1"/>
  <c r="I81" i="266" s="1"/>
  <c r="I80" i="266" s="1"/>
  <c r="I79" i="266" s="1"/>
  <c r="I78" i="266" s="1"/>
  <c r="I77" i="266" s="1"/>
  <c r="I76" i="266" s="1"/>
  <c r="I75" i="266" s="1"/>
  <c r="I74" i="266" s="1"/>
  <c r="I73" i="266" s="1"/>
  <c r="I72" i="266" s="1"/>
  <c r="I71" i="266" s="1"/>
  <c r="I70" i="266" s="1"/>
  <c r="I69" i="266" s="1"/>
  <c r="I68" i="266" s="1"/>
  <c r="I67" i="266" s="1"/>
  <c r="I66" i="266" s="1"/>
  <c r="I65" i="266" s="1"/>
  <c r="I64" i="266" s="1"/>
  <c r="I63" i="266" s="1"/>
  <c r="I62" i="266" s="1"/>
  <c r="I61" i="266" s="1"/>
  <c r="I60" i="266" s="1"/>
  <c r="I59" i="266" s="1"/>
  <c r="I58" i="266" s="1"/>
  <c r="I57" i="266" s="1"/>
  <c r="I56" i="266" s="1"/>
  <c r="I55" i="266" s="1"/>
  <c r="I54" i="266" s="1"/>
  <c r="I53" i="266" s="1"/>
  <c r="I52" i="266" s="1"/>
  <c r="I51" i="266" s="1"/>
  <c r="I50" i="266" s="1"/>
  <c r="I49" i="266" s="1"/>
  <c r="I48" i="266" s="1"/>
  <c r="I47" i="266" s="1"/>
  <c r="I46" i="266" s="1"/>
  <c r="I45" i="266" s="1"/>
  <c r="I44" i="266" s="1"/>
  <c r="I43" i="266" s="1"/>
  <c r="I42" i="266" s="1"/>
  <c r="I41" i="266" s="1"/>
  <c r="I40" i="266" s="1"/>
  <c r="I39" i="266" s="1"/>
  <c r="I38" i="266" s="1"/>
  <c r="I37" i="266" s="1"/>
  <c r="I36" i="266" s="1"/>
  <c r="I35" i="266" s="1"/>
  <c r="I34" i="266" s="1"/>
  <c r="I33" i="266" s="1"/>
  <c r="I32" i="266" s="1"/>
  <c r="I31" i="266" s="1"/>
  <c r="I30" i="266" s="1"/>
  <c r="I29" i="266" s="1"/>
  <c r="I28" i="266" s="1"/>
  <c r="I27" i="266" s="1"/>
  <c r="I26" i="266" s="1"/>
  <c r="I25" i="266" s="1"/>
  <c r="I24" i="266" s="1"/>
  <c r="I23" i="266" s="1"/>
  <c r="I22" i="266" s="1"/>
  <c r="I21" i="266" s="1"/>
  <c r="I20" i="266" s="1"/>
  <c r="I19" i="266" s="1"/>
  <c r="I18" i="266" s="1"/>
  <c r="I17" i="266" s="1"/>
  <c r="I16" i="266" s="1"/>
  <c r="I15" i="266" s="1"/>
  <c r="I14" i="266" s="1"/>
  <c r="I13" i="266" s="1"/>
  <c r="I12" i="266" s="1"/>
  <c r="I11" i="266" s="1"/>
  <c r="I10" i="266" s="1"/>
  <c r="I9" i="266" s="1"/>
  <c r="I8" i="266" s="1"/>
  <c r="I7" i="266" s="1"/>
  <c r="I6" i="266" s="1"/>
  <c r="I5" i="266" s="1"/>
  <c r="I4" i="266" s="1"/>
  <c r="I3" i="266" s="1"/>
  <c r="I2" i="266" s="1"/>
  <c r="L217" i="276" l="1"/>
  <c r="L198" i="267"/>
  <c r="L201" i="267"/>
  <c r="L199" i="267"/>
  <c r="L197" i="267"/>
  <c r="L216" i="276"/>
  <c r="L202" i="267"/>
  <c r="L200" i="267"/>
  <c r="L215" i="276"/>
  <c r="L206" i="271"/>
  <c r="L215" i="266"/>
  <c r="L216" i="266"/>
  <c r="L214" i="266"/>
  <c r="E14" i="293"/>
  <c r="E28" i="293"/>
  <c r="E38" i="293"/>
  <c r="E52" i="293"/>
  <c r="E64" i="293"/>
  <c r="E15" i="293"/>
  <c r="E29" i="293"/>
  <c r="E39" i="293"/>
  <c r="E53" i="293"/>
  <c r="E67" i="293"/>
  <c r="E20" i="293"/>
  <c r="E30" i="293"/>
  <c r="E40" i="293"/>
  <c r="E54" i="293"/>
  <c r="E74" i="293"/>
  <c r="E21" i="293"/>
  <c r="E31" i="293"/>
  <c r="E41" i="293"/>
  <c r="E55" i="293"/>
  <c r="E22" i="293"/>
  <c r="E32" i="293"/>
  <c r="E46" i="293"/>
  <c r="E56" i="293"/>
  <c r="E72" i="293"/>
  <c r="E8" i="293"/>
  <c r="E23" i="293"/>
  <c r="E35" i="293"/>
  <c r="E47" i="293"/>
  <c r="E57" i="293"/>
  <c r="E11" i="293"/>
  <c r="E24" i="293"/>
  <c r="H24" i="293" s="1"/>
  <c r="E36" i="293"/>
  <c r="E48" i="293"/>
  <c r="E58" i="293"/>
  <c r="E12" i="293"/>
  <c r="E25" i="293"/>
  <c r="E37" i="293"/>
  <c r="E51" i="293"/>
  <c r="E63" i="293"/>
  <c r="E10" i="293"/>
  <c r="C72" i="278"/>
  <c r="L172" i="272"/>
  <c r="L211" i="266"/>
  <c r="L173" i="272"/>
  <c r="L171" i="272"/>
  <c r="L170" i="272"/>
  <c r="L168" i="272"/>
  <c r="L205" i="271"/>
  <c r="L167" i="272"/>
  <c r="L166" i="272"/>
  <c r="L212" i="266"/>
  <c r="L165" i="272"/>
  <c r="L164" i="272"/>
  <c r="L213" i="266"/>
  <c r="L204" i="271"/>
  <c r="L169" i="272"/>
  <c r="L209" i="266"/>
  <c r="L210" i="266"/>
  <c r="L52" i="267"/>
  <c r="L53" i="267"/>
  <c r="L194" i="267"/>
  <c r="L195" i="267"/>
  <c r="L196" i="267"/>
  <c r="L207" i="266"/>
  <c r="L203" i="266"/>
  <c r="L206" i="266"/>
  <c r="L208" i="266"/>
  <c r="L211" i="276"/>
  <c r="L210" i="276"/>
  <c r="L214" i="276"/>
  <c r="L209" i="276"/>
  <c r="L204" i="276"/>
  <c r="L212" i="276"/>
  <c r="L207" i="276"/>
  <c r="L206" i="276"/>
  <c r="L205" i="276"/>
  <c r="L203" i="276"/>
  <c r="L213" i="276"/>
  <c r="L208" i="276"/>
  <c r="L200" i="266"/>
  <c r="L202" i="266"/>
  <c r="L198" i="266"/>
  <c r="L201" i="266"/>
  <c r="L196" i="266"/>
  <c r="L200" i="276"/>
  <c r="L202" i="276"/>
  <c r="L197" i="276"/>
  <c r="L201" i="276"/>
  <c r="L231" i="272"/>
  <c r="L188" i="272"/>
  <c r="L223" i="272"/>
  <c r="L243" i="272"/>
  <c r="L224" i="272"/>
  <c r="L218" i="272"/>
  <c r="L225" i="272"/>
  <c r="L235" i="272"/>
  <c r="L195" i="272"/>
  <c r="L180" i="272"/>
  <c r="L198" i="272"/>
  <c r="L187" i="272"/>
  <c r="L213" i="272"/>
  <c r="L216" i="272"/>
  <c r="L220" i="272"/>
  <c r="L175" i="272"/>
  <c r="L189" i="272"/>
  <c r="L227" i="272"/>
  <c r="L174" i="272"/>
  <c r="L193" i="272"/>
  <c r="L196" i="272"/>
  <c r="L207" i="272"/>
  <c r="L199" i="266"/>
  <c r="L191" i="272"/>
  <c r="L190" i="272"/>
  <c r="L178" i="272"/>
  <c r="L200" i="272"/>
  <c r="L222" i="272"/>
  <c r="L201" i="272"/>
  <c r="L248" i="272"/>
  <c r="L212" i="272"/>
  <c r="L193" i="266"/>
  <c r="L229" i="272"/>
  <c r="L234" i="272"/>
  <c r="L181" i="272"/>
  <c r="L239" i="272"/>
  <c r="L206" i="272"/>
  <c r="L238" i="272"/>
  <c r="L217" i="272"/>
  <c r="L205" i="266"/>
  <c r="L192" i="272"/>
  <c r="L232" i="272"/>
  <c r="L221" i="272"/>
  <c r="L197" i="272"/>
  <c r="L184" i="272"/>
  <c r="L242" i="272"/>
  <c r="L249" i="272"/>
  <c r="L183" i="272"/>
  <c r="L210" i="272"/>
  <c r="L230" i="272"/>
  <c r="L226" i="272"/>
  <c r="L237" i="272"/>
  <c r="L211" i="272"/>
  <c r="L244" i="272"/>
  <c r="L219" i="272"/>
  <c r="L204" i="266"/>
  <c r="L240" i="272"/>
  <c r="L179" i="272"/>
  <c r="L176" i="272"/>
  <c r="L247" i="272"/>
  <c r="L209" i="272"/>
  <c r="L245" i="272"/>
  <c r="L197" i="266"/>
  <c r="L233" i="272"/>
  <c r="L182" i="272"/>
  <c r="L214" i="272"/>
  <c r="L185" i="272"/>
  <c r="L215" i="272"/>
  <c r="L177" i="272"/>
  <c r="L236" i="272"/>
  <c r="L208" i="272"/>
  <c r="L203" i="272"/>
  <c r="L246" i="272"/>
  <c r="L204" i="272"/>
  <c r="L228" i="272"/>
  <c r="L241" i="272"/>
  <c r="L194" i="272"/>
  <c r="L205" i="272"/>
  <c r="L202" i="272"/>
  <c r="L186" i="272"/>
  <c r="L199" i="272"/>
  <c r="L192" i="267"/>
  <c r="L210" i="269"/>
  <c r="L258" i="269"/>
  <c r="L197" i="269"/>
  <c r="L214" i="269"/>
  <c r="L266" i="269"/>
  <c r="L191" i="267"/>
  <c r="L245" i="269"/>
  <c r="L282" i="269"/>
  <c r="L230" i="269"/>
  <c r="L286" i="269"/>
  <c r="L234" i="269"/>
  <c r="L188" i="267"/>
  <c r="L242" i="269"/>
  <c r="L202" i="269"/>
  <c r="L229" i="269"/>
  <c r="L206" i="269"/>
  <c r="L254" i="269"/>
  <c r="L291" i="269"/>
  <c r="L285" i="269"/>
  <c r="L281" i="269"/>
  <c r="L244" i="269"/>
  <c r="L200" i="269"/>
  <c r="L265" i="269"/>
  <c r="L211" i="269"/>
  <c r="L257" i="269"/>
  <c r="L203" i="269"/>
  <c r="L278" i="269"/>
  <c r="L226" i="269"/>
  <c r="L262" i="269"/>
  <c r="L289" i="269"/>
  <c r="L283" i="269"/>
  <c r="L279" i="269"/>
  <c r="L227" i="269"/>
  <c r="L198" i="269"/>
  <c r="L263" i="269"/>
  <c r="L196" i="269"/>
  <c r="L255" i="269"/>
  <c r="L197" i="271"/>
  <c r="L276" i="269"/>
  <c r="L224" i="269"/>
  <c r="L260" i="269"/>
  <c r="L215" i="269"/>
  <c r="L287" i="269"/>
  <c r="L252" i="269"/>
  <c r="L277" i="269"/>
  <c r="L225" i="269"/>
  <c r="L261" i="269"/>
  <c r="L194" i="269"/>
  <c r="L232" i="269"/>
  <c r="L284" i="269"/>
  <c r="L274" i="269"/>
  <c r="L222" i="269"/>
  <c r="L241" i="269"/>
  <c r="L267" i="269"/>
  <c r="L256" i="269"/>
  <c r="L250" i="269"/>
  <c r="L275" i="269"/>
  <c r="L223" i="269"/>
  <c r="L259" i="269"/>
  <c r="L209" i="269"/>
  <c r="L253" i="269"/>
  <c r="L272" i="269"/>
  <c r="L220" i="269"/>
  <c r="L239" i="269"/>
  <c r="L193" i="271"/>
  <c r="L233" i="269"/>
  <c r="L248" i="269"/>
  <c r="L273" i="269"/>
  <c r="L221" i="269"/>
  <c r="L240" i="269"/>
  <c r="L207" i="269"/>
  <c r="L251" i="269"/>
  <c r="L270" i="269"/>
  <c r="L218" i="269"/>
  <c r="L237" i="269"/>
  <c r="L196" i="271"/>
  <c r="L231" i="269"/>
  <c r="L246" i="269"/>
  <c r="L271" i="269"/>
  <c r="L219" i="269"/>
  <c r="L193" i="267"/>
  <c r="L238" i="269"/>
  <c r="L249" i="269"/>
  <c r="L199" i="271"/>
  <c r="L268" i="269"/>
  <c r="L216" i="269"/>
  <c r="L189" i="267"/>
  <c r="L235" i="269"/>
  <c r="L203" i="271"/>
  <c r="L200" i="271"/>
  <c r="L208" i="269"/>
  <c r="L204" i="269"/>
  <c r="L269" i="269"/>
  <c r="L217" i="269"/>
  <c r="L190" i="267"/>
  <c r="L236" i="269"/>
  <c r="L290" i="269"/>
  <c r="L247" i="269"/>
  <c r="L201" i="271"/>
  <c r="L243" i="269"/>
  <c r="L201" i="269"/>
  <c r="L198" i="271"/>
  <c r="L212" i="269"/>
  <c r="L202" i="271"/>
  <c r="L213" i="269"/>
  <c r="L288" i="269"/>
  <c r="L205" i="269"/>
  <c r="L280" i="269"/>
  <c r="L228" i="269"/>
  <c r="L199" i="269"/>
  <c r="L264" i="269"/>
  <c r="L195" i="269"/>
  <c r="L181" i="277"/>
  <c r="L193" i="269"/>
  <c r="L194" i="271"/>
  <c r="L191" i="271"/>
  <c r="L195" i="271"/>
  <c r="L190" i="269"/>
  <c r="L191" i="269"/>
  <c r="L192" i="269"/>
  <c r="L192" i="271"/>
  <c r="L195" i="266"/>
  <c r="L194" i="266"/>
  <c r="L192" i="266"/>
  <c r="I159" i="275"/>
  <c r="I158" i="275" s="1"/>
  <c r="I157" i="275" s="1"/>
  <c r="I156" i="275" s="1"/>
  <c r="I155" i="275" s="1"/>
  <c r="I154" i="275" s="1"/>
  <c r="I153" i="275" s="1"/>
  <c r="I152" i="275" s="1"/>
  <c r="I151" i="275" s="1"/>
  <c r="I150" i="275" s="1"/>
  <c r="I149" i="275" s="1"/>
  <c r="I148" i="275" s="1"/>
  <c r="I147" i="275" s="1"/>
  <c r="I146" i="275" s="1"/>
  <c r="I145" i="275" s="1"/>
  <c r="I144" i="275" s="1"/>
  <c r="I143" i="275" s="1"/>
  <c r="I142" i="275" s="1"/>
  <c r="I141" i="275" s="1"/>
  <c r="I140" i="275" s="1"/>
  <c r="I139" i="275" s="1"/>
  <c r="I138" i="275" s="1"/>
  <c r="I137" i="275" s="1"/>
  <c r="I136" i="275" s="1"/>
  <c r="I135" i="275" s="1"/>
  <c r="I134" i="275" s="1"/>
  <c r="I133" i="275" s="1"/>
  <c r="I132" i="275" s="1"/>
  <c r="I131" i="275" s="1"/>
  <c r="I130" i="275" s="1"/>
  <c r="I129" i="275" s="1"/>
  <c r="I128" i="275" s="1"/>
  <c r="I127" i="275" s="1"/>
  <c r="I126" i="275" s="1"/>
  <c r="I125" i="275" s="1"/>
  <c r="I124" i="275" s="1"/>
  <c r="I123" i="275" s="1"/>
  <c r="I122" i="275" s="1"/>
  <c r="I121" i="275" s="1"/>
  <c r="I120" i="275" s="1"/>
  <c r="I119" i="275" s="1"/>
  <c r="I118" i="275" s="1"/>
  <c r="I117" i="275" s="1"/>
  <c r="I116" i="275" s="1"/>
  <c r="I115" i="275" s="1"/>
  <c r="I114" i="275" s="1"/>
  <c r="I113" i="275" s="1"/>
  <c r="I112" i="275" s="1"/>
  <c r="I111" i="275" s="1"/>
  <c r="I110" i="275" s="1"/>
  <c r="I109" i="275" s="1"/>
  <c r="I108" i="275" s="1"/>
  <c r="I107" i="275" s="1"/>
  <c r="I106" i="275" s="1"/>
  <c r="I105" i="275" s="1"/>
  <c r="I104" i="275" s="1"/>
  <c r="I103" i="275" s="1"/>
  <c r="I102" i="275" s="1"/>
  <c r="I101" i="275" s="1"/>
  <c r="I100" i="275" s="1"/>
  <c r="I99" i="275" s="1"/>
  <c r="I98" i="275" s="1"/>
  <c r="I97" i="275" s="1"/>
  <c r="I96" i="275" s="1"/>
  <c r="I95" i="275" s="1"/>
  <c r="I94" i="275" s="1"/>
  <c r="I93" i="275" s="1"/>
  <c r="I92" i="275" s="1"/>
  <c r="I91" i="275" s="1"/>
  <c r="I90" i="275" s="1"/>
  <c r="I89" i="275" s="1"/>
  <c r="I88" i="275" s="1"/>
  <c r="I87" i="275" s="1"/>
  <c r="I86" i="275" s="1"/>
  <c r="I85" i="275" s="1"/>
  <c r="I84" i="275" s="1"/>
  <c r="I83" i="275" s="1"/>
  <c r="I82" i="275" s="1"/>
  <c r="I81" i="275" s="1"/>
  <c r="I80" i="275" s="1"/>
  <c r="I79" i="275" s="1"/>
  <c r="I78" i="275" s="1"/>
  <c r="I77" i="275" s="1"/>
  <c r="I76" i="275" s="1"/>
  <c r="I75" i="275" s="1"/>
  <c r="I74" i="275" s="1"/>
  <c r="I73" i="275" s="1"/>
  <c r="I72" i="275" s="1"/>
  <c r="I71" i="275" s="1"/>
  <c r="I70" i="275" s="1"/>
  <c r="I69" i="275" s="1"/>
  <c r="I68" i="275" s="1"/>
  <c r="I67" i="275" s="1"/>
  <c r="I66" i="275" s="1"/>
  <c r="I65" i="275" s="1"/>
  <c r="I64" i="275" s="1"/>
  <c r="I63" i="275" s="1"/>
  <c r="I62" i="275" s="1"/>
  <c r="I61" i="275" s="1"/>
  <c r="I60" i="275" s="1"/>
  <c r="I59" i="275" s="1"/>
  <c r="I58" i="275" s="1"/>
  <c r="I57" i="275" s="1"/>
  <c r="I56" i="275" s="1"/>
  <c r="I55" i="275" s="1"/>
  <c r="I54" i="275" s="1"/>
  <c r="I53" i="275" s="1"/>
  <c r="I52" i="275" s="1"/>
  <c r="I51" i="275" s="1"/>
  <c r="I50" i="275" s="1"/>
  <c r="I49" i="275" s="1"/>
  <c r="I48" i="275" s="1"/>
  <c r="I47" i="275" s="1"/>
  <c r="I46" i="275" s="1"/>
  <c r="I45" i="275" s="1"/>
  <c r="I44" i="275" s="1"/>
  <c r="I43" i="275" s="1"/>
  <c r="I42" i="275" s="1"/>
  <c r="I41" i="275" s="1"/>
  <c r="I40" i="275" s="1"/>
  <c r="I39" i="275" s="1"/>
  <c r="I38" i="275" s="1"/>
  <c r="I37" i="275" s="1"/>
  <c r="I36" i="275" s="1"/>
  <c r="I35" i="275" s="1"/>
  <c r="I34" i="275" s="1"/>
  <c r="I33" i="275" s="1"/>
  <c r="I32" i="275" s="1"/>
  <c r="I31" i="275" s="1"/>
  <c r="I30" i="275" s="1"/>
  <c r="I29" i="275" s="1"/>
  <c r="I28" i="275" s="1"/>
  <c r="I27" i="275" s="1"/>
  <c r="I26" i="275" s="1"/>
  <c r="I25" i="275" s="1"/>
  <c r="I24" i="275" s="1"/>
  <c r="I23" i="275" s="1"/>
  <c r="I22" i="275" s="1"/>
  <c r="I21" i="275" s="1"/>
  <c r="I20" i="275" s="1"/>
  <c r="I19" i="275" s="1"/>
  <c r="I18" i="275" s="1"/>
  <c r="I17" i="275" s="1"/>
  <c r="I16" i="275" s="1"/>
  <c r="I15" i="275" s="1"/>
  <c r="I14" i="275" s="1"/>
  <c r="I13" i="275" s="1"/>
  <c r="I12" i="275" s="1"/>
  <c r="I11" i="275" s="1"/>
  <c r="I10" i="275" s="1"/>
  <c r="I9" i="275" s="1"/>
  <c r="I8" i="275" s="1"/>
  <c r="I7" i="275" s="1"/>
  <c r="I6" i="275" s="1"/>
  <c r="I5" i="275" s="1"/>
  <c r="I4" i="275" s="1"/>
  <c r="I3" i="275" s="1"/>
  <c r="I2" i="275" s="1"/>
  <c r="L183" i="275"/>
  <c r="L190" i="275"/>
  <c r="L197" i="275"/>
  <c r="L215" i="275"/>
  <c r="L222" i="275"/>
  <c r="L229" i="275"/>
  <c r="L247" i="275"/>
  <c r="L254" i="275"/>
  <c r="L261" i="275"/>
  <c r="L179" i="275"/>
  <c r="L186" i="275"/>
  <c r="L193" i="275"/>
  <c r="L211" i="275"/>
  <c r="L218" i="275"/>
  <c r="L225" i="275"/>
  <c r="L243" i="275"/>
  <c r="L250" i="275"/>
  <c r="L257" i="275"/>
  <c r="L175" i="275"/>
  <c r="L182" i="275"/>
  <c r="L189" i="275"/>
  <c r="L207" i="275"/>
  <c r="L214" i="275"/>
  <c r="L221" i="275"/>
  <c r="L239" i="275"/>
  <c r="L246" i="275"/>
  <c r="L253" i="275"/>
  <c r="L226" i="275"/>
  <c r="L265" i="275"/>
  <c r="L178" i="275"/>
  <c r="L185" i="275"/>
  <c r="L203" i="275"/>
  <c r="L210" i="275"/>
  <c r="L217" i="275"/>
  <c r="L235" i="275"/>
  <c r="L242" i="275"/>
  <c r="L249" i="275"/>
  <c r="L251" i="275"/>
  <c r="L181" i="275"/>
  <c r="L199" i="275"/>
  <c r="L206" i="275"/>
  <c r="L213" i="275"/>
  <c r="L231" i="275"/>
  <c r="L238" i="275"/>
  <c r="L245" i="275"/>
  <c r="L263" i="275"/>
  <c r="L187" i="275"/>
  <c r="L201" i="275"/>
  <c r="L233" i="275"/>
  <c r="L177" i="275"/>
  <c r="L195" i="275"/>
  <c r="L202" i="275"/>
  <c r="L209" i="275"/>
  <c r="L227" i="275"/>
  <c r="L234" i="275"/>
  <c r="L241" i="275"/>
  <c r="L259" i="275"/>
  <c r="L219" i="275"/>
  <c r="L191" i="275"/>
  <c r="L198" i="275"/>
  <c r="L205" i="275"/>
  <c r="L223" i="275"/>
  <c r="L230" i="275"/>
  <c r="L237" i="275"/>
  <c r="L255" i="275"/>
  <c r="L262" i="275"/>
  <c r="L194" i="275"/>
  <c r="L258" i="275"/>
  <c r="L208" i="275"/>
  <c r="L220" i="275"/>
  <c r="L196" i="275"/>
  <c r="L244" i="275"/>
  <c r="L188" i="275"/>
  <c r="L176" i="275"/>
  <c r="L212" i="275"/>
  <c r="L174" i="275"/>
  <c r="L264" i="275"/>
  <c r="L180" i="275"/>
  <c r="L256" i="275"/>
  <c r="L232" i="275"/>
  <c r="L248" i="275"/>
  <c r="L224" i="275"/>
  <c r="L200" i="275"/>
  <c r="L216" i="275"/>
  <c r="L192" i="275"/>
  <c r="L240" i="275"/>
  <c r="L184" i="275"/>
  <c r="L260" i="275"/>
  <c r="L236" i="275"/>
  <c r="L252" i="275"/>
  <c r="L228" i="275"/>
  <c r="L204" i="275"/>
  <c r="F8" i="278"/>
  <c r="H57" i="285"/>
  <c r="H24" i="289"/>
  <c r="H57" i="292"/>
  <c r="H24" i="278"/>
  <c r="F56" i="285"/>
  <c r="H47" i="278"/>
  <c r="H57" i="278"/>
  <c r="F8" i="290"/>
  <c r="H24" i="292"/>
  <c r="H24" i="286"/>
  <c r="F8" i="288"/>
  <c r="H24" i="290"/>
  <c r="H57" i="283"/>
  <c r="H35" i="288"/>
  <c r="H57" i="288"/>
  <c r="F8" i="291"/>
  <c r="H24" i="283"/>
  <c r="F8" i="284"/>
  <c r="H24" i="288"/>
  <c r="H35" i="291"/>
  <c r="H57" i="291"/>
  <c r="H57" i="284"/>
  <c r="F8" i="289"/>
  <c r="H24" i="291"/>
  <c r="H35" i="289"/>
  <c r="H57" i="289"/>
  <c r="F32" i="292"/>
  <c r="C47" i="331"/>
  <c r="C24" i="331"/>
  <c r="C24" i="325"/>
  <c r="C47" i="325"/>
  <c r="C24" i="321"/>
  <c r="C47" i="321"/>
  <c r="C35" i="321"/>
  <c r="C67" i="321"/>
  <c r="C24" i="319"/>
  <c r="C24" i="317"/>
  <c r="C47" i="317"/>
  <c r="C24" i="315"/>
  <c r="C47" i="315"/>
  <c r="C72" i="313"/>
  <c r="C24" i="313"/>
  <c r="F77" i="334"/>
  <c r="F71" i="334"/>
  <c r="C72" i="329"/>
  <c r="U72" i="333" s="1"/>
  <c r="C47" i="329"/>
  <c r="U47" i="333" s="1"/>
  <c r="C24" i="329"/>
  <c r="U24" i="333" s="1"/>
  <c r="L22" i="266"/>
  <c r="L20" i="266"/>
  <c r="L19" i="266"/>
  <c r="L23" i="266"/>
  <c r="L21" i="266"/>
  <c r="L24" i="266"/>
  <c r="C72" i="311"/>
  <c r="C67" i="311"/>
  <c r="C24" i="311"/>
  <c r="L183" i="276"/>
  <c r="L188" i="276"/>
  <c r="L191" i="276"/>
  <c r="L169" i="275"/>
  <c r="L168" i="274"/>
  <c r="L174" i="274"/>
  <c r="L182" i="274"/>
  <c r="L187" i="274"/>
  <c r="L192" i="274"/>
  <c r="L214" i="274"/>
  <c r="L219" i="274"/>
  <c r="L224" i="274"/>
  <c r="L246" i="274"/>
  <c r="L251" i="274"/>
  <c r="L256" i="274"/>
  <c r="L266" i="274"/>
  <c r="L170" i="271"/>
  <c r="L175" i="271"/>
  <c r="L178" i="271"/>
  <c r="L179" i="269"/>
  <c r="L168" i="267"/>
  <c r="L184" i="266"/>
  <c r="L189" i="276"/>
  <c r="L222" i="274"/>
  <c r="L155" i="272"/>
  <c r="L176" i="267"/>
  <c r="L176" i="276"/>
  <c r="L173" i="276"/>
  <c r="L165" i="275"/>
  <c r="L179" i="274"/>
  <c r="L194" i="274"/>
  <c r="L199" i="274"/>
  <c r="L204" i="274"/>
  <c r="L226" i="274"/>
  <c r="L231" i="274"/>
  <c r="L236" i="274"/>
  <c r="L258" i="274"/>
  <c r="L263" i="274"/>
  <c r="L151" i="272"/>
  <c r="L154" i="272"/>
  <c r="L163" i="272"/>
  <c r="L183" i="271"/>
  <c r="L186" i="271"/>
  <c r="L189" i="271"/>
  <c r="L176" i="269"/>
  <c r="L170" i="267"/>
  <c r="L175" i="267"/>
  <c r="L180" i="267"/>
  <c r="L170" i="275"/>
  <c r="L200" i="274"/>
  <c r="L166" i="275"/>
  <c r="L180" i="274"/>
  <c r="L175" i="276"/>
  <c r="L180" i="276"/>
  <c r="L185" i="276"/>
  <c r="L196" i="276"/>
  <c r="L199" i="276"/>
  <c r="L170" i="274"/>
  <c r="L184" i="274"/>
  <c r="L206" i="274"/>
  <c r="L211" i="274"/>
  <c r="L216" i="274"/>
  <c r="L238" i="274"/>
  <c r="L243" i="274"/>
  <c r="L248" i="274"/>
  <c r="L160" i="272"/>
  <c r="L177" i="271"/>
  <c r="L187" i="269"/>
  <c r="L182" i="267"/>
  <c r="L187" i="267"/>
  <c r="L175" i="274"/>
  <c r="L227" i="274"/>
  <c r="L254" i="274"/>
  <c r="L267" i="274"/>
  <c r="L158" i="272"/>
  <c r="L174" i="269"/>
  <c r="L166" i="267"/>
  <c r="L180" i="266"/>
  <c r="L173" i="275"/>
  <c r="L171" i="274"/>
  <c r="L187" i="276"/>
  <c r="L193" i="276"/>
  <c r="L176" i="274"/>
  <c r="L186" i="274"/>
  <c r="L191" i="274"/>
  <c r="L196" i="274"/>
  <c r="L218" i="274"/>
  <c r="L223" i="274"/>
  <c r="L228" i="274"/>
  <c r="L250" i="274"/>
  <c r="L255" i="274"/>
  <c r="L260" i="274"/>
  <c r="L148" i="272"/>
  <c r="L174" i="271"/>
  <c r="L185" i="271"/>
  <c r="L175" i="269"/>
  <c r="L178" i="269"/>
  <c r="L184" i="269"/>
  <c r="L167" i="267"/>
  <c r="L172" i="267"/>
  <c r="L176" i="266"/>
  <c r="L188" i="266"/>
  <c r="L163" i="275"/>
  <c r="L259" i="274"/>
  <c r="L187" i="271"/>
  <c r="L171" i="267"/>
  <c r="L172" i="276"/>
  <c r="L177" i="276"/>
  <c r="L171" i="275"/>
  <c r="L178" i="274"/>
  <c r="L198" i="274"/>
  <c r="L203" i="274"/>
  <c r="L208" i="274"/>
  <c r="L230" i="274"/>
  <c r="L235" i="274"/>
  <c r="L240" i="274"/>
  <c r="L262" i="274"/>
  <c r="L150" i="272"/>
  <c r="L156" i="272"/>
  <c r="L159" i="272"/>
  <c r="L162" i="272"/>
  <c r="L182" i="271"/>
  <c r="L174" i="267"/>
  <c r="L179" i="267"/>
  <c r="L184" i="267"/>
  <c r="L190" i="274"/>
  <c r="L232" i="274"/>
  <c r="L264" i="274"/>
  <c r="L173" i="271"/>
  <c r="L180" i="269"/>
  <c r="L179" i="276"/>
  <c r="L184" i="276"/>
  <c r="L192" i="276"/>
  <c r="L195" i="276"/>
  <c r="L167" i="275"/>
  <c r="L172" i="274"/>
  <c r="L183" i="274"/>
  <c r="L188" i="274"/>
  <c r="L210" i="274"/>
  <c r="L215" i="274"/>
  <c r="L220" i="274"/>
  <c r="L242" i="274"/>
  <c r="L247" i="274"/>
  <c r="L252" i="274"/>
  <c r="L171" i="271"/>
  <c r="L179" i="271"/>
  <c r="L172" i="269"/>
  <c r="L183" i="269"/>
  <c r="L186" i="269"/>
  <c r="L164" i="267"/>
  <c r="L186" i="267"/>
  <c r="L195" i="274"/>
  <c r="L181" i="276"/>
  <c r="L244" i="274"/>
  <c r="L178" i="267"/>
  <c r="L202" i="274"/>
  <c r="L239" i="274"/>
  <c r="L188" i="269"/>
  <c r="L207" i="274"/>
  <c r="L152" i="272"/>
  <c r="L181" i="271"/>
  <c r="L212" i="274"/>
  <c r="L183" i="267"/>
  <c r="L182" i="269"/>
  <c r="L234" i="274"/>
  <c r="L190" i="271"/>
  <c r="L261" i="274"/>
  <c r="L181" i="267"/>
  <c r="L177" i="274"/>
  <c r="L169" i="267"/>
  <c r="L225" i="274"/>
  <c r="L188" i="271"/>
  <c r="L201" i="274"/>
  <c r="L173" i="266"/>
  <c r="L189" i="274"/>
  <c r="L249" i="274"/>
  <c r="L182" i="266"/>
  <c r="L198" i="276"/>
  <c r="L213" i="274"/>
  <c r="L265" i="274"/>
  <c r="L184" i="271"/>
  <c r="L209" i="274"/>
  <c r="L221" i="274"/>
  <c r="L189" i="266"/>
  <c r="L173" i="267"/>
  <c r="L193" i="274"/>
  <c r="L217" i="274"/>
  <c r="L186" i="276"/>
  <c r="L173" i="274"/>
  <c r="L177" i="269"/>
  <c r="L173" i="269"/>
  <c r="L185" i="274"/>
  <c r="L185" i="269"/>
  <c r="L197" i="274"/>
  <c r="L253" i="274"/>
  <c r="L185" i="266"/>
  <c r="L233" i="274"/>
  <c r="L237" i="274"/>
  <c r="L169" i="274"/>
  <c r="L183" i="266"/>
  <c r="L186" i="266"/>
  <c r="L181" i="269"/>
  <c r="L172" i="271"/>
  <c r="L177" i="266"/>
  <c r="L194" i="276"/>
  <c r="L178" i="266"/>
  <c r="L205" i="274"/>
  <c r="L187" i="266"/>
  <c r="L189" i="269"/>
  <c r="L164" i="275"/>
  <c r="L181" i="266"/>
  <c r="L180" i="271"/>
  <c r="L191" i="266"/>
  <c r="L172" i="275"/>
  <c r="L185" i="267"/>
  <c r="L178" i="276"/>
  <c r="L257" i="274"/>
  <c r="L161" i="272"/>
  <c r="L175" i="266"/>
  <c r="L153" i="272"/>
  <c r="L182" i="276"/>
  <c r="L174" i="266"/>
  <c r="L179" i="266"/>
  <c r="L157" i="272"/>
  <c r="L174" i="276"/>
  <c r="L181" i="274"/>
  <c r="L149" i="272"/>
  <c r="L229" i="274"/>
  <c r="L245" i="274"/>
  <c r="L177" i="267"/>
  <c r="L168" i="275"/>
  <c r="L165" i="267"/>
  <c r="L241" i="274"/>
  <c r="L190" i="266"/>
  <c r="L176" i="271"/>
  <c r="L190" i="276"/>
  <c r="C47" i="290"/>
  <c r="C24" i="290"/>
  <c r="Q24" i="332" s="1"/>
  <c r="C47" i="285"/>
  <c r="C24" i="285"/>
  <c r="C47" i="292"/>
  <c r="W47" i="332" s="1"/>
  <c r="C24" i="292"/>
  <c r="W24" i="332" s="1"/>
  <c r="C24" i="288"/>
  <c r="M24" i="332" s="1"/>
  <c r="C35" i="288"/>
  <c r="C47" i="288"/>
  <c r="C24" i="287"/>
  <c r="C47" i="286"/>
  <c r="I47" i="332" s="1"/>
  <c r="C24" i="286"/>
  <c r="I24" i="332" s="1"/>
  <c r="C72" i="284"/>
  <c r="E72" i="332" s="1"/>
  <c r="C24" i="284"/>
  <c r="L166" i="266"/>
  <c r="L158" i="266"/>
  <c r="L150" i="266"/>
  <c r="L142" i="266"/>
  <c r="L134" i="266"/>
  <c r="L126" i="266"/>
  <c r="L118" i="266"/>
  <c r="L110" i="266"/>
  <c r="L102" i="266"/>
  <c r="L94" i="266"/>
  <c r="L86" i="266"/>
  <c r="L78" i="266"/>
  <c r="L70" i="266"/>
  <c r="L62" i="266"/>
  <c r="L54" i="266"/>
  <c r="L46" i="266"/>
  <c r="L38" i="266"/>
  <c r="L30" i="266"/>
  <c r="L14" i="266"/>
  <c r="L6" i="266"/>
  <c r="L46" i="276"/>
  <c r="L110" i="276"/>
  <c r="L137" i="276"/>
  <c r="L165" i="276"/>
  <c r="L34" i="275"/>
  <c r="L66" i="275"/>
  <c r="L98" i="275"/>
  <c r="L130" i="275"/>
  <c r="L13" i="277"/>
  <c r="L18" i="277"/>
  <c r="L29" i="277"/>
  <c r="L34" i="277"/>
  <c r="L45" i="277"/>
  <c r="L50" i="277"/>
  <c r="L61" i="277"/>
  <c r="L66" i="277"/>
  <c r="L77" i="277"/>
  <c r="L82" i="277"/>
  <c r="L93" i="277"/>
  <c r="L98" i="277"/>
  <c r="L108" i="277"/>
  <c r="L113" i="277"/>
  <c r="L124" i="277"/>
  <c r="L129" i="277"/>
  <c r="L140" i="277"/>
  <c r="L155" i="277"/>
  <c r="L160" i="277"/>
  <c r="L171" i="277"/>
  <c r="L176" i="277"/>
  <c r="L187" i="277"/>
  <c r="L192" i="277"/>
  <c r="L203" i="277"/>
  <c r="L208" i="277"/>
  <c r="L219" i="277"/>
  <c r="L224" i="277"/>
  <c r="L82" i="276"/>
  <c r="L89" i="276"/>
  <c r="L160" i="276"/>
  <c r="L22" i="275"/>
  <c r="L54" i="275"/>
  <c r="L86" i="275"/>
  <c r="L118" i="275"/>
  <c r="L41" i="276"/>
  <c r="L125" i="276"/>
  <c r="L150" i="276"/>
  <c r="L10" i="275"/>
  <c r="L42" i="275"/>
  <c r="L74" i="275"/>
  <c r="L106" i="275"/>
  <c r="L138" i="275"/>
  <c r="L9" i="277"/>
  <c r="L14" i="277"/>
  <c r="L25" i="277"/>
  <c r="L30" i="277"/>
  <c r="L41" i="277"/>
  <c r="L46" i="277"/>
  <c r="L57" i="277"/>
  <c r="L62" i="277"/>
  <c r="L73" i="277"/>
  <c r="L78" i="277"/>
  <c r="L89" i="277"/>
  <c r="L94" i="277"/>
  <c r="L104" i="277"/>
  <c r="L109" i="277"/>
  <c r="L120" i="277"/>
  <c r="L125" i="277"/>
  <c r="L136" i="277"/>
  <c r="L141" i="277"/>
  <c r="L151" i="277"/>
  <c r="L156" i="277"/>
  <c r="L167" i="277"/>
  <c r="L172" i="277"/>
  <c r="L183" i="277"/>
  <c r="L188" i="277"/>
  <c r="L199" i="277"/>
  <c r="L204" i="277"/>
  <c r="L215" i="277"/>
  <c r="L220" i="277"/>
  <c r="L62" i="276"/>
  <c r="L133" i="276"/>
  <c r="L145" i="276"/>
  <c r="L156" i="276"/>
  <c r="L161" i="276"/>
  <c r="L30" i="275"/>
  <c r="L62" i="275"/>
  <c r="L94" i="275"/>
  <c r="L126" i="275"/>
  <c r="L78" i="276"/>
  <c r="L168" i="276"/>
  <c r="L18" i="275"/>
  <c r="L50" i="275"/>
  <c r="L82" i="275"/>
  <c r="L114" i="275"/>
  <c r="L146" i="275"/>
  <c r="L5" i="277"/>
  <c r="L10" i="277"/>
  <c r="L21" i="277"/>
  <c r="L26" i="277"/>
  <c r="L37" i="277"/>
  <c r="L42" i="277"/>
  <c r="L53" i="277"/>
  <c r="L58" i="277"/>
  <c r="L69" i="277"/>
  <c r="L74" i="277"/>
  <c r="L85" i="277"/>
  <c r="L90" i="277"/>
  <c r="L100" i="277"/>
  <c r="L105" i="277"/>
  <c r="L116" i="277"/>
  <c r="L121" i="277"/>
  <c r="L132" i="277"/>
  <c r="L137" i="277"/>
  <c r="L147" i="277"/>
  <c r="L152" i="277"/>
  <c r="L163" i="277"/>
  <c r="L168" i="277"/>
  <c r="L179" i="277"/>
  <c r="L184" i="277"/>
  <c r="L195" i="277"/>
  <c r="L200" i="277"/>
  <c r="L211" i="277"/>
  <c r="L216" i="277"/>
  <c r="L227" i="277"/>
  <c r="L29" i="276"/>
  <c r="L50" i="276"/>
  <c r="L57" i="276"/>
  <c r="L114" i="276"/>
  <c r="L121" i="276"/>
  <c r="L141" i="276"/>
  <c r="L146" i="276"/>
  <c r="L157" i="276"/>
  <c r="L6" i="275"/>
  <c r="L38" i="275"/>
  <c r="L70" i="275"/>
  <c r="L102" i="275"/>
  <c r="L134" i="275"/>
  <c r="L152" i="276"/>
  <c r="L26" i="275"/>
  <c r="L58" i="275"/>
  <c r="L90" i="275"/>
  <c r="L122" i="275"/>
  <c r="L22" i="277"/>
  <c r="L65" i="277"/>
  <c r="L86" i="277"/>
  <c r="L128" i="277"/>
  <c r="L148" i="277"/>
  <c r="L191" i="277"/>
  <c r="L212" i="277"/>
  <c r="L78" i="275"/>
  <c r="L154" i="275"/>
  <c r="L10" i="273"/>
  <c r="L15" i="273"/>
  <c r="L26" i="273"/>
  <c r="L31" i="273"/>
  <c r="L42" i="273"/>
  <c r="L47" i="273"/>
  <c r="L58" i="273"/>
  <c r="L63" i="273"/>
  <c r="L74" i="273"/>
  <c r="L79" i="273"/>
  <c r="L90" i="273"/>
  <c r="L95" i="273"/>
  <c r="L106" i="273"/>
  <c r="L111" i="273"/>
  <c r="L122" i="273"/>
  <c r="L127" i="273"/>
  <c r="L138" i="273"/>
  <c r="L143" i="273"/>
  <c r="L154" i="273"/>
  <c r="L159" i="273"/>
  <c r="L169" i="273"/>
  <c r="L174" i="273"/>
  <c r="L185" i="273"/>
  <c r="L190" i="273"/>
  <c r="L201" i="273"/>
  <c r="L206" i="273"/>
  <c r="L217" i="273"/>
  <c r="L222" i="273"/>
  <c r="L233" i="273"/>
  <c r="L238" i="273"/>
  <c r="L249" i="273"/>
  <c r="L29" i="272"/>
  <c r="L61" i="272"/>
  <c r="L94" i="276"/>
  <c r="L110" i="275"/>
  <c r="L6" i="274"/>
  <c r="L17" i="274"/>
  <c r="L22" i="274"/>
  <c r="L33" i="274"/>
  <c r="L38" i="274"/>
  <c r="L49" i="274"/>
  <c r="L54" i="274"/>
  <c r="L65" i="274"/>
  <c r="L70" i="274"/>
  <c r="L81" i="274"/>
  <c r="L86" i="274"/>
  <c r="L97" i="274"/>
  <c r="L102" i="274"/>
  <c r="L113" i="274"/>
  <c r="L118" i="274"/>
  <c r="L129" i="274"/>
  <c r="L134" i="274"/>
  <c r="L144" i="274"/>
  <c r="L149" i="274"/>
  <c r="L160" i="274"/>
  <c r="L165" i="274"/>
  <c r="L17" i="272"/>
  <c r="L49" i="272"/>
  <c r="L81" i="272"/>
  <c r="L17" i="277"/>
  <c r="L38" i="277"/>
  <c r="L81" i="277"/>
  <c r="L101" i="277"/>
  <c r="L144" i="277"/>
  <c r="L164" i="277"/>
  <c r="L207" i="277"/>
  <c r="L228" i="277"/>
  <c r="L142" i="276"/>
  <c r="L142" i="275"/>
  <c r="L162" i="275"/>
  <c r="L6" i="273"/>
  <c r="L11" i="273"/>
  <c r="L22" i="273"/>
  <c r="L27" i="273"/>
  <c r="L38" i="273"/>
  <c r="L43" i="273"/>
  <c r="L54" i="273"/>
  <c r="L59" i="273"/>
  <c r="L70" i="273"/>
  <c r="L75" i="273"/>
  <c r="L86" i="273"/>
  <c r="L91" i="273"/>
  <c r="L102" i="273"/>
  <c r="L107" i="273"/>
  <c r="L118" i="273"/>
  <c r="L123" i="273"/>
  <c r="L134" i="273"/>
  <c r="L139" i="273"/>
  <c r="L150" i="273"/>
  <c r="L155" i="273"/>
  <c r="L165" i="273"/>
  <c r="L170" i="273"/>
  <c r="L181" i="273"/>
  <c r="L186" i="273"/>
  <c r="L197" i="273"/>
  <c r="L202" i="273"/>
  <c r="L213" i="273"/>
  <c r="L218" i="273"/>
  <c r="L229" i="273"/>
  <c r="L234" i="273"/>
  <c r="L245" i="273"/>
  <c r="L250" i="273"/>
  <c r="L5" i="272"/>
  <c r="L37" i="272"/>
  <c r="L150" i="275"/>
  <c r="L13" i="274"/>
  <c r="L18" i="274"/>
  <c r="L29" i="274"/>
  <c r="L34" i="274"/>
  <c r="L45" i="274"/>
  <c r="L50" i="274"/>
  <c r="L61" i="274"/>
  <c r="L66" i="274"/>
  <c r="L77" i="274"/>
  <c r="L82" i="274"/>
  <c r="L93" i="274"/>
  <c r="L98" i="274"/>
  <c r="L109" i="274"/>
  <c r="L114" i="274"/>
  <c r="L125" i="274"/>
  <c r="L130" i="274"/>
  <c r="L140" i="274"/>
  <c r="L145" i="274"/>
  <c r="L156" i="274"/>
  <c r="L161" i="274"/>
  <c r="L25" i="272"/>
  <c r="L57" i="272"/>
  <c r="L33" i="277"/>
  <c r="L54" i="277"/>
  <c r="L97" i="277"/>
  <c r="L117" i="277"/>
  <c r="L159" i="277"/>
  <c r="L180" i="277"/>
  <c r="L223" i="277"/>
  <c r="L7" i="273"/>
  <c r="L18" i="273"/>
  <c r="L23" i="273"/>
  <c r="L34" i="273"/>
  <c r="L39" i="273"/>
  <c r="L50" i="273"/>
  <c r="L55" i="273"/>
  <c r="L66" i="273"/>
  <c r="L71" i="273"/>
  <c r="L82" i="273"/>
  <c r="L87" i="273"/>
  <c r="L98" i="273"/>
  <c r="L103" i="273"/>
  <c r="L114" i="273"/>
  <c r="L119" i="273"/>
  <c r="L130" i="273"/>
  <c r="L135" i="273"/>
  <c r="L146" i="273"/>
  <c r="L151" i="273"/>
  <c r="L162" i="273"/>
  <c r="L166" i="273"/>
  <c r="L177" i="273"/>
  <c r="L182" i="273"/>
  <c r="L193" i="273"/>
  <c r="L198" i="273"/>
  <c r="L209" i="273"/>
  <c r="L214" i="273"/>
  <c r="L225" i="273"/>
  <c r="L230" i="273"/>
  <c r="L241" i="273"/>
  <c r="L246" i="273"/>
  <c r="L158" i="275"/>
  <c r="L9" i="274"/>
  <c r="L14" i="274"/>
  <c r="L25" i="274"/>
  <c r="L30" i="274"/>
  <c r="L41" i="274"/>
  <c r="L46" i="274"/>
  <c r="L57" i="274"/>
  <c r="L62" i="274"/>
  <c r="L73" i="274"/>
  <c r="L78" i="274"/>
  <c r="L89" i="274"/>
  <c r="L94" i="274"/>
  <c r="L105" i="274"/>
  <c r="L110" i="274"/>
  <c r="L121" i="274"/>
  <c r="L126" i="274"/>
  <c r="L137" i="274"/>
  <c r="L141" i="274"/>
  <c r="L152" i="274"/>
  <c r="L157" i="274"/>
  <c r="L33" i="272"/>
  <c r="L65" i="272"/>
  <c r="L6" i="277"/>
  <c r="L49" i="277"/>
  <c r="L70" i="277"/>
  <c r="L112" i="277"/>
  <c r="L133" i="277"/>
  <c r="L175" i="277"/>
  <c r="L196" i="277"/>
  <c r="L14" i="275"/>
  <c r="L3" i="273"/>
  <c r="L14" i="273"/>
  <c r="L19" i="273"/>
  <c r="L30" i="273"/>
  <c r="L35" i="273"/>
  <c r="L46" i="273"/>
  <c r="L51" i="273"/>
  <c r="L62" i="273"/>
  <c r="L67" i="273"/>
  <c r="L78" i="273"/>
  <c r="L83" i="273"/>
  <c r="L94" i="273"/>
  <c r="L99" i="273"/>
  <c r="L110" i="273"/>
  <c r="L115" i="273"/>
  <c r="L126" i="273"/>
  <c r="L131" i="273"/>
  <c r="L142" i="273"/>
  <c r="L147" i="273"/>
  <c r="L158" i="273"/>
  <c r="L163" i="273"/>
  <c r="L173" i="273"/>
  <c r="L178" i="273"/>
  <c r="L189" i="273"/>
  <c r="L194" i="273"/>
  <c r="L205" i="273"/>
  <c r="L210" i="273"/>
  <c r="L221" i="273"/>
  <c r="L226" i="273"/>
  <c r="L237" i="273"/>
  <c r="L242" i="273"/>
  <c r="L21" i="272"/>
  <c r="L53" i="272"/>
  <c r="L5" i="274"/>
  <c r="L26" i="274"/>
  <c r="L69" i="274"/>
  <c r="L90" i="274"/>
  <c r="L133" i="274"/>
  <c r="L153" i="274"/>
  <c r="L85" i="272"/>
  <c r="L117" i="272"/>
  <c r="L3" i="271"/>
  <c r="L17" i="271"/>
  <c r="L26" i="271"/>
  <c r="L35" i="271"/>
  <c r="L49" i="271"/>
  <c r="L58" i="271"/>
  <c r="L67" i="271"/>
  <c r="L81" i="271"/>
  <c r="L90" i="271"/>
  <c r="L99" i="271"/>
  <c r="L113" i="271"/>
  <c r="L122" i="271"/>
  <c r="L131" i="271"/>
  <c r="L145" i="271"/>
  <c r="L154" i="271"/>
  <c r="L163" i="271"/>
  <c r="L6" i="269"/>
  <c r="L38" i="269"/>
  <c r="L70" i="269"/>
  <c r="L102" i="269"/>
  <c r="L134" i="269"/>
  <c r="L165" i="269"/>
  <c r="L11" i="268"/>
  <c r="L25" i="268"/>
  <c r="L105" i="272"/>
  <c r="L137" i="272"/>
  <c r="L13" i="271"/>
  <c r="L22" i="271"/>
  <c r="L31" i="271"/>
  <c r="L45" i="271"/>
  <c r="L54" i="271"/>
  <c r="L63" i="271"/>
  <c r="L77" i="271"/>
  <c r="L86" i="271"/>
  <c r="L95" i="271"/>
  <c r="L109" i="271"/>
  <c r="L118" i="271"/>
  <c r="L127" i="271"/>
  <c r="L141" i="271"/>
  <c r="L150" i="271"/>
  <c r="L159" i="271"/>
  <c r="L26" i="269"/>
  <c r="L58" i="269"/>
  <c r="L90" i="269"/>
  <c r="L122" i="269"/>
  <c r="L153" i="269"/>
  <c r="L7" i="268"/>
  <c r="L21" i="268"/>
  <c r="L21" i="274"/>
  <c r="L42" i="274"/>
  <c r="L85" i="274"/>
  <c r="L106" i="274"/>
  <c r="L148" i="274"/>
  <c r="L13" i="272"/>
  <c r="L73" i="272"/>
  <c r="L93" i="272"/>
  <c r="L125" i="272"/>
  <c r="L9" i="271"/>
  <c r="L18" i="271"/>
  <c r="L27" i="271"/>
  <c r="L41" i="271"/>
  <c r="L50" i="271"/>
  <c r="L59" i="271"/>
  <c r="L73" i="271"/>
  <c r="L82" i="271"/>
  <c r="L91" i="271"/>
  <c r="L105" i="271"/>
  <c r="L114" i="271"/>
  <c r="L123" i="271"/>
  <c r="L137" i="271"/>
  <c r="L146" i="271"/>
  <c r="L155" i="271"/>
  <c r="L169" i="271"/>
  <c r="L14" i="269"/>
  <c r="L46" i="269"/>
  <c r="L78" i="269"/>
  <c r="L110" i="269"/>
  <c r="L142" i="269"/>
  <c r="L3" i="268"/>
  <c r="L17" i="268"/>
  <c r="L26" i="268"/>
  <c r="L113" i="272"/>
  <c r="L145" i="272"/>
  <c r="L5" i="271"/>
  <c r="L14" i="271"/>
  <c r="L23" i="271"/>
  <c r="L37" i="271"/>
  <c r="L46" i="271"/>
  <c r="L55" i="271"/>
  <c r="L69" i="271"/>
  <c r="L78" i="271"/>
  <c r="L87" i="271"/>
  <c r="L101" i="271"/>
  <c r="L110" i="271"/>
  <c r="L119" i="271"/>
  <c r="L133" i="271"/>
  <c r="L142" i="271"/>
  <c r="L151" i="271"/>
  <c r="L165" i="271"/>
  <c r="L34" i="269"/>
  <c r="L66" i="269"/>
  <c r="L98" i="269"/>
  <c r="L130" i="269"/>
  <c r="L161" i="269"/>
  <c r="L13" i="268"/>
  <c r="L22" i="268"/>
  <c r="L37" i="274"/>
  <c r="L58" i="274"/>
  <c r="L101" i="274"/>
  <c r="L122" i="274"/>
  <c r="L164" i="274"/>
  <c r="L45" i="272"/>
  <c r="L101" i="272"/>
  <c r="L133" i="272"/>
  <c r="L10" i="271"/>
  <c r="L19" i="271"/>
  <c r="L33" i="271"/>
  <c r="L42" i="271"/>
  <c r="L51" i="271"/>
  <c r="L65" i="271"/>
  <c r="L74" i="271"/>
  <c r="L83" i="271"/>
  <c r="L97" i="271"/>
  <c r="L106" i="271"/>
  <c r="L115" i="271"/>
  <c r="L129" i="271"/>
  <c r="L138" i="271"/>
  <c r="L147" i="271"/>
  <c r="L161" i="271"/>
  <c r="L22" i="269"/>
  <c r="L54" i="269"/>
  <c r="L86" i="269"/>
  <c r="L118" i="269"/>
  <c r="L149" i="269"/>
  <c r="L9" i="268"/>
  <c r="L18" i="268"/>
  <c r="L9" i="272"/>
  <c r="L69" i="272"/>
  <c r="L89" i="272"/>
  <c r="L121" i="272"/>
  <c r="L6" i="271"/>
  <c r="L15" i="271"/>
  <c r="L29" i="271"/>
  <c r="L38" i="271"/>
  <c r="L47" i="271"/>
  <c r="L61" i="271"/>
  <c r="L70" i="271"/>
  <c r="L79" i="271"/>
  <c r="L93" i="271"/>
  <c r="L102" i="271"/>
  <c r="L111" i="271"/>
  <c r="L125" i="271"/>
  <c r="L134" i="271"/>
  <c r="L143" i="271"/>
  <c r="L157" i="271"/>
  <c r="L166" i="271"/>
  <c r="L10" i="269"/>
  <c r="L42" i="269"/>
  <c r="L74" i="269"/>
  <c r="L106" i="269"/>
  <c r="L138" i="269"/>
  <c r="L169" i="269"/>
  <c r="L5" i="268"/>
  <c r="L14" i="268"/>
  <c r="L23" i="268"/>
  <c r="L10" i="274"/>
  <c r="L53" i="274"/>
  <c r="L74" i="274"/>
  <c r="L117" i="274"/>
  <c r="L138" i="274"/>
  <c r="L109" i="272"/>
  <c r="L141" i="272"/>
  <c r="L11" i="271"/>
  <c r="L25" i="271"/>
  <c r="L34" i="271"/>
  <c r="L43" i="271"/>
  <c r="L57" i="271"/>
  <c r="L66" i="271"/>
  <c r="L75" i="271"/>
  <c r="L89" i="271"/>
  <c r="L98" i="271"/>
  <c r="L107" i="271"/>
  <c r="L121" i="271"/>
  <c r="L130" i="271"/>
  <c r="L139" i="271"/>
  <c r="L153" i="271"/>
  <c r="L162" i="271"/>
  <c r="L30" i="269"/>
  <c r="L62" i="269"/>
  <c r="L94" i="269"/>
  <c r="L126" i="269"/>
  <c r="L157" i="269"/>
  <c r="L10" i="268"/>
  <c r="L19" i="268"/>
  <c r="L41" i="272"/>
  <c r="L62" i="271"/>
  <c r="L135" i="271"/>
  <c r="L50" i="269"/>
  <c r="L4" i="267"/>
  <c r="L20" i="267"/>
  <c r="L36" i="267"/>
  <c r="L68" i="267"/>
  <c r="L84" i="267"/>
  <c r="L100" i="267"/>
  <c r="L116" i="267"/>
  <c r="L132" i="267"/>
  <c r="L147" i="267"/>
  <c r="L163" i="267"/>
  <c r="L85" i="271"/>
  <c r="L158" i="271"/>
  <c r="L82" i="269"/>
  <c r="L10" i="267"/>
  <c r="L26" i="267"/>
  <c r="L42" i="267"/>
  <c r="L58" i="267"/>
  <c r="L74" i="267"/>
  <c r="L90" i="267"/>
  <c r="L106" i="267"/>
  <c r="L122" i="267"/>
  <c r="L137" i="267"/>
  <c r="L153" i="267"/>
  <c r="L18" i="269"/>
  <c r="L14" i="267"/>
  <c r="L97" i="272"/>
  <c r="L71" i="271"/>
  <c r="L114" i="269"/>
  <c r="L2" i="271"/>
  <c r="L16" i="267"/>
  <c r="L32" i="267"/>
  <c r="L48" i="267"/>
  <c r="L64" i="267"/>
  <c r="L80" i="267"/>
  <c r="L96" i="267"/>
  <c r="L112" i="267"/>
  <c r="L128" i="267"/>
  <c r="L143" i="267"/>
  <c r="L159" i="267"/>
  <c r="L62" i="267"/>
  <c r="L110" i="267"/>
  <c r="L157" i="267"/>
  <c r="L129" i="272"/>
  <c r="L21" i="271"/>
  <c r="L94" i="271"/>
  <c r="L167" i="271"/>
  <c r="L145" i="269"/>
  <c r="L6" i="268"/>
  <c r="L6" i="267"/>
  <c r="L22" i="267"/>
  <c r="L38" i="267"/>
  <c r="L54" i="267"/>
  <c r="L70" i="267"/>
  <c r="L86" i="267"/>
  <c r="L102" i="267"/>
  <c r="L118" i="267"/>
  <c r="L134" i="267"/>
  <c r="L149" i="267"/>
  <c r="L141" i="267"/>
  <c r="L7" i="271"/>
  <c r="L117" i="271"/>
  <c r="L2" i="275"/>
  <c r="L12" i="267"/>
  <c r="L28" i="267"/>
  <c r="L44" i="267"/>
  <c r="L60" i="267"/>
  <c r="L76" i="267"/>
  <c r="L92" i="267"/>
  <c r="L108" i="267"/>
  <c r="L124" i="267"/>
  <c r="L139" i="267"/>
  <c r="L155" i="267"/>
  <c r="L39" i="271"/>
  <c r="L149" i="271"/>
  <c r="L30" i="267"/>
  <c r="L77" i="272"/>
  <c r="L30" i="271"/>
  <c r="L103" i="271"/>
  <c r="L15" i="268"/>
  <c r="L2" i="277"/>
  <c r="L18" i="267"/>
  <c r="L34" i="267"/>
  <c r="L50" i="267"/>
  <c r="L66" i="267"/>
  <c r="L82" i="267"/>
  <c r="L98" i="267"/>
  <c r="L114" i="267"/>
  <c r="L130" i="267"/>
  <c r="L145" i="267"/>
  <c r="L161" i="267"/>
  <c r="L94" i="267"/>
  <c r="L53" i="271"/>
  <c r="L126" i="271"/>
  <c r="L8" i="267"/>
  <c r="L24" i="267"/>
  <c r="L40" i="267"/>
  <c r="L56" i="267"/>
  <c r="L72" i="267"/>
  <c r="L88" i="267"/>
  <c r="L104" i="267"/>
  <c r="L120" i="267"/>
  <c r="L136" i="267"/>
  <c r="L151" i="267"/>
  <c r="L46" i="275"/>
  <c r="L46" i="267"/>
  <c r="L78" i="267"/>
  <c r="L126" i="267"/>
  <c r="L83" i="267"/>
  <c r="L57" i="269"/>
  <c r="L61" i="267"/>
  <c r="L171" i="269"/>
  <c r="L87" i="267"/>
  <c r="L41" i="267"/>
  <c r="L49" i="267"/>
  <c r="L91" i="272"/>
  <c r="L59" i="267"/>
  <c r="L20" i="268"/>
  <c r="L150" i="267"/>
  <c r="L142" i="267"/>
  <c r="L15" i="267"/>
  <c r="L26" i="272"/>
  <c r="L107" i="269"/>
  <c r="L24" i="269"/>
  <c r="L135" i="272"/>
  <c r="L159" i="274"/>
  <c r="L132" i="269"/>
  <c r="L49" i="269"/>
  <c r="L52" i="271"/>
  <c r="L83" i="272"/>
  <c r="L131" i="269"/>
  <c r="L48" i="269"/>
  <c r="L56" i="271"/>
  <c r="L82" i="272"/>
  <c r="L168" i="269"/>
  <c r="L79" i="269"/>
  <c r="L156" i="271"/>
  <c r="L107" i="272"/>
  <c r="L104" i="269"/>
  <c r="L21" i="269"/>
  <c r="L132" i="272"/>
  <c r="L7" i="272"/>
  <c r="L132" i="273"/>
  <c r="L4" i="273"/>
  <c r="L129" i="269"/>
  <c r="L39" i="269"/>
  <c r="L36" i="271"/>
  <c r="L79" i="272"/>
  <c r="L159" i="269"/>
  <c r="L77" i="269"/>
  <c r="L136" i="271"/>
  <c r="L111" i="272"/>
  <c r="L60" i="272"/>
  <c r="L216" i="273"/>
  <c r="L89" i="273"/>
  <c r="L127" i="274"/>
  <c r="L159" i="275"/>
  <c r="L154" i="277"/>
  <c r="L27" i="272"/>
  <c r="L183" i="273"/>
  <c r="L56" i="273"/>
  <c r="L100" i="274"/>
  <c r="L21" i="275"/>
  <c r="L157" i="273"/>
  <c r="L29" i="273"/>
  <c r="L83" i="274"/>
  <c r="L159" i="276"/>
  <c r="L64" i="272"/>
  <c r="L219" i="273"/>
  <c r="L92" i="273"/>
  <c r="L136" i="274"/>
  <c r="L8" i="274"/>
  <c r="L240" i="273"/>
  <c r="L113" i="273"/>
  <c r="L150" i="274"/>
  <c r="L23" i="274"/>
  <c r="L186" i="277"/>
  <c r="L24" i="272"/>
  <c r="L144" i="273"/>
  <c r="L16" i="273"/>
  <c r="L44" i="274"/>
  <c r="L31" i="276"/>
  <c r="L228" i="273"/>
  <c r="L101" i="273"/>
  <c r="L127" i="269"/>
  <c r="L67" i="267"/>
  <c r="L95" i="269"/>
  <c r="L110" i="272"/>
  <c r="L45" i="267"/>
  <c r="L63" i="269"/>
  <c r="L71" i="267"/>
  <c r="L160" i="267"/>
  <c r="L33" i="267"/>
  <c r="L25" i="267"/>
  <c r="L43" i="267"/>
  <c r="L152" i="269"/>
  <c r="L2" i="267"/>
  <c r="L37" i="267"/>
  <c r="L121" i="269"/>
  <c r="L127" i="267"/>
  <c r="L24" i="268"/>
  <c r="L101" i="269"/>
  <c r="L11" i="269"/>
  <c r="L122" i="272"/>
  <c r="L96" i="274"/>
  <c r="L119" i="269"/>
  <c r="L36" i="269"/>
  <c r="L20" i="271"/>
  <c r="L76" i="272"/>
  <c r="L125" i="269"/>
  <c r="L35" i="269"/>
  <c r="L24" i="271"/>
  <c r="L39" i="272"/>
  <c r="L155" i="269"/>
  <c r="L73" i="269"/>
  <c r="L124" i="271"/>
  <c r="L94" i="272"/>
  <c r="L8" i="268"/>
  <c r="L91" i="269"/>
  <c r="L8" i="269"/>
  <c r="L119" i="272"/>
  <c r="L243" i="273"/>
  <c r="L116" i="273"/>
  <c r="L128" i="274"/>
  <c r="L116" i="269"/>
  <c r="L33" i="269"/>
  <c r="L4" i="271"/>
  <c r="L58" i="272"/>
  <c r="L146" i="269"/>
  <c r="L64" i="269"/>
  <c r="L104" i="271"/>
  <c r="L98" i="272"/>
  <c r="L47" i="272"/>
  <c r="L200" i="273"/>
  <c r="L73" i="273"/>
  <c r="L111" i="274"/>
  <c r="L153" i="275"/>
  <c r="L92" i="277"/>
  <c r="L14" i="272"/>
  <c r="L167" i="273"/>
  <c r="L40" i="273"/>
  <c r="L84" i="274"/>
  <c r="L130" i="276"/>
  <c r="L141" i="273"/>
  <c r="L13" i="273"/>
  <c r="L67" i="274"/>
  <c r="L74" i="276"/>
  <c r="L51" i="272"/>
  <c r="L203" i="273"/>
  <c r="L76" i="273"/>
  <c r="L120" i="274"/>
  <c r="L157" i="275"/>
  <c r="L224" i="273"/>
  <c r="L97" i="273"/>
  <c r="L135" i="274"/>
  <c r="L7" i="274"/>
  <c r="L123" i="277"/>
  <c r="L11" i="272"/>
  <c r="L128" i="273"/>
  <c r="L155" i="274"/>
  <c r="L28" i="274"/>
  <c r="L55" i="272"/>
  <c r="L212" i="273"/>
  <c r="L85" i="273"/>
  <c r="L123" i="274"/>
  <c r="L161" i="275"/>
  <c r="L148" i="275"/>
  <c r="L76" i="271"/>
  <c r="L51" i="267"/>
  <c r="L25" i="269"/>
  <c r="L156" i="267"/>
  <c r="L29" i="267"/>
  <c r="L140" i="271"/>
  <c r="L55" i="267"/>
  <c r="L144" i="267"/>
  <c r="L17" i="267"/>
  <c r="L154" i="267"/>
  <c r="L27" i="267"/>
  <c r="L76" i="269"/>
  <c r="L148" i="267"/>
  <c r="L21" i="267"/>
  <c r="L44" i="269"/>
  <c r="L111" i="267"/>
  <c r="L170" i="269"/>
  <c r="L88" i="269"/>
  <c r="L5" i="269"/>
  <c r="L116" i="272"/>
  <c r="L32" i="274"/>
  <c r="L113" i="269"/>
  <c r="L23" i="269"/>
  <c r="L147" i="272"/>
  <c r="L54" i="272"/>
  <c r="L112" i="269"/>
  <c r="L29" i="269"/>
  <c r="L146" i="272"/>
  <c r="L143" i="274"/>
  <c r="L60" i="269"/>
  <c r="L92" i="271"/>
  <c r="L88" i="272"/>
  <c r="L167" i="269"/>
  <c r="L85" i="269"/>
  <c r="L160" i="271"/>
  <c r="L106" i="272"/>
  <c r="L227" i="273"/>
  <c r="L100" i="273"/>
  <c r="L64" i="274"/>
  <c r="L103" i="269"/>
  <c r="L20" i="269"/>
  <c r="L144" i="272"/>
  <c r="L50" i="272"/>
  <c r="L141" i="269"/>
  <c r="L51" i="269"/>
  <c r="L72" i="271"/>
  <c r="L92" i="272"/>
  <c r="L34" i="272"/>
  <c r="L184" i="273"/>
  <c r="L57" i="273"/>
  <c r="L95" i="274"/>
  <c r="L123" i="275"/>
  <c r="L28" i="277"/>
  <c r="L8" i="272"/>
  <c r="L152" i="273"/>
  <c r="L24" i="273"/>
  <c r="L68" i="274"/>
  <c r="L59" i="276"/>
  <c r="L125" i="273"/>
  <c r="L2" i="274"/>
  <c r="L51" i="274"/>
  <c r="L66" i="276"/>
  <c r="L38" i="272"/>
  <c r="L187" i="273"/>
  <c r="L60" i="273"/>
  <c r="L104" i="274"/>
  <c r="L136" i="275"/>
  <c r="L208" i="273"/>
  <c r="L81" i="273"/>
  <c r="L119" i="274"/>
  <c r="L156" i="275"/>
  <c r="L60" i="277"/>
  <c r="L239" i="273"/>
  <c r="L112" i="273"/>
  <c r="L12" i="274"/>
  <c r="L42" i="272"/>
  <c r="L196" i="273"/>
  <c r="L69" i="273"/>
  <c r="L107" i="274"/>
  <c r="L117" i="275"/>
  <c r="L135" i="275"/>
  <c r="L52" i="275"/>
  <c r="L162" i="267"/>
  <c r="L35" i="267"/>
  <c r="L71" i="272"/>
  <c r="L140" i="267"/>
  <c r="L13" i="267"/>
  <c r="L121" i="267"/>
  <c r="L39" i="267"/>
  <c r="L140" i="269"/>
  <c r="L129" i="267"/>
  <c r="L138" i="267"/>
  <c r="L11" i="267"/>
  <c r="L108" i="271"/>
  <c r="L133" i="267"/>
  <c r="L5" i="267"/>
  <c r="L12" i="271"/>
  <c r="L95" i="267"/>
  <c r="L164" i="269"/>
  <c r="L75" i="269"/>
  <c r="L144" i="271"/>
  <c r="L103" i="272"/>
  <c r="L85" i="275"/>
  <c r="L100" i="269"/>
  <c r="L17" i="269"/>
  <c r="L134" i="272"/>
  <c r="L16" i="272"/>
  <c r="L99" i="269"/>
  <c r="L16" i="269"/>
  <c r="L140" i="272"/>
  <c r="L80" i="274"/>
  <c r="L137" i="269"/>
  <c r="L47" i="269"/>
  <c r="L60" i="271"/>
  <c r="L74" i="272"/>
  <c r="L154" i="269"/>
  <c r="L72" i="269"/>
  <c r="L128" i="271"/>
  <c r="L100" i="272"/>
  <c r="L211" i="273"/>
  <c r="L84" i="273"/>
  <c r="L12" i="268"/>
  <c r="L97" i="269"/>
  <c r="L7" i="269"/>
  <c r="L131" i="272"/>
  <c r="L20" i="272"/>
  <c r="L128" i="269"/>
  <c r="L45" i="269"/>
  <c r="L40" i="271"/>
  <c r="L35" i="272"/>
  <c r="L28" i="272"/>
  <c r="L168" i="273"/>
  <c r="L41" i="273"/>
  <c r="L79" i="274"/>
  <c r="L53" i="275"/>
  <c r="L78" i="272"/>
  <c r="L2" i="273"/>
  <c r="L136" i="273"/>
  <c r="L8" i="273"/>
  <c r="L52" i="274"/>
  <c r="L236" i="273"/>
  <c r="L109" i="273"/>
  <c r="L162" i="274"/>
  <c r="L35" i="274"/>
  <c r="L202" i="277"/>
  <c r="L32" i="272"/>
  <c r="L171" i="273"/>
  <c r="L44" i="273"/>
  <c r="L88" i="274"/>
  <c r="L27" i="275"/>
  <c r="L192" i="273"/>
  <c r="L65" i="273"/>
  <c r="L103" i="274"/>
  <c r="L104" i="275"/>
  <c r="L75" i="272"/>
  <c r="L223" i="273"/>
  <c r="L96" i="273"/>
  <c r="L124" i="274"/>
  <c r="L155" i="275"/>
  <c r="L36" i="272"/>
  <c r="L180" i="273"/>
  <c r="L53" i="273"/>
  <c r="L91" i="274"/>
  <c r="L40" i="275"/>
  <c r="L129" i="275"/>
  <c r="L39" i="275"/>
  <c r="L136" i="276"/>
  <c r="L146" i="267"/>
  <c r="L19" i="267"/>
  <c r="L125" i="267"/>
  <c r="L23" i="267"/>
  <c r="L31" i="269"/>
  <c r="L113" i="267"/>
  <c r="L123" i="267"/>
  <c r="L136" i="272"/>
  <c r="L117" i="267"/>
  <c r="L2" i="268"/>
  <c r="L104" i="272"/>
  <c r="L79" i="267"/>
  <c r="L158" i="269"/>
  <c r="L151" i="269"/>
  <c r="L69" i="269"/>
  <c r="L112" i="271"/>
  <c r="L90" i="272"/>
  <c r="L87" i="269"/>
  <c r="L4" i="269"/>
  <c r="L128" i="272"/>
  <c r="L93" i="269"/>
  <c r="L3" i="269"/>
  <c r="L127" i="272"/>
  <c r="L16" i="274"/>
  <c r="L124" i="269"/>
  <c r="L41" i="269"/>
  <c r="L28" i="271"/>
  <c r="L68" i="272"/>
  <c r="L148" i="269"/>
  <c r="L59" i="269"/>
  <c r="L96" i="271"/>
  <c r="L87" i="272"/>
  <c r="L195" i="273"/>
  <c r="L68" i="273"/>
  <c r="L166" i="269"/>
  <c r="L84" i="269"/>
  <c r="L164" i="271"/>
  <c r="L118" i="272"/>
  <c r="L160" i="275"/>
  <c r="L115" i="269"/>
  <c r="L32" i="269"/>
  <c r="L8" i="271"/>
  <c r="L112" i="274"/>
  <c r="L15" i="272"/>
  <c r="L153" i="273"/>
  <c r="L25" i="273"/>
  <c r="L63" i="274"/>
  <c r="L153" i="276"/>
  <c r="L72" i="272"/>
  <c r="L247" i="273"/>
  <c r="L120" i="273"/>
  <c r="L163" i="274"/>
  <c r="L36" i="274"/>
  <c r="L220" i="273"/>
  <c r="L93" i="273"/>
  <c r="L146" i="274"/>
  <c r="L19" i="274"/>
  <c r="L139" i="277"/>
  <c r="L19" i="272"/>
  <c r="L156" i="273"/>
  <c r="L28" i="273"/>
  <c r="L72" i="274"/>
  <c r="L81" i="276"/>
  <c r="L176" i="273"/>
  <c r="L49" i="273"/>
  <c r="L87" i="274"/>
  <c r="L88" i="276"/>
  <c r="L62" i="272"/>
  <c r="L207" i="273"/>
  <c r="L80" i="273"/>
  <c r="L108" i="274"/>
  <c r="L149" i="275"/>
  <c r="L23" i="272"/>
  <c r="L131" i="267"/>
  <c r="L3" i="267"/>
  <c r="L57" i="267"/>
  <c r="L109" i="267"/>
  <c r="L135" i="267"/>
  <c r="L7" i="267"/>
  <c r="L44" i="271"/>
  <c r="L97" i="267"/>
  <c r="L107" i="267"/>
  <c r="L152" i="267"/>
  <c r="L101" i="267"/>
  <c r="L89" i="267"/>
  <c r="L63" i="267"/>
  <c r="L89" i="269"/>
  <c r="L139" i="269"/>
  <c r="L56" i="269"/>
  <c r="L80" i="271"/>
  <c r="L84" i="272"/>
  <c r="L163" i="269"/>
  <c r="L81" i="269"/>
  <c r="L148" i="271"/>
  <c r="L115" i="272"/>
  <c r="L162" i="269"/>
  <c r="L80" i="269"/>
  <c r="L152" i="271"/>
  <c r="L114" i="272"/>
  <c r="L147" i="275"/>
  <c r="L111" i="269"/>
  <c r="L28" i="269"/>
  <c r="L139" i="272"/>
  <c r="L52" i="272"/>
  <c r="L136" i="269"/>
  <c r="L53" i="269"/>
  <c r="L64" i="271"/>
  <c r="L80" i="272"/>
  <c r="L179" i="273"/>
  <c r="L52" i="273"/>
  <c r="L160" i="269"/>
  <c r="L71" i="269"/>
  <c r="L132" i="271"/>
  <c r="L112" i="272"/>
  <c r="L116" i="276"/>
  <c r="L109" i="269"/>
  <c r="L19" i="269"/>
  <c r="L143" i="272"/>
  <c r="L48" i="274"/>
  <c r="L2" i="272"/>
  <c r="L137" i="273"/>
  <c r="L9" i="273"/>
  <c r="L47" i="274"/>
  <c r="L123" i="276"/>
  <c r="L59" i="272"/>
  <c r="L231" i="273"/>
  <c r="L104" i="273"/>
  <c r="L147" i="274"/>
  <c r="L20" i="274"/>
  <c r="L204" i="273"/>
  <c r="L77" i="273"/>
  <c r="L131" i="274"/>
  <c r="L3" i="274"/>
  <c r="L76" i="277"/>
  <c r="L6" i="272"/>
  <c r="L140" i="273"/>
  <c r="L12" i="273"/>
  <c r="L56" i="274"/>
  <c r="L31" i="272"/>
  <c r="L161" i="273"/>
  <c r="L33" i="273"/>
  <c r="L71" i="274"/>
  <c r="L24" i="276"/>
  <c r="L56" i="272"/>
  <c r="L191" i="273"/>
  <c r="L64" i="273"/>
  <c r="L92" i="274"/>
  <c r="L72" i="275"/>
  <c r="L10" i="272"/>
  <c r="L149" i="273"/>
  <c r="L21" i="273"/>
  <c r="L59" i="274"/>
  <c r="L148" i="276"/>
  <c r="L103" i="275"/>
  <c r="L20" i="275"/>
  <c r="L115" i="267"/>
  <c r="L93" i="267"/>
  <c r="L119" i="267"/>
  <c r="L123" i="272"/>
  <c r="L81" i="267"/>
  <c r="L91" i="267"/>
  <c r="L105" i="267"/>
  <c r="L85" i="267"/>
  <c r="L9" i="267"/>
  <c r="L47" i="267"/>
  <c r="L12" i="269"/>
  <c r="L133" i="269"/>
  <c r="L43" i="269"/>
  <c r="L48" i="271"/>
  <c r="L63" i="272"/>
  <c r="L150" i="269"/>
  <c r="L68" i="269"/>
  <c r="L116" i="271"/>
  <c r="L102" i="272"/>
  <c r="L156" i="269"/>
  <c r="L67" i="269"/>
  <c r="L120" i="271"/>
  <c r="L108" i="272"/>
  <c r="L105" i="269"/>
  <c r="L15" i="269"/>
  <c r="L126" i="272"/>
  <c r="L22" i="272"/>
  <c r="L123" i="269"/>
  <c r="L40" i="269"/>
  <c r="L32" i="271"/>
  <c r="L67" i="272"/>
  <c r="L164" i="273"/>
  <c r="L36" i="273"/>
  <c r="L147" i="269"/>
  <c r="L65" i="269"/>
  <c r="L100" i="271"/>
  <c r="L99" i="272"/>
  <c r="L16" i="268"/>
  <c r="L96" i="269"/>
  <c r="L13" i="269"/>
  <c r="L130" i="272"/>
  <c r="L8" i="275"/>
  <c r="L248" i="273"/>
  <c r="L121" i="273"/>
  <c r="L158" i="274"/>
  <c r="L31" i="274"/>
  <c r="L52" i="276"/>
  <c r="L46" i="272"/>
  <c r="L215" i="273"/>
  <c r="L88" i="273"/>
  <c r="L132" i="274"/>
  <c r="L4" i="274"/>
  <c r="L188" i="273"/>
  <c r="L61" i="273"/>
  <c r="L115" i="274"/>
  <c r="L151" i="275"/>
  <c r="L12" i="277"/>
  <c r="L251" i="273"/>
  <c r="L124" i="273"/>
  <c r="L167" i="274"/>
  <c r="L40" i="274"/>
  <c r="L18" i="272"/>
  <c r="L145" i="273"/>
  <c r="L17" i="273"/>
  <c r="L55" i="274"/>
  <c r="L16" i="276"/>
  <c r="L43" i="272"/>
  <c r="L175" i="273"/>
  <c r="L48" i="273"/>
  <c r="L76" i="274"/>
  <c r="L102" i="276"/>
  <c r="L4" i="272"/>
  <c r="L133" i="273"/>
  <c r="L5" i="273"/>
  <c r="L43" i="274"/>
  <c r="L170" i="277"/>
  <c r="L97" i="275"/>
  <c r="L7" i="275"/>
  <c r="L115" i="276"/>
  <c r="L99" i="267"/>
  <c r="L65" i="267"/>
  <c r="L31" i="267"/>
  <c r="L84" i="271"/>
  <c r="L9" i="269"/>
  <c r="L20" i="273"/>
  <c r="L124" i="272"/>
  <c r="L199" i="273"/>
  <c r="L70" i="272"/>
  <c r="L39" i="274"/>
  <c r="L171" i="276"/>
  <c r="L170" i="276"/>
  <c r="L87" i="276"/>
  <c r="L30" i="276"/>
  <c r="L153" i="277"/>
  <c r="L27" i="277"/>
  <c r="L77" i="275"/>
  <c r="L163" i="276"/>
  <c r="L72" i="276"/>
  <c r="L206" i="277"/>
  <c r="L80" i="277"/>
  <c r="L108" i="275"/>
  <c r="L25" i="275"/>
  <c r="L92" i="276"/>
  <c r="L5" i="276"/>
  <c r="L110" i="277"/>
  <c r="L139" i="275"/>
  <c r="L56" i="275"/>
  <c r="L126" i="276"/>
  <c r="L56" i="276"/>
  <c r="L226" i="277"/>
  <c r="L132" i="275"/>
  <c r="L49" i="275"/>
  <c r="L112" i="276"/>
  <c r="L48" i="276"/>
  <c r="L193" i="277"/>
  <c r="L67" i="277"/>
  <c r="L112" i="275"/>
  <c r="L29" i="275"/>
  <c r="L118" i="276"/>
  <c r="L47" i="276"/>
  <c r="L166" i="277"/>
  <c r="L40" i="277"/>
  <c r="L92" i="275"/>
  <c r="L9" i="275"/>
  <c r="L103" i="276"/>
  <c r="L25" i="276"/>
  <c r="L149" i="277"/>
  <c r="L23" i="277"/>
  <c r="L108" i="269"/>
  <c r="L142" i="272"/>
  <c r="L96" i="272"/>
  <c r="L120" i="272"/>
  <c r="L135" i="269"/>
  <c r="L66" i="272"/>
  <c r="L72" i="273"/>
  <c r="L235" i="273"/>
  <c r="L8" i="276"/>
  <c r="L117" i="273"/>
  <c r="L107" i="277"/>
  <c r="L164" i="276"/>
  <c r="L80" i="276"/>
  <c r="L23" i="276"/>
  <c r="L138" i="277"/>
  <c r="L11" i="277"/>
  <c r="L64" i="275"/>
  <c r="L135" i="276"/>
  <c r="L64" i="276"/>
  <c r="L190" i="277"/>
  <c r="L64" i="277"/>
  <c r="L95" i="275"/>
  <c r="L12" i="275"/>
  <c r="L85" i="276"/>
  <c r="L221" i="277"/>
  <c r="L95" i="277"/>
  <c r="L133" i="275"/>
  <c r="L43" i="275"/>
  <c r="L120" i="276"/>
  <c r="L49" i="276"/>
  <c r="L210" i="277"/>
  <c r="L84" i="277"/>
  <c r="L119" i="275"/>
  <c r="L36" i="275"/>
  <c r="L105" i="276"/>
  <c r="L34" i="276"/>
  <c r="L177" i="277"/>
  <c r="L51" i="277"/>
  <c r="L99" i="275"/>
  <c r="L16" i="275"/>
  <c r="L111" i="276"/>
  <c r="L33" i="276"/>
  <c r="L150" i="277"/>
  <c r="L24" i="277"/>
  <c r="L79" i="275"/>
  <c r="L2" i="276"/>
  <c r="L95" i="276"/>
  <c r="L17" i="276"/>
  <c r="L134" i="277"/>
  <c r="L7" i="277"/>
  <c r="L75" i="267"/>
  <c r="L120" i="269"/>
  <c r="L143" i="269"/>
  <c r="L252" i="273"/>
  <c r="L52" i="269"/>
  <c r="L232" i="273"/>
  <c r="L116" i="274"/>
  <c r="L108" i="273"/>
  <c r="L30" i="272"/>
  <c r="L37" i="273"/>
  <c r="L44" i="277"/>
  <c r="L158" i="276"/>
  <c r="L73" i="276"/>
  <c r="L15" i="276"/>
  <c r="L122" i="277"/>
  <c r="L141" i="275"/>
  <c r="L51" i="275"/>
  <c r="L128" i="276"/>
  <c r="L44" i="276"/>
  <c r="L174" i="277"/>
  <c r="L48" i="277"/>
  <c r="L89" i="275"/>
  <c r="L162" i="276"/>
  <c r="L71" i="276"/>
  <c r="L205" i="277"/>
  <c r="L79" i="277"/>
  <c r="L120" i="275"/>
  <c r="L37" i="275"/>
  <c r="L113" i="276"/>
  <c r="L42" i="276"/>
  <c r="L194" i="277"/>
  <c r="L68" i="277"/>
  <c r="L113" i="275"/>
  <c r="L23" i="275"/>
  <c r="L97" i="276"/>
  <c r="L27" i="276"/>
  <c r="L161" i="277"/>
  <c r="L35" i="277"/>
  <c r="L93" i="275"/>
  <c r="L3" i="275"/>
  <c r="L104" i="276"/>
  <c r="L26" i="276"/>
  <c r="L135" i="277"/>
  <c r="L8" i="277"/>
  <c r="L73" i="275"/>
  <c r="L154" i="276"/>
  <c r="L75" i="276"/>
  <c r="L9" i="276"/>
  <c r="L118" i="277"/>
  <c r="L77" i="267"/>
  <c r="L37" i="269"/>
  <c r="L61" i="269"/>
  <c r="L117" i="269"/>
  <c r="L68" i="271"/>
  <c r="L105" i="273"/>
  <c r="L91" i="275"/>
  <c r="L151" i="274"/>
  <c r="L160" i="273"/>
  <c r="L154" i="274"/>
  <c r="L116" i="275"/>
  <c r="L147" i="276"/>
  <c r="L65" i="276"/>
  <c r="L7" i="276"/>
  <c r="L106" i="277"/>
  <c r="L128" i="275"/>
  <c r="L45" i="275"/>
  <c r="L108" i="276"/>
  <c r="L37" i="276"/>
  <c r="L158" i="277"/>
  <c r="L32" i="277"/>
  <c r="L76" i="275"/>
  <c r="L63" i="276"/>
  <c r="L189" i="277"/>
  <c r="L63" i="277"/>
  <c r="L107" i="275"/>
  <c r="L24" i="275"/>
  <c r="L106" i="276"/>
  <c r="L35" i="276"/>
  <c r="L178" i="277"/>
  <c r="L52" i="277"/>
  <c r="L100" i="275"/>
  <c r="L17" i="275"/>
  <c r="L90" i="276"/>
  <c r="L19" i="276"/>
  <c r="L145" i="277"/>
  <c r="L19" i="277"/>
  <c r="L80" i="275"/>
  <c r="L166" i="276"/>
  <c r="L96" i="276"/>
  <c r="L18" i="276"/>
  <c r="L119" i="277"/>
  <c r="L143" i="275"/>
  <c r="L60" i="275"/>
  <c r="L149" i="276"/>
  <c r="L67" i="276"/>
  <c r="L229" i="277"/>
  <c r="L102" i="277"/>
  <c r="L48" i="272"/>
  <c r="L16" i="271"/>
  <c r="L88" i="271"/>
  <c r="L27" i="269"/>
  <c r="L86" i="272"/>
  <c r="L142" i="274"/>
  <c r="L172" i="273"/>
  <c r="L24" i="274"/>
  <c r="L32" i="273"/>
  <c r="L139" i="274"/>
  <c r="L84" i="275"/>
  <c r="L129" i="276"/>
  <c r="L58" i="276"/>
  <c r="L217" i="277"/>
  <c r="L91" i="277"/>
  <c r="L115" i="275"/>
  <c r="L32" i="275"/>
  <c r="L100" i="276"/>
  <c r="L22" i="276"/>
  <c r="L143" i="277"/>
  <c r="L16" i="277"/>
  <c r="L63" i="275"/>
  <c r="L134" i="276"/>
  <c r="L43" i="276"/>
  <c r="L173" i="277"/>
  <c r="L47" i="277"/>
  <c r="L101" i="275"/>
  <c r="L11" i="275"/>
  <c r="L98" i="276"/>
  <c r="L28" i="276"/>
  <c r="L162" i="277"/>
  <c r="L36" i="277"/>
  <c r="L87" i="275"/>
  <c r="L4" i="275"/>
  <c r="L83" i="276"/>
  <c r="L11" i="276"/>
  <c r="L130" i="277"/>
  <c r="L3" i="277"/>
  <c r="L67" i="275"/>
  <c r="L155" i="276"/>
  <c r="L76" i="276"/>
  <c r="L10" i="276"/>
  <c r="L103" i="277"/>
  <c r="L137" i="275"/>
  <c r="L47" i="275"/>
  <c r="L143" i="276"/>
  <c r="L60" i="276"/>
  <c r="L213" i="277"/>
  <c r="L87" i="277"/>
  <c r="L103" i="267"/>
  <c r="L69" i="267"/>
  <c r="L3" i="272"/>
  <c r="L95" i="272"/>
  <c r="L138" i="272"/>
  <c r="L2" i="269"/>
  <c r="L15" i="274"/>
  <c r="L45" i="273"/>
  <c r="L12" i="272"/>
  <c r="L60" i="274"/>
  <c r="L75" i="274"/>
  <c r="L71" i="275"/>
  <c r="L122" i="276"/>
  <c r="L51" i="276"/>
  <c r="L201" i="277"/>
  <c r="L75" i="277"/>
  <c r="L109" i="275"/>
  <c r="L19" i="275"/>
  <c r="L93" i="276"/>
  <c r="L14" i="276"/>
  <c r="L127" i="277"/>
  <c r="L140" i="275"/>
  <c r="L57" i="275"/>
  <c r="L127" i="276"/>
  <c r="L36" i="276"/>
  <c r="L157" i="277"/>
  <c r="L31" i="277"/>
  <c r="L88" i="275"/>
  <c r="L5" i="275"/>
  <c r="L91" i="276"/>
  <c r="L20" i="276"/>
  <c r="L146" i="277"/>
  <c r="L20" i="277"/>
  <c r="L81" i="275"/>
  <c r="L167" i="276"/>
  <c r="L77" i="276"/>
  <c r="L3" i="276"/>
  <c r="L114" i="277"/>
  <c r="L144" i="275"/>
  <c r="L61" i="275"/>
  <c r="L144" i="276"/>
  <c r="L68" i="276"/>
  <c r="L214" i="277"/>
  <c r="L88" i="277"/>
  <c r="L124" i="275"/>
  <c r="L41" i="275"/>
  <c r="L131" i="276"/>
  <c r="L53" i="276"/>
  <c r="L197" i="277"/>
  <c r="L71" i="277"/>
  <c r="L144" i="269"/>
  <c r="L4" i="268"/>
  <c r="L44" i="272"/>
  <c r="L83" i="269"/>
  <c r="L218" i="277"/>
  <c r="L99" i="274"/>
  <c r="L129" i="273"/>
  <c r="L39" i="276"/>
  <c r="L27" i="274"/>
  <c r="L65" i="275"/>
  <c r="L109" i="276"/>
  <c r="L45" i="276"/>
  <c r="L185" i="277"/>
  <c r="L59" i="277"/>
  <c r="L96" i="275"/>
  <c r="L13" i="275"/>
  <c r="L86" i="276"/>
  <c r="L6" i="276"/>
  <c r="L111" i="277"/>
  <c r="L127" i="275"/>
  <c r="L44" i="275"/>
  <c r="L107" i="276"/>
  <c r="L21" i="276"/>
  <c r="L142" i="277"/>
  <c r="L15" i="277"/>
  <c r="L75" i="275"/>
  <c r="L151" i="276"/>
  <c r="L84" i="276"/>
  <c r="L12" i="276"/>
  <c r="L131" i="277"/>
  <c r="L4" i="277"/>
  <c r="L68" i="275"/>
  <c r="L139" i="276"/>
  <c r="L69" i="276"/>
  <c r="L225" i="277"/>
  <c r="L99" i="277"/>
  <c r="L131" i="275"/>
  <c r="L48" i="275"/>
  <c r="L138" i="276"/>
  <c r="L61" i="276"/>
  <c r="L198" i="277"/>
  <c r="L72" i="277"/>
  <c r="L111" i="275"/>
  <c r="L28" i="275"/>
  <c r="L124" i="276"/>
  <c r="L40" i="276"/>
  <c r="L55" i="277"/>
  <c r="L73" i="267"/>
  <c r="L158" i="267"/>
  <c r="L55" i="269"/>
  <c r="L92" i="269"/>
  <c r="L148" i="273"/>
  <c r="L168" i="271"/>
  <c r="L40" i="272"/>
  <c r="L59" i="275"/>
  <c r="L166" i="274"/>
  <c r="L244" i="273"/>
  <c r="L11" i="274"/>
  <c r="L33" i="275"/>
  <c r="L101" i="276"/>
  <c r="L38" i="276"/>
  <c r="L169" i="277"/>
  <c r="L43" i="277"/>
  <c r="L83" i="275"/>
  <c r="L169" i="276"/>
  <c r="L79" i="276"/>
  <c r="L222" i="277"/>
  <c r="L96" i="277"/>
  <c r="L121" i="275"/>
  <c r="L31" i="275"/>
  <c r="L99" i="276"/>
  <c r="L13" i="276"/>
  <c r="L126" i="277"/>
  <c r="L152" i="275"/>
  <c r="L69" i="275"/>
  <c r="L140" i="276"/>
  <c r="L70" i="276"/>
  <c r="L4" i="276"/>
  <c r="L115" i="277"/>
  <c r="L145" i="275"/>
  <c r="L55" i="275"/>
  <c r="L119" i="276"/>
  <c r="L55" i="276"/>
  <c r="L209" i="277"/>
  <c r="L83" i="277"/>
  <c r="L125" i="275"/>
  <c r="L35" i="275"/>
  <c r="L132" i="276"/>
  <c r="L54" i="276"/>
  <c r="L182" i="277"/>
  <c r="L56" i="277"/>
  <c r="L105" i="275"/>
  <c r="L15" i="275"/>
  <c r="L117" i="276"/>
  <c r="L32" i="276"/>
  <c r="L165" i="277"/>
  <c r="L39" i="277"/>
  <c r="L165" i="266"/>
  <c r="L157" i="266"/>
  <c r="L149" i="266"/>
  <c r="L141" i="266"/>
  <c r="L133" i="266"/>
  <c r="L125" i="266"/>
  <c r="L117" i="266"/>
  <c r="L109" i="266"/>
  <c r="L101" i="266"/>
  <c r="L93" i="266"/>
  <c r="L85" i="266"/>
  <c r="L77" i="266"/>
  <c r="L69" i="266"/>
  <c r="L61" i="266"/>
  <c r="L53" i="266"/>
  <c r="L45" i="266"/>
  <c r="L37" i="266"/>
  <c r="L29" i="266"/>
  <c r="L13" i="266"/>
  <c r="L5" i="266"/>
  <c r="L172" i="266"/>
  <c r="L164" i="266"/>
  <c r="L156" i="266"/>
  <c r="L148" i="266"/>
  <c r="L140" i="266"/>
  <c r="L132" i="266"/>
  <c r="L124" i="266"/>
  <c r="L116" i="266"/>
  <c r="L108" i="266"/>
  <c r="L100" i="266"/>
  <c r="L92" i="266"/>
  <c r="L84" i="266"/>
  <c r="L76" i="266"/>
  <c r="L68" i="266"/>
  <c r="L60" i="266"/>
  <c r="L52" i="266"/>
  <c r="L44" i="266"/>
  <c r="L36" i="266"/>
  <c r="L28" i="266"/>
  <c r="L12" i="266"/>
  <c r="L4" i="266"/>
  <c r="L171" i="266"/>
  <c r="L163" i="266"/>
  <c r="L155" i="266"/>
  <c r="L147" i="266"/>
  <c r="L139" i="266"/>
  <c r="L131" i="266"/>
  <c r="L123" i="266"/>
  <c r="L115" i="266"/>
  <c r="L107" i="266"/>
  <c r="L99" i="266"/>
  <c r="L91" i="266"/>
  <c r="L83" i="266"/>
  <c r="L75" i="266"/>
  <c r="L67" i="266"/>
  <c r="L59" i="266"/>
  <c r="L51" i="266"/>
  <c r="L43" i="266"/>
  <c r="L35" i="266"/>
  <c r="L27" i="266"/>
  <c r="L11" i="266"/>
  <c r="L3" i="266"/>
  <c r="L170" i="266"/>
  <c r="L162" i="266"/>
  <c r="L154" i="266"/>
  <c r="L146" i="266"/>
  <c r="L138" i="266"/>
  <c r="L130" i="266"/>
  <c r="L122" i="266"/>
  <c r="L114" i="266"/>
  <c r="L106" i="266"/>
  <c r="L98" i="266"/>
  <c r="L90" i="266"/>
  <c r="L82" i="266"/>
  <c r="L74" i="266"/>
  <c r="L66" i="266"/>
  <c r="L58" i="266"/>
  <c r="L50" i="266"/>
  <c r="L42" i="266"/>
  <c r="L34" i="266"/>
  <c r="L26" i="266"/>
  <c r="L18" i="266"/>
  <c r="L10" i="266"/>
  <c r="L2" i="266"/>
  <c r="L169" i="266"/>
  <c r="L161" i="266"/>
  <c r="L153" i="266"/>
  <c r="L145" i="266"/>
  <c r="L137" i="266"/>
  <c r="L129" i="266"/>
  <c r="L121" i="266"/>
  <c r="L113" i="266"/>
  <c r="L105" i="266"/>
  <c r="L97" i="266"/>
  <c r="L89" i="266"/>
  <c r="L81" i="266"/>
  <c r="L73" i="266"/>
  <c r="L65" i="266"/>
  <c r="L57" i="266"/>
  <c r="L49" i="266"/>
  <c r="L41" i="266"/>
  <c r="L33" i="266"/>
  <c r="L25" i="266"/>
  <c r="L17" i="266"/>
  <c r="L9" i="266"/>
  <c r="L168" i="266"/>
  <c r="L160" i="266"/>
  <c r="L152" i="266"/>
  <c r="L144" i="266"/>
  <c r="L136" i="266"/>
  <c r="L128" i="266"/>
  <c r="L120" i="266"/>
  <c r="L112" i="266"/>
  <c r="L104" i="266"/>
  <c r="L96" i="266"/>
  <c r="L88" i="266"/>
  <c r="L80" i="266"/>
  <c r="L72" i="266"/>
  <c r="L64" i="266"/>
  <c r="L56" i="266"/>
  <c r="L48" i="266"/>
  <c r="L40" i="266"/>
  <c r="L32" i="266"/>
  <c r="L16" i="266"/>
  <c r="L8" i="266"/>
  <c r="L167" i="266"/>
  <c r="L159" i="266"/>
  <c r="L151" i="266"/>
  <c r="L143" i="266"/>
  <c r="L135" i="266"/>
  <c r="L127" i="266"/>
  <c r="L119" i="266"/>
  <c r="L111" i="266"/>
  <c r="L103" i="266"/>
  <c r="L95" i="266"/>
  <c r="L87" i="266"/>
  <c r="L79" i="266"/>
  <c r="L71" i="266"/>
  <c r="L63" i="266"/>
  <c r="L55" i="266"/>
  <c r="L47" i="266"/>
  <c r="L39" i="266"/>
  <c r="L31" i="266"/>
  <c r="L15" i="266"/>
  <c r="L7" i="266"/>
  <c r="C47" i="278"/>
  <c r="C24" i="278"/>
  <c r="U24" i="332" s="1"/>
  <c r="C24" i="283"/>
  <c r="C72" i="283"/>
  <c r="E65" i="288"/>
  <c r="F65" i="288" s="1"/>
  <c r="F41" i="289"/>
  <c r="F74" i="291"/>
  <c r="F23" i="288"/>
  <c r="F67" i="287"/>
  <c r="E13" i="283"/>
  <c r="E65" i="287"/>
  <c r="F65" i="287" s="1"/>
  <c r="F32" i="285"/>
  <c r="F52" i="285"/>
  <c r="E65" i="285"/>
  <c r="F65" i="285" s="1"/>
  <c r="H24" i="284"/>
  <c r="H24" i="285"/>
  <c r="F47" i="290"/>
  <c r="E65" i="283"/>
  <c r="F65" i="283" s="1"/>
  <c r="F67" i="290"/>
  <c r="F74" i="284"/>
  <c r="F41" i="284"/>
  <c r="F23" i="287"/>
  <c r="F74" i="286"/>
  <c r="F74" i="289"/>
  <c r="H57" i="290"/>
  <c r="F37" i="291"/>
  <c r="F28" i="292"/>
  <c r="F23" i="284"/>
  <c r="F47" i="284"/>
  <c r="F67" i="284"/>
  <c r="F23" i="285"/>
  <c r="F41" i="290"/>
  <c r="F74" i="290"/>
  <c r="F37" i="290"/>
  <c r="F23" i="292"/>
  <c r="F67" i="289"/>
  <c r="F41" i="292"/>
  <c r="F74" i="285"/>
  <c r="F67" i="288"/>
  <c r="F32" i="290"/>
  <c r="F56" i="290"/>
  <c r="F8" i="283"/>
  <c r="F47" i="283"/>
  <c r="F32" i="286"/>
  <c r="F28" i="288"/>
  <c r="F32" i="288"/>
  <c r="F52" i="288"/>
  <c r="F56" i="288"/>
  <c r="F23" i="290"/>
  <c r="F23" i="291"/>
  <c r="F52" i="292"/>
  <c r="F21" i="278"/>
  <c r="F31" i="278"/>
  <c r="F41" i="278"/>
  <c r="F52" i="283"/>
  <c r="F67" i="283"/>
  <c r="F32" i="284"/>
  <c r="E59" i="285"/>
  <c r="F59" i="285" s="1"/>
  <c r="F23" i="289"/>
  <c r="F47" i="289"/>
  <c r="E13" i="286"/>
  <c r="F23" i="286"/>
  <c r="E13" i="287"/>
  <c r="F47" i="287"/>
  <c r="F47" i="288"/>
  <c r="F72" i="291"/>
  <c r="E13" i="292"/>
  <c r="F47" i="292"/>
  <c r="F67" i="292"/>
  <c r="E26" i="284"/>
  <c r="F67" i="286"/>
  <c r="F8" i="287"/>
  <c r="F28" i="287"/>
  <c r="F23" i="278"/>
  <c r="F28" i="283"/>
  <c r="F56" i="283"/>
  <c r="F74" i="283"/>
  <c r="F37" i="283"/>
  <c r="F41" i="283"/>
  <c r="F28" i="285"/>
  <c r="H57" i="286"/>
  <c r="F41" i="291"/>
  <c r="F55" i="291"/>
  <c r="F37" i="286"/>
  <c r="E65" i="286"/>
  <c r="F65" i="286" s="1"/>
  <c r="F41" i="287"/>
  <c r="F37" i="288"/>
  <c r="F41" i="288"/>
  <c r="F28" i="290"/>
  <c r="F52" i="290"/>
  <c r="F28" i="291"/>
  <c r="E49" i="291"/>
  <c r="F52" i="291"/>
  <c r="F37" i="292"/>
  <c r="F74" i="292"/>
  <c r="F32" i="283"/>
  <c r="F28" i="284"/>
  <c r="F52" i="284"/>
  <c r="F41" i="286"/>
  <c r="F32" i="287"/>
  <c r="F56" i="287"/>
  <c r="F74" i="287"/>
  <c r="F15" i="278"/>
  <c r="F29" i="278"/>
  <c r="F39" i="278"/>
  <c r="F23" i="283"/>
  <c r="F37" i="287"/>
  <c r="H57" i="287"/>
  <c r="F37" i="289"/>
  <c r="F28" i="289"/>
  <c r="F32" i="289"/>
  <c r="F52" i="289"/>
  <c r="F56" i="292"/>
  <c r="F8" i="292"/>
  <c r="E65" i="292"/>
  <c r="F65" i="292" s="1"/>
  <c r="E26" i="292"/>
  <c r="F12" i="292"/>
  <c r="F40" i="292"/>
  <c r="F46" i="292"/>
  <c r="F51" i="292"/>
  <c r="F72" i="292"/>
  <c r="E59" i="292"/>
  <c r="F22" i="292"/>
  <c r="F31" i="292"/>
  <c r="F36" i="292"/>
  <c r="H47" i="292"/>
  <c r="F55" i="292"/>
  <c r="E49" i="292"/>
  <c r="F11" i="292"/>
  <c r="F15" i="292"/>
  <c r="F21" i="292"/>
  <c r="F25" i="292"/>
  <c r="F30" i="292"/>
  <c r="F35" i="292"/>
  <c r="F39" i="292"/>
  <c r="F54" i="292"/>
  <c r="F58" i="292"/>
  <c r="F64" i="292"/>
  <c r="E42" i="292"/>
  <c r="E33" i="292"/>
  <c r="F10" i="292"/>
  <c r="F14" i="292"/>
  <c r="F20" i="292"/>
  <c r="F24" i="292"/>
  <c r="F29" i="292"/>
  <c r="F38" i="292"/>
  <c r="F48" i="292"/>
  <c r="F53" i="292"/>
  <c r="F57" i="292"/>
  <c r="F63" i="292"/>
  <c r="F32" i="291"/>
  <c r="F67" i="291"/>
  <c r="F56" i="291"/>
  <c r="F47" i="291"/>
  <c r="E26" i="291"/>
  <c r="E59" i="291"/>
  <c r="E65" i="291"/>
  <c r="F12" i="291"/>
  <c r="F22" i="291"/>
  <c r="F31" i="291"/>
  <c r="F36" i="291"/>
  <c r="F40" i="291"/>
  <c r="F46" i="291"/>
  <c r="H47" i="291"/>
  <c r="F51" i="291"/>
  <c r="F11" i="291"/>
  <c r="F15" i="291"/>
  <c r="F21" i="291"/>
  <c r="F25" i="291"/>
  <c r="F30" i="291"/>
  <c r="F35" i="291"/>
  <c r="F39" i="291"/>
  <c r="F54" i="291"/>
  <c r="F58" i="291"/>
  <c r="F64" i="291"/>
  <c r="E42" i="291"/>
  <c r="E33" i="291"/>
  <c r="F10" i="291"/>
  <c r="F14" i="291"/>
  <c r="F20" i="291"/>
  <c r="F24" i="291"/>
  <c r="F29" i="291"/>
  <c r="F38" i="291"/>
  <c r="F48" i="291"/>
  <c r="F53" i="291"/>
  <c r="F57" i="291"/>
  <c r="F63" i="291"/>
  <c r="E13" i="291"/>
  <c r="E26" i="290"/>
  <c r="E13" i="290"/>
  <c r="E59" i="290"/>
  <c r="E65" i="290"/>
  <c r="F12" i="290"/>
  <c r="F22" i="290"/>
  <c r="F31" i="290"/>
  <c r="F36" i="290"/>
  <c r="F40" i="290"/>
  <c r="F46" i="290"/>
  <c r="H47" i="290"/>
  <c r="F51" i="290"/>
  <c r="F55" i="290"/>
  <c r="F72" i="290"/>
  <c r="E49" i="290"/>
  <c r="F11" i="290"/>
  <c r="F15" i="290"/>
  <c r="F21" i="290"/>
  <c r="F25" i="290"/>
  <c r="F30" i="290"/>
  <c r="F35" i="290"/>
  <c r="F39" i="290"/>
  <c r="F54" i="290"/>
  <c r="F58" i="290"/>
  <c r="F64" i="290"/>
  <c r="E42" i="290"/>
  <c r="E33" i="290"/>
  <c r="F10" i="290"/>
  <c r="F14" i="290"/>
  <c r="F20" i="290"/>
  <c r="F24" i="290"/>
  <c r="F29" i="290"/>
  <c r="F38" i="290"/>
  <c r="F48" i="290"/>
  <c r="F53" i="290"/>
  <c r="F57" i="290"/>
  <c r="F63" i="290"/>
  <c r="F56" i="289"/>
  <c r="E26" i="289"/>
  <c r="E13" i="289"/>
  <c r="E59" i="289"/>
  <c r="E65" i="289"/>
  <c r="F12" i="289"/>
  <c r="F22" i="289"/>
  <c r="F31" i="289"/>
  <c r="F36" i="289"/>
  <c r="F40" i="289"/>
  <c r="F46" i="289"/>
  <c r="H47" i="289"/>
  <c r="F51" i="289"/>
  <c r="F55" i="289"/>
  <c r="F72" i="289"/>
  <c r="E49" i="289"/>
  <c r="F11" i="289"/>
  <c r="F15" i="289"/>
  <c r="F21" i="289"/>
  <c r="F25" i="289"/>
  <c r="F30" i="289"/>
  <c r="F35" i="289"/>
  <c r="F39" i="289"/>
  <c r="F54" i="289"/>
  <c r="F58" i="289"/>
  <c r="F64" i="289"/>
  <c r="E42" i="289"/>
  <c r="E33" i="289"/>
  <c r="F10" i="289"/>
  <c r="F14" i="289"/>
  <c r="F20" i="289"/>
  <c r="F24" i="289"/>
  <c r="F29" i="289"/>
  <c r="F38" i="289"/>
  <c r="F48" i="289"/>
  <c r="F53" i="289"/>
  <c r="F57" i="289"/>
  <c r="F63" i="289"/>
  <c r="F74" i="288"/>
  <c r="E59" i="288"/>
  <c r="F12" i="288"/>
  <c r="F22" i="288"/>
  <c r="F31" i="288"/>
  <c r="F36" i="288"/>
  <c r="F40" i="288"/>
  <c r="F46" i="288"/>
  <c r="H47" i="288"/>
  <c r="F51" i="288"/>
  <c r="F55" i="288"/>
  <c r="F72" i="288"/>
  <c r="E26" i="288"/>
  <c r="E49" i="288"/>
  <c r="F11" i="288"/>
  <c r="F15" i="288"/>
  <c r="F21" i="288"/>
  <c r="F25" i="288"/>
  <c r="F30" i="288"/>
  <c r="F35" i="288"/>
  <c r="F39" i="288"/>
  <c r="F54" i="288"/>
  <c r="F58" i="288"/>
  <c r="F64" i="288"/>
  <c r="E42" i="288"/>
  <c r="F10" i="288"/>
  <c r="F14" i="288"/>
  <c r="F20" i="288"/>
  <c r="F24" i="288"/>
  <c r="F29" i="288"/>
  <c r="F38" i="288"/>
  <c r="F48" i="288"/>
  <c r="F53" i="288"/>
  <c r="F57" i="288"/>
  <c r="F63" i="288"/>
  <c r="E33" i="288"/>
  <c r="E13" i="288"/>
  <c r="F52" i="287"/>
  <c r="H24" i="287"/>
  <c r="E59" i="287"/>
  <c r="F12" i="287"/>
  <c r="F22" i="287"/>
  <c r="F31" i="287"/>
  <c r="F36" i="287"/>
  <c r="F40" i="287"/>
  <c r="F46" i="287"/>
  <c r="F51" i="287"/>
  <c r="F55" i="287"/>
  <c r="F72" i="287"/>
  <c r="E26" i="287"/>
  <c r="E49" i="287"/>
  <c r="F11" i="287"/>
  <c r="F15" i="287"/>
  <c r="F21" i="287"/>
  <c r="F25" i="287"/>
  <c r="F30" i="287"/>
  <c r="F35" i="287"/>
  <c r="F39" i="287"/>
  <c r="F54" i="287"/>
  <c r="F58" i="287"/>
  <c r="F64" i="287"/>
  <c r="E33" i="287"/>
  <c r="E42" i="287"/>
  <c r="F10" i="287"/>
  <c r="F14" i="287"/>
  <c r="F20" i="287"/>
  <c r="F24" i="287"/>
  <c r="F29" i="287"/>
  <c r="F38" i="287"/>
  <c r="F48" i="287"/>
  <c r="F53" i="287"/>
  <c r="F57" i="287"/>
  <c r="F63" i="287"/>
  <c r="F8" i="286"/>
  <c r="F28" i="286"/>
  <c r="F56" i="286"/>
  <c r="F52" i="286"/>
  <c r="F47" i="286"/>
  <c r="E59" i="286"/>
  <c r="F12" i="286"/>
  <c r="F22" i="286"/>
  <c r="F31" i="286"/>
  <c r="F36" i="286"/>
  <c r="F40" i="286"/>
  <c r="F46" i="286"/>
  <c r="H47" i="286"/>
  <c r="F51" i="286"/>
  <c r="F55" i="286"/>
  <c r="F72" i="286"/>
  <c r="E26" i="286"/>
  <c r="E49" i="286"/>
  <c r="F11" i="286"/>
  <c r="F15" i="286"/>
  <c r="F21" i="286"/>
  <c r="F25" i="286"/>
  <c r="F30" i="286"/>
  <c r="F35" i="286"/>
  <c r="F39" i="286"/>
  <c r="F54" i="286"/>
  <c r="F58" i="286"/>
  <c r="F64" i="286"/>
  <c r="E42" i="286"/>
  <c r="E33" i="286"/>
  <c r="F10" i="286"/>
  <c r="F14" i="286"/>
  <c r="F20" i="286"/>
  <c r="F24" i="286"/>
  <c r="F29" i="286"/>
  <c r="F38" i="286"/>
  <c r="F48" i="286"/>
  <c r="F53" i="286"/>
  <c r="F57" i="286"/>
  <c r="F63" i="286"/>
  <c r="F67" i="285"/>
  <c r="F37" i="285"/>
  <c r="F41" i="285"/>
  <c r="F8" i="285"/>
  <c r="F47" i="285"/>
  <c r="F12" i="285"/>
  <c r="F22" i="285"/>
  <c r="F31" i="285"/>
  <c r="F36" i="285"/>
  <c r="F40" i="285"/>
  <c r="F46" i="285"/>
  <c r="H47" i="285"/>
  <c r="F51" i="285"/>
  <c r="F55" i="285"/>
  <c r="F72" i="285"/>
  <c r="E26" i="285"/>
  <c r="E49" i="285"/>
  <c r="F11" i="285"/>
  <c r="F15" i="285"/>
  <c r="F21" i="285"/>
  <c r="F25" i="285"/>
  <c r="F30" i="285"/>
  <c r="F35" i="285"/>
  <c r="F39" i="285"/>
  <c r="F54" i="285"/>
  <c r="F58" i="285"/>
  <c r="F64" i="285"/>
  <c r="E42" i="285"/>
  <c r="E33" i="285"/>
  <c r="F10" i="285"/>
  <c r="F14" i="285"/>
  <c r="F20" i="285"/>
  <c r="F24" i="285"/>
  <c r="F29" i="285"/>
  <c r="F38" i="285"/>
  <c r="F48" i="285"/>
  <c r="F53" i="285"/>
  <c r="F57" i="285"/>
  <c r="F63" i="285"/>
  <c r="E13" i="285"/>
  <c r="F56" i="284"/>
  <c r="F37" i="284"/>
  <c r="E59" i="284"/>
  <c r="E65" i="284"/>
  <c r="F12" i="284"/>
  <c r="F22" i="284"/>
  <c r="F31" i="284"/>
  <c r="F36" i="284"/>
  <c r="F40" i="284"/>
  <c r="F46" i="284"/>
  <c r="H47" i="284"/>
  <c r="F51" i="284"/>
  <c r="F55" i="284"/>
  <c r="F72" i="284"/>
  <c r="E49" i="284"/>
  <c r="F11" i="284"/>
  <c r="F15" i="284"/>
  <c r="F21" i="284"/>
  <c r="F25" i="284"/>
  <c r="F30" i="284"/>
  <c r="F35" i="284"/>
  <c r="F39" i="284"/>
  <c r="F54" i="284"/>
  <c r="F58" i="284"/>
  <c r="F64" i="284"/>
  <c r="E42" i="284"/>
  <c r="E33" i="284"/>
  <c r="F10" i="284"/>
  <c r="F14" i="284"/>
  <c r="F20" i="284"/>
  <c r="F24" i="284"/>
  <c r="F29" i="284"/>
  <c r="F38" i="284"/>
  <c r="F48" i="284"/>
  <c r="F53" i="284"/>
  <c r="F57" i="284"/>
  <c r="F63" i="284"/>
  <c r="E13" i="284"/>
  <c r="E26" i="283"/>
  <c r="E59" i="283"/>
  <c r="F12" i="283"/>
  <c r="F22" i="283"/>
  <c r="F31" i="283"/>
  <c r="F36" i="283"/>
  <c r="F40" i="283"/>
  <c r="F46" i="283"/>
  <c r="H47" i="283"/>
  <c r="F51" i="283"/>
  <c r="F55" i="283"/>
  <c r="F72" i="283"/>
  <c r="E49" i="283"/>
  <c r="F11" i="283"/>
  <c r="F15" i="283"/>
  <c r="F21" i="283"/>
  <c r="F25" i="283"/>
  <c r="F30" i="283"/>
  <c r="F35" i="283"/>
  <c r="F39" i="283"/>
  <c r="F54" i="283"/>
  <c r="F58" i="283"/>
  <c r="F64" i="283"/>
  <c r="E42" i="283"/>
  <c r="E33" i="283"/>
  <c r="F10" i="283"/>
  <c r="F14" i="283"/>
  <c r="F20" i="283"/>
  <c r="F24" i="283"/>
  <c r="F29" i="283"/>
  <c r="F38" i="283"/>
  <c r="F48" i="283"/>
  <c r="F53" i="283"/>
  <c r="F57" i="283"/>
  <c r="F63" i="283"/>
  <c r="F30" i="278"/>
  <c r="F40" i="278"/>
  <c r="F11" i="278"/>
  <c r="F37" i="278"/>
  <c r="F28" i="278"/>
  <c r="F38" i="278"/>
  <c r="F12" i="278"/>
  <c r="F32" i="278"/>
  <c r="F47" i="278"/>
  <c r="F10" i="278"/>
  <c r="F35" i="278"/>
  <c r="F72" i="278"/>
  <c r="F48" i="278"/>
  <c r="F58" i="278"/>
  <c r="F74" i="278"/>
  <c r="F67" i="278"/>
  <c r="F51" i="278"/>
  <c r="F64" i="278"/>
  <c r="F14" i="278"/>
  <c r="F22" i="278"/>
  <c r="F63" i="278"/>
  <c r="F52" i="278"/>
  <c r="F53" i="278"/>
  <c r="F54" i="278"/>
  <c r="F55" i="278"/>
  <c r="F56" i="278"/>
  <c r="F57" i="278"/>
  <c r="F46" i="278"/>
  <c r="F36" i="278"/>
  <c r="F24" i="278"/>
  <c r="F25" i="278"/>
  <c r="F20" i="278"/>
  <c r="E13" i="278"/>
  <c r="C72" i="332" l="1"/>
  <c r="C24" i="332"/>
  <c r="G47" i="286"/>
  <c r="G72" i="284"/>
  <c r="H72" i="284" s="1"/>
  <c r="G24" i="288"/>
  <c r="G47" i="292"/>
  <c r="G24" i="292"/>
  <c r="G24" i="290"/>
  <c r="C24" i="327"/>
  <c r="S24" i="333" s="1"/>
  <c r="C47" i="291"/>
  <c r="G47" i="291" s="1"/>
  <c r="C47" i="327"/>
  <c r="G47" i="327" s="1"/>
  <c r="C24" i="291"/>
  <c r="S24" i="332" s="1"/>
  <c r="F26" i="284"/>
  <c r="F13" i="286"/>
  <c r="F26" i="292"/>
  <c r="F13" i="292"/>
  <c r="F13" i="287"/>
  <c r="E16" i="283"/>
  <c r="F49" i="291"/>
  <c r="W47" i="333"/>
  <c r="G47" i="331"/>
  <c r="W24" i="333"/>
  <c r="G24" i="331"/>
  <c r="G72" i="278"/>
  <c r="H72" i="278" s="1"/>
  <c r="U72" i="332"/>
  <c r="G47" i="278"/>
  <c r="U47" i="332"/>
  <c r="G47" i="290"/>
  <c r="Q47" i="332"/>
  <c r="Q47" i="333"/>
  <c r="G47" i="325"/>
  <c r="Q24" i="333"/>
  <c r="G24" i="325"/>
  <c r="G47" i="288"/>
  <c r="M47" i="332"/>
  <c r="M67" i="333"/>
  <c r="G67" i="321"/>
  <c r="H67" i="321" s="1"/>
  <c r="G35" i="288"/>
  <c r="M35" i="332"/>
  <c r="M35" i="333"/>
  <c r="G35" i="321"/>
  <c r="M47" i="333"/>
  <c r="G47" i="321"/>
  <c r="H47" i="321" s="1"/>
  <c r="M24" i="333"/>
  <c r="G24" i="321"/>
  <c r="G24" i="287"/>
  <c r="K24" i="332"/>
  <c r="K24" i="333"/>
  <c r="G24" i="319"/>
  <c r="I47" i="333"/>
  <c r="G47" i="317"/>
  <c r="I24" i="333"/>
  <c r="G24" i="317"/>
  <c r="G24" i="286"/>
  <c r="G24" i="333"/>
  <c r="G24" i="315"/>
  <c r="G47" i="285"/>
  <c r="G47" i="332"/>
  <c r="G47" i="333"/>
  <c r="G47" i="315"/>
  <c r="G24" i="285"/>
  <c r="G24" i="332"/>
  <c r="E24" i="333"/>
  <c r="G24" i="313"/>
  <c r="G24" i="284"/>
  <c r="E24" i="332"/>
  <c r="E72" i="333"/>
  <c r="G72" i="313"/>
  <c r="H72" i="313" s="1"/>
  <c r="C72" i="333"/>
  <c r="C24" i="333"/>
  <c r="C67" i="333"/>
  <c r="G24" i="329"/>
  <c r="G47" i="329"/>
  <c r="G72" i="329"/>
  <c r="H72" i="329" s="1"/>
  <c r="G67" i="311"/>
  <c r="H67" i="311" s="1"/>
  <c r="G72" i="311"/>
  <c r="H72" i="311" s="1"/>
  <c r="G24" i="311"/>
  <c r="G24" i="278"/>
  <c r="G72" i="283"/>
  <c r="H72" i="283" s="1"/>
  <c r="G24" i="283"/>
  <c r="F53" i="293"/>
  <c r="E16" i="286"/>
  <c r="F54" i="293"/>
  <c r="F38" i="293"/>
  <c r="F67" i="293"/>
  <c r="F51" i="293"/>
  <c r="F15" i="293"/>
  <c r="F58" i="293"/>
  <c r="F10" i="293"/>
  <c r="F22" i="293"/>
  <c r="F47" i="293"/>
  <c r="F41" i="293"/>
  <c r="F40" i="293"/>
  <c r="F72" i="293"/>
  <c r="F37" i="293"/>
  <c r="F46" i="293"/>
  <c r="F63" i="293"/>
  <c r="F25" i="293"/>
  <c r="F24" i="293"/>
  <c r="F14" i="293"/>
  <c r="F39" i="293"/>
  <c r="F31" i="293"/>
  <c r="F8" i="293"/>
  <c r="F74" i="293"/>
  <c r="F30" i="293"/>
  <c r="F28" i="293"/>
  <c r="F20" i="293"/>
  <c r="E16" i="287"/>
  <c r="F13" i="283"/>
  <c r="F48" i="293"/>
  <c r="F11" i="293"/>
  <c r="E65" i="293"/>
  <c r="F65" i="293" s="1"/>
  <c r="F52" i="293"/>
  <c r="E49" i="293"/>
  <c r="F49" i="293" s="1"/>
  <c r="F12" i="293"/>
  <c r="F57" i="293"/>
  <c r="F64" i="293"/>
  <c r="E59" i="293"/>
  <c r="F59" i="293" s="1"/>
  <c r="F56" i="293"/>
  <c r="F35" i="293"/>
  <c r="F29" i="293"/>
  <c r="E33" i="293"/>
  <c r="F33" i="293" s="1"/>
  <c r="F36" i="293"/>
  <c r="E16" i="292"/>
  <c r="F55" i="293"/>
  <c r="E42" i="293"/>
  <c r="F42" i="293" s="1"/>
  <c r="E26" i="293"/>
  <c r="F26" i="293" s="1"/>
  <c r="F23" i="293"/>
  <c r="F32" i="293"/>
  <c r="F21" i="293"/>
  <c r="E13" i="293"/>
  <c r="F49" i="292"/>
  <c r="F33" i="292"/>
  <c r="E61" i="292"/>
  <c r="F59" i="292"/>
  <c r="F42" i="292"/>
  <c r="F13" i="291"/>
  <c r="E16" i="291"/>
  <c r="F26" i="291"/>
  <c r="F42" i="291"/>
  <c r="F65" i="291"/>
  <c r="F33" i="291"/>
  <c r="E61" i="291"/>
  <c r="F59" i="291"/>
  <c r="F49" i="290"/>
  <c r="F65" i="290"/>
  <c r="F13" i="290"/>
  <c r="E16" i="290"/>
  <c r="F26" i="290"/>
  <c r="F33" i="290"/>
  <c r="E61" i="290"/>
  <c r="F59" i="290"/>
  <c r="F42" i="290"/>
  <c r="F26" i="289"/>
  <c r="F33" i="289"/>
  <c r="F13" i="289"/>
  <c r="E16" i="289"/>
  <c r="F65" i="289"/>
  <c r="E61" i="289"/>
  <c r="F59" i="289"/>
  <c r="F42" i="289"/>
  <c r="F49" i="289"/>
  <c r="F13" i="288"/>
  <c r="E16" i="288"/>
  <c r="F42" i="288"/>
  <c r="F49" i="288"/>
  <c r="E61" i="288"/>
  <c r="F59" i="288"/>
  <c r="F26" i="288"/>
  <c r="F33" i="288"/>
  <c r="F26" i="287"/>
  <c r="F33" i="287"/>
  <c r="F49" i="287"/>
  <c r="E61" i="287"/>
  <c r="F59" i="287"/>
  <c r="F42" i="287"/>
  <c r="F33" i="286"/>
  <c r="E61" i="286"/>
  <c r="F59" i="286"/>
  <c r="F26" i="286"/>
  <c r="F42" i="286"/>
  <c r="F49" i="286"/>
  <c r="F13" i="285"/>
  <c r="E16" i="285"/>
  <c r="F49" i="285"/>
  <c r="F33" i="285"/>
  <c r="F42" i="285"/>
  <c r="F26" i="285"/>
  <c r="E61" i="285"/>
  <c r="E61" i="284"/>
  <c r="F59" i="284"/>
  <c r="F65" i="284"/>
  <c r="F42" i="284"/>
  <c r="F33" i="284"/>
  <c r="F13" i="284"/>
  <c r="E16" i="284"/>
  <c r="F49" i="284"/>
  <c r="E61" i="283"/>
  <c r="F59" i="283"/>
  <c r="F33" i="283"/>
  <c r="F49" i="283"/>
  <c r="F42" i="283"/>
  <c r="F26" i="283"/>
  <c r="F13" i="278"/>
  <c r="E16" i="278"/>
  <c r="C25" i="334" l="1"/>
  <c r="C24" i="293"/>
  <c r="S47" i="333"/>
  <c r="S47" i="332"/>
  <c r="G24" i="327"/>
  <c r="G24" i="291"/>
  <c r="E18" i="283"/>
  <c r="F18" i="283" s="1"/>
  <c r="E18" i="286"/>
  <c r="E69" i="286" s="1"/>
  <c r="F16" i="283"/>
  <c r="E18" i="292"/>
  <c r="F18" i="292" s="1"/>
  <c r="E18" i="287"/>
  <c r="E44" i="287" s="1"/>
  <c r="F16" i="286"/>
  <c r="F16" i="287"/>
  <c r="F16" i="292"/>
  <c r="E61" i="293"/>
  <c r="F61" i="293" s="1"/>
  <c r="E16" i="293"/>
  <c r="F13" i="293"/>
  <c r="F61" i="292"/>
  <c r="F61" i="291"/>
  <c r="F16" i="291"/>
  <c r="E18" i="291"/>
  <c r="E69" i="291" s="1"/>
  <c r="F16" i="290"/>
  <c r="E18" i="290"/>
  <c r="F61" i="290"/>
  <c r="F61" i="289"/>
  <c r="F16" i="289"/>
  <c r="E18" i="289"/>
  <c r="E69" i="289" s="1"/>
  <c r="F61" i="288"/>
  <c r="F16" i="288"/>
  <c r="E18" i="288"/>
  <c r="F61" i="287"/>
  <c r="F61" i="286"/>
  <c r="F61" i="285"/>
  <c r="F16" i="285"/>
  <c r="E18" i="285"/>
  <c r="F16" i="284"/>
  <c r="E18" i="284"/>
  <c r="F61" i="284"/>
  <c r="F61" i="283"/>
  <c r="E18" i="278"/>
  <c r="O47" i="333" l="1"/>
  <c r="O35" i="332"/>
  <c r="O47" i="332"/>
  <c r="O35" i="333"/>
  <c r="F18" i="286"/>
  <c r="O57" i="333"/>
  <c r="G57" i="323"/>
  <c r="E44" i="286"/>
  <c r="F44" i="286" s="1"/>
  <c r="E69" i="287"/>
  <c r="E76" i="287" s="1"/>
  <c r="E69" i="283"/>
  <c r="F69" i="283" s="1"/>
  <c r="E76" i="286"/>
  <c r="F44" i="287"/>
  <c r="E44" i="292"/>
  <c r="F44" i="292" s="1"/>
  <c r="E44" i="283"/>
  <c r="F44" i="283" s="1"/>
  <c r="E69" i="292"/>
  <c r="F69" i="292" s="1"/>
  <c r="F18" i="287"/>
  <c r="E18" i="293"/>
  <c r="F16" i="293"/>
  <c r="F18" i="291"/>
  <c r="E44" i="291"/>
  <c r="F18" i="290"/>
  <c r="E69" i="290"/>
  <c r="E44" i="290"/>
  <c r="F18" i="289"/>
  <c r="E44" i="289"/>
  <c r="F18" i="288"/>
  <c r="E69" i="288"/>
  <c r="E44" i="288"/>
  <c r="F69" i="286"/>
  <c r="E70" i="286"/>
  <c r="F18" i="285"/>
  <c r="E69" i="285"/>
  <c r="E44" i="285"/>
  <c r="F18" i="284"/>
  <c r="E69" i="284"/>
  <c r="E44" i="284"/>
  <c r="O24" i="332" l="1"/>
  <c r="AI24" i="332" s="1"/>
  <c r="G24" i="293"/>
  <c r="O24" i="333"/>
  <c r="AI24" i="333" s="1"/>
  <c r="G25" i="334"/>
  <c r="G57" i="289"/>
  <c r="O57" i="332"/>
  <c r="G24" i="289"/>
  <c r="G35" i="323"/>
  <c r="G47" i="323"/>
  <c r="G47" i="289"/>
  <c r="G24" i="323"/>
  <c r="G35" i="289"/>
  <c r="F69" i="287"/>
  <c r="E70" i="287"/>
  <c r="F70" i="287" s="1"/>
  <c r="E76" i="283"/>
  <c r="F76" i="283" s="1"/>
  <c r="E70" i="283"/>
  <c r="F70" i="283" s="1"/>
  <c r="E70" i="292"/>
  <c r="F70" i="292" s="1"/>
  <c r="E76" i="292"/>
  <c r="F76" i="292" s="1"/>
  <c r="F18" i="293"/>
  <c r="E44" i="293"/>
  <c r="E69" i="293"/>
  <c r="F69" i="291"/>
  <c r="E76" i="291"/>
  <c r="E70" i="291"/>
  <c r="F44" i="291"/>
  <c r="F44" i="290"/>
  <c r="F69" i="290"/>
  <c r="E76" i="290"/>
  <c r="E70" i="290"/>
  <c r="F69" i="289"/>
  <c r="E76" i="289"/>
  <c r="E70" i="289"/>
  <c r="F44" i="289"/>
  <c r="F69" i="288"/>
  <c r="E76" i="288"/>
  <c r="E70" i="288"/>
  <c r="F44" i="288"/>
  <c r="F76" i="287"/>
  <c r="F70" i="286"/>
  <c r="F76" i="286"/>
  <c r="F69" i="285"/>
  <c r="E76" i="285"/>
  <c r="E70" i="285"/>
  <c r="F44" i="285"/>
  <c r="F69" i="284"/>
  <c r="E76" i="284"/>
  <c r="E70" i="284"/>
  <c r="F44" i="284"/>
  <c r="F69" i="293" l="1"/>
  <c r="E76" i="293"/>
  <c r="E70" i="293"/>
  <c r="F44" i="293"/>
  <c r="F76" i="291"/>
  <c r="F70" i="291"/>
  <c r="F70" i="290"/>
  <c r="F76" i="290"/>
  <c r="F70" i="289"/>
  <c r="F76" i="289"/>
  <c r="F70" i="288"/>
  <c r="F76" i="288"/>
  <c r="F70" i="285"/>
  <c r="F76" i="285"/>
  <c r="F76" i="284"/>
  <c r="F70" i="284"/>
  <c r="E33" i="278"/>
  <c r="F70" i="293" l="1"/>
  <c r="F76" i="293"/>
  <c r="F33" i="278"/>
  <c r="E49" i="278"/>
  <c r="E6" i="278"/>
  <c r="C6" i="278"/>
  <c r="H1" i="278"/>
  <c r="J229" i="277"/>
  <c r="H229" i="277"/>
  <c r="G229" i="277"/>
  <c r="J228" i="277"/>
  <c r="H228" i="277"/>
  <c r="G228" i="277"/>
  <c r="J227" i="277"/>
  <c r="H227" i="277"/>
  <c r="G227" i="277"/>
  <c r="J226" i="277"/>
  <c r="H226" i="277"/>
  <c r="G226" i="277"/>
  <c r="J225" i="277"/>
  <c r="H225" i="277"/>
  <c r="G225" i="277"/>
  <c r="J224" i="277"/>
  <c r="H224" i="277"/>
  <c r="G224" i="277"/>
  <c r="J223" i="277"/>
  <c r="H223" i="277"/>
  <c r="G223" i="277"/>
  <c r="J222" i="277"/>
  <c r="H222" i="277"/>
  <c r="G222" i="277"/>
  <c r="J221" i="277"/>
  <c r="H221" i="277"/>
  <c r="G221" i="277"/>
  <c r="J220" i="277"/>
  <c r="H220" i="277"/>
  <c r="G220" i="277"/>
  <c r="J219" i="277"/>
  <c r="H219" i="277"/>
  <c r="G219" i="277"/>
  <c r="J218" i="277"/>
  <c r="H218" i="277"/>
  <c r="G218" i="277"/>
  <c r="J217" i="277"/>
  <c r="H217" i="277"/>
  <c r="G217" i="277"/>
  <c r="J216" i="277"/>
  <c r="H216" i="277"/>
  <c r="G216" i="277"/>
  <c r="J215" i="277"/>
  <c r="H215" i="277"/>
  <c r="G215" i="277"/>
  <c r="J214" i="277"/>
  <c r="H214" i="277"/>
  <c r="G214" i="277"/>
  <c r="J213" i="277"/>
  <c r="H213" i="277"/>
  <c r="G213" i="277"/>
  <c r="J212" i="277"/>
  <c r="H212" i="277"/>
  <c r="G212" i="277"/>
  <c r="J211" i="277"/>
  <c r="H211" i="277"/>
  <c r="G211" i="277"/>
  <c r="J210" i="277"/>
  <c r="H210" i="277"/>
  <c r="G210" i="277"/>
  <c r="J209" i="277"/>
  <c r="H209" i="277"/>
  <c r="G209" i="277"/>
  <c r="J208" i="277"/>
  <c r="H208" i="277"/>
  <c r="G208" i="277"/>
  <c r="J207" i="277"/>
  <c r="H207" i="277"/>
  <c r="G207" i="277"/>
  <c r="J206" i="277"/>
  <c r="H206" i="277"/>
  <c r="G206" i="277"/>
  <c r="J205" i="277"/>
  <c r="H205" i="277"/>
  <c r="G205" i="277"/>
  <c r="J204" i="277"/>
  <c r="H204" i="277"/>
  <c r="G204" i="277"/>
  <c r="J203" i="277"/>
  <c r="H203" i="277"/>
  <c r="G203" i="277"/>
  <c r="J202" i="277"/>
  <c r="H202" i="277"/>
  <c r="G202" i="277"/>
  <c r="J201" i="277"/>
  <c r="H201" i="277"/>
  <c r="G201" i="277"/>
  <c r="J200" i="277"/>
  <c r="H200" i="277"/>
  <c r="G200" i="277"/>
  <c r="J199" i="277"/>
  <c r="H199" i="277"/>
  <c r="G199" i="277"/>
  <c r="J198" i="277"/>
  <c r="H198" i="277"/>
  <c r="G198" i="277"/>
  <c r="J197" i="277"/>
  <c r="H197" i="277"/>
  <c r="G197" i="277"/>
  <c r="J196" i="277"/>
  <c r="H196" i="277"/>
  <c r="G196" i="277"/>
  <c r="J195" i="277"/>
  <c r="H195" i="277"/>
  <c r="G195" i="277"/>
  <c r="J194" i="277"/>
  <c r="H194" i="277"/>
  <c r="G194" i="277"/>
  <c r="J193" i="277"/>
  <c r="H193" i="277"/>
  <c r="G193" i="277"/>
  <c r="J192" i="277"/>
  <c r="H192" i="277"/>
  <c r="G192" i="277"/>
  <c r="J191" i="277"/>
  <c r="H191" i="277"/>
  <c r="G191" i="277"/>
  <c r="J190" i="277"/>
  <c r="H190" i="277"/>
  <c r="G190" i="277"/>
  <c r="J189" i="277"/>
  <c r="H189" i="277"/>
  <c r="G189" i="277"/>
  <c r="J188" i="277"/>
  <c r="H188" i="277"/>
  <c r="G188" i="277"/>
  <c r="J187" i="277"/>
  <c r="H187" i="277"/>
  <c r="G187" i="277"/>
  <c r="J186" i="277"/>
  <c r="H186" i="277"/>
  <c r="G186" i="277"/>
  <c r="J185" i="277"/>
  <c r="H185" i="277"/>
  <c r="G185" i="277"/>
  <c r="J184" i="277"/>
  <c r="H184" i="277"/>
  <c r="G184" i="277"/>
  <c r="J183" i="277"/>
  <c r="H183" i="277"/>
  <c r="G183" i="277"/>
  <c r="J182" i="277"/>
  <c r="H182" i="277"/>
  <c r="G182" i="277"/>
  <c r="J181" i="277"/>
  <c r="H181" i="277"/>
  <c r="G181" i="277"/>
  <c r="J180" i="277"/>
  <c r="H180" i="277"/>
  <c r="G180" i="277"/>
  <c r="J179" i="277"/>
  <c r="H179" i="277"/>
  <c r="G179" i="277"/>
  <c r="J178" i="277"/>
  <c r="H178" i="277"/>
  <c r="G178" i="277"/>
  <c r="J177" i="277"/>
  <c r="H177" i="277"/>
  <c r="G177" i="277"/>
  <c r="J176" i="277"/>
  <c r="H176" i="277"/>
  <c r="G176" i="277"/>
  <c r="J175" i="277"/>
  <c r="H175" i="277"/>
  <c r="G175" i="277"/>
  <c r="J174" i="277"/>
  <c r="H174" i="277"/>
  <c r="G174" i="277"/>
  <c r="J173" i="277"/>
  <c r="H173" i="277"/>
  <c r="G173" i="277"/>
  <c r="J172" i="277"/>
  <c r="H172" i="277"/>
  <c r="G172" i="277"/>
  <c r="J171" i="277"/>
  <c r="H171" i="277"/>
  <c r="G171" i="277"/>
  <c r="J170" i="277"/>
  <c r="H170" i="277"/>
  <c r="G170" i="277"/>
  <c r="J169" i="277"/>
  <c r="H169" i="277"/>
  <c r="G169" i="277"/>
  <c r="J168" i="277"/>
  <c r="H168" i="277"/>
  <c r="G168" i="277"/>
  <c r="J167" i="277"/>
  <c r="H167" i="277"/>
  <c r="G167" i="277"/>
  <c r="J166" i="277"/>
  <c r="H166" i="277"/>
  <c r="G166" i="277"/>
  <c r="J165" i="277"/>
  <c r="H165" i="277"/>
  <c r="G165" i="277"/>
  <c r="J164" i="277"/>
  <c r="H164" i="277"/>
  <c r="G164" i="277"/>
  <c r="J163" i="277"/>
  <c r="H163" i="277"/>
  <c r="G163" i="277"/>
  <c r="J162" i="277"/>
  <c r="H162" i="277"/>
  <c r="G162" i="277"/>
  <c r="J161" i="277"/>
  <c r="H161" i="277"/>
  <c r="G161" i="277"/>
  <c r="J160" i="277"/>
  <c r="H160" i="277"/>
  <c r="G160" i="277"/>
  <c r="J159" i="277"/>
  <c r="H159" i="277"/>
  <c r="G159" i="277"/>
  <c r="J158" i="277"/>
  <c r="H158" i="277"/>
  <c r="G158" i="277"/>
  <c r="J157" i="277"/>
  <c r="H157" i="277"/>
  <c r="G157" i="277"/>
  <c r="J156" i="277"/>
  <c r="H156" i="277"/>
  <c r="G156" i="277"/>
  <c r="J155" i="277"/>
  <c r="H155" i="277"/>
  <c r="G155" i="277"/>
  <c r="J154" i="277"/>
  <c r="H154" i="277"/>
  <c r="G154" i="277"/>
  <c r="J153" i="277"/>
  <c r="H153" i="277"/>
  <c r="G153" i="277"/>
  <c r="J152" i="277"/>
  <c r="H152" i="277"/>
  <c r="G152" i="277"/>
  <c r="J151" i="277"/>
  <c r="H151" i="277"/>
  <c r="G151" i="277"/>
  <c r="J150" i="277"/>
  <c r="H150" i="277"/>
  <c r="G150" i="277"/>
  <c r="J149" i="277"/>
  <c r="H149" i="277"/>
  <c r="G149" i="277"/>
  <c r="J148" i="277"/>
  <c r="H148" i="277"/>
  <c r="G148" i="277"/>
  <c r="J147" i="277"/>
  <c r="H147" i="277"/>
  <c r="G147" i="277"/>
  <c r="J146" i="277"/>
  <c r="H146" i="277"/>
  <c r="G146" i="277"/>
  <c r="J145" i="277"/>
  <c r="H145" i="277"/>
  <c r="G145" i="277"/>
  <c r="J144" i="277"/>
  <c r="H144" i="277"/>
  <c r="G144" i="277"/>
  <c r="J143" i="277"/>
  <c r="H143" i="277"/>
  <c r="G143" i="277"/>
  <c r="J142" i="277"/>
  <c r="H142" i="277"/>
  <c r="G142" i="277"/>
  <c r="J141" i="277"/>
  <c r="H141" i="277"/>
  <c r="G141" i="277"/>
  <c r="J140" i="277"/>
  <c r="H140" i="277"/>
  <c r="G140" i="277"/>
  <c r="J139" i="277"/>
  <c r="H139" i="277"/>
  <c r="G139" i="277"/>
  <c r="J138" i="277"/>
  <c r="H138" i="277"/>
  <c r="G138" i="277"/>
  <c r="J137" i="277"/>
  <c r="H137" i="277"/>
  <c r="G137" i="277"/>
  <c r="J136" i="277"/>
  <c r="H136" i="277"/>
  <c r="G136" i="277"/>
  <c r="J135" i="277"/>
  <c r="H135" i="277"/>
  <c r="G135" i="277"/>
  <c r="J134" i="277"/>
  <c r="H134" i="277"/>
  <c r="G134" i="277"/>
  <c r="J133" i="277"/>
  <c r="H133" i="277"/>
  <c r="G133" i="277"/>
  <c r="J132" i="277"/>
  <c r="H132" i="277"/>
  <c r="G132" i="277"/>
  <c r="J131" i="277"/>
  <c r="H131" i="277"/>
  <c r="G131" i="277"/>
  <c r="J130" i="277"/>
  <c r="H130" i="277"/>
  <c r="G130" i="277"/>
  <c r="J129" i="277"/>
  <c r="H129" i="277"/>
  <c r="G129" i="277"/>
  <c r="J128" i="277"/>
  <c r="H128" i="277"/>
  <c r="G128" i="277"/>
  <c r="J127" i="277"/>
  <c r="H127" i="277"/>
  <c r="G127" i="277"/>
  <c r="J126" i="277"/>
  <c r="H126" i="277"/>
  <c r="G126" i="277"/>
  <c r="J125" i="277"/>
  <c r="H125" i="277"/>
  <c r="G125" i="277"/>
  <c r="J124" i="277"/>
  <c r="H124" i="277"/>
  <c r="G124" i="277"/>
  <c r="J123" i="277"/>
  <c r="H123" i="277"/>
  <c r="G123" i="277"/>
  <c r="J122" i="277"/>
  <c r="H122" i="277"/>
  <c r="G122" i="277"/>
  <c r="J121" i="277"/>
  <c r="H121" i="277"/>
  <c r="G121" i="277"/>
  <c r="J120" i="277"/>
  <c r="H120" i="277"/>
  <c r="G120" i="277"/>
  <c r="J119" i="277"/>
  <c r="H119" i="277"/>
  <c r="G119" i="277"/>
  <c r="J118" i="277"/>
  <c r="H118" i="277"/>
  <c r="G118" i="277"/>
  <c r="J117" i="277"/>
  <c r="H117" i="277"/>
  <c r="G117" i="277"/>
  <c r="J116" i="277"/>
  <c r="H116" i="277"/>
  <c r="G116" i="277"/>
  <c r="J115" i="277"/>
  <c r="H115" i="277"/>
  <c r="G115" i="277"/>
  <c r="J114" i="277"/>
  <c r="H114" i="277"/>
  <c r="G114" i="277"/>
  <c r="J113" i="277"/>
  <c r="H113" i="277"/>
  <c r="G113" i="277"/>
  <c r="J112" i="277"/>
  <c r="H112" i="277"/>
  <c r="G112" i="277"/>
  <c r="J111" i="277"/>
  <c r="H111" i="277"/>
  <c r="G111" i="277"/>
  <c r="J110" i="277"/>
  <c r="H110" i="277"/>
  <c r="G110" i="277"/>
  <c r="J109" i="277"/>
  <c r="H109" i="277"/>
  <c r="G109" i="277"/>
  <c r="J108" i="277"/>
  <c r="H108" i="277"/>
  <c r="G108" i="277"/>
  <c r="J107" i="277"/>
  <c r="H107" i="277"/>
  <c r="G107" i="277"/>
  <c r="J106" i="277"/>
  <c r="H106" i="277"/>
  <c r="G106" i="277"/>
  <c r="J105" i="277"/>
  <c r="H105" i="277"/>
  <c r="G105" i="277"/>
  <c r="J104" i="277"/>
  <c r="H104" i="277"/>
  <c r="G104" i="277"/>
  <c r="J103" i="277"/>
  <c r="H103" i="277"/>
  <c r="G103" i="277"/>
  <c r="J102" i="277"/>
  <c r="H102" i="277"/>
  <c r="G102" i="277"/>
  <c r="J101" i="277"/>
  <c r="H101" i="277"/>
  <c r="G101" i="277"/>
  <c r="J100" i="277"/>
  <c r="H100" i="277"/>
  <c r="G100" i="277"/>
  <c r="J99" i="277"/>
  <c r="H99" i="277"/>
  <c r="G99" i="277"/>
  <c r="J98" i="277"/>
  <c r="H98" i="277"/>
  <c r="G98" i="277"/>
  <c r="J97" i="277"/>
  <c r="H97" i="277"/>
  <c r="G97" i="277"/>
  <c r="J96" i="277"/>
  <c r="H96" i="277"/>
  <c r="G96" i="277"/>
  <c r="J95" i="277"/>
  <c r="H95" i="277"/>
  <c r="G95" i="277"/>
  <c r="J94" i="277"/>
  <c r="H94" i="277"/>
  <c r="G94" i="277"/>
  <c r="J93" i="277"/>
  <c r="H93" i="277"/>
  <c r="G93" i="277"/>
  <c r="J92" i="277"/>
  <c r="H92" i="277"/>
  <c r="G92" i="277"/>
  <c r="J91" i="277"/>
  <c r="H91" i="277"/>
  <c r="G91" i="277"/>
  <c r="J90" i="277"/>
  <c r="H90" i="277"/>
  <c r="G90" i="277"/>
  <c r="J89" i="277"/>
  <c r="H89" i="277"/>
  <c r="G89" i="277"/>
  <c r="J88" i="277"/>
  <c r="H88" i="277"/>
  <c r="G88" i="277"/>
  <c r="J87" i="277"/>
  <c r="H87" i="277"/>
  <c r="G87" i="277"/>
  <c r="J86" i="277"/>
  <c r="H86" i="277"/>
  <c r="G86" i="277"/>
  <c r="J85" i="277"/>
  <c r="H85" i="277"/>
  <c r="G85" i="277"/>
  <c r="J84" i="277"/>
  <c r="H84" i="277"/>
  <c r="G84" i="277"/>
  <c r="J83" i="277"/>
  <c r="H83" i="277"/>
  <c r="G83" i="277"/>
  <c r="J82" i="277"/>
  <c r="H82" i="277"/>
  <c r="G82" i="277"/>
  <c r="J81" i="277"/>
  <c r="H81" i="277"/>
  <c r="G81" i="277"/>
  <c r="J80" i="277"/>
  <c r="H80" i="277"/>
  <c r="G80" i="277"/>
  <c r="J79" i="277"/>
  <c r="H79" i="277"/>
  <c r="G79" i="277"/>
  <c r="J78" i="277"/>
  <c r="H78" i="277"/>
  <c r="G78" i="277"/>
  <c r="J77" i="277"/>
  <c r="H77" i="277"/>
  <c r="G77" i="277"/>
  <c r="J76" i="277"/>
  <c r="H76" i="277"/>
  <c r="G76" i="277"/>
  <c r="J75" i="277"/>
  <c r="H75" i="277"/>
  <c r="G75" i="277"/>
  <c r="J74" i="277"/>
  <c r="H74" i="277"/>
  <c r="G74" i="277"/>
  <c r="J73" i="277"/>
  <c r="H73" i="277"/>
  <c r="G73" i="277"/>
  <c r="J72" i="277"/>
  <c r="H72" i="277"/>
  <c r="G72" i="277"/>
  <c r="J71" i="277"/>
  <c r="H71" i="277"/>
  <c r="G71" i="277"/>
  <c r="J70" i="277"/>
  <c r="H70" i="277"/>
  <c r="G70" i="277"/>
  <c r="J69" i="277"/>
  <c r="H69" i="277"/>
  <c r="G69" i="277"/>
  <c r="J68" i="277"/>
  <c r="H68" i="277"/>
  <c r="G68" i="277"/>
  <c r="J67" i="277"/>
  <c r="H67" i="277"/>
  <c r="G67" i="277"/>
  <c r="J66" i="277"/>
  <c r="H66" i="277"/>
  <c r="G66" i="277"/>
  <c r="J65" i="277"/>
  <c r="H65" i="277"/>
  <c r="G65" i="277"/>
  <c r="J64" i="277"/>
  <c r="H64" i="277"/>
  <c r="G64" i="277"/>
  <c r="J63" i="277"/>
  <c r="H63" i="277"/>
  <c r="G63" i="277"/>
  <c r="J62" i="277"/>
  <c r="H62" i="277"/>
  <c r="G62" i="277"/>
  <c r="J61" i="277"/>
  <c r="H61" i="277"/>
  <c r="G61" i="277"/>
  <c r="J60" i="277"/>
  <c r="H60" i="277"/>
  <c r="G60" i="277"/>
  <c r="J59" i="277"/>
  <c r="H59" i="277"/>
  <c r="G59" i="277"/>
  <c r="J58" i="277"/>
  <c r="H58" i="277"/>
  <c r="G58" i="277"/>
  <c r="J57" i="277"/>
  <c r="H57" i="277"/>
  <c r="G57" i="277"/>
  <c r="J56" i="277"/>
  <c r="H56" i="277"/>
  <c r="G56" i="277"/>
  <c r="J55" i="277"/>
  <c r="H55" i="277"/>
  <c r="G55" i="277"/>
  <c r="J54" i="277"/>
  <c r="H54" i="277"/>
  <c r="G54" i="277"/>
  <c r="J53" i="277"/>
  <c r="H53" i="277"/>
  <c r="G53" i="277"/>
  <c r="J52" i="277"/>
  <c r="H52" i="277"/>
  <c r="G52" i="277"/>
  <c r="J51" i="277"/>
  <c r="H51" i="277"/>
  <c r="G51" i="277"/>
  <c r="J50" i="277"/>
  <c r="H50" i="277"/>
  <c r="G50" i="277"/>
  <c r="J49" i="277"/>
  <c r="H49" i="277"/>
  <c r="G49" i="277"/>
  <c r="J48" i="277"/>
  <c r="H48" i="277"/>
  <c r="G48" i="277"/>
  <c r="J47" i="277"/>
  <c r="H47" i="277"/>
  <c r="G47" i="277"/>
  <c r="J46" i="277"/>
  <c r="H46" i="277"/>
  <c r="G46" i="277"/>
  <c r="J45" i="277"/>
  <c r="H45" i="277"/>
  <c r="G45" i="277"/>
  <c r="J44" i="277"/>
  <c r="H44" i="277"/>
  <c r="G44" i="277"/>
  <c r="J43" i="277"/>
  <c r="H43" i="277"/>
  <c r="G43" i="277"/>
  <c r="J42" i="277"/>
  <c r="H42" i="277"/>
  <c r="G42" i="277"/>
  <c r="J41" i="277"/>
  <c r="H41" i="277"/>
  <c r="G41" i="277"/>
  <c r="J40" i="277"/>
  <c r="H40" i="277"/>
  <c r="G40" i="277"/>
  <c r="J39" i="277"/>
  <c r="H39" i="277"/>
  <c r="G39" i="277"/>
  <c r="J38" i="277"/>
  <c r="H38" i="277"/>
  <c r="G38" i="277"/>
  <c r="J37" i="277"/>
  <c r="H37" i="277"/>
  <c r="G37" i="277"/>
  <c r="J36" i="277"/>
  <c r="H36" i="277"/>
  <c r="G36" i="277"/>
  <c r="J35" i="277"/>
  <c r="H35" i="277"/>
  <c r="G35" i="277"/>
  <c r="J34" i="277"/>
  <c r="H34" i="277"/>
  <c r="G34" i="277"/>
  <c r="J33" i="277"/>
  <c r="H33" i="277"/>
  <c r="G33" i="277"/>
  <c r="J32" i="277"/>
  <c r="H32" i="277"/>
  <c r="G32" i="277"/>
  <c r="J31" i="277"/>
  <c r="H31" i="277"/>
  <c r="G31" i="277"/>
  <c r="J30" i="277"/>
  <c r="H30" i="277"/>
  <c r="G30" i="277"/>
  <c r="J29" i="277"/>
  <c r="H29" i="277"/>
  <c r="G29" i="277"/>
  <c r="J28" i="277"/>
  <c r="H28" i="277"/>
  <c r="G28" i="277"/>
  <c r="J27" i="277"/>
  <c r="H27" i="277"/>
  <c r="G27" i="277"/>
  <c r="J26" i="277"/>
  <c r="H26" i="277"/>
  <c r="G26" i="277"/>
  <c r="J25" i="277"/>
  <c r="H25" i="277"/>
  <c r="G25" i="277"/>
  <c r="J24" i="277"/>
  <c r="H24" i="277"/>
  <c r="G24" i="277"/>
  <c r="J23" i="277"/>
  <c r="H23" i="277"/>
  <c r="G23" i="277"/>
  <c r="J22" i="277"/>
  <c r="H22" i="277"/>
  <c r="G22" i="277"/>
  <c r="J21" i="277"/>
  <c r="H21" i="277"/>
  <c r="G21" i="277"/>
  <c r="J20" i="277"/>
  <c r="H20" i="277"/>
  <c r="G20" i="277"/>
  <c r="J19" i="277"/>
  <c r="H19" i="277"/>
  <c r="G19" i="277"/>
  <c r="J18" i="277"/>
  <c r="H18" i="277"/>
  <c r="G18" i="277"/>
  <c r="J17" i="277"/>
  <c r="H17" i="277"/>
  <c r="G17" i="277"/>
  <c r="J16" i="277"/>
  <c r="H16" i="277"/>
  <c r="G16" i="277"/>
  <c r="J15" i="277"/>
  <c r="H15" i="277"/>
  <c r="G15" i="277"/>
  <c r="J14" i="277"/>
  <c r="H14" i="277"/>
  <c r="G14" i="277"/>
  <c r="J13" i="277"/>
  <c r="H13" i="277"/>
  <c r="G13" i="277"/>
  <c r="J12" i="277"/>
  <c r="H12" i="277"/>
  <c r="G12" i="277"/>
  <c r="J11" i="277"/>
  <c r="H11" i="277"/>
  <c r="G11" i="277"/>
  <c r="J10" i="277"/>
  <c r="H10" i="277"/>
  <c r="G10" i="277"/>
  <c r="J9" i="277"/>
  <c r="H9" i="277"/>
  <c r="G9" i="277"/>
  <c r="J8" i="277"/>
  <c r="H8" i="277"/>
  <c r="G8" i="277"/>
  <c r="J7" i="277"/>
  <c r="H7" i="277"/>
  <c r="G7" i="277"/>
  <c r="J6" i="277"/>
  <c r="H6" i="277"/>
  <c r="G6" i="277"/>
  <c r="J5" i="277"/>
  <c r="H5" i="277"/>
  <c r="G5" i="277"/>
  <c r="J4" i="277"/>
  <c r="H4" i="277"/>
  <c r="G4" i="277"/>
  <c r="J3" i="277"/>
  <c r="H3" i="277"/>
  <c r="G3" i="277"/>
  <c r="J2" i="277"/>
  <c r="H2" i="277"/>
  <c r="G2" i="277"/>
  <c r="J171" i="276"/>
  <c r="H171" i="276"/>
  <c r="G171" i="276"/>
  <c r="J170" i="276"/>
  <c r="H170" i="276"/>
  <c r="G170" i="276"/>
  <c r="J169" i="276"/>
  <c r="H169" i="276"/>
  <c r="G169" i="276"/>
  <c r="J168" i="276"/>
  <c r="H168" i="276"/>
  <c r="G168" i="276"/>
  <c r="J167" i="276"/>
  <c r="H167" i="276"/>
  <c r="G167" i="276"/>
  <c r="J166" i="276"/>
  <c r="H166" i="276"/>
  <c r="G166" i="276"/>
  <c r="J165" i="276"/>
  <c r="H165" i="276"/>
  <c r="G165" i="276"/>
  <c r="J164" i="276"/>
  <c r="H164" i="276"/>
  <c r="G164" i="276"/>
  <c r="J163" i="276"/>
  <c r="H163" i="276"/>
  <c r="G163" i="276"/>
  <c r="J162" i="276"/>
  <c r="H162" i="276"/>
  <c r="G162" i="276"/>
  <c r="J161" i="276"/>
  <c r="H161" i="276"/>
  <c r="G161" i="276"/>
  <c r="J160" i="276"/>
  <c r="H160" i="276"/>
  <c r="G160" i="276"/>
  <c r="J159" i="276"/>
  <c r="H159" i="276"/>
  <c r="G159" i="276"/>
  <c r="J158" i="276"/>
  <c r="H158" i="276"/>
  <c r="G158" i="276"/>
  <c r="J157" i="276"/>
  <c r="H157" i="276"/>
  <c r="G157" i="276"/>
  <c r="J156" i="276"/>
  <c r="H156" i="276"/>
  <c r="G156" i="276"/>
  <c r="J155" i="276"/>
  <c r="H155" i="276"/>
  <c r="G155" i="276"/>
  <c r="J154" i="276"/>
  <c r="H154" i="276"/>
  <c r="G154" i="276"/>
  <c r="J153" i="276"/>
  <c r="H153" i="276"/>
  <c r="G153" i="276"/>
  <c r="J152" i="276"/>
  <c r="H152" i="276"/>
  <c r="G152" i="276"/>
  <c r="J151" i="276"/>
  <c r="H151" i="276"/>
  <c r="G151" i="276"/>
  <c r="J150" i="276"/>
  <c r="H150" i="276"/>
  <c r="G150" i="276"/>
  <c r="J149" i="276"/>
  <c r="H149" i="276"/>
  <c r="G149" i="276"/>
  <c r="J148" i="276"/>
  <c r="H148" i="276"/>
  <c r="G148" i="276"/>
  <c r="J147" i="276"/>
  <c r="H147" i="276"/>
  <c r="G147" i="276"/>
  <c r="J146" i="276"/>
  <c r="H146" i="276"/>
  <c r="G146" i="276"/>
  <c r="J145" i="276"/>
  <c r="H145" i="276"/>
  <c r="G145" i="276"/>
  <c r="J144" i="276"/>
  <c r="H144" i="276"/>
  <c r="G144" i="276"/>
  <c r="J143" i="276"/>
  <c r="H143" i="276"/>
  <c r="G143" i="276"/>
  <c r="J142" i="276"/>
  <c r="H142" i="276"/>
  <c r="G142" i="276"/>
  <c r="J141" i="276"/>
  <c r="H141" i="276"/>
  <c r="G141" i="276"/>
  <c r="J140" i="276"/>
  <c r="H140" i="276"/>
  <c r="G140" i="276"/>
  <c r="J139" i="276"/>
  <c r="H139" i="276"/>
  <c r="G139" i="276"/>
  <c r="J138" i="276"/>
  <c r="H138" i="276"/>
  <c r="G138" i="276"/>
  <c r="J137" i="276"/>
  <c r="H137" i="276"/>
  <c r="G137" i="276"/>
  <c r="J136" i="276"/>
  <c r="H136" i="276"/>
  <c r="G136" i="276"/>
  <c r="J135" i="276"/>
  <c r="H135" i="276"/>
  <c r="G135" i="276"/>
  <c r="J134" i="276"/>
  <c r="H134" i="276"/>
  <c r="G134" i="276"/>
  <c r="J133" i="276"/>
  <c r="H133" i="276"/>
  <c r="G133" i="276"/>
  <c r="J132" i="276"/>
  <c r="H132" i="276"/>
  <c r="G132" i="276"/>
  <c r="J131" i="276"/>
  <c r="H131" i="276"/>
  <c r="G131" i="276"/>
  <c r="J130" i="276"/>
  <c r="H130" i="276"/>
  <c r="G130" i="276"/>
  <c r="J129" i="276"/>
  <c r="H129" i="276"/>
  <c r="G129" i="276"/>
  <c r="J128" i="276"/>
  <c r="H128" i="276"/>
  <c r="G128" i="276"/>
  <c r="J127" i="276"/>
  <c r="H127" i="276"/>
  <c r="G127" i="276"/>
  <c r="J126" i="276"/>
  <c r="H126" i="276"/>
  <c r="G126" i="276"/>
  <c r="J125" i="276"/>
  <c r="H125" i="276"/>
  <c r="G125" i="276"/>
  <c r="J124" i="276"/>
  <c r="H124" i="276"/>
  <c r="G124" i="276"/>
  <c r="J123" i="276"/>
  <c r="H123" i="276"/>
  <c r="G123" i="276"/>
  <c r="J122" i="276"/>
  <c r="H122" i="276"/>
  <c r="G122" i="276"/>
  <c r="J121" i="276"/>
  <c r="H121" i="276"/>
  <c r="G121" i="276"/>
  <c r="J120" i="276"/>
  <c r="H120" i="276"/>
  <c r="G120" i="276"/>
  <c r="J119" i="276"/>
  <c r="H119" i="276"/>
  <c r="G119" i="276"/>
  <c r="J118" i="276"/>
  <c r="H118" i="276"/>
  <c r="G118" i="276"/>
  <c r="J117" i="276"/>
  <c r="H117" i="276"/>
  <c r="G117" i="276"/>
  <c r="J116" i="276"/>
  <c r="H116" i="276"/>
  <c r="G116" i="276"/>
  <c r="J115" i="276"/>
  <c r="H115" i="276"/>
  <c r="G115" i="276"/>
  <c r="J114" i="276"/>
  <c r="H114" i="276"/>
  <c r="G114" i="276"/>
  <c r="J113" i="276"/>
  <c r="H113" i="276"/>
  <c r="G113" i="276"/>
  <c r="J112" i="276"/>
  <c r="H112" i="276"/>
  <c r="G112" i="276"/>
  <c r="J111" i="276"/>
  <c r="H111" i="276"/>
  <c r="G111" i="276"/>
  <c r="J110" i="276"/>
  <c r="H110" i="276"/>
  <c r="G110" i="276"/>
  <c r="J109" i="276"/>
  <c r="H109" i="276"/>
  <c r="G109" i="276"/>
  <c r="J108" i="276"/>
  <c r="H108" i="276"/>
  <c r="G108" i="276"/>
  <c r="J107" i="276"/>
  <c r="H107" i="276"/>
  <c r="G107" i="276"/>
  <c r="J106" i="276"/>
  <c r="H106" i="276"/>
  <c r="G106" i="276"/>
  <c r="J105" i="276"/>
  <c r="H105" i="276"/>
  <c r="G105" i="276"/>
  <c r="J104" i="276"/>
  <c r="H104" i="276"/>
  <c r="G104" i="276"/>
  <c r="J103" i="276"/>
  <c r="H103" i="276"/>
  <c r="G103" i="276"/>
  <c r="J102" i="276"/>
  <c r="H102" i="276"/>
  <c r="G102" i="276"/>
  <c r="J101" i="276"/>
  <c r="H101" i="276"/>
  <c r="G101" i="276"/>
  <c r="J100" i="276"/>
  <c r="H100" i="276"/>
  <c r="G100" i="276"/>
  <c r="J99" i="276"/>
  <c r="H99" i="276"/>
  <c r="G99" i="276"/>
  <c r="J98" i="276"/>
  <c r="H98" i="276"/>
  <c r="G98" i="276"/>
  <c r="J97" i="276"/>
  <c r="H97" i="276"/>
  <c r="G97" i="276"/>
  <c r="J96" i="276"/>
  <c r="H96" i="276"/>
  <c r="G96" i="276"/>
  <c r="J95" i="276"/>
  <c r="H95" i="276"/>
  <c r="G95" i="276"/>
  <c r="J94" i="276"/>
  <c r="H94" i="276"/>
  <c r="G94" i="276"/>
  <c r="J93" i="276"/>
  <c r="H93" i="276"/>
  <c r="G93" i="276"/>
  <c r="J92" i="276"/>
  <c r="H92" i="276"/>
  <c r="G92" i="276"/>
  <c r="J91" i="276"/>
  <c r="H91" i="276"/>
  <c r="G91" i="276"/>
  <c r="J90" i="276"/>
  <c r="H90" i="276"/>
  <c r="G90" i="276"/>
  <c r="J89" i="276"/>
  <c r="H89" i="276"/>
  <c r="G89" i="276"/>
  <c r="J88" i="276"/>
  <c r="H88" i="276"/>
  <c r="G88" i="276"/>
  <c r="J87" i="276"/>
  <c r="H87" i="276"/>
  <c r="G87" i="276"/>
  <c r="J86" i="276"/>
  <c r="H86" i="276"/>
  <c r="G86" i="276"/>
  <c r="J85" i="276"/>
  <c r="H85" i="276"/>
  <c r="G85" i="276"/>
  <c r="J84" i="276"/>
  <c r="H84" i="276"/>
  <c r="G84" i="276"/>
  <c r="J83" i="276"/>
  <c r="H83" i="276"/>
  <c r="G83" i="276"/>
  <c r="J82" i="276"/>
  <c r="H82" i="276"/>
  <c r="G82" i="276"/>
  <c r="J81" i="276"/>
  <c r="H81" i="276"/>
  <c r="G81" i="276"/>
  <c r="J80" i="276"/>
  <c r="H80" i="276"/>
  <c r="G80" i="276"/>
  <c r="J79" i="276"/>
  <c r="H79" i="276"/>
  <c r="G79" i="276"/>
  <c r="J78" i="276"/>
  <c r="H78" i="276"/>
  <c r="G78" i="276"/>
  <c r="J77" i="276"/>
  <c r="H77" i="276"/>
  <c r="G77" i="276"/>
  <c r="J76" i="276"/>
  <c r="H76" i="276"/>
  <c r="G76" i="276"/>
  <c r="J75" i="276"/>
  <c r="H75" i="276"/>
  <c r="G75" i="276"/>
  <c r="J74" i="276"/>
  <c r="H74" i="276"/>
  <c r="G74" i="276"/>
  <c r="J73" i="276"/>
  <c r="H73" i="276"/>
  <c r="G73" i="276"/>
  <c r="J72" i="276"/>
  <c r="H72" i="276"/>
  <c r="G72" i="276"/>
  <c r="J71" i="276"/>
  <c r="H71" i="276"/>
  <c r="G71" i="276"/>
  <c r="J70" i="276"/>
  <c r="H70" i="276"/>
  <c r="G70" i="276"/>
  <c r="J69" i="276"/>
  <c r="H69" i="276"/>
  <c r="G69" i="276"/>
  <c r="J68" i="276"/>
  <c r="H68" i="276"/>
  <c r="G68" i="276"/>
  <c r="J67" i="276"/>
  <c r="H67" i="276"/>
  <c r="G67" i="276"/>
  <c r="J66" i="276"/>
  <c r="H66" i="276"/>
  <c r="G66" i="276"/>
  <c r="J65" i="276"/>
  <c r="H65" i="276"/>
  <c r="G65" i="276"/>
  <c r="J64" i="276"/>
  <c r="H64" i="276"/>
  <c r="G64" i="276"/>
  <c r="J63" i="276"/>
  <c r="H63" i="276"/>
  <c r="G63" i="276"/>
  <c r="J62" i="276"/>
  <c r="H62" i="276"/>
  <c r="G62" i="276"/>
  <c r="J61" i="276"/>
  <c r="H61" i="276"/>
  <c r="G61" i="276"/>
  <c r="J60" i="276"/>
  <c r="H60" i="276"/>
  <c r="G60" i="276"/>
  <c r="J59" i="276"/>
  <c r="H59" i="276"/>
  <c r="G59" i="276"/>
  <c r="J58" i="276"/>
  <c r="H58" i="276"/>
  <c r="G58" i="276"/>
  <c r="J57" i="276"/>
  <c r="H57" i="276"/>
  <c r="G57" i="276"/>
  <c r="J56" i="276"/>
  <c r="H56" i="276"/>
  <c r="G56" i="276"/>
  <c r="J55" i="276"/>
  <c r="H55" i="276"/>
  <c r="G55" i="276"/>
  <c r="J54" i="276"/>
  <c r="H54" i="276"/>
  <c r="G54" i="276"/>
  <c r="J53" i="276"/>
  <c r="H53" i="276"/>
  <c r="G53" i="276"/>
  <c r="J52" i="276"/>
  <c r="H52" i="276"/>
  <c r="G52" i="276"/>
  <c r="J51" i="276"/>
  <c r="H51" i="276"/>
  <c r="G51" i="276"/>
  <c r="J50" i="276"/>
  <c r="H50" i="276"/>
  <c r="G50" i="276"/>
  <c r="J49" i="276"/>
  <c r="H49" i="276"/>
  <c r="G49" i="276"/>
  <c r="J48" i="276"/>
  <c r="H48" i="276"/>
  <c r="G48" i="276"/>
  <c r="J47" i="276"/>
  <c r="H47" i="276"/>
  <c r="G47" i="276"/>
  <c r="J46" i="276"/>
  <c r="H46" i="276"/>
  <c r="G46" i="276"/>
  <c r="J45" i="276"/>
  <c r="H45" i="276"/>
  <c r="G45" i="276"/>
  <c r="J44" i="276"/>
  <c r="H44" i="276"/>
  <c r="G44" i="276"/>
  <c r="J43" i="276"/>
  <c r="H43" i="276"/>
  <c r="G43" i="276"/>
  <c r="J42" i="276"/>
  <c r="H42" i="276"/>
  <c r="G42" i="276"/>
  <c r="J41" i="276"/>
  <c r="H41" i="276"/>
  <c r="G41" i="276"/>
  <c r="J40" i="276"/>
  <c r="H40" i="276"/>
  <c r="G40" i="276"/>
  <c r="J39" i="276"/>
  <c r="H39" i="276"/>
  <c r="G39" i="276"/>
  <c r="J38" i="276"/>
  <c r="H38" i="276"/>
  <c r="G38" i="276"/>
  <c r="J37" i="276"/>
  <c r="H37" i="276"/>
  <c r="G37" i="276"/>
  <c r="J36" i="276"/>
  <c r="H36" i="276"/>
  <c r="G36" i="276"/>
  <c r="J35" i="276"/>
  <c r="H35" i="276"/>
  <c r="G35" i="276"/>
  <c r="J34" i="276"/>
  <c r="H34" i="276"/>
  <c r="G34" i="276"/>
  <c r="J33" i="276"/>
  <c r="H33" i="276"/>
  <c r="G33" i="276"/>
  <c r="J32" i="276"/>
  <c r="H32" i="276"/>
  <c r="G32" i="276"/>
  <c r="J31" i="276"/>
  <c r="H31" i="276"/>
  <c r="G31" i="276"/>
  <c r="J30" i="276"/>
  <c r="H30" i="276"/>
  <c r="G30" i="276"/>
  <c r="J29" i="276"/>
  <c r="H29" i="276"/>
  <c r="G29" i="276"/>
  <c r="J28" i="276"/>
  <c r="H28" i="276"/>
  <c r="G28" i="276"/>
  <c r="J27" i="276"/>
  <c r="H27" i="276"/>
  <c r="G27" i="276"/>
  <c r="J26" i="276"/>
  <c r="H26" i="276"/>
  <c r="G26" i="276"/>
  <c r="J25" i="276"/>
  <c r="H25" i="276"/>
  <c r="G25" i="276"/>
  <c r="J24" i="276"/>
  <c r="H24" i="276"/>
  <c r="G24" i="276"/>
  <c r="J23" i="276"/>
  <c r="H23" i="276"/>
  <c r="G23" i="276"/>
  <c r="J22" i="276"/>
  <c r="H22" i="276"/>
  <c r="G22" i="276"/>
  <c r="J21" i="276"/>
  <c r="H21" i="276"/>
  <c r="G21" i="276"/>
  <c r="J20" i="276"/>
  <c r="H20" i="276"/>
  <c r="G20" i="276"/>
  <c r="J19" i="276"/>
  <c r="H19" i="276"/>
  <c r="G19" i="276"/>
  <c r="J18" i="276"/>
  <c r="H18" i="276"/>
  <c r="G18" i="276"/>
  <c r="J17" i="276"/>
  <c r="H17" i="276"/>
  <c r="G17" i="276"/>
  <c r="J16" i="276"/>
  <c r="H16" i="276"/>
  <c r="G16" i="276"/>
  <c r="J15" i="276"/>
  <c r="H15" i="276"/>
  <c r="G15" i="276"/>
  <c r="J14" i="276"/>
  <c r="H14" i="276"/>
  <c r="G14" i="276"/>
  <c r="J13" i="276"/>
  <c r="H13" i="276"/>
  <c r="G13" i="276"/>
  <c r="J12" i="276"/>
  <c r="H12" i="276"/>
  <c r="G12" i="276"/>
  <c r="J11" i="276"/>
  <c r="H11" i="276"/>
  <c r="G11" i="276"/>
  <c r="J10" i="276"/>
  <c r="H10" i="276"/>
  <c r="G10" i="276"/>
  <c r="J9" i="276"/>
  <c r="H9" i="276"/>
  <c r="G9" i="276"/>
  <c r="J8" i="276"/>
  <c r="H8" i="276"/>
  <c r="G8" i="276"/>
  <c r="J7" i="276"/>
  <c r="H7" i="276"/>
  <c r="G7" i="276"/>
  <c r="J6" i="276"/>
  <c r="H6" i="276"/>
  <c r="G6" i="276"/>
  <c r="J5" i="276"/>
  <c r="H5" i="276"/>
  <c r="G5" i="276"/>
  <c r="J4" i="276"/>
  <c r="H4" i="276"/>
  <c r="G4" i="276"/>
  <c r="J3" i="276"/>
  <c r="H3" i="276"/>
  <c r="G3" i="276"/>
  <c r="J2" i="276"/>
  <c r="H2" i="276"/>
  <c r="G2" i="276"/>
  <c r="J162" i="275"/>
  <c r="H162" i="275"/>
  <c r="G162" i="275"/>
  <c r="J161" i="275"/>
  <c r="H161" i="275"/>
  <c r="G161" i="275"/>
  <c r="J160" i="275"/>
  <c r="H160" i="275"/>
  <c r="G160" i="275"/>
  <c r="J159" i="275"/>
  <c r="H159" i="275"/>
  <c r="G159" i="275"/>
  <c r="J158" i="275"/>
  <c r="H158" i="275"/>
  <c r="G158" i="275"/>
  <c r="J157" i="275"/>
  <c r="H157" i="275"/>
  <c r="G157" i="275"/>
  <c r="J156" i="275"/>
  <c r="H156" i="275"/>
  <c r="G156" i="275"/>
  <c r="J155" i="275"/>
  <c r="H155" i="275"/>
  <c r="G155" i="275"/>
  <c r="J154" i="275"/>
  <c r="H154" i="275"/>
  <c r="G154" i="275"/>
  <c r="J153" i="275"/>
  <c r="H153" i="275"/>
  <c r="G153" i="275"/>
  <c r="J152" i="275"/>
  <c r="H152" i="275"/>
  <c r="G152" i="275"/>
  <c r="J151" i="275"/>
  <c r="H151" i="275"/>
  <c r="G151" i="275"/>
  <c r="J150" i="275"/>
  <c r="H150" i="275"/>
  <c r="G150" i="275"/>
  <c r="J149" i="275"/>
  <c r="H149" i="275"/>
  <c r="G149" i="275"/>
  <c r="J148" i="275"/>
  <c r="H148" i="275"/>
  <c r="G148" i="275"/>
  <c r="J147" i="275"/>
  <c r="H147" i="275"/>
  <c r="G147" i="275"/>
  <c r="J146" i="275"/>
  <c r="H146" i="275"/>
  <c r="G146" i="275"/>
  <c r="J145" i="275"/>
  <c r="H145" i="275"/>
  <c r="G145" i="275"/>
  <c r="J144" i="275"/>
  <c r="H144" i="275"/>
  <c r="G144" i="275"/>
  <c r="J143" i="275"/>
  <c r="H143" i="275"/>
  <c r="G143" i="275"/>
  <c r="J142" i="275"/>
  <c r="H142" i="275"/>
  <c r="G142" i="275"/>
  <c r="J141" i="275"/>
  <c r="H141" i="275"/>
  <c r="G141" i="275"/>
  <c r="J140" i="275"/>
  <c r="H140" i="275"/>
  <c r="G140" i="275"/>
  <c r="J139" i="275"/>
  <c r="H139" i="275"/>
  <c r="G139" i="275"/>
  <c r="J138" i="275"/>
  <c r="H138" i="275"/>
  <c r="G138" i="275"/>
  <c r="J137" i="275"/>
  <c r="H137" i="275"/>
  <c r="G137" i="275"/>
  <c r="J136" i="275"/>
  <c r="H136" i="275"/>
  <c r="G136" i="275"/>
  <c r="J135" i="275"/>
  <c r="H135" i="275"/>
  <c r="G135" i="275"/>
  <c r="J134" i="275"/>
  <c r="H134" i="275"/>
  <c r="G134" i="275"/>
  <c r="J133" i="275"/>
  <c r="H133" i="275"/>
  <c r="G133" i="275"/>
  <c r="J132" i="275"/>
  <c r="H132" i="275"/>
  <c r="G132" i="275"/>
  <c r="J131" i="275"/>
  <c r="H131" i="275"/>
  <c r="G131" i="275"/>
  <c r="J130" i="275"/>
  <c r="H130" i="275"/>
  <c r="G130" i="275"/>
  <c r="J129" i="275"/>
  <c r="H129" i="275"/>
  <c r="G129" i="275"/>
  <c r="J128" i="275"/>
  <c r="H128" i="275"/>
  <c r="G128" i="275"/>
  <c r="J127" i="275"/>
  <c r="H127" i="275"/>
  <c r="G127" i="275"/>
  <c r="J126" i="275"/>
  <c r="H126" i="275"/>
  <c r="G126" i="275"/>
  <c r="J125" i="275"/>
  <c r="H125" i="275"/>
  <c r="G125" i="275"/>
  <c r="J124" i="275"/>
  <c r="H124" i="275"/>
  <c r="G124" i="275"/>
  <c r="J123" i="275"/>
  <c r="H123" i="275"/>
  <c r="G123" i="275"/>
  <c r="J122" i="275"/>
  <c r="H122" i="275"/>
  <c r="G122" i="275"/>
  <c r="J121" i="275"/>
  <c r="H121" i="275"/>
  <c r="G121" i="275"/>
  <c r="J120" i="275"/>
  <c r="H120" i="275"/>
  <c r="G120" i="275"/>
  <c r="J119" i="275"/>
  <c r="H119" i="275"/>
  <c r="G119" i="275"/>
  <c r="J118" i="275"/>
  <c r="H118" i="275"/>
  <c r="G118" i="275"/>
  <c r="J117" i="275"/>
  <c r="H117" i="275"/>
  <c r="G117" i="275"/>
  <c r="J116" i="275"/>
  <c r="H116" i="275"/>
  <c r="G116" i="275"/>
  <c r="J115" i="275"/>
  <c r="H115" i="275"/>
  <c r="G115" i="275"/>
  <c r="J114" i="275"/>
  <c r="H114" i="275"/>
  <c r="G114" i="275"/>
  <c r="J113" i="275"/>
  <c r="H113" i="275"/>
  <c r="G113" i="275"/>
  <c r="J112" i="275"/>
  <c r="H112" i="275"/>
  <c r="G112" i="275"/>
  <c r="J111" i="275"/>
  <c r="H111" i="275"/>
  <c r="G111" i="275"/>
  <c r="J110" i="275"/>
  <c r="H110" i="275"/>
  <c r="G110" i="275"/>
  <c r="J109" i="275"/>
  <c r="H109" i="275"/>
  <c r="G109" i="275"/>
  <c r="J108" i="275"/>
  <c r="H108" i="275"/>
  <c r="G108" i="275"/>
  <c r="J107" i="275"/>
  <c r="H107" i="275"/>
  <c r="G107" i="275"/>
  <c r="J106" i="275"/>
  <c r="H106" i="275"/>
  <c r="G106" i="275"/>
  <c r="J105" i="275"/>
  <c r="H105" i="275"/>
  <c r="G105" i="275"/>
  <c r="J104" i="275"/>
  <c r="H104" i="275"/>
  <c r="G104" i="275"/>
  <c r="J103" i="275"/>
  <c r="H103" i="275"/>
  <c r="G103" i="275"/>
  <c r="J102" i="275"/>
  <c r="H102" i="275"/>
  <c r="G102" i="275"/>
  <c r="J101" i="275"/>
  <c r="H101" i="275"/>
  <c r="G101" i="275"/>
  <c r="J100" i="275"/>
  <c r="H100" i="275"/>
  <c r="G100" i="275"/>
  <c r="J99" i="275"/>
  <c r="H99" i="275"/>
  <c r="G99" i="275"/>
  <c r="J98" i="275"/>
  <c r="H98" i="275"/>
  <c r="G98" i="275"/>
  <c r="J97" i="275"/>
  <c r="H97" i="275"/>
  <c r="G97" i="275"/>
  <c r="J96" i="275"/>
  <c r="H96" i="275"/>
  <c r="G96" i="275"/>
  <c r="J95" i="275"/>
  <c r="H95" i="275"/>
  <c r="G95" i="275"/>
  <c r="J94" i="275"/>
  <c r="H94" i="275"/>
  <c r="G94" i="275"/>
  <c r="J93" i="275"/>
  <c r="H93" i="275"/>
  <c r="G93" i="275"/>
  <c r="J92" i="275"/>
  <c r="H92" i="275"/>
  <c r="G92" i="275"/>
  <c r="J91" i="275"/>
  <c r="H91" i="275"/>
  <c r="G91" i="275"/>
  <c r="J90" i="275"/>
  <c r="H90" i="275"/>
  <c r="G90" i="275"/>
  <c r="J89" i="275"/>
  <c r="H89" i="275"/>
  <c r="G89" i="275"/>
  <c r="J88" i="275"/>
  <c r="H88" i="275"/>
  <c r="G88" i="275"/>
  <c r="J87" i="275"/>
  <c r="H87" i="275"/>
  <c r="G87" i="275"/>
  <c r="J86" i="275"/>
  <c r="H86" i="275"/>
  <c r="G86" i="275"/>
  <c r="J85" i="275"/>
  <c r="H85" i="275"/>
  <c r="G85" i="275"/>
  <c r="J84" i="275"/>
  <c r="H84" i="275"/>
  <c r="G84" i="275"/>
  <c r="J83" i="275"/>
  <c r="H83" i="275"/>
  <c r="G83" i="275"/>
  <c r="J82" i="275"/>
  <c r="H82" i="275"/>
  <c r="G82" i="275"/>
  <c r="J81" i="275"/>
  <c r="H81" i="275"/>
  <c r="G81" i="275"/>
  <c r="J80" i="275"/>
  <c r="H80" i="275"/>
  <c r="G80" i="275"/>
  <c r="J79" i="275"/>
  <c r="H79" i="275"/>
  <c r="G79" i="275"/>
  <c r="J78" i="275"/>
  <c r="H78" i="275"/>
  <c r="G78" i="275"/>
  <c r="J77" i="275"/>
  <c r="H77" i="275"/>
  <c r="G77" i="275"/>
  <c r="J76" i="275"/>
  <c r="H76" i="275"/>
  <c r="G76" i="275"/>
  <c r="J75" i="275"/>
  <c r="H75" i="275"/>
  <c r="G75" i="275"/>
  <c r="J74" i="275"/>
  <c r="H74" i="275"/>
  <c r="G74" i="275"/>
  <c r="J73" i="275"/>
  <c r="H73" i="275"/>
  <c r="G73" i="275"/>
  <c r="J72" i="275"/>
  <c r="H72" i="275"/>
  <c r="G72" i="275"/>
  <c r="J71" i="275"/>
  <c r="H71" i="275"/>
  <c r="G71" i="275"/>
  <c r="J70" i="275"/>
  <c r="H70" i="275"/>
  <c r="G70" i="275"/>
  <c r="J69" i="275"/>
  <c r="H69" i="275"/>
  <c r="G69" i="275"/>
  <c r="J68" i="275"/>
  <c r="H68" i="275"/>
  <c r="G68" i="275"/>
  <c r="J67" i="275"/>
  <c r="H67" i="275"/>
  <c r="G67" i="275"/>
  <c r="J66" i="275"/>
  <c r="H66" i="275"/>
  <c r="G66" i="275"/>
  <c r="J65" i="275"/>
  <c r="H65" i="275"/>
  <c r="G65" i="275"/>
  <c r="J64" i="275"/>
  <c r="H64" i="275"/>
  <c r="G64" i="275"/>
  <c r="J63" i="275"/>
  <c r="H63" i="275"/>
  <c r="G63" i="275"/>
  <c r="J62" i="275"/>
  <c r="H62" i="275"/>
  <c r="G62" i="275"/>
  <c r="J61" i="275"/>
  <c r="H61" i="275"/>
  <c r="G61" i="275"/>
  <c r="J60" i="275"/>
  <c r="H60" i="275"/>
  <c r="G60" i="275"/>
  <c r="J59" i="275"/>
  <c r="H59" i="275"/>
  <c r="G59" i="275"/>
  <c r="J58" i="275"/>
  <c r="H58" i="275"/>
  <c r="G58" i="275"/>
  <c r="J57" i="275"/>
  <c r="H57" i="275"/>
  <c r="G57" i="275"/>
  <c r="J56" i="275"/>
  <c r="H56" i="275"/>
  <c r="G56" i="275"/>
  <c r="J55" i="275"/>
  <c r="H55" i="275"/>
  <c r="G55" i="275"/>
  <c r="J54" i="275"/>
  <c r="H54" i="275"/>
  <c r="G54" i="275"/>
  <c r="J53" i="275"/>
  <c r="H53" i="275"/>
  <c r="G53" i="275"/>
  <c r="J52" i="275"/>
  <c r="H52" i="275"/>
  <c r="G52" i="275"/>
  <c r="J51" i="275"/>
  <c r="H51" i="275"/>
  <c r="G51" i="275"/>
  <c r="J50" i="275"/>
  <c r="H50" i="275"/>
  <c r="G50" i="275"/>
  <c r="J49" i="275"/>
  <c r="H49" i="275"/>
  <c r="G49" i="275"/>
  <c r="J48" i="275"/>
  <c r="H48" i="275"/>
  <c r="G48" i="275"/>
  <c r="J47" i="275"/>
  <c r="H47" i="275"/>
  <c r="G47" i="275"/>
  <c r="J46" i="275"/>
  <c r="H46" i="275"/>
  <c r="G46" i="275"/>
  <c r="J45" i="275"/>
  <c r="H45" i="275"/>
  <c r="G45" i="275"/>
  <c r="J44" i="275"/>
  <c r="H44" i="275"/>
  <c r="G44" i="275"/>
  <c r="J43" i="275"/>
  <c r="H43" i="275"/>
  <c r="G43" i="275"/>
  <c r="J42" i="275"/>
  <c r="H42" i="275"/>
  <c r="G42" i="275"/>
  <c r="J41" i="275"/>
  <c r="H41" i="275"/>
  <c r="G41" i="275"/>
  <c r="J40" i="275"/>
  <c r="H40" i="275"/>
  <c r="G40" i="275"/>
  <c r="J39" i="275"/>
  <c r="H39" i="275"/>
  <c r="G39" i="275"/>
  <c r="J38" i="275"/>
  <c r="H38" i="275"/>
  <c r="G38" i="275"/>
  <c r="J37" i="275"/>
  <c r="H37" i="275"/>
  <c r="G37" i="275"/>
  <c r="J36" i="275"/>
  <c r="H36" i="275"/>
  <c r="G36" i="275"/>
  <c r="J35" i="275"/>
  <c r="H35" i="275"/>
  <c r="G35" i="275"/>
  <c r="J34" i="275"/>
  <c r="H34" i="275"/>
  <c r="G34" i="275"/>
  <c r="J33" i="275"/>
  <c r="H33" i="275"/>
  <c r="G33" i="275"/>
  <c r="J32" i="275"/>
  <c r="H32" i="275"/>
  <c r="G32" i="275"/>
  <c r="J31" i="275"/>
  <c r="H31" i="275"/>
  <c r="G31" i="275"/>
  <c r="J30" i="275"/>
  <c r="H30" i="275"/>
  <c r="G30" i="275"/>
  <c r="J29" i="275"/>
  <c r="H29" i="275"/>
  <c r="G29" i="275"/>
  <c r="J28" i="275"/>
  <c r="H28" i="275"/>
  <c r="G28" i="275"/>
  <c r="J27" i="275"/>
  <c r="H27" i="275"/>
  <c r="G27" i="275"/>
  <c r="J26" i="275"/>
  <c r="H26" i="275"/>
  <c r="G26" i="275"/>
  <c r="J25" i="275"/>
  <c r="H25" i="275"/>
  <c r="G25" i="275"/>
  <c r="J24" i="275"/>
  <c r="H24" i="275"/>
  <c r="G24" i="275"/>
  <c r="J23" i="275"/>
  <c r="H23" i="275"/>
  <c r="G23" i="275"/>
  <c r="J22" i="275"/>
  <c r="H22" i="275"/>
  <c r="G22" i="275"/>
  <c r="J21" i="275"/>
  <c r="H21" i="275"/>
  <c r="G21" i="275"/>
  <c r="J20" i="275"/>
  <c r="H20" i="275"/>
  <c r="G20" i="275"/>
  <c r="J19" i="275"/>
  <c r="H19" i="275"/>
  <c r="G19" i="275"/>
  <c r="J18" i="275"/>
  <c r="H18" i="275"/>
  <c r="G18" i="275"/>
  <c r="J17" i="275"/>
  <c r="H17" i="275"/>
  <c r="G17" i="275"/>
  <c r="J16" i="275"/>
  <c r="H16" i="275"/>
  <c r="G16" i="275"/>
  <c r="J15" i="275"/>
  <c r="H15" i="275"/>
  <c r="G15" i="275"/>
  <c r="J14" i="275"/>
  <c r="H14" i="275"/>
  <c r="G14" i="275"/>
  <c r="J13" i="275"/>
  <c r="H13" i="275"/>
  <c r="G13" i="275"/>
  <c r="J12" i="275"/>
  <c r="H12" i="275"/>
  <c r="G12" i="275"/>
  <c r="J11" i="275"/>
  <c r="H11" i="275"/>
  <c r="G11" i="275"/>
  <c r="J10" i="275"/>
  <c r="H10" i="275"/>
  <c r="G10" i="275"/>
  <c r="J9" i="275"/>
  <c r="H9" i="275"/>
  <c r="G9" i="275"/>
  <c r="J8" i="275"/>
  <c r="H8" i="275"/>
  <c r="G8" i="275"/>
  <c r="J7" i="275"/>
  <c r="H7" i="275"/>
  <c r="G7" i="275"/>
  <c r="J6" i="275"/>
  <c r="H6" i="275"/>
  <c r="G6" i="275"/>
  <c r="J5" i="275"/>
  <c r="H5" i="275"/>
  <c r="G5" i="275"/>
  <c r="J4" i="275"/>
  <c r="H4" i="275"/>
  <c r="G4" i="275"/>
  <c r="J3" i="275"/>
  <c r="H3" i="275"/>
  <c r="G3" i="275"/>
  <c r="J2" i="275"/>
  <c r="H2" i="275"/>
  <c r="G2" i="275"/>
  <c r="J167" i="274"/>
  <c r="H167" i="274"/>
  <c r="G167" i="274"/>
  <c r="J166" i="274"/>
  <c r="H166" i="274"/>
  <c r="G166" i="274"/>
  <c r="J165" i="274"/>
  <c r="H165" i="274"/>
  <c r="G165" i="274"/>
  <c r="J164" i="274"/>
  <c r="H164" i="274"/>
  <c r="G164" i="274"/>
  <c r="J163" i="274"/>
  <c r="H163" i="274"/>
  <c r="G163" i="274"/>
  <c r="J162" i="274"/>
  <c r="H162" i="274"/>
  <c r="G162" i="274"/>
  <c r="J161" i="274"/>
  <c r="H161" i="274"/>
  <c r="G161" i="274"/>
  <c r="J160" i="274"/>
  <c r="H160" i="274"/>
  <c r="G160" i="274"/>
  <c r="J159" i="274"/>
  <c r="H159" i="274"/>
  <c r="G159" i="274"/>
  <c r="J158" i="274"/>
  <c r="H158" i="274"/>
  <c r="G158" i="274"/>
  <c r="J157" i="274"/>
  <c r="H157" i="274"/>
  <c r="G157" i="274"/>
  <c r="J156" i="274"/>
  <c r="H156" i="274"/>
  <c r="G156" i="274"/>
  <c r="J155" i="274"/>
  <c r="H155" i="274"/>
  <c r="G155" i="274"/>
  <c r="J154" i="274"/>
  <c r="H154" i="274"/>
  <c r="G154" i="274"/>
  <c r="J153" i="274"/>
  <c r="H153" i="274"/>
  <c r="G153" i="274"/>
  <c r="J152" i="274"/>
  <c r="H152" i="274"/>
  <c r="G152" i="274"/>
  <c r="J151" i="274"/>
  <c r="H151" i="274"/>
  <c r="G151" i="274"/>
  <c r="J150" i="274"/>
  <c r="H150" i="274"/>
  <c r="G150" i="274"/>
  <c r="J149" i="274"/>
  <c r="H149" i="274"/>
  <c r="G149" i="274"/>
  <c r="J148" i="274"/>
  <c r="H148" i="274"/>
  <c r="G148" i="274"/>
  <c r="J147" i="274"/>
  <c r="H147" i="274"/>
  <c r="G147" i="274"/>
  <c r="J146" i="274"/>
  <c r="H146" i="274"/>
  <c r="G146" i="274"/>
  <c r="J145" i="274"/>
  <c r="H145" i="274"/>
  <c r="G145" i="274"/>
  <c r="J144" i="274"/>
  <c r="H144" i="274"/>
  <c r="G144" i="274"/>
  <c r="J143" i="274"/>
  <c r="H143" i="274"/>
  <c r="G143" i="274"/>
  <c r="J142" i="274"/>
  <c r="H142" i="274"/>
  <c r="G142" i="274"/>
  <c r="J141" i="274"/>
  <c r="H141" i="274"/>
  <c r="G141" i="274"/>
  <c r="J140" i="274"/>
  <c r="H140" i="274"/>
  <c r="G140" i="274"/>
  <c r="J139" i="274"/>
  <c r="H139" i="274"/>
  <c r="G139" i="274"/>
  <c r="J138" i="274"/>
  <c r="H138" i="274"/>
  <c r="G138" i="274"/>
  <c r="J137" i="274"/>
  <c r="H137" i="274"/>
  <c r="G137" i="274"/>
  <c r="J136" i="274"/>
  <c r="H136" i="274"/>
  <c r="G136" i="274"/>
  <c r="J135" i="274"/>
  <c r="H135" i="274"/>
  <c r="G135" i="274"/>
  <c r="J134" i="274"/>
  <c r="H134" i="274"/>
  <c r="G134" i="274"/>
  <c r="J133" i="274"/>
  <c r="H133" i="274"/>
  <c r="G133" i="274"/>
  <c r="J132" i="274"/>
  <c r="H132" i="274"/>
  <c r="G132" i="274"/>
  <c r="J131" i="274"/>
  <c r="H131" i="274"/>
  <c r="G131" i="274"/>
  <c r="J130" i="274"/>
  <c r="H130" i="274"/>
  <c r="G130" i="274"/>
  <c r="J129" i="274"/>
  <c r="H129" i="274"/>
  <c r="G129" i="274"/>
  <c r="J128" i="274"/>
  <c r="H128" i="274"/>
  <c r="G128" i="274"/>
  <c r="J127" i="274"/>
  <c r="H127" i="274"/>
  <c r="G127" i="274"/>
  <c r="J126" i="274"/>
  <c r="H126" i="274"/>
  <c r="G126" i="274"/>
  <c r="J125" i="274"/>
  <c r="H125" i="274"/>
  <c r="G125" i="274"/>
  <c r="J124" i="274"/>
  <c r="H124" i="274"/>
  <c r="G124" i="274"/>
  <c r="J123" i="274"/>
  <c r="H123" i="274"/>
  <c r="G123" i="274"/>
  <c r="J122" i="274"/>
  <c r="H122" i="274"/>
  <c r="G122" i="274"/>
  <c r="J121" i="274"/>
  <c r="H121" i="274"/>
  <c r="G121" i="274"/>
  <c r="J120" i="274"/>
  <c r="H120" i="274"/>
  <c r="G120" i="274"/>
  <c r="J119" i="274"/>
  <c r="H119" i="274"/>
  <c r="G119" i="274"/>
  <c r="J118" i="274"/>
  <c r="H118" i="274"/>
  <c r="G118" i="274"/>
  <c r="J117" i="274"/>
  <c r="H117" i="274"/>
  <c r="G117" i="274"/>
  <c r="J116" i="274"/>
  <c r="H116" i="274"/>
  <c r="G116" i="274"/>
  <c r="J115" i="274"/>
  <c r="H115" i="274"/>
  <c r="G115" i="274"/>
  <c r="J114" i="274"/>
  <c r="H114" i="274"/>
  <c r="G114" i="274"/>
  <c r="J113" i="274"/>
  <c r="H113" i="274"/>
  <c r="G113" i="274"/>
  <c r="J112" i="274"/>
  <c r="H112" i="274"/>
  <c r="G112" i="274"/>
  <c r="J111" i="274"/>
  <c r="H111" i="274"/>
  <c r="G111" i="274"/>
  <c r="J110" i="274"/>
  <c r="H110" i="274"/>
  <c r="G110" i="274"/>
  <c r="J109" i="274"/>
  <c r="H109" i="274"/>
  <c r="G109" i="274"/>
  <c r="J108" i="274"/>
  <c r="H108" i="274"/>
  <c r="G108" i="274"/>
  <c r="J107" i="274"/>
  <c r="H107" i="274"/>
  <c r="G107" i="274"/>
  <c r="J106" i="274"/>
  <c r="H106" i="274"/>
  <c r="G106" i="274"/>
  <c r="J105" i="274"/>
  <c r="H105" i="274"/>
  <c r="G105" i="274"/>
  <c r="J104" i="274"/>
  <c r="H104" i="274"/>
  <c r="G104" i="274"/>
  <c r="J103" i="274"/>
  <c r="H103" i="274"/>
  <c r="G103" i="274"/>
  <c r="J102" i="274"/>
  <c r="H102" i="274"/>
  <c r="G102" i="274"/>
  <c r="J101" i="274"/>
  <c r="H101" i="274"/>
  <c r="G101" i="274"/>
  <c r="J100" i="274"/>
  <c r="H100" i="274"/>
  <c r="G100" i="274"/>
  <c r="J99" i="274"/>
  <c r="H99" i="274"/>
  <c r="G99" i="274"/>
  <c r="J98" i="274"/>
  <c r="H98" i="274"/>
  <c r="G98" i="274"/>
  <c r="J97" i="274"/>
  <c r="H97" i="274"/>
  <c r="G97" i="274"/>
  <c r="J96" i="274"/>
  <c r="H96" i="274"/>
  <c r="G96" i="274"/>
  <c r="J95" i="274"/>
  <c r="H95" i="274"/>
  <c r="G95" i="274"/>
  <c r="J94" i="274"/>
  <c r="H94" i="274"/>
  <c r="G94" i="274"/>
  <c r="J93" i="274"/>
  <c r="H93" i="274"/>
  <c r="G93" i="274"/>
  <c r="J92" i="274"/>
  <c r="H92" i="274"/>
  <c r="G92" i="274"/>
  <c r="J91" i="274"/>
  <c r="H91" i="274"/>
  <c r="G91" i="274"/>
  <c r="J90" i="274"/>
  <c r="H90" i="274"/>
  <c r="G90" i="274"/>
  <c r="J89" i="274"/>
  <c r="H89" i="274"/>
  <c r="G89" i="274"/>
  <c r="J88" i="274"/>
  <c r="H88" i="274"/>
  <c r="G88" i="274"/>
  <c r="J87" i="274"/>
  <c r="H87" i="274"/>
  <c r="G87" i="274"/>
  <c r="J86" i="274"/>
  <c r="H86" i="274"/>
  <c r="G86" i="274"/>
  <c r="J85" i="274"/>
  <c r="H85" i="274"/>
  <c r="G85" i="274"/>
  <c r="J84" i="274"/>
  <c r="H84" i="274"/>
  <c r="G84" i="274"/>
  <c r="J83" i="274"/>
  <c r="H83" i="274"/>
  <c r="G83" i="274"/>
  <c r="J82" i="274"/>
  <c r="H82" i="274"/>
  <c r="G82" i="274"/>
  <c r="J81" i="274"/>
  <c r="H81" i="274"/>
  <c r="G81" i="274"/>
  <c r="J80" i="274"/>
  <c r="H80" i="274"/>
  <c r="G80" i="274"/>
  <c r="J79" i="274"/>
  <c r="H79" i="274"/>
  <c r="G79" i="274"/>
  <c r="J78" i="274"/>
  <c r="H78" i="274"/>
  <c r="G78" i="274"/>
  <c r="J77" i="274"/>
  <c r="H77" i="274"/>
  <c r="G77" i="274"/>
  <c r="J76" i="274"/>
  <c r="H76" i="274"/>
  <c r="G76" i="274"/>
  <c r="J75" i="274"/>
  <c r="H75" i="274"/>
  <c r="G75" i="274"/>
  <c r="J74" i="274"/>
  <c r="H74" i="274"/>
  <c r="G74" i="274"/>
  <c r="J73" i="274"/>
  <c r="H73" i="274"/>
  <c r="G73" i="274"/>
  <c r="J72" i="274"/>
  <c r="H72" i="274"/>
  <c r="G72" i="274"/>
  <c r="J71" i="274"/>
  <c r="H71" i="274"/>
  <c r="G71" i="274"/>
  <c r="J70" i="274"/>
  <c r="H70" i="274"/>
  <c r="G70" i="274"/>
  <c r="J69" i="274"/>
  <c r="H69" i="274"/>
  <c r="G69" i="274"/>
  <c r="J68" i="274"/>
  <c r="H68" i="274"/>
  <c r="G68" i="274"/>
  <c r="J67" i="274"/>
  <c r="H67" i="274"/>
  <c r="G67" i="274"/>
  <c r="J66" i="274"/>
  <c r="H66" i="274"/>
  <c r="G66" i="274"/>
  <c r="J65" i="274"/>
  <c r="H65" i="274"/>
  <c r="G65" i="274"/>
  <c r="J64" i="274"/>
  <c r="H64" i="274"/>
  <c r="G64" i="274"/>
  <c r="J63" i="274"/>
  <c r="H63" i="274"/>
  <c r="G63" i="274"/>
  <c r="J62" i="274"/>
  <c r="H62" i="274"/>
  <c r="G62" i="274"/>
  <c r="J61" i="274"/>
  <c r="H61" i="274"/>
  <c r="G61" i="274"/>
  <c r="J60" i="274"/>
  <c r="H60" i="274"/>
  <c r="G60" i="274"/>
  <c r="J59" i="274"/>
  <c r="H59" i="274"/>
  <c r="G59" i="274"/>
  <c r="J58" i="274"/>
  <c r="H58" i="274"/>
  <c r="G58" i="274"/>
  <c r="J57" i="274"/>
  <c r="H57" i="274"/>
  <c r="G57" i="274"/>
  <c r="J56" i="274"/>
  <c r="H56" i="274"/>
  <c r="G56" i="274"/>
  <c r="J55" i="274"/>
  <c r="H55" i="274"/>
  <c r="G55" i="274"/>
  <c r="J54" i="274"/>
  <c r="H54" i="274"/>
  <c r="G54" i="274"/>
  <c r="J53" i="274"/>
  <c r="H53" i="274"/>
  <c r="G53" i="274"/>
  <c r="J52" i="274"/>
  <c r="H52" i="274"/>
  <c r="G52" i="274"/>
  <c r="J51" i="274"/>
  <c r="H51" i="274"/>
  <c r="G51" i="274"/>
  <c r="J50" i="274"/>
  <c r="H50" i="274"/>
  <c r="G50" i="274"/>
  <c r="J49" i="274"/>
  <c r="H49" i="274"/>
  <c r="G49" i="274"/>
  <c r="J48" i="274"/>
  <c r="H48" i="274"/>
  <c r="G48" i="274"/>
  <c r="J47" i="274"/>
  <c r="H47" i="274"/>
  <c r="G47" i="274"/>
  <c r="J46" i="274"/>
  <c r="H46" i="274"/>
  <c r="G46" i="274"/>
  <c r="J45" i="274"/>
  <c r="H45" i="274"/>
  <c r="G45" i="274"/>
  <c r="J44" i="274"/>
  <c r="H44" i="274"/>
  <c r="G44" i="274"/>
  <c r="J43" i="274"/>
  <c r="H43" i="274"/>
  <c r="G43" i="274"/>
  <c r="J42" i="274"/>
  <c r="H42" i="274"/>
  <c r="G42" i="274"/>
  <c r="J41" i="274"/>
  <c r="H41" i="274"/>
  <c r="G41" i="274"/>
  <c r="J40" i="274"/>
  <c r="H40" i="274"/>
  <c r="G40" i="274"/>
  <c r="J39" i="274"/>
  <c r="H39" i="274"/>
  <c r="G39" i="274"/>
  <c r="J38" i="274"/>
  <c r="H38" i="274"/>
  <c r="G38" i="274"/>
  <c r="J37" i="274"/>
  <c r="H37" i="274"/>
  <c r="G37" i="274"/>
  <c r="J36" i="274"/>
  <c r="H36" i="274"/>
  <c r="G36" i="274"/>
  <c r="J35" i="274"/>
  <c r="H35" i="274"/>
  <c r="G35" i="274"/>
  <c r="J34" i="274"/>
  <c r="H34" i="274"/>
  <c r="G34" i="274"/>
  <c r="J33" i="274"/>
  <c r="H33" i="274"/>
  <c r="G33" i="274"/>
  <c r="J32" i="274"/>
  <c r="H32" i="274"/>
  <c r="G32" i="274"/>
  <c r="J31" i="274"/>
  <c r="H31" i="274"/>
  <c r="G31" i="274"/>
  <c r="J30" i="274"/>
  <c r="H30" i="274"/>
  <c r="G30" i="274"/>
  <c r="J29" i="274"/>
  <c r="H29" i="274"/>
  <c r="G29" i="274"/>
  <c r="J28" i="274"/>
  <c r="H28" i="274"/>
  <c r="G28" i="274"/>
  <c r="J27" i="274"/>
  <c r="H27" i="274"/>
  <c r="G27" i="274"/>
  <c r="J26" i="274"/>
  <c r="H26" i="274"/>
  <c r="G26" i="274"/>
  <c r="J25" i="274"/>
  <c r="H25" i="274"/>
  <c r="G25" i="274"/>
  <c r="J24" i="274"/>
  <c r="H24" i="274"/>
  <c r="G24" i="274"/>
  <c r="J23" i="274"/>
  <c r="H23" i="274"/>
  <c r="G23" i="274"/>
  <c r="J22" i="274"/>
  <c r="H22" i="274"/>
  <c r="G22" i="274"/>
  <c r="J21" i="274"/>
  <c r="H21" i="274"/>
  <c r="G21" i="274"/>
  <c r="J20" i="274"/>
  <c r="H20" i="274"/>
  <c r="G20" i="274"/>
  <c r="J19" i="274"/>
  <c r="H19" i="274"/>
  <c r="G19" i="274"/>
  <c r="J18" i="274"/>
  <c r="H18" i="274"/>
  <c r="G18" i="274"/>
  <c r="J17" i="274"/>
  <c r="H17" i="274"/>
  <c r="G17" i="274"/>
  <c r="J16" i="274"/>
  <c r="H16" i="274"/>
  <c r="G16" i="274"/>
  <c r="J15" i="274"/>
  <c r="H15" i="274"/>
  <c r="G15" i="274"/>
  <c r="J14" i="274"/>
  <c r="H14" i="274"/>
  <c r="G14" i="274"/>
  <c r="J13" i="274"/>
  <c r="H13" i="274"/>
  <c r="G13" i="274"/>
  <c r="J12" i="274"/>
  <c r="H12" i="274"/>
  <c r="G12" i="274"/>
  <c r="J11" i="274"/>
  <c r="H11" i="274"/>
  <c r="G11" i="274"/>
  <c r="J10" i="274"/>
  <c r="H10" i="274"/>
  <c r="G10" i="274"/>
  <c r="J9" i="274"/>
  <c r="H9" i="274"/>
  <c r="G9" i="274"/>
  <c r="J8" i="274"/>
  <c r="H8" i="274"/>
  <c r="G8" i="274"/>
  <c r="J7" i="274"/>
  <c r="H7" i="274"/>
  <c r="G7" i="274"/>
  <c r="J6" i="274"/>
  <c r="H6" i="274"/>
  <c r="G6" i="274"/>
  <c r="J5" i="274"/>
  <c r="H5" i="274"/>
  <c r="G5" i="274"/>
  <c r="J4" i="274"/>
  <c r="H4" i="274"/>
  <c r="G4" i="274"/>
  <c r="J3" i="274"/>
  <c r="H3" i="274"/>
  <c r="G3" i="274"/>
  <c r="J2" i="274"/>
  <c r="H2" i="274"/>
  <c r="G2" i="274"/>
  <c r="J147" i="272"/>
  <c r="H147" i="272"/>
  <c r="G147" i="272"/>
  <c r="J146" i="272"/>
  <c r="H146" i="272"/>
  <c r="G146" i="272"/>
  <c r="J145" i="272"/>
  <c r="H145" i="272"/>
  <c r="G145" i="272"/>
  <c r="J144" i="272"/>
  <c r="H144" i="272"/>
  <c r="G144" i="272"/>
  <c r="J143" i="272"/>
  <c r="H143" i="272"/>
  <c r="G143" i="272"/>
  <c r="J142" i="272"/>
  <c r="H142" i="272"/>
  <c r="G142" i="272"/>
  <c r="J141" i="272"/>
  <c r="H141" i="272"/>
  <c r="G141" i="272"/>
  <c r="J140" i="272"/>
  <c r="H140" i="272"/>
  <c r="G140" i="272"/>
  <c r="J139" i="272"/>
  <c r="H139" i="272"/>
  <c r="G139" i="272"/>
  <c r="J138" i="272"/>
  <c r="H138" i="272"/>
  <c r="G138" i="272"/>
  <c r="J137" i="272"/>
  <c r="H137" i="272"/>
  <c r="G137" i="272"/>
  <c r="J136" i="272"/>
  <c r="H136" i="272"/>
  <c r="G136" i="272"/>
  <c r="J135" i="272"/>
  <c r="H135" i="272"/>
  <c r="G135" i="272"/>
  <c r="J134" i="272"/>
  <c r="H134" i="272"/>
  <c r="G134" i="272"/>
  <c r="J133" i="272"/>
  <c r="H133" i="272"/>
  <c r="G133" i="272"/>
  <c r="J132" i="272"/>
  <c r="H132" i="272"/>
  <c r="G132" i="272"/>
  <c r="J131" i="272"/>
  <c r="H131" i="272"/>
  <c r="G131" i="272"/>
  <c r="J130" i="272"/>
  <c r="H130" i="272"/>
  <c r="G130" i="272"/>
  <c r="J129" i="272"/>
  <c r="H129" i="272"/>
  <c r="G129" i="272"/>
  <c r="J128" i="272"/>
  <c r="H128" i="272"/>
  <c r="G128" i="272"/>
  <c r="J127" i="272"/>
  <c r="H127" i="272"/>
  <c r="G127" i="272"/>
  <c r="J126" i="272"/>
  <c r="H126" i="272"/>
  <c r="G126" i="272"/>
  <c r="J125" i="272"/>
  <c r="H125" i="272"/>
  <c r="G125" i="272"/>
  <c r="J124" i="272"/>
  <c r="H124" i="272"/>
  <c r="G124" i="272"/>
  <c r="J123" i="272"/>
  <c r="H123" i="272"/>
  <c r="G123" i="272"/>
  <c r="J122" i="272"/>
  <c r="H122" i="272"/>
  <c r="G122" i="272"/>
  <c r="J121" i="272"/>
  <c r="H121" i="272"/>
  <c r="G121" i="272"/>
  <c r="J120" i="272"/>
  <c r="H120" i="272"/>
  <c r="G120" i="272"/>
  <c r="J119" i="272"/>
  <c r="H119" i="272"/>
  <c r="G119" i="272"/>
  <c r="J118" i="272"/>
  <c r="H118" i="272"/>
  <c r="G118" i="272"/>
  <c r="J117" i="272"/>
  <c r="H117" i="272"/>
  <c r="G117" i="272"/>
  <c r="J116" i="272"/>
  <c r="H116" i="272"/>
  <c r="G116" i="272"/>
  <c r="J115" i="272"/>
  <c r="H115" i="272"/>
  <c r="G115" i="272"/>
  <c r="J114" i="272"/>
  <c r="H114" i="272"/>
  <c r="G114" i="272"/>
  <c r="J113" i="272"/>
  <c r="H113" i="272"/>
  <c r="G113" i="272"/>
  <c r="J112" i="272"/>
  <c r="H112" i="272"/>
  <c r="G112" i="272"/>
  <c r="J111" i="272"/>
  <c r="H111" i="272"/>
  <c r="G111" i="272"/>
  <c r="J110" i="272"/>
  <c r="H110" i="272"/>
  <c r="G110" i="272"/>
  <c r="J109" i="272"/>
  <c r="H109" i="272"/>
  <c r="G109" i="272"/>
  <c r="J108" i="272"/>
  <c r="H108" i="272"/>
  <c r="G108" i="272"/>
  <c r="J107" i="272"/>
  <c r="H107" i="272"/>
  <c r="G107" i="272"/>
  <c r="J106" i="272"/>
  <c r="H106" i="272"/>
  <c r="G106" i="272"/>
  <c r="J105" i="272"/>
  <c r="H105" i="272"/>
  <c r="G105" i="272"/>
  <c r="J104" i="272"/>
  <c r="H104" i="272"/>
  <c r="G104" i="272"/>
  <c r="J103" i="272"/>
  <c r="H103" i="272"/>
  <c r="G103" i="272"/>
  <c r="J102" i="272"/>
  <c r="H102" i="272"/>
  <c r="G102" i="272"/>
  <c r="J101" i="272"/>
  <c r="H101" i="272"/>
  <c r="G101" i="272"/>
  <c r="J100" i="272"/>
  <c r="H100" i="272"/>
  <c r="G100" i="272"/>
  <c r="J99" i="272"/>
  <c r="H99" i="272"/>
  <c r="G99" i="272"/>
  <c r="J98" i="272"/>
  <c r="H98" i="272"/>
  <c r="G98" i="272"/>
  <c r="J97" i="272"/>
  <c r="H97" i="272"/>
  <c r="G97" i="272"/>
  <c r="J96" i="272"/>
  <c r="H96" i="272"/>
  <c r="G96" i="272"/>
  <c r="J95" i="272"/>
  <c r="H95" i="272"/>
  <c r="G95" i="272"/>
  <c r="J94" i="272"/>
  <c r="H94" i="272"/>
  <c r="G94" i="272"/>
  <c r="J93" i="272"/>
  <c r="H93" i="272"/>
  <c r="G93" i="272"/>
  <c r="J92" i="272"/>
  <c r="H92" i="272"/>
  <c r="G92" i="272"/>
  <c r="J91" i="272"/>
  <c r="H91" i="272"/>
  <c r="G91" i="272"/>
  <c r="J90" i="272"/>
  <c r="H90" i="272"/>
  <c r="G90" i="272"/>
  <c r="J89" i="272"/>
  <c r="H89" i="272"/>
  <c r="G89" i="272"/>
  <c r="J88" i="272"/>
  <c r="H88" i="272"/>
  <c r="G88" i="272"/>
  <c r="J87" i="272"/>
  <c r="H87" i="272"/>
  <c r="G87" i="272"/>
  <c r="J86" i="272"/>
  <c r="H86" i="272"/>
  <c r="G86" i="272"/>
  <c r="J85" i="272"/>
  <c r="H85" i="272"/>
  <c r="G85" i="272"/>
  <c r="J84" i="272"/>
  <c r="H84" i="272"/>
  <c r="G84" i="272"/>
  <c r="J83" i="272"/>
  <c r="H83" i="272"/>
  <c r="G83" i="272"/>
  <c r="J82" i="272"/>
  <c r="H82" i="272"/>
  <c r="G82" i="272"/>
  <c r="J81" i="272"/>
  <c r="H81" i="272"/>
  <c r="G81" i="272"/>
  <c r="J80" i="272"/>
  <c r="H80" i="272"/>
  <c r="G80" i="272"/>
  <c r="J79" i="272"/>
  <c r="H79" i="272"/>
  <c r="G79" i="272"/>
  <c r="J78" i="272"/>
  <c r="H78" i="272"/>
  <c r="G78" i="272"/>
  <c r="J77" i="272"/>
  <c r="H77" i="272"/>
  <c r="G77" i="272"/>
  <c r="J76" i="272"/>
  <c r="H76" i="272"/>
  <c r="G76" i="272"/>
  <c r="J75" i="272"/>
  <c r="H75" i="272"/>
  <c r="G75" i="272"/>
  <c r="J74" i="272"/>
  <c r="H74" i="272"/>
  <c r="G74" i="272"/>
  <c r="J73" i="272"/>
  <c r="H73" i="272"/>
  <c r="G73" i="272"/>
  <c r="J72" i="272"/>
  <c r="H72" i="272"/>
  <c r="G72" i="272"/>
  <c r="J71" i="272"/>
  <c r="H71" i="272"/>
  <c r="G71" i="272"/>
  <c r="J70" i="272"/>
  <c r="H70" i="272"/>
  <c r="G70" i="272"/>
  <c r="J69" i="272"/>
  <c r="H69" i="272"/>
  <c r="G69" i="272"/>
  <c r="J68" i="272"/>
  <c r="H68" i="272"/>
  <c r="G68" i="272"/>
  <c r="J67" i="272"/>
  <c r="H67" i="272"/>
  <c r="G67" i="272"/>
  <c r="J66" i="272"/>
  <c r="H66" i="272"/>
  <c r="G66" i="272"/>
  <c r="J65" i="272"/>
  <c r="H65" i="272"/>
  <c r="G65" i="272"/>
  <c r="J64" i="272"/>
  <c r="H64" i="272"/>
  <c r="G64" i="272"/>
  <c r="J63" i="272"/>
  <c r="H63" i="272"/>
  <c r="G63" i="272"/>
  <c r="J62" i="272"/>
  <c r="H62" i="272"/>
  <c r="G62" i="272"/>
  <c r="J61" i="272"/>
  <c r="H61" i="272"/>
  <c r="G61" i="272"/>
  <c r="J60" i="272"/>
  <c r="H60" i="272"/>
  <c r="G60" i="272"/>
  <c r="J59" i="272"/>
  <c r="H59" i="272"/>
  <c r="G59" i="272"/>
  <c r="J58" i="272"/>
  <c r="H58" i="272"/>
  <c r="G58" i="272"/>
  <c r="J57" i="272"/>
  <c r="H57" i="272"/>
  <c r="G57" i="272"/>
  <c r="J56" i="272"/>
  <c r="H56" i="272"/>
  <c r="G56" i="272"/>
  <c r="J55" i="272"/>
  <c r="H55" i="272"/>
  <c r="G55" i="272"/>
  <c r="J54" i="272"/>
  <c r="H54" i="272"/>
  <c r="G54" i="272"/>
  <c r="J53" i="272"/>
  <c r="H53" i="272"/>
  <c r="G53" i="272"/>
  <c r="J52" i="272"/>
  <c r="H52" i="272"/>
  <c r="G52" i="272"/>
  <c r="J51" i="272"/>
  <c r="H51" i="272"/>
  <c r="G51" i="272"/>
  <c r="J50" i="272"/>
  <c r="H50" i="272"/>
  <c r="G50" i="272"/>
  <c r="J49" i="272"/>
  <c r="H49" i="272"/>
  <c r="G49" i="272"/>
  <c r="J48" i="272"/>
  <c r="H48" i="272"/>
  <c r="G48" i="272"/>
  <c r="J47" i="272"/>
  <c r="H47" i="272"/>
  <c r="G47" i="272"/>
  <c r="J46" i="272"/>
  <c r="H46" i="272"/>
  <c r="G46" i="272"/>
  <c r="J45" i="272"/>
  <c r="H45" i="272"/>
  <c r="G45" i="272"/>
  <c r="J44" i="272"/>
  <c r="H44" i="272"/>
  <c r="G44" i="272"/>
  <c r="J43" i="272"/>
  <c r="H43" i="272"/>
  <c r="G43" i="272"/>
  <c r="J42" i="272"/>
  <c r="H42" i="272"/>
  <c r="G42" i="272"/>
  <c r="J41" i="272"/>
  <c r="H41" i="272"/>
  <c r="G41" i="272"/>
  <c r="J40" i="272"/>
  <c r="H40" i="272"/>
  <c r="G40" i="272"/>
  <c r="J39" i="272"/>
  <c r="H39" i="272"/>
  <c r="G39" i="272"/>
  <c r="J38" i="272"/>
  <c r="H38" i="272"/>
  <c r="G38" i="272"/>
  <c r="J37" i="272"/>
  <c r="H37" i="272"/>
  <c r="G37" i="272"/>
  <c r="J36" i="272"/>
  <c r="H36" i="272"/>
  <c r="G36" i="272"/>
  <c r="J35" i="272"/>
  <c r="H35" i="272"/>
  <c r="G35" i="272"/>
  <c r="J34" i="272"/>
  <c r="H34" i="272"/>
  <c r="G34" i="272"/>
  <c r="J33" i="272"/>
  <c r="H33" i="272"/>
  <c r="G33" i="272"/>
  <c r="J32" i="272"/>
  <c r="H32" i="272"/>
  <c r="G32" i="272"/>
  <c r="J31" i="272"/>
  <c r="H31" i="272"/>
  <c r="G31" i="272"/>
  <c r="J30" i="272"/>
  <c r="H30" i="272"/>
  <c r="G30" i="272"/>
  <c r="J29" i="272"/>
  <c r="H29" i="272"/>
  <c r="G29" i="272"/>
  <c r="J28" i="272"/>
  <c r="H28" i="272"/>
  <c r="G28" i="272"/>
  <c r="J27" i="272"/>
  <c r="H27" i="272"/>
  <c r="G27" i="272"/>
  <c r="J26" i="272"/>
  <c r="H26" i="272"/>
  <c r="G26" i="272"/>
  <c r="J25" i="272"/>
  <c r="H25" i="272"/>
  <c r="G25" i="272"/>
  <c r="J24" i="272"/>
  <c r="H24" i="272"/>
  <c r="G24" i="272"/>
  <c r="J23" i="272"/>
  <c r="H23" i="272"/>
  <c r="G23" i="272"/>
  <c r="J22" i="272"/>
  <c r="H22" i="272"/>
  <c r="G22" i="272"/>
  <c r="J21" i="272"/>
  <c r="H21" i="272"/>
  <c r="G21" i="272"/>
  <c r="J20" i="272"/>
  <c r="H20" i="272"/>
  <c r="G20" i="272"/>
  <c r="J19" i="272"/>
  <c r="H19" i="272"/>
  <c r="G19" i="272"/>
  <c r="J18" i="272"/>
  <c r="H18" i="272"/>
  <c r="G18" i="272"/>
  <c r="J17" i="272"/>
  <c r="H17" i="272"/>
  <c r="G17" i="272"/>
  <c r="J16" i="272"/>
  <c r="H16" i="272"/>
  <c r="G16" i="272"/>
  <c r="J15" i="272"/>
  <c r="H15" i="272"/>
  <c r="G15" i="272"/>
  <c r="J14" i="272"/>
  <c r="H14" i="272"/>
  <c r="G14" i="272"/>
  <c r="J13" i="272"/>
  <c r="H13" i="272"/>
  <c r="G13" i="272"/>
  <c r="J12" i="272"/>
  <c r="H12" i="272"/>
  <c r="G12" i="272"/>
  <c r="J11" i="272"/>
  <c r="H11" i="272"/>
  <c r="G11" i="272"/>
  <c r="J10" i="272"/>
  <c r="H10" i="272"/>
  <c r="G10" i="272"/>
  <c r="J9" i="272"/>
  <c r="H9" i="272"/>
  <c r="G9" i="272"/>
  <c r="J8" i="272"/>
  <c r="H8" i="272"/>
  <c r="G8" i="272"/>
  <c r="J7" i="272"/>
  <c r="H7" i="272"/>
  <c r="G7" i="272"/>
  <c r="J6" i="272"/>
  <c r="H6" i="272"/>
  <c r="G6" i="272"/>
  <c r="J5" i="272"/>
  <c r="H5" i="272"/>
  <c r="G5" i="272"/>
  <c r="J4" i="272"/>
  <c r="H4" i="272"/>
  <c r="G4" i="272"/>
  <c r="J3" i="272"/>
  <c r="H3" i="272"/>
  <c r="G3" i="272"/>
  <c r="J2" i="272"/>
  <c r="H2" i="272"/>
  <c r="G2" i="272"/>
  <c r="J169" i="271"/>
  <c r="H169" i="271"/>
  <c r="G169" i="271"/>
  <c r="J168" i="271"/>
  <c r="H168" i="271"/>
  <c r="G168" i="271"/>
  <c r="J167" i="271"/>
  <c r="H167" i="271"/>
  <c r="G167" i="271"/>
  <c r="J166" i="271"/>
  <c r="H166" i="271"/>
  <c r="G166" i="271"/>
  <c r="J165" i="271"/>
  <c r="H165" i="271"/>
  <c r="G165" i="271"/>
  <c r="J164" i="271"/>
  <c r="H164" i="271"/>
  <c r="G164" i="271"/>
  <c r="J163" i="271"/>
  <c r="H163" i="271"/>
  <c r="G163" i="271"/>
  <c r="J162" i="271"/>
  <c r="H162" i="271"/>
  <c r="G162" i="271"/>
  <c r="J161" i="271"/>
  <c r="H161" i="271"/>
  <c r="G161" i="271"/>
  <c r="J160" i="271"/>
  <c r="H160" i="271"/>
  <c r="G160" i="271"/>
  <c r="J159" i="271"/>
  <c r="H159" i="271"/>
  <c r="G159" i="271"/>
  <c r="J158" i="271"/>
  <c r="H158" i="271"/>
  <c r="G158" i="271"/>
  <c r="J157" i="271"/>
  <c r="H157" i="271"/>
  <c r="G157" i="271"/>
  <c r="J156" i="271"/>
  <c r="H156" i="271"/>
  <c r="G156" i="271"/>
  <c r="J155" i="271"/>
  <c r="H155" i="271"/>
  <c r="G155" i="271"/>
  <c r="J154" i="271"/>
  <c r="H154" i="271"/>
  <c r="G154" i="271"/>
  <c r="J153" i="271"/>
  <c r="H153" i="271"/>
  <c r="G153" i="271"/>
  <c r="J152" i="271"/>
  <c r="H152" i="271"/>
  <c r="G152" i="271"/>
  <c r="J151" i="271"/>
  <c r="H151" i="271"/>
  <c r="G151" i="271"/>
  <c r="J150" i="271"/>
  <c r="H150" i="271"/>
  <c r="G150" i="271"/>
  <c r="J149" i="271"/>
  <c r="H149" i="271"/>
  <c r="G149" i="271"/>
  <c r="J148" i="271"/>
  <c r="H148" i="271"/>
  <c r="G148" i="271"/>
  <c r="J147" i="271"/>
  <c r="H147" i="271"/>
  <c r="G147" i="271"/>
  <c r="J146" i="271"/>
  <c r="H146" i="271"/>
  <c r="G146" i="271"/>
  <c r="J145" i="271"/>
  <c r="H145" i="271"/>
  <c r="G145" i="271"/>
  <c r="J144" i="271"/>
  <c r="H144" i="271"/>
  <c r="G144" i="271"/>
  <c r="J143" i="271"/>
  <c r="H143" i="271"/>
  <c r="G143" i="271"/>
  <c r="J142" i="271"/>
  <c r="H142" i="271"/>
  <c r="G142" i="271"/>
  <c r="J141" i="271"/>
  <c r="H141" i="271"/>
  <c r="G141" i="271"/>
  <c r="J140" i="271"/>
  <c r="H140" i="271"/>
  <c r="G140" i="271"/>
  <c r="J139" i="271"/>
  <c r="H139" i="271"/>
  <c r="G139" i="271"/>
  <c r="J138" i="271"/>
  <c r="H138" i="271"/>
  <c r="G138" i="271"/>
  <c r="J137" i="271"/>
  <c r="H137" i="271"/>
  <c r="G137" i="271"/>
  <c r="J136" i="271"/>
  <c r="H136" i="271"/>
  <c r="G136" i="271"/>
  <c r="J135" i="271"/>
  <c r="H135" i="271"/>
  <c r="G135" i="271"/>
  <c r="J134" i="271"/>
  <c r="H134" i="271"/>
  <c r="G134" i="271"/>
  <c r="J133" i="271"/>
  <c r="H133" i="271"/>
  <c r="G133" i="271"/>
  <c r="J132" i="271"/>
  <c r="H132" i="271"/>
  <c r="G132" i="271"/>
  <c r="J131" i="271"/>
  <c r="H131" i="271"/>
  <c r="G131" i="271"/>
  <c r="J130" i="271"/>
  <c r="H130" i="271"/>
  <c r="G130" i="271"/>
  <c r="J129" i="271"/>
  <c r="H129" i="271"/>
  <c r="G129" i="271"/>
  <c r="J128" i="271"/>
  <c r="H128" i="271"/>
  <c r="G128" i="271"/>
  <c r="J127" i="271"/>
  <c r="H127" i="271"/>
  <c r="G127" i="271"/>
  <c r="J126" i="271"/>
  <c r="H126" i="271"/>
  <c r="G126" i="271"/>
  <c r="J125" i="271"/>
  <c r="H125" i="271"/>
  <c r="G125" i="271"/>
  <c r="J124" i="271"/>
  <c r="H124" i="271"/>
  <c r="G124" i="271"/>
  <c r="J123" i="271"/>
  <c r="H123" i="271"/>
  <c r="G123" i="271"/>
  <c r="J122" i="271"/>
  <c r="H122" i="271"/>
  <c r="G122" i="271"/>
  <c r="J121" i="271"/>
  <c r="H121" i="271"/>
  <c r="G121" i="271"/>
  <c r="J120" i="271"/>
  <c r="H120" i="271"/>
  <c r="G120" i="271"/>
  <c r="J119" i="271"/>
  <c r="H119" i="271"/>
  <c r="G119" i="271"/>
  <c r="J118" i="271"/>
  <c r="H118" i="271"/>
  <c r="G118" i="271"/>
  <c r="J117" i="271"/>
  <c r="H117" i="271"/>
  <c r="G117" i="271"/>
  <c r="J116" i="271"/>
  <c r="H116" i="271"/>
  <c r="G116" i="271"/>
  <c r="J115" i="271"/>
  <c r="H115" i="271"/>
  <c r="G115" i="271"/>
  <c r="J114" i="271"/>
  <c r="H114" i="271"/>
  <c r="G114" i="271"/>
  <c r="J113" i="271"/>
  <c r="H113" i="271"/>
  <c r="G113" i="271"/>
  <c r="J112" i="271"/>
  <c r="H112" i="271"/>
  <c r="G112" i="271"/>
  <c r="J111" i="271"/>
  <c r="H111" i="271"/>
  <c r="G111" i="271"/>
  <c r="J110" i="271"/>
  <c r="H110" i="271"/>
  <c r="G110" i="271"/>
  <c r="J109" i="271"/>
  <c r="H109" i="271"/>
  <c r="G109" i="271"/>
  <c r="J108" i="271"/>
  <c r="H108" i="271"/>
  <c r="G108" i="271"/>
  <c r="J107" i="271"/>
  <c r="H107" i="271"/>
  <c r="G107" i="271"/>
  <c r="J106" i="271"/>
  <c r="H106" i="271"/>
  <c r="G106" i="271"/>
  <c r="J105" i="271"/>
  <c r="H105" i="271"/>
  <c r="G105" i="271"/>
  <c r="J104" i="271"/>
  <c r="H104" i="271"/>
  <c r="G104" i="271"/>
  <c r="J103" i="271"/>
  <c r="H103" i="271"/>
  <c r="G103" i="271"/>
  <c r="J102" i="271"/>
  <c r="H102" i="271"/>
  <c r="G102" i="271"/>
  <c r="J101" i="271"/>
  <c r="H101" i="271"/>
  <c r="G101" i="271"/>
  <c r="J100" i="271"/>
  <c r="H100" i="271"/>
  <c r="G100" i="271"/>
  <c r="J99" i="271"/>
  <c r="H99" i="271"/>
  <c r="G99" i="271"/>
  <c r="J98" i="271"/>
  <c r="H98" i="271"/>
  <c r="G98" i="271"/>
  <c r="J97" i="271"/>
  <c r="H97" i="271"/>
  <c r="G97" i="271"/>
  <c r="J96" i="271"/>
  <c r="H96" i="271"/>
  <c r="G96" i="271"/>
  <c r="J95" i="271"/>
  <c r="H95" i="271"/>
  <c r="G95" i="271"/>
  <c r="J94" i="271"/>
  <c r="H94" i="271"/>
  <c r="G94" i="271"/>
  <c r="J93" i="271"/>
  <c r="H93" i="271"/>
  <c r="G93" i="271"/>
  <c r="J92" i="271"/>
  <c r="H92" i="271"/>
  <c r="G92" i="271"/>
  <c r="J91" i="271"/>
  <c r="H91" i="271"/>
  <c r="G91" i="271"/>
  <c r="J90" i="271"/>
  <c r="H90" i="271"/>
  <c r="G90" i="271"/>
  <c r="J89" i="271"/>
  <c r="H89" i="271"/>
  <c r="G89" i="271"/>
  <c r="J88" i="271"/>
  <c r="H88" i="271"/>
  <c r="G88" i="271"/>
  <c r="J87" i="271"/>
  <c r="H87" i="271"/>
  <c r="G87" i="271"/>
  <c r="J86" i="271"/>
  <c r="H86" i="271"/>
  <c r="G86" i="271"/>
  <c r="J85" i="271"/>
  <c r="H85" i="271"/>
  <c r="G85" i="271"/>
  <c r="J84" i="271"/>
  <c r="H84" i="271"/>
  <c r="G84" i="271"/>
  <c r="J83" i="271"/>
  <c r="H83" i="271"/>
  <c r="G83" i="271"/>
  <c r="J82" i="271"/>
  <c r="H82" i="271"/>
  <c r="G82" i="271"/>
  <c r="J81" i="271"/>
  <c r="H81" i="271"/>
  <c r="G81" i="271"/>
  <c r="J80" i="271"/>
  <c r="H80" i="271"/>
  <c r="G80" i="271"/>
  <c r="J79" i="271"/>
  <c r="H79" i="271"/>
  <c r="G79" i="271"/>
  <c r="J78" i="271"/>
  <c r="H78" i="271"/>
  <c r="G78" i="271"/>
  <c r="J77" i="271"/>
  <c r="H77" i="271"/>
  <c r="G77" i="271"/>
  <c r="J76" i="271"/>
  <c r="H76" i="271"/>
  <c r="G76" i="271"/>
  <c r="J75" i="271"/>
  <c r="H75" i="271"/>
  <c r="G75" i="271"/>
  <c r="J74" i="271"/>
  <c r="H74" i="271"/>
  <c r="G74" i="271"/>
  <c r="J73" i="271"/>
  <c r="H73" i="271"/>
  <c r="G73" i="271"/>
  <c r="J72" i="271"/>
  <c r="H72" i="271"/>
  <c r="G72" i="271"/>
  <c r="J71" i="271"/>
  <c r="H71" i="271"/>
  <c r="G71" i="271"/>
  <c r="J70" i="271"/>
  <c r="H70" i="271"/>
  <c r="G70" i="271"/>
  <c r="J69" i="271"/>
  <c r="H69" i="271"/>
  <c r="G69" i="271"/>
  <c r="J68" i="271"/>
  <c r="H68" i="271"/>
  <c r="G68" i="271"/>
  <c r="J67" i="271"/>
  <c r="H67" i="271"/>
  <c r="G67" i="271"/>
  <c r="J66" i="271"/>
  <c r="H66" i="271"/>
  <c r="G66" i="271"/>
  <c r="J65" i="271"/>
  <c r="H65" i="271"/>
  <c r="G65" i="271"/>
  <c r="J64" i="271"/>
  <c r="H64" i="271"/>
  <c r="G64" i="271"/>
  <c r="J63" i="271"/>
  <c r="H63" i="271"/>
  <c r="G63" i="271"/>
  <c r="J62" i="271"/>
  <c r="H62" i="271"/>
  <c r="G62" i="271"/>
  <c r="J61" i="271"/>
  <c r="H61" i="271"/>
  <c r="G61" i="271"/>
  <c r="J60" i="271"/>
  <c r="H60" i="271"/>
  <c r="G60" i="271"/>
  <c r="J59" i="271"/>
  <c r="H59" i="271"/>
  <c r="G59" i="271"/>
  <c r="J58" i="271"/>
  <c r="H58" i="271"/>
  <c r="G58" i="271"/>
  <c r="J57" i="271"/>
  <c r="H57" i="271"/>
  <c r="G57" i="271"/>
  <c r="J56" i="271"/>
  <c r="H56" i="271"/>
  <c r="G56" i="271"/>
  <c r="J55" i="271"/>
  <c r="H55" i="271"/>
  <c r="G55" i="271"/>
  <c r="J54" i="271"/>
  <c r="H54" i="271"/>
  <c r="G54" i="271"/>
  <c r="J53" i="271"/>
  <c r="H53" i="271"/>
  <c r="G53" i="271"/>
  <c r="J52" i="271"/>
  <c r="H52" i="271"/>
  <c r="G52" i="271"/>
  <c r="J51" i="271"/>
  <c r="H51" i="271"/>
  <c r="G51" i="271"/>
  <c r="J50" i="271"/>
  <c r="H50" i="271"/>
  <c r="G50" i="271"/>
  <c r="J49" i="271"/>
  <c r="H49" i="271"/>
  <c r="G49" i="271"/>
  <c r="J48" i="271"/>
  <c r="H48" i="271"/>
  <c r="G48" i="271"/>
  <c r="J47" i="271"/>
  <c r="H47" i="271"/>
  <c r="G47" i="271"/>
  <c r="J46" i="271"/>
  <c r="H46" i="271"/>
  <c r="G46" i="271"/>
  <c r="J45" i="271"/>
  <c r="H45" i="271"/>
  <c r="G45" i="271"/>
  <c r="J44" i="271"/>
  <c r="H44" i="271"/>
  <c r="G44" i="271"/>
  <c r="J43" i="271"/>
  <c r="H43" i="271"/>
  <c r="G43" i="271"/>
  <c r="J42" i="271"/>
  <c r="H42" i="271"/>
  <c r="G42" i="271"/>
  <c r="J41" i="271"/>
  <c r="H41" i="271"/>
  <c r="G41" i="271"/>
  <c r="J40" i="271"/>
  <c r="H40" i="271"/>
  <c r="G40" i="271"/>
  <c r="J39" i="271"/>
  <c r="H39" i="271"/>
  <c r="G39" i="271"/>
  <c r="J38" i="271"/>
  <c r="H38" i="271"/>
  <c r="G38" i="271"/>
  <c r="J37" i="271"/>
  <c r="H37" i="271"/>
  <c r="G37" i="271"/>
  <c r="J36" i="271"/>
  <c r="H36" i="271"/>
  <c r="G36" i="271"/>
  <c r="J35" i="271"/>
  <c r="H35" i="271"/>
  <c r="G35" i="271"/>
  <c r="J34" i="271"/>
  <c r="H34" i="271"/>
  <c r="G34" i="271"/>
  <c r="J33" i="271"/>
  <c r="H33" i="271"/>
  <c r="G33" i="271"/>
  <c r="J32" i="271"/>
  <c r="H32" i="271"/>
  <c r="G32" i="271"/>
  <c r="J31" i="271"/>
  <c r="H31" i="271"/>
  <c r="G31" i="271"/>
  <c r="J30" i="271"/>
  <c r="H30" i="271"/>
  <c r="G30" i="271"/>
  <c r="J29" i="271"/>
  <c r="H29" i="271"/>
  <c r="G29" i="271"/>
  <c r="J28" i="271"/>
  <c r="H28" i="271"/>
  <c r="G28" i="271"/>
  <c r="J27" i="271"/>
  <c r="H27" i="271"/>
  <c r="G27" i="271"/>
  <c r="J26" i="271"/>
  <c r="H26" i="271"/>
  <c r="G26" i="271"/>
  <c r="J25" i="271"/>
  <c r="H25" i="271"/>
  <c r="G25" i="271"/>
  <c r="J24" i="271"/>
  <c r="H24" i="271"/>
  <c r="G24" i="271"/>
  <c r="J23" i="271"/>
  <c r="H23" i="271"/>
  <c r="G23" i="271"/>
  <c r="J22" i="271"/>
  <c r="H22" i="271"/>
  <c r="G22" i="271"/>
  <c r="J21" i="271"/>
  <c r="H21" i="271"/>
  <c r="G21" i="271"/>
  <c r="J20" i="271"/>
  <c r="H20" i="271"/>
  <c r="G20" i="271"/>
  <c r="J19" i="271"/>
  <c r="H19" i="271"/>
  <c r="G19" i="271"/>
  <c r="J18" i="271"/>
  <c r="H18" i="271"/>
  <c r="G18" i="271"/>
  <c r="J17" i="271"/>
  <c r="H17" i="271"/>
  <c r="G17" i="271"/>
  <c r="J16" i="271"/>
  <c r="H16" i="271"/>
  <c r="G16" i="271"/>
  <c r="J15" i="271"/>
  <c r="H15" i="271"/>
  <c r="G15" i="271"/>
  <c r="J14" i="271"/>
  <c r="H14" i="271"/>
  <c r="G14" i="271"/>
  <c r="J13" i="271"/>
  <c r="H13" i="271"/>
  <c r="G13" i="271"/>
  <c r="J12" i="271"/>
  <c r="H12" i="271"/>
  <c r="G12" i="271"/>
  <c r="J11" i="271"/>
  <c r="H11" i="271"/>
  <c r="G11" i="271"/>
  <c r="J10" i="271"/>
  <c r="H10" i="271"/>
  <c r="G10" i="271"/>
  <c r="J9" i="271"/>
  <c r="H9" i="271"/>
  <c r="G9" i="271"/>
  <c r="J8" i="271"/>
  <c r="H8" i="271"/>
  <c r="G8" i="271"/>
  <c r="J7" i="271"/>
  <c r="H7" i="271"/>
  <c r="G7" i="271"/>
  <c r="J6" i="271"/>
  <c r="H6" i="271"/>
  <c r="G6" i="271"/>
  <c r="J5" i="271"/>
  <c r="H5" i="271"/>
  <c r="G5" i="271"/>
  <c r="J4" i="271"/>
  <c r="H4" i="271"/>
  <c r="G4" i="271"/>
  <c r="J3" i="271"/>
  <c r="H3" i="271"/>
  <c r="G3" i="271"/>
  <c r="J2" i="271"/>
  <c r="H2" i="271"/>
  <c r="G2" i="271"/>
  <c r="J171" i="269"/>
  <c r="H171" i="269"/>
  <c r="G171" i="269"/>
  <c r="J170" i="269"/>
  <c r="H170" i="269"/>
  <c r="G170" i="269"/>
  <c r="J169" i="269"/>
  <c r="H169" i="269"/>
  <c r="G169" i="269"/>
  <c r="J168" i="269"/>
  <c r="H168" i="269"/>
  <c r="G168" i="269"/>
  <c r="J167" i="269"/>
  <c r="H167" i="269"/>
  <c r="G167" i="269"/>
  <c r="J166" i="269"/>
  <c r="H166" i="269"/>
  <c r="G166" i="269"/>
  <c r="J165" i="269"/>
  <c r="H165" i="269"/>
  <c r="G165" i="269"/>
  <c r="J164" i="269"/>
  <c r="H164" i="269"/>
  <c r="G164" i="269"/>
  <c r="J163" i="269"/>
  <c r="H163" i="269"/>
  <c r="G163" i="269"/>
  <c r="J162" i="269"/>
  <c r="H162" i="269"/>
  <c r="G162" i="269"/>
  <c r="J161" i="269"/>
  <c r="H161" i="269"/>
  <c r="G161" i="269"/>
  <c r="J160" i="269"/>
  <c r="H160" i="269"/>
  <c r="G160" i="269"/>
  <c r="J159" i="269"/>
  <c r="H159" i="269"/>
  <c r="G159" i="269"/>
  <c r="J158" i="269"/>
  <c r="H158" i="269"/>
  <c r="G158" i="269"/>
  <c r="J157" i="269"/>
  <c r="H157" i="269"/>
  <c r="G157" i="269"/>
  <c r="J156" i="269"/>
  <c r="H156" i="269"/>
  <c r="G156" i="269"/>
  <c r="J155" i="269"/>
  <c r="H155" i="269"/>
  <c r="G155" i="269"/>
  <c r="J154" i="269"/>
  <c r="H154" i="269"/>
  <c r="G154" i="269"/>
  <c r="J153" i="269"/>
  <c r="H153" i="269"/>
  <c r="G153" i="269"/>
  <c r="J152" i="269"/>
  <c r="H152" i="269"/>
  <c r="G152" i="269"/>
  <c r="J151" i="269"/>
  <c r="H151" i="269"/>
  <c r="G151" i="269"/>
  <c r="J150" i="269"/>
  <c r="H150" i="269"/>
  <c r="G150" i="269"/>
  <c r="J149" i="269"/>
  <c r="H149" i="269"/>
  <c r="G149" i="269"/>
  <c r="J148" i="269"/>
  <c r="H148" i="269"/>
  <c r="G148" i="269"/>
  <c r="J147" i="269"/>
  <c r="H147" i="269"/>
  <c r="G147" i="269"/>
  <c r="J146" i="269"/>
  <c r="H146" i="269"/>
  <c r="G146" i="269"/>
  <c r="J145" i="269"/>
  <c r="H145" i="269"/>
  <c r="G145" i="269"/>
  <c r="J144" i="269"/>
  <c r="H144" i="269"/>
  <c r="G144" i="269"/>
  <c r="J143" i="269"/>
  <c r="H143" i="269"/>
  <c r="G143" i="269"/>
  <c r="J142" i="269"/>
  <c r="H142" i="269"/>
  <c r="G142" i="269"/>
  <c r="J141" i="269"/>
  <c r="H141" i="269"/>
  <c r="G141" i="269"/>
  <c r="J140" i="269"/>
  <c r="H140" i="269"/>
  <c r="G140" i="269"/>
  <c r="J139" i="269"/>
  <c r="H139" i="269"/>
  <c r="G139" i="269"/>
  <c r="J138" i="269"/>
  <c r="H138" i="269"/>
  <c r="G138" i="269"/>
  <c r="J137" i="269"/>
  <c r="H137" i="269"/>
  <c r="G137" i="269"/>
  <c r="J136" i="269"/>
  <c r="H136" i="269"/>
  <c r="G136" i="269"/>
  <c r="J135" i="269"/>
  <c r="H135" i="269"/>
  <c r="G135" i="269"/>
  <c r="J134" i="269"/>
  <c r="H134" i="269"/>
  <c r="G134" i="269"/>
  <c r="J133" i="269"/>
  <c r="H133" i="269"/>
  <c r="G133" i="269"/>
  <c r="J132" i="269"/>
  <c r="H132" i="269"/>
  <c r="G132" i="269"/>
  <c r="J131" i="269"/>
  <c r="H131" i="269"/>
  <c r="G131" i="269"/>
  <c r="J130" i="269"/>
  <c r="H130" i="269"/>
  <c r="G130" i="269"/>
  <c r="J129" i="269"/>
  <c r="H129" i="269"/>
  <c r="G129" i="269"/>
  <c r="J128" i="269"/>
  <c r="H128" i="269"/>
  <c r="G128" i="269"/>
  <c r="J127" i="269"/>
  <c r="H127" i="269"/>
  <c r="G127" i="269"/>
  <c r="J126" i="269"/>
  <c r="H126" i="269"/>
  <c r="G126" i="269"/>
  <c r="J125" i="269"/>
  <c r="H125" i="269"/>
  <c r="G125" i="269"/>
  <c r="J124" i="269"/>
  <c r="H124" i="269"/>
  <c r="G124" i="269"/>
  <c r="J123" i="269"/>
  <c r="H123" i="269"/>
  <c r="G123" i="269"/>
  <c r="J122" i="269"/>
  <c r="H122" i="269"/>
  <c r="G122" i="269"/>
  <c r="J121" i="269"/>
  <c r="H121" i="269"/>
  <c r="G121" i="269"/>
  <c r="J120" i="269"/>
  <c r="H120" i="269"/>
  <c r="G120" i="269"/>
  <c r="J119" i="269"/>
  <c r="H119" i="269"/>
  <c r="G119" i="269"/>
  <c r="J118" i="269"/>
  <c r="H118" i="269"/>
  <c r="G118" i="269"/>
  <c r="J117" i="269"/>
  <c r="H117" i="269"/>
  <c r="G117" i="269"/>
  <c r="J116" i="269"/>
  <c r="H116" i="269"/>
  <c r="G116" i="269"/>
  <c r="J115" i="269"/>
  <c r="H115" i="269"/>
  <c r="G115" i="269"/>
  <c r="J114" i="269"/>
  <c r="H114" i="269"/>
  <c r="G114" i="269"/>
  <c r="J113" i="269"/>
  <c r="H113" i="269"/>
  <c r="G113" i="269"/>
  <c r="J112" i="269"/>
  <c r="H112" i="269"/>
  <c r="G112" i="269"/>
  <c r="J111" i="269"/>
  <c r="H111" i="269"/>
  <c r="G111" i="269"/>
  <c r="J110" i="269"/>
  <c r="H110" i="269"/>
  <c r="G110" i="269"/>
  <c r="J109" i="269"/>
  <c r="H109" i="269"/>
  <c r="G109" i="269"/>
  <c r="J108" i="269"/>
  <c r="H108" i="269"/>
  <c r="G108" i="269"/>
  <c r="J107" i="269"/>
  <c r="H107" i="269"/>
  <c r="G107" i="269"/>
  <c r="J106" i="269"/>
  <c r="H106" i="269"/>
  <c r="G106" i="269"/>
  <c r="J105" i="269"/>
  <c r="H105" i="269"/>
  <c r="G105" i="269"/>
  <c r="J104" i="269"/>
  <c r="H104" i="269"/>
  <c r="G104" i="269"/>
  <c r="J103" i="269"/>
  <c r="H103" i="269"/>
  <c r="G103" i="269"/>
  <c r="J102" i="269"/>
  <c r="H102" i="269"/>
  <c r="G102" i="269"/>
  <c r="J101" i="269"/>
  <c r="H101" i="269"/>
  <c r="G101" i="269"/>
  <c r="J100" i="269"/>
  <c r="H100" i="269"/>
  <c r="G100" i="269"/>
  <c r="J99" i="269"/>
  <c r="H99" i="269"/>
  <c r="G99" i="269"/>
  <c r="J98" i="269"/>
  <c r="H98" i="269"/>
  <c r="G98" i="269"/>
  <c r="J97" i="269"/>
  <c r="H97" i="269"/>
  <c r="G97" i="269"/>
  <c r="J96" i="269"/>
  <c r="H96" i="269"/>
  <c r="G96" i="269"/>
  <c r="J95" i="269"/>
  <c r="H95" i="269"/>
  <c r="G95" i="269"/>
  <c r="J94" i="269"/>
  <c r="H94" i="269"/>
  <c r="G94" i="269"/>
  <c r="J93" i="269"/>
  <c r="H93" i="269"/>
  <c r="G93" i="269"/>
  <c r="J92" i="269"/>
  <c r="H92" i="269"/>
  <c r="G92" i="269"/>
  <c r="J91" i="269"/>
  <c r="H91" i="269"/>
  <c r="G91" i="269"/>
  <c r="J90" i="269"/>
  <c r="H90" i="269"/>
  <c r="G90" i="269"/>
  <c r="J89" i="269"/>
  <c r="H89" i="269"/>
  <c r="G89" i="269"/>
  <c r="J88" i="269"/>
  <c r="H88" i="269"/>
  <c r="G88" i="269"/>
  <c r="J87" i="269"/>
  <c r="H87" i="269"/>
  <c r="G87" i="269"/>
  <c r="J86" i="269"/>
  <c r="H86" i="269"/>
  <c r="G86" i="269"/>
  <c r="J85" i="269"/>
  <c r="H85" i="269"/>
  <c r="G85" i="269"/>
  <c r="J84" i="269"/>
  <c r="H84" i="269"/>
  <c r="G84" i="269"/>
  <c r="J83" i="269"/>
  <c r="H83" i="269"/>
  <c r="G83" i="269"/>
  <c r="J82" i="269"/>
  <c r="H82" i="269"/>
  <c r="G82" i="269"/>
  <c r="J81" i="269"/>
  <c r="H81" i="269"/>
  <c r="G81" i="269"/>
  <c r="J80" i="269"/>
  <c r="H80" i="269"/>
  <c r="G80" i="269"/>
  <c r="J79" i="269"/>
  <c r="H79" i="269"/>
  <c r="G79" i="269"/>
  <c r="J78" i="269"/>
  <c r="H78" i="269"/>
  <c r="G78" i="269"/>
  <c r="J77" i="269"/>
  <c r="H77" i="269"/>
  <c r="G77" i="269"/>
  <c r="J76" i="269"/>
  <c r="H76" i="269"/>
  <c r="G76" i="269"/>
  <c r="J75" i="269"/>
  <c r="H75" i="269"/>
  <c r="G75" i="269"/>
  <c r="J74" i="269"/>
  <c r="H74" i="269"/>
  <c r="G74" i="269"/>
  <c r="J73" i="269"/>
  <c r="H73" i="269"/>
  <c r="G73" i="269"/>
  <c r="J72" i="269"/>
  <c r="H72" i="269"/>
  <c r="G72" i="269"/>
  <c r="J71" i="269"/>
  <c r="H71" i="269"/>
  <c r="G71" i="269"/>
  <c r="J70" i="269"/>
  <c r="H70" i="269"/>
  <c r="G70" i="269"/>
  <c r="J69" i="269"/>
  <c r="H69" i="269"/>
  <c r="G69" i="269"/>
  <c r="J68" i="269"/>
  <c r="H68" i="269"/>
  <c r="G68" i="269"/>
  <c r="J67" i="269"/>
  <c r="H67" i="269"/>
  <c r="G67" i="269"/>
  <c r="J66" i="269"/>
  <c r="H66" i="269"/>
  <c r="G66" i="269"/>
  <c r="J65" i="269"/>
  <c r="H65" i="269"/>
  <c r="G65" i="269"/>
  <c r="J64" i="269"/>
  <c r="H64" i="269"/>
  <c r="G64" i="269"/>
  <c r="J63" i="269"/>
  <c r="H63" i="269"/>
  <c r="G63" i="269"/>
  <c r="J62" i="269"/>
  <c r="H62" i="269"/>
  <c r="G62" i="269"/>
  <c r="J61" i="269"/>
  <c r="H61" i="269"/>
  <c r="G61" i="269"/>
  <c r="J60" i="269"/>
  <c r="H60" i="269"/>
  <c r="G60" i="269"/>
  <c r="J59" i="269"/>
  <c r="H59" i="269"/>
  <c r="G59" i="269"/>
  <c r="J58" i="269"/>
  <c r="H58" i="269"/>
  <c r="G58" i="269"/>
  <c r="J57" i="269"/>
  <c r="H57" i="269"/>
  <c r="G57" i="269"/>
  <c r="J56" i="269"/>
  <c r="H56" i="269"/>
  <c r="G56" i="269"/>
  <c r="J55" i="269"/>
  <c r="H55" i="269"/>
  <c r="G55" i="269"/>
  <c r="J54" i="269"/>
  <c r="H54" i="269"/>
  <c r="G54" i="269"/>
  <c r="J53" i="269"/>
  <c r="H53" i="269"/>
  <c r="G53" i="269"/>
  <c r="J52" i="269"/>
  <c r="H52" i="269"/>
  <c r="G52" i="269"/>
  <c r="J51" i="269"/>
  <c r="H51" i="269"/>
  <c r="G51" i="269"/>
  <c r="J50" i="269"/>
  <c r="H50" i="269"/>
  <c r="G50" i="269"/>
  <c r="J49" i="269"/>
  <c r="H49" i="269"/>
  <c r="G49" i="269"/>
  <c r="J48" i="269"/>
  <c r="H48" i="269"/>
  <c r="G48" i="269"/>
  <c r="J47" i="269"/>
  <c r="H47" i="269"/>
  <c r="G47" i="269"/>
  <c r="J46" i="269"/>
  <c r="H46" i="269"/>
  <c r="G46" i="269"/>
  <c r="J45" i="269"/>
  <c r="H45" i="269"/>
  <c r="G45" i="269"/>
  <c r="J44" i="269"/>
  <c r="H44" i="269"/>
  <c r="G44" i="269"/>
  <c r="J43" i="269"/>
  <c r="H43" i="269"/>
  <c r="G43" i="269"/>
  <c r="J42" i="269"/>
  <c r="H42" i="269"/>
  <c r="G42" i="269"/>
  <c r="J41" i="269"/>
  <c r="H41" i="269"/>
  <c r="G41" i="269"/>
  <c r="J40" i="269"/>
  <c r="H40" i="269"/>
  <c r="G40" i="269"/>
  <c r="J39" i="269"/>
  <c r="H39" i="269"/>
  <c r="G39" i="269"/>
  <c r="J38" i="269"/>
  <c r="H38" i="269"/>
  <c r="G38" i="269"/>
  <c r="J37" i="269"/>
  <c r="H37" i="269"/>
  <c r="G37" i="269"/>
  <c r="J36" i="269"/>
  <c r="H36" i="269"/>
  <c r="G36" i="269"/>
  <c r="J35" i="269"/>
  <c r="H35" i="269"/>
  <c r="G35" i="269"/>
  <c r="J34" i="269"/>
  <c r="H34" i="269"/>
  <c r="G34" i="269"/>
  <c r="J33" i="269"/>
  <c r="H33" i="269"/>
  <c r="G33" i="269"/>
  <c r="J32" i="269"/>
  <c r="H32" i="269"/>
  <c r="G32" i="269"/>
  <c r="J31" i="269"/>
  <c r="H31" i="269"/>
  <c r="G31" i="269"/>
  <c r="J30" i="269"/>
  <c r="H30" i="269"/>
  <c r="G30" i="269"/>
  <c r="J29" i="269"/>
  <c r="H29" i="269"/>
  <c r="G29" i="269"/>
  <c r="J28" i="269"/>
  <c r="H28" i="269"/>
  <c r="G28" i="269"/>
  <c r="J27" i="269"/>
  <c r="H27" i="269"/>
  <c r="G27" i="269"/>
  <c r="J26" i="269"/>
  <c r="H26" i="269"/>
  <c r="G26" i="269"/>
  <c r="J25" i="269"/>
  <c r="H25" i="269"/>
  <c r="G25" i="269"/>
  <c r="J24" i="269"/>
  <c r="H24" i="269"/>
  <c r="G24" i="269"/>
  <c r="J23" i="269"/>
  <c r="H23" i="269"/>
  <c r="G23" i="269"/>
  <c r="J22" i="269"/>
  <c r="H22" i="269"/>
  <c r="G22" i="269"/>
  <c r="J21" i="269"/>
  <c r="H21" i="269"/>
  <c r="G21" i="269"/>
  <c r="J20" i="269"/>
  <c r="H20" i="269"/>
  <c r="G20" i="269"/>
  <c r="J19" i="269"/>
  <c r="H19" i="269"/>
  <c r="G19" i="269"/>
  <c r="J18" i="269"/>
  <c r="H18" i="269"/>
  <c r="G18" i="269"/>
  <c r="J17" i="269"/>
  <c r="H17" i="269"/>
  <c r="G17" i="269"/>
  <c r="J16" i="269"/>
  <c r="H16" i="269"/>
  <c r="G16" i="269"/>
  <c r="J15" i="269"/>
  <c r="H15" i="269"/>
  <c r="G15" i="269"/>
  <c r="J14" i="269"/>
  <c r="H14" i="269"/>
  <c r="G14" i="269"/>
  <c r="J13" i="269"/>
  <c r="H13" i="269"/>
  <c r="G13" i="269"/>
  <c r="J12" i="269"/>
  <c r="H12" i="269"/>
  <c r="G12" i="269"/>
  <c r="J11" i="269"/>
  <c r="H11" i="269"/>
  <c r="G11" i="269"/>
  <c r="J10" i="269"/>
  <c r="H10" i="269"/>
  <c r="G10" i="269"/>
  <c r="J9" i="269"/>
  <c r="H9" i="269"/>
  <c r="G9" i="269"/>
  <c r="J8" i="269"/>
  <c r="H8" i="269"/>
  <c r="G8" i="269"/>
  <c r="J7" i="269"/>
  <c r="H7" i="269"/>
  <c r="G7" i="269"/>
  <c r="J6" i="269"/>
  <c r="H6" i="269"/>
  <c r="G6" i="269"/>
  <c r="J5" i="269"/>
  <c r="H5" i="269"/>
  <c r="G5" i="269"/>
  <c r="J4" i="269"/>
  <c r="H4" i="269"/>
  <c r="G4" i="269"/>
  <c r="J3" i="269"/>
  <c r="H3" i="269"/>
  <c r="G3" i="269"/>
  <c r="J2" i="269"/>
  <c r="H2" i="269"/>
  <c r="G2" i="269"/>
  <c r="J165" i="268"/>
  <c r="H165" i="268"/>
  <c r="G165" i="268"/>
  <c r="J164" i="268"/>
  <c r="H164" i="268"/>
  <c r="G164" i="268"/>
  <c r="J163" i="268"/>
  <c r="H163" i="268"/>
  <c r="G163" i="268"/>
  <c r="J162" i="268"/>
  <c r="H162" i="268"/>
  <c r="G162" i="268"/>
  <c r="J161" i="268"/>
  <c r="H161" i="268"/>
  <c r="G161" i="268"/>
  <c r="J160" i="268"/>
  <c r="H160" i="268"/>
  <c r="G160" i="268"/>
  <c r="J159" i="268"/>
  <c r="H159" i="268"/>
  <c r="G159" i="268"/>
  <c r="J158" i="268"/>
  <c r="H158" i="268"/>
  <c r="G158" i="268"/>
  <c r="J157" i="268"/>
  <c r="H157" i="268"/>
  <c r="G157" i="268"/>
  <c r="J156" i="268"/>
  <c r="H156" i="268"/>
  <c r="G156" i="268"/>
  <c r="J155" i="268"/>
  <c r="H155" i="268"/>
  <c r="G155" i="268"/>
  <c r="J154" i="268"/>
  <c r="H154" i="268"/>
  <c r="G154" i="268"/>
  <c r="J153" i="268"/>
  <c r="H153" i="268"/>
  <c r="G153" i="268"/>
  <c r="J152" i="268"/>
  <c r="H152" i="268"/>
  <c r="G152" i="268"/>
  <c r="J151" i="268"/>
  <c r="H151" i="268"/>
  <c r="G151" i="268"/>
  <c r="J150" i="268"/>
  <c r="H150" i="268"/>
  <c r="G150" i="268"/>
  <c r="J149" i="268"/>
  <c r="H149" i="268"/>
  <c r="G149" i="268"/>
  <c r="J148" i="268"/>
  <c r="H148" i="268"/>
  <c r="G148" i="268"/>
  <c r="J147" i="268"/>
  <c r="H147" i="268"/>
  <c r="G147" i="268"/>
  <c r="J146" i="268"/>
  <c r="H146" i="268"/>
  <c r="G146" i="268"/>
  <c r="J145" i="268"/>
  <c r="H145" i="268"/>
  <c r="G145" i="268"/>
  <c r="J144" i="268"/>
  <c r="H144" i="268"/>
  <c r="G144" i="268"/>
  <c r="J143" i="268"/>
  <c r="H143" i="268"/>
  <c r="G143" i="268"/>
  <c r="J142" i="268"/>
  <c r="H142" i="268"/>
  <c r="G142" i="268"/>
  <c r="J141" i="268"/>
  <c r="H141" i="268"/>
  <c r="G141" i="268"/>
  <c r="J140" i="268"/>
  <c r="H140" i="268"/>
  <c r="G140" i="268"/>
  <c r="J139" i="268"/>
  <c r="H139" i="268"/>
  <c r="G139" i="268"/>
  <c r="J138" i="268"/>
  <c r="H138" i="268"/>
  <c r="G138" i="268"/>
  <c r="J137" i="268"/>
  <c r="H137" i="268"/>
  <c r="G137" i="268"/>
  <c r="J136" i="268"/>
  <c r="H136" i="268"/>
  <c r="G136" i="268"/>
  <c r="J135" i="268"/>
  <c r="H135" i="268"/>
  <c r="G135" i="268"/>
  <c r="J134" i="268"/>
  <c r="H134" i="268"/>
  <c r="G134" i="268"/>
  <c r="J133" i="268"/>
  <c r="H133" i="268"/>
  <c r="G133" i="268"/>
  <c r="J132" i="268"/>
  <c r="H132" i="268"/>
  <c r="G132" i="268"/>
  <c r="J131" i="268"/>
  <c r="H131" i="268"/>
  <c r="G131" i="268"/>
  <c r="J130" i="268"/>
  <c r="H130" i="268"/>
  <c r="G130" i="268"/>
  <c r="J129" i="268"/>
  <c r="H129" i="268"/>
  <c r="G129" i="268"/>
  <c r="J128" i="268"/>
  <c r="H128" i="268"/>
  <c r="G128" i="268"/>
  <c r="J127" i="268"/>
  <c r="H127" i="268"/>
  <c r="G127" i="268"/>
  <c r="J126" i="268"/>
  <c r="H126" i="268"/>
  <c r="G126" i="268"/>
  <c r="J125" i="268"/>
  <c r="H125" i="268"/>
  <c r="G125" i="268"/>
  <c r="J124" i="268"/>
  <c r="H124" i="268"/>
  <c r="G124" i="268"/>
  <c r="J123" i="268"/>
  <c r="H123" i="268"/>
  <c r="G123" i="268"/>
  <c r="J122" i="268"/>
  <c r="H122" i="268"/>
  <c r="G122" i="268"/>
  <c r="J121" i="268"/>
  <c r="H121" i="268"/>
  <c r="G121" i="268"/>
  <c r="J120" i="268"/>
  <c r="H120" i="268"/>
  <c r="G120" i="268"/>
  <c r="J119" i="268"/>
  <c r="H119" i="268"/>
  <c r="G119" i="268"/>
  <c r="J118" i="268"/>
  <c r="H118" i="268"/>
  <c r="G118" i="268"/>
  <c r="J117" i="268"/>
  <c r="H117" i="268"/>
  <c r="G117" i="268"/>
  <c r="J116" i="268"/>
  <c r="H116" i="268"/>
  <c r="G116" i="268"/>
  <c r="J115" i="268"/>
  <c r="H115" i="268"/>
  <c r="G115" i="268"/>
  <c r="J114" i="268"/>
  <c r="H114" i="268"/>
  <c r="G114" i="268"/>
  <c r="J113" i="268"/>
  <c r="H113" i="268"/>
  <c r="G113" i="268"/>
  <c r="J112" i="268"/>
  <c r="H112" i="268"/>
  <c r="G112" i="268"/>
  <c r="J111" i="268"/>
  <c r="H111" i="268"/>
  <c r="G111" i="268"/>
  <c r="J110" i="268"/>
  <c r="H110" i="268"/>
  <c r="G110" i="268"/>
  <c r="J109" i="268"/>
  <c r="H109" i="268"/>
  <c r="G109" i="268"/>
  <c r="J108" i="268"/>
  <c r="H108" i="268"/>
  <c r="G108" i="268"/>
  <c r="J107" i="268"/>
  <c r="H107" i="268"/>
  <c r="G107" i="268"/>
  <c r="J106" i="268"/>
  <c r="H106" i="268"/>
  <c r="G106" i="268"/>
  <c r="J105" i="268"/>
  <c r="H105" i="268"/>
  <c r="G105" i="268"/>
  <c r="J104" i="268"/>
  <c r="H104" i="268"/>
  <c r="G104" i="268"/>
  <c r="J103" i="268"/>
  <c r="H103" i="268"/>
  <c r="G103" i="268"/>
  <c r="J102" i="268"/>
  <c r="H102" i="268"/>
  <c r="G102" i="268"/>
  <c r="J101" i="268"/>
  <c r="H101" i="268"/>
  <c r="G101" i="268"/>
  <c r="J100" i="268"/>
  <c r="H100" i="268"/>
  <c r="G100" i="268"/>
  <c r="J99" i="268"/>
  <c r="H99" i="268"/>
  <c r="G99" i="268"/>
  <c r="J98" i="268"/>
  <c r="H98" i="268"/>
  <c r="G98" i="268"/>
  <c r="J97" i="268"/>
  <c r="H97" i="268"/>
  <c r="G97" i="268"/>
  <c r="J96" i="268"/>
  <c r="H96" i="268"/>
  <c r="G96" i="268"/>
  <c r="J95" i="268"/>
  <c r="H95" i="268"/>
  <c r="G95" i="268"/>
  <c r="J94" i="268"/>
  <c r="H94" i="268"/>
  <c r="G94" i="268"/>
  <c r="J93" i="268"/>
  <c r="H93" i="268"/>
  <c r="G93" i="268"/>
  <c r="J92" i="268"/>
  <c r="H92" i="268"/>
  <c r="G92" i="268"/>
  <c r="J91" i="268"/>
  <c r="H91" i="268"/>
  <c r="G91" i="268"/>
  <c r="J90" i="268"/>
  <c r="H90" i="268"/>
  <c r="G90" i="268"/>
  <c r="J89" i="268"/>
  <c r="H89" i="268"/>
  <c r="G89" i="268"/>
  <c r="J88" i="268"/>
  <c r="H88" i="268"/>
  <c r="G88" i="268"/>
  <c r="J87" i="268"/>
  <c r="H87" i="268"/>
  <c r="G87" i="268"/>
  <c r="J86" i="268"/>
  <c r="H86" i="268"/>
  <c r="G86" i="268"/>
  <c r="J85" i="268"/>
  <c r="H85" i="268"/>
  <c r="G85" i="268"/>
  <c r="J84" i="268"/>
  <c r="H84" i="268"/>
  <c r="G84" i="268"/>
  <c r="J83" i="268"/>
  <c r="H83" i="268"/>
  <c r="G83" i="268"/>
  <c r="J82" i="268"/>
  <c r="H82" i="268"/>
  <c r="G82" i="268"/>
  <c r="J81" i="268"/>
  <c r="H81" i="268"/>
  <c r="G81" i="268"/>
  <c r="J80" i="268"/>
  <c r="H80" i="268"/>
  <c r="G80" i="268"/>
  <c r="J79" i="268"/>
  <c r="H79" i="268"/>
  <c r="G79" i="268"/>
  <c r="J78" i="268"/>
  <c r="H78" i="268"/>
  <c r="G78" i="268"/>
  <c r="J77" i="268"/>
  <c r="H77" i="268"/>
  <c r="G77" i="268"/>
  <c r="J76" i="268"/>
  <c r="H76" i="268"/>
  <c r="G76" i="268"/>
  <c r="J75" i="268"/>
  <c r="H75" i="268"/>
  <c r="G75" i="268"/>
  <c r="J74" i="268"/>
  <c r="H74" i="268"/>
  <c r="G74" i="268"/>
  <c r="J73" i="268"/>
  <c r="H73" i="268"/>
  <c r="G73" i="268"/>
  <c r="J72" i="268"/>
  <c r="H72" i="268"/>
  <c r="G72" i="268"/>
  <c r="J71" i="268"/>
  <c r="H71" i="268"/>
  <c r="G71" i="268"/>
  <c r="J70" i="268"/>
  <c r="H70" i="268"/>
  <c r="G70" i="268"/>
  <c r="J69" i="268"/>
  <c r="H69" i="268"/>
  <c r="G69" i="268"/>
  <c r="J68" i="268"/>
  <c r="H68" i="268"/>
  <c r="G68" i="268"/>
  <c r="J67" i="268"/>
  <c r="H67" i="268"/>
  <c r="G67" i="268"/>
  <c r="J66" i="268"/>
  <c r="H66" i="268"/>
  <c r="G66" i="268"/>
  <c r="J65" i="268"/>
  <c r="H65" i="268"/>
  <c r="G65" i="268"/>
  <c r="J64" i="268"/>
  <c r="H64" i="268"/>
  <c r="G64" i="268"/>
  <c r="J63" i="268"/>
  <c r="H63" i="268"/>
  <c r="G63" i="268"/>
  <c r="J62" i="268"/>
  <c r="H62" i="268"/>
  <c r="G62" i="268"/>
  <c r="J61" i="268"/>
  <c r="H61" i="268"/>
  <c r="G61" i="268"/>
  <c r="J60" i="268"/>
  <c r="H60" i="268"/>
  <c r="G60" i="268"/>
  <c r="J59" i="268"/>
  <c r="H59" i="268"/>
  <c r="G59" i="268"/>
  <c r="J58" i="268"/>
  <c r="H58" i="268"/>
  <c r="G58" i="268"/>
  <c r="J57" i="268"/>
  <c r="H57" i="268"/>
  <c r="G57" i="268"/>
  <c r="J56" i="268"/>
  <c r="H56" i="268"/>
  <c r="G56" i="268"/>
  <c r="J55" i="268"/>
  <c r="H55" i="268"/>
  <c r="G55" i="268"/>
  <c r="J54" i="268"/>
  <c r="H54" i="268"/>
  <c r="G54" i="268"/>
  <c r="J53" i="268"/>
  <c r="H53" i="268"/>
  <c r="G53" i="268"/>
  <c r="J52" i="268"/>
  <c r="H52" i="268"/>
  <c r="G52" i="268"/>
  <c r="J51" i="268"/>
  <c r="H51" i="268"/>
  <c r="G51" i="268"/>
  <c r="J50" i="268"/>
  <c r="H50" i="268"/>
  <c r="G50" i="268"/>
  <c r="J49" i="268"/>
  <c r="H49" i="268"/>
  <c r="G49" i="268"/>
  <c r="J48" i="268"/>
  <c r="H48" i="268"/>
  <c r="G48" i="268"/>
  <c r="J47" i="268"/>
  <c r="H47" i="268"/>
  <c r="G47" i="268"/>
  <c r="J46" i="268"/>
  <c r="H46" i="268"/>
  <c r="G46" i="268"/>
  <c r="J45" i="268"/>
  <c r="H45" i="268"/>
  <c r="G45" i="268"/>
  <c r="J44" i="268"/>
  <c r="H44" i="268"/>
  <c r="G44" i="268"/>
  <c r="J43" i="268"/>
  <c r="H43" i="268"/>
  <c r="G43" i="268"/>
  <c r="J42" i="268"/>
  <c r="H42" i="268"/>
  <c r="G42" i="268"/>
  <c r="J41" i="268"/>
  <c r="H41" i="268"/>
  <c r="G41" i="268"/>
  <c r="J40" i="268"/>
  <c r="H40" i="268"/>
  <c r="G40" i="268"/>
  <c r="J39" i="268"/>
  <c r="H39" i="268"/>
  <c r="G39" i="268"/>
  <c r="J38" i="268"/>
  <c r="H38" i="268"/>
  <c r="G38" i="268"/>
  <c r="J37" i="268"/>
  <c r="H37" i="268"/>
  <c r="G37" i="268"/>
  <c r="J36" i="268"/>
  <c r="H36" i="268"/>
  <c r="G36" i="268"/>
  <c r="J35" i="268"/>
  <c r="H35" i="268"/>
  <c r="G35" i="268"/>
  <c r="J34" i="268"/>
  <c r="H34" i="268"/>
  <c r="G34" i="268"/>
  <c r="J33" i="268"/>
  <c r="H33" i="268"/>
  <c r="G33" i="268"/>
  <c r="J32" i="268"/>
  <c r="H32" i="268"/>
  <c r="G32" i="268"/>
  <c r="J31" i="268"/>
  <c r="H31" i="268"/>
  <c r="G31" i="268"/>
  <c r="J30" i="268"/>
  <c r="H30" i="268"/>
  <c r="G30" i="268"/>
  <c r="J29" i="268"/>
  <c r="H29" i="268"/>
  <c r="G29" i="268"/>
  <c r="J28" i="268"/>
  <c r="H28" i="268"/>
  <c r="G28" i="268"/>
  <c r="J27" i="268"/>
  <c r="H27" i="268"/>
  <c r="G27" i="268"/>
  <c r="J26" i="268"/>
  <c r="H26" i="268"/>
  <c r="G26" i="268"/>
  <c r="J25" i="268"/>
  <c r="H25" i="268"/>
  <c r="G25" i="268"/>
  <c r="J24" i="268"/>
  <c r="H24" i="268"/>
  <c r="G24" i="268"/>
  <c r="J23" i="268"/>
  <c r="H23" i="268"/>
  <c r="G23" i="268"/>
  <c r="J22" i="268"/>
  <c r="H22" i="268"/>
  <c r="G22" i="268"/>
  <c r="J21" i="268"/>
  <c r="H21" i="268"/>
  <c r="G21" i="268"/>
  <c r="J20" i="268"/>
  <c r="H20" i="268"/>
  <c r="G20" i="268"/>
  <c r="J19" i="268"/>
  <c r="H19" i="268"/>
  <c r="G19" i="268"/>
  <c r="J18" i="268"/>
  <c r="H18" i="268"/>
  <c r="G18" i="268"/>
  <c r="J17" i="268"/>
  <c r="H17" i="268"/>
  <c r="G17" i="268"/>
  <c r="J16" i="268"/>
  <c r="H16" i="268"/>
  <c r="G16" i="268"/>
  <c r="J15" i="268"/>
  <c r="H15" i="268"/>
  <c r="G15" i="268"/>
  <c r="J14" i="268"/>
  <c r="H14" i="268"/>
  <c r="G14" i="268"/>
  <c r="J13" i="268"/>
  <c r="H13" i="268"/>
  <c r="G13" i="268"/>
  <c r="J12" i="268"/>
  <c r="H12" i="268"/>
  <c r="G12" i="268"/>
  <c r="J11" i="268"/>
  <c r="H11" i="268"/>
  <c r="G11" i="268"/>
  <c r="J10" i="268"/>
  <c r="H10" i="268"/>
  <c r="G10" i="268"/>
  <c r="J9" i="268"/>
  <c r="H9" i="268"/>
  <c r="G9" i="268"/>
  <c r="J8" i="268"/>
  <c r="H8" i="268"/>
  <c r="G8" i="268"/>
  <c r="J7" i="268"/>
  <c r="H7" i="268"/>
  <c r="G7" i="268"/>
  <c r="J6" i="268"/>
  <c r="H6" i="268"/>
  <c r="G6" i="268"/>
  <c r="J5" i="268"/>
  <c r="H5" i="268"/>
  <c r="G5" i="268"/>
  <c r="J4" i="268"/>
  <c r="H4" i="268"/>
  <c r="G4" i="268"/>
  <c r="J3" i="268"/>
  <c r="H3" i="268"/>
  <c r="G3" i="268"/>
  <c r="J2" i="268"/>
  <c r="H2" i="268"/>
  <c r="G2" i="268"/>
  <c r="J163" i="267"/>
  <c r="H163" i="267"/>
  <c r="G163" i="267"/>
  <c r="J162" i="267"/>
  <c r="H162" i="267"/>
  <c r="G162" i="267"/>
  <c r="J161" i="267"/>
  <c r="H161" i="267"/>
  <c r="G161" i="267"/>
  <c r="J160" i="267"/>
  <c r="H160" i="267"/>
  <c r="G160" i="267"/>
  <c r="J159" i="267"/>
  <c r="H159" i="267"/>
  <c r="G159" i="267"/>
  <c r="J158" i="267"/>
  <c r="H158" i="267"/>
  <c r="G158" i="267"/>
  <c r="J157" i="267"/>
  <c r="H157" i="267"/>
  <c r="G157" i="267"/>
  <c r="J156" i="267"/>
  <c r="H156" i="267"/>
  <c r="G156" i="267"/>
  <c r="J155" i="267"/>
  <c r="H155" i="267"/>
  <c r="G155" i="267"/>
  <c r="J154" i="267"/>
  <c r="H154" i="267"/>
  <c r="G154" i="267"/>
  <c r="J153" i="267"/>
  <c r="H153" i="267"/>
  <c r="G153" i="267"/>
  <c r="J152" i="267"/>
  <c r="H152" i="267"/>
  <c r="G152" i="267"/>
  <c r="J151" i="267"/>
  <c r="H151" i="267"/>
  <c r="G151" i="267"/>
  <c r="J150" i="267"/>
  <c r="H150" i="267"/>
  <c r="G150" i="267"/>
  <c r="J149" i="267"/>
  <c r="H149" i="267"/>
  <c r="G149" i="267"/>
  <c r="J148" i="267"/>
  <c r="H148" i="267"/>
  <c r="G148" i="267"/>
  <c r="J147" i="267"/>
  <c r="H147" i="267"/>
  <c r="G147" i="267"/>
  <c r="J146" i="267"/>
  <c r="H146" i="267"/>
  <c r="G146" i="267"/>
  <c r="J145" i="267"/>
  <c r="H145" i="267"/>
  <c r="G145" i="267"/>
  <c r="J144" i="267"/>
  <c r="H144" i="267"/>
  <c r="G144" i="267"/>
  <c r="J143" i="267"/>
  <c r="H143" i="267"/>
  <c r="G143" i="267"/>
  <c r="J142" i="267"/>
  <c r="H142" i="267"/>
  <c r="G142" i="267"/>
  <c r="J141" i="267"/>
  <c r="H141" i="267"/>
  <c r="G141" i="267"/>
  <c r="J140" i="267"/>
  <c r="H140" i="267"/>
  <c r="G140" i="267"/>
  <c r="J139" i="267"/>
  <c r="H139" i="267"/>
  <c r="G139" i="267"/>
  <c r="J138" i="267"/>
  <c r="H138" i="267"/>
  <c r="G138" i="267"/>
  <c r="J137" i="267"/>
  <c r="H137" i="267"/>
  <c r="G137" i="267"/>
  <c r="J136" i="267"/>
  <c r="H136" i="267"/>
  <c r="G136" i="267"/>
  <c r="J135" i="267"/>
  <c r="H135" i="267"/>
  <c r="G135" i="267"/>
  <c r="J134" i="267"/>
  <c r="H134" i="267"/>
  <c r="G134" i="267"/>
  <c r="J133" i="267"/>
  <c r="H133" i="267"/>
  <c r="G133" i="267"/>
  <c r="J132" i="267"/>
  <c r="H132" i="267"/>
  <c r="G132" i="267"/>
  <c r="J131" i="267"/>
  <c r="H131" i="267"/>
  <c r="G131" i="267"/>
  <c r="J130" i="267"/>
  <c r="H130" i="267"/>
  <c r="G130" i="267"/>
  <c r="J129" i="267"/>
  <c r="H129" i="267"/>
  <c r="G129" i="267"/>
  <c r="J128" i="267"/>
  <c r="H128" i="267"/>
  <c r="G128" i="267"/>
  <c r="J127" i="267"/>
  <c r="H127" i="267"/>
  <c r="G127" i="267"/>
  <c r="J126" i="267"/>
  <c r="H126" i="267"/>
  <c r="G126" i="267"/>
  <c r="J125" i="267"/>
  <c r="H125" i="267"/>
  <c r="G125" i="267"/>
  <c r="J124" i="267"/>
  <c r="H124" i="267"/>
  <c r="G124" i="267"/>
  <c r="J123" i="267"/>
  <c r="H123" i="267"/>
  <c r="G123" i="267"/>
  <c r="J122" i="267"/>
  <c r="H122" i="267"/>
  <c r="G122" i="267"/>
  <c r="J121" i="267"/>
  <c r="H121" i="267"/>
  <c r="G121" i="267"/>
  <c r="J120" i="267"/>
  <c r="H120" i="267"/>
  <c r="G120" i="267"/>
  <c r="J119" i="267"/>
  <c r="H119" i="267"/>
  <c r="G119" i="267"/>
  <c r="J118" i="267"/>
  <c r="H118" i="267"/>
  <c r="G118" i="267"/>
  <c r="J117" i="267"/>
  <c r="H117" i="267"/>
  <c r="G117" i="267"/>
  <c r="J116" i="267"/>
  <c r="H116" i="267"/>
  <c r="G116" i="267"/>
  <c r="J115" i="267"/>
  <c r="H115" i="267"/>
  <c r="G115" i="267"/>
  <c r="J114" i="267"/>
  <c r="H114" i="267"/>
  <c r="G114" i="267"/>
  <c r="J113" i="267"/>
  <c r="H113" i="267"/>
  <c r="G113" i="267"/>
  <c r="J112" i="267"/>
  <c r="H112" i="267"/>
  <c r="G112" i="267"/>
  <c r="J111" i="267"/>
  <c r="H111" i="267"/>
  <c r="G111" i="267"/>
  <c r="J110" i="267"/>
  <c r="H110" i="267"/>
  <c r="G110" i="267"/>
  <c r="J109" i="267"/>
  <c r="H109" i="267"/>
  <c r="G109" i="267"/>
  <c r="J108" i="267"/>
  <c r="H108" i="267"/>
  <c r="G108" i="267"/>
  <c r="J107" i="267"/>
  <c r="H107" i="267"/>
  <c r="G107" i="267"/>
  <c r="J106" i="267"/>
  <c r="H106" i="267"/>
  <c r="G106" i="267"/>
  <c r="J105" i="267"/>
  <c r="H105" i="267"/>
  <c r="G105" i="267"/>
  <c r="J104" i="267"/>
  <c r="H104" i="267"/>
  <c r="G104" i="267"/>
  <c r="J103" i="267"/>
  <c r="H103" i="267"/>
  <c r="G103" i="267"/>
  <c r="J102" i="267"/>
  <c r="H102" i="267"/>
  <c r="G102" i="267"/>
  <c r="J101" i="267"/>
  <c r="H101" i="267"/>
  <c r="G101" i="267"/>
  <c r="J100" i="267"/>
  <c r="H100" i="267"/>
  <c r="G100" i="267"/>
  <c r="J99" i="267"/>
  <c r="H99" i="267"/>
  <c r="G99" i="267"/>
  <c r="J98" i="267"/>
  <c r="H98" i="267"/>
  <c r="G98" i="267"/>
  <c r="J97" i="267"/>
  <c r="H97" i="267"/>
  <c r="G97" i="267"/>
  <c r="J96" i="267"/>
  <c r="H96" i="267"/>
  <c r="G96" i="267"/>
  <c r="J95" i="267"/>
  <c r="H95" i="267"/>
  <c r="G95" i="267"/>
  <c r="J94" i="267"/>
  <c r="H94" i="267"/>
  <c r="G94" i="267"/>
  <c r="J93" i="267"/>
  <c r="H93" i="267"/>
  <c r="G93" i="267"/>
  <c r="J92" i="267"/>
  <c r="H92" i="267"/>
  <c r="G92" i="267"/>
  <c r="J91" i="267"/>
  <c r="H91" i="267"/>
  <c r="G91" i="267"/>
  <c r="J90" i="267"/>
  <c r="H90" i="267"/>
  <c r="G90" i="267"/>
  <c r="J89" i="267"/>
  <c r="H89" i="267"/>
  <c r="G89" i="267"/>
  <c r="J88" i="267"/>
  <c r="H88" i="267"/>
  <c r="G88" i="267"/>
  <c r="J87" i="267"/>
  <c r="H87" i="267"/>
  <c r="G87" i="267"/>
  <c r="J86" i="267"/>
  <c r="H86" i="267"/>
  <c r="G86" i="267"/>
  <c r="J85" i="267"/>
  <c r="H85" i="267"/>
  <c r="G85" i="267"/>
  <c r="J84" i="267"/>
  <c r="H84" i="267"/>
  <c r="G84" i="267"/>
  <c r="J83" i="267"/>
  <c r="H83" i="267"/>
  <c r="G83" i="267"/>
  <c r="J82" i="267"/>
  <c r="H82" i="267"/>
  <c r="G82" i="267"/>
  <c r="J81" i="267"/>
  <c r="H81" i="267"/>
  <c r="G81" i="267"/>
  <c r="J80" i="267"/>
  <c r="H80" i="267"/>
  <c r="G80" i="267"/>
  <c r="J79" i="267"/>
  <c r="H79" i="267"/>
  <c r="G79" i="267"/>
  <c r="J78" i="267"/>
  <c r="H78" i="267"/>
  <c r="G78" i="267"/>
  <c r="J77" i="267"/>
  <c r="H77" i="267"/>
  <c r="G77" i="267"/>
  <c r="J76" i="267"/>
  <c r="H76" i="267"/>
  <c r="G76" i="267"/>
  <c r="J75" i="267"/>
  <c r="H75" i="267"/>
  <c r="G75" i="267"/>
  <c r="J74" i="267"/>
  <c r="H74" i="267"/>
  <c r="G74" i="267"/>
  <c r="J73" i="267"/>
  <c r="H73" i="267"/>
  <c r="G73" i="267"/>
  <c r="J72" i="267"/>
  <c r="H72" i="267"/>
  <c r="G72" i="267"/>
  <c r="J71" i="267"/>
  <c r="H71" i="267"/>
  <c r="G71" i="267"/>
  <c r="J70" i="267"/>
  <c r="H70" i="267"/>
  <c r="G70" i="267"/>
  <c r="J69" i="267"/>
  <c r="H69" i="267"/>
  <c r="G69" i="267"/>
  <c r="J68" i="267"/>
  <c r="H68" i="267"/>
  <c r="G68" i="267"/>
  <c r="J67" i="267"/>
  <c r="H67" i="267"/>
  <c r="G67" i="267"/>
  <c r="J66" i="267"/>
  <c r="H66" i="267"/>
  <c r="G66" i="267"/>
  <c r="J65" i="267"/>
  <c r="H65" i="267"/>
  <c r="G65" i="267"/>
  <c r="J64" i="267"/>
  <c r="H64" i="267"/>
  <c r="G64" i="267"/>
  <c r="J63" i="267"/>
  <c r="H63" i="267"/>
  <c r="G63" i="267"/>
  <c r="J62" i="267"/>
  <c r="H62" i="267"/>
  <c r="G62" i="267"/>
  <c r="J61" i="267"/>
  <c r="H61" i="267"/>
  <c r="G61" i="267"/>
  <c r="J60" i="267"/>
  <c r="H60" i="267"/>
  <c r="G60" i="267"/>
  <c r="J59" i="267"/>
  <c r="H59" i="267"/>
  <c r="G59" i="267"/>
  <c r="J58" i="267"/>
  <c r="H58" i="267"/>
  <c r="G58" i="267"/>
  <c r="J57" i="267"/>
  <c r="H57" i="267"/>
  <c r="G57" i="267"/>
  <c r="J56" i="267"/>
  <c r="H56" i="267"/>
  <c r="G56" i="267"/>
  <c r="J55" i="267"/>
  <c r="H55" i="267"/>
  <c r="G55" i="267"/>
  <c r="J54" i="267"/>
  <c r="H54" i="267"/>
  <c r="G54" i="267"/>
  <c r="J53" i="267"/>
  <c r="H53" i="267"/>
  <c r="G53" i="267"/>
  <c r="J52" i="267"/>
  <c r="H52" i="267"/>
  <c r="G52" i="267"/>
  <c r="J51" i="267"/>
  <c r="H51" i="267"/>
  <c r="G51" i="267"/>
  <c r="J50" i="267"/>
  <c r="H50" i="267"/>
  <c r="G50" i="267"/>
  <c r="J49" i="267"/>
  <c r="H49" i="267"/>
  <c r="G49" i="267"/>
  <c r="J48" i="267"/>
  <c r="H48" i="267"/>
  <c r="G48" i="267"/>
  <c r="J47" i="267"/>
  <c r="H47" i="267"/>
  <c r="G47" i="267"/>
  <c r="J46" i="267"/>
  <c r="H46" i="267"/>
  <c r="G46" i="267"/>
  <c r="J45" i="267"/>
  <c r="H45" i="267"/>
  <c r="G45" i="267"/>
  <c r="J44" i="267"/>
  <c r="H44" i="267"/>
  <c r="G44" i="267"/>
  <c r="J43" i="267"/>
  <c r="H43" i="267"/>
  <c r="G43" i="267"/>
  <c r="J42" i="267"/>
  <c r="H42" i="267"/>
  <c r="G42" i="267"/>
  <c r="J41" i="267"/>
  <c r="H41" i="267"/>
  <c r="G41" i="267"/>
  <c r="J40" i="267"/>
  <c r="H40" i="267"/>
  <c r="G40" i="267"/>
  <c r="J39" i="267"/>
  <c r="H39" i="267"/>
  <c r="G39" i="267"/>
  <c r="J38" i="267"/>
  <c r="H38" i="267"/>
  <c r="G38" i="267"/>
  <c r="J37" i="267"/>
  <c r="H37" i="267"/>
  <c r="G37" i="267"/>
  <c r="J36" i="267"/>
  <c r="H36" i="267"/>
  <c r="G36" i="267"/>
  <c r="J35" i="267"/>
  <c r="H35" i="267"/>
  <c r="G35" i="267"/>
  <c r="J34" i="267"/>
  <c r="H34" i="267"/>
  <c r="G34" i="267"/>
  <c r="J33" i="267"/>
  <c r="H33" i="267"/>
  <c r="G33" i="267"/>
  <c r="J32" i="267"/>
  <c r="H32" i="267"/>
  <c r="G32" i="267"/>
  <c r="J31" i="267"/>
  <c r="H31" i="267"/>
  <c r="G31" i="267"/>
  <c r="J30" i="267"/>
  <c r="H30" i="267"/>
  <c r="G30" i="267"/>
  <c r="J29" i="267"/>
  <c r="H29" i="267"/>
  <c r="G29" i="267"/>
  <c r="J28" i="267"/>
  <c r="H28" i="267"/>
  <c r="G28" i="267"/>
  <c r="J27" i="267"/>
  <c r="H27" i="267"/>
  <c r="G27" i="267"/>
  <c r="J26" i="267"/>
  <c r="H26" i="267"/>
  <c r="G26" i="267"/>
  <c r="J25" i="267"/>
  <c r="H25" i="267"/>
  <c r="G25" i="267"/>
  <c r="J24" i="267"/>
  <c r="H24" i="267"/>
  <c r="G24" i="267"/>
  <c r="J23" i="267"/>
  <c r="H23" i="267"/>
  <c r="G23" i="267"/>
  <c r="J22" i="267"/>
  <c r="H22" i="267"/>
  <c r="G22" i="267"/>
  <c r="J21" i="267"/>
  <c r="H21" i="267"/>
  <c r="G21" i="267"/>
  <c r="J20" i="267"/>
  <c r="H20" i="267"/>
  <c r="G20" i="267"/>
  <c r="J19" i="267"/>
  <c r="H19" i="267"/>
  <c r="G19" i="267"/>
  <c r="J18" i="267"/>
  <c r="H18" i="267"/>
  <c r="G18" i="267"/>
  <c r="J17" i="267"/>
  <c r="H17" i="267"/>
  <c r="G17" i="267"/>
  <c r="J16" i="267"/>
  <c r="H16" i="267"/>
  <c r="G16" i="267"/>
  <c r="J15" i="267"/>
  <c r="H15" i="267"/>
  <c r="G15" i="267"/>
  <c r="J14" i="267"/>
  <c r="H14" i="267"/>
  <c r="G14" i="267"/>
  <c r="J13" i="267"/>
  <c r="H13" i="267"/>
  <c r="G13" i="267"/>
  <c r="J12" i="267"/>
  <c r="H12" i="267"/>
  <c r="G12" i="267"/>
  <c r="J11" i="267"/>
  <c r="H11" i="267"/>
  <c r="G11" i="267"/>
  <c r="J10" i="267"/>
  <c r="H10" i="267"/>
  <c r="G10" i="267"/>
  <c r="J9" i="267"/>
  <c r="H9" i="267"/>
  <c r="G9" i="267"/>
  <c r="J8" i="267"/>
  <c r="H8" i="267"/>
  <c r="G8" i="267"/>
  <c r="J7" i="267"/>
  <c r="H7" i="267"/>
  <c r="G7" i="267"/>
  <c r="J6" i="267"/>
  <c r="H6" i="267"/>
  <c r="G6" i="267"/>
  <c r="J5" i="267"/>
  <c r="H5" i="267"/>
  <c r="G5" i="267"/>
  <c r="J4" i="267"/>
  <c r="H4" i="267"/>
  <c r="G4" i="267"/>
  <c r="J3" i="267"/>
  <c r="H3" i="267"/>
  <c r="G3" i="267"/>
  <c r="J2" i="267"/>
  <c r="H2" i="267"/>
  <c r="G2" i="267"/>
  <c r="J172" i="266"/>
  <c r="H172" i="266"/>
  <c r="G172" i="266"/>
  <c r="J171" i="266"/>
  <c r="H171" i="266"/>
  <c r="G171" i="266"/>
  <c r="J170" i="266"/>
  <c r="H170" i="266"/>
  <c r="G170" i="266"/>
  <c r="J169" i="266"/>
  <c r="H169" i="266"/>
  <c r="G169" i="266"/>
  <c r="J168" i="266"/>
  <c r="H168" i="266"/>
  <c r="G168" i="266"/>
  <c r="J167" i="266"/>
  <c r="H167" i="266"/>
  <c r="G167" i="266"/>
  <c r="J166" i="266"/>
  <c r="H166" i="266"/>
  <c r="G166" i="266"/>
  <c r="J165" i="266"/>
  <c r="H165" i="266"/>
  <c r="G165" i="266"/>
  <c r="J164" i="266"/>
  <c r="H164" i="266"/>
  <c r="G164" i="266"/>
  <c r="J163" i="266"/>
  <c r="H163" i="266"/>
  <c r="G163" i="266"/>
  <c r="J162" i="266"/>
  <c r="H162" i="266"/>
  <c r="G162" i="266"/>
  <c r="J161" i="266"/>
  <c r="H161" i="266"/>
  <c r="G161" i="266"/>
  <c r="J160" i="266"/>
  <c r="H160" i="266"/>
  <c r="G160" i="266"/>
  <c r="J159" i="266"/>
  <c r="H159" i="266"/>
  <c r="G159" i="266"/>
  <c r="J158" i="266"/>
  <c r="H158" i="266"/>
  <c r="G158" i="266"/>
  <c r="J157" i="266"/>
  <c r="H157" i="266"/>
  <c r="G157" i="266"/>
  <c r="J156" i="266"/>
  <c r="H156" i="266"/>
  <c r="G156" i="266"/>
  <c r="J155" i="266"/>
  <c r="H155" i="266"/>
  <c r="G155" i="266"/>
  <c r="J154" i="266"/>
  <c r="H154" i="266"/>
  <c r="G154" i="266"/>
  <c r="J153" i="266"/>
  <c r="H153" i="266"/>
  <c r="G153" i="266"/>
  <c r="J152" i="266"/>
  <c r="H152" i="266"/>
  <c r="G152" i="266"/>
  <c r="J151" i="266"/>
  <c r="H151" i="266"/>
  <c r="G151" i="266"/>
  <c r="J150" i="266"/>
  <c r="H150" i="266"/>
  <c r="G150" i="266"/>
  <c r="J149" i="266"/>
  <c r="H149" i="266"/>
  <c r="G149" i="266"/>
  <c r="J148" i="266"/>
  <c r="H148" i="266"/>
  <c r="G148" i="266"/>
  <c r="J147" i="266"/>
  <c r="H147" i="266"/>
  <c r="G147" i="266"/>
  <c r="J146" i="266"/>
  <c r="H146" i="266"/>
  <c r="G146" i="266"/>
  <c r="J145" i="266"/>
  <c r="H145" i="266"/>
  <c r="G145" i="266"/>
  <c r="J144" i="266"/>
  <c r="H144" i="266"/>
  <c r="G144" i="266"/>
  <c r="J143" i="266"/>
  <c r="H143" i="266"/>
  <c r="G143" i="266"/>
  <c r="J142" i="266"/>
  <c r="H142" i="266"/>
  <c r="G142" i="266"/>
  <c r="J141" i="266"/>
  <c r="H141" i="266"/>
  <c r="G141" i="266"/>
  <c r="J140" i="266"/>
  <c r="H140" i="266"/>
  <c r="G140" i="266"/>
  <c r="J139" i="266"/>
  <c r="H139" i="266"/>
  <c r="G139" i="266"/>
  <c r="J138" i="266"/>
  <c r="H138" i="266"/>
  <c r="G138" i="266"/>
  <c r="J137" i="266"/>
  <c r="H137" i="266"/>
  <c r="G137" i="266"/>
  <c r="J136" i="266"/>
  <c r="H136" i="266"/>
  <c r="G136" i="266"/>
  <c r="J135" i="266"/>
  <c r="H135" i="266"/>
  <c r="G135" i="266"/>
  <c r="J134" i="266"/>
  <c r="H134" i="266"/>
  <c r="G134" i="266"/>
  <c r="J133" i="266"/>
  <c r="H133" i="266"/>
  <c r="G133" i="266"/>
  <c r="J132" i="266"/>
  <c r="H132" i="266"/>
  <c r="G132" i="266"/>
  <c r="J131" i="266"/>
  <c r="H131" i="266"/>
  <c r="G131" i="266"/>
  <c r="J130" i="266"/>
  <c r="H130" i="266"/>
  <c r="G130" i="266"/>
  <c r="J129" i="266"/>
  <c r="H129" i="266"/>
  <c r="G129" i="266"/>
  <c r="J128" i="266"/>
  <c r="H128" i="266"/>
  <c r="G128" i="266"/>
  <c r="J127" i="266"/>
  <c r="H127" i="266"/>
  <c r="G127" i="266"/>
  <c r="J126" i="266"/>
  <c r="H126" i="266"/>
  <c r="G126" i="266"/>
  <c r="J125" i="266"/>
  <c r="H125" i="266"/>
  <c r="G125" i="266"/>
  <c r="J124" i="266"/>
  <c r="H124" i="266"/>
  <c r="G124" i="266"/>
  <c r="J123" i="266"/>
  <c r="H123" i="266"/>
  <c r="G123" i="266"/>
  <c r="J122" i="266"/>
  <c r="H122" i="266"/>
  <c r="G122" i="266"/>
  <c r="J121" i="266"/>
  <c r="H121" i="266"/>
  <c r="G121" i="266"/>
  <c r="J120" i="266"/>
  <c r="H120" i="266"/>
  <c r="G120" i="266"/>
  <c r="J119" i="266"/>
  <c r="H119" i="266"/>
  <c r="G119" i="266"/>
  <c r="J118" i="266"/>
  <c r="H118" i="266"/>
  <c r="G118" i="266"/>
  <c r="J117" i="266"/>
  <c r="H117" i="266"/>
  <c r="G117" i="266"/>
  <c r="J116" i="266"/>
  <c r="H116" i="266"/>
  <c r="G116" i="266"/>
  <c r="J115" i="266"/>
  <c r="H115" i="266"/>
  <c r="G115" i="266"/>
  <c r="J114" i="266"/>
  <c r="H114" i="266"/>
  <c r="G114" i="266"/>
  <c r="J113" i="266"/>
  <c r="H113" i="266"/>
  <c r="G113" i="266"/>
  <c r="J112" i="266"/>
  <c r="H112" i="266"/>
  <c r="G112" i="266"/>
  <c r="J111" i="266"/>
  <c r="H111" i="266"/>
  <c r="G111" i="266"/>
  <c r="J110" i="266"/>
  <c r="H110" i="266"/>
  <c r="G110" i="266"/>
  <c r="J109" i="266"/>
  <c r="H109" i="266"/>
  <c r="G109" i="266"/>
  <c r="J108" i="266"/>
  <c r="H108" i="266"/>
  <c r="G108" i="266"/>
  <c r="J107" i="266"/>
  <c r="H107" i="266"/>
  <c r="G107" i="266"/>
  <c r="J106" i="266"/>
  <c r="H106" i="266"/>
  <c r="G106" i="266"/>
  <c r="J105" i="266"/>
  <c r="H105" i="266"/>
  <c r="G105" i="266"/>
  <c r="J104" i="266"/>
  <c r="H104" i="266"/>
  <c r="G104" i="266"/>
  <c r="J103" i="266"/>
  <c r="H103" i="266"/>
  <c r="G103" i="266"/>
  <c r="J102" i="266"/>
  <c r="H102" i="266"/>
  <c r="G102" i="266"/>
  <c r="J101" i="266"/>
  <c r="H101" i="266"/>
  <c r="G101" i="266"/>
  <c r="J100" i="266"/>
  <c r="H100" i="266"/>
  <c r="G100" i="266"/>
  <c r="J99" i="266"/>
  <c r="H99" i="266"/>
  <c r="G99" i="266"/>
  <c r="J98" i="266"/>
  <c r="H98" i="266"/>
  <c r="G98" i="266"/>
  <c r="J97" i="266"/>
  <c r="H97" i="266"/>
  <c r="G97" i="266"/>
  <c r="J96" i="266"/>
  <c r="H96" i="266"/>
  <c r="G96" i="266"/>
  <c r="J95" i="266"/>
  <c r="H95" i="266"/>
  <c r="G95" i="266"/>
  <c r="J94" i="266"/>
  <c r="H94" i="266"/>
  <c r="G94" i="266"/>
  <c r="J93" i="266"/>
  <c r="H93" i="266"/>
  <c r="G93" i="266"/>
  <c r="J92" i="266"/>
  <c r="H92" i="266"/>
  <c r="G92" i="266"/>
  <c r="J91" i="266"/>
  <c r="H91" i="266"/>
  <c r="G91" i="266"/>
  <c r="J90" i="266"/>
  <c r="H90" i="266"/>
  <c r="G90" i="266"/>
  <c r="J89" i="266"/>
  <c r="H89" i="266"/>
  <c r="G89" i="266"/>
  <c r="J88" i="266"/>
  <c r="H88" i="266"/>
  <c r="G88" i="266"/>
  <c r="J87" i="266"/>
  <c r="H87" i="266"/>
  <c r="G87" i="266"/>
  <c r="J86" i="266"/>
  <c r="H86" i="266"/>
  <c r="G86" i="266"/>
  <c r="J85" i="266"/>
  <c r="H85" i="266"/>
  <c r="G85" i="266"/>
  <c r="J84" i="266"/>
  <c r="H84" i="266"/>
  <c r="G84" i="266"/>
  <c r="J83" i="266"/>
  <c r="H83" i="266"/>
  <c r="G83" i="266"/>
  <c r="J82" i="266"/>
  <c r="H82" i="266"/>
  <c r="G82" i="266"/>
  <c r="J81" i="266"/>
  <c r="H81" i="266"/>
  <c r="G81" i="266"/>
  <c r="J80" i="266"/>
  <c r="H80" i="266"/>
  <c r="G80" i="266"/>
  <c r="J79" i="266"/>
  <c r="H79" i="266"/>
  <c r="G79" i="266"/>
  <c r="J78" i="266"/>
  <c r="H78" i="266"/>
  <c r="G78" i="266"/>
  <c r="J77" i="266"/>
  <c r="H77" i="266"/>
  <c r="G77" i="266"/>
  <c r="J76" i="266"/>
  <c r="H76" i="266"/>
  <c r="G76" i="266"/>
  <c r="J75" i="266"/>
  <c r="H75" i="266"/>
  <c r="G75" i="266"/>
  <c r="J74" i="266"/>
  <c r="H74" i="266"/>
  <c r="G74" i="266"/>
  <c r="J73" i="266"/>
  <c r="H73" i="266"/>
  <c r="G73" i="266"/>
  <c r="J72" i="266"/>
  <c r="H72" i="266"/>
  <c r="G72" i="266"/>
  <c r="J71" i="266"/>
  <c r="H71" i="266"/>
  <c r="G71" i="266"/>
  <c r="J70" i="266"/>
  <c r="H70" i="266"/>
  <c r="G70" i="266"/>
  <c r="J69" i="266"/>
  <c r="H69" i="266"/>
  <c r="G69" i="266"/>
  <c r="J68" i="266"/>
  <c r="H68" i="266"/>
  <c r="G68" i="266"/>
  <c r="J67" i="266"/>
  <c r="H67" i="266"/>
  <c r="G67" i="266"/>
  <c r="J66" i="266"/>
  <c r="H66" i="266"/>
  <c r="G66" i="266"/>
  <c r="J65" i="266"/>
  <c r="H65" i="266"/>
  <c r="G65" i="266"/>
  <c r="J64" i="266"/>
  <c r="H64" i="266"/>
  <c r="G64" i="266"/>
  <c r="J63" i="266"/>
  <c r="H63" i="266"/>
  <c r="G63" i="266"/>
  <c r="J62" i="266"/>
  <c r="H62" i="266"/>
  <c r="G62" i="266"/>
  <c r="J61" i="266"/>
  <c r="H61" i="266"/>
  <c r="G61" i="266"/>
  <c r="J60" i="266"/>
  <c r="H60" i="266"/>
  <c r="G60" i="266"/>
  <c r="J59" i="266"/>
  <c r="H59" i="266"/>
  <c r="G59" i="266"/>
  <c r="J58" i="266"/>
  <c r="H58" i="266"/>
  <c r="G58" i="266"/>
  <c r="J57" i="266"/>
  <c r="H57" i="266"/>
  <c r="G57" i="266"/>
  <c r="J56" i="266"/>
  <c r="H56" i="266"/>
  <c r="G56" i="266"/>
  <c r="J55" i="266"/>
  <c r="H55" i="266"/>
  <c r="G55" i="266"/>
  <c r="J54" i="266"/>
  <c r="H54" i="266"/>
  <c r="G54" i="266"/>
  <c r="J53" i="266"/>
  <c r="H53" i="266"/>
  <c r="G53" i="266"/>
  <c r="J52" i="266"/>
  <c r="H52" i="266"/>
  <c r="G52" i="266"/>
  <c r="J51" i="266"/>
  <c r="H51" i="266"/>
  <c r="G51" i="266"/>
  <c r="J50" i="266"/>
  <c r="H50" i="266"/>
  <c r="G50" i="266"/>
  <c r="J49" i="266"/>
  <c r="H49" i="266"/>
  <c r="G49" i="266"/>
  <c r="J48" i="266"/>
  <c r="H48" i="266"/>
  <c r="G48" i="266"/>
  <c r="J47" i="266"/>
  <c r="H47" i="266"/>
  <c r="G47" i="266"/>
  <c r="J46" i="266"/>
  <c r="H46" i="266"/>
  <c r="G46" i="266"/>
  <c r="J45" i="266"/>
  <c r="H45" i="266"/>
  <c r="G45" i="266"/>
  <c r="J44" i="266"/>
  <c r="H44" i="266"/>
  <c r="G44" i="266"/>
  <c r="J43" i="266"/>
  <c r="H43" i="266"/>
  <c r="G43" i="266"/>
  <c r="J42" i="266"/>
  <c r="H42" i="266"/>
  <c r="G42" i="266"/>
  <c r="J41" i="266"/>
  <c r="H41" i="266"/>
  <c r="G41" i="266"/>
  <c r="J40" i="266"/>
  <c r="H40" i="266"/>
  <c r="G40" i="266"/>
  <c r="J39" i="266"/>
  <c r="H39" i="266"/>
  <c r="G39" i="266"/>
  <c r="J38" i="266"/>
  <c r="H38" i="266"/>
  <c r="G38" i="266"/>
  <c r="J37" i="266"/>
  <c r="H37" i="266"/>
  <c r="G37" i="266"/>
  <c r="J36" i="266"/>
  <c r="H36" i="266"/>
  <c r="G36" i="266"/>
  <c r="J35" i="266"/>
  <c r="H35" i="266"/>
  <c r="G35" i="266"/>
  <c r="J34" i="266"/>
  <c r="H34" i="266"/>
  <c r="G34" i="266"/>
  <c r="J33" i="266"/>
  <c r="H33" i="266"/>
  <c r="G33" i="266"/>
  <c r="J32" i="266"/>
  <c r="H32" i="266"/>
  <c r="G32" i="266"/>
  <c r="J31" i="266"/>
  <c r="H31" i="266"/>
  <c r="G31" i="266"/>
  <c r="J30" i="266"/>
  <c r="H30" i="266"/>
  <c r="G30" i="266"/>
  <c r="J29" i="266"/>
  <c r="H29" i="266"/>
  <c r="G29" i="266"/>
  <c r="J28" i="266"/>
  <c r="H28" i="266"/>
  <c r="G28" i="266"/>
  <c r="J27" i="266"/>
  <c r="H27" i="266"/>
  <c r="G27" i="266"/>
  <c r="J26" i="266"/>
  <c r="H26" i="266"/>
  <c r="G26" i="266"/>
  <c r="J25" i="266"/>
  <c r="H25" i="266"/>
  <c r="G25" i="266"/>
  <c r="J24" i="266"/>
  <c r="H24" i="266"/>
  <c r="G24" i="266"/>
  <c r="J23" i="266"/>
  <c r="H23" i="266"/>
  <c r="G23" i="266"/>
  <c r="J22" i="266"/>
  <c r="H22" i="266"/>
  <c r="G22" i="266"/>
  <c r="J21" i="266"/>
  <c r="H21" i="266"/>
  <c r="G21" i="266"/>
  <c r="J20" i="266"/>
  <c r="H20" i="266"/>
  <c r="G20" i="266"/>
  <c r="J19" i="266"/>
  <c r="H19" i="266"/>
  <c r="G19" i="266"/>
  <c r="J18" i="266"/>
  <c r="H18" i="266"/>
  <c r="G18" i="266"/>
  <c r="J17" i="266"/>
  <c r="H17" i="266"/>
  <c r="G17" i="266"/>
  <c r="J16" i="266"/>
  <c r="H16" i="266"/>
  <c r="G16" i="266"/>
  <c r="J15" i="266"/>
  <c r="H15" i="266"/>
  <c r="G15" i="266"/>
  <c r="J14" i="266"/>
  <c r="H14" i="266"/>
  <c r="G14" i="266"/>
  <c r="J13" i="266"/>
  <c r="H13" i="266"/>
  <c r="G13" i="266"/>
  <c r="J12" i="266"/>
  <c r="H12" i="266"/>
  <c r="G12" i="266"/>
  <c r="J11" i="266"/>
  <c r="H11" i="266"/>
  <c r="G11" i="266"/>
  <c r="J10" i="266"/>
  <c r="H10" i="266"/>
  <c r="G10" i="266"/>
  <c r="J9" i="266"/>
  <c r="H9" i="266"/>
  <c r="G9" i="266"/>
  <c r="J8" i="266"/>
  <c r="H8" i="266"/>
  <c r="G8" i="266"/>
  <c r="J7" i="266"/>
  <c r="H7" i="266"/>
  <c r="G7" i="266"/>
  <c r="J6" i="266"/>
  <c r="H6" i="266"/>
  <c r="G6" i="266"/>
  <c r="J5" i="266"/>
  <c r="H5" i="266"/>
  <c r="G5" i="266"/>
  <c r="J4" i="266"/>
  <c r="H4" i="266"/>
  <c r="G4" i="266"/>
  <c r="J3" i="266"/>
  <c r="H3" i="266"/>
  <c r="G3" i="266"/>
  <c r="J2" i="266"/>
  <c r="H2" i="266"/>
  <c r="G2" i="266"/>
  <c r="C35" i="291" l="1"/>
  <c r="C35" i="327"/>
  <c r="C57" i="290"/>
  <c r="C57" i="325"/>
  <c r="C72" i="285"/>
  <c r="C72" i="315"/>
  <c r="C57" i="311"/>
  <c r="C57" i="283"/>
  <c r="C47" i="311"/>
  <c r="C47" i="283"/>
  <c r="C57" i="292"/>
  <c r="C57" i="331"/>
  <c r="C47" i="313"/>
  <c r="C47" i="284"/>
  <c r="C57" i="288"/>
  <c r="C57" i="321"/>
  <c r="C57" i="319"/>
  <c r="C57" i="287"/>
  <c r="C57" i="286"/>
  <c r="C57" i="317"/>
  <c r="C57" i="315"/>
  <c r="C57" i="285"/>
  <c r="C57" i="284"/>
  <c r="C57" i="313"/>
  <c r="C72" i="321"/>
  <c r="M72" i="333" s="1"/>
  <c r="C57" i="327"/>
  <c r="C57" i="291"/>
  <c r="C72" i="327"/>
  <c r="C72" i="291"/>
  <c r="C72" i="325"/>
  <c r="C72" i="290"/>
  <c r="C72" i="319"/>
  <c r="C72" i="287"/>
  <c r="C63" i="317"/>
  <c r="C74" i="319"/>
  <c r="G74" i="319" s="1"/>
  <c r="H74" i="319" s="1"/>
  <c r="C74" i="329"/>
  <c r="U74" i="333" s="1"/>
  <c r="C67" i="319"/>
  <c r="G67" i="319" s="1"/>
  <c r="H67" i="319" s="1"/>
  <c r="C63" i="311"/>
  <c r="C63" i="321"/>
  <c r="M63" i="333" s="1"/>
  <c r="C64" i="319"/>
  <c r="K64" i="333" s="1"/>
  <c r="C64" i="313"/>
  <c r="G64" i="313" s="1"/>
  <c r="H64" i="313" s="1"/>
  <c r="C74" i="313"/>
  <c r="E74" i="333" s="1"/>
  <c r="C63" i="313"/>
  <c r="E63" i="333" s="1"/>
  <c r="C64" i="317"/>
  <c r="G64" i="317" s="1"/>
  <c r="H64" i="317" s="1"/>
  <c r="C74" i="286"/>
  <c r="G74" i="286" s="1"/>
  <c r="H74" i="286" s="1"/>
  <c r="C74" i="311"/>
  <c r="C57" i="329"/>
  <c r="C57" i="278"/>
  <c r="C64" i="278"/>
  <c r="U64" i="332" s="1"/>
  <c r="C64" i="329"/>
  <c r="C63" i="329"/>
  <c r="C67" i="329"/>
  <c r="C64" i="327"/>
  <c r="C64" i="291"/>
  <c r="C74" i="327"/>
  <c r="C74" i="291"/>
  <c r="C63" i="291"/>
  <c r="C63" i="327"/>
  <c r="C67" i="327"/>
  <c r="C67" i="291"/>
  <c r="C64" i="325"/>
  <c r="C64" i="290"/>
  <c r="C74" i="325"/>
  <c r="C74" i="290"/>
  <c r="C63" i="325"/>
  <c r="C63" i="290"/>
  <c r="C63" i="288"/>
  <c r="M63" i="332" s="1"/>
  <c r="C64" i="321"/>
  <c r="C74" i="321"/>
  <c r="C58" i="319"/>
  <c r="C74" i="287"/>
  <c r="K74" i="332" s="1"/>
  <c r="C63" i="319"/>
  <c r="C63" i="287"/>
  <c r="K63" i="332" s="1"/>
  <c r="C74" i="317"/>
  <c r="C67" i="317"/>
  <c r="C64" i="286"/>
  <c r="I64" i="332" s="1"/>
  <c r="C72" i="317"/>
  <c r="C63" i="286"/>
  <c r="I63" i="332" s="1"/>
  <c r="C67" i="285"/>
  <c r="C67" i="315"/>
  <c r="C64" i="315"/>
  <c r="C64" i="285"/>
  <c r="C74" i="285"/>
  <c r="C74" i="315"/>
  <c r="C63" i="315"/>
  <c r="C63" i="285"/>
  <c r="C67" i="313"/>
  <c r="C74" i="284"/>
  <c r="G74" i="284" s="1"/>
  <c r="H74" i="284" s="1"/>
  <c r="C64" i="311"/>
  <c r="C51" i="315"/>
  <c r="C51" i="285"/>
  <c r="C51" i="331"/>
  <c r="C51" i="292"/>
  <c r="C12" i="313"/>
  <c r="E12" i="333" s="1"/>
  <c r="C56" i="311"/>
  <c r="C53" i="313"/>
  <c r="E53" i="333" s="1"/>
  <c r="C35" i="313"/>
  <c r="E35" i="333" s="1"/>
  <c r="C11" i="286"/>
  <c r="I11" i="332" s="1"/>
  <c r="C30" i="317"/>
  <c r="I30" i="333" s="1"/>
  <c r="C54" i="311"/>
  <c r="C12" i="311"/>
  <c r="C51" i="311"/>
  <c r="C28" i="331"/>
  <c r="W28" i="333" s="1"/>
  <c r="C12" i="331"/>
  <c r="W12" i="333" s="1"/>
  <c r="C74" i="331"/>
  <c r="W74" i="333" s="1"/>
  <c r="O10" i="333"/>
  <c r="C14" i="319"/>
  <c r="K14" i="333" s="1"/>
  <c r="C31" i="319"/>
  <c r="K31" i="333" s="1"/>
  <c r="C28" i="317"/>
  <c r="I28" i="333" s="1"/>
  <c r="C56" i="313"/>
  <c r="E56" i="333" s="1"/>
  <c r="C38" i="313"/>
  <c r="E38" i="333" s="1"/>
  <c r="C11" i="313"/>
  <c r="G11" i="313" s="1"/>
  <c r="H11" i="313" s="1"/>
  <c r="C40" i="313"/>
  <c r="E40" i="333" s="1"/>
  <c r="C11" i="311"/>
  <c r="C48" i="321"/>
  <c r="M48" i="333" s="1"/>
  <c r="C40" i="321"/>
  <c r="M40" i="333" s="1"/>
  <c r="C14" i="315"/>
  <c r="G14" i="315" s="1"/>
  <c r="H14" i="315" s="1"/>
  <c r="C37" i="319"/>
  <c r="G37" i="319" s="1"/>
  <c r="H37" i="319" s="1"/>
  <c r="C29" i="278"/>
  <c r="U29" i="332" s="1"/>
  <c r="C25" i="317"/>
  <c r="G25" i="317" s="1"/>
  <c r="H25" i="317" s="1"/>
  <c r="C54" i="313"/>
  <c r="G54" i="313" s="1"/>
  <c r="H54" i="313" s="1"/>
  <c r="C52" i="331"/>
  <c r="G52" i="331" s="1"/>
  <c r="C56" i="331"/>
  <c r="W56" i="333" s="1"/>
  <c r="C63" i="292"/>
  <c r="W63" i="332" s="1"/>
  <c r="C63" i="331"/>
  <c r="G63" i="331" s="1"/>
  <c r="H63" i="331" s="1"/>
  <c r="C52" i="329"/>
  <c r="U52" i="333" s="1"/>
  <c r="C12" i="319"/>
  <c r="K12" i="333" s="1"/>
  <c r="C36" i="311"/>
  <c r="C35" i="331"/>
  <c r="W35" i="333" s="1"/>
  <c r="C46" i="331"/>
  <c r="G46" i="331" s="1"/>
  <c r="C40" i="292"/>
  <c r="C40" i="331"/>
  <c r="C64" i="331"/>
  <c r="W64" i="333" s="1"/>
  <c r="C15" i="331"/>
  <c r="C15" i="292"/>
  <c r="C29" i="331"/>
  <c r="W29" i="333" s="1"/>
  <c r="C36" i="331"/>
  <c r="W36" i="333" s="1"/>
  <c r="C48" i="331"/>
  <c r="W48" i="333" s="1"/>
  <c r="C12" i="329"/>
  <c r="U12" i="333" s="1"/>
  <c r="C36" i="319"/>
  <c r="K36" i="333" s="1"/>
  <c r="C36" i="317"/>
  <c r="I36" i="333" s="1"/>
  <c r="C40" i="317"/>
  <c r="I40" i="333" s="1"/>
  <c r="C56" i="317"/>
  <c r="I56" i="333" s="1"/>
  <c r="C38" i="315"/>
  <c r="G38" i="315" s="1"/>
  <c r="H38" i="315" s="1"/>
  <c r="C46" i="311"/>
  <c r="C25" i="331"/>
  <c r="W25" i="333" s="1"/>
  <c r="C14" i="325"/>
  <c r="Q14" i="333" s="1"/>
  <c r="C37" i="325"/>
  <c r="Q37" i="333" s="1"/>
  <c r="C40" i="325"/>
  <c r="Q40" i="333" s="1"/>
  <c r="C12" i="317"/>
  <c r="I12" i="333" s="1"/>
  <c r="C48" i="315"/>
  <c r="G48" i="315" s="1"/>
  <c r="H48" i="315" s="1"/>
  <c r="C54" i="315"/>
  <c r="G54" i="333" s="1"/>
  <c r="C36" i="313"/>
  <c r="E36" i="333" s="1"/>
  <c r="C32" i="313"/>
  <c r="E32" i="333" s="1"/>
  <c r="C46" i="284"/>
  <c r="E46" i="332" s="1"/>
  <c r="C55" i="313"/>
  <c r="G55" i="313" s="1"/>
  <c r="H55" i="313" s="1"/>
  <c r="C10" i="331"/>
  <c r="C30" i="331"/>
  <c r="C37" i="331"/>
  <c r="C41" i="331"/>
  <c r="C72" i="292"/>
  <c r="C72" i="331"/>
  <c r="C8" i="331"/>
  <c r="C11" i="331"/>
  <c r="C20" i="331"/>
  <c r="C31" i="331"/>
  <c r="C38" i="331"/>
  <c r="C54" i="331"/>
  <c r="C22" i="331"/>
  <c r="C23" i="331"/>
  <c r="C32" i="331"/>
  <c r="C67" i="331"/>
  <c r="C21" i="331"/>
  <c r="C39" i="331"/>
  <c r="C14" i="331"/>
  <c r="C53" i="331"/>
  <c r="C55" i="331"/>
  <c r="C58" i="331"/>
  <c r="C35" i="329"/>
  <c r="U35" i="333" s="1"/>
  <c r="C46" i="329"/>
  <c r="U46" i="333" s="1"/>
  <c r="C48" i="327"/>
  <c r="G48" i="327" s="1"/>
  <c r="H48" i="327" s="1"/>
  <c r="C25" i="327"/>
  <c r="S25" i="333" s="1"/>
  <c r="C30" i="327"/>
  <c r="S30" i="333" s="1"/>
  <c r="C12" i="327"/>
  <c r="C22" i="327"/>
  <c r="C41" i="327"/>
  <c r="C53" i="327"/>
  <c r="C55" i="327"/>
  <c r="C31" i="291"/>
  <c r="S31" i="332" s="1"/>
  <c r="C31" i="327"/>
  <c r="C39" i="327"/>
  <c r="C32" i="327"/>
  <c r="C36" i="327"/>
  <c r="C38" i="327"/>
  <c r="C40" i="327"/>
  <c r="C52" i="327"/>
  <c r="C11" i="291"/>
  <c r="S11" i="332" s="1"/>
  <c r="C11" i="327"/>
  <c r="C58" i="327"/>
  <c r="C15" i="327"/>
  <c r="C20" i="327"/>
  <c r="C51" i="291"/>
  <c r="S51" i="332" s="1"/>
  <c r="C51" i="327"/>
  <c r="C54" i="327"/>
  <c r="C21" i="327"/>
  <c r="C10" i="327"/>
  <c r="C23" i="327"/>
  <c r="C28" i="327"/>
  <c r="C46" i="327"/>
  <c r="C56" i="327"/>
  <c r="C37" i="327"/>
  <c r="C8" i="291"/>
  <c r="S8" i="332" s="1"/>
  <c r="C8" i="327"/>
  <c r="C14" i="291"/>
  <c r="S14" i="332" s="1"/>
  <c r="C14" i="327"/>
  <c r="C29" i="291"/>
  <c r="S29" i="332" s="1"/>
  <c r="C29" i="327"/>
  <c r="C23" i="325"/>
  <c r="C28" i="325"/>
  <c r="C32" i="325"/>
  <c r="C53" i="325"/>
  <c r="C10" i="325"/>
  <c r="C12" i="325"/>
  <c r="C21" i="325"/>
  <c r="C29" i="325"/>
  <c r="C36" i="325"/>
  <c r="C38" i="325"/>
  <c r="C67" i="325"/>
  <c r="C67" i="290"/>
  <c r="C8" i="325"/>
  <c r="C25" i="325"/>
  <c r="C30" i="325"/>
  <c r="C52" i="325"/>
  <c r="C54" i="325"/>
  <c r="C11" i="325"/>
  <c r="C15" i="290"/>
  <c r="Q15" i="332" s="1"/>
  <c r="C15" i="325"/>
  <c r="C22" i="325"/>
  <c r="C35" i="325"/>
  <c r="C39" i="325"/>
  <c r="C48" i="325"/>
  <c r="C20" i="325"/>
  <c r="C31" i="325"/>
  <c r="C51" i="325"/>
  <c r="C58" i="325"/>
  <c r="C41" i="290"/>
  <c r="Q41" i="332" s="1"/>
  <c r="C41" i="325"/>
  <c r="C46" i="290"/>
  <c r="Q46" i="332" s="1"/>
  <c r="C46" i="325"/>
  <c r="C55" i="325"/>
  <c r="C56" i="290"/>
  <c r="Q56" i="332" s="1"/>
  <c r="C56" i="325"/>
  <c r="G25" i="323"/>
  <c r="H25" i="323" s="1"/>
  <c r="O20" i="333"/>
  <c r="O46" i="333"/>
  <c r="O21" i="333"/>
  <c r="O15" i="333"/>
  <c r="O31" i="333"/>
  <c r="O40" i="333"/>
  <c r="O32" i="333"/>
  <c r="G41" i="323"/>
  <c r="H41" i="323" s="1"/>
  <c r="G30" i="323"/>
  <c r="H30" i="323" s="1"/>
  <c r="O12" i="332"/>
  <c r="O28" i="332"/>
  <c r="O36" i="332"/>
  <c r="O52" i="332"/>
  <c r="O56" i="332"/>
  <c r="O11" i="332"/>
  <c r="C56" i="321"/>
  <c r="M56" i="333" s="1"/>
  <c r="C55" i="288"/>
  <c r="M55" i="332" s="1"/>
  <c r="C58" i="288"/>
  <c r="M58" i="332" s="1"/>
  <c r="C30" i="288"/>
  <c r="M30" i="332" s="1"/>
  <c r="C38" i="321"/>
  <c r="M38" i="333" s="1"/>
  <c r="C51" i="288"/>
  <c r="M51" i="332" s="1"/>
  <c r="C54" i="288"/>
  <c r="M54" i="332" s="1"/>
  <c r="C56" i="288"/>
  <c r="M56" i="332" s="1"/>
  <c r="C52" i="321"/>
  <c r="M52" i="333" s="1"/>
  <c r="C55" i="321"/>
  <c r="M55" i="333" s="1"/>
  <c r="C58" i="321"/>
  <c r="M58" i="333" s="1"/>
  <c r="C51" i="321"/>
  <c r="M51" i="333" s="1"/>
  <c r="C8" i="288"/>
  <c r="M8" i="332" s="1"/>
  <c r="C8" i="321"/>
  <c r="C25" i="321"/>
  <c r="C36" i="321"/>
  <c r="C54" i="321"/>
  <c r="C14" i="321"/>
  <c r="C22" i="321"/>
  <c r="C53" i="288"/>
  <c r="M53" i="332" s="1"/>
  <c r="C41" i="321"/>
  <c r="C46" i="321"/>
  <c r="C21" i="321"/>
  <c r="C10" i="321"/>
  <c r="C12" i="321"/>
  <c r="C39" i="321"/>
  <c r="C29" i="321"/>
  <c r="C31" i="321"/>
  <c r="C53" i="321"/>
  <c r="C32" i="321"/>
  <c r="C11" i="321"/>
  <c r="C15" i="321"/>
  <c r="C20" i="321"/>
  <c r="C30" i="321"/>
  <c r="C23" i="321"/>
  <c r="C28" i="321"/>
  <c r="C37" i="321"/>
  <c r="C48" i="319"/>
  <c r="K48" i="333" s="1"/>
  <c r="C11" i="319"/>
  <c r="K11" i="333" s="1"/>
  <c r="C25" i="287"/>
  <c r="K25" i="332" s="1"/>
  <c r="C8" i="319"/>
  <c r="C15" i="319"/>
  <c r="C22" i="319"/>
  <c r="C23" i="319"/>
  <c r="C35" i="319"/>
  <c r="C32" i="319"/>
  <c r="C47" i="287"/>
  <c r="C52" i="287"/>
  <c r="K52" i="332" s="1"/>
  <c r="C56" i="287"/>
  <c r="K56" i="332" s="1"/>
  <c r="C20" i="319"/>
  <c r="C30" i="319"/>
  <c r="C40" i="287"/>
  <c r="C40" i="319"/>
  <c r="C53" i="319"/>
  <c r="G74" i="287"/>
  <c r="H74" i="287" s="1"/>
  <c r="C46" i="287"/>
  <c r="K46" i="332" s="1"/>
  <c r="C51" i="287"/>
  <c r="K51" i="332" s="1"/>
  <c r="C41" i="319"/>
  <c r="C29" i="319"/>
  <c r="C38" i="319"/>
  <c r="C47" i="319"/>
  <c r="C52" i="319"/>
  <c r="C55" i="319"/>
  <c r="C56" i="319"/>
  <c r="C10" i="287"/>
  <c r="K10" i="332" s="1"/>
  <c r="C10" i="319"/>
  <c r="C25" i="319"/>
  <c r="C21" i="319"/>
  <c r="C28" i="319"/>
  <c r="C39" i="319"/>
  <c r="C46" i="319"/>
  <c r="C51" i="319"/>
  <c r="C54" i="319"/>
  <c r="C37" i="317"/>
  <c r="G37" i="317" s="1"/>
  <c r="H37" i="317" s="1"/>
  <c r="C51" i="317"/>
  <c r="I51" i="333" s="1"/>
  <c r="C46" i="317"/>
  <c r="I46" i="333" s="1"/>
  <c r="C10" i="317"/>
  <c r="C41" i="317"/>
  <c r="C38" i="317"/>
  <c r="C58" i="317"/>
  <c r="C23" i="317"/>
  <c r="C32" i="317"/>
  <c r="C39" i="317"/>
  <c r="C53" i="317"/>
  <c r="C14" i="317"/>
  <c r="C11" i="317"/>
  <c r="C15" i="317"/>
  <c r="C22" i="317"/>
  <c r="C35" i="317"/>
  <c r="C52" i="317"/>
  <c r="C54" i="317"/>
  <c r="C21" i="317"/>
  <c r="C8" i="317"/>
  <c r="C20" i="317"/>
  <c r="C29" i="317"/>
  <c r="C31" i="317"/>
  <c r="C48" i="317"/>
  <c r="C55" i="317"/>
  <c r="C52" i="315"/>
  <c r="G52" i="333" s="1"/>
  <c r="C25" i="315"/>
  <c r="G25" i="333" s="1"/>
  <c r="C53" i="315"/>
  <c r="G53" i="333" s="1"/>
  <c r="C20" i="315"/>
  <c r="C30" i="315"/>
  <c r="C40" i="315"/>
  <c r="C39" i="315"/>
  <c r="C8" i="285"/>
  <c r="G8" i="332" s="1"/>
  <c r="C8" i="315"/>
  <c r="C15" i="315"/>
  <c r="C21" i="315"/>
  <c r="C22" i="315"/>
  <c r="C55" i="315"/>
  <c r="C10" i="285"/>
  <c r="G10" i="332" s="1"/>
  <c r="C10" i="315"/>
  <c r="C12" i="285"/>
  <c r="G12" i="332" s="1"/>
  <c r="C12" i="315"/>
  <c r="C37" i="285"/>
  <c r="G37" i="332" s="1"/>
  <c r="C37" i="315"/>
  <c r="C46" i="285"/>
  <c r="G46" i="332" s="1"/>
  <c r="C46" i="315"/>
  <c r="C58" i="285"/>
  <c r="C58" i="315"/>
  <c r="C56" i="285"/>
  <c r="G56" i="332" s="1"/>
  <c r="C56" i="315"/>
  <c r="C28" i="315"/>
  <c r="C32" i="315"/>
  <c r="C35" i="315"/>
  <c r="C41" i="315"/>
  <c r="C11" i="285"/>
  <c r="G11" i="332" s="1"/>
  <c r="C11" i="315"/>
  <c r="C23" i="315"/>
  <c r="C29" i="315"/>
  <c r="C31" i="315"/>
  <c r="C36" i="285"/>
  <c r="G36" i="332" s="1"/>
  <c r="C36" i="315"/>
  <c r="C41" i="313"/>
  <c r="E41" i="333" s="1"/>
  <c r="C52" i="313"/>
  <c r="E52" i="333" s="1"/>
  <c r="C21" i="313"/>
  <c r="G21" i="313" s="1"/>
  <c r="H21" i="313" s="1"/>
  <c r="C30" i="313"/>
  <c r="G30" i="313" s="1"/>
  <c r="H30" i="313" s="1"/>
  <c r="C46" i="313"/>
  <c r="E46" i="333" s="1"/>
  <c r="C58" i="313"/>
  <c r="G58" i="313" s="1"/>
  <c r="H58" i="313" s="1"/>
  <c r="C10" i="313"/>
  <c r="C8" i="313"/>
  <c r="C31" i="313"/>
  <c r="C23" i="313"/>
  <c r="C22" i="313"/>
  <c r="C20" i="313"/>
  <c r="C28" i="313"/>
  <c r="C39" i="313"/>
  <c r="C48" i="313"/>
  <c r="C37" i="313"/>
  <c r="C25" i="313"/>
  <c r="C14" i="313"/>
  <c r="C29" i="313"/>
  <c r="C51" i="313"/>
  <c r="C15" i="284"/>
  <c r="E15" i="332" s="1"/>
  <c r="C15" i="313"/>
  <c r="C28" i="329"/>
  <c r="C39" i="329"/>
  <c r="U39" i="333" s="1"/>
  <c r="C25" i="329"/>
  <c r="U25" i="333" s="1"/>
  <c r="C11" i="329"/>
  <c r="U11" i="333" s="1"/>
  <c r="C29" i="329"/>
  <c r="U29" i="333" s="1"/>
  <c r="C36" i="329"/>
  <c r="U36" i="333" s="1"/>
  <c r="C38" i="329"/>
  <c r="U38" i="333" s="1"/>
  <c r="C48" i="329"/>
  <c r="U48" i="333" s="1"/>
  <c r="C56" i="329"/>
  <c r="U56" i="333" s="1"/>
  <c r="C23" i="329"/>
  <c r="U23" i="333" s="1"/>
  <c r="C37" i="329"/>
  <c r="C51" i="329"/>
  <c r="U51" i="333" s="1"/>
  <c r="C41" i="329"/>
  <c r="U41" i="333" s="1"/>
  <c r="C8" i="329"/>
  <c r="C31" i="329"/>
  <c r="U31" i="333" s="1"/>
  <c r="C55" i="329"/>
  <c r="U55" i="333" s="1"/>
  <c r="C14" i="329"/>
  <c r="U14" i="333" s="1"/>
  <c r="C21" i="329"/>
  <c r="U21" i="333" s="1"/>
  <c r="C22" i="329"/>
  <c r="U22" i="333" s="1"/>
  <c r="C32" i="329"/>
  <c r="U32" i="333" s="1"/>
  <c r="C15" i="278"/>
  <c r="C15" i="329"/>
  <c r="U15" i="333" s="1"/>
  <c r="C53" i="329"/>
  <c r="U53" i="333" s="1"/>
  <c r="C10" i="329"/>
  <c r="U10" i="333" s="1"/>
  <c r="C20" i="329"/>
  <c r="U20" i="333" s="1"/>
  <c r="C30" i="329"/>
  <c r="U30" i="333" s="1"/>
  <c r="C40" i="329"/>
  <c r="U40" i="333" s="1"/>
  <c r="C54" i="329"/>
  <c r="U54" i="333" s="1"/>
  <c r="C58" i="329"/>
  <c r="U58" i="333" s="1"/>
  <c r="C39" i="311"/>
  <c r="C25" i="311"/>
  <c r="C15" i="311"/>
  <c r="C22" i="311"/>
  <c r="C23" i="311"/>
  <c r="C37" i="311"/>
  <c r="C48" i="311"/>
  <c r="C38" i="311"/>
  <c r="C8" i="311"/>
  <c r="C32" i="311"/>
  <c r="C41" i="311"/>
  <c r="C20" i="311"/>
  <c r="C29" i="311"/>
  <c r="C35" i="311"/>
  <c r="C53" i="311"/>
  <c r="C54" i="334" s="1"/>
  <c r="C55" i="311"/>
  <c r="C28" i="311"/>
  <c r="C10" i="311"/>
  <c r="C21" i="311"/>
  <c r="C30" i="311"/>
  <c r="C40" i="311"/>
  <c r="C14" i="311"/>
  <c r="C52" i="311"/>
  <c r="C31" i="311"/>
  <c r="C63" i="283"/>
  <c r="C58" i="311"/>
  <c r="C29" i="283"/>
  <c r="C31" i="283"/>
  <c r="O63" i="332"/>
  <c r="C52" i="292"/>
  <c r="C56" i="292"/>
  <c r="W56" i="332" s="1"/>
  <c r="C25" i="291"/>
  <c r="S25" i="332" s="1"/>
  <c r="C30" i="291"/>
  <c r="S30" i="332" s="1"/>
  <c r="C12" i="291"/>
  <c r="S12" i="332" s="1"/>
  <c r="C22" i="291"/>
  <c r="S22" i="332" s="1"/>
  <c r="C41" i="291"/>
  <c r="S41" i="332" s="1"/>
  <c r="C53" i="291"/>
  <c r="S53" i="332" s="1"/>
  <c r="C55" i="291"/>
  <c r="S55" i="332" s="1"/>
  <c r="C39" i="291"/>
  <c r="S39" i="332" s="1"/>
  <c r="C15" i="291"/>
  <c r="S15" i="332" s="1"/>
  <c r="C32" i="291"/>
  <c r="S32" i="332" s="1"/>
  <c r="C36" i="291"/>
  <c r="S36" i="332" s="1"/>
  <c r="C38" i="291"/>
  <c r="S38" i="332" s="1"/>
  <c r="C40" i="291"/>
  <c r="S40" i="332" s="1"/>
  <c r="C52" i="291"/>
  <c r="S52" i="332" s="1"/>
  <c r="C20" i="291"/>
  <c r="S20" i="332" s="1"/>
  <c r="C21" i="291"/>
  <c r="S21" i="332" s="1"/>
  <c r="C37" i="291"/>
  <c r="S37" i="332" s="1"/>
  <c r="C48" i="291"/>
  <c r="S48" i="332" s="1"/>
  <c r="C58" i="291"/>
  <c r="S58" i="332" s="1"/>
  <c r="C54" i="291"/>
  <c r="C10" i="291"/>
  <c r="S10" i="332" s="1"/>
  <c r="C23" i="291"/>
  <c r="S23" i="332" s="1"/>
  <c r="C28" i="291"/>
  <c r="S28" i="332" s="1"/>
  <c r="C46" i="291"/>
  <c r="S46" i="332" s="1"/>
  <c r="C56" i="291"/>
  <c r="S56" i="332" s="1"/>
  <c r="C55" i="290"/>
  <c r="Q55" i="332" s="1"/>
  <c r="C14" i="290"/>
  <c r="Q14" i="332" s="1"/>
  <c r="C37" i="290"/>
  <c r="Q37" i="332" s="1"/>
  <c r="C40" i="290"/>
  <c r="Q40" i="332" s="1"/>
  <c r="C23" i="290"/>
  <c r="Q23" i="332" s="1"/>
  <c r="C28" i="290"/>
  <c r="Q28" i="332" s="1"/>
  <c r="C32" i="290"/>
  <c r="Q32" i="332" s="1"/>
  <c r="C53" i="290"/>
  <c r="Q53" i="332" s="1"/>
  <c r="C10" i="290"/>
  <c r="Q10" i="332" s="1"/>
  <c r="C12" i="290"/>
  <c r="Q12" i="332" s="1"/>
  <c r="C21" i="290"/>
  <c r="Q21" i="332" s="1"/>
  <c r="C29" i="290"/>
  <c r="Q29" i="332" s="1"/>
  <c r="C36" i="290"/>
  <c r="Q36" i="332" s="1"/>
  <c r="C38" i="290"/>
  <c r="Q38" i="332" s="1"/>
  <c r="C8" i="290"/>
  <c r="Q8" i="332" s="1"/>
  <c r="C25" i="290"/>
  <c r="Q25" i="332" s="1"/>
  <c r="C30" i="290"/>
  <c r="Q30" i="332" s="1"/>
  <c r="C52" i="290"/>
  <c r="Q52" i="332" s="1"/>
  <c r="C54" i="290"/>
  <c r="Q54" i="332" s="1"/>
  <c r="C11" i="290"/>
  <c r="Q11" i="332" s="1"/>
  <c r="C22" i="290"/>
  <c r="Q22" i="332" s="1"/>
  <c r="C35" i="290"/>
  <c r="Q35" i="332" s="1"/>
  <c r="C39" i="290"/>
  <c r="Q39" i="332" s="1"/>
  <c r="C48" i="290"/>
  <c r="Q48" i="332" s="1"/>
  <c r="C20" i="290"/>
  <c r="Q20" i="332" s="1"/>
  <c r="C31" i="290"/>
  <c r="Q31" i="332" s="1"/>
  <c r="C51" i="290"/>
  <c r="Q51" i="332" s="1"/>
  <c r="C58" i="290"/>
  <c r="Q58" i="332" s="1"/>
  <c r="O22" i="332"/>
  <c r="O55" i="332"/>
  <c r="O15" i="332"/>
  <c r="O39" i="332"/>
  <c r="O48" i="332"/>
  <c r="O10" i="332"/>
  <c r="O20" i="332"/>
  <c r="O21" i="332"/>
  <c r="O31" i="332"/>
  <c r="O40" i="332"/>
  <c r="O51" i="332"/>
  <c r="O54" i="332"/>
  <c r="O23" i="332"/>
  <c r="O25" i="332"/>
  <c r="O30" i="332"/>
  <c r="O32" i="332"/>
  <c r="O41" i="332"/>
  <c r="O46" i="332"/>
  <c r="O67" i="332"/>
  <c r="O14" i="332"/>
  <c r="O29" i="332"/>
  <c r="O38" i="332"/>
  <c r="O8" i="332"/>
  <c r="O37" i="332"/>
  <c r="O53" i="332"/>
  <c r="O58" i="332"/>
  <c r="C52" i="288"/>
  <c r="M52" i="332" s="1"/>
  <c r="C40" i="288"/>
  <c r="C15" i="288"/>
  <c r="C15" i="287"/>
  <c r="C54" i="287"/>
  <c r="K54" i="332" s="1"/>
  <c r="C15" i="286"/>
  <c r="C53" i="286"/>
  <c r="I53" i="332" s="1"/>
  <c r="C23" i="285"/>
  <c r="G23" i="332" s="1"/>
  <c r="C28" i="285"/>
  <c r="G28" i="332" s="1"/>
  <c r="C32" i="285"/>
  <c r="G32" i="332" s="1"/>
  <c r="C35" i="285"/>
  <c r="G35" i="332" s="1"/>
  <c r="C41" i="285"/>
  <c r="G41" i="332" s="1"/>
  <c r="C29" i="285"/>
  <c r="G29" i="332" s="1"/>
  <c r="C31" i="285"/>
  <c r="G31" i="332" s="1"/>
  <c r="C20" i="285"/>
  <c r="G20" i="332" s="1"/>
  <c r="C25" i="285"/>
  <c r="G25" i="332" s="1"/>
  <c r="C30" i="285"/>
  <c r="G30" i="332" s="1"/>
  <c r="C40" i="285"/>
  <c r="G40" i="332" s="1"/>
  <c r="C53" i="285"/>
  <c r="G53" i="332" s="1"/>
  <c r="C14" i="285"/>
  <c r="G14" i="332" s="1"/>
  <c r="C39" i="285"/>
  <c r="G39" i="332" s="1"/>
  <c r="C48" i="285"/>
  <c r="C54" i="285"/>
  <c r="G54" i="332" s="1"/>
  <c r="C15" i="285"/>
  <c r="G15" i="332" s="1"/>
  <c r="C21" i="285"/>
  <c r="G21" i="332" s="1"/>
  <c r="C22" i="285"/>
  <c r="G22" i="332" s="1"/>
  <c r="C38" i="285"/>
  <c r="G38" i="332" s="1"/>
  <c r="C52" i="285"/>
  <c r="G52" i="332" s="1"/>
  <c r="C55" i="285"/>
  <c r="G55" i="332" s="1"/>
  <c r="C39" i="284"/>
  <c r="C56" i="284"/>
  <c r="E56" i="332" s="1"/>
  <c r="C40" i="284"/>
  <c r="C15" i="283"/>
  <c r="C12" i="283"/>
  <c r="C30" i="292"/>
  <c r="C32" i="292"/>
  <c r="C35" i="292"/>
  <c r="C31" i="278"/>
  <c r="U31" i="332" s="1"/>
  <c r="C39" i="278"/>
  <c r="C64" i="288"/>
  <c r="M64" i="332" s="1"/>
  <c r="C28" i="288"/>
  <c r="M28" i="332" s="1"/>
  <c r="C48" i="288"/>
  <c r="M48" i="332" s="1"/>
  <c r="C74" i="288"/>
  <c r="C25" i="288"/>
  <c r="C48" i="287"/>
  <c r="K48" i="332" s="1"/>
  <c r="C53" i="287"/>
  <c r="K53" i="332" s="1"/>
  <c r="C58" i="287"/>
  <c r="K58" i="332" s="1"/>
  <c r="C14" i="286"/>
  <c r="C48" i="286"/>
  <c r="C22" i="286"/>
  <c r="C41" i="286"/>
  <c r="C8" i="284"/>
  <c r="C12" i="284"/>
  <c r="E12" i="332" s="1"/>
  <c r="C25" i="284"/>
  <c r="E25" i="332" s="1"/>
  <c r="C63" i="284"/>
  <c r="G63" i="284" s="1"/>
  <c r="H63" i="284" s="1"/>
  <c r="C55" i="284"/>
  <c r="E55" i="332" s="1"/>
  <c r="C53" i="284"/>
  <c r="E53" i="332" s="1"/>
  <c r="C54" i="284"/>
  <c r="C64" i="284"/>
  <c r="E64" i="332" s="1"/>
  <c r="C14" i="292"/>
  <c r="W14" i="332" s="1"/>
  <c r="C22" i="292"/>
  <c r="W22" i="332" s="1"/>
  <c r="C20" i="292"/>
  <c r="W20" i="332" s="1"/>
  <c r="C53" i="292"/>
  <c r="W53" i="332" s="1"/>
  <c r="C55" i="292"/>
  <c r="W55" i="332" s="1"/>
  <c r="C58" i="292"/>
  <c r="W58" i="332" s="1"/>
  <c r="C12" i="292"/>
  <c r="W12" i="332" s="1"/>
  <c r="C23" i="292"/>
  <c r="W23" i="332" s="1"/>
  <c r="C39" i="292"/>
  <c r="W39" i="332" s="1"/>
  <c r="C48" i="292"/>
  <c r="W48" i="332" s="1"/>
  <c r="C21" i="292"/>
  <c r="W21" i="332" s="1"/>
  <c r="C36" i="292"/>
  <c r="W36" i="332" s="1"/>
  <c r="C38" i="292"/>
  <c r="W38" i="332" s="1"/>
  <c r="C64" i="292"/>
  <c r="W64" i="332" s="1"/>
  <c r="C11" i="292"/>
  <c r="W11" i="332" s="1"/>
  <c r="C25" i="292"/>
  <c r="W25" i="332" s="1"/>
  <c r="C37" i="292"/>
  <c r="W37" i="332" s="1"/>
  <c r="C46" i="292"/>
  <c r="W46" i="332" s="1"/>
  <c r="C74" i="292"/>
  <c r="W74" i="332" s="1"/>
  <c r="C10" i="292"/>
  <c r="W10" i="332" s="1"/>
  <c r="C28" i="292"/>
  <c r="W28" i="332" s="1"/>
  <c r="C54" i="292"/>
  <c r="W54" i="332" s="1"/>
  <c r="C8" i="292"/>
  <c r="C29" i="292"/>
  <c r="W29" i="332" s="1"/>
  <c r="C31" i="292"/>
  <c r="W31" i="332" s="1"/>
  <c r="C41" i="292"/>
  <c r="W41" i="332" s="1"/>
  <c r="C67" i="292"/>
  <c r="W67" i="332" s="1"/>
  <c r="C23" i="288"/>
  <c r="M23" i="332" s="1"/>
  <c r="C21" i="288"/>
  <c r="M21" i="332" s="1"/>
  <c r="C10" i="288"/>
  <c r="M10" i="332" s="1"/>
  <c r="C22" i="288"/>
  <c r="M22" i="332" s="1"/>
  <c r="C29" i="288"/>
  <c r="M29" i="332" s="1"/>
  <c r="C31" i="288"/>
  <c r="M31" i="332" s="1"/>
  <c r="C36" i="288"/>
  <c r="M36" i="332" s="1"/>
  <c r="C38" i="288"/>
  <c r="M38" i="332" s="1"/>
  <c r="C14" i="288"/>
  <c r="M14" i="332" s="1"/>
  <c r="C20" i="288"/>
  <c r="M20" i="332" s="1"/>
  <c r="C39" i="288"/>
  <c r="M39" i="332" s="1"/>
  <c r="C46" i="288"/>
  <c r="M46" i="332" s="1"/>
  <c r="C72" i="288"/>
  <c r="M72" i="332" s="1"/>
  <c r="C12" i="288"/>
  <c r="M12" i="332" s="1"/>
  <c r="C41" i="288"/>
  <c r="M41" i="332" s="1"/>
  <c r="C32" i="288"/>
  <c r="M32" i="332" s="1"/>
  <c r="C37" i="288"/>
  <c r="M37" i="332" s="1"/>
  <c r="C67" i="288"/>
  <c r="M67" i="332" s="1"/>
  <c r="C11" i="288"/>
  <c r="M11" i="332" s="1"/>
  <c r="C55" i="287"/>
  <c r="K55" i="332" s="1"/>
  <c r="C64" i="287"/>
  <c r="C8" i="287"/>
  <c r="C21" i="287"/>
  <c r="K21" i="332" s="1"/>
  <c r="C28" i="287"/>
  <c r="K28" i="332" s="1"/>
  <c r="C14" i="287"/>
  <c r="K14" i="332" s="1"/>
  <c r="C37" i="287"/>
  <c r="K37" i="332" s="1"/>
  <c r="C67" i="287"/>
  <c r="K67" i="332" s="1"/>
  <c r="C23" i="287"/>
  <c r="K23" i="332" s="1"/>
  <c r="C20" i="287"/>
  <c r="K20" i="332" s="1"/>
  <c r="C35" i="287"/>
  <c r="K35" i="332" s="1"/>
  <c r="C39" i="287"/>
  <c r="K39" i="332" s="1"/>
  <c r="C12" i="287"/>
  <c r="K12" i="332" s="1"/>
  <c r="C30" i="287"/>
  <c r="K30" i="332" s="1"/>
  <c r="C36" i="287"/>
  <c r="K36" i="332" s="1"/>
  <c r="C38" i="287"/>
  <c r="K38" i="332" s="1"/>
  <c r="C41" i="287"/>
  <c r="K41" i="332" s="1"/>
  <c r="C22" i="287"/>
  <c r="K22" i="332" s="1"/>
  <c r="C32" i="287"/>
  <c r="K32" i="332" s="1"/>
  <c r="C11" i="287"/>
  <c r="K11" i="332" s="1"/>
  <c r="C29" i="287"/>
  <c r="K29" i="332" s="1"/>
  <c r="C31" i="287"/>
  <c r="K31" i="332" s="1"/>
  <c r="C20" i="286"/>
  <c r="I20" i="332" s="1"/>
  <c r="C58" i="286"/>
  <c r="I58" i="332" s="1"/>
  <c r="C72" i="286"/>
  <c r="C12" i="286"/>
  <c r="I12" i="332" s="1"/>
  <c r="C25" i="286"/>
  <c r="I25" i="332" s="1"/>
  <c r="C35" i="286"/>
  <c r="I35" i="332" s="1"/>
  <c r="C39" i="286"/>
  <c r="I39" i="332" s="1"/>
  <c r="C51" i="286"/>
  <c r="I51" i="332" s="1"/>
  <c r="C21" i="286"/>
  <c r="I21" i="332" s="1"/>
  <c r="C40" i="286"/>
  <c r="I40" i="332" s="1"/>
  <c r="C46" i="286"/>
  <c r="I46" i="332" s="1"/>
  <c r="C56" i="286"/>
  <c r="I56" i="332" s="1"/>
  <c r="C37" i="286"/>
  <c r="I37" i="332" s="1"/>
  <c r="C10" i="286"/>
  <c r="I10" i="332" s="1"/>
  <c r="C23" i="286"/>
  <c r="I23" i="332" s="1"/>
  <c r="C54" i="286"/>
  <c r="I54" i="332" s="1"/>
  <c r="C8" i="286"/>
  <c r="C29" i="286"/>
  <c r="I29" i="332" s="1"/>
  <c r="C31" i="286"/>
  <c r="I31" i="332" s="1"/>
  <c r="C36" i="286"/>
  <c r="I36" i="332" s="1"/>
  <c r="C38" i="286"/>
  <c r="I38" i="332" s="1"/>
  <c r="C55" i="286"/>
  <c r="I55" i="332" s="1"/>
  <c r="C30" i="286"/>
  <c r="I30" i="332" s="1"/>
  <c r="C32" i="286"/>
  <c r="I32" i="332" s="1"/>
  <c r="C67" i="286"/>
  <c r="I67" i="332" s="1"/>
  <c r="C28" i="286"/>
  <c r="I28" i="332" s="1"/>
  <c r="C52" i="286"/>
  <c r="I52" i="332" s="1"/>
  <c r="C31" i="284"/>
  <c r="E31" i="332" s="1"/>
  <c r="C14" i="284"/>
  <c r="E14" i="332" s="1"/>
  <c r="C38" i="284"/>
  <c r="E38" i="332" s="1"/>
  <c r="C20" i="284"/>
  <c r="E20" i="332" s="1"/>
  <c r="C37" i="284"/>
  <c r="E37" i="332" s="1"/>
  <c r="C52" i="284"/>
  <c r="E52" i="332" s="1"/>
  <c r="C35" i="284"/>
  <c r="E35" i="332" s="1"/>
  <c r="C48" i="284"/>
  <c r="C21" i="284"/>
  <c r="E21" i="332" s="1"/>
  <c r="C28" i="284"/>
  <c r="E28" i="332" s="1"/>
  <c r="C36" i="284"/>
  <c r="E36" i="332" s="1"/>
  <c r="C51" i="284"/>
  <c r="E51" i="332" s="1"/>
  <c r="C67" i="284"/>
  <c r="E67" i="332" s="1"/>
  <c r="C11" i="284"/>
  <c r="E11" i="332" s="1"/>
  <c r="C29" i="284"/>
  <c r="E29" i="332" s="1"/>
  <c r="C58" i="284"/>
  <c r="E58" i="332" s="1"/>
  <c r="C10" i="284"/>
  <c r="E10" i="332" s="1"/>
  <c r="C22" i="284"/>
  <c r="E22" i="332" s="1"/>
  <c r="C23" i="284"/>
  <c r="E23" i="332" s="1"/>
  <c r="C30" i="284"/>
  <c r="E30" i="332" s="1"/>
  <c r="C32" i="284"/>
  <c r="E32" i="332" s="1"/>
  <c r="C41" i="284"/>
  <c r="E41" i="332" s="1"/>
  <c r="C63" i="278"/>
  <c r="C37" i="278"/>
  <c r="C51" i="278"/>
  <c r="C12" i="278"/>
  <c r="U12" i="332" s="1"/>
  <c r="C25" i="278"/>
  <c r="U25" i="332" s="1"/>
  <c r="C30" i="278"/>
  <c r="U30" i="332" s="1"/>
  <c r="C35" i="278"/>
  <c r="U35" i="332" s="1"/>
  <c r="C46" i="278"/>
  <c r="U46" i="332" s="1"/>
  <c r="C11" i="278"/>
  <c r="U11" i="332" s="1"/>
  <c r="C21" i="278"/>
  <c r="U21" i="332" s="1"/>
  <c r="C28" i="278"/>
  <c r="U28" i="332" s="1"/>
  <c r="C41" i="278"/>
  <c r="U41" i="332" s="1"/>
  <c r="C55" i="278"/>
  <c r="U55" i="332" s="1"/>
  <c r="C23" i="278"/>
  <c r="U23" i="332" s="1"/>
  <c r="C32" i="278"/>
  <c r="U32" i="332" s="1"/>
  <c r="C38" i="278"/>
  <c r="U38" i="332" s="1"/>
  <c r="C40" i="278"/>
  <c r="C53" i="278"/>
  <c r="U53" i="332" s="1"/>
  <c r="C54" i="278"/>
  <c r="U54" i="332" s="1"/>
  <c r="C58" i="278"/>
  <c r="U58" i="332" s="1"/>
  <c r="C74" i="278"/>
  <c r="U74" i="332" s="1"/>
  <c r="C10" i="278"/>
  <c r="U10" i="332" s="1"/>
  <c r="C14" i="278"/>
  <c r="U14" i="332" s="1"/>
  <c r="C52" i="278"/>
  <c r="U52" i="332" s="1"/>
  <c r="C8" i="278"/>
  <c r="C20" i="278"/>
  <c r="U20" i="332" s="1"/>
  <c r="C22" i="278"/>
  <c r="U22" i="332" s="1"/>
  <c r="C36" i="278"/>
  <c r="U36" i="332" s="1"/>
  <c r="C48" i="278"/>
  <c r="U48" i="332" s="1"/>
  <c r="C56" i="278"/>
  <c r="U56" i="332" s="1"/>
  <c r="C67" i="278"/>
  <c r="U67" i="332" s="1"/>
  <c r="C28" i="283"/>
  <c r="C74" i="283"/>
  <c r="C41" i="283"/>
  <c r="C53" i="283"/>
  <c r="C30" i="283"/>
  <c r="C35" i="283"/>
  <c r="C67" i="283"/>
  <c r="C64" i="283"/>
  <c r="C8" i="283"/>
  <c r="C21" i="283"/>
  <c r="C51" i="283"/>
  <c r="C54" i="283"/>
  <c r="C14" i="283"/>
  <c r="C11" i="283"/>
  <c r="C37" i="283"/>
  <c r="C46" i="283"/>
  <c r="C56" i="283"/>
  <c r="C22" i="283"/>
  <c r="C23" i="283"/>
  <c r="C10" i="283"/>
  <c r="C39" i="283"/>
  <c r="C36" i="283"/>
  <c r="C38" i="283"/>
  <c r="C55" i="283"/>
  <c r="C32" i="283"/>
  <c r="C20" i="283"/>
  <c r="C40" i="283"/>
  <c r="C52" i="283"/>
  <c r="C25" i="283"/>
  <c r="C48" i="283"/>
  <c r="C58" i="283"/>
  <c r="F49" i="278"/>
  <c r="E59" i="278"/>
  <c r="E42" i="278"/>
  <c r="E26" i="278"/>
  <c r="E65" i="278"/>
  <c r="F16" i="278"/>
  <c r="C22" i="334" l="1"/>
  <c r="C29" i="334"/>
  <c r="G35" i="327"/>
  <c r="S35" i="333"/>
  <c r="C56" i="334"/>
  <c r="G56" i="334" s="1"/>
  <c r="H56" i="334" s="1"/>
  <c r="S35" i="332"/>
  <c r="G35" i="291"/>
  <c r="C49" i="334"/>
  <c r="G49" i="334" s="1"/>
  <c r="H49" i="334" s="1"/>
  <c r="C55" i="334"/>
  <c r="G55" i="334" s="1"/>
  <c r="H55" i="334" s="1"/>
  <c r="G57" i="325"/>
  <c r="Q57" i="333"/>
  <c r="C38" i="334"/>
  <c r="G38" i="334" s="1"/>
  <c r="H38" i="334" s="1"/>
  <c r="C68" i="334"/>
  <c r="G68" i="334" s="1"/>
  <c r="H68" i="334" s="1"/>
  <c r="G57" i="290"/>
  <c r="Q57" i="332"/>
  <c r="C53" i="334"/>
  <c r="G53" i="334" s="1"/>
  <c r="H53" i="334" s="1"/>
  <c r="C52" i="334"/>
  <c r="G52" i="334" s="1"/>
  <c r="C26" i="334"/>
  <c r="G26" i="334" s="1"/>
  <c r="H26" i="334" s="1"/>
  <c r="C47" i="334"/>
  <c r="G47" i="334" s="1"/>
  <c r="C42" i="334"/>
  <c r="G42" i="334" s="1"/>
  <c r="H42" i="334" s="1"/>
  <c r="C33" i="334"/>
  <c r="G33" i="334" s="1"/>
  <c r="H33" i="334" s="1"/>
  <c r="C9" i="334"/>
  <c r="C73" i="334"/>
  <c r="G73" i="334" s="1"/>
  <c r="H73" i="334" s="1"/>
  <c r="G72" i="333"/>
  <c r="G72" i="315"/>
  <c r="H72" i="315" s="1"/>
  <c r="C41" i="334"/>
  <c r="G41" i="334" s="1"/>
  <c r="H41" i="334" s="1"/>
  <c r="C31" i="334"/>
  <c r="G31" i="334" s="1"/>
  <c r="H31" i="334" s="1"/>
  <c r="C39" i="334"/>
  <c r="G39" i="334" s="1"/>
  <c r="H39" i="334" s="1"/>
  <c r="G72" i="332"/>
  <c r="H72" i="332" s="1"/>
  <c r="G72" i="285"/>
  <c r="H72" i="285" s="1"/>
  <c r="C65" i="334"/>
  <c r="G65" i="334" s="1"/>
  <c r="H65" i="334" s="1"/>
  <c r="C23" i="334"/>
  <c r="C59" i="334"/>
  <c r="G59" i="334" s="1"/>
  <c r="H59" i="334" s="1"/>
  <c r="C36" i="334"/>
  <c r="C57" i="334"/>
  <c r="G57" i="334" s="1"/>
  <c r="H57" i="334" s="1"/>
  <c r="C30" i="334"/>
  <c r="G30" i="334" s="1"/>
  <c r="H30" i="334" s="1"/>
  <c r="C40" i="334"/>
  <c r="G40" i="334" s="1"/>
  <c r="H40" i="334" s="1"/>
  <c r="C48" i="334"/>
  <c r="G48" i="334" s="1"/>
  <c r="H48" i="334" s="1"/>
  <c r="C37" i="334"/>
  <c r="G37" i="334" s="1"/>
  <c r="H37" i="334" s="1"/>
  <c r="C24" i="334"/>
  <c r="G24" i="334" s="1"/>
  <c r="H24" i="334" s="1"/>
  <c r="C32" i="334"/>
  <c r="G32" i="334" s="1"/>
  <c r="H32" i="334" s="1"/>
  <c r="C21" i="334"/>
  <c r="G21" i="334" s="1"/>
  <c r="C58" i="334"/>
  <c r="G58" i="334" s="1"/>
  <c r="H58" i="334" s="1"/>
  <c r="C74" i="333"/>
  <c r="C75" i="334"/>
  <c r="G75" i="334" s="1"/>
  <c r="H75" i="334" s="1"/>
  <c r="G63" i="311"/>
  <c r="H63" i="311" s="1"/>
  <c r="C64" i="334"/>
  <c r="G64" i="334" s="1"/>
  <c r="C12" i="334"/>
  <c r="C13" i="334"/>
  <c r="G13" i="334" s="1"/>
  <c r="H13" i="334" s="1"/>
  <c r="C11" i="334"/>
  <c r="C16" i="334"/>
  <c r="C15" i="334"/>
  <c r="C20" i="293"/>
  <c r="C74" i="293"/>
  <c r="G74" i="293" s="1"/>
  <c r="H74" i="293" s="1"/>
  <c r="C46" i="293"/>
  <c r="C72" i="293"/>
  <c r="G72" i="293" s="1"/>
  <c r="H72" i="293" s="1"/>
  <c r="C37" i="293"/>
  <c r="C11" i="293"/>
  <c r="C54" i="293"/>
  <c r="C41" i="293"/>
  <c r="G41" i="293" s="1"/>
  <c r="H41" i="293" s="1"/>
  <c r="C51" i="293"/>
  <c r="C64" i="293"/>
  <c r="G64" i="293" s="1"/>
  <c r="H64" i="293" s="1"/>
  <c r="C14" i="293"/>
  <c r="C28" i="293"/>
  <c r="G28" i="293" s="1"/>
  <c r="C55" i="293"/>
  <c r="C38" i="293"/>
  <c r="C40" i="293"/>
  <c r="C31" i="293"/>
  <c r="G31" i="293" s="1"/>
  <c r="H31" i="293" s="1"/>
  <c r="C53" i="293"/>
  <c r="G53" i="293" s="1"/>
  <c r="H53" i="293" s="1"/>
  <c r="C32" i="293"/>
  <c r="C36" i="293"/>
  <c r="C21" i="293"/>
  <c r="C63" i="293"/>
  <c r="G63" i="293" s="1"/>
  <c r="C56" i="293"/>
  <c r="C52" i="293"/>
  <c r="C39" i="293"/>
  <c r="C29" i="293"/>
  <c r="G29" i="293" s="1"/>
  <c r="H29" i="293" s="1"/>
  <c r="C8" i="293"/>
  <c r="C10" i="293"/>
  <c r="C67" i="293"/>
  <c r="G67" i="293" s="1"/>
  <c r="H67" i="293" s="1"/>
  <c r="C12" i="293"/>
  <c r="G12" i="293" s="1"/>
  <c r="H12" i="293" s="1"/>
  <c r="C58" i="293"/>
  <c r="C23" i="293"/>
  <c r="C48" i="293"/>
  <c r="C22" i="293"/>
  <c r="C35" i="293"/>
  <c r="G35" i="293" s="1"/>
  <c r="C15" i="293"/>
  <c r="G15" i="293" s="1"/>
  <c r="H15" i="293" s="1"/>
  <c r="C25" i="293"/>
  <c r="C30" i="293"/>
  <c r="G30" i="293" s="1"/>
  <c r="H30" i="293" s="1"/>
  <c r="C47" i="293"/>
  <c r="G47" i="293" s="1"/>
  <c r="H47" i="293" s="1"/>
  <c r="C47" i="332"/>
  <c r="G47" i="283"/>
  <c r="C47" i="333"/>
  <c r="G47" i="311"/>
  <c r="C57" i="293"/>
  <c r="G57" i="293" s="1"/>
  <c r="H57" i="293" s="1"/>
  <c r="G57" i="283"/>
  <c r="C57" i="332"/>
  <c r="C57" i="333"/>
  <c r="G57" i="311"/>
  <c r="W57" i="333"/>
  <c r="G57" i="331"/>
  <c r="W57" i="332"/>
  <c r="G57" i="292"/>
  <c r="I74" i="332"/>
  <c r="E47" i="332"/>
  <c r="G47" i="284"/>
  <c r="E47" i="333"/>
  <c r="G47" i="313"/>
  <c r="I64" i="333"/>
  <c r="C65" i="317"/>
  <c r="D65" i="317" s="1"/>
  <c r="G56" i="331"/>
  <c r="H56" i="331" s="1"/>
  <c r="D56" i="331"/>
  <c r="G72" i="321"/>
  <c r="H72" i="321" s="1"/>
  <c r="G48" i="321"/>
  <c r="H48" i="321" s="1"/>
  <c r="M57" i="333"/>
  <c r="G57" i="321"/>
  <c r="M57" i="332"/>
  <c r="N57" i="332" s="1"/>
  <c r="G57" i="288"/>
  <c r="G64" i="319"/>
  <c r="H64" i="319" s="1"/>
  <c r="G57" i="287"/>
  <c r="K57" i="332"/>
  <c r="K57" i="333"/>
  <c r="G57" i="319"/>
  <c r="G57" i="317"/>
  <c r="I57" i="333"/>
  <c r="G57" i="286"/>
  <c r="I57" i="332"/>
  <c r="G57" i="332"/>
  <c r="H57" i="332" s="1"/>
  <c r="G57" i="285"/>
  <c r="G57" i="333"/>
  <c r="G57" i="315"/>
  <c r="G57" i="313"/>
  <c r="E57" i="333"/>
  <c r="E57" i="332"/>
  <c r="G57" i="284"/>
  <c r="K74" i="333"/>
  <c r="G74" i="331"/>
  <c r="H74" i="331" s="1"/>
  <c r="G63" i="317"/>
  <c r="G65" i="317" s="1"/>
  <c r="H65" i="317" s="1"/>
  <c r="G63" i="313"/>
  <c r="G65" i="313" s="1"/>
  <c r="H65" i="313" s="1"/>
  <c r="G74" i="329"/>
  <c r="H74" i="329" s="1"/>
  <c r="G30" i="317"/>
  <c r="H30" i="317" s="1"/>
  <c r="I63" i="333"/>
  <c r="E74" i="332"/>
  <c r="C63" i="333"/>
  <c r="C65" i="311"/>
  <c r="D65" i="311" s="1"/>
  <c r="G11" i="291"/>
  <c r="H11" i="291" s="1"/>
  <c r="G72" i="291"/>
  <c r="H72" i="291" s="1"/>
  <c r="S72" i="332"/>
  <c r="T72" i="332" s="1"/>
  <c r="G72" i="327"/>
  <c r="H72" i="327" s="1"/>
  <c r="S72" i="333"/>
  <c r="S57" i="332"/>
  <c r="T57" i="332" s="1"/>
  <c r="G57" i="291"/>
  <c r="S57" i="333"/>
  <c r="G57" i="327"/>
  <c r="Q72" i="332"/>
  <c r="R72" i="332" s="1"/>
  <c r="G72" i="290"/>
  <c r="H72" i="290" s="1"/>
  <c r="Q72" i="333"/>
  <c r="G72" i="325"/>
  <c r="H72" i="325" s="1"/>
  <c r="G72" i="287"/>
  <c r="H72" i="287" s="1"/>
  <c r="K72" i="332"/>
  <c r="K72" i="333"/>
  <c r="G72" i="319"/>
  <c r="H72" i="319" s="1"/>
  <c r="G74" i="311"/>
  <c r="H74" i="311" s="1"/>
  <c r="G28" i="317"/>
  <c r="H28" i="317" s="1"/>
  <c r="G12" i="313"/>
  <c r="H12" i="313" s="1"/>
  <c r="G63" i="286"/>
  <c r="H63" i="286" s="1"/>
  <c r="G63" i="321"/>
  <c r="H63" i="321" s="1"/>
  <c r="C65" i="321"/>
  <c r="D65" i="321" s="1"/>
  <c r="G53" i="288"/>
  <c r="H53" i="288" s="1"/>
  <c r="G63" i="292"/>
  <c r="H63" i="292" s="1"/>
  <c r="G63" i="287"/>
  <c r="H63" i="287" s="1"/>
  <c r="K67" i="333"/>
  <c r="G12" i="317"/>
  <c r="H12" i="317" s="1"/>
  <c r="G40" i="317"/>
  <c r="H40" i="317" s="1"/>
  <c r="K37" i="333"/>
  <c r="C65" i="313"/>
  <c r="D65" i="313" s="1"/>
  <c r="E64" i="333"/>
  <c r="E65" i="333" s="1"/>
  <c r="G74" i="313"/>
  <c r="H74" i="313" s="1"/>
  <c r="I65" i="332"/>
  <c r="D67" i="291"/>
  <c r="U67" i="333"/>
  <c r="G67" i="329"/>
  <c r="H67" i="329" s="1"/>
  <c r="U63" i="333"/>
  <c r="C65" i="329"/>
  <c r="D65" i="329" s="1"/>
  <c r="G63" i="329"/>
  <c r="U64" i="333"/>
  <c r="G64" i="329"/>
  <c r="H64" i="329" s="1"/>
  <c r="G57" i="278"/>
  <c r="U57" i="332"/>
  <c r="G52" i="329"/>
  <c r="H52" i="329" s="1"/>
  <c r="U57" i="333"/>
  <c r="G57" i="329"/>
  <c r="S67" i="332"/>
  <c r="T67" i="332" s="1"/>
  <c r="G67" i="291"/>
  <c r="H67" i="291" s="1"/>
  <c r="S67" i="333"/>
  <c r="G67" i="327"/>
  <c r="H67" i="327" s="1"/>
  <c r="G63" i="327"/>
  <c r="S63" i="333"/>
  <c r="C65" i="327"/>
  <c r="D65" i="327" s="1"/>
  <c r="C65" i="291"/>
  <c r="D65" i="291" s="1"/>
  <c r="S63" i="332"/>
  <c r="T63" i="332" s="1"/>
  <c r="G63" i="291"/>
  <c r="S74" i="332"/>
  <c r="T74" i="332" s="1"/>
  <c r="G74" i="291"/>
  <c r="H74" i="291" s="1"/>
  <c r="S74" i="333"/>
  <c r="G74" i="327"/>
  <c r="H74" i="327" s="1"/>
  <c r="S64" i="332"/>
  <c r="T64" i="332" s="1"/>
  <c r="G64" i="291"/>
  <c r="H64" i="291" s="1"/>
  <c r="G64" i="327"/>
  <c r="H64" i="327" s="1"/>
  <c r="S64" i="333"/>
  <c r="G63" i="290"/>
  <c r="C65" i="290"/>
  <c r="D65" i="290" s="1"/>
  <c r="Q63" i="332"/>
  <c r="R63" i="332" s="1"/>
  <c r="Q63" i="333"/>
  <c r="C65" i="325"/>
  <c r="D65" i="325" s="1"/>
  <c r="G63" i="325"/>
  <c r="Q74" i="332"/>
  <c r="R74" i="332" s="1"/>
  <c r="G74" i="290"/>
  <c r="H74" i="290" s="1"/>
  <c r="Q74" i="333"/>
  <c r="G74" i="325"/>
  <c r="H74" i="325" s="1"/>
  <c r="Q64" i="332"/>
  <c r="R64" i="332" s="1"/>
  <c r="G64" i="290"/>
  <c r="H64" i="290" s="1"/>
  <c r="G64" i="325"/>
  <c r="H64" i="325" s="1"/>
  <c r="Q64" i="333"/>
  <c r="G63" i="288"/>
  <c r="H63" i="288" s="1"/>
  <c r="M65" i="332"/>
  <c r="N65" i="332" s="1"/>
  <c r="G74" i="321"/>
  <c r="H74" i="321" s="1"/>
  <c r="M74" i="333"/>
  <c r="M64" i="333"/>
  <c r="M65" i="333" s="1"/>
  <c r="G64" i="321"/>
  <c r="H64" i="321" s="1"/>
  <c r="G63" i="319"/>
  <c r="C65" i="319"/>
  <c r="D65" i="319" s="1"/>
  <c r="K63" i="333"/>
  <c r="K65" i="333" s="1"/>
  <c r="K58" i="333"/>
  <c r="G58" i="319"/>
  <c r="H58" i="319" s="1"/>
  <c r="G64" i="286"/>
  <c r="H64" i="286" s="1"/>
  <c r="C65" i="286"/>
  <c r="D65" i="286" s="1"/>
  <c r="G67" i="317"/>
  <c r="H67" i="317" s="1"/>
  <c r="I67" i="333"/>
  <c r="I74" i="333"/>
  <c r="G74" i="317"/>
  <c r="H74" i="317" s="1"/>
  <c r="I72" i="333"/>
  <c r="G72" i="317"/>
  <c r="H72" i="317" s="1"/>
  <c r="G54" i="334"/>
  <c r="H54" i="334" s="1"/>
  <c r="G63" i="333"/>
  <c r="G63" i="315"/>
  <c r="C65" i="315"/>
  <c r="D65" i="315" s="1"/>
  <c r="G74" i="333"/>
  <c r="G74" i="315"/>
  <c r="H74" i="315" s="1"/>
  <c r="G74" i="332"/>
  <c r="H74" i="332" s="1"/>
  <c r="G74" i="285"/>
  <c r="H74" i="285" s="1"/>
  <c r="G63" i="285"/>
  <c r="C65" i="285"/>
  <c r="D65" i="285" s="1"/>
  <c r="G63" i="332"/>
  <c r="H63" i="332" s="1"/>
  <c r="G64" i="332"/>
  <c r="H64" i="332" s="1"/>
  <c r="G64" i="285"/>
  <c r="H64" i="285" s="1"/>
  <c r="G64" i="333"/>
  <c r="G64" i="315"/>
  <c r="H64" i="315" s="1"/>
  <c r="G67" i="333"/>
  <c r="G67" i="315"/>
  <c r="H67" i="315" s="1"/>
  <c r="G67" i="332"/>
  <c r="H67" i="332" s="1"/>
  <c r="G67" i="285"/>
  <c r="H67" i="285" s="1"/>
  <c r="G67" i="313"/>
  <c r="H67" i="313" s="1"/>
  <c r="E67" i="333"/>
  <c r="G64" i="311"/>
  <c r="H64" i="311" s="1"/>
  <c r="C64" i="333"/>
  <c r="G74" i="323"/>
  <c r="H74" i="323" s="1"/>
  <c r="K47" i="332"/>
  <c r="G22" i="334"/>
  <c r="H22" i="334" s="1"/>
  <c r="I72" i="332"/>
  <c r="G48" i="333"/>
  <c r="G38" i="333"/>
  <c r="G53" i="313"/>
  <c r="H53" i="313" s="1"/>
  <c r="C55" i="332"/>
  <c r="AI55" i="332" s="1"/>
  <c r="C56" i="333"/>
  <c r="C58" i="332"/>
  <c r="C38" i="332"/>
  <c r="AI38" i="332" s="1"/>
  <c r="C37" i="332"/>
  <c r="C67" i="332"/>
  <c r="G51" i="311"/>
  <c r="H51" i="311" s="1"/>
  <c r="C46" i="332"/>
  <c r="AI46" i="332" s="1"/>
  <c r="C48" i="332"/>
  <c r="C36" i="332"/>
  <c r="AI36" i="332" s="1"/>
  <c r="C11" i="332"/>
  <c r="AI11" i="332" s="1"/>
  <c r="C12" i="333"/>
  <c r="C25" i="332"/>
  <c r="C39" i="332"/>
  <c r="C14" i="332"/>
  <c r="C54" i="333"/>
  <c r="C63" i="332"/>
  <c r="C52" i="332"/>
  <c r="C10" i="332"/>
  <c r="AI10" i="332" s="1"/>
  <c r="C54" i="332"/>
  <c r="G39" i="311"/>
  <c r="H39" i="311" s="1"/>
  <c r="C23" i="332"/>
  <c r="AI23" i="332" s="1"/>
  <c r="C51" i="332"/>
  <c r="G11" i="311"/>
  <c r="H11" i="311" s="1"/>
  <c r="C20" i="332"/>
  <c r="AI20" i="332" s="1"/>
  <c r="C22" i="332"/>
  <c r="C21" i="332"/>
  <c r="AI21" i="332" s="1"/>
  <c r="C15" i="332"/>
  <c r="G46" i="311"/>
  <c r="H46" i="311" s="1"/>
  <c r="C64" i="332"/>
  <c r="C40" i="332"/>
  <c r="C32" i="332"/>
  <c r="C56" i="332"/>
  <c r="AI56" i="332" s="1"/>
  <c r="C8" i="332"/>
  <c r="C36" i="333"/>
  <c r="R11" i="332"/>
  <c r="T58" i="332"/>
  <c r="T21" i="332"/>
  <c r="T40" i="332"/>
  <c r="H29" i="332"/>
  <c r="C51" i="333"/>
  <c r="G56" i="311"/>
  <c r="H56" i="311" s="1"/>
  <c r="G31" i="319"/>
  <c r="H31" i="319" s="1"/>
  <c r="D31" i="319"/>
  <c r="G51" i="332"/>
  <c r="H51" i="332" s="1"/>
  <c r="G51" i="285"/>
  <c r="H51" i="285" s="1"/>
  <c r="G51" i="315"/>
  <c r="H51" i="315" s="1"/>
  <c r="G51" i="333"/>
  <c r="W51" i="332"/>
  <c r="G51" i="292"/>
  <c r="H51" i="292" s="1"/>
  <c r="W51" i="333"/>
  <c r="G51" i="331"/>
  <c r="H51" i="331" s="1"/>
  <c r="G58" i="321"/>
  <c r="H58" i="321" s="1"/>
  <c r="G28" i="289"/>
  <c r="H28" i="289" s="1"/>
  <c r="W65" i="332"/>
  <c r="G14" i="291"/>
  <c r="H14" i="291" s="1"/>
  <c r="G40" i="313"/>
  <c r="H40" i="313" s="1"/>
  <c r="D48" i="327"/>
  <c r="O72" i="333"/>
  <c r="G72" i="323"/>
  <c r="H72" i="323" s="1"/>
  <c r="O72" i="332"/>
  <c r="P72" i="332" s="1"/>
  <c r="G72" i="289"/>
  <c r="H72" i="289" s="1"/>
  <c r="G29" i="278"/>
  <c r="H29" i="278" s="1"/>
  <c r="G11" i="286"/>
  <c r="H11" i="286" s="1"/>
  <c r="G54" i="311"/>
  <c r="H54" i="311" s="1"/>
  <c r="N10" i="332"/>
  <c r="N47" i="332"/>
  <c r="N67" i="332"/>
  <c r="D35" i="288"/>
  <c r="N48" i="332"/>
  <c r="G53" i="286"/>
  <c r="H53" i="286" s="1"/>
  <c r="W63" i="333"/>
  <c r="W65" i="333" s="1"/>
  <c r="G15" i="323"/>
  <c r="H15" i="323" s="1"/>
  <c r="G12" i="285"/>
  <c r="H12" i="285" s="1"/>
  <c r="C11" i="333"/>
  <c r="G55" i="321"/>
  <c r="H55" i="321" s="1"/>
  <c r="G38" i="321"/>
  <c r="H38" i="321" s="1"/>
  <c r="W52" i="333"/>
  <c r="G36" i="289"/>
  <c r="H36" i="289" s="1"/>
  <c r="N51" i="332"/>
  <c r="E11" i="333"/>
  <c r="E54" i="333"/>
  <c r="E55" i="333"/>
  <c r="G56" i="284"/>
  <c r="H56" i="284" s="1"/>
  <c r="G46" i="313"/>
  <c r="H46" i="313" s="1"/>
  <c r="G35" i="313"/>
  <c r="H35" i="313" s="1"/>
  <c r="G12" i="311"/>
  <c r="H12" i="311" s="1"/>
  <c r="G10" i="323"/>
  <c r="H10" i="323" s="1"/>
  <c r="N12" i="332"/>
  <c r="D63" i="288"/>
  <c r="N38" i="332"/>
  <c r="N21" i="332"/>
  <c r="N28" i="332"/>
  <c r="N24" i="332"/>
  <c r="N37" i="332"/>
  <c r="G51" i="288"/>
  <c r="H51" i="288" s="1"/>
  <c r="N36" i="332"/>
  <c r="N23" i="332"/>
  <c r="N35" i="332"/>
  <c r="N72" i="332"/>
  <c r="D51" i="288"/>
  <c r="N31" i="332"/>
  <c r="D57" i="288"/>
  <c r="N53" i="332"/>
  <c r="N32" i="332"/>
  <c r="N46" i="332"/>
  <c r="N14" i="332"/>
  <c r="N29" i="332"/>
  <c r="D47" i="288"/>
  <c r="D40" i="288"/>
  <c r="N63" i="332"/>
  <c r="D53" i="288"/>
  <c r="N39" i="332"/>
  <c r="G8" i="288"/>
  <c r="H8" i="288" s="1"/>
  <c r="N52" i="332"/>
  <c r="N8" i="332"/>
  <c r="N11" i="332"/>
  <c r="D8" i="288"/>
  <c r="N41" i="332"/>
  <c r="N20" i="332"/>
  <c r="N22" i="332"/>
  <c r="D24" i="288"/>
  <c r="D15" i="288"/>
  <c r="G25" i="287"/>
  <c r="H25" i="287" s="1"/>
  <c r="H54" i="332"/>
  <c r="H22" i="332"/>
  <c r="H21" i="332"/>
  <c r="D8" i="285"/>
  <c r="H15" i="332"/>
  <c r="H31" i="332"/>
  <c r="D74" i="285"/>
  <c r="D24" i="285"/>
  <c r="H30" i="332"/>
  <c r="H35" i="332"/>
  <c r="D57" i="285"/>
  <c r="D12" i="285"/>
  <c r="H25" i="332"/>
  <c r="H32" i="332"/>
  <c r="D56" i="313"/>
  <c r="G56" i="313"/>
  <c r="H56" i="313" s="1"/>
  <c r="G28" i="331"/>
  <c r="H28" i="331" s="1"/>
  <c r="S48" i="333"/>
  <c r="G12" i="331"/>
  <c r="H12" i="331" s="1"/>
  <c r="G46" i="290"/>
  <c r="H46" i="290" s="1"/>
  <c r="G32" i="323"/>
  <c r="H32" i="323" s="1"/>
  <c r="O74" i="333"/>
  <c r="D67" i="319"/>
  <c r="D24" i="319"/>
  <c r="G8" i="319"/>
  <c r="H8" i="319" s="1"/>
  <c r="G14" i="319"/>
  <c r="H14" i="319" s="1"/>
  <c r="G38" i="313"/>
  <c r="H38" i="313" s="1"/>
  <c r="G25" i="331"/>
  <c r="H25" i="331" s="1"/>
  <c r="G29" i="331"/>
  <c r="H29" i="331" s="1"/>
  <c r="W46" i="333"/>
  <c r="C65" i="331"/>
  <c r="D65" i="331" s="1"/>
  <c r="G35" i="331"/>
  <c r="H35" i="331" s="1"/>
  <c r="G46" i="323"/>
  <c r="H46" i="323" s="1"/>
  <c r="O25" i="333"/>
  <c r="G40" i="323"/>
  <c r="H40" i="323" s="1"/>
  <c r="D11" i="285"/>
  <c r="D14" i="315"/>
  <c r="G14" i="333"/>
  <c r="E30" i="333"/>
  <c r="C46" i="333"/>
  <c r="G40" i="321"/>
  <c r="H40" i="321" s="1"/>
  <c r="D56" i="321"/>
  <c r="G46" i="329"/>
  <c r="H46" i="329" s="1"/>
  <c r="D21" i="313"/>
  <c r="D53" i="313"/>
  <c r="E21" i="333"/>
  <c r="G36" i="313"/>
  <c r="H36" i="313" s="1"/>
  <c r="I25" i="333"/>
  <c r="G36" i="319"/>
  <c r="H36" i="319" s="1"/>
  <c r="N55" i="332"/>
  <c r="G12" i="329"/>
  <c r="H12" i="329" s="1"/>
  <c r="G35" i="329"/>
  <c r="H35" i="329" s="1"/>
  <c r="G14" i="325"/>
  <c r="H14" i="325" s="1"/>
  <c r="G41" i="290"/>
  <c r="H41" i="290" s="1"/>
  <c r="R15" i="332"/>
  <c r="G15" i="290"/>
  <c r="H15" i="290" s="1"/>
  <c r="O30" i="333"/>
  <c r="G56" i="288"/>
  <c r="H56" i="288" s="1"/>
  <c r="D56" i="288"/>
  <c r="G55" i="288"/>
  <c r="H55" i="288" s="1"/>
  <c r="D55" i="288"/>
  <c r="D64" i="288"/>
  <c r="N56" i="332"/>
  <c r="G12" i="319"/>
  <c r="H12" i="319" s="1"/>
  <c r="G48" i="287"/>
  <c r="H48" i="287" s="1"/>
  <c r="G10" i="287"/>
  <c r="H10" i="287" s="1"/>
  <c r="D12" i="319"/>
  <c r="D46" i="313"/>
  <c r="G36" i="311"/>
  <c r="H36" i="311" s="1"/>
  <c r="G25" i="329"/>
  <c r="H25" i="329" s="1"/>
  <c r="D25" i="329"/>
  <c r="G40" i="325"/>
  <c r="H40" i="325" s="1"/>
  <c r="D30" i="313"/>
  <c r="H37" i="332"/>
  <c r="H10" i="332"/>
  <c r="D40" i="325"/>
  <c r="D35" i="313"/>
  <c r="G36" i="331"/>
  <c r="H36" i="331" s="1"/>
  <c r="D28" i="331"/>
  <c r="C49" i="329"/>
  <c r="U49" i="333" s="1"/>
  <c r="G56" i="290"/>
  <c r="H56" i="290" s="1"/>
  <c r="G52" i="289"/>
  <c r="H52" i="289" s="1"/>
  <c r="G20" i="323"/>
  <c r="H20" i="323" s="1"/>
  <c r="N54" i="332"/>
  <c r="D54" i="288"/>
  <c r="D38" i="321"/>
  <c r="D58" i="321"/>
  <c r="G54" i="288"/>
  <c r="H54" i="288" s="1"/>
  <c r="D48" i="321"/>
  <c r="N58" i="332"/>
  <c r="C65" i="288"/>
  <c r="D65" i="288" s="1"/>
  <c r="G64" i="288"/>
  <c r="H64" i="288" s="1"/>
  <c r="G56" i="321"/>
  <c r="H56" i="321" s="1"/>
  <c r="G52" i="287"/>
  <c r="H52" i="287" s="1"/>
  <c r="G51" i="287"/>
  <c r="H51" i="287" s="1"/>
  <c r="I37" i="333"/>
  <c r="G36" i="317"/>
  <c r="H36" i="317" s="1"/>
  <c r="C49" i="317"/>
  <c r="I49" i="333" s="1"/>
  <c r="G56" i="317"/>
  <c r="H56" i="317" s="1"/>
  <c r="G46" i="285"/>
  <c r="H46" i="285" s="1"/>
  <c r="G54" i="315"/>
  <c r="H54" i="315" s="1"/>
  <c r="C49" i="313"/>
  <c r="E49" i="333" s="1"/>
  <c r="C42" i="313"/>
  <c r="D42" i="313" s="1"/>
  <c r="G52" i="313"/>
  <c r="H52" i="313" s="1"/>
  <c r="G56" i="292"/>
  <c r="H56" i="292" s="1"/>
  <c r="C49" i="331"/>
  <c r="W49" i="333" s="1"/>
  <c r="G40" i="331"/>
  <c r="H40" i="331" s="1"/>
  <c r="W40" i="333"/>
  <c r="W40" i="332"/>
  <c r="G40" i="292"/>
  <c r="H40" i="292" s="1"/>
  <c r="G64" i="331"/>
  <c r="G65" i="331" s="1"/>
  <c r="H65" i="331" s="1"/>
  <c r="W15" i="332"/>
  <c r="G15" i="292"/>
  <c r="H15" i="292" s="1"/>
  <c r="C33" i="331"/>
  <c r="W33" i="333" s="1"/>
  <c r="G48" i="331"/>
  <c r="H48" i="331" s="1"/>
  <c r="G15" i="331"/>
  <c r="H15" i="331" s="1"/>
  <c r="W15" i="333"/>
  <c r="G37" i="325"/>
  <c r="H37" i="325" s="1"/>
  <c r="G58" i="288"/>
  <c r="H58" i="288" s="1"/>
  <c r="D58" i="288"/>
  <c r="G52" i="321"/>
  <c r="H52" i="321" s="1"/>
  <c r="D52" i="321"/>
  <c r="D74" i="319"/>
  <c r="K8" i="333"/>
  <c r="L36" i="333" s="1"/>
  <c r="D37" i="319"/>
  <c r="D57" i="319"/>
  <c r="D8" i="319"/>
  <c r="D36" i="319"/>
  <c r="D72" i="319"/>
  <c r="D63" i="319"/>
  <c r="D64" i="319"/>
  <c r="D11" i="319"/>
  <c r="G52" i="315"/>
  <c r="H52" i="315" s="1"/>
  <c r="D12" i="313"/>
  <c r="G46" i="284"/>
  <c r="H46" i="284" s="1"/>
  <c r="G41" i="313"/>
  <c r="H41" i="313" s="1"/>
  <c r="D41" i="313"/>
  <c r="D64" i="331"/>
  <c r="D29" i="331"/>
  <c r="D74" i="331"/>
  <c r="G25" i="327"/>
  <c r="H25" i="327" s="1"/>
  <c r="O41" i="333"/>
  <c r="G63" i="289"/>
  <c r="H63" i="289" s="1"/>
  <c r="N30" i="332"/>
  <c r="G58" i="287"/>
  <c r="H58" i="287" s="1"/>
  <c r="D58" i="319"/>
  <c r="G53" i="287"/>
  <c r="H53" i="287" s="1"/>
  <c r="D14" i="319"/>
  <c r="G11" i="319"/>
  <c r="H11" i="319" s="1"/>
  <c r="G54" i="287"/>
  <c r="H54" i="287" s="1"/>
  <c r="G51" i="317"/>
  <c r="H51" i="317" s="1"/>
  <c r="G53" i="315"/>
  <c r="H53" i="315" s="1"/>
  <c r="G32" i="313"/>
  <c r="H32" i="313" s="1"/>
  <c r="D32" i="313"/>
  <c r="G55" i="284"/>
  <c r="H55" i="284" s="1"/>
  <c r="D46" i="331"/>
  <c r="D35" i="331"/>
  <c r="G31" i="278"/>
  <c r="H31" i="278" s="1"/>
  <c r="D37" i="325"/>
  <c r="R14" i="332"/>
  <c r="D55" i="321"/>
  <c r="D40" i="321"/>
  <c r="D48" i="319"/>
  <c r="G48" i="319"/>
  <c r="H48" i="319" s="1"/>
  <c r="G56" i="287"/>
  <c r="H56" i="287" s="1"/>
  <c r="G36" i="285"/>
  <c r="H36" i="285" s="1"/>
  <c r="D37" i="285"/>
  <c r="G10" i="285"/>
  <c r="H10" i="285" s="1"/>
  <c r="E58" i="333"/>
  <c r="G15" i="284"/>
  <c r="H15" i="284" s="1"/>
  <c r="D58" i="313"/>
  <c r="G63" i="283"/>
  <c r="H63" i="283" s="1"/>
  <c r="W11" i="333"/>
  <c r="D11" i="331"/>
  <c r="G11" i="331"/>
  <c r="H11" i="331" s="1"/>
  <c r="W53" i="333"/>
  <c r="G53" i="331"/>
  <c r="H53" i="331" s="1"/>
  <c r="D53" i="331"/>
  <c r="W21" i="333"/>
  <c r="D21" i="331"/>
  <c r="G21" i="331"/>
  <c r="H21" i="331" s="1"/>
  <c r="W54" i="333"/>
  <c r="D54" i="331"/>
  <c r="G54" i="331"/>
  <c r="H54" i="331" s="1"/>
  <c r="D36" i="331"/>
  <c r="W67" i="333"/>
  <c r="G67" i="331"/>
  <c r="H67" i="331" s="1"/>
  <c r="D67" i="331"/>
  <c r="C26" i="331"/>
  <c r="W22" i="333"/>
  <c r="D22" i="331"/>
  <c r="G22" i="331"/>
  <c r="H22" i="331" s="1"/>
  <c r="W38" i="333"/>
  <c r="G38" i="331"/>
  <c r="H38" i="331" s="1"/>
  <c r="D38" i="331"/>
  <c r="W72" i="333"/>
  <c r="D72" i="331"/>
  <c r="G72" i="331"/>
  <c r="H72" i="331" s="1"/>
  <c r="W41" i="333"/>
  <c r="D41" i="331"/>
  <c r="G41" i="331"/>
  <c r="H41" i="331" s="1"/>
  <c r="W8" i="333"/>
  <c r="X74" i="333" s="1"/>
  <c r="G8" i="331"/>
  <c r="H8" i="331" s="1"/>
  <c r="D8" i="331"/>
  <c r="D51" i="331"/>
  <c r="D15" i="331"/>
  <c r="D24" i="331"/>
  <c r="D47" i="331"/>
  <c r="D40" i="331"/>
  <c r="D57" i="331"/>
  <c r="G72" i="292"/>
  <c r="H72" i="292" s="1"/>
  <c r="W72" i="332"/>
  <c r="W37" i="333"/>
  <c r="G37" i="331"/>
  <c r="H37" i="331" s="1"/>
  <c r="D37" i="331"/>
  <c r="W55" i="333"/>
  <c r="D55" i="331"/>
  <c r="G55" i="331"/>
  <c r="H55" i="331" s="1"/>
  <c r="G14" i="331"/>
  <c r="H14" i="331" s="1"/>
  <c r="D14" i="331"/>
  <c r="W14" i="333"/>
  <c r="W32" i="333"/>
  <c r="G32" i="331"/>
  <c r="H32" i="331" s="1"/>
  <c r="D32" i="331"/>
  <c r="W31" i="333"/>
  <c r="D31" i="331"/>
  <c r="G31" i="331"/>
  <c r="H31" i="331" s="1"/>
  <c r="W30" i="333"/>
  <c r="G30" i="331"/>
  <c r="H30" i="331" s="1"/>
  <c r="D30" i="331"/>
  <c r="W10" i="333"/>
  <c r="G10" i="331"/>
  <c r="C13" i="331"/>
  <c r="D10" i="331"/>
  <c r="W39" i="333"/>
  <c r="G39" i="331"/>
  <c r="H39" i="331" s="1"/>
  <c r="D39" i="331"/>
  <c r="W23" i="333"/>
  <c r="D23" i="331"/>
  <c r="G23" i="331"/>
  <c r="H23" i="331" s="1"/>
  <c r="C59" i="331"/>
  <c r="G52" i="292"/>
  <c r="H52" i="292" s="1"/>
  <c r="W52" i="332"/>
  <c r="H52" i="331"/>
  <c r="D48" i="331"/>
  <c r="G30" i="292"/>
  <c r="H30" i="292" s="1"/>
  <c r="W30" i="332"/>
  <c r="G35" i="292"/>
  <c r="H35" i="292" s="1"/>
  <c r="W35" i="332"/>
  <c r="G32" i="292"/>
  <c r="H32" i="292" s="1"/>
  <c r="W32" i="332"/>
  <c r="W58" i="333"/>
  <c r="D58" i="331"/>
  <c r="G58" i="331"/>
  <c r="H58" i="331" s="1"/>
  <c r="D25" i="331"/>
  <c r="C42" i="331"/>
  <c r="W20" i="333"/>
  <c r="G20" i="331"/>
  <c r="D20" i="331"/>
  <c r="H46" i="331"/>
  <c r="D63" i="331"/>
  <c r="D52" i="331"/>
  <c r="D12" i="331"/>
  <c r="G63" i="278"/>
  <c r="H63" i="278" s="1"/>
  <c r="U63" i="332"/>
  <c r="U65" i="332" s="1"/>
  <c r="G28" i="329"/>
  <c r="H28" i="329" s="1"/>
  <c r="U28" i="333"/>
  <c r="G37" i="329"/>
  <c r="H37" i="329" s="1"/>
  <c r="U37" i="333"/>
  <c r="G39" i="278"/>
  <c r="H39" i="278" s="1"/>
  <c r="U39" i="332"/>
  <c r="G39" i="329"/>
  <c r="H39" i="329" s="1"/>
  <c r="G40" i="278"/>
  <c r="H40" i="278" s="1"/>
  <c r="U40" i="332"/>
  <c r="G51" i="278"/>
  <c r="H51" i="278" s="1"/>
  <c r="U51" i="332"/>
  <c r="G37" i="278"/>
  <c r="H37" i="278" s="1"/>
  <c r="U37" i="332"/>
  <c r="D47" i="291"/>
  <c r="T30" i="332"/>
  <c r="T8" i="332"/>
  <c r="T56" i="332"/>
  <c r="T48" i="332"/>
  <c r="T38" i="332"/>
  <c r="T39" i="332"/>
  <c r="T25" i="332"/>
  <c r="T31" i="332"/>
  <c r="D24" i="291"/>
  <c r="T46" i="332"/>
  <c r="D64" i="291"/>
  <c r="T36" i="332"/>
  <c r="T22" i="332"/>
  <c r="T29" i="332"/>
  <c r="T51" i="332"/>
  <c r="T37" i="332"/>
  <c r="D14" i="291"/>
  <c r="T14" i="332"/>
  <c r="T35" i="332"/>
  <c r="T20" i="332"/>
  <c r="T32" i="332"/>
  <c r="T28" i="332"/>
  <c r="D8" i="291"/>
  <c r="D63" i="291"/>
  <c r="T15" i="332"/>
  <c r="T55" i="332"/>
  <c r="T12" i="332"/>
  <c r="T11" i="332"/>
  <c r="D35" i="291"/>
  <c r="T23" i="332"/>
  <c r="D74" i="291"/>
  <c r="G8" i="291"/>
  <c r="H8" i="291" s="1"/>
  <c r="T52" i="332"/>
  <c r="D11" i="291"/>
  <c r="T53" i="332"/>
  <c r="T24" i="332"/>
  <c r="T47" i="332"/>
  <c r="T10" i="332"/>
  <c r="D72" i="291"/>
  <c r="D57" i="291"/>
  <c r="T41" i="332"/>
  <c r="G31" i="291"/>
  <c r="H31" i="291" s="1"/>
  <c r="D31" i="291"/>
  <c r="G30" i="327"/>
  <c r="H30" i="327" s="1"/>
  <c r="D51" i="291"/>
  <c r="G51" i="291"/>
  <c r="H51" i="291" s="1"/>
  <c r="G29" i="291"/>
  <c r="H29" i="291" s="1"/>
  <c r="S54" i="333"/>
  <c r="D54" i="327"/>
  <c r="G54" i="327"/>
  <c r="H54" i="327" s="1"/>
  <c r="S40" i="333"/>
  <c r="D40" i="327"/>
  <c r="G40" i="327"/>
  <c r="H40" i="327" s="1"/>
  <c r="S12" i="333"/>
  <c r="D12" i="327"/>
  <c r="G12" i="327"/>
  <c r="H12" i="327" s="1"/>
  <c r="D29" i="291"/>
  <c r="G14" i="327"/>
  <c r="H14" i="327" s="1"/>
  <c r="D14" i="327"/>
  <c r="S14" i="333"/>
  <c r="S56" i="333"/>
  <c r="D56" i="327"/>
  <c r="G56" i="327"/>
  <c r="H56" i="327" s="1"/>
  <c r="D10" i="327"/>
  <c r="C13" i="327"/>
  <c r="G10" i="327"/>
  <c r="S10" i="333"/>
  <c r="S51" i="333"/>
  <c r="C59" i="327"/>
  <c r="D51" i="327"/>
  <c r="G51" i="327"/>
  <c r="S38" i="333"/>
  <c r="G38" i="327"/>
  <c r="H38" i="327" s="1"/>
  <c r="D38" i="327"/>
  <c r="S20" i="333"/>
  <c r="G20" i="327"/>
  <c r="D20" i="327"/>
  <c r="S36" i="333"/>
  <c r="G36" i="327"/>
  <c r="D36" i="327"/>
  <c r="C42" i="327"/>
  <c r="S41" i="333"/>
  <c r="G41" i="327"/>
  <c r="H41" i="327" s="1"/>
  <c r="D41" i="327"/>
  <c r="S11" i="333"/>
  <c r="G11" i="327"/>
  <c r="H11" i="327" s="1"/>
  <c r="D11" i="327"/>
  <c r="S8" i="333"/>
  <c r="T30" i="333" s="1"/>
  <c r="G8" i="327"/>
  <c r="H8" i="327" s="1"/>
  <c r="D8" i="327"/>
  <c r="D63" i="327"/>
  <c r="D72" i="327"/>
  <c r="D64" i="327"/>
  <c r="D74" i="327"/>
  <c r="D47" i="327"/>
  <c r="D67" i="327"/>
  <c r="D35" i="327"/>
  <c r="D24" i="327"/>
  <c r="D57" i="327"/>
  <c r="D15" i="327"/>
  <c r="G15" i="327"/>
  <c r="H15" i="327" s="1"/>
  <c r="S15" i="333"/>
  <c r="D25" i="327"/>
  <c r="S21" i="333"/>
  <c r="D21" i="327"/>
  <c r="G21" i="327"/>
  <c r="H21" i="327" s="1"/>
  <c r="S58" i="333"/>
  <c r="D58" i="327"/>
  <c r="G58" i="327"/>
  <c r="H58" i="327" s="1"/>
  <c r="S52" i="333"/>
  <c r="D52" i="327"/>
  <c r="G52" i="327"/>
  <c r="H52" i="327" s="1"/>
  <c r="S31" i="333"/>
  <c r="D31" i="327"/>
  <c r="G31" i="327"/>
  <c r="H31" i="327" s="1"/>
  <c r="C26" i="327"/>
  <c r="S22" i="333"/>
  <c r="D22" i="327"/>
  <c r="G22" i="327"/>
  <c r="H22" i="327" s="1"/>
  <c r="D30" i="327"/>
  <c r="S37" i="333"/>
  <c r="G37" i="327"/>
  <c r="H37" i="327" s="1"/>
  <c r="D37" i="327"/>
  <c r="S46" i="333"/>
  <c r="G46" i="327"/>
  <c r="D46" i="327"/>
  <c r="C49" i="327"/>
  <c r="S55" i="333"/>
  <c r="G55" i="327"/>
  <c r="H55" i="327" s="1"/>
  <c r="D55" i="327"/>
  <c r="S23" i="333"/>
  <c r="D23" i="327"/>
  <c r="G23" i="327"/>
  <c r="H23" i="327" s="1"/>
  <c r="C59" i="291"/>
  <c r="S59" i="332" s="1"/>
  <c r="T59" i="332" s="1"/>
  <c r="S54" i="332"/>
  <c r="T54" i="332" s="1"/>
  <c r="S29" i="333"/>
  <c r="D29" i="327"/>
  <c r="G29" i="327"/>
  <c r="H29" i="327" s="1"/>
  <c r="S28" i="333"/>
  <c r="D28" i="327"/>
  <c r="C33" i="327"/>
  <c r="G28" i="327"/>
  <c r="G32" i="327"/>
  <c r="H32" i="327" s="1"/>
  <c r="S32" i="333"/>
  <c r="D32" i="327"/>
  <c r="S39" i="333"/>
  <c r="G39" i="327"/>
  <c r="H39" i="327" s="1"/>
  <c r="D39" i="327"/>
  <c r="S53" i="333"/>
  <c r="G53" i="327"/>
  <c r="H53" i="327" s="1"/>
  <c r="D53" i="327"/>
  <c r="Q15" i="333"/>
  <c r="D15" i="325"/>
  <c r="G15" i="325"/>
  <c r="H15" i="325" s="1"/>
  <c r="Q58" i="333"/>
  <c r="G58" i="325"/>
  <c r="H58" i="325" s="1"/>
  <c r="D58" i="325"/>
  <c r="Q39" i="333"/>
  <c r="D39" i="325"/>
  <c r="G39" i="325"/>
  <c r="H39" i="325" s="1"/>
  <c r="Q25" i="333"/>
  <c r="D25" i="325"/>
  <c r="G25" i="325"/>
  <c r="H25" i="325" s="1"/>
  <c r="Q56" i="333"/>
  <c r="D56" i="325"/>
  <c r="G56" i="325"/>
  <c r="H56" i="325" s="1"/>
  <c r="Q55" i="333"/>
  <c r="D55" i="325"/>
  <c r="G55" i="325"/>
  <c r="H55" i="325" s="1"/>
  <c r="Q46" i="333"/>
  <c r="C49" i="325"/>
  <c r="D46" i="325"/>
  <c r="G46" i="325"/>
  <c r="Q51" i="333"/>
  <c r="D51" i="325"/>
  <c r="G51" i="325"/>
  <c r="C59" i="325"/>
  <c r="Q31" i="333"/>
  <c r="D31" i="325"/>
  <c r="G31" i="325"/>
  <c r="H31" i="325" s="1"/>
  <c r="Q35" i="333"/>
  <c r="G35" i="325"/>
  <c r="H35" i="325" s="1"/>
  <c r="C42" i="325"/>
  <c r="D35" i="325"/>
  <c r="Q11" i="333"/>
  <c r="G11" i="325"/>
  <c r="H11" i="325" s="1"/>
  <c r="D11" i="325"/>
  <c r="Q67" i="332"/>
  <c r="G67" i="290"/>
  <c r="H67" i="290" s="1"/>
  <c r="Q21" i="333"/>
  <c r="G21" i="325"/>
  <c r="H21" i="325" s="1"/>
  <c r="D21" i="325"/>
  <c r="Q10" i="333"/>
  <c r="C13" i="325"/>
  <c r="G10" i="325"/>
  <c r="H10" i="325" s="1"/>
  <c r="D10" i="325"/>
  <c r="Q30" i="333"/>
  <c r="D30" i="325"/>
  <c r="G30" i="325"/>
  <c r="H30" i="325" s="1"/>
  <c r="Q20" i="333"/>
  <c r="C26" i="325"/>
  <c r="G20" i="325"/>
  <c r="D20" i="325"/>
  <c r="Q67" i="333"/>
  <c r="D67" i="325"/>
  <c r="G67" i="325"/>
  <c r="H67" i="325" s="1"/>
  <c r="D14" i="325"/>
  <c r="Q23" i="333"/>
  <c r="G23" i="325"/>
  <c r="H23" i="325" s="1"/>
  <c r="D23" i="325"/>
  <c r="Q41" i="333"/>
  <c r="G41" i="325"/>
  <c r="H41" i="325" s="1"/>
  <c r="D41" i="325"/>
  <c r="Q48" i="333"/>
  <c r="D48" i="325"/>
  <c r="G48" i="325"/>
  <c r="H48" i="325" s="1"/>
  <c r="Q38" i="333"/>
  <c r="D38" i="325"/>
  <c r="G38" i="325"/>
  <c r="H38" i="325" s="1"/>
  <c r="Q22" i="333"/>
  <c r="D22" i="325"/>
  <c r="G22" i="325"/>
  <c r="H22" i="325" s="1"/>
  <c r="Q54" i="333"/>
  <c r="D54" i="325"/>
  <c r="G54" i="325"/>
  <c r="H54" i="325" s="1"/>
  <c r="D74" i="325"/>
  <c r="G8" i="325"/>
  <c r="Q8" i="333"/>
  <c r="R37" i="333" s="1"/>
  <c r="D8" i="325"/>
  <c r="D64" i="325"/>
  <c r="D24" i="325"/>
  <c r="D47" i="325"/>
  <c r="D57" i="325"/>
  <c r="D72" i="325"/>
  <c r="D63" i="325"/>
  <c r="Q36" i="333"/>
  <c r="D36" i="325"/>
  <c r="G36" i="325"/>
  <c r="H36" i="325" s="1"/>
  <c r="Q12" i="333"/>
  <c r="G12" i="325"/>
  <c r="D12" i="325"/>
  <c r="Q53" i="333"/>
  <c r="G53" i="325"/>
  <c r="H53" i="325" s="1"/>
  <c r="D53" i="325"/>
  <c r="Q32" i="333"/>
  <c r="D32" i="325"/>
  <c r="G32" i="325"/>
  <c r="H32" i="325" s="1"/>
  <c r="Q29" i="333"/>
  <c r="G29" i="325"/>
  <c r="H29" i="325" s="1"/>
  <c r="D29" i="325"/>
  <c r="Q52" i="333"/>
  <c r="G52" i="325"/>
  <c r="H52" i="325" s="1"/>
  <c r="D52" i="325"/>
  <c r="Q28" i="333"/>
  <c r="C33" i="325"/>
  <c r="D28" i="325"/>
  <c r="G28" i="325"/>
  <c r="G21" i="323"/>
  <c r="H21" i="323" s="1"/>
  <c r="P12" i="332"/>
  <c r="G12" i="289"/>
  <c r="H12" i="289" s="1"/>
  <c r="G11" i="289"/>
  <c r="H11" i="289" s="1"/>
  <c r="G31" i="323"/>
  <c r="H31" i="323" s="1"/>
  <c r="G56" i="289"/>
  <c r="H56" i="289" s="1"/>
  <c r="G67" i="323"/>
  <c r="H67" i="323" s="1"/>
  <c r="O67" i="333"/>
  <c r="O63" i="333"/>
  <c r="G63" i="323"/>
  <c r="H63" i="323" s="1"/>
  <c r="O51" i="333"/>
  <c r="G51" i="323"/>
  <c r="H51" i="323" s="1"/>
  <c r="O36" i="333"/>
  <c r="G36" i="323"/>
  <c r="H36" i="323" s="1"/>
  <c r="O38" i="333"/>
  <c r="G38" i="323"/>
  <c r="H38" i="323" s="1"/>
  <c r="G64" i="289"/>
  <c r="H64" i="289" s="1"/>
  <c r="O64" i="332"/>
  <c r="O65" i="332" s="1"/>
  <c r="P65" i="332" s="1"/>
  <c r="O39" i="333"/>
  <c r="G39" i="323"/>
  <c r="H39" i="323" s="1"/>
  <c r="O56" i="333"/>
  <c r="G56" i="323"/>
  <c r="H56" i="323" s="1"/>
  <c r="O12" i="333"/>
  <c r="G12" i="323"/>
  <c r="H12" i="323" s="1"/>
  <c r="O22" i="333"/>
  <c r="G22" i="323"/>
  <c r="H22" i="323" s="1"/>
  <c r="O29" i="333"/>
  <c r="G29" i="323"/>
  <c r="H29" i="323" s="1"/>
  <c r="O37" i="333"/>
  <c r="G37" i="323"/>
  <c r="H37" i="323" s="1"/>
  <c r="O55" i="333"/>
  <c r="G55" i="323"/>
  <c r="H55" i="323" s="1"/>
  <c r="O14" i="333"/>
  <c r="G14" i="323"/>
  <c r="H14" i="323" s="1"/>
  <c r="O48" i="333"/>
  <c r="G48" i="323"/>
  <c r="O52" i="333"/>
  <c r="G52" i="323"/>
  <c r="H52" i="323" s="1"/>
  <c r="G8" i="323"/>
  <c r="H8" i="323" s="1"/>
  <c r="O8" i="333"/>
  <c r="P46" i="333" s="1"/>
  <c r="G74" i="289"/>
  <c r="H74" i="289" s="1"/>
  <c r="O74" i="332"/>
  <c r="P74" i="332" s="1"/>
  <c r="O64" i="333"/>
  <c r="G64" i="323"/>
  <c r="H64" i="323" s="1"/>
  <c r="O28" i="333"/>
  <c r="G28" i="323"/>
  <c r="H28" i="323" s="1"/>
  <c r="O58" i="333"/>
  <c r="G58" i="323"/>
  <c r="H58" i="323" s="1"/>
  <c r="O11" i="333"/>
  <c r="G11" i="323"/>
  <c r="H11" i="323" s="1"/>
  <c r="O54" i="333"/>
  <c r="G54" i="323"/>
  <c r="H54" i="323" s="1"/>
  <c r="O23" i="333"/>
  <c r="G23" i="323"/>
  <c r="H23" i="323" s="1"/>
  <c r="O53" i="333"/>
  <c r="G53" i="323"/>
  <c r="H53" i="323" s="1"/>
  <c r="G51" i="321"/>
  <c r="H51" i="321" s="1"/>
  <c r="D30" i="288"/>
  <c r="C59" i="288"/>
  <c r="M59" i="332" s="1"/>
  <c r="N59" i="332" s="1"/>
  <c r="G52" i="288"/>
  <c r="H52" i="288" s="1"/>
  <c r="D52" i="288"/>
  <c r="G28" i="288"/>
  <c r="H28" i="288" s="1"/>
  <c r="D28" i="288"/>
  <c r="G30" i="288"/>
  <c r="H30" i="288" s="1"/>
  <c r="N64" i="332"/>
  <c r="G40" i="288"/>
  <c r="H40" i="288" s="1"/>
  <c r="M40" i="332"/>
  <c r="N40" i="332" s="1"/>
  <c r="M30" i="333"/>
  <c r="D30" i="321"/>
  <c r="G30" i="321"/>
  <c r="H30" i="321" s="1"/>
  <c r="M39" i="333"/>
  <c r="G39" i="321"/>
  <c r="H39" i="321" s="1"/>
  <c r="D39" i="321"/>
  <c r="M20" i="333"/>
  <c r="G20" i="321"/>
  <c r="C26" i="321"/>
  <c r="D20" i="321"/>
  <c r="M53" i="333"/>
  <c r="G53" i="321"/>
  <c r="H53" i="321" s="1"/>
  <c r="D53" i="321"/>
  <c r="M10" i="333"/>
  <c r="D10" i="321"/>
  <c r="G10" i="321"/>
  <c r="C13" i="321"/>
  <c r="C49" i="321"/>
  <c r="M46" i="333"/>
  <c r="G46" i="321"/>
  <c r="D46" i="321"/>
  <c r="M14" i="333"/>
  <c r="G14" i="321"/>
  <c r="H14" i="321" s="1"/>
  <c r="D14" i="321"/>
  <c r="M25" i="333"/>
  <c r="D25" i="321"/>
  <c r="G25" i="321"/>
  <c r="H25" i="321" s="1"/>
  <c r="D48" i="288"/>
  <c r="M15" i="333"/>
  <c r="D15" i="321"/>
  <c r="G15" i="321"/>
  <c r="H15" i="321" s="1"/>
  <c r="M41" i="333"/>
  <c r="G41" i="321"/>
  <c r="H41" i="321" s="1"/>
  <c r="D41" i="321"/>
  <c r="M54" i="333"/>
  <c r="D54" i="321"/>
  <c r="G54" i="321"/>
  <c r="H54" i="321" s="1"/>
  <c r="M23" i="333"/>
  <c r="G23" i="321"/>
  <c r="H23" i="321" s="1"/>
  <c r="D23" i="321"/>
  <c r="G48" i="288"/>
  <c r="H48" i="288" s="1"/>
  <c r="M11" i="333"/>
  <c r="G11" i="321"/>
  <c r="H11" i="321" s="1"/>
  <c r="D11" i="321"/>
  <c r="C59" i="321"/>
  <c r="M32" i="333"/>
  <c r="D32" i="321"/>
  <c r="G32" i="321"/>
  <c r="H32" i="321" s="1"/>
  <c r="M31" i="333"/>
  <c r="D31" i="321"/>
  <c r="G31" i="321"/>
  <c r="H31" i="321" s="1"/>
  <c r="M21" i="333"/>
  <c r="G21" i="321"/>
  <c r="H21" i="321" s="1"/>
  <c r="D21" i="321"/>
  <c r="M22" i="333"/>
  <c r="D22" i="321"/>
  <c r="G22" i="321"/>
  <c r="H22" i="321" s="1"/>
  <c r="D25" i="288"/>
  <c r="M25" i="332"/>
  <c r="N25" i="332" s="1"/>
  <c r="M37" i="333"/>
  <c r="G37" i="321"/>
  <c r="H37" i="321" s="1"/>
  <c r="D37" i="321"/>
  <c r="M12" i="333"/>
  <c r="D12" i="321"/>
  <c r="G12" i="321"/>
  <c r="H12" i="321" s="1"/>
  <c r="M36" i="333"/>
  <c r="G36" i="321"/>
  <c r="D36" i="321"/>
  <c r="C42" i="321"/>
  <c r="D51" i="321"/>
  <c r="G8" i="321"/>
  <c r="H8" i="321" s="1"/>
  <c r="M8" i="333"/>
  <c r="N48" i="333" s="1"/>
  <c r="D8" i="321"/>
  <c r="D24" i="321"/>
  <c r="D35" i="321"/>
  <c r="D74" i="321"/>
  <c r="D67" i="321"/>
  <c r="D64" i="321"/>
  <c r="D57" i="321"/>
  <c r="D63" i="321"/>
  <c r="D47" i="321"/>
  <c r="D72" i="321"/>
  <c r="G74" i="288"/>
  <c r="H74" i="288" s="1"/>
  <c r="M74" i="332"/>
  <c r="N74" i="332" s="1"/>
  <c r="M28" i="333"/>
  <c r="D28" i="321"/>
  <c r="G28" i="321"/>
  <c r="C33" i="321"/>
  <c r="M29" i="333"/>
  <c r="G29" i="321"/>
  <c r="H29" i="321" s="1"/>
  <c r="D29" i="321"/>
  <c r="K20" i="333"/>
  <c r="G20" i="319"/>
  <c r="C26" i="319"/>
  <c r="D20" i="319"/>
  <c r="K29" i="333"/>
  <c r="D29" i="319"/>
  <c r="G29" i="319"/>
  <c r="H29" i="319" s="1"/>
  <c r="K40" i="333"/>
  <c r="G40" i="319"/>
  <c r="H40" i="319" s="1"/>
  <c r="D40" i="319"/>
  <c r="K32" i="333"/>
  <c r="D32" i="319"/>
  <c r="G32" i="319"/>
  <c r="H32" i="319" s="1"/>
  <c r="K28" i="333"/>
  <c r="G28" i="319"/>
  <c r="C33" i="319"/>
  <c r="D28" i="319"/>
  <c r="K10" i="333"/>
  <c r="D10" i="319"/>
  <c r="G10" i="319"/>
  <c r="H10" i="319" s="1"/>
  <c r="C13" i="319"/>
  <c r="K53" i="333"/>
  <c r="G53" i="319"/>
  <c r="H53" i="319" s="1"/>
  <c r="D53" i="319"/>
  <c r="G40" i="287"/>
  <c r="H40" i="287" s="1"/>
  <c r="K40" i="332"/>
  <c r="K25" i="333"/>
  <c r="G25" i="319"/>
  <c r="H25" i="319" s="1"/>
  <c r="D25" i="319"/>
  <c r="K56" i="333"/>
  <c r="G56" i="319"/>
  <c r="H56" i="319" s="1"/>
  <c r="D56" i="319"/>
  <c r="K41" i="333"/>
  <c r="D41" i="319"/>
  <c r="G41" i="319"/>
  <c r="H41" i="319" s="1"/>
  <c r="K54" i="333"/>
  <c r="D54" i="319"/>
  <c r="G54" i="319"/>
  <c r="H54" i="319" s="1"/>
  <c r="K21" i="333"/>
  <c r="D21" i="319"/>
  <c r="G21" i="319"/>
  <c r="H21" i="319" s="1"/>
  <c r="K55" i="333"/>
  <c r="G55" i="319"/>
  <c r="H55" i="319" s="1"/>
  <c r="D55" i="319"/>
  <c r="K30" i="333"/>
  <c r="G30" i="319"/>
  <c r="H30" i="319" s="1"/>
  <c r="D30" i="319"/>
  <c r="K35" i="333"/>
  <c r="G35" i="319"/>
  <c r="C42" i="319"/>
  <c r="D35" i="319"/>
  <c r="C49" i="287"/>
  <c r="K49" i="332" s="1"/>
  <c r="K51" i="333"/>
  <c r="G51" i="319"/>
  <c r="D51" i="319"/>
  <c r="C59" i="319"/>
  <c r="K52" i="333"/>
  <c r="D52" i="319"/>
  <c r="G52" i="319"/>
  <c r="H52" i="319" s="1"/>
  <c r="K23" i="333"/>
  <c r="D23" i="319"/>
  <c r="G23" i="319"/>
  <c r="H23" i="319" s="1"/>
  <c r="K15" i="333"/>
  <c r="G15" i="319"/>
  <c r="H15" i="319" s="1"/>
  <c r="D15" i="319"/>
  <c r="G46" i="287"/>
  <c r="H46" i="287" s="1"/>
  <c r="G47" i="287"/>
  <c r="H47" i="287" s="1"/>
  <c r="K46" i="333"/>
  <c r="D46" i="319"/>
  <c r="C49" i="319"/>
  <c r="G46" i="319"/>
  <c r="K47" i="333"/>
  <c r="G47" i="319"/>
  <c r="H47" i="319" s="1"/>
  <c r="D47" i="319"/>
  <c r="K22" i="333"/>
  <c r="D22" i="319"/>
  <c r="G22" i="319"/>
  <c r="H22" i="319" s="1"/>
  <c r="C65" i="287"/>
  <c r="D65" i="287" s="1"/>
  <c r="K64" i="332"/>
  <c r="K65" i="332" s="1"/>
  <c r="K39" i="333"/>
  <c r="G39" i="319"/>
  <c r="H39" i="319" s="1"/>
  <c r="D39" i="319"/>
  <c r="K38" i="333"/>
  <c r="D38" i="319"/>
  <c r="G38" i="319"/>
  <c r="H38" i="319" s="1"/>
  <c r="G46" i="317"/>
  <c r="H46" i="317" s="1"/>
  <c r="C59" i="317"/>
  <c r="I59" i="333" s="1"/>
  <c r="G48" i="286"/>
  <c r="H48" i="286" s="1"/>
  <c r="I48" i="332"/>
  <c r="D51" i="317"/>
  <c r="I8" i="333"/>
  <c r="J28" i="333" s="1"/>
  <c r="D8" i="317"/>
  <c r="G8" i="317"/>
  <c r="D57" i="317"/>
  <c r="D72" i="317"/>
  <c r="D24" i="317"/>
  <c r="D64" i="317"/>
  <c r="D63" i="317"/>
  <c r="D74" i="317"/>
  <c r="D67" i="317"/>
  <c r="D47" i="317"/>
  <c r="I11" i="333"/>
  <c r="G11" i="317"/>
  <c r="H11" i="317" s="1"/>
  <c r="D11" i="317"/>
  <c r="I53" i="333"/>
  <c r="G53" i="317"/>
  <c r="H53" i="317" s="1"/>
  <c r="D53" i="317"/>
  <c r="I31" i="333"/>
  <c r="G31" i="317"/>
  <c r="H31" i="317" s="1"/>
  <c r="D31" i="317"/>
  <c r="I21" i="333"/>
  <c r="G21" i="317"/>
  <c r="H21" i="317" s="1"/>
  <c r="D21" i="317"/>
  <c r="I39" i="333"/>
  <c r="D39" i="317"/>
  <c r="G39" i="317"/>
  <c r="H39" i="317" s="1"/>
  <c r="I23" i="333"/>
  <c r="G23" i="317"/>
  <c r="H23" i="317" s="1"/>
  <c r="D23" i="317"/>
  <c r="I58" i="333"/>
  <c r="D58" i="317"/>
  <c r="G58" i="317"/>
  <c r="H58" i="317" s="1"/>
  <c r="I10" i="333"/>
  <c r="D10" i="317"/>
  <c r="C13" i="317"/>
  <c r="G10" i="317"/>
  <c r="D30" i="317"/>
  <c r="I41" i="333"/>
  <c r="G41" i="317"/>
  <c r="H41" i="317" s="1"/>
  <c r="D41" i="317"/>
  <c r="I29" i="333"/>
  <c r="G29" i="317"/>
  <c r="H29" i="317" s="1"/>
  <c r="D29" i="317"/>
  <c r="I35" i="333"/>
  <c r="G35" i="317"/>
  <c r="D35" i="317"/>
  <c r="C42" i="317"/>
  <c r="I14" i="333"/>
  <c r="G14" i="317"/>
  <c r="H14" i="317" s="1"/>
  <c r="D14" i="317"/>
  <c r="D40" i="317"/>
  <c r="D46" i="317"/>
  <c r="I20" i="333"/>
  <c r="D20" i="317"/>
  <c r="G20" i="317"/>
  <c r="C26" i="317"/>
  <c r="D28" i="317"/>
  <c r="I55" i="333"/>
  <c r="D55" i="317"/>
  <c r="G55" i="317"/>
  <c r="H55" i="317" s="1"/>
  <c r="D12" i="317"/>
  <c r="I22" i="333"/>
  <c r="G22" i="317"/>
  <c r="H22" i="317" s="1"/>
  <c r="D22" i="317"/>
  <c r="C33" i="317"/>
  <c r="I32" i="333"/>
  <c r="D32" i="317"/>
  <c r="G32" i="317"/>
  <c r="H32" i="317" s="1"/>
  <c r="I38" i="333"/>
  <c r="D38" i="317"/>
  <c r="G38" i="317"/>
  <c r="H38" i="317" s="1"/>
  <c r="G41" i="286"/>
  <c r="H41" i="286" s="1"/>
  <c r="I41" i="332"/>
  <c r="I54" i="333"/>
  <c r="G54" i="317"/>
  <c r="H54" i="317" s="1"/>
  <c r="D54" i="317"/>
  <c r="D56" i="317"/>
  <c r="D37" i="317"/>
  <c r="D36" i="317"/>
  <c r="G22" i="286"/>
  <c r="H22" i="286" s="1"/>
  <c r="I22" i="332"/>
  <c r="I48" i="333"/>
  <c r="G48" i="317"/>
  <c r="H48" i="317" s="1"/>
  <c r="D48" i="317"/>
  <c r="I52" i="333"/>
  <c r="G52" i="317"/>
  <c r="H52" i="317" s="1"/>
  <c r="D52" i="317"/>
  <c r="I15" i="333"/>
  <c r="D15" i="317"/>
  <c r="G15" i="317"/>
  <c r="H15" i="317" s="1"/>
  <c r="D25" i="317"/>
  <c r="D46" i="285"/>
  <c r="H52" i="332"/>
  <c r="D47" i="285"/>
  <c r="D63" i="285"/>
  <c r="H28" i="332"/>
  <c r="H12" i="332"/>
  <c r="H8" i="332"/>
  <c r="H56" i="332"/>
  <c r="D58" i="285"/>
  <c r="D52" i="315"/>
  <c r="D54" i="315"/>
  <c r="D51" i="285"/>
  <c r="D64" i="285"/>
  <c r="H39" i="332"/>
  <c r="H53" i="332"/>
  <c r="C13" i="285"/>
  <c r="G13" i="332" s="1"/>
  <c r="H13" i="332" s="1"/>
  <c r="H55" i="332"/>
  <c r="D72" i="285"/>
  <c r="H20" i="332"/>
  <c r="H38" i="332"/>
  <c r="D67" i="285"/>
  <c r="H14" i="332"/>
  <c r="H40" i="332"/>
  <c r="D10" i="285"/>
  <c r="H23" i="332"/>
  <c r="D38" i="315"/>
  <c r="G25" i="315"/>
  <c r="H25" i="315" s="1"/>
  <c r="G8" i="285"/>
  <c r="H8" i="285" s="1"/>
  <c r="G37" i="285"/>
  <c r="H37" i="285" s="1"/>
  <c r="D36" i="285"/>
  <c r="H41" i="332"/>
  <c r="G11" i="285"/>
  <c r="H11" i="285" s="1"/>
  <c r="H47" i="332"/>
  <c r="D48" i="315"/>
  <c r="G56" i="285"/>
  <c r="H56" i="285" s="1"/>
  <c r="D56" i="285"/>
  <c r="H24" i="332"/>
  <c r="H11" i="332"/>
  <c r="H36" i="332"/>
  <c r="H46" i="332"/>
  <c r="C59" i="315"/>
  <c r="D59" i="315" s="1"/>
  <c r="G31" i="333"/>
  <c r="G31" i="315"/>
  <c r="H31" i="315" s="1"/>
  <c r="D31" i="315"/>
  <c r="G12" i="333"/>
  <c r="G12" i="315"/>
  <c r="H12" i="315" s="1"/>
  <c r="D12" i="315"/>
  <c r="G8" i="333"/>
  <c r="H52" i="333" s="1"/>
  <c r="G8" i="315"/>
  <c r="H8" i="315" s="1"/>
  <c r="D8" i="315"/>
  <c r="D51" i="315"/>
  <c r="D47" i="315"/>
  <c r="D67" i="315"/>
  <c r="D64" i="315"/>
  <c r="D63" i="315"/>
  <c r="D24" i="315"/>
  <c r="D74" i="315"/>
  <c r="D57" i="315"/>
  <c r="D72" i="315"/>
  <c r="D25" i="315"/>
  <c r="G29" i="333"/>
  <c r="D29" i="315"/>
  <c r="G29" i="315"/>
  <c r="H29" i="315" s="1"/>
  <c r="G46" i="333"/>
  <c r="C49" i="315"/>
  <c r="D46" i="315"/>
  <c r="G46" i="315"/>
  <c r="G39" i="333"/>
  <c r="D39" i="315"/>
  <c r="G39" i="315"/>
  <c r="H39" i="315" s="1"/>
  <c r="G35" i="333"/>
  <c r="G35" i="315"/>
  <c r="C42" i="315"/>
  <c r="D35" i="315"/>
  <c r="C26" i="315"/>
  <c r="G22" i="333"/>
  <c r="G22" i="315"/>
  <c r="H22" i="315" s="1"/>
  <c r="D22" i="315"/>
  <c r="G40" i="333"/>
  <c r="D40" i="315"/>
  <c r="G40" i="315"/>
  <c r="H40" i="315" s="1"/>
  <c r="G20" i="333"/>
  <c r="D20" i="315"/>
  <c r="G20" i="315"/>
  <c r="G41" i="333"/>
  <c r="D41" i="315"/>
  <c r="G41" i="315"/>
  <c r="H41" i="315" s="1"/>
  <c r="G32" i="333"/>
  <c r="G32" i="315"/>
  <c r="H32" i="315" s="1"/>
  <c r="D32" i="315"/>
  <c r="G37" i="333"/>
  <c r="D37" i="315"/>
  <c r="G37" i="315"/>
  <c r="H37" i="315" s="1"/>
  <c r="G21" i="333"/>
  <c r="D21" i="315"/>
  <c r="G21" i="315"/>
  <c r="H21" i="315" s="1"/>
  <c r="C33" i="315"/>
  <c r="G28" i="333"/>
  <c r="G28" i="315"/>
  <c r="D28" i="315"/>
  <c r="G58" i="333"/>
  <c r="D58" i="315"/>
  <c r="G58" i="315"/>
  <c r="H58" i="315" s="1"/>
  <c r="G10" i="333"/>
  <c r="C13" i="315"/>
  <c r="D10" i="315"/>
  <c r="G10" i="315"/>
  <c r="G15" i="333"/>
  <c r="D15" i="315"/>
  <c r="G15" i="315"/>
  <c r="H15" i="315" s="1"/>
  <c r="G36" i="333"/>
  <c r="D36" i="315"/>
  <c r="G36" i="315"/>
  <c r="H36" i="315" s="1"/>
  <c r="G23" i="333"/>
  <c r="D23" i="315"/>
  <c r="G23" i="315"/>
  <c r="H23" i="315" s="1"/>
  <c r="G58" i="285"/>
  <c r="H58" i="285" s="1"/>
  <c r="G58" i="332"/>
  <c r="H58" i="332" s="1"/>
  <c r="D53" i="315"/>
  <c r="C49" i="285"/>
  <c r="G48" i="332"/>
  <c r="H48" i="332" s="1"/>
  <c r="G11" i="333"/>
  <c r="G11" i="315"/>
  <c r="H11" i="315" s="1"/>
  <c r="D11" i="315"/>
  <c r="G56" i="333"/>
  <c r="D56" i="315"/>
  <c r="G56" i="315"/>
  <c r="H56" i="315" s="1"/>
  <c r="G55" i="333"/>
  <c r="G55" i="315"/>
  <c r="H55" i="315" s="1"/>
  <c r="D55" i="315"/>
  <c r="G30" i="333"/>
  <c r="G30" i="315"/>
  <c r="H30" i="315" s="1"/>
  <c r="D30" i="315"/>
  <c r="D38" i="313"/>
  <c r="D55" i="313"/>
  <c r="G54" i="284"/>
  <c r="H54" i="284" s="1"/>
  <c r="E54" i="332"/>
  <c r="E48" i="333"/>
  <c r="G48" i="313"/>
  <c r="H48" i="313" s="1"/>
  <c r="D48" i="313"/>
  <c r="E10" i="333"/>
  <c r="G10" i="313"/>
  <c r="H10" i="313" s="1"/>
  <c r="C13" i="313"/>
  <c r="D10" i="313"/>
  <c r="E15" i="333"/>
  <c r="G15" i="313"/>
  <c r="H15" i="313" s="1"/>
  <c r="D15" i="313"/>
  <c r="E29" i="333"/>
  <c r="G29" i="313"/>
  <c r="H29" i="313" s="1"/>
  <c r="D29" i="313"/>
  <c r="E39" i="333"/>
  <c r="G39" i="313"/>
  <c r="H39" i="313" s="1"/>
  <c r="D39" i="313"/>
  <c r="D52" i="313"/>
  <c r="E28" i="333"/>
  <c r="D28" i="313"/>
  <c r="G28" i="313"/>
  <c r="C33" i="313"/>
  <c r="E22" i="333"/>
  <c r="D22" i="313"/>
  <c r="G22" i="313"/>
  <c r="H22" i="313" s="1"/>
  <c r="D36" i="313"/>
  <c r="D11" i="313"/>
  <c r="G39" i="284"/>
  <c r="H39" i="284" s="1"/>
  <c r="E39" i="332"/>
  <c r="E14" i="333"/>
  <c r="G14" i="313"/>
  <c r="H14" i="313" s="1"/>
  <c r="D14" i="313"/>
  <c r="D54" i="313"/>
  <c r="D40" i="313"/>
  <c r="E25" i="333"/>
  <c r="G25" i="313"/>
  <c r="H25" i="313" s="1"/>
  <c r="D25" i="313"/>
  <c r="E20" i="333"/>
  <c r="D20" i="313"/>
  <c r="G20" i="313"/>
  <c r="C26" i="313"/>
  <c r="C49" i="284"/>
  <c r="E49" i="332" s="1"/>
  <c r="E48" i="332"/>
  <c r="C65" i="284"/>
  <c r="D65" i="284" s="1"/>
  <c r="E63" i="332"/>
  <c r="E65" i="332" s="1"/>
  <c r="E23" i="333"/>
  <c r="D23" i="313"/>
  <c r="G23" i="313"/>
  <c r="H23" i="313" s="1"/>
  <c r="E31" i="333"/>
  <c r="D31" i="313"/>
  <c r="G31" i="313"/>
  <c r="H31" i="313" s="1"/>
  <c r="G40" i="284"/>
  <c r="H40" i="284" s="1"/>
  <c r="E40" i="332"/>
  <c r="E51" i="333"/>
  <c r="D51" i="313"/>
  <c r="C59" i="313"/>
  <c r="G51" i="313"/>
  <c r="E37" i="333"/>
  <c r="D37" i="313"/>
  <c r="G37" i="313"/>
  <c r="H37" i="313" s="1"/>
  <c r="E8" i="333"/>
  <c r="D8" i="313"/>
  <c r="G8" i="313"/>
  <c r="D57" i="313"/>
  <c r="D63" i="313"/>
  <c r="D67" i="313"/>
  <c r="D47" i="313"/>
  <c r="D74" i="313"/>
  <c r="D72" i="313"/>
  <c r="D24" i="313"/>
  <c r="D64" i="313"/>
  <c r="G67" i="283"/>
  <c r="H67" i="283" s="1"/>
  <c r="G30" i="283"/>
  <c r="H30" i="283" s="1"/>
  <c r="C30" i="332"/>
  <c r="C53" i="333"/>
  <c r="C38" i="333"/>
  <c r="C37" i="333"/>
  <c r="G53" i="283"/>
  <c r="H53" i="283" s="1"/>
  <c r="C53" i="332"/>
  <c r="AI53" i="332" s="1"/>
  <c r="C35" i="333"/>
  <c r="G23" i="311"/>
  <c r="H23" i="311" s="1"/>
  <c r="C23" i="333"/>
  <c r="C40" i="333"/>
  <c r="C29" i="333"/>
  <c r="G22" i="311"/>
  <c r="H22" i="311" s="1"/>
  <c r="C22" i="333"/>
  <c r="C30" i="333"/>
  <c r="C20" i="333"/>
  <c r="C58" i="333"/>
  <c r="C21" i="333"/>
  <c r="C49" i="311"/>
  <c r="C49" i="333" s="1"/>
  <c r="C48" i="333"/>
  <c r="G25" i="311"/>
  <c r="H25" i="311" s="1"/>
  <c r="C25" i="333"/>
  <c r="G41" i="283"/>
  <c r="H41" i="283" s="1"/>
  <c r="C41" i="332"/>
  <c r="G74" i="283"/>
  <c r="H74" i="283" s="1"/>
  <c r="C74" i="332"/>
  <c r="G28" i="283"/>
  <c r="H28" i="283" s="1"/>
  <c r="C28" i="332"/>
  <c r="AI28" i="332" s="1"/>
  <c r="G31" i="283"/>
  <c r="H31" i="283" s="1"/>
  <c r="C31" i="332"/>
  <c r="AI31" i="332" s="1"/>
  <c r="G41" i="311"/>
  <c r="H41" i="311" s="1"/>
  <c r="C41" i="333"/>
  <c r="C39" i="333"/>
  <c r="G29" i="283"/>
  <c r="H29" i="283" s="1"/>
  <c r="C29" i="332"/>
  <c r="AI29" i="332" s="1"/>
  <c r="C31" i="333"/>
  <c r="C28" i="333"/>
  <c r="C32" i="333"/>
  <c r="G35" i="283"/>
  <c r="H35" i="283" s="1"/>
  <c r="C35" i="332"/>
  <c r="C52" i="333"/>
  <c r="C55" i="333"/>
  <c r="P10" i="332"/>
  <c r="D15" i="290"/>
  <c r="R12" i="332"/>
  <c r="D56" i="292"/>
  <c r="W8" i="332"/>
  <c r="X14" i="332" s="1"/>
  <c r="G15" i="288"/>
  <c r="H15" i="288" s="1"/>
  <c r="M15" i="332"/>
  <c r="N15" i="332" s="1"/>
  <c r="G14" i="286"/>
  <c r="H14" i="286" s="1"/>
  <c r="I14" i="332"/>
  <c r="G12" i="283"/>
  <c r="H12" i="283" s="1"/>
  <c r="C12" i="332"/>
  <c r="AI12" i="332" s="1"/>
  <c r="G15" i="287"/>
  <c r="H15" i="287" s="1"/>
  <c r="K15" i="332"/>
  <c r="C15" i="333"/>
  <c r="D22" i="286"/>
  <c r="I8" i="332"/>
  <c r="J10" i="332" s="1"/>
  <c r="D39" i="329"/>
  <c r="U8" i="333"/>
  <c r="V14" i="333" s="1"/>
  <c r="G12" i="284"/>
  <c r="H12" i="284" s="1"/>
  <c r="D15" i="284"/>
  <c r="E8" i="332"/>
  <c r="F14" i="332" s="1"/>
  <c r="P15" i="332"/>
  <c r="C10" i="333"/>
  <c r="G15" i="278"/>
  <c r="H15" i="278" s="1"/>
  <c r="U15" i="332"/>
  <c r="R51" i="332"/>
  <c r="R38" i="332"/>
  <c r="R25" i="332"/>
  <c r="R53" i="332"/>
  <c r="R37" i="332"/>
  <c r="R23" i="332"/>
  <c r="R48" i="332"/>
  <c r="R35" i="332"/>
  <c r="R22" i="332"/>
  <c r="R58" i="332"/>
  <c r="R47" i="332"/>
  <c r="R32" i="332"/>
  <c r="R21" i="332"/>
  <c r="R8" i="332"/>
  <c r="R56" i="332"/>
  <c r="R57" i="332"/>
  <c r="R31" i="332"/>
  <c r="R20" i="332"/>
  <c r="R41" i="332"/>
  <c r="R30" i="332"/>
  <c r="R52" i="332"/>
  <c r="R54" i="332"/>
  <c r="R40" i="332"/>
  <c r="R29" i="332"/>
  <c r="R39" i="332"/>
  <c r="R28" i="332"/>
  <c r="R24" i="332"/>
  <c r="R46" i="332"/>
  <c r="R55" i="332"/>
  <c r="R36" i="332"/>
  <c r="P11" i="332"/>
  <c r="P14" i="332"/>
  <c r="C14" i="333"/>
  <c r="D51" i="311"/>
  <c r="C8" i="333"/>
  <c r="D47" i="287"/>
  <c r="K8" i="332"/>
  <c r="L11" i="332" s="1"/>
  <c r="D63" i="286"/>
  <c r="G15" i="286"/>
  <c r="H15" i="286" s="1"/>
  <c r="I15" i="332"/>
  <c r="R10" i="332"/>
  <c r="G15" i="311"/>
  <c r="H15" i="311" s="1"/>
  <c r="D12" i="329"/>
  <c r="D31" i="278"/>
  <c r="U8" i="332"/>
  <c r="V11" i="332" s="1"/>
  <c r="P53" i="332"/>
  <c r="P51" i="332"/>
  <c r="P23" i="332"/>
  <c r="P47" i="332"/>
  <c r="P48" i="332"/>
  <c r="P22" i="332"/>
  <c r="P46" i="332"/>
  <c r="P41" i="332"/>
  <c r="P20" i="332"/>
  <c r="P37" i="332"/>
  <c r="P40" i="332"/>
  <c r="P36" i="332"/>
  <c r="P38" i="332"/>
  <c r="P28" i="332"/>
  <c r="P32" i="332"/>
  <c r="P67" i="332"/>
  <c r="P56" i="332"/>
  <c r="P57" i="332"/>
  <c r="P31" i="332"/>
  <c r="P55" i="332"/>
  <c r="P52" i="332"/>
  <c r="P29" i="332"/>
  <c r="P63" i="332"/>
  <c r="P24" i="332"/>
  <c r="P8" i="332"/>
  <c r="P25" i="332"/>
  <c r="P21" i="332"/>
  <c r="P35" i="332"/>
  <c r="P58" i="332"/>
  <c r="P30" i="332"/>
  <c r="P39" i="332"/>
  <c r="P54" i="332"/>
  <c r="D52" i="329"/>
  <c r="G40" i="329"/>
  <c r="H40" i="329" s="1"/>
  <c r="D40" i="329"/>
  <c r="C26" i="329"/>
  <c r="G22" i="329"/>
  <c r="H22" i="329" s="1"/>
  <c r="D22" i="329"/>
  <c r="G53" i="329"/>
  <c r="H53" i="329" s="1"/>
  <c r="D53" i="329"/>
  <c r="G15" i="329"/>
  <c r="H15" i="329" s="1"/>
  <c r="D15" i="329"/>
  <c r="G21" i="329"/>
  <c r="H21" i="329" s="1"/>
  <c r="D21" i="329"/>
  <c r="D35" i="329"/>
  <c r="D46" i="329"/>
  <c r="D56" i="329"/>
  <c r="G56" i="329"/>
  <c r="H56" i="329" s="1"/>
  <c r="G32" i="329"/>
  <c r="H32" i="329" s="1"/>
  <c r="D32" i="329"/>
  <c r="G30" i="329"/>
  <c r="H30" i="329" s="1"/>
  <c r="D30" i="329"/>
  <c r="G14" i="329"/>
  <c r="H14" i="329" s="1"/>
  <c r="D14" i="329"/>
  <c r="C42" i="329"/>
  <c r="G48" i="329"/>
  <c r="H48" i="329" s="1"/>
  <c r="D48" i="329"/>
  <c r="D54" i="329"/>
  <c r="G54" i="329"/>
  <c r="H54" i="329" s="1"/>
  <c r="G10" i="329"/>
  <c r="H10" i="329" s="1"/>
  <c r="C13" i="329"/>
  <c r="U13" i="333" s="1"/>
  <c r="D10" i="329"/>
  <c r="G55" i="329"/>
  <c r="H55" i="329" s="1"/>
  <c r="D55" i="329"/>
  <c r="C59" i="329"/>
  <c r="U59" i="333" s="1"/>
  <c r="D51" i="329"/>
  <c r="G51" i="329"/>
  <c r="G38" i="329"/>
  <c r="H38" i="329" s="1"/>
  <c r="D38" i="329"/>
  <c r="C33" i="329"/>
  <c r="D36" i="329"/>
  <c r="G36" i="329"/>
  <c r="H36" i="329" s="1"/>
  <c r="G23" i="329"/>
  <c r="H23" i="329" s="1"/>
  <c r="D23" i="329"/>
  <c r="G31" i="329"/>
  <c r="D31" i="329"/>
  <c r="D37" i="329"/>
  <c r="D8" i="329"/>
  <c r="G8" i="329"/>
  <c r="H8" i="329" s="1"/>
  <c r="D47" i="329"/>
  <c r="D24" i="329"/>
  <c r="D74" i="329"/>
  <c r="D64" i="329"/>
  <c r="D63" i="329"/>
  <c r="D57" i="329"/>
  <c r="D67" i="329"/>
  <c r="D72" i="329"/>
  <c r="G41" i="329"/>
  <c r="H41" i="329" s="1"/>
  <c r="D41" i="329"/>
  <c r="G29" i="329"/>
  <c r="H29" i="329" s="1"/>
  <c r="D29" i="329"/>
  <c r="G58" i="329"/>
  <c r="H58" i="329" s="1"/>
  <c r="D58" i="329"/>
  <c r="G20" i="329"/>
  <c r="D20" i="329"/>
  <c r="D28" i="329"/>
  <c r="G11" i="329"/>
  <c r="H11" i="329" s="1"/>
  <c r="D11" i="329"/>
  <c r="D15" i="311"/>
  <c r="D25" i="311"/>
  <c r="D23" i="311"/>
  <c r="D12" i="311"/>
  <c r="G38" i="311"/>
  <c r="H38" i="311" s="1"/>
  <c r="D38" i="311"/>
  <c r="D39" i="311"/>
  <c r="G58" i="311"/>
  <c r="H58" i="311" s="1"/>
  <c r="D58" i="311"/>
  <c r="G55" i="311"/>
  <c r="H55" i="311" s="1"/>
  <c r="D55" i="311"/>
  <c r="D46" i="311"/>
  <c r="D40" i="311"/>
  <c r="G40" i="311"/>
  <c r="H40" i="311" s="1"/>
  <c r="G53" i="311"/>
  <c r="H53" i="311" s="1"/>
  <c r="D53" i="311"/>
  <c r="D36" i="311"/>
  <c r="D54" i="311"/>
  <c r="D31" i="311"/>
  <c r="G31" i="311"/>
  <c r="G30" i="311"/>
  <c r="H30" i="311" s="1"/>
  <c r="D30" i="311"/>
  <c r="G35" i="311"/>
  <c r="C42" i="311"/>
  <c r="D35" i="311"/>
  <c r="D11" i="311"/>
  <c r="G52" i="311"/>
  <c r="H52" i="311" s="1"/>
  <c r="D52" i="311"/>
  <c r="G21" i="311"/>
  <c r="H21" i="311" s="1"/>
  <c r="D21" i="311"/>
  <c r="G29" i="311"/>
  <c r="H29" i="311" s="1"/>
  <c r="D29" i="311"/>
  <c r="G32" i="311"/>
  <c r="H32" i="311" s="1"/>
  <c r="D32" i="311"/>
  <c r="G14" i="311"/>
  <c r="H14" i="311" s="1"/>
  <c r="D14" i="311"/>
  <c r="G10" i="311"/>
  <c r="D10" i="311"/>
  <c r="C13" i="311"/>
  <c r="C13" i="333" s="1"/>
  <c r="C26" i="311"/>
  <c r="G20" i="311"/>
  <c r="D20" i="311"/>
  <c r="D41" i="311"/>
  <c r="G8" i="311"/>
  <c r="H8" i="311" s="1"/>
  <c r="D8" i="311"/>
  <c r="D63" i="311"/>
  <c r="D57" i="311"/>
  <c r="D67" i="311"/>
  <c r="D72" i="311"/>
  <c r="D64" i="311"/>
  <c r="D24" i="311"/>
  <c r="D74" i="311"/>
  <c r="D47" i="311"/>
  <c r="D56" i="311"/>
  <c r="C59" i="311"/>
  <c r="C59" i="333" s="1"/>
  <c r="G28" i="311"/>
  <c r="H28" i="311" s="1"/>
  <c r="C33" i="311"/>
  <c r="D28" i="311"/>
  <c r="D22" i="311"/>
  <c r="G48" i="311"/>
  <c r="H48" i="311" s="1"/>
  <c r="D48" i="311"/>
  <c r="G37" i="311"/>
  <c r="H37" i="311" s="1"/>
  <c r="D37" i="311"/>
  <c r="D12" i="283"/>
  <c r="D29" i="283"/>
  <c r="D30" i="283"/>
  <c r="D53" i="286"/>
  <c r="D46" i="284"/>
  <c r="D53" i="284"/>
  <c r="D39" i="284"/>
  <c r="D63" i="284"/>
  <c r="D47" i="284"/>
  <c r="D8" i="284"/>
  <c r="D12" i="284"/>
  <c r="G8" i="284"/>
  <c r="H8" i="284" s="1"/>
  <c r="D64" i="284"/>
  <c r="D56" i="284"/>
  <c r="D74" i="284"/>
  <c r="D25" i="284"/>
  <c r="D55" i="284"/>
  <c r="G25" i="284"/>
  <c r="H25" i="284" s="1"/>
  <c r="D54" i="284"/>
  <c r="D74" i="283"/>
  <c r="D31" i="283"/>
  <c r="D63" i="283"/>
  <c r="C33" i="283"/>
  <c r="D28" i="283"/>
  <c r="D35" i="283"/>
  <c r="D67" i="283"/>
  <c r="C59" i="292"/>
  <c r="W59" i="332" s="1"/>
  <c r="D30" i="291"/>
  <c r="G30" i="291"/>
  <c r="H30" i="291" s="1"/>
  <c r="G23" i="291"/>
  <c r="H23" i="291" s="1"/>
  <c r="D23" i="291"/>
  <c r="D37" i="291"/>
  <c r="G37" i="291"/>
  <c r="H37" i="291" s="1"/>
  <c r="G38" i="291"/>
  <c r="H38" i="291" s="1"/>
  <c r="D38" i="291"/>
  <c r="D22" i="291"/>
  <c r="G22" i="291"/>
  <c r="H22" i="291" s="1"/>
  <c r="G25" i="291"/>
  <c r="H25" i="291" s="1"/>
  <c r="D25" i="291"/>
  <c r="G58" i="291"/>
  <c r="H58" i="291" s="1"/>
  <c r="D58" i="291"/>
  <c r="C42" i="291"/>
  <c r="D36" i="291"/>
  <c r="G36" i="291"/>
  <c r="G39" i="291"/>
  <c r="H39" i="291" s="1"/>
  <c r="D39" i="291"/>
  <c r="G55" i="291"/>
  <c r="H55" i="291" s="1"/>
  <c r="D55" i="291"/>
  <c r="G32" i="291"/>
  <c r="H32" i="291" s="1"/>
  <c r="D32" i="291"/>
  <c r="G53" i="291"/>
  <c r="H53" i="291" s="1"/>
  <c r="D53" i="291"/>
  <c r="G12" i="291"/>
  <c r="H12" i="291" s="1"/>
  <c r="D12" i="291"/>
  <c r="C13" i="291"/>
  <c r="S13" i="332" s="1"/>
  <c r="T13" i="332" s="1"/>
  <c r="D10" i="291"/>
  <c r="G10" i="291"/>
  <c r="G52" i="291"/>
  <c r="H52" i="291" s="1"/>
  <c r="D52" i="291"/>
  <c r="D15" i="291"/>
  <c r="G15" i="291"/>
  <c r="H15" i="291" s="1"/>
  <c r="G41" i="291"/>
  <c r="H41" i="291" s="1"/>
  <c r="D41" i="291"/>
  <c r="G56" i="291"/>
  <c r="H56" i="291" s="1"/>
  <c r="D56" i="291"/>
  <c r="G54" i="291"/>
  <c r="H54" i="291" s="1"/>
  <c r="D54" i="291"/>
  <c r="G48" i="291"/>
  <c r="H48" i="291" s="1"/>
  <c r="D48" i="291"/>
  <c r="G21" i="291"/>
  <c r="H21" i="291" s="1"/>
  <c r="D21" i="291"/>
  <c r="G28" i="291"/>
  <c r="C33" i="291"/>
  <c r="D28" i="291"/>
  <c r="G46" i="291"/>
  <c r="C49" i="291"/>
  <c r="D46" i="291"/>
  <c r="G20" i="291"/>
  <c r="D20" i="291"/>
  <c r="C26" i="291"/>
  <c r="D40" i="291"/>
  <c r="G40" i="291"/>
  <c r="H40" i="291" s="1"/>
  <c r="G51" i="290"/>
  <c r="D51" i="290"/>
  <c r="C59" i="290"/>
  <c r="Q59" i="332" s="1"/>
  <c r="R59" i="332" s="1"/>
  <c r="D25" i="290"/>
  <c r="G25" i="290"/>
  <c r="H25" i="290" s="1"/>
  <c r="G29" i="290"/>
  <c r="H29" i="290" s="1"/>
  <c r="D29" i="290"/>
  <c r="D23" i="290"/>
  <c r="G23" i="290"/>
  <c r="H23" i="290" s="1"/>
  <c r="G36" i="290"/>
  <c r="H36" i="290" s="1"/>
  <c r="D36" i="290"/>
  <c r="G40" i="290"/>
  <c r="H40" i="290" s="1"/>
  <c r="D40" i="290"/>
  <c r="D30" i="290"/>
  <c r="G30" i="290"/>
  <c r="H30" i="290" s="1"/>
  <c r="D11" i="290"/>
  <c r="G11" i="290"/>
  <c r="H11" i="290" s="1"/>
  <c r="D72" i="290"/>
  <c r="D8" i="290"/>
  <c r="D67" i="290"/>
  <c r="D57" i="290"/>
  <c r="G8" i="290"/>
  <c r="H8" i="290" s="1"/>
  <c r="D64" i="290"/>
  <c r="D63" i="290"/>
  <c r="D24" i="290"/>
  <c r="D74" i="290"/>
  <c r="D47" i="290"/>
  <c r="D21" i="290"/>
  <c r="G21" i="290"/>
  <c r="H21" i="290" s="1"/>
  <c r="D41" i="290"/>
  <c r="D48" i="290"/>
  <c r="G48" i="290"/>
  <c r="H48" i="290" s="1"/>
  <c r="D54" i="290"/>
  <c r="G54" i="290"/>
  <c r="H54" i="290" s="1"/>
  <c r="G12" i="290"/>
  <c r="H12" i="290" s="1"/>
  <c r="D12" i="290"/>
  <c r="G53" i="290"/>
  <c r="H53" i="290" s="1"/>
  <c r="D53" i="290"/>
  <c r="G37" i="290"/>
  <c r="H37" i="290" s="1"/>
  <c r="D37" i="290"/>
  <c r="D22" i="290"/>
  <c r="G22" i="290"/>
  <c r="H22" i="290" s="1"/>
  <c r="G52" i="290"/>
  <c r="H52" i="290" s="1"/>
  <c r="D52" i="290"/>
  <c r="C49" i="290"/>
  <c r="D32" i="290"/>
  <c r="G32" i="290"/>
  <c r="H32" i="290" s="1"/>
  <c r="D56" i="290"/>
  <c r="G58" i="290"/>
  <c r="H58" i="290" s="1"/>
  <c r="D58" i="290"/>
  <c r="D31" i="290"/>
  <c r="G31" i="290"/>
  <c r="H31" i="290" s="1"/>
  <c r="G39" i="290"/>
  <c r="H39" i="290" s="1"/>
  <c r="D39" i="290"/>
  <c r="D46" i="290"/>
  <c r="G20" i="290"/>
  <c r="D20" i="290"/>
  <c r="C26" i="290"/>
  <c r="C42" i="290"/>
  <c r="G35" i="290"/>
  <c r="H35" i="290" s="1"/>
  <c r="D35" i="290"/>
  <c r="G38" i="290"/>
  <c r="H38" i="290" s="1"/>
  <c r="D38" i="290"/>
  <c r="G10" i="290"/>
  <c r="D10" i="290"/>
  <c r="C13" i="290"/>
  <c r="Q13" i="332" s="1"/>
  <c r="R13" i="332" s="1"/>
  <c r="D28" i="290"/>
  <c r="G28" i="290"/>
  <c r="C33" i="290"/>
  <c r="D14" i="290"/>
  <c r="G14" i="290"/>
  <c r="H14" i="290" s="1"/>
  <c r="D55" i="290"/>
  <c r="G55" i="290"/>
  <c r="H55" i="290" s="1"/>
  <c r="G53" i="289"/>
  <c r="H53" i="289" s="1"/>
  <c r="G8" i="289"/>
  <c r="H8" i="289" s="1"/>
  <c r="G14" i="289"/>
  <c r="H14" i="289" s="1"/>
  <c r="G32" i="289"/>
  <c r="H32" i="289" s="1"/>
  <c r="G15" i="289"/>
  <c r="H15" i="289" s="1"/>
  <c r="G37" i="289"/>
  <c r="H37" i="289" s="1"/>
  <c r="G30" i="289"/>
  <c r="H30" i="289" s="1"/>
  <c r="G31" i="289"/>
  <c r="H31" i="289" s="1"/>
  <c r="G55" i="289"/>
  <c r="H55" i="289" s="1"/>
  <c r="G58" i="289"/>
  <c r="H58" i="289" s="1"/>
  <c r="G54" i="289"/>
  <c r="H54" i="289" s="1"/>
  <c r="G21" i="289"/>
  <c r="H21" i="289" s="1"/>
  <c r="G39" i="289"/>
  <c r="H39" i="289" s="1"/>
  <c r="G38" i="289"/>
  <c r="H38" i="289" s="1"/>
  <c r="G25" i="289"/>
  <c r="H25" i="289" s="1"/>
  <c r="G51" i="289"/>
  <c r="H51" i="289" s="1"/>
  <c r="O59" i="332"/>
  <c r="P59" i="332" s="1"/>
  <c r="G20" i="289"/>
  <c r="H20" i="289" s="1"/>
  <c r="G22" i="289"/>
  <c r="H22" i="289" s="1"/>
  <c r="G46" i="289"/>
  <c r="H46" i="289" s="1"/>
  <c r="G23" i="289"/>
  <c r="H23" i="289" s="1"/>
  <c r="O13" i="332"/>
  <c r="P13" i="332" s="1"/>
  <c r="G10" i="289"/>
  <c r="H10" i="289" s="1"/>
  <c r="G67" i="289"/>
  <c r="H67" i="289" s="1"/>
  <c r="G29" i="289"/>
  <c r="H29" i="289" s="1"/>
  <c r="G40" i="289"/>
  <c r="H40" i="289" s="1"/>
  <c r="G48" i="289"/>
  <c r="H48" i="289" s="1"/>
  <c r="G41" i="289"/>
  <c r="H41" i="289" s="1"/>
  <c r="C59" i="287"/>
  <c r="D15" i="285"/>
  <c r="G15" i="285"/>
  <c r="H15" i="285" s="1"/>
  <c r="D23" i="285"/>
  <c r="G23" i="285"/>
  <c r="H23" i="285" s="1"/>
  <c r="G38" i="285"/>
  <c r="H38" i="285" s="1"/>
  <c r="D38" i="285"/>
  <c r="G48" i="285"/>
  <c r="H48" i="285" s="1"/>
  <c r="D48" i="285"/>
  <c r="G29" i="285"/>
  <c r="H29" i="285" s="1"/>
  <c r="D29" i="285"/>
  <c r="G53" i="285"/>
  <c r="H53" i="285" s="1"/>
  <c r="D53" i="285"/>
  <c r="G40" i="285"/>
  <c r="H40" i="285" s="1"/>
  <c r="D40" i="285"/>
  <c r="D41" i="285"/>
  <c r="G41" i="285"/>
  <c r="H41" i="285" s="1"/>
  <c r="G31" i="285"/>
  <c r="H31" i="285" s="1"/>
  <c r="D31" i="285"/>
  <c r="G30" i="285"/>
  <c r="H30" i="285" s="1"/>
  <c r="D30" i="285"/>
  <c r="G35" i="285"/>
  <c r="C42" i="285"/>
  <c r="D35" i="285"/>
  <c r="G55" i="285"/>
  <c r="H55" i="285" s="1"/>
  <c r="D55" i="285"/>
  <c r="G54" i="285"/>
  <c r="H54" i="285" s="1"/>
  <c r="D54" i="285"/>
  <c r="D22" i="285"/>
  <c r="G22" i="285"/>
  <c r="H22" i="285" s="1"/>
  <c r="G21" i="285"/>
  <c r="H21" i="285" s="1"/>
  <c r="D21" i="285"/>
  <c r="D25" i="285"/>
  <c r="G25" i="285"/>
  <c r="H25" i="285" s="1"/>
  <c r="G32" i="285"/>
  <c r="H32" i="285" s="1"/>
  <c r="D32" i="285"/>
  <c r="G39" i="285"/>
  <c r="H39" i="285" s="1"/>
  <c r="D39" i="285"/>
  <c r="C59" i="285"/>
  <c r="G59" i="332" s="1"/>
  <c r="H59" i="332" s="1"/>
  <c r="G52" i="285"/>
  <c r="D52" i="285"/>
  <c r="G14" i="285"/>
  <c r="H14" i="285" s="1"/>
  <c r="D14" i="285"/>
  <c r="D20" i="285"/>
  <c r="G20" i="285"/>
  <c r="C26" i="285"/>
  <c r="G28" i="285"/>
  <c r="C33" i="285"/>
  <c r="D28" i="285"/>
  <c r="D72" i="284"/>
  <c r="C42" i="283"/>
  <c r="G15" i="283"/>
  <c r="H15" i="283" s="1"/>
  <c r="D41" i="283"/>
  <c r="D74" i="288"/>
  <c r="G25" i="288"/>
  <c r="H25" i="288" s="1"/>
  <c r="D58" i="287"/>
  <c r="D25" i="287"/>
  <c r="D48" i="287"/>
  <c r="D53" i="287"/>
  <c r="D51" i="287"/>
  <c r="D40" i="284"/>
  <c r="D57" i="284"/>
  <c r="G64" i="284"/>
  <c r="H64" i="284" s="1"/>
  <c r="D53" i="283"/>
  <c r="D64" i="283"/>
  <c r="C42" i="292"/>
  <c r="D10" i="287"/>
  <c r="D63" i="287"/>
  <c r="D46" i="287"/>
  <c r="D54" i="287"/>
  <c r="D24" i="284"/>
  <c r="G53" i="284"/>
  <c r="H53" i="284" s="1"/>
  <c r="D31" i="292"/>
  <c r="G31" i="292"/>
  <c r="H31" i="292" s="1"/>
  <c r="D29" i="292"/>
  <c r="G29" i="292"/>
  <c r="H29" i="292" s="1"/>
  <c r="D64" i="292"/>
  <c r="G64" i="292"/>
  <c r="H64" i="292" s="1"/>
  <c r="G21" i="292"/>
  <c r="H21" i="292" s="1"/>
  <c r="D21" i="292"/>
  <c r="D55" i="292"/>
  <c r="G55" i="292"/>
  <c r="H55" i="292" s="1"/>
  <c r="G11" i="292"/>
  <c r="H11" i="292" s="1"/>
  <c r="D11" i="292"/>
  <c r="G28" i="292"/>
  <c r="D28" i="292"/>
  <c r="C33" i="292"/>
  <c r="G48" i="292"/>
  <c r="H48" i="292" s="1"/>
  <c r="D48" i="292"/>
  <c r="G53" i="292"/>
  <c r="H53" i="292" s="1"/>
  <c r="D53" i="292"/>
  <c r="D36" i="292"/>
  <c r="G36" i="292"/>
  <c r="H36" i="292" s="1"/>
  <c r="C13" i="292"/>
  <c r="W13" i="332" s="1"/>
  <c r="D10" i="292"/>
  <c r="G10" i="292"/>
  <c r="G39" i="292"/>
  <c r="H39" i="292" s="1"/>
  <c r="D39" i="292"/>
  <c r="C26" i="292"/>
  <c r="D20" i="292"/>
  <c r="G20" i="292"/>
  <c r="D51" i="292"/>
  <c r="D8" i="292"/>
  <c r="D24" i="292"/>
  <c r="D47" i="292"/>
  <c r="D15" i="292"/>
  <c r="G8" i="292"/>
  <c r="D72" i="292"/>
  <c r="D40" i="292"/>
  <c r="D57" i="292"/>
  <c r="D63" i="292"/>
  <c r="G74" i="292"/>
  <c r="H74" i="292" s="1"/>
  <c r="D74" i="292"/>
  <c r="D23" i="292"/>
  <c r="G23" i="292"/>
  <c r="H23" i="292" s="1"/>
  <c r="G58" i="292"/>
  <c r="H58" i="292" s="1"/>
  <c r="D58" i="292"/>
  <c r="C65" i="292"/>
  <c r="D65" i="292" s="1"/>
  <c r="C49" i="292"/>
  <c r="D46" i="292"/>
  <c r="G46" i="292"/>
  <c r="D12" i="292"/>
  <c r="G12" i="292"/>
  <c r="H12" i="292" s="1"/>
  <c r="D32" i="292"/>
  <c r="D67" i="292"/>
  <c r="G67" i="292"/>
  <c r="H67" i="292" s="1"/>
  <c r="G54" i="292"/>
  <c r="H54" i="292" s="1"/>
  <c r="D54" i="292"/>
  <c r="G37" i="292"/>
  <c r="H37" i="292" s="1"/>
  <c r="D37" i="292"/>
  <c r="D52" i="292"/>
  <c r="D30" i="292"/>
  <c r="D22" i="292"/>
  <c r="G22" i="292"/>
  <c r="H22" i="292" s="1"/>
  <c r="D41" i="292"/>
  <c r="G41" i="292"/>
  <c r="H41" i="292" s="1"/>
  <c r="D35" i="292"/>
  <c r="G25" i="292"/>
  <c r="H25" i="292" s="1"/>
  <c r="D25" i="292"/>
  <c r="D38" i="292"/>
  <c r="G38" i="292"/>
  <c r="H38" i="292" s="1"/>
  <c r="D14" i="292"/>
  <c r="G14" i="292"/>
  <c r="H14" i="292" s="1"/>
  <c r="G39" i="288"/>
  <c r="H39" i="288" s="1"/>
  <c r="D39" i="288"/>
  <c r="D37" i="288"/>
  <c r="G37" i="288"/>
  <c r="H37" i="288" s="1"/>
  <c r="D22" i="288"/>
  <c r="G22" i="288"/>
  <c r="H22" i="288" s="1"/>
  <c r="D11" i="288"/>
  <c r="G11" i="288"/>
  <c r="H11" i="288" s="1"/>
  <c r="D32" i="288"/>
  <c r="G32" i="288"/>
  <c r="H32" i="288" s="1"/>
  <c r="D12" i="288"/>
  <c r="G12" i="288"/>
  <c r="C13" i="288"/>
  <c r="M13" i="332" s="1"/>
  <c r="N13" i="332" s="1"/>
  <c r="D10" i="288"/>
  <c r="G10" i="288"/>
  <c r="H10" i="288" s="1"/>
  <c r="D67" i="288"/>
  <c r="G67" i="288"/>
  <c r="H67" i="288" s="1"/>
  <c r="D38" i="288"/>
  <c r="G38" i="288"/>
  <c r="H38" i="288" s="1"/>
  <c r="G21" i="288"/>
  <c r="H21" i="288" s="1"/>
  <c r="D21" i="288"/>
  <c r="C33" i="288"/>
  <c r="D36" i="288"/>
  <c r="G36" i="288"/>
  <c r="C42" i="288"/>
  <c r="D23" i="288"/>
  <c r="G23" i="288"/>
  <c r="H23" i="288" s="1"/>
  <c r="D41" i="288"/>
  <c r="G41" i="288"/>
  <c r="H41" i="288" s="1"/>
  <c r="D72" i="288"/>
  <c r="G72" i="288"/>
  <c r="H72" i="288" s="1"/>
  <c r="C26" i="288"/>
  <c r="D20" i="288"/>
  <c r="G20" i="288"/>
  <c r="D31" i="288"/>
  <c r="G31" i="288"/>
  <c r="H31" i="288" s="1"/>
  <c r="C49" i="288"/>
  <c r="D46" i="288"/>
  <c r="G46" i="288"/>
  <c r="D14" i="288"/>
  <c r="G14" i="288"/>
  <c r="H14" i="288" s="1"/>
  <c r="D29" i="288"/>
  <c r="G29" i="288"/>
  <c r="H29" i="288" s="1"/>
  <c r="D36" i="287"/>
  <c r="G36" i="287"/>
  <c r="H36" i="287" s="1"/>
  <c r="G39" i="287"/>
  <c r="H39" i="287" s="1"/>
  <c r="D39" i="287"/>
  <c r="C13" i="287"/>
  <c r="K13" i="332" s="1"/>
  <c r="G11" i="287"/>
  <c r="H11" i="287" s="1"/>
  <c r="D11" i="287"/>
  <c r="G30" i="287"/>
  <c r="H30" i="287" s="1"/>
  <c r="D30" i="287"/>
  <c r="G35" i="287"/>
  <c r="C42" i="287"/>
  <c r="D35" i="287"/>
  <c r="G21" i="287"/>
  <c r="H21" i="287" s="1"/>
  <c r="D21" i="287"/>
  <c r="D52" i="287"/>
  <c r="G67" i="287"/>
  <c r="H67" i="287" s="1"/>
  <c r="D67" i="287"/>
  <c r="D14" i="287"/>
  <c r="G14" i="287"/>
  <c r="H14" i="287" s="1"/>
  <c r="G12" i="287"/>
  <c r="D12" i="287"/>
  <c r="D41" i="287"/>
  <c r="G41" i="287"/>
  <c r="H41" i="287" s="1"/>
  <c r="G20" i="287"/>
  <c r="H20" i="287" s="1"/>
  <c r="D20" i="287"/>
  <c r="D74" i="287"/>
  <c r="D8" i="287"/>
  <c r="D15" i="287"/>
  <c r="D24" i="287"/>
  <c r="D40" i="287"/>
  <c r="G8" i="287"/>
  <c r="H8" i="287" s="1"/>
  <c r="D57" i="287"/>
  <c r="D72" i="287"/>
  <c r="D56" i="287"/>
  <c r="D32" i="287"/>
  <c r="G32" i="287"/>
  <c r="H32" i="287" s="1"/>
  <c r="D55" i="287"/>
  <c r="G55" i="287"/>
  <c r="H55" i="287" s="1"/>
  <c r="G31" i="287"/>
  <c r="H31" i="287" s="1"/>
  <c r="D31" i="287"/>
  <c r="C26" i="287"/>
  <c r="D22" i="287"/>
  <c r="G22" i="287"/>
  <c r="G37" i="287"/>
  <c r="H37" i="287" s="1"/>
  <c r="D37" i="287"/>
  <c r="G29" i="287"/>
  <c r="H29" i="287" s="1"/>
  <c r="D29" i="287"/>
  <c r="D38" i="287"/>
  <c r="G38" i="287"/>
  <c r="H38" i="287" s="1"/>
  <c r="G23" i="287"/>
  <c r="H23" i="287" s="1"/>
  <c r="D23" i="287"/>
  <c r="D28" i="287"/>
  <c r="G28" i="287"/>
  <c r="C33" i="287"/>
  <c r="G64" i="287"/>
  <c r="D64" i="287"/>
  <c r="D32" i="286"/>
  <c r="G32" i="286"/>
  <c r="H32" i="286" s="1"/>
  <c r="G30" i="286"/>
  <c r="H30" i="286" s="1"/>
  <c r="D30" i="286"/>
  <c r="D37" i="286"/>
  <c r="G37" i="286"/>
  <c r="H37" i="286" s="1"/>
  <c r="G39" i="286"/>
  <c r="H39" i="286" s="1"/>
  <c r="D39" i="286"/>
  <c r="D72" i="286"/>
  <c r="G72" i="286"/>
  <c r="H72" i="286" s="1"/>
  <c r="D52" i="286"/>
  <c r="G52" i="286"/>
  <c r="H52" i="286" s="1"/>
  <c r="D10" i="286"/>
  <c r="G10" i="286"/>
  <c r="D21" i="286"/>
  <c r="G21" i="286"/>
  <c r="H21" i="286" s="1"/>
  <c r="G35" i="286"/>
  <c r="D35" i="286"/>
  <c r="C42" i="286"/>
  <c r="G58" i="286"/>
  <c r="H58" i="286" s="1"/>
  <c r="D58" i="286"/>
  <c r="D23" i="286"/>
  <c r="G23" i="286"/>
  <c r="H23" i="286" s="1"/>
  <c r="D74" i="286"/>
  <c r="D8" i="286"/>
  <c r="D47" i="286"/>
  <c r="D57" i="286"/>
  <c r="D15" i="286"/>
  <c r="G8" i="286"/>
  <c r="D24" i="286"/>
  <c r="D56" i="286"/>
  <c r="G56" i="286"/>
  <c r="H56" i="286" s="1"/>
  <c r="D25" i="286"/>
  <c r="G25" i="286"/>
  <c r="H25" i="286" s="1"/>
  <c r="D41" i="286"/>
  <c r="D38" i="286"/>
  <c r="G38" i="286"/>
  <c r="H38" i="286" s="1"/>
  <c r="C13" i="286"/>
  <c r="I13" i="332" s="1"/>
  <c r="D12" i="286"/>
  <c r="G12" i="286"/>
  <c r="H12" i="286" s="1"/>
  <c r="G20" i="286"/>
  <c r="D20" i="286"/>
  <c r="C26" i="286"/>
  <c r="G29" i="286"/>
  <c r="H29" i="286" s="1"/>
  <c r="D29" i="286"/>
  <c r="D28" i="286"/>
  <c r="C33" i="286"/>
  <c r="G28" i="286"/>
  <c r="D55" i="286"/>
  <c r="G55" i="286"/>
  <c r="H55" i="286" s="1"/>
  <c r="D67" i="286"/>
  <c r="G67" i="286"/>
  <c r="H67" i="286" s="1"/>
  <c r="D64" i="286"/>
  <c r="D54" i="286"/>
  <c r="G54" i="286"/>
  <c r="H54" i="286" s="1"/>
  <c r="D11" i="286"/>
  <c r="D36" i="286"/>
  <c r="G36" i="286"/>
  <c r="H36" i="286" s="1"/>
  <c r="D46" i="286"/>
  <c r="G46" i="286"/>
  <c r="C49" i="286"/>
  <c r="D48" i="286"/>
  <c r="G31" i="286"/>
  <c r="H31" i="286" s="1"/>
  <c r="D31" i="286"/>
  <c r="D40" i="286"/>
  <c r="G40" i="286"/>
  <c r="H40" i="286" s="1"/>
  <c r="D51" i="286"/>
  <c r="C59" i="286"/>
  <c r="I59" i="332" s="1"/>
  <c r="G51" i="286"/>
  <c r="D14" i="286"/>
  <c r="D52" i="284"/>
  <c r="G52" i="284"/>
  <c r="H52" i="284" s="1"/>
  <c r="D38" i="284"/>
  <c r="G38" i="284"/>
  <c r="H38" i="284" s="1"/>
  <c r="D28" i="284"/>
  <c r="G28" i="284"/>
  <c r="H28" i="284" s="1"/>
  <c r="C33" i="284"/>
  <c r="G51" i="284"/>
  <c r="C59" i="284"/>
  <c r="E59" i="332" s="1"/>
  <c r="D51" i="284"/>
  <c r="G21" i="284"/>
  <c r="H21" i="284" s="1"/>
  <c r="D21" i="284"/>
  <c r="G37" i="284"/>
  <c r="H37" i="284" s="1"/>
  <c r="D37" i="284"/>
  <c r="D14" i="284"/>
  <c r="G14" i="284"/>
  <c r="H14" i="284" s="1"/>
  <c r="D32" i="284"/>
  <c r="G32" i="284"/>
  <c r="H32" i="284" s="1"/>
  <c r="G29" i="284"/>
  <c r="H29" i="284" s="1"/>
  <c r="D29" i="284"/>
  <c r="D67" i="284"/>
  <c r="G67" i="284"/>
  <c r="H67" i="284" s="1"/>
  <c r="G58" i="284"/>
  <c r="H58" i="284" s="1"/>
  <c r="D58" i="284"/>
  <c r="G30" i="284"/>
  <c r="H30" i="284" s="1"/>
  <c r="D30" i="284"/>
  <c r="D11" i="284"/>
  <c r="G11" i="284"/>
  <c r="H11" i="284" s="1"/>
  <c r="D31" i="284"/>
  <c r="G31" i="284"/>
  <c r="D35" i="284"/>
  <c r="G35" i="284"/>
  <c r="C42" i="284"/>
  <c r="G36" i="284"/>
  <c r="H36" i="284" s="1"/>
  <c r="D36" i="284"/>
  <c r="C26" i="284"/>
  <c r="G20" i="284"/>
  <c r="D20" i="284"/>
  <c r="D23" i="284"/>
  <c r="G23" i="284"/>
  <c r="H23" i="284" s="1"/>
  <c r="G41" i="284"/>
  <c r="H41" i="284" s="1"/>
  <c r="D41" i="284"/>
  <c r="D22" i="284"/>
  <c r="G22" i="284"/>
  <c r="H22" i="284" s="1"/>
  <c r="G10" i="284"/>
  <c r="C13" i="284"/>
  <c r="E13" i="332" s="1"/>
  <c r="D10" i="284"/>
  <c r="D48" i="284"/>
  <c r="G48" i="284"/>
  <c r="H48" i="284" s="1"/>
  <c r="D63" i="278"/>
  <c r="D14" i="278"/>
  <c r="D29" i="278"/>
  <c r="D38" i="278"/>
  <c r="G38" i="278"/>
  <c r="H38" i="278" s="1"/>
  <c r="D35" i="278"/>
  <c r="G35" i="278"/>
  <c r="H35" i="278" s="1"/>
  <c r="G32" i="278"/>
  <c r="H32" i="278" s="1"/>
  <c r="D32" i="278"/>
  <c r="D55" i="278"/>
  <c r="G55" i="278"/>
  <c r="H55" i="278" s="1"/>
  <c r="D36" i="278"/>
  <c r="G36" i="278"/>
  <c r="H36" i="278" s="1"/>
  <c r="D23" i="278"/>
  <c r="G23" i="278"/>
  <c r="H23" i="278" s="1"/>
  <c r="D41" i="278"/>
  <c r="G41" i="278"/>
  <c r="H41" i="278" s="1"/>
  <c r="D30" i="278"/>
  <c r="G30" i="278"/>
  <c r="H30" i="278" s="1"/>
  <c r="D52" i="278"/>
  <c r="G52" i="278"/>
  <c r="H52" i="278" s="1"/>
  <c r="D39" i="278"/>
  <c r="G25" i="278"/>
  <c r="H25" i="278" s="1"/>
  <c r="D25" i="278"/>
  <c r="G22" i="278"/>
  <c r="H22" i="278" s="1"/>
  <c r="D22" i="278"/>
  <c r="D10" i="278"/>
  <c r="D28" i="278"/>
  <c r="G28" i="278"/>
  <c r="D51" i="278"/>
  <c r="G54" i="278"/>
  <c r="H54" i="278" s="1"/>
  <c r="D54" i="278"/>
  <c r="D67" i="278"/>
  <c r="G67" i="278"/>
  <c r="H67" i="278" s="1"/>
  <c r="D20" i="278"/>
  <c r="G20" i="278"/>
  <c r="H20" i="278" s="1"/>
  <c r="D12" i="278"/>
  <c r="D64" i="278"/>
  <c r="G64" i="278"/>
  <c r="H64" i="278" s="1"/>
  <c r="G21" i="278"/>
  <c r="H21" i="278" s="1"/>
  <c r="D21" i="278"/>
  <c r="D56" i="278"/>
  <c r="G56" i="278"/>
  <c r="H56" i="278" s="1"/>
  <c r="D40" i="278"/>
  <c r="D72" i="278"/>
  <c r="D15" i="278"/>
  <c r="G8" i="278"/>
  <c r="H8" i="278" s="1"/>
  <c r="D47" i="278"/>
  <c r="D8" i="278"/>
  <c r="D57" i="278"/>
  <c r="D24" i="278"/>
  <c r="D74" i="278"/>
  <c r="G74" i="278"/>
  <c r="H74" i="278" s="1"/>
  <c r="G53" i="278"/>
  <c r="H53" i="278" s="1"/>
  <c r="D53" i="278"/>
  <c r="D11" i="278"/>
  <c r="D48" i="278"/>
  <c r="G48" i="278"/>
  <c r="H48" i="278" s="1"/>
  <c r="G58" i="278"/>
  <c r="H58" i="278" s="1"/>
  <c r="D58" i="278"/>
  <c r="G46" i="278"/>
  <c r="H46" i="278" s="1"/>
  <c r="D46" i="278"/>
  <c r="D37" i="278"/>
  <c r="C65" i="283"/>
  <c r="D65" i="283" s="1"/>
  <c r="G64" i="283"/>
  <c r="H64" i="283" s="1"/>
  <c r="G36" i="283"/>
  <c r="H36" i="283" s="1"/>
  <c r="D36" i="283"/>
  <c r="D22" i="283"/>
  <c r="G22" i="283"/>
  <c r="H22" i="283" s="1"/>
  <c r="G14" i="283"/>
  <c r="H14" i="283" s="1"/>
  <c r="D14" i="283"/>
  <c r="D52" i="283"/>
  <c r="G52" i="283"/>
  <c r="H52" i="283" s="1"/>
  <c r="G40" i="283"/>
  <c r="H40" i="283" s="1"/>
  <c r="D40" i="283"/>
  <c r="G54" i="283"/>
  <c r="H54" i="283" s="1"/>
  <c r="D54" i="283"/>
  <c r="D58" i="283"/>
  <c r="G58" i="283"/>
  <c r="H58" i="283" s="1"/>
  <c r="G20" i="283"/>
  <c r="D20" i="283"/>
  <c r="C26" i="283"/>
  <c r="C59" i="283"/>
  <c r="C59" i="332" s="1"/>
  <c r="D51" i="283"/>
  <c r="G51" i="283"/>
  <c r="D32" i="283"/>
  <c r="G32" i="283"/>
  <c r="H32" i="283" s="1"/>
  <c r="G21" i="283"/>
  <c r="H21" i="283" s="1"/>
  <c r="D21" i="283"/>
  <c r="G48" i="283"/>
  <c r="H48" i="283" s="1"/>
  <c r="D48" i="283"/>
  <c r="G25" i="283"/>
  <c r="H25" i="283" s="1"/>
  <c r="D25" i="283"/>
  <c r="D56" i="283"/>
  <c r="G56" i="283"/>
  <c r="H56" i="283" s="1"/>
  <c r="D8" i="283"/>
  <c r="D15" i="283"/>
  <c r="D57" i="283"/>
  <c r="D72" i="283"/>
  <c r="D47" i="283"/>
  <c r="D24" i="283"/>
  <c r="G8" i="283"/>
  <c r="G55" i="283"/>
  <c r="H55" i="283" s="1"/>
  <c r="D55" i="283"/>
  <c r="D39" i="283"/>
  <c r="G39" i="283"/>
  <c r="H39" i="283" s="1"/>
  <c r="D46" i="283"/>
  <c r="C49" i="283"/>
  <c r="G46" i="283"/>
  <c r="C13" i="283"/>
  <c r="C13" i="332" s="1"/>
  <c r="D10" i="283"/>
  <c r="G10" i="283"/>
  <c r="D37" i="283"/>
  <c r="G37" i="283"/>
  <c r="H37" i="283" s="1"/>
  <c r="D38" i="283"/>
  <c r="G38" i="283"/>
  <c r="H38" i="283" s="1"/>
  <c r="G23" i="283"/>
  <c r="H23" i="283" s="1"/>
  <c r="D23" i="283"/>
  <c r="D11" i="283"/>
  <c r="G11" i="283"/>
  <c r="H11" i="283" s="1"/>
  <c r="F65" i="278"/>
  <c r="F59" i="278"/>
  <c r="F42" i="278"/>
  <c r="F26" i="278"/>
  <c r="C33" i="278"/>
  <c r="E61" i="278"/>
  <c r="AI30" i="332" l="1"/>
  <c r="AI35" i="332"/>
  <c r="AI52" i="332"/>
  <c r="AI15" i="332"/>
  <c r="AI22" i="332"/>
  <c r="AI32" i="333"/>
  <c r="AI32" i="332"/>
  <c r="AI37" i="332"/>
  <c r="AI39" i="332"/>
  <c r="AI51" i="332"/>
  <c r="AI29" i="333"/>
  <c r="AI67" i="332"/>
  <c r="AI53" i="333"/>
  <c r="AI25" i="332"/>
  <c r="AI21" i="333"/>
  <c r="AI10" i="333"/>
  <c r="AI72" i="333"/>
  <c r="AI67" i="333"/>
  <c r="AI35" i="333"/>
  <c r="AI72" i="332"/>
  <c r="AI40" i="332"/>
  <c r="AI52" i="333"/>
  <c r="AI38" i="333"/>
  <c r="AI14" i="332"/>
  <c r="AI41" i="332"/>
  <c r="AI41" i="333"/>
  <c r="AI8" i="333"/>
  <c r="AI74" i="333"/>
  <c r="AI58" i="333"/>
  <c r="AI12" i="333"/>
  <c r="AI56" i="333"/>
  <c r="AI64" i="332"/>
  <c r="AI63" i="333"/>
  <c r="AI36" i="333"/>
  <c r="AI46" i="333"/>
  <c r="AI58" i="332"/>
  <c r="AI40" i="333"/>
  <c r="AI23" i="333"/>
  <c r="AI54" i="333"/>
  <c r="AI20" i="333"/>
  <c r="AI31" i="333"/>
  <c r="AI57" i="332"/>
  <c r="AI39" i="333"/>
  <c r="AI48" i="333"/>
  <c r="AI25" i="333"/>
  <c r="AI63" i="332"/>
  <c r="AI37" i="333"/>
  <c r="AI51" i="333"/>
  <c r="AI47" i="332"/>
  <c r="AI55" i="333"/>
  <c r="AI14" i="333"/>
  <c r="AI30" i="333"/>
  <c r="AI11" i="333"/>
  <c r="AI74" i="332"/>
  <c r="AI22" i="333"/>
  <c r="AI54" i="332"/>
  <c r="AI15" i="333"/>
  <c r="AI28" i="333"/>
  <c r="AI47" i="333"/>
  <c r="AI48" i="332"/>
  <c r="AI64" i="333"/>
  <c r="AI57" i="333"/>
  <c r="D24" i="332"/>
  <c r="AI8" i="332"/>
  <c r="AJ11" i="332" s="1"/>
  <c r="I65" i="333"/>
  <c r="J65" i="333" s="1"/>
  <c r="H63" i="313"/>
  <c r="H63" i="317"/>
  <c r="D52" i="332"/>
  <c r="C65" i="333"/>
  <c r="D46" i="332"/>
  <c r="D64" i="332"/>
  <c r="D22" i="332"/>
  <c r="D39" i="332"/>
  <c r="D8" i="332"/>
  <c r="D10" i="332"/>
  <c r="D47" i="332"/>
  <c r="D36" i="332"/>
  <c r="D72" i="332"/>
  <c r="D54" i="332"/>
  <c r="D49" i="287"/>
  <c r="D37" i="332"/>
  <c r="D56" i="332"/>
  <c r="S65" i="332"/>
  <c r="T65" i="332" s="1"/>
  <c r="D11" i="332"/>
  <c r="D58" i="332"/>
  <c r="D40" i="332"/>
  <c r="D67" i="332"/>
  <c r="D57" i="332"/>
  <c r="D14" i="332"/>
  <c r="G65" i="311"/>
  <c r="H65" i="311" s="1"/>
  <c r="G65" i="329"/>
  <c r="H65" i="329" s="1"/>
  <c r="H63" i="329"/>
  <c r="U65" i="333"/>
  <c r="V65" i="333" s="1"/>
  <c r="S65" i="333"/>
  <c r="T65" i="333" s="1"/>
  <c r="H63" i="327"/>
  <c r="G65" i="327"/>
  <c r="H65" i="327" s="1"/>
  <c r="H63" i="291"/>
  <c r="G65" i="291"/>
  <c r="H65" i="291" s="1"/>
  <c r="H63" i="325"/>
  <c r="G65" i="325"/>
  <c r="H65" i="325" s="1"/>
  <c r="Q65" i="333"/>
  <c r="R65" i="333" s="1"/>
  <c r="Q65" i="332"/>
  <c r="R65" i="332" s="1"/>
  <c r="H63" i="290"/>
  <c r="G65" i="290"/>
  <c r="H65" i="290" s="1"/>
  <c r="G65" i="321"/>
  <c r="H65" i="321" s="1"/>
  <c r="H63" i="319"/>
  <c r="G65" i="319"/>
  <c r="H65" i="319" s="1"/>
  <c r="G65" i="286"/>
  <c r="H65" i="286" s="1"/>
  <c r="G65" i="332"/>
  <c r="H65" i="332" s="1"/>
  <c r="H63" i="285"/>
  <c r="G65" i="285"/>
  <c r="H65" i="285" s="1"/>
  <c r="G65" i="315"/>
  <c r="H65" i="315" s="1"/>
  <c r="H63" i="315"/>
  <c r="G65" i="333"/>
  <c r="H65" i="333" s="1"/>
  <c r="D51" i="332"/>
  <c r="D23" i="332"/>
  <c r="D21" i="332"/>
  <c r="D38" i="332"/>
  <c r="D15" i="332"/>
  <c r="D74" i="332"/>
  <c r="D55" i="332"/>
  <c r="D25" i="332"/>
  <c r="D48" i="332"/>
  <c r="D41" i="332"/>
  <c r="D20" i="332"/>
  <c r="D32" i="332"/>
  <c r="D63" i="332"/>
  <c r="C65" i="332"/>
  <c r="R67" i="332"/>
  <c r="G49" i="323"/>
  <c r="H49" i="323" s="1"/>
  <c r="H48" i="323"/>
  <c r="D59" i="291"/>
  <c r="T46" i="333"/>
  <c r="L52" i="333"/>
  <c r="L30" i="333"/>
  <c r="D49" i="284"/>
  <c r="E42" i="333"/>
  <c r="F42" i="333" s="1"/>
  <c r="H38" i="333"/>
  <c r="D49" i="313"/>
  <c r="X13" i="332"/>
  <c r="H64" i="331"/>
  <c r="G13" i="323"/>
  <c r="L13" i="332"/>
  <c r="D33" i="331"/>
  <c r="D49" i="329"/>
  <c r="L37" i="333"/>
  <c r="L23" i="333"/>
  <c r="L72" i="333"/>
  <c r="L41" i="333"/>
  <c r="L29" i="333"/>
  <c r="L74" i="333"/>
  <c r="L35" i="333"/>
  <c r="D35" i="332"/>
  <c r="X56" i="333"/>
  <c r="D49" i="317"/>
  <c r="D13" i="285"/>
  <c r="C16" i="285"/>
  <c r="G16" i="332" s="1"/>
  <c r="H16" i="332" s="1"/>
  <c r="D53" i="332"/>
  <c r="F13" i="332"/>
  <c r="L28" i="333"/>
  <c r="L20" i="333"/>
  <c r="L38" i="333"/>
  <c r="L63" i="333"/>
  <c r="L11" i="333"/>
  <c r="L57" i="333"/>
  <c r="L10" i="333"/>
  <c r="L65" i="333"/>
  <c r="L24" i="333"/>
  <c r="L56" i="333"/>
  <c r="L58" i="333"/>
  <c r="L8" i="333"/>
  <c r="L48" i="333"/>
  <c r="L21" i="333"/>
  <c r="L32" i="333"/>
  <c r="L64" i="333"/>
  <c r="L22" i="333"/>
  <c r="L15" i="333"/>
  <c r="L25" i="333"/>
  <c r="L53" i="333"/>
  <c r="L14" i="333"/>
  <c r="L31" i="333"/>
  <c r="L67" i="333"/>
  <c r="L39" i="333"/>
  <c r="L46" i="333"/>
  <c r="L51" i="333"/>
  <c r="L55" i="333"/>
  <c r="L54" i="333"/>
  <c r="L40" i="333"/>
  <c r="X20" i="333"/>
  <c r="D59" i="292"/>
  <c r="L12" i="333"/>
  <c r="D59" i="288"/>
  <c r="G13" i="285"/>
  <c r="G16" i="285" s="1"/>
  <c r="G49" i="287"/>
  <c r="H49" i="287" s="1"/>
  <c r="X58" i="333"/>
  <c r="D49" i="331"/>
  <c r="X23" i="333"/>
  <c r="X29" i="333"/>
  <c r="G59" i="288"/>
  <c r="H59" i="288" s="1"/>
  <c r="G65" i="288"/>
  <c r="H65" i="288" s="1"/>
  <c r="G59" i="333"/>
  <c r="H59" i="333" s="1"/>
  <c r="H15" i="333"/>
  <c r="D49" i="311"/>
  <c r="G13" i="313"/>
  <c r="H13" i="313" s="1"/>
  <c r="X30" i="333"/>
  <c r="G49" i="331"/>
  <c r="H49" i="331" s="1"/>
  <c r="X55" i="333"/>
  <c r="O13" i="333"/>
  <c r="P13" i="333" s="1"/>
  <c r="X65" i="333"/>
  <c r="X37" i="333"/>
  <c r="X49" i="333"/>
  <c r="X39" i="333"/>
  <c r="X31" i="333"/>
  <c r="X67" i="333"/>
  <c r="X32" i="333"/>
  <c r="X54" i="333"/>
  <c r="X63" i="333"/>
  <c r="X10" i="333"/>
  <c r="R52" i="333"/>
  <c r="R53" i="333"/>
  <c r="R40" i="333"/>
  <c r="R38" i="333"/>
  <c r="R58" i="333"/>
  <c r="R48" i="333"/>
  <c r="G33" i="323"/>
  <c r="H33" i="323" s="1"/>
  <c r="G65" i="289"/>
  <c r="H65" i="289" s="1"/>
  <c r="J51" i="333"/>
  <c r="H56" i="333"/>
  <c r="F58" i="333"/>
  <c r="X12" i="333"/>
  <c r="X21" i="333"/>
  <c r="X11" i="333"/>
  <c r="G33" i="331"/>
  <c r="H33" i="331" s="1"/>
  <c r="X64" i="333"/>
  <c r="G59" i="331"/>
  <c r="H59" i="331" s="1"/>
  <c r="X10" i="332"/>
  <c r="V13" i="333"/>
  <c r="R56" i="333"/>
  <c r="R20" i="333"/>
  <c r="N29" i="333"/>
  <c r="F53" i="333"/>
  <c r="F23" i="333"/>
  <c r="F49" i="333"/>
  <c r="F37" i="333"/>
  <c r="G49" i="313"/>
  <c r="H49" i="313" s="1"/>
  <c r="F51" i="333"/>
  <c r="F54" i="333"/>
  <c r="D42" i="331"/>
  <c r="W42" i="333"/>
  <c r="X42" i="333" s="1"/>
  <c r="X41" i="333"/>
  <c r="X22" i="333"/>
  <c r="X48" i="333"/>
  <c r="X46" i="333"/>
  <c r="X35" i="333"/>
  <c r="H10" i="331"/>
  <c r="G13" i="331"/>
  <c r="G42" i="331"/>
  <c r="H42" i="331" s="1"/>
  <c r="W26" i="333"/>
  <c r="X26" i="333" s="1"/>
  <c r="D26" i="331"/>
  <c r="D49" i="292"/>
  <c r="W49" i="332"/>
  <c r="X49" i="332" s="1"/>
  <c r="X8" i="333"/>
  <c r="X47" i="333"/>
  <c r="X40" i="333"/>
  <c r="X24" i="333"/>
  <c r="X15" i="333"/>
  <c r="X51" i="333"/>
  <c r="X57" i="333"/>
  <c r="X28" i="333"/>
  <c r="X53" i="333"/>
  <c r="D33" i="292"/>
  <c r="W33" i="332"/>
  <c r="X33" i="332" s="1"/>
  <c r="D42" i="292"/>
  <c r="W42" i="332"/>
  <c r="X42" i="332" s="1"/>
  <c r="X14" i="333"/>
  <c r="X36" i="333"/>
  <c r="X52" i="333"/>
  <c r="H20" i="331"/>
  <c r="G26" i="331"/>
  <c r="H26" i="331" s="1"/>
  <c r="W59" i="333"/>
  <c r="X59" i="333" s="1"/>
  <c r="D59" i="331"/>
  <c r="C61" i="331"/>
  <c r="D26" i="292"/>
  <c r="W26" i="332"/>
  <c r="X26" i="332" s="1"/>
  <c r="X38" i="333"/>
  <c r="X33" i="333"/>
  <c r="X25" i="333"/>
  <c r="W13" i="333"/>
  <c r="X13" i="333" s="1"/>
  <c r="D13" i="331"/>
  <c r="C16" i="331"/>
  <c r="X72" i="333"/>
  <c r="D33" i="278"/>
  <c r="U33" i="332"/>
  <c r="V33" i="332" s="1"/>
  <c r="D42" i="329"/>
  <c r="U42" i="333"/>
  <c r="V42" i="333" s="1"/>
  <c r="D33" i="329"/>
  <c r="U33" i="333"/>
  <c r="V33" i="333" s="1"/>
  <c r="D26" i="329"/>
  <c r="U26" i="333"/>
  <c r="V26" i="333" s="1"/>
  <c r="T53" i="333"/>
  <c r="T32" i="333"/>
  <c r="T39" i="333"/>
  <c r="T28" i="333"/>
  <c r="T21" i="333"/>
  <c r="T51" i="333"/>
  <c r="T14" i="333"/>
  <c r="D42" i="327"/>
  <c r="S42" i="333"/>
  <c r="T42" i="333" s="1"/>
  <c r="T48" i="333"/>
  <c r="T11" i="333"/>
  <c r="T38" i="333"/>
  <c r="T10" i="333"/>
  <c r="T12" i="333"/>
  <c r="T31" i="333"/>
  <c r="T58" i="333"/>
  <c r="T15" i="333"/>
  <c r="H36" i="327"/>
  <c r="G42" i="327"/>
  <c r="H42" i="327" s="1"/>
  <c r="H10" i="327"/>
  <c r="G13" i="327"/>
  <c r="D49" i="291"/>
  <c r="S49" i="332"/>
  <c r="T49" i="332" s="1"/>
  <c r="T29" i="333"/>
  <c r="T23" i="333"/>
  <c r="T37" i="333"/>
  <c r="T36" i="333"/>
  <c r="S13" i="333"/>
  <c r="T13" i="333" s="1"/>
  <c r="C16" i="327"/>
  <c r="D13" i="327"/>
  <c r="T41" i="333"/>
  <c r="H28" i="327"/>
  <c r="G33" i="327"/>
  <c r="H33" i="327" s="1"/>
  <c r="D49" i="327"/>
  <c r="S49" i="333"/>
  <c r="T49" i="333" s="1"/>
  <c r="T22" i="333"/>
  <c r="H51" i="327"/>
  <c r="G59" i="327"/>
  <c r="T40" i="333"/>
  <c r="D33" i="291"/>
  <c r="S33" i="332"/>
  <c r="T33" i="332" s="1"/>
  <c r="D42" i="291"/>
  <c r="S42" i="332"/>
  <c r="T42" i="332" s="1"/>
  <c r="D33" i="327"/>
  <c r="S33" i="333"/>
  <c r="T33" i="333" s="1"/>
  <c r="S26" i="333"/>
  <c r="T26" i="333" s="1"/>
  <c r="D26" i="327"/>
  <c r="T8" i="333"/>
  <c r="T24" i="333"/>
  <c r="T64" i="333"/>
  <c r="T35" i="333"/>
  <c r="T57" i="333"/>
  <c r="T67" i="333"/>
  <c r="T63" i="333"/>
  <c r="T47" i="333"/>
  <c r="T72" i="333"/>
  <c r="T74" i="333"/>
  <c r="G26" i="327"/>
  <c r="H26" i="327" s="1"/>
  <c r="H20" i="327"/>
  <c r="T54" i="333"/>
  <c r="D26" i="291"/>
  <c r="S26" i="332"/>
  <c r="T26" i="332" s="1"/>
  <c r="T55" i="333"/>
  <c r="H46" i="327"/>
  <c r="G49" i="327"/>
  <c r="H49" i="327" s="1"/>
  <c r="T25" i="333"/>
  <c r="T52" i="333"/>
  <c r="T20" i="333"/>
  <c r="S59" i="333"/>
  <c r="T59" i="333" s="1"/>
  <c r="C61" i="327"/>
  <c r="D59" i="327"/>
  <c r="T56" i="333"/>
  <c r="D33" i="290"/>
  <c r="Q33" i="332"/>
  <c r="R33" i="332" s="1"/>
  <c r="D49" i="290"/>
  <c r="Q49" i="332"/>
  <c r="R49" i="332" s="1"/>
  <c r="R29" i="333"/>
  <c r="G13" i="325"/>
  <c r="H12" i="325"/>
  <c r="R31" i="333"/>
  <c r="R46" i="333"/>
  <c r="R25" i="333"/>
  <c r="Q49" i="333"/>
  <c r="R49" i="333" s="1"/>
  <c r="D49" i="325"/>
  <c r="R12" i="333"/>
  <c r="R14" i="333"/>
  <c r="R41" i="333"/>
  <c r="R21" i="333"/>
  <c r="Q59" i="333"/>
  <c r="R59" i="333" s="1"/>
  <c r="C61" i="325"/>
  <c r="D59" i="325"/>
  <c r="H28" i="325"/>
  <c r="G33" i="325"/>
  <c r="H33" i="325" s="1"/>
  <c r="H51" i="325"/>
  <c r="G59" i="325"/>
  <c r="H8" i="325"/>
  <c r="R32" i="333"/>
  <c r="R54" i="333"/>
  <c r="R67" i="333"/>
  <c r="D42" i="325"/>
  <c r="Q42" i="333"/>
  <c r="R42" i="333" s="1"/>
  <c r="R55" i="333"/>
  <c r="R39" i="333"/>
  <c r="D42" i="290"/>
  <c r="Q42" i="332"/>
  <c r="R42" i="332" s="1"/>
  <c r="D33" i="325"/>
  <c r="Q33" i="333"/>
  <c r="R33" i="333" s="1"/>
  <c r="R36" i="333"/>
  <c r="R23" i="333"/>
  <c r="G42" i="325"/>
  <c r="H42" i="325" s="1"/>
  <c r="R51" i="333"/>
  <c r="R15" i="333"/>
  <c r="D26" i="290"/>
  <c r="Q26" i="332"/>
  <c r="R26" i="332" s="1"/>
  <c r="R28" i="333"/>
  <c r="H20" i="325"/>
  <c r="G26" i="325"/>
  <c r="H26" i="325" s="1"/>
  <c r="Q13" i="333"/>
  <c r="R13" i="333" s="1"/>
  <c r="D13" i="325"/>
  <c r="C16" i="325"/>
  <c r="R35" i="333"/>
  <c r="H46" i="325"/>
  <c r="G49" i="325"/>
  <c r="H49" i="325" s="1"/>
  <c r="R11" i="333"/>
  <c r="R8" i="333"/>
  <c r="R64" i="333"/>
  <c r="R47" i="333"/>
  <c r="R74" i="333"/>
  <c r="R24" i="333"/>
  <c r="R63" i="333"/>
  <c r="R72" i="333"/>
  <c r="R57" i="333"/>
  <c r="R22" i="333"/>
  <c r="Q26" i="333"/>
  <c r="R26" i="333" s="1"/>
  <c r="D26" i="325"/>
  <c r="R30" i="333"/>
  <c r="R10" i="333"/>
  <c r="P64" i="332"/>
  <c r="G13" i="289"/>
  <c r="P22" i="333"/>
  <c r="G65" i="323"/>
  <c r="H65" i="323" s="1"/>
  <c r="P63" i="333"/>
  <c r="O65" i="333"/>
  <c r="P10" i="333"/>
  <c r="P15" i="333"/>
  <c r="P11" i="333"/>
  <c r="P58" i="333"/>
  <c r="P48" i="333"/>
  <c r="C66" i="334"/>
  <c r="D66" i="334" s="1"/>
  <c r="P55" i="333"/>
  <c r="P53" i="333"/>
  <c r="P54" i="333"/>
  <c r="P74" i="333"/>
  <c r="P29" i="333"/>
  <c r="G42" i="323"/>
  <c r="H42" i="323" s="1"/>
  <c r="P20" i="333"/>
  <c r="P28" i="333"/>
  <c r="P52" i="333"/>
  <c r="P25" i="333"/>
  <c r="P37" i="333"/>
  <c r="G59" i="323"/>
  <c r="H59" i="323" s="1"/>
  <c r="P67" i="333"/>
  <c r="P23" i="333"/>
  <c r="P41" i="333"/>
  <c r="P12" i="333"/>
  <c r="O49" i="333"/>
  <c r="P49" i="333" s="1"/>
  <c r="O59" i="333"/>
  <c r="P59" i="333" s="1"/>
  <c r="O26" i="332"/>
  <c r="P26" i="332" s="1"/>
  <c r="P21" i="333"/>
  <c r="P30" i="333"/>
  <c r="P39" i="333"/>
  <c r="P51" i="333"/>
  <c r="O33" i="332"/>
  <c r="P33" i="332" s="1"/>
  <c r="P31" i="333"/>
  <c r="P56" i="333"/>
  <c r="P40" i="333"/>
  <c r="O42" i="333"/>
  <c r="P42" i="333" s="1"/>
  <c r="O26" i="333"/>
  <c r="P26" i="333" s="1"/>
  <c r="P64" i="333"/>
  <c r="P38" i="333"/>
  <c r="O33" i="333"/>
  <c r="P33" i="333" s="1"/>
  <c r="G26" i="323"/>
  <c r="H26" i="323" s="1"/>
  <c r="P14" i="333"/>
  <c r="P8" i="333"/>
  <c r="P24" i="333"/>
  <c r="P35" i="333"/>
  <c r="P57" i="333"/>
  <c r="P47" i="333"/>
  <c r="P72" i="333"/>
  <c r="P32" i="333"/>
  <c r="P36" i="333"/>
  <c r="O49" i="332"/>
  <c r="P49" i="332" s="1"/>
  <c r="O42" i="332"/>
  <c r="P42" i="332" s="1"/>
  <c r="H64" i="334"/>
  <c r="G66" i="334"/>
  <c r="H66" i="334" s="1"/>
  <c r="N20" i="333"/>
  <c r="N30" i="333"/>
  <c r="N38" i="333"/>
  <c r="N40" i="333"/>
  <c r="N52" i="333"/>
  <c r="N28" i="333"/>
  <c r="N22" i="333"/>
  <c r="N31" i="333"/>
  <c r="N58" i="333"/>
  <c r="D49" i="288"/>
  <c r="M49" i="332"/>
  <c r="N49" i="332" s="1"/>
  <c r="D42" i="288"/>
  <c r="M42" i="332"/>
  <c r="N42" i="332" s="1"/>
  <c r="D33" i="321"/>
  <c r="M33" i="333"/>
  <c r="N33" i="333" s="1"/>
  <c r="H36" i="321"/>
  <c r="G42" i="321"/>
  <c r="H42" i="321" s="1"/>
  <c r="N12" i="333"/>
  <c r="N15" i="333"/>
  <c r="N56" i="333"/>
  <c r="M13" i="333"/>
  <c r="N13" i="333" s="1"/>
  <c r="D13" i="321"/>
  <c r="C16" i="321"/>
  <c r="N55" i="333"/>
  <c r="D26" i="288"/>
  <c r="M26" i="332"/>
  <c r="N26" i="332" s="1"/>
  <c r="H28" i="321"/>
  <c r="G33" i="321"/>
  <c r="H33" i="321" s="1"/>
  <c r="N36" i="333"/>
  <c r="N37" i="333"/>
  <c r="N54" i="333"/>
  <c r="H10" i="321"/>
  <c r="G13" i="321"/>
  <c r="N51" i="333"/>
  <c r="N21" i="333"/>
  <c r="N53" i="333"/>
  <c r="N11" i="333"/>
  <c r="N8" i="333"/>
  <c r="N24" i="333"/>
  <c r="N64" i="333"/>
  <c r="N35" i="333"/>
  <c r="N72" i="333"/>
  <c r="N63" i="333"/>
  <c r="N74" i="333"/>
  <c r="N47" i="333"/>
  <c r="N67" i="333"/>
  <c r="N57" i="333"/>
  <c r="N65" i="333"/>
  <c r="G59" i="321"/>
  <c r="N32" i="333"/>
  <c r="M59" i="333"/>
  <c r="N59" i="333" s="1"/>
  <c r="D59" i="321"/>
  <c r="C61" i="321"/>
  <c r="N14" i="333"/>
  <c r="N10" i="333"/>
  <c r="D33" i="288"/>
  <c r="M33" i="332"/>
  <c r="N33" i="332" s="1"/>
  <c r="N23" i="333"/>
  <c r="N41" i="333"/>
  <c r="N25" i="333"/>
  <c r="G49" i="321"/>
  <c r="H49" i="321" s="1"/>
  <c r="H46" i="321"/>
  <c r="D26" i="321"/>
  <c r="M26" i="333"/>
  <c r="N26" i="333" s="1"/>
  <c r="N39" i="333"/>
  <c r="D42" i="321"/>
  <c r="M42" i="333"/>
  <c r="N42" i="333" s="1"/>
  <c r="N46" i="333"/>
  <c r="H20" i="321"/>
  <c r="G26" i="321"/>
  <c r="H26" i="321" s="1"/>
  <c r="M49" i="333"/>
  <c r="N49" i="333" s="1"/>
  <c r="D49" i="321"/>
  <c r="D26" i="287"/>
  <c r="K26" i="332"/>
  <c r="L26" i="332" s="1"/>
  <c r="D49" i="319"/>
  <c r="K49" i="333"/>
  <c r="L49" i="333" s="1"/>
  <c r="K59" i="333"/>
  <c r="L59" i="333" s="1"/>
  <c r="D59" i="319"/>
  <c r="C61" i="319"/>
  <c r="D42" i="319"/>
  <c r="K42" i="333"/>
  <c r="L42" i="333" s="1"/>
  <c r="G13" i="319"/>
  <c r="D59" i="287"/>
  <c r="K59" i="332"/>
  <c r="L59" i="332" s="1"/>
  <c r="H35" i="319"/>
  <c r="G42" i="319"/>
  <c r="H42" i="319" s="1"/>
  <c r="D42" i="287"/>
  <c r="K42" i="332"/>
  <c r="L42" i="332" s="1"/>
  <c r="H51" i="319"/>
  <c r="G59" i="319"/>
  <c r="H46" i="319"/>
  <c r="G49" i="319"/>
  <c r="H49" i="319" s="1"/>
  <c r="D33" i="287"/>
  <c r="K33" i="332"/>
  <c r="L33" i="332" s="1"/>
  <c r="L47" i="333"/>
  <c r="D26" i="319"/>
  <c r="K26" i="333"/>
  <c r="L26" i="333" s="1"/>
  <c r="K13" i="333"/>
  <c r="L13" i="333" s="1"/>
  <c r="D13" i="319"/>
  <c r="C16" i="319"/>
  <c r="H20" i="319"/>
  <c r="G26" i="319"/>
  <c r="H26" i="319" s="1"/>
  <c r="H28" i="319"/>
  <c r="G33" i="319"/>
  <c r="H33" i="319" s="1"/>
  <c r="D33" i="319"/>
  <c r="K33" i="333"/>
  <c r="L33" i="333" s="1"/>
  <c r="G33" i="317"/>
  <c r="H33" i="317" s="1"/>
  <c r="J54" i="333"/>
  <c r="J22" i="333"/>
  <c r="J30" i="333"/>
  <c r="J37" i="333"/>
  <c r="J20" i="333"/>
  <c r="J15" i="333"/>
  <c r="J32" i="333"/>
  <c r="J46" i="333"/>
  <c r="J29" i="333"/>
  <c r="J21" i="333"/>
  <c r="J13" i="332"/>
  <c r="D59" i="317"/>
  <c r="D42" i="317"/>
  <c r="I42" i="333"/>
  <c r="J42" i="333" s="1"/>
  <c r="J52" i="333"/>
  <c r="D33" i="317"/>
  <c r="I33" i="333"/>
  <c r="J33" i="333" s="1"/>
  <c r="D26" i="317"/>
  <c r="I26" i="333"/>
  <c r="J26" i="333" s="1"/>
  <c r="J56" i="333"/>
  <c r="J12" i="333"/>
  <c r="J55" i="333"/>
  <c r="H20" i="317"/>
  <c r="G26" i="317"/>
  <c r="H26" i="317" s="1"/>
  <c r="H35" i="317"/>
  <c r="G42" i="317"/>
  <c r="H42" i="317" s="1"/>
  <c r="J23" i="333"/>
  <c r="J53" i="333"/>
  <c r="H8" i="317"/>
  <c r="G59" i="317"/>
  <c r="D33" i="286"/>
  <c r="I33" i="332"/>
  <c r="J33" i="332" s="1"/>
  <c r="J35" i="333"/>
  <c r="J41" i="333"/>
  <c r="J31" i="333"/>
  <c r="J49" i="333"/>
  <c r="D49" i="286"/>
  <c r="I49" i="332"/>
  <c r="J49" i="332" s="1"/>
  <c r="H10" i="317"/>
  <c r="G13" i="317"/>
  <c r="J11" i="333"/>
  <c r="J8" i="333"/>
  <c r="J72" i="333"/>
  <c r="J64" i="333"/>
  <c r="J24" i="333"/>
  <c r="J57" i="333"/>
  <c r="J67" i="333"/>
  <c r="J47" i="333"/>
  <c r="J63" i="333"/>
  <c r="J74" i="333"/>
  <c r="J15" i="332"/>
  <c r="J48" i="333"/>
  <c r="J38" i="333"/>
  <c r="I13" i="333"/>
  <c r="J13" i="333" s="1"/>
  <c r="C16" i="317"/>
  <c r="D13" i="317"/>
  <c r="J39" i="333"/>
  <c r="J36" i="333"/>
  <c r="C61" i="317"/>
  <c r="D42" i="286"/>
  <c r="I42" i="332"/>
  <c r="J42" i="332" s="1"/>
  <c r="G49" i="317"/>
  <c r="H49" i="317" s="1"/>
  <c r="D26" i="286"/>
  <c r="I26" i="332"/>
  <c r="J26" i="332" s="1"/>
  <c r="J40" i="333"/>
  <c r="J14" i="333"/>
  <c r="J10" i="333"/>
  <c r="J58" i="333"/>
  <c r="J25" i="333"/>
  <c r="J59" i="333"/>
  <c r="H14" i="333"/>
  <c r="H11" i="333"/>
  <c r="H23" i="333"/>
  <c r="H40" i="333"/>
  <c r="D33" i="285"/>
  <c r="G33" i="332"/>
  <c r="H33" i="332" s="1"/>
  <c r="H36" i="333"/>
  <c r="H10" i="315"/>
  <c r="G13" i="315"/>
  <c r="H21" i="333"/>
  <c r="H32" i="333"/>
  <c r="G26" i="333"/>
  <c r="H26" i="333" s="1"/>
  <c r="D26" i="315"/>
  <c r="H35" i="333"/>
  <c r="H46" i="315"/>
  <c r="G49" i="315"/>
  <c r="H49" i="315" s="1"/>
  <c r="H10" i="333"/>
  <c r="H8" i="333"/>
  <c r="H51" i="333"/>
  <c r="H64" i="333"/>
  <c r="H72" i="333"/>
  <c r="H57" i="333"/>
  <c r="H63" i="333"/>
  <c r="H74" i="333"/>
  <c r="H67" i="333"/>
  <c r="H47" i="333"/>
  <c r="H24" i="333"/>
  <c r="G13" i="333"/>
  <c r="H13" i="333" s="1"/>
  <c r="C16" i="315"/>
  <c r="D13" i="315"/>
  <c r="D49" i="315"/>
  <c r="G49" i="333"/>
  <c r="H49" i="333" s="1"/>
  <c r="D26" i="285"/>
  <c r="G26" i="332"/>
  <c r="H26" i="332" s="1"/>
  <c r="D42" i="285"/>
  <c r="G42" i="332"/>
  <c r="H42" i="332" s="1"/>
  <c r="H55" i="333"/>
  <c r="H54" i="333"/>
  <c r="H28" i="315"/>
  <c r="G33" i="315"/>
  <c r="H33" i="315" s="1"/>
  <c r="H41" i="333"/>
  <c r="H46" i="333"/>
  <c r="H48" i="333"/>
  <c r="H31" i="333"/>
  <c r="H28" i="333"/>
  <c r="H37" i="333"/>
  <c r="H20" i="315"/>
  <c r="G26" i="315"/>
  <c r="H26" i="315" s="1"/>
  <c r="H39" i="333"/>
  <c r="G33" i="333"/>
  <c r="H33" i="333" s="1"/>
  <c r="D33" i="315"/>
  <c r="C61" i="315"/>
  <c r="H30" i="333"/>
  <c r="H58" i="333"/>
  <c r="H20" i="333"/>
  <c r="D42" i="315"/>
  <c r="G42" i="333"/>
  <c r="H42" i="333" s="1"/>
  <c r="G59" i="315"/>
  <c r="H53" i="333"/>
  <c r="D49" i="285"/>
  <c r="G49" i="332"/>
  <c r="H49" i="332" s="1"/>
  <c r="H22" i="333"/>
  <c r="H35" i="315"/>
  <c r="G42" i="315"/>
  <c r="H42" i="315" s="1"/>
  <c r="H25" i="333"/>
  <c r="H29" i="333"/>
  <c r="H12" i="333"/>
  <c r="F11" i="333"/>
  <c r="F20" i="333"/>
  <c r="F25" i="333"/>
  <c r="D42" i="284"/>
  <c r="E42" i="332"/>
  <c r="F42" i="332" s="1"/>
  <c r="F12" i="333"/>
  <c r="E59" i="333"/>
  <c r="F59" i="333" s="1"/>
  <c r="D59" i="313"/>
  <c r="C61" i="313"/>
  <c r="F56" i="333"/>
  <c r="F32" i="333"/>
  <c r="F30" i="333"/>
  <c r="F40" i="333"/>
  <c r="F10" i="333"/>
  <c r="H8" i="313"/>
  <c r="F15" i="333"/>
  <c r="F22" i="333"/>
  <c r="F39" i="333"/>
  <c r="F8" i="333"/>
  <c r="F57" i="333"/>
  <c r="F72" i="333"/>
  <c r="F47" i="333"/>
  <c r="F74" i="333"/>
  <c r="F63" i="333"/>
  <c r="F67" i="333"/>
  <c r="F64" i="333"/>
  <c r="F24" i="333"/>
  <c r="F65" i="333"/>
  <c r="F31" i="333"/>
  <c r="D33" i="313"/>
  <c r="E33" i="333"/>
  <c r="F33" i="333" s="1"/>
  <c r="F38" i="333"/>
  <c r="F41" i="333"/>
  <c r="F35" i="333"/>
  <c r="F46" i="333"/>
  <c r="F36" i="333"/>
  <c r="H28" i="313"/>
  <c r="G33" i="313"/>
  <c r="H33" i="313" s="1"/>
  <c r="F55" i="333"/>
  <c r="G42" i="313"/>
  <c r="H42" i="313" s="1"/>
  <c r="F14" i="333"/>
  <c r="D26" i="284"/>
  <c r="E26" i="332"/>
  <c r="F26" i="332" s="1"/>
  <c r="D26" i="313"/>
  <c r="E26" i="333"/>
  <c r="F26" i="333" s="1"/>
  <c r="F28" i="333"/>
  <c r="F29" i="333"/>
  <c r="E13" i="333"/>
  <c r="F13" i="333" s="1"/>
  <c r="C16" i="313"/>
  <c r="D13" i="313"/>
  <c r="F48" i="333"/>
  <c r="F21" i="333"/>
  <c r="D33" i="284"/>
  <c r="E33" i="332"/>
  <c r="F33" i="332" s="1"/>
  <c r="H51" i="313"/>
  <c r="G59" i="313"/>
  <c r="H20" i="313"/>
  <c r="G26" i="313"/>
  <c r="H26" i="313" s="1"/>
  <c r="F52" i="333"/>
  <c r="D28" i="332"/>
  <c r="D26" i="283"/>
  <c r="C26" i="332"/>
  <c r="D30" i="332"/>
  <c r="D31" i="332"/>
  <c r="H52" i="334"/>
  <c r="G60" i="334"/>
  <c r="H47" i="334"/>
  <c r="G50" i="334"/>
  <c r="H50" i="334" s="1"/>
  <c r="C43" i="334"/>
  <c r="D43" i="334" s="1"/>
  <c r="G36" i="334"/>
  <c r="D49" i="283"/>
  <c r="C49" i="332"/>
  <c r="C60" i="334"/>
  <c r="D60" i="334" s="1"/>
  <c r="C50" i="334"/>
  <c r="D50" i="334" s="1"/>
  <c r="D33" i="311"/>
  <c r="C33" i="333"/>
  <c r="H21" i="334"/>
  <c r="C34" i="334"/>
  <c r="D34" i="334" s="1"/>
  <c r="G29" i="334"/>
  <c r="C27" i="334"/>
  <c r="D27" i="334" s="1"/>
  <c r="G23" i="334"/>
  <c r="H23" i="334" s="1"/>
  <c r="D26" i="311"/>
  <c r="C26" i="333"/>
  <c r="D42" i="311"/>
  <c r="C42" i="333"/>
  <c r="D59" i="332"/>
  <c r="D29" i="332"/>
  <c r="D42" i="283"/>
  <c r="C42" i="332"/>
  <c r="D33" i="283"/>
  <c r="C33" i="332"/>
  <c r="F15" i="332"/>
  <c r="J12" i="332"/>
  <c r="L14" i="332"/>
  <c r="F10" i="332"/>
  <c r="L15" i="332"/>
  <c r="F12" i="332"/>
  <c r="L12" i="332"/>
  <c r="D13" i="333"/>
  <c r="C14" i="334"/>
  <c r="D11" i="334"/>
  <c r="G11" i="334"/>
  <c r="V15" i="333"/>
  <c r="X12" i="332"/>
  <c r="D13" i="332"/>
  <c r="L57" i="332"/>
  <c r="L47" i="332"/>
  <c r="L20" i="332"/>
  <c r="L53" i="332"/>
  <c r="L52" i="332"/>
  <c r="L74" i="332"/>
  <c r="L38" i="332"/>
  <c r="L46" i="332"/>
  <c r="L37" i="332"/>
  <c r="L41" i="332"/>
  <c r="L35" i="332"/>
  <c r="L8" i="332"/>
  <c r="L32" i="332"/>
  <c r="L29" i="332"/>
  <c r="L58" i="332"/>
  <c r="L56" i="332"/>
  <c r="L28" i="332"/>
  <c r="L67" i="332"/>
  <c r="L23" i="332"/>
  <c r="L48" i="332"/>
  <c r="L25" i="332"/>
  <c r="L24" i="332"/>
  <c r="L36" i="332"/>
  <c r="L63" i="332"/>
  <c r="L55" i="332"/>
  <c r="L40" i="332"/>
  <c r="L22" i="332"/>
  <c r="L51" i="332"/>
  <c r="L72" i="332"/>
  <c r="L31" i="332"/>
  <c r="L21" i="332"/>
  <c r="L64" i="332"/>
  <c r="L30" i="332"/>
  <c r="L54" i="332"/>
  <c r="L49" i="332"/>
  <c r="L39" i="332"/>
  <c r="L65" i="332"/>
  <c r="L10" i="332"/>
  <c r="X11" i="332"/>
  <c r="D10" i="333"/>
  <c r="F23" i="332"/>
  <c r="F74" i="332"/>
  <c r="F58" i="332"/>
  <c r="F21" i="332"/>
  <c r="F8" i="332"/>
  <c r="F39" i="332"/>
  <c r="F56" i="332"/>
  <c r="F38" i="332"/>
  <c r="F20" i="332"/>
  <c r="F67" i="332"/>
  <c r="F30" i="332"/>
  <c r="F54" i="332"/>
  <c r="F37" i="332"/>
  <c r="F49" i="332"/>
  <c r="F51" i="332"/>
  <c r="F35" i="332"/>
  <c r="F65" i="332"/>
  <c r="F48" i="332"/>
  <c r="F28" i="332"/>
  <c r="F64" i="332"/>
  <c r="F25" i="332"/>
  <c r="F47" i="332"/>
  <c r="F52" i="332"/>
  <c r="F24" i="332"/>
  <c r="F46" i="332"/>
  <c r="F72" i="332"/>
  <c r="F59" i="332"/>
  <c r="F22" i="332"/>
  <c r="F36" i="332"/>
  <c r="F31" i="332"/>
  <c r="F32" i="332"/>
  <c r="F63" i="332"/>
  <c r="F41" i="332"/>
  <c r="F40" i="332"/>
  <c r="F53" i="332"/>
  <c r="F55" i="332"/>
  <c r="F29" i="332"/>
  <c r="F57" i="332"/>
  <c r="J23" i="332"/>
  <c r="J59" i="332"/>
  <c r="J40" i="332"/>
  <c r="J22" i="332"/>
  <c r="J21" i="332"/>
  <c r="J54" i="332"/>
  <c r="J57" i="332"/>
  <c r="J39" i="332"/>
  <c r="J52" i="332"/>
  <c r="J56" i="332"/>
  <c r="J38" i="332"/>
  <c r="J20" i="332"/>
  <c r="J48" i="332"/>
  <c r="J72" i="332"/>
  <c r="J55" i="332"/>
  <c r="J37" i="332"/>
  <c r="J41" i="332"/>
  <c r="J51" i="332"/>
  <c r="J36" i="332"/>
  <c r="J35" i="332"/>
  <c r="J74" i="332"/>
  <c r="J29" i="332"/>
  <c r="J64" i="332"/>
  <c r="J32" i="332"/>
  <c r="J67" i="332"/>
  <c r="J47" i="332"/>
  <c r="J28" i="332"/>
  <c r="J65" i="332"/>
  <c r="J46" i="332"/>
  <c r="J8" i="332"/>
  <c r="J63" i="332"/>
  <c r="J25" i="332"/>
  <c r="J30" i="332"/>
  <c r="J24" i="332"/>
  <c r="J58" i="332"/>
  <c r="J31" i="332"/>
  <c r="J53" i="332"/>
  <c r="J11" i="332"/>
  <c r="J14" i="332"/>
  <c r="F11" i="332"/>
  <c r="V12" i="332"/>
  <c r="V56" i="332"/>
  <c r="V22" i="332"/>
  <c r="V37" i="332"/>
  <c r="V51" i="332"/>
  <c r="V67" i="332"/>
  <c r="V40" i="332"/>
  <c r="V47" i="332"/>
  <c r="V35" i="332"/>
  <c r="V28" i="332"/>
  <c r="V31" i="332"/>
  <c r="V74" i="332"/>
  <c r="V53" i="332"/>
  <c r="V36" i="332"/>
  <c r="V63" i="332"/>
  <c r="V46" i="332"/>
  <c r="V55" i="332"/>
  <c r="V24" i="332"/>
  <c r="V54" i="332"/>
  <c r="V25" i="332"/>
  <c r="V72" i="332"/>
  <c r="V48" i="332"/>
  <c r="V58" i="332"/>
  <c r="V65" i="332"/>
  <c r="V57" i="332"/>
  <c r="V38" i="332"/>
  <c r="V8" i="332"/>
  <c r="V23" i="332"/>
  <c r="V64" i="332"/>
  <c r="V32" i="332"/>
  <c r="V21" i="332"/>
  <c r="V41" i="332"/>
  <c r="V20" i="332"/>
  <c r="V30" i="332"/>
  <c r="V52" i="332"/>
  <c r="V29" i="332"/>
  <c r="V39" i="332"/>
  <c r="D68" i="334"/>
  <c r="D53" i="334"/>
  <c r="D32" i="334"/>
  <c r="D48" i="334"/>
  <c r="D41" i="334"/>
  <c r="D9" i="334"/>
  <c r="D33" i="334"/>
  <c r="D73" i="334"/>
  <c r="D75" i="334"/>
  <c r="D22" i="334"/>
  <c r="D65" i="334"/>
  <c r="D49" i="334"/>
  <c r="D23" i="334"/>
  <c r="D25" i="334"/>
  <c r="D26" i="334"/>
  <c r="D54" i="334"/>
  <c r="D42" i="334"/>
  <c r="D31" i="334"/>
  <c r="D30" i="334"/>
  <c r="D24" i="334"/>
  <c r="G9" i="334"/>
  <c r="D58" i="334"/>
  <c r="D37" i="334"/>
  <c r="D38" i="334"/>
  <c r="D52" i="334"/>
  <c r="D39" i="334"/>
  <c r="D64" i="334"/>
  <c r="D29" i="334"/>
  <c r="D57" i="334"/>
  <c r="D47" i="334"/>
  <c r="D36" i="334"/>
  <c r="D40" i="334"/>
  <c r="D56" i="334"/>
  <c r="D55" i="334"/>
  <c r="D59" i="334"/>
  <c r="D21" i="334"/>
  <c r="D15" i="333"/>
  <c r="D22" i="333"/>
  <c r="D59" i="333"/>
  <c r="D64" i="333"/>
  <c r="D8" i="333"/>
  <c r="D52" i="333"/>
  <c r="D25" i="333"/>
  <c r="D21" i="333"/>
  <c r="D36" i="333"/>
  <c r="D54" i="333"/>
  <c r="D46" i="333"/>
  <c r="D74" i="333"/>
  <c r="D55" i="333"/>
  <c r="D67" i="333"/>
  <c r="D72" i="333"/>
  <c r="D20" i="333"/>
  <c r="D63" i="333"/>
  <c r="D24" i="333"/>
  <c r="D47" i="333"/>
  <c r="D32" i="333"/>
  <c r="D49" i="333"/>
  <c r="D58" i="333"/>
  <c r="D40" i="333"/>
  <c r="D38" i="333"/>
  <c r="D53" i="333"/>
  <c r="D48" i="333"/>
  <c r="D57" i="333"/>
  <c r="D37" i="333"/>
  <c r="D35" i="333"/>
  <c r="D30" i="333"/>
  <c r="D29" i="333"/>
  <c r="D51" i="333"/>
  <c r="D28" i="333"/>
  <c r="D39" i="333"/>
  <c r="D31" i="333"/>
  <c r="D56" i="333"/>
  <c r="D41" i="333"/>
  <c r="D23" i="333"/>
  <c r="V10" i="332"/>
  <c r="G12" i="334"/>
  <c r="H12" i="334" s="1"/>
  <c r="D12" i="334"/>
  <c r="G16" i="334"/>
  <c r="H16" i="334" s="1"/>
  <c r="D16" i="334"/>
  <c r="D13" i="334"/>
  <c r="D14" i="333"/>
  <c r="V15" i="332"/>
  <c r="V37" i="333"/>
  <c r="V72" i="333"/>
  <c r="V47" i="333"/>
  <c r="V49" i="333"/>
  <c r="V24" i="333"/>
  <c r="V35" i="333"/>
  <c r="V38" i="333"/>
  <c r="V28" i="333"/>
  <c r="V40" i="333"/>
  <c r="V25" i="333"/>
  <c r="V8" i="333"/>
  <c r="V21" i="333"/>
  <c r="V23" i="333"/>
  <c r="V32" i="333"/>
  <c r="V67" i="333"/>
  <c r="V58" i="333"/>
  <c r="V55" i="333"/>
  <c r="V59" i="333"/>
  <c r="V52" i="333"/>
  <c r="V22" i="333"/>
  <c r="V64" i="333"/>
  <c r="V48" i="333"/>
  <c r="V57" i="333"/>
  <c r="V29" i="333"/>
  <c r="V56" i="333"/>
  <c r="V41" i="333"/>
  <c r="V30" i="333"/>
  <c r="V20" i="333"/>
  <c r="V53" i="333"/>
  <c r="V39" i="333"/>
  <c r="V31" i="333"/>
  <c r="V46" i="333"/>
  <c r="V63" i="333"/>
  <c r="V51" i="333"/>
  <c r="V54" i="333"/>
  <c r="V74" i="333"/>
  <c r="V36" i="333"/>
  <c r="V12" i="333"/>
  <c r="V11" i="333"/>
  <c r="X53" i="332"/>
  <c r="X67" i="332"/>
  <c r="X52" i="332"/>
  <c r="X38" i="332"/>
  <c r="X22" i="332"/>
  <c r="X8" i="332"/>
  <c r="X46" i="332"/>
  <c r="X65" i="332"/>
  <c r="X51" i="332"/>
  <c r="X37" i="332"/>
  <c r="X20" i="332"/>
  <c r="X24" i="332"/>
  <c r="X64" i="332"/>
  <c r="X35" i="332"/>
  <c r="X74" i="332"/>
  <c r="X59" i="332"/>
  <c r="X47" i="332"/>
  <c r="X29" i="332"/>
  <c r="X39" i="332"/>
  <c r="X31" i="332"/>
  <c r="X57" i="332"/>
  <c r="X28" i="332"/>
  <c r="X56" i="332"/>
  <c r="X25" i="332"/>
  <c r="X63" i="332"/>
  <c r="X54" i="332"/>
  <c r="X23" i="332"/>
  <c r="X48" i="332"/>
  <c r="X40" i="332"/>
  <c r="X72" i="332"/>
  <c r="X30" i="332"/>
  <c r="X32" i="332"/>
  <c r="X58" i="332"/>
  <c r="X41" i="332"/>
  <c r="X36" i="332"/>
  <c r="X55" i="332"/>
  <c r="X21" i="332"/>
  <c r="X15" i="332"/>
  <c r="G15" i="334"/>
  <c r="H15" i="334" s="1"/>
  <c r="D15" i="334"/>
  <c r="D12" i="333"/>
  <c r="V14" i="332"/>
  <c r="D11" i="333"/>
  <c r="D12" i="332"/>
  <c r="V10" i="333"/>
  <c r="D59" i="329"/>
  <c r="C61" i="329"/>
  <c r="G42" i="329"/>
  <c r="H42" i="329" s="1"/>
  <c r="G49" i="329"/>
  <c r="H49" i="329" s="1"/>
  <c r="G13" i="329"/>
  <c r="D13" i="329"/>
  <c r="C16" i="329"/>
  <c r="U16" i="333" s="1"/>
  <c r="V16" i="333" s="1"/>
  <c r="H20" i="329"/>
  <c r="G26" i="329"/>
  <c r="H26" i="329" s="1"/>
  <c r="G33" i="329"/>
  <c r="H33" i="329" s="1"/>
  <c r="H31" i="329"/>
  <c r="H51" i="329"/>
  <c r="G59" i="329"/>
  <c r="D59" i="311"/>
  <c r="C61" i="311"/>
  <c r="H20" i="311"/>
  <c r="G26" i="311"/>
  <c r="H26" i="311" s="1"/>
  <c r="G59" i="311"/>
  <c r="D13" i="311"/>
  <c r="C16" i="311"/>
  <c r="C16" i="333" s="1"/>
  <c r="H35" i="311"/>
  <c r="G42" i="311"/>
  <c r="G13" i="311"/>
  <c r="H10" i="311"/>
  <c r="G33" i="311"/>
  <c r="H33" i="311" s="1"/>
  <c r="H31" i="311"/>
  <c r="G49" i="311"/>
  <c r="H49" i="311" s="1"/>
  <c r="G49" i="285"/>
  <c r="H49" i="285" s="1"/>
  <c r="G59" i="291"/>
  <c r="H59" i="291" s="1"/>
  <c r="G49" i="290"/>
  <c r="H49" i="290" s="1"/>
  <c r="G33" i="289"/>
  <c r="H33" i="289" s="1"/>
  <c r="G65" i="284"/>
  <c r="H65" i="284" s="1"/>
  <c r="G33" i="291"/>
  <c r="H33" i="291" s="1"/>
  <c r="H28" i="291"/>
  <c r="H36" i="291"/>
  <c r="G42" i="291"/>
  <c r="H42" i="291" s="1"/>
  <c r="G26" i="291"/>
  <c r="H26" i="291" s="1"/>
  <c r="H20" i="291"/>
  <c r="G13" i="291"/>
  <c r="H10" i="291"/>
  <c r="D13" i="291"/>
  <c r="C16" i="291"/>
  <c r="S16" i="332" s="1"/>
  <c r="T16" i="332" s="1"/>
  <c r="H46" i="291"/>
  <c r="G49" i="291"/>
  <c r="H49" i="291" s="1"/>
  <c r="C61" i="291"/>
  <c r="H20" i="290"/>
  <c r="G26" i="290"/>
  <c r="H26" i="290" s="1"/>
  <c r="H28" i="290"/>
  <c r="G33" i="290"/>
  <c r="H33" i="290" s="1"/>
  <c r="C61" i="290"/>
  <c r="D59" i="290"/>
  <c r="D13" i="290"/>
  <c r="C16" i="290"/>
  <c r="Q16" i="332" s="1"/>
  <c r="R16" i="332" s="1"/>
  <c r="G42" i="290"/>
  <c r="H42" i="290" s="1"/>
  <c r="H51" i="290"/>
  <c r="G59" i="290"/>
  <c r="H10" i="290"/>
  <c r="G13" i="290"/>
  <c r="O16" i="332"/>
  <c r="P16" i="332" s="1"/>
  <c r="G59" i="289"/>
  <c r="H59" i="289" s="1"/>
  <c r="G42" i="289"/>
  <c r="H42" i="289" s="1"/>
  <c r="G49" i="289"/>
  <c r="H49" i="289" s="1"/>
  <c r="G26" i="289"/>
  <c r="H26" i="289" s="1"/>
  <c r="G26" i="285"/>
  <c r="H26" i="285" s="1"/>
  <c r="H20" i="285"/>
  <c r="H52" i="285"/>
  <c r="G59" i="285"/>
  <c r="C61" i="285"/>
  <c r="D59" i="285"/>
  <c r="H35" i="285"/>
  <c r="G42" i="285"/>
  <c r="H42" i="285" s="1"/>
  <c r="H28" i="285"/>
  <c r="G33" i="285"/>
  <c r="H33" i="285" s="1"/>
  <c r="G65" i="292"/>
  <c r="H65" i="292" s="1"/>
  <c r="G65" i="283"/>
  <c r="H65" i="283" s="1"/>
  <c r="G59" i="292"/>
  <c r="H59" i="292" s="1"/>
  <c r="D28" i="293"/>
  <c r="C33" i="293"/>
  <c r="D33" i="293" s="1"/>
  <c r="H8" i="292"/>
  <c r="H46" i="292"/>
  <c r="G49" i="292"/>
  <c r="H49" i="292" s="1"/>
  <c r="G42" i="292"/>
  <c r="H42" i="292" s="1"/>
  <c r="H10" i="292"/>
  <c r="G13" i="292"/>
  <c r="C16" i="292"/>
  <c r="W16" i="332" s="1"/>
  <c r="X16" i="332" s="1"/>
  <c r="D13" i="292"/>
  <c r="C61" i="292"/>
  <c r="H20" i="292"/>
  <c r="G26" i="292"/>
  <c r="H26" i="292" s="1"/>
  <c r="H28" i="292"/>
  <c r="G33" i="292"/>
  <c r="H33" i="292" s="1"/>
  <c r="G13" i="288"/>
  <c r="H12" i="288"/>
  <c r="H36" i="288"/>
  <c r="G42" i="288"/>
  <c r="H42" i="288" s="1"/>
  <c r="C61" i="288"/>
  <c r="H46" i="288"/>
  <c r="G49" i="288"/>
  <c r="H49" i="288" s="1"/>
  <c r="H20" i="288"/>
  <c r="G26" i="288"/>
  <c r="H26" i="288" s="1"/>
  <c r="G33" i="288"/>
  <c r="H33" i="288" s="1"/>
  <c r="C16" i="288"/>
  <c r="M16" i="332" s="1"/>
  <c r="N16" i="332" s="1"/>
  <c r="D13" i="288"/>
  <c r="G26" i="287"/>
  <c r="H26" i="287" s="1"/>
  <c r="H22" i="287"/>
  <c r="C61" i="287"/>
  <c r="G65" i="287"/>
  <c r="H65" i="287" s="1"/>
  <c r="H64" i="287"/>
  <c r="G13" i="287"/>
  <c r="H12" i="287"/>
  <c r="G59" i="287"/>
  <c r="C16" i="287"/>
  <c r="K16" i="332" s="1"/>
  <c r="L16" i="332" s="1"/>
  <c r="D13" i="287"/>
  <c r="H28" i="287"/>
  <c r="G33" i="287"/>
  <c r="H33" i="287" s="1"/>
  <c r="H35" i="287"/>
  <c r="G42" i="287"/>
  <c r="H42" i="287" s="1"/>
  <c r="H20" i="286"/>
  <c r="G26" i="286"/>
  <c r="H26" i="286" s="1"/>
  <c r="H8" i="286"/>
  <c r="H51" i="286"/>
  <c r="G59" i="286"/>
  <c r="H28" i="286"/>
  <c r="G33" i="286"/>
  <c r="H33" i="286" s="1"/>
  <c r="H35" i="286"/>
  <c r="G42" i="286"/>
  <c r="H42" i="286" s="1"/>
  <c r="D59" i="286"/>
  <c r="C61" i="286"/>
  <c r="D13" i="286"/>
  <c r="C16" i="286"/>
  <c r="I16" i="332" s="1"/>
  <c r="J16" i="332" s="1"/>
  <c r="G49" i="286"/>
  <c r="H49" i="286" s="1"/>
  <c r="H46" i="286"/>
  <c r="H10" i="286"/>
  <c r="G13" i="286"/>
  <c r="H20" i="284"/>
  <c r="G26" i="284"/>
  <c r="H26" i="284" s="1"/>
  <c r="G33" i="284"/>
  <c r="H33" i="284" s="1"/>
  <c r="H31" i="284"/>
  <c r="D13" i="284"/>
  <c r="C16" i="284"/>
  <c r="E16" i="332" s="1"/>
  <c r="F16" i="332" s="1"/>
  <c r="H10" i="284"/>
  <c r="G13" i="284"/>
  <c r="H35" i="284"/>
  <c r="G42" i="284"/>
  <c r="H42" i="284" s="1"/>
  <c r="G49" i="284"/>
  <c r="H49" i="284" s="1"/>
  <c r="D59" i="284"/>
  <c r="C61" i="284"/>
  <c r="H51" i="284"/>
  <c r="G59" i="284"/>
  <c r="C65" i="293"/>
  <c r="D65" i="293" s="1"/>
  <c r="H28" i="278"/>
  <c r="G33" i="278"/>
  <c r="H33" i="278" s="1"/>
  <c r="D41" i="293"/>
  <c r="D67" i="293"/>
  <c r="D63" i="293"/>
  <c r="C42" i="293"/>
  <c r="D42" i="293" s="1"/>
  <c r="D35" i="293"/>
  <c r="D74" i="293"/>
  <c r="D56" i="293"/>
  <c r="G56" i="293"/>
  <c r="H56" i="293" s="1"/>
  <c r="D32" i="293"/>
  <c r="G32" i="293"/>
  <c r="H32" i="293" s="1"/>
  <c r="D12" i="293"/>
  <c r="D25" i="293"/>
  <c r="G25" i="293"/>
  <c r="H25" i="293" s="1"/>
  <c r="D31" i="293"/>
  <c r="D38" i="293"/>
  <c r="G38" i="293"/>
  <c r="H38" i="293" s="1"/>
  <c r="D10" i="293"/>
  <c r="C13" i="293"/>
  <c r="G10" i="293"/>
  <c r="D39" i="293"/>
  <c r="G39" i="293"/>
  <c r="H39" i="293" s="1"/>
  <c r="G65" i="293"/>
  <c r="H65" i="293" s="1"/>
  <c r="H63" i="293"/>
  <c r="H28" i="293"/>
  <c r="G59" i="283"/>
  <c r="H51" i="283"/>
  <c r="H20" i="283"/>
  <c r="G26" i="283"/>
  <c r="H26" i="283" s="1"/>
  <c r="D52" i="293"/>
  <c r="G52" i="293"/>
  <c r="H52" i="293" s="1"/>
  <c r="H10" i="283"/>
  <c r="G13" i="283"/>
  <c r="D20" i="293"/>
  <c r="C26" i="293"/>
  <c r="D26" i="293" s="1"/>
  <c r="G20" i="293"/>
  <c r="D40" i="293"/>
  <c r="G40" i="293"/>
  <c r="H40" i="293" s="1"/>
  <c r="D36" i="293"/>
  <c r="G36" i="293"/>
  <c r="H36" i="293" s="1"/>
  <c r="D11" i="293"/>
  <c r="G11" i="293"/>
  <c r="H11" i="293" s="1"/>
  <c r="G49" i="283"/>
  <c r="H49" i="283" s="1"/>
  <c r="H46" i="283"/>
  <c r="D48" i="293"/>
  <c r="G48" i="293"/>
  <c r="H48" i="293" s="1"/>
  <c r="D59" i="283"/>
  <c r="C61" i="283"/>
  <c r="D54" i="293"/>
  <c r="G54" i="293"/>
  <c r="H54" i="293" s="1"/>
  <c r="C16" i="283"/>
  <c r="C16" i="332" s="1"/>
  <c r="D13" i="283"/>
  <c r="D55" i="293"/>
  <c r="G55" i="293"/>
  <c r="H55" i="293" s="1"/>
  <c r="D8" i="293"/>
  <c r="D15" i="293"/>
  <c r="D24" i="293"/>
  <c r="D57" i="293"/>
  <c r="D47" i="293"/>
  <c r="D72" i="293"/>
  <c r="G8" i="293"/>
  <c r="H8" i="293" s="1"/>
  <c r="G42" i="283"/>
  <c r="H42" i="283" s="1"/>
  <c r="D51" i="293"/>
  <c r="C59" i="293"/>
  <c r="G51" i="293"/>
  <c r="G33" i="283"/>
  <c r="H33" i="283" s="1"/>
  <c r="D53" i="293"/>
  <c r="D14" i="293"/>
  <c r="G14" i="293"/>
  <c r="H14" i="293" s="1"/>
  <c r="D30" i="293"/>
  <c r="D46" i="293"/>
  <c r="C49" i="293"/>
  <c r="D49" i="293" s="1"/>
  <c r="G46" i="293"/>
  <c r="D58" i="293"/>
  <c r="G58" i="293"/>
  <c r="H58" i="293" s="1"/>
  <c r="D23" i="293"/>
  <c r="G23" i="293"/>
  <c r="H23" i="293" s="1"/>
  <c r="D37" i="293"/>
  <c r="G37" i="293"/>
  <c r="H37" i="293" s="1"/>
  <c r="H8" i="283"/>
  <c r="D21" i="293"/>
  <c r="G21" i="293"/>
  <c r="H21" i="293" s="1"/>
  <c r="H35" i="293"/>
  <c r="D29" i="293"/>
  <c r="D22" i="293"/>
  <c r="G22" i="293"/>
  <c r="H22" i="293" s="1"/>
  <c r="D64" i="293"/>
  <c r="F61" i="278"/>
  <c r="F18" i="278"/>
  <c r="AI49" i="333" l="1"/>
  <c r="AJ49" i="333" s="1"/>
  <c r="AI33" i="332"/>
  <c r="AJ33" i="332" s="1"/>
  <c r="AI42" i="333"/>
  <c r="AJ42" i="333" s="1"/>
  <c r="AI65" i="332"/>
  <c r="AJ65" i="332" s="1"/>
  <c r="AI33" i="333"/>
  <c r="AJ33" i="333" s="1"/>
  <c r="AI59" i="333"/>
  <c r="AJ59" i="333" s="1"/>
  <c r="AI26" i="333"/>
  <c r="AJ26" i="333" s="1"/>
  <c r="AI13" i="333"/>
  <c r="AJ13" i="333" s="1"/>
  <c r="D65" i="333"/>
  <c r="AI65" i="333"/>
  <c r="AJ65" i="333" s="1"/>
  <c r="P65" i="333"/>
  <c r="D65" i="332"/>
  <c r="D42" i="333"/>
  <c r="D33" i="333"/>
  <c r="D26" i="333"/>
  <c r="G16" i="289"/>
  <c r="H13" i="289"/>
  <c r="G16" i="323"/>
  <c r="H13" i="323"/>
  <c r="C18" i="285"/>
  <c r="G18" i="332" s="1"/>
  <c r="H18" i="332" s="1"/>
  <c r="D16" i="285"/>
  <c r="H13" i="285"/>
  <c r="O16" i="333"/>
  <c r="P16" i="333" s="1"/>
  <c r="G16" i="313"/>
  <c r="H16" i="313" s="1"/>
  <c r="C18" i="331"/>
  <c r="W16" i="333"/>
  <c r="X16" i="333" s="1"/>
  <c r="D16" i="331"/>
  <c r="D61" i="331"/>
  <c r="W61" i="333"/>
  <c r="X61" i="333" s="1"/>
  <c r="G61" i="331"/>
  <c r="H61" i="331" s="1"/>
  <c r="H13" i="331"/>
  <c r="G16" i="331"/>
  <c r="D61" i="292"/>
  <c r="W61" i="332"/>
  <c r="X61" i="332" s="1"/>
  <c r="D61" i="329"/>
  <c r="U61" i="333"/>
  <c r="V61" i="333" s="1"/>
  <c r="S16" i="333"/>
  <c r="T16" i="333" s="1"/>
  <c r="D16" i="327"/>
  <c r="C18" i="327"/>
  <c r="D61" i="291"/>
  <c r="S61" i="332"/>
  <c r="T61" i="332" s="1"/>
  <c r="H59" i="327"/>
  <c r="G61" i="327"/>
  <c r="G16" i="327"/>
  <c r="H13" i="327"/>
  <c r="D61" i="327"/>
  <c r="S61" i="333"/>
  <c r="T61" i="333" s="1"/>
  <c r="D16" i="325"/>
  <c r="Q16" i="333"/>
  <c r="R16" i="333" s="1"/>
  <c r="C18" i="325"/>
  <c r="D61" i="325"/>
  <c r="Q61" i="333"/>
  <c r="R61" i="333" s="1"/>
  <c r="G16" i="325"/>
  <c r="H13" i="325"/>
  <c r="D61" i="290"/>
  <c r="Q61" i="332"/>
  <c r="R61" i="332" s="1"/>
  <c r="H59" i="325"/>
  <c r="G61" i="325"/>
  <c r="H61" i="325" s="1"/>
  <c r="G61" i="323"/>
  <c r="O61" i="332"/>
  <c r="P61" i="332" s="1"/>
  <c r="O61" i="333"/>
  <c r="P61" i="333" s="1"/>
  <c r="M16" i="333"/>
  <c r="N16" i="333" s="1"/>
  <c r="D16" i="321"/>
  <c r="C18" i="321"/>
  <c r="D61" i="321"/>
  <c r="M61" i="333"/>
  <c r="N61" i="333" s="1"/>
  <c r="H13" i="321"/>
  <c r="G16" i="321"/>
  <c r="H59" i="321"/>
  <c r="G61" i="321"/>
  <c r="D61" i="288"/>
  <c r="M61" i="332"/>
  <c r="N61" i="332" s="1"/>
  <c r="AJ12" i="332"/>
  <c r="D61" i="319"/>
  <c r="K61" i="333"/>
  <c r="L61" i="333" s="1"/>
  <c r="K16" i="333"/>
  <c r="L16" i="333" s="1"/>
  <c r="D16" i="319"/>
  <c r="C18" i="319"/>
  <c r="D61" i="287"/>
  <c r="K61" i="332"/>
  <c r="L61" i="332" s="1"/>
  <c r="G61" i="319"/>
  <c r="H59" i="319"/>
  <c r="G16" i="319"/>
  <c r="H13" i="319"/>
  <c r="AJ11" i="333"/>
  <c r="C18" i="317"/>
  <c r="D16" i="317"/>
  <c r="I16" i="333"/>
  <c r="J16" i="333" s="1"/>
  <c r="G16" i="317"/>
  <c r="H13" i="317"/>
  <c r="D61" i="286"/>
  <c r="I61" i="332"/>
  <c r="J61" i="332" s="1"/>
  <c r="H59" i="317"/>
  <c r="G61" i="317"/>
  <c r="H61" i="317" s="1"/>
  <c r="D61" i="317"/>
  <c r="I61" i="333"/>
  <c r="J61" i="333" s="1"/>
  <c r="H59" i="315"/>
  <c r="G61" i="315"/>
  <c r="H61" i="315" s="1"/>
  <c r="G16" i="333"/>
  <c r="H16" i="333" s="1"/>
  <c r="D16" i="315"/>
  <c r="C18" i="315"/>
  <c r="D61" i="285"/>
  <c r="G61" i="332"/>
  <c r="H61" i="332" s="1"/>
  <c r="D61" i="315"/>
  <c r="G61" i="333"/>
  <c r="H61" i="333" s="1"/>
  <c r="G16" i="315"/>
  <c r="H13" i="315"/>
  <c r="D61" i="284"/>
  <c r="E61" i="332"/>
  <c r="F61" i="332" s="1"/>
  <c r="C18" i="313"/>
  <c r="D16" i="313"/>
  <c r="E16" i="333"/>
  <c r="F16" i="333" s="1"/>
  <c r="D61" i="313"/>
  <c r="E61" i="333"/>
  <c r="F61" i="333" s="1"/>
  <c r="H59" i="313"/>
  <c r="G61" i="313"/>
  <c r="H61" i="313" s="1"/>
  <c r="AJ14" i="332"/>
  <c r="D61" i="283"/>
  <c r="C61" i="332"/>
  <c r="D61" i="311"/>
  <c r="C61" i="333"/>
  <c r="C62" i="334"/>
  <c r="D62" i="334" s="1"/>
  <c r="H60" i="334"/>
  <c r="H29" i="334"/>
  <c r="G34" i="334"/>
  <c r="H34" i="334" s="1"/>
  <c r="D49" i="332"/>
  <c r="AJ12" i="333"/>
  <c r="D33" i="332"/>
  <c r="G27" i="334"/>
  <c r="H27" i="334" s="1"/>
  <c r="H36" i="334"/>
  <c r="G43" i="334"/>
  <c r="H43" i="334" s="1"/>
  <c r="D42" i="332"/>
  <c r="D26" i="332"/>
  <c r="AJ15" i="332"/>
  <c r="AJ10" i="332"/>
  <c r="H9" i="334"/>
  <c r="D14" i="334"/>
  <c r="C17" i="334"/>
  <c r="AJ8" i="333"/>
  <c r="AJ30" i="333"/>
  <c r="AJ35" i="333"/>
  <c r="AJ40" i="333"/>
  <c r="AJ24" i="333"/>
  <c r="AJ25" i="333"/>
  <c r="AJ52" i="333"/>
  <c r="AJ56" i="333"/>
  <c r="AJ41" i="333"/>
  <c r="AJ63" i="333"/>
  <c r="AJ32" i="333"/>
  <c r="AJ54" i="333"/>
  <c r="AJ28" i="333"/>
  <c r="AJ31" i="333"/>
  <c r="AJ64" i="333"/>
  <c r="AJ20" i="333"/>
  <c r="AJ67" i="333"/>
  <c r="AJ21" i="333"/>
  <c r="AJ38" i="333"/>
  <c r="AJ48" i="333"/>
  <c r="AJ58" i="333"/>
  <c r="AJ36" i="333"/>
  <c r="AJ29" i="333"/>
  <c r="AJ37" i="333"/>
  <c r="AJ55" i="333"/>
  <c r="AJ74" i="333"/>
  <c r="AJ46" i="333"/>
  <c r="AJ51" i="333"/>
  <c r="AJ47" i="333"/>
  <c r="AJ23" i="333"/>
  <c r="AJ57" i="333"/>
  <c r="AJ53" i="333"/>
  <c r="AJ72" i="333"/>
  <c r="AJ22" i="333"/>
  <c r="AJ39" i="333"/>
  <c r="AJ15" i="333"/>
  <c r="AJ10" i="333"/>
  <c r="AJ54" i="332"/>
  <c r="AJ38" i="332"/>
  <c r="AJ21" i="332"/>
  <c r="AJ52" i="332"/>
  <c r="AJ35" i="332"/>
  <c r="AJ20" i="332"/>
  <c r="AJ74" i="332"/>
  <c r="AJ48" i="332"/>
  <c r="AJ72" i="332"/>
  <c r="AJ47" i="332"/>
  <c r="AJ32" i="332"/>
  <c r="AJ64" i="332"/>
  <c r="AJ30" i="332"/>
  <c r="AJ8" i="332"/>
  <c r="AJ41" i="332"/>
  <c r="AJ25" i="332"/>
  <c r="AJ39" i="332"/>
  <c r="AJ29" i="332"/>
  <c r="AJ23" i="332"/>
  <c r="AJ63" i="332"/>
  <c r="AJ57" i="332"/>
  <c r="AJ67" i="332"/>
  <c r="AJ28" i="332"/>
  <c r="AJ37" i="332"/>
  <c r="AJ56" i="332"/>
  <c r="AJ53" i="332"/>
  <c r="AJ24" i="332"/>
  <c r="AJ22" i="332"/>
  <c r="AJ58" i="332"/>
  <c r="AJ36" i="332"/>
  <c r="AJ31" i="332"/>
  <c r="AJ46" i="332"/>
  <c r="AJ40" i="332"/>
  <c r="AJ55" i="332"/>
  <c r="AJ51" i="332"/>
  <c r="D16" i="332"/>
  <c r="D16" i="333"/>
  <c r="G14" i="334"/>
  <c r="H11" i="334"/>
  <c r="AJ14" i="333"/>
  <c r="G61" i="329"/>
  <c r="H61" i="329" s="1"/>
  <c r="H59" i="329"/>
  <c r="D16" i="329"/>
  <c r="C18" i="329"/>
  <c r="U18" i="333" s="1"/>
  <c r="V18" i="333" s="1"/>
  <c r="G16" i="329"/>
  <c r="H13" i="329"/>
  <c r="G16" i="311"/>
  <c r="H13" i="311"/>
  <c r="D16" i="311"/>
  <c r="C18" i="311"/>
  <c r="C18" i="333" s="1"/>
  <c r="G61" i="311"/>
  <c r="H59" i="311"/>
  <c r="H42" i="311"/>
  <c r="G61" i="291"/>
  <c r="H61" i="291" s="1"/>
  <c r="D16" i="291"/>
  <c r="C18" i="291"/>
  <c r="S18" i="332" s="1"/>
  <c r="T18" i="332" s="1"/>
  <c r="H13" i="291"/>
  <c r="G16" i="291"/>
  <c r="G16" i="290"/>
  <c r="H13" i="290"/>
  <c r="D16" i="290"/>
  <c r="C18" i="290"/>
  <c r="Q18" i="332" s="1"/>
  <c r="R18" i="332" s="1"/>
  <c r="H59" i="290"/>
  <c r="G61" i="290"/>
  <c r="H61" i="290" s="1"/>
  <c r="G61" i="289"/>
  <c r="O18" i="332"/>
  <c r="P18" i="332" s="1"/>
  <c r="G18" i="285"/>
  <c r="H16" i="285"/>
  <c r="H59" i="285"/>
  <c r="G61" i="285"/>
  <c r="G61" i="292"/>
  <c r="H61" i="292" s="1"/>
  <c r="G16" i="292"/>
  <c r="H13" i="292"/>
  <c r="D16" i="292"/>
  <c r="C18" i="292"/>
  <c r="W18" i="332" s="1"/>
  <c r="X18" i="332" s="1"/>
  <c r="D16" i="288"/>
  <c r="C18" i="288"/>
  <c r="M18" i="332" s="1"/>
  <c r="N18" i="332" s="1"/>
  <c r="G61" i="288"/>
  <c r="G16" i="288"/>
  <c r="H13" i="288"/>
  <c r="G16" i="287"/>
  <c r="H13" i="287"/>
  <c r="G61" i="287"/>
  <c r="H61" i="287" s="1"/>
  <c r="H59" i="287"/>
  <c r="D16" i="287"/>
  <c r="C18" i="287"/>
  <c r="K18" i="332" s="1"/>
  <c r="L18" i="332" s="1"/>
  <c r="G61" i="286"/>
  <c r="H61" i="286" s="1"/>
  <c r="H59" i="286"/>
  <c r="D16" i="286"/>
  <c r="C18" i="286"/>
  <c r="I18" i="332" s="1"/>
  <c r="J18" i="332" s="1"/>
  <c r="H13" i="286"/>
  <c r="G16" i="286"/>
  <c r="D16" i="284"/>
  <c r="C18" i="284"/>
  <c r="E18" i="332" s="1"/>
  <c r="F18" i="332" s="1"/>
  <c r="G16" i="284"/>
  <c r="H13" i="284"/>
  <c r="H59" i="284"/>
  <c r="G61" i="284"/>
  <c r="G33" i="293"/>
  <c r="H33" i="293" s="1"/>
  <c r="G42" i="293"/>
  <c r="H42" i="293" s="1"/>
  <c r="H20" i="293"/>
  <c r="G26" i="293"/>
  <c r="H26" i="293" s="1"/>
  <c r="D16" i="283"/>
  <c r="C18" i="283"/>
  <c r="C18" i="332" s="1"/>
  <c r="G13" i="293"/>
  <c r="H10" i="293"/>
  <c r="H46" i="293"/>
  <c r="G49" i="293"/>
  <c r="H49" i="293" s="1"/>
  <c r="H51" i="293"/>
  <c r="G59" i="293"/>
  <c r="H59" i="283"/>
  <c r="G61" i="283"/>
  <c r="H61" i="283" s="1"/>
  <c r="C16" i="293"/>
  <c r="D13" i="293"/>
  <c r="C61" i="293"/>
  <c r="D61" i="293" s="1"/>
  <c r="D59" i="293"/>
  <c r="G16" i="283"/>
  <c r="H13" i="283"/>
  <c r="E44" i="278"/>
  <c r="E69" i="278"/>
  <c r="E76" i="278" s="1"/>
  <c r="AI61" i="333" l="1"/>
  <c r="AJ61" i="333" s="1"/>
  <c r="AI16" i="333"/>
  <c r="AJ16" i="333" s="1"/>
  <c r="H61" i="289"/>
  <c r="G18" i="289"/>
  <c r="H16" i="289"/>
  <c r="H61" i="323"/>
  <c r="G18" i="323"/>
  <c r="H16" i="323"/>
  <c r="D18" i="285"/>
  <c r="C69" i="285"/>
  <c r="G69" i="332" s="1"/>
  <c r="G76" i="332" s="1"/>
  <c r="H76" i="332" s="1"/>
  <c r="C44" i="285"/>
  <c r="G44" i="332" s="1"/>
  <c r="H44" i="332" s="1"/>
  <c r="O18" i="333"/>
  <c r="P18" i="333" s="1"/>
  <c r="G18" i="313"/>
  <c r="G69" i="313" s="1"/>
  <c r="W18" i="333"/>
  <c r="X18" i="333" s="1"/>
  <c r="C44" i="331"/>
  <c r="D18" i="331"/>
  <c r="C69" i="331"/>
  <c r="G18" i="331"/>
  <c r="H16" i="331"/>
  <c r="S18" i="333"/>
  <c r="T18" i="333" s="1"/>
  <c r="C44" i="327"/>
  <c r="D18" i="327"/>
  <c r="C69" i="327"/>
  <c r="G18" i="327"/>
  <c r="G69" i="327" s="1"/>
  <c r="H16" i="327"/>
  <c r="H61" i="327"/>
  <c r="H16" i="325"/>
  <c r="G18" i="325"/>
  <c r="Q18" i="333"/>
  <c r="R18" i="333" s="1"/>
  <c r="D18" i="325"/>
  <c r="C69" i="325"/>
  <c r="C44" i="325"/>
  <c r="O69" i="333"/>
  <c r="H61" i="321"/>
  <c r="M18" i="333"/>
  <c r="N18" i="333" s="1"/>
  <c r="C44" i="321"/>
  <c r="D18" i="321"/>
  <c r="C69" i="321"/>
  <c r="G18" i="321"/>
  <c r="G69" i="321" s="1"/>
  <c r="H16" i="321"/>
  <c r="H61" i="319"/>
  <c r="D18" i="319"/>
  <c r="C69" i="319"/>
  <c r="K18" i="333"/>
  <c r="L18" i="333" s="1"/>
  <c r="C44" i="319"/>
  <c r="G18" i="319"/>
  <c r="G69" i="319" s="1"/>
  <c r="H16" i="319"/>
  <c r="H16" i="317"/>
  <c r="G18" i="317"/>
  <c r="I18" i="333"/>
  <c r="J18" i="333" s="1"/>
  <c r="C44" i="317"/>
  <c r="D18" i="317"/>
  <c r="C69" i="317"/>
  <c r="G18" i="333"/>
  <c r="H18" i="333" s="1"/>
  <c r="C69" i="315"/>
  <c r="D18" i="315"/>
  <c r="C44" i="315"/>
  <c r="G18" i="315"/>
  <c r="H16" i="315"/>
  <c r="E18" i="333"/>
  <c r="F18" i="333" s="1"/>
  <c r="C44" i="313"/>
  <c r="D18" i="313"/>
  <c r="C69" i="313"/>
  <c r="E69" i="333" s="1"/>
  <c r="G62" i="334"/>
  <c r="H62" i="334" s="1"/>
  <c r="D61" i="333"/>
  <c r="D61" i="332"/>
  <c r="D18" i="333"/>
  <c r="D17" i="334"/>
  <c r="C19" i="334"/>
  <c r="D18" i="332"/>
  <c r="G17" i="334"/>
  <c r="H14" i="334"/>
  <c r="E70" i="278"/>
  <c r="F70" i="278" s="1"/>
  <c r="C69" i="329"/>
  <c r="U69" i="333" s="1"/>
  <c r="C44" i="329"/>
  <c r="D18" i="329"/>
  <c r="G18" i="329"/>
  <c r="H16" i="329"/>
  <c r="D18" i="311"/>
  <c r="C69" i="311"/>
  <c r="C69" i="333" s="1"/>
  <c r="C44" i="311"/>
  <c r="G18" i="311"/>
  <c r="G69" i="311" s="1"/>
  <c r="H16" i="311"/>
  <c r="H61" i="311"/>
  <c r="D18" i="291"/>
  <c r="C44" i="291"/>
  <c r="C69" i="291"/>
  <c r="S69" i="332" s="1"/>
  <c r="G18" i="291"/>
  <c r="H16" i="291"/>
  <c r="D18" i="290"/>
  <c r="C44" i="290"/>
  <c r="C69" i="290"/>
  <c r="Q69" i="332" s="1"/>
  <c r="G18" i="290"/>
  <c r="H16" i="290"/>
  <c r="O69" i="332"/>
  <c r="G44" i="285"/>
  <c r="H44" i="285" s="1"/>
  <c r="H18" i="285"/>
  <c r="G69" i="285"/>
  <c r="H61" i="285"/>
  <c r="D18" i="292"/>
  <c r="C44" i="292"/>
  <c r="C69" i="292"/>
  <c r="W69" i="332" s="1"/>
  <c r="H16" i="292"/>
  <c r="G18" i="292"/>
  <c r="H16" i="288"/>
  <c r="G18" i="288"/>
  <c r="G69" i="288" s="1"/>
  <c r="H61" i="288"/>
  <c r="D18" i="288"/>
  <c r="C44" i="288"/>
  <c r="C69" i="288"/>
  <c r="M69" i="332" s="1"/>
  <c r="D18" i="287"/>
  <c r="C69" i="287"/>
  <c r="K69" i="332" s="1"/>
  <c r="K76" i="332" s="1"/>
  <c r="C44" i="287"/>
  <c r="G18" i="287"/>
  <c r="H16" i="287"/>
  <c r="D18" i="286"/>
  <c r="C44" i="286"/>
  <c r="C69" i="286"/>
  <c r="I69" i="332" s="1"/>
  <c r="H16" i="286"/>
  <c r="G18" i="286"/>
  <c r="G18" i="284"/>
  <c r="G69" i="284" s="1"/>
  <c r="H16" i="284"/>
  <c r="D18" i="284"/>
  <c r="C44" i="284"/>
  <c r="C69" i="284"/>
  <c r="E69" i="332" s="1"/>
  <c r="H61" i="284"/>
  <c r="H16" i="283"/>
  <c r="G18" i="283"/>
  <c r="D16" i="293"/>
  <c r="C18" i="293"/>
  <c r="C44" i="283"/>
  <c r="D18" i="283"/>
  <c r="C69" i="283"/>
  <c r="C69" i="332" s="1"/>
  <c r="H59" i="293"/>
  <c r="G61" i="293"/>
  <c r="G16" i="293"/>
  <c r="H13" i="293"/>
  <c r="F44" i="278"/>
  <c r="F69" i="278"/>
  <c r="AI18" i="333" l="1"/>
  <c r="AJ18" i="333" s="1"/>
  <c r="H18" i="289"/>
  <c r="G44" i="289"/>
  <c r="H44" i="289" s="1"/>
  <c r="G69" i="289"/>
  <c r="H69" i="332"/>
  <c r="H18" i="323"/>
  <c r="G44" i="323"/>
  <c r="H44" i="323" s="1"/>
  <c r="G69" i="323"/>
  <c r="BW118" i="142"/>
  <c r="D44" i="285"/>
  <c r="C76" i="285"/>
  <c r="D76" i="285" s="1"/>
  <c r="C70" i="285"/>
  <c r="G70" i="332" s="1"/>
  <c r="H70" i="332" s="1"/>
  <c r="D69" i="285"/>
  <c r="O44" i="333"/>
  <c r="P44" i="333" s="1"/>
  <c r="G44" i="313"/>
  <c r="H44" i="313" s="1"/>
  <c r="H18" i="313"/>
  <c r="W69" i="333"/>
  <c r="C70" i="331"/>
  <c r="D69" i="331"/>
  <c r="C76" i="331"/>
  <c r="D76" i="331" s="1"/>
  <c r="G44" i="331"/>
  <c r="H44" i="331" s="1"/>
  <c r="H18" i="331"/>
  <c r="G69" i="331"/>
  <c r="D44" i="331"/>
  <c r="W44" i="333"/>
  <c r="X44" i="333" s="1"/>
  <c r="G44" i="327"/>
  <c r="H44" i="327" s="1"/>
  <c r="H18" i="327"/>
  <c r="G76" i="327"/>
  <c r="H76" i="327" s="1"/>
  <c r="G70" i="327"/>
  <c r="H70" i="327" s="1"/>
  <c r="H69" i="327"/>
  <c r="S69" i="333"/>
  <c r="C70" i="327"/>
  <c r="D69" i="327"/>
  <c r="C76" i="327"/>
  <c r="D76" i="327" s="1"/>
  <c r="S44" i="333"/>
  <c r="T44" i="333" s="1"/>
  <c r="D44" i="327"/>
  <c r="Q69" i="333"/>
  <c r="C76" i="325"/>
  <c r="D76" i="325" s="1"/>
  <c r="C70" i="325"/>
  <c r="D69" i="325"/>
  <c r="Q44" i="333"/>
  <c r="R44" i="333" s="1"/>
  <c r="D44" i="325"/>
  <c r="G44" i="325"/>
  <c r="H44" i="325" s="1"/>
  <c r="H18" i="325"/>
  <c r="G69" i="325"/>
  <c r="P69" i="333"/>
  <c r="O76" i="333"/>
  <c r="P76" i="333" s="1"/>
  <c r="O70" i="333"/>
  <c r="P70" i="333" s="1"/>
  <c r="G44" i="321"/>
  <c r="H44" i="321" s="1"/>
  <c r="H18" i="321"/>
  <c r="M69" i="333"/>
  <c r="C76" i="321"/>
  <c r="D76" i="321" s="1"/>
  <c r="C70" i="321"/>
  <c r="D69" i="321"/>
  <c r="G76" i="321"/>
  <c r="H76" i="321" s="1"/>
  <c r="G70" i="321"/>
  <c r="H70" i="321" s="1"/>
  <c r="H69" i="321"/>
  <c r="D44" i="321"/>
  <c r="M44" i="333"/>
  <c r="N44" i="333" s="1"/>
  <c r="G70" i="319"/>
  <c r="H70" i="319" s="1"/>
  <c r="G76" i="319"/>
  <c r="H76" i="319" s="1"/>
  <c r="H69" i="319"/>
  <c r="D44" i="319"/>
  <c r="K44" i="333"/>
  <c r="L44" i="333" s="1"/>
  <c r="K69" i="333"/>
  <c r="D69" i="319"/>
  <c r="C70" i="319"/>
  <c r="C76" i="319"/>
  <c r="D76" i="319" s="1"/>
  <c r="G44" i="319"/>
  <c r="H44" i="319" s="1"/>
  <c r="H18" i="319"/>
  <c r="I69" i="333"/>
  <c r="D69" i="317"/>
  <c r="C76" i="317"/>
  <c r="D76" i="317" s="1"/>
  <c r="C70" i="317"/>
  <c r="D44" i="317"/>
  <c r="I44" i="333"/>
  <c r="J44" i="333" s="1"/>
  <c r="G69" i="317"/>
  <c r="G44" i="317"/>
  <c r="H44" i="317" s="1"/>
  <c r="H18" i="317"/>
  <c r="G44" i="315"/>
  <c r="H44" i="315" s="1"/>
  <c r="G69" i="315"/>
  <c r="H18" i="315"/>
  <c r="D44" i="315"/>
  <c r="G44" i="333"/>
  <c r="H44" i="333" s="1"/>
  <c r="G69" i="333"/>
  <c r="D69" i="315"/>
  <c r="C76" i="315"/>
  <c r="D76" i="315" s="1"/>
  <c r="C70" i="315"/>
  <c r="E44" i="333"/>
  <c r="F44" i="333" s="1"/>
  <c r="D44" i="313"/>
  <c r="G76" i="313"/>
  <c r="H76" i="313" s="1"/>
  <c r="H69" i="313"/>
  <c r="G70" i="313"/>
  <c r="H70" i="313" s="1"/>
  <c r="C76" i="313"/>
  <c r="D76" i="313" s="1"/>
  <c r="C70" i="313"/>
  <c r="D69" i="313"/>
  <c r="BW119" i="142"/>
  <c r="CE118" i="142"/>
  <c r="CE119" i="142"/>
  <c r="CM118" i="142"/>
  <c r="CM119" i="142"/>
  <c r="D44" i="286"/>
  <c r="I44" i="332"/>
  <c r="J44" i="332" s="1"/>
  <c r="D44" i="287"/>
  <c r="K44" i="332"/>
  <c r="L44" i="332" s="1"/>
  <c r="X69" i="332"/>
  <c r="W76" i="332"/>
  <c r="X76" i="332" s="1"/>
  <c r="D19" i="334"/>
  <c r="C70" i="334"/>
  <c r="C45" i="334"/>
  <c r="D45" i="334" s="1"/>
  <c r="D44" i="292"/>
  <c r="W44" i="332"/>
  <c r="X44" i="332" s="1"/>
  <c r="D44" i="311"/>
  <c r="C44" i="333"/>
  <c r="D69" i="333"/>
  <c r="C76" i="333"/>
  <c r="E76" i="332"/>
  <c r="F76" i="332" s="1"/>
  <c r="F69" i="332"/>
  <c r="D44" i="284"/>
  <c r="E44" i="332"/>
  <c r="F44" i="332" s="1"/>
  <c r="L69" i="332"/>
  <c r="L76" i="332"/>
  <c r="Q76" i="332"/>
  <c r="R76" i="332" s="1"/>
  <c r="R69" i="332"/>
  <c r="P69" i="332"/>
  <c r="O76" i="332"/>
  <c r="P76" i="332" s="1"/>
  <c r="D44" i="290"/>
  <c r="Q44" i="332"/>
  <c r="R44" i="332" s="1"/>
  <c r="N69" i="332"/>
  <c r="M76" i="332"/>
  <c r="N76" i="332" s="1"/>
  <c r="S76" i="332"/>
  <c r="T76" i="332" s="1"/>
  <c r="T69" i="332"/>
  <c r="D44" i="288"/>
  <c r="M44" i="332"/>
  <c r="N44" i="332" s="1"/>
  <c r="O44" i="332"/>
  <c r="P44" i="332" s="1"/>
  <c r="D44" i="291"/>
  <c r="S44" i="332"/>
  <c r="T44" i="332" s="1"/>
  <c r="D44" i="329"/>
  <c r="U44" i="333"/>
  <c r="V44" i="333" s="1"/>
  <c r="H17" i="334"/>
  <c r="G19" i="334"/>
  <c r="C76" i="332"/>
  <c r="D69" i="332"/>
  <c r="D44" i="283"/>
  <c r="C44" i="332"/>
  <c r="J69" i="332"/>
  <c r="I76" i="332"/>
  <c r="J76" i="332" s="1"/>
  <c r="U76" i="333"/>
  <c r="V76" i="333" s="1"/>
  <c r="V69" i="333"/>
  <c r="G44" i="329"/>
  <c r="H44" i="329" s="1"/>
  <c r="G69" i="329"/>
  <c r="H18" i="329"/>
  <c r="C70" i="329"/>
  <c r="D69" i="329"/>
  <c r="C76" i="329"/>
  <c r="D76" i="329" s="1"/>
  <c r="D69" i="311"/>
  <c r="C76" i="311"/>
  <c r="D76" i="311" s="1"/>
  <c r="C70" i="311"/>
  <c r="G76" i="311"/>
  <c r="H76" i="311" s="1"/>
  <c r="H69" i="311"/>
  <c r="G70" i="311"/>
  <c r="H70" i="311" s="1"/>
  <c r="H18" i="311"/>
  <c r="G44" i="311"/>
  <c r="H44" i="311" s="1"/>
  <c r="D69" i="291"/>
  <c r="C76" i="291"/>
  <c r="D76" i="291" s="1"/>
  <c r="C70" i="291"/>
  <c r="G44" i="291"/>
  <c r="H44" i="291" s="1"/>
  <c r="G69" i="291"/>
  <c r="H18" i="291"/>
  <c r="C76" i="290"/>
  <c r="D76" i="290" s="1"/>
  <c r="D69" i="290"/>
  <c r="C70" i="290"/>
  <c r="G44" i="290"/>
  <c r="H44" i="290" s="1"/>
  <c r="H18" i="290"/>
  <c r="G69" i="290"/>
  <c r="G76" i="285"/>
  <c r="H76" i="285" s="1"/>
  <c r="G70" i="285"/>
  <c r="H70" i="285" s="1"/>
  <c r="H69" i="285"/>
  <c r="G69" i="292"/>
  <c r="G44" i="292"/>
  <c r="H44" i="292" s="1"/>
  <c r="H18" i="292"/>
  <c r="C76" i="292"/>
  <c r="D76" i="292" s="1"/>
  <c r="C70" i="292"/>
  <c r="D69" i="292"/>
  <c r="G70" i="288"/>
  <c r="H70" i="288" s="1"/>
  <c r="G76" i="288"/>
  <c r="H76" i="288" s="1"/>
  <c r="H69" i="288"/>
  <c r="C70" i="288"/>
  <c r="C76" i="288"/>
  <c r="D76" i="288" s="1"/>
  <c r="D69" i="288"/>
  <c r="G44" i="288"/>
  <c r="H44" i="288" s="1"/>
  <c r="H18" i="288"/>
  <c r="H18" i="287"/>
  <c r="G44" i="287"/>
  <c r="H44" i="287" s="1"/>
  <c r="G69" i="287"/>
  <c r="C76" i="287"/>
  <c r="D76" i="287" s="1"/>
  <c r="C70" i="287"/>
  <c r="D69" i="287"/>
  <c r="G69" i="286"/>
  <c r="G44" i="286"/>
  <c r="H44" i="286" s="1"/>
  <c r="H18" i="286"/>
  <c r="D69" i="286"/>
  <c r="C70" i="286"/>
  <c r="C76" i="286"/>
  <c r="D76" i="286" s="1"/>
  <c r="G76" i="284"/>
  <c r="H76" i="284" s="1"/>
  <c r="G70" i="284"/>
  <c r="H70" i="284" s="1"/>
  <c r="H69" i="284"/>
  <c r="D69" i="284"/>
  <c r="C70" i="284"/>
  <c r="C76" i="284"/>
  <c r="D76" i="284" s="1"/>
  <c r="G44" i="284"/>
  <c r="H44" i="284" s="1"/>
  <c r="H18" i="284"/>
  <c r="H61" i="293"/>
  <c r="C76" i="283"/>
  <c r="D76" i="283" s="1"/>
  <c r="C70" i="283"/>
  <c r="D69" i="283"/>
  <c r="H18" i="283"/>
  <c r="G69" i="283"/>
  <c r="G44" i="283"/>
  <c r="H44" i="283" s="1"/>
  <c r="G18" i="293"/>
  <c r="G69" i="293" s="1"/>
  <c r="H16" i="293"/>
  <c r="C69" i="293"/>
  <c r="D18" i="293"/>
  <c r="C44" i="293"/>
  <c r="D44" i="293" s="1"/>
  <c r="F76" i="278"/>
  <c r="AI44" i="333" l="1"/>
  <c r="AJ44" i="333" s="1"/>
  <c r="AI69" i="333"/>
  <c r="AJ69" i="333" s="1"/>
  <c r="H69" i="289"/>
  <c r="G70" i="289"/>
  <c r="H70" i="289" s="1"/>
  <c r="G76" i="289"/>
  <c r="H76" i="289" s="1"/>
  <c r="H69" i="323"/>
  <c r="G76" i="323"/>
  <c r="H76" i="323" s="1"/>
  <c r="G70" i="323"/>
  <c r="H70" i="323" s="1"/>
  <c r="D70" i="285"/>
  <c r="X69" i="333"/>
  <c r="W76" i="333"/>
  <c r="X76" i="333" s="1"/>
  <c r="H69" i="331"/>
  <c r="G70" i="331"/>
  <c r="H70" i="331" s="1"/>
  <c r="G76" i="331"/>
  <c r="H76" i="331" s="1"/>
  <c r="W70" i="333"/>
  <c r="X70" i="333" s="1"/>
  <c r="D70" i="331"/>
  <c r="T69" i="333"/>
  <c r="S76" i="333"/>
  <c r="T76" i="333" s="1"/>
  <c r="D70" i="327"/>
  <c r="S70" i="333"/>
  <c r="T70" i="333" s="1"/>
  <c r="D70" i="325"/>
  <c r="Q70" i="333"/>
  <c r="R70" i="333" s="1"/>
  <c r="G76" i="325"/>
  <c r="H76" i="325" s="1"/>
  <c r="H69" i="325"/>
  <c r="G70" i="325"/>
  <c r="H70" i="325" s="1"/>
  <c r="R69" i="333"/>
  <c r="Q76" i="333"/>
  <c r="R76" i="333" s="1"/>
  <c r="D70" i="321"/>
  <c r="M70" i="333"/>
  <c r="N70" i="333" s="1"/>
  <c r="M76" i="333"/>
  <c r="N76" i="333" s="1"/>
  <c r="N69" i="333"/>
  <c r="K70" i="333"/>
  <c r="L70" i="333" s="1"/>
  <c r="D70" i="319"/>
  <c r="L69" i="333"/>
  <c r="K76" i="333"/>
  <c r="L76" i="333" s="1"/>
  <c r="H69" i="317"/>
  <c r="G70" i="317"/>
  <c r="H70" i="317" s="1"/>
  <c r="G76" i="317"/>
  <c r="H76" i="317" s="1"/>
  <c r="J69" i="333"/>
  <c r="I76" i="333"/>
  <c r="J76" i="333" s="1"/>
  <c r="I70" i="333"/>
  <c r="J70" i="333" s="1"/>
  <c r="D70" i="317"/>
  <c r="H69" i="333"/>
  <c r="G76" i="333"/>
  <c r="H76" i="333" s="1"/>
  <c r="D70" i="315"/>
  <c r="G70" i="333"/>
  <c r="H70" i="333" s="1"/>
  <c r="G76" i="315"/>
  <c r="H76" i="315" s="1"/>
  <c r="G70" i="315"/>
  <c r="H70" i="315" s="1"/>
  <c r="H69" i="315"/>
  <c r="E76" i="333"/>
  <c r="F76" i="333" s="1"/>
  <c r="F69" i="333"/>
  <c r="D70" i="313"/>
  <c r="E70" i="333"/>
  <c r="F70" i="333" s="1"/>
  <c r="D70" i="284"/>
  <c r="E70" i="332"/>
  <c r="F70" i="332" s="1"/>
  <c r="D76" i="332"/>
  <c r="D70" i="334"/>
  <c r="C71" i="334"/>
  <c r="D71" i="334" s="1"/>
  <c r="C77" i="334"/>
  <c r="D77" i="334" s="1"/>
  <c r="D70" i="283"/>
  <c r="C70" i="332"/>
  <c r="D76" i="333"/>
  <c r="D70" i="292"/>
  <c r="W70" i="332"/>
  <c r="X70" i="332" s="1"/>
  <c r="D70" i="287"/>
  <c r="K70" i="332"/>
  <c r="L70" i="332" s="1"/>
  <c r="O70" i="332"/>
  <c r="P70" i="332" s="1"/>
  <c r="D70" i="286"/>
  <c r="I70" i="332"/>
  <c r="J70" i="332" s="1"/>
  <c r="D70" i="311"/>
  <c r="C70" i="333"/>
  <c r="G70" i="334"/>
  <c r="G45" i="334"/>
  <c r="H45" i="334" s="1"/>
  <c r="H19" i="334"/>
  <c r="D44" i="333"/>
  <c r="D70" i="288"/>
  <c r="M70" i="332"/>
  <c r="N70" i="332" s="1"/>
  <c r="D70" i="290"/>
  <c r="Q70" i="332"/>
  <c r="R70" i="332" s="1"/>
  <c r="D44" i="332"/>
  <c r="D70" i="291"/>
  <c r="S70" i="332"/>
  <c r="T70" i="332" s="1"/>
  <c r="D70" i="329"/>
  <c r="U70" i="333"/>
  <c r="V70" i="333" s="1"/>
  <c r="H69" i="329"/>
  <c r="G70" i="329"/>
  <c r="H70" i="329" s="1"/>
  <c r="G76" i="329"/>
  <c r="H76" i="329" s="1"/>
  <c r="G76" i="291"/>
  <c r="H76" i="291" s="1"/>
  <c r="H69" i="291"/>
  <c r="G70" i="291"/>
  <c r="H70" i="291" s="1"/>
  <c r="G76" i="290"/>
  <c r="H76" i="290" s="1"/>
  <c r="H69" i="290"/>
  <c r="G70" i="290"/>
  <c r="H70" i="290" s="1"/>
  <c r="G70" i="292"/>
  <c r="H70" i="292" s="1"/>
  <c r="G76" i="292"/>
  <c r="H76" i="292" s="1"/>
  <c r="H69" i="292"/>
  <c r="H69" i="287"/>
  <c r="G76" i="287"/>
  <c r="H76" i="287" s="1"/>
  <c r="G70" i="287"/>
  <c r="H70" i="287" s="1"/>
  <c r="G76" i="286"/>
  <c r="H76" i="286" s="1"/>
  <c r="G70" i="286"/>
  <c r="H70" i="286" s="1"/>
  <c r="H69" i="286"/>
  <c r="G70" i="293"/>
  <c r="H70" i="293" s="1"/>
  <c r="G76" i="293"/>
  <c r="H76" i="293" s="1"/>
  <c r="H69" i="293"/>
  <c r="H69" i="283"/>
  <c r="G70" i="283"/>
  <c r="H70" i="283" s="1"/>
  <c r="G76" i="283"/>
  <c r="H76" i="283" s="1"/>
  <c r="D69" i="293"/>
  <c r="C70" i="293"/>
  <c r="D70" i="293" s="1"/>
  <c r="C76" i="293"/>
  <c r="D76" i="293" s="1"/>
  <c r="G44" i="293"/>
  <c r="H44" i="293" s="1"/>
  <c r="H18" i="293"/>
  <c r="CE258" i="142"/>
  <c r="CE259" i="142"/>
  <c r="AI76" i="333" l="1"/>
  <c r="AJ76" i="333" s="1"/>
  <c r="AI70" i="333"/>
  <c r="AJ70" i="333" s="1"/>
  <c r="CE114" i="142"/>
  <c r="BW117" i="142"/>
  <c r="CM112" i="142"/>
  <c r="BW112" i="142"/>
  <c r="CE113" i="142"/>
  <c r="CM117" i="142"/>
  <c r="CE116" i="142"/>
  <c r="CE117" i="142"/>
  <c r="BO115" i="142"/>
  <c r="C115" i="142" s="1"/>
  <c r="CM116" i="142"/>
  <c r="CM111" i="142"/>
  <c r="BO114" i="142"/>
  <c r="CM115" i="142"/>
  <c r="BW116" i="142"/>
  <c r="CE112" i="142"/>
  <c r="D70" i="333"/>
  <c r="BO116" i="142"/>
  <c r="D70" i="332"/>
  <c r="G77" i="334"/>
  <c r="H77" i="334" s="1"/>
  <c r="G71" i="334"/>
  <c r="H71" i="334" s="1"/>
  <c r="H70" i="334"/>
  <c r="CM113" i="142"/>
  <c r="BW115" i="142"/>
  <c r="BW111" i="142"/>
  <c r="BW114" i="142"/>
  <c r="CM114" i="142"/>
  <c r="CE115" i="142"/>
  <c r="CE111" i="142"/>
  <c r="BW113" i="142"/>
  <c r="C114" i="142" l="1"/>
  <c r="C116" i="142"/>
  <c r="CE110" i="142"/>
  <c r="BO290" i="142" l="1"/>
  <c r="BO291" i="142"/>
  <c r="BO292" i="142"/>
  <c r="BO293" i="142"/>
  <c r="BO294" i="142"/>
  <c r="BO295" i="142"/>
  <c r="BO285" i="142" l="1"/>
  <c r="BO286" i="142"/>
  <c r="BO287" i="142"/>
  <c r="BO288" i="142"/>
  <c r="BO289" i="142"/>
  <c r="BO269" i="142"/>
  <c r="BO270" i="142"/>
  <c r="BO271" i="142"/>
  <c r="BO272" i="142"/>
  <c r="BO273" i="142"/>
  <c r="BO274" i="142"/>
  <c r="BO275" i="142"/>
  <c r="BO276" i="142"/>
  <c r="BO277" i="142"/>
  <c r="BO278" i="142"/>
  <c r="BO279" i="142"/>
  <c r="BO253" i="142"/>
  <c r="BO254" i="142"/>
  <c r="BO255" i="142"/>
  <c r="BO256" i="142"/>
  <c r="BO257" i="142"/>
  <c r="BO258" i="142"/>
  <c r="BO259" i="142"/>
  <c r="BO260" i="142"/>
  <c r="BO261" i="142"/>
  <c r="BO262" i="142"/>
  <c r="BO263" i="142"/>
  <c r="BW285" i="142"/>
  <c r="BW286" i="142"/>
  <c r="BW287" i="142"/>
  <c r="BW288" i="142"/>
  <c r="BW289" i="142"/>
  <c r="BW290" i="142"/>
  <c r="BW291" i="142"/>
  <c r="BW292" i="142"/>
  <c r="BW293" i="142"/>
  <c r="BW294" i="142"/>
  <c r="BW295" i="142"/>
  <c r="BW269" i="142"/>
  <c r="BW270" i="142"/>
  <c r="BW271" i="142"/>
  <c r="BW272" i="142"/>
  <c r="BW273" i="142"/>
  <c r="BW274" i="142"/>
  <c r="BW275" i="142"/>
  <c r="BW276" i="142"/>
  <c r="BW277" i="142"/>
  <c r="BW278" i="142"/>
  <c r="BW279" i="142"/>
  <c r="BW253" i="142"/>
  <c r="BW254" i="142"/>
  <c r="BW255" i="142"/>
  <c r="BW256" i="142"/>
  <c r="BW257" i="142"/>
  <c r="BW258" i="142"/>
  <c r="BW259" i="142"/>
  <c r="BW260" i="142"/>
  <c r="BW261" i="142"/>
  <c r="BW262" i="142"/>
  <c r="BW263" i="142"/>
  <c r="CE254" i="142"/>
  <c r="CE255" i="142"/>
  <c r="CE256" i="142"/>
  <c r="CE257" i="142"/>
  <c r="CE260" i="142"/>
  <c r="CE261" i="142"/>
  <c r="CE262" i="142"/>
  <c r="CE263" i="142"/>
  <c r="CE270" i="142"/>
  <c r="CE271" i="142"/>
  <c r="CE272" i="142"/>
  <c r="CE273" i="142"/>
  <c r="CE274" i="142"/>
  <c r="CE275" i="142"/>
  <c r="CE276" i="142"/>
  <c r="CE277" i="142"/>
  <c r="CE278" i="142"/>
  <c r="CE279" i="142"/>
  <c r="CE269" i="142"/>
  <c r="CE253" i="142"/>
  <c r="BO119" i="142" l="1"/>
  <c r="C119" i="142" s="1"/>
  <c r="BO118" i="142"/>
  <c r="C118" i="142" s="1"/>
  <c r="BO117" i="142"/>
  <c r="C117" i="142" s="1"/>
  <c r="H18" i="253" l="1"/>
  <c r="J1" i="253" l="1"/>
  <c r="B113" i="235"/>
  <c r="B114" i="235"/>
  <c r="J114" i="235" s="1"/>
  <c r="B115" i="235"/>
  <c r="B116" i="235"/>
  <c r="B117" i="235"/>
  <c r="C117" i="235" s="1"/>
  <c r="B118" i="235"/>
  <c r="J118" i="235" s="1"/>
  <c r="B119" i="235"/>
  <c r="C119" i="235" s="1"/>
  <c r="B120" i="235"/>
  <c r="B121" i="235"/>
  <c r="B122" i="235"/>
  <c r="S122" i="235" s="1"/>
  <c r="B123" i="235"/>
  <c r="B124" i="235"/>
  <c r="H16" i="253"/>
  <c r="F119" i="235" l="1"/>
  <c r="F116" i="235"/>
  <c r="I120" i="235"/>
  <c r="Q120" i="235"/>
  <c r="O114" i="235"/>
  <c r="F114" i="235"/>
  <c r="K114" i="235"/>
  <c r="C116" i="235"/>
  <c r="C114" i="235"/>
  <c r="G119" i="235"/>
  <c r="J124" i="235"/>
  <c r="N119" i="235"/>
  <c r="G116" i="235"/>
  <c r="J113" i="235"/>
  <c r="N114" i="235"/>
  <c r="G114" i="235"/>
  <c r="K119" i="235"/>
  <c r="O119" i="235"/>
  <c r="C118" i="235"/>
  <c r="F118" i="235"/>
  <c r="G118" i="235"/>
  <c r="J120" i="235"/>
  <c r="K124" i="235"/>
  <c r="K113" i="235"/>
  <c r="N113" i="235"/>
  <c r="O113" i="235"/>
  <c r="F117" i="235"/>
  <c r="G117" i="235"/>
  <c r="J119" i="235"/>
  <c r="K120" i="235"/>
  <c r="M120" i="235"/>
  <c r="N120" i="235"/>
  <c r="O120" i="235"/>
  <c r="Q124" i="235"/>
  <c r="S124" i="235"/>
  <c r="C115" i="235"/>
  <c r="F115" i="235"/>
  <c r="G115" i="235"/>
  <c r="J117" i="235"/>
  <c r="K118" i="235"/>
  <c r="N118" i="235"/>
  <c r="O118" i="235"/>
  <c r="S120" i="235"/>
  <c r="J116" i="235"/>
  <c r="K117" i="235"/>
  <c r="N117" i="235"/>
  <c r="O117" i="235"/>
  <c r="C124" i="235"/>
  <c r="C113" i="235"/>
  <c r="F113" i="235"/>
  <c r="G113" i="235"/>
  <c r="J115" i="235"/>
  <c r="K116" i="235"/>
  <c r="N116" i="235"/>
  <c r="O116" i="235"/>
  <c r="C120" i="235"/>
  <c r="F120" i="235"/>
  <c r="G120" i="235"/>
  <c r="I124" i="235"/>
  <c r="K115" i="235"/>
  <c r="N115" i="235"/>
  <c r="O115" i="235"/>
  <c r="F124" i="235"/>
  <c r="N124" i="235"/>
  <c r="G124" i="235"/>
  <c r="O124" i="235"/>
  <c r="M124" i="235"/>
  <c r="I123" i="235"/>
  <c r="J123" i="235"/>
  <c r="S123" i="235"/>
  <c r="Q123" i="235"/>
  <c r="F123" i="235"/>
  <c r="N123" i="235"/>
  <c r="C123" i="235"/>
  <c r="K123" i="235"/>
  <c r="O123" i="235"/>
  <c r="M123" i="235"/>
  <c r="G123" i="235"/>
  <c r="M122" i="235"/>
  <c r="C122" i="235"/>
  <c r="F122" i="235"/>
  <c r="N122" i="235"/>
  <c r="J122" i="235"/>
  <c r="K122" i="235"/>
  <c r="I122" i="235"/>
  <c r="Q122" i="235"/>
  <c r="G122" i="235"/>
  <c r="O122" i="235"/>
  <c r="F121" i="235"/>
  <c r="J121" i="235"/>
  <c r="N121" i="235"/>
  <c r="S121" i="235"/>
  <c r="C121" i="235"/>
  <c r="G121" i="235"/>
  <c r="I121" i="235"/>
  <c r="K121" i="235"/>
  <c r="M121" i="235"/>
  <c r="O121" i="235"/>
  <c r="Q121" i="235"/>
  <c r="C83" i="253" l="1"/>
  <c r="H81" i="253"/>
  <c r="E81" i="253"/>
  <c r="H80" i="253"/>
  <c r="E80" i="253"/>
  <c r="H78" i="253"/>
  <c r="E78" i="253"/>
  <c r="H77" i="253"/>
  <c r="E77" i="253"/>
  <c r="H76" i="253"/>
  <c r="E76" i="253"/>
  <c r="H75" i="253"/>
  <c r="E75" i="253"/>
  <c r="H74" i="253"/>
  <c r="E74" i="253"/>
  <c r="H73" i="253"/>
  <c r="E73" i="253"/>
  <c r="H72" i="253"/>
  <c r="E72" i="253"/>
  <c r="H71" i="253"/>
  <c r="E71" i="253"/>
  <c r="H70" i="253"/>
  <c r="E70" i="253"/>
  <c r="H60" i="253"/>
  <c r="E60" i="253"/>
  <c r="H59" i="253"/>
  <c r="E59" i="253"/>
  <c r="H57" i="253"/>
  <c r="E57" i="253"/>
  <c r="H56" i="253"/>
  <c r="E56" i="253"/>
  <c r="H55" i="253"/>
  <c r="E55" i="253"/>
  <c r="H54" i="253"/>
  <c r="E54" i="253"/>
  <c r="H53" i="253"/>
  <c r="E53" i="253"/>
  <c r="H52" i="253"/>
  <c r="E52" i="253"/>
  <c r="H51" i="253"/>
  <c r="E51" i="253"/>
  <c r="H50" i="253"/>
  <c r="E50" i="253"/>
  <c r="H49" i="253"/>
  <c r="C62" i="253"/>
  <c r="C42" i="253"/>
  <c r="H40" i="253"/>
  <c r="E40" i="253"/>
  <c r="H39" i="253"/>
  <c r="E39" i="253"/>
  <c r="H37" i="253"/>
  <c r="E37" i="253"/>
  <c r="H36" i="253"/>
  <c r="E36" i="253"/>
  <c r="H35" i="253"/>
  <c r="E35" i="253"/>
  <c r="H34" i="253"/>
  <c r="E34" i="253"/>
  <c r="H33" i="253"/>
  <c r="E33" i="253"/>
  <c r="H32" i="253"/>
  <c r="E32" i="253"/>
  <c r="H31" i="253"/>
  <c r="E31" i="253"/>
  <c r="H30" i="253"/>
  <c r="E30" i="253"/>
  <c r="H29" i="253"/>
  <c r="E29" i="253"/>
  <c r="H20" i="253"/>
  <c r="E20" i="253"/>
  <c r="H19" i="253"/>
  <c r="E19" i="253"/>
  <c r="H17" i="253"/>
  <c r="E17" i="253"/>
  <c r="E16" i="253"/>
  <c r="H15" i="253"/>
  <c r="E15" i="253"/>
  <c r="H14" i="253"/>
  <c r="E14" i="253"/>
  <c r="H13" i="253"/>
  <c r="H12" i="253"/>
  <c r="E12" i="253"/>
  <c r="H11" i="253"/>
  <c r="E11" i="253"/>
  <c r="H10" i="253"/>
  <c r="H9" i="253"/>
  <c r="E9" i="253"/>
  <c r="E49" i="253" l="1"/>
  <c r="H22" i="253"/>
  <c r="C22" i="253"/>
  <c r="E10" i="253"/>
  <c r="E13" i="253"/>
  <c r="E1" i="252" l="1"/>
  <c r="BO284" i="142" l="1"/>
  <c r="C80" i="325" l="1"/>
  <c r="G80" i="325" s="1"/>
  <c r="Q80" i="333"/>
  <c r="C108" i="189"/>
  <c r="K108" i="189"/>
  <c r="D98" i="189"/>
  <c r="D100" i="189"/>
  <c r="D101" i="189"/>
  <c r="D103" i="189"/>
  <c r="D104" i="189"/>
  <c r="D105" i="189"/>
  <c r="D106" i="189"/>
  <c r="D107" i="189"/>
  <c r="B108" i="189"/>
  <c r="J108" i="189"/>
  <c r="B145" i="235"/>
  <c r="C252" i="142"/>
  <c r="C284" i="142"/>
  <c r="D102" i="189" l="1"/>
  <c r="N96" i="189"/>
  <c r="N97" i="189" s="1"/>
  <c r="M96" i="189"/>
  <c r="L96" i="189"/>
  <c r="L102" i="189"/>
  <c r="F96" i="189"/>
  <c r="F97" i="189" s="1"/>
  <c r="F98" i="189" s="1"/>
  <c r="F99" i="189" s="1"/>
  <c r="F100" i="189" s="1"/>
  <c r="F101" i="189" s="1"/>
  <c r="F102" i="189" s="1"/>
  <c r="F103" i="189" s="1"/>
  <c r="F104" i="189" s="1"/>
  <c r="F105" i="189" s="1"/>
  <c r="F106" i="189" s="1"/>
  <c r="F107" i="189" s="1"/>
  <c r="E96" i="189"/>
  <c r="E97" i="189" s="1"/>
  <c r="L100" i="189"/>
  <c r="L107" i="189"/>
  <c r="D99" i="189"/>
  <c r="L104" i="189"/>
  <c r="L106" i="189"/>
  <c r="L103" i="189"/>
  <c r="L98" i="189"/>
  <c r="L97" i="189"/>
  <c r="D96" i="189"/>
  <c r="L105" i="189"/>
  <c r="L101" i="189"/>
  <c r="L99" i="189"/>
  <c r="D97" i="189"/>
  <c r="CM172" i="142"/>
  <c r="CM173" i="142" s="1"/>
  <c r="CM174" i="142" s="1"/>
  <c r="CM175" i="142" s="1"/>
  <c r="CM176" i="142" s="1"/>
  <c r="CM177" i="142" s="1"/>
  <c r="CM178" i="142" s="1"/>
  <c r="CM179" i="142" s="1"/>
  <c r="CM180" i="142" s="1"/>
  <c r="CM181" i="142" s="1"/>
  <c r="CM182" i="142" s="1"/>
  <c r="CM183" i="142" s="1"/>
  <c r="CM156" i="142"/>
  <c r="CM157" i="142" s="1"/>
  <c r="CM158" i="142" s="1"/>
  <c r="CM159" i="142" s="1"/>
  <c r="CM160" i="142" s="1"/>
  <c r="CM161" i="142" s="1"/>
  <c r="CM162" i="142" s="1"/>
  <c r="CM163" i="142" s="1"/>
  <c r="CM164" i="142" s="1"/>
  <c r="CM165" i="142" s="1"/>
  <c r="CM166" i="142" s="1"/>
  <c r="CM167" i="142" s="1"/>
  <c r="CM140" i="142"/>
  <c r="CM141" i="142" s="1"/>
  <c r="CM142" i="142" s="1"/>
  <c r="CM143" i="142" s="1"/>
  <c r="CM144" i="142" s="1"/>
  <c r="CM145" i="142" s="1"/>
  <c r="CM146" i="142" s="1"/>
  <c r="CM147" i="142" s="1"/>
  <c r="CM148" i="142" s="1"/>
  <c r="CM149" i="142" s="1"/>
  <c r="CM150" i="142" s="1"/>
  <c r="CM151" i="142" s="1"/>
  <c r="CM124" i="142"/>
  <c r="CM125" i="142" s="1"/>
  <c r="CM126" i="142" s="1"/>
  <c r="CM127" i="142" s="1"/>
  <c r="CM128" i="142" s="1"/>
  <c r="CM129" i="142" s="1"/>
  <c r="CM130" i="142" s="1"/>
  <c r="CM131" i="142" s="1"/>
  <c r="CM132" i="142" s="1"/>
  <c r="CM133" i="142" s="1"/>
  <c r="CM134" i="142" s="1"/>
  <c r="CM135" i="142" s="1"/>
  <c r="CM110" i="142"/>
  <c r="CM109" i="142"/>
  <c r="CM108" i="142"/>
  <c r="C78" i="292" s="1"/>
  <c r="BW172" i="142"/>
  <c r="BW173" i="142" s="1"/>
  <c r="BW174" i="142" s="1"/>
  <c r="BW175" i="142" s="1"/>
  <c r="BW176" i="142" s="1"/>
  <c r="BW177" i="142" s="1"/>
  <c r="BW178" i="142" s="1"/>
  <c r="BW179" i="142" s="1"/>
  <c r="BW180" i="142" s="1"/>
  <c r="BW181" i="142" s="1"/>
  <c r="BW182" i="142" s="1"/>
  <c r="BW183" i="142" s="1"/>
  <c r="BW156" i="142"/>
  <c r="BW157" i="142" s="1"/>
  <c r="BW158" i="142" s="1"/>
  <c r="BW159" i="142" s="1"/>
  <c r="BW160" i="142" s="1"/>
  <c r="BW161" i="142" s="1"/>
  <c r="BW162" i="142" s="1"/>
  <c r="BW163" i="142" s="1"/>
  <c r="BW164" i="142" s="1"/>
  <c r="BW165" i="142" s="1"/>
  <c r="BW166" i="142" s="1"/>
  <c r="BW167" i="142" s="1"/>
  <c r="BW140" i="142"/>
  <c r="BW141" i="142" s="1"/>
  <c r="BW142" i="142" s="1"/>
  <c r="BW143" i="142" s="1"/>
  <c r="BW144" i="142" s="1"/>
  <c r="BW145" i="142" s="1"/>
  <c r="BW146" i="142" s="1"/>
  <c r="BW147" i="142" s="1"/>
  <c r="BW148" i="142" s="1"/>
  <c r="BW149" i="142" s="1"/>
  <c r="BW150" i="142" s="1"/>
  <c r="BW151" i="142" s="1"/>
  <c r="BW124" i="142"/>
  <c r="BW125" i="142" s="1"/>
  <c r="BW126" i="142" s="1"/>
  <c r="BW127" i="142" s="1"/>
  <c r="BW128" i="142" s="1"/>
  <c r="BW129" i="142" s="1"/>
  <c r="BW130" i="142" s="1"/>
  <c r="BW131" i="142" s="1"/>
  <c r="BW132" i="142" s="1"/>
  <c r="BW133" i="142" s="1"/>
  <c r="BW134" i="142" s="1"/>
  <c r="BW135" i="142" s="1"/>
  <c r="BW110" i="142"/>
  <c r="BW109" i="142"/>
  <c r="BW108" i="142"/>
  <c r="C78" i="291" s="1"/>
  <c r="BO172" i="142"/>
  <c r="BO156" i="142"/>
  <c r="BO140" i="142"/>
  <c r="BO124" i="142"/>
  <c r="BO113" i="142"/>
  <c r="C113" i="142" s="1"/>
  <c r="BO112" i="142"/>
  <c r="C112" i="142" s="1"/>
  <c r="BO111" i="142"/>
  <c r="C111" i="142" s="1"/>
  <c r="BO110" i="142"/>
  <c r="BO109" i="142"/>
  <c r="BO108" i="142"/>
  <c r="CE172" i="142"/>
  <c r="CE173" i="142" s="1"/>
  <c r="CE174" i="142" s="1"/>
  <c r="CE175" i="142" s="1"/>
  <c r="CE176" i="142" s="1"/>
  <c r="CE177" i="142" s="1"/>
  <c r="CE178" i="142" s="1"/>
  <c r="CE179" i="142" s="1"/>
  <c r="CE180" i="142" s="1"/>
  <c r="CE181" i="142" s="1"/>
  <c r="CE182" i="142" s="1"/>
  <c r="CE183" i="142" s="1"/>
  <c r="CE156" i="142"/>
  <c r="CE157" i="142" s="1"/>
  <c r="CE158" i="142" s="1"/>
  <c r="CE159" i="142" s="1"/>
  <c r="CE160" i="142" s="1"/>
  <c r="CE161" i="142" s="1"/>
  <c r="CE162" i="142" s="1"/>
  <c r="CE163" i="142" s="1"/>
  <c r="CE164" i="142" s="1"/>
  <c r="CE165" i="142" s="1"/>
  <c r="CE166" i="142" s="1"/>
  <c r="CE167" i="142" s="1"/>
  <c r="CE140" i="142"/>
  <c r="CE141" i="142" s="1"/>
  <c r="CE142" i="142" s="1"/>
  <c r="CE143" i="142" s="1"/>
  <c r="CE144" i="142" s="1"/>
  <c r="CE145" i="142" s="1"/>
  <c r="CE146" i="142" s="1"/>
  <c r="CE147" i="142" s="1"/>
  <c r="CE148" i="142" s="1"/>
  <c r="CE149" i="142" s="1"/>
  <c r="CE150" i="142" s="1"/>
  <c r="CE151" i="142" s="1"/>
  <c r="CE124" i="142"/>
  <c r="CE125" i="142" s="1"/>
  <c r="CE126" i="142" s="1"/>
  <c r="CE127" i="142" s="1"/>
  <c r="CE128" i="142" s="1"/>
  <c r="CE129" i="142" s="1"/>
  <c r="CE130" i="142" s="1"/>
  <c r="CE131" i="142" s="1"/>
  <c r="CE132" i="142" s="1"/>
  <c r="CE133" i="142" s="1"/>
  <c r="CE134" i="142" s="1"/>
  <c r="CE135" i="142" s="1"/>
  <c r="CE109" i="142"/>
  <c r="CE108" i="142"/>
  <c r="C78" i="278" s="1"/>
  <c r="BO157" i="142" l="1"/>
  <c r="C157" i="142" s="1"/>
  <c r="C156" i="142"/>
  <c r="BO173" i="142"/>
  <c r="C173" i="142" s="1"/>
  <c r="C172" i="142"/>
  <c r="C78" i="290"/>
  <c r="Q78" i="332" s="1"/>
  <c r="C108" i="142"/>
  <c r="C109" i="142"/>
  <c r="C110" i="142"/>
  <c r="BO125" i="142"/>
  <c r="C124" i="142"/>
  <c r="BO141" i="142"/>
  <c r="C140" i="142"/>
  <c r="BO158" i="142"/>
  <c r="C158" i="142" s="1"/>
  <c r="G97" i="189"/>
  <c r="E98" i="189"/>
  <c r="O96" i="189"/>
  <c r="G78" i="291"/>
  <c r="S78" i="332"/>
  <c r="W78" i="332"/>
  <c r="G78" i="292"/>
  <c r="G78" i="278"/>
  <c r="U78" i="332"/>
  <c r="M97" i="189"/>
  <c r="M98" i="189" s="1"/>
  <c r="M99" i="189" s="1"/>
  <c r="N98" i="189"/>
  <c r="N99" i="189" s="1"/>
  <c r="N100" i="189" s="1"/>
  <c r="N101" i="189" s="1"/>
  <c r="N102" i="189" s="1"/>
  <c r="N103" i="189" s="1"/>
  <c r="N104" i="189" s="1"/>
  <c r="N105" i="189" s="1"/>
  <c r="N106" i="189" s="1"/>
  <c r="N107" i="189" s="1"/>
  <c r="G96" i="189"/>
  <c r="BW188" i="142"/>
  <c r="BW189" i="142" s="1"/>
  <c r="BW190" i="142" s="1"/>
  <c r="BW191" i="142" s="1"/>
  <c r="BW192" i="142" s="1"/>
  <c r="BW193" i="142" s="1"/>
  <c r="BW194" i="142" s="1"/>
  <c r="BW195" i="142" s="1"/>
  <c r="BW196" i="142" s="1"/>
  <c r="BW197" i="142" s="1"/>
  <c r="BW198" i="142" s="1"/>
  <c r="BW199" i="142" s="1"/>
  <c r="CM188" i="142"/>
  <c r="CM189" i="142" s="1"/>
  <c r="CM190" i="142" s="1"/>
  <c r="CM191" i="142" s="1"/>
  <c r="CM192" i="142" s="1"/>
  <c r="CM193" i="142" s="1"/>
  <c r="CM194" i="142" s="1"/>
  <c r="CM195" i="142" s="1"/>
  <c r="CM196" i="142" s="1"/>
  <c r="CM197" i="142" s="1"/>
  <c r="CM198" i="142" s="1"/>
  <c r="CM199" i="142" s="1"/>
  <c r="S114" i="235"/>
  <c r="P113" i="235"/>
  <c r="S115" i="235"/>
  <c r="L113" i="235"/>
  <c r="S116" i="235"/>
  <c r="H113" i="235"/>
  <c r="S117" i="235"/>
  <c r="S119" i="235"/>
  <c r="S118" i="235"/>
  <c r="D113" i="235"/>
  <c r="BO188" i="142"/>
  <c r="S113" i="235"/>
  <c r="CE188" i="142"/>
  <c r="CE189" i="142" s="1"/>
  <c r="CE190" i="142" s="1"/>
  <c r="CE191" i="142" s="1"/>
  <c r="CE192" i="142" s="1"/>
  <c r="CE193" i="142" s="1"/>
  <c r="CE194" i="142" s="1"/>
  <c r="CE195" i="142" s="1"/>
  <c r="CE196" i="142" s="1"/>
  <c r="CE197" i="142" s="1"/>
  <c r="CE198" i="142" s="1"/>
  <c r="CE199" i="142" s="1"/>
  <c r="C141" i="142" l="1"/>
  <c r="BO142" i="142"/>
  <c r="C125" i="142"/>
  <c r="BO126" i="142"/>
  <c r="BO174" i="142"/>
  <c r="C174" i="142" s="1"/>
  <c r="G78" i="290"/>
  <c r="C188" i="142"/>
  <c r="D114" i="235"/>
  <c r="AI78" i="332"/>
  <c r="U78" i="333"/>
  <c r="C78" i="329"/>
  <c r="G78" i="329" s="1"/>
  <c r="C78" i="327"/>
  <c r="G78" i="327" s="1"/>
  <c r="S78" i="333"/>
  <c r="U113" i="235"/>
  <c r="BO189" i="142"/>
  <c r="C78" i="331"/>
  <c r="G78" i="331" s="1"/>
  <c r="W78" i="333"/>
  <c r="BO159" i="142"/>
  <c r="C159" i="142" s="1"/>
  <c r="G98" i="189"/>
  <c r="E99" i="189"/>
  <c r="O97" i="189"/>
  <c r="B126" i="189"/>
  <c r="C78" i="293"/>
  <c r="G78" i="293" s="1"/>
  <c r="O98" i="189"/>
  <c r="O99" i="189"/>
  <c r="M100" i="189"/>
  <c r="P114" i="235"/>
  <c r="H114" i="235"/>
  <c r="L114" i="235"/>
  <c r="D115" i="235"/>
  <c r="P115" i="235"/>
  <c r="L115" i="235"/>
  <c r="E1" i="194"/>
  <c r="BO175" i="142" l="1"/>
  <c r="C175" i="142" s="1"/>
  <c r="BO143" i="142"/>
  <c r="C142" i="142"/>
  <c r="BO127" i="142"/>
  <c r="C126" i="142"/>
  <c r="U114" i="235"/>
  <c r="C189" i="142"/>
  <c r="BO176" i="142"/>
  <c r="C176" i="142" s="1"/>
  <c r="BO190" i="142"/>
  <c r="BO160" i="142"/>
  <c r="C160" i="142" s="1"/>
  <c r="G99" i="189"/>
  <c r="E100" i="189"/>
  <c r="O100" i="189"/>
  <c r="M101" i="189"/>
  <c r="H115" i="235"/>
  <c r="D116" i="235"/>
  <c r="P116" i="235"/>
  <c r="L116" i="235"/>
  <c r="H116" i="235"/>
  <c r="BO144" i="142" l="1"/>
  <c r="C143" i="142"/>
  <c r="BO128" i="142"/>
  <c r="C127" i="142"/>
  <c r="U115" i="235"/>
  <c r="C190" i="142"/>
  <c r="BO161" i="142"/>
  <c r="C161" i="142" s="1"/>
  <c r="BO177" i="142"/>
  <c r="C177" i="142" s="1"/>
  <c r="BO191" i="142"/>
  <c r="C191" i="142" s="1"/>
  <c r="G100" i="189"/>
  <c r="E101" i="189"/>
  <c r="O101" i="189"/>
  <c r="M102" i="189"/>
  <c r="D117" i="235"/>
  <c r="P117" i="235"/>
  <c r="L117" i="235"/>
  <c r="H117" i="235"/>
  <c r="BO145" i="142" l="1"/>
  <c r="C144" i="142"/>
  <c r="BO129" i="142"/>
  <c r="C128" i="142"/>
  <c r="BO178" i="142"/>
  <c r="C178" i="142" s="1"/>
  <c r="BO162" i="142"/>
  <c r="BO192" i="142"/>
  <c r="G101" i="189"/>
  <c r="E102" i="189"/>
  <c r="O102" i="189"/>
  <c r="M103" i="189"/>
  <c r="U116" i="235"/>
  <c r="D118" i="235"/>
  <c r="P118" i="235"/>
  <c r="L118" i="235"/>
  <c r="H118" i="235"/>
  <c r="BO146" i="142" l="1"/>
  <c r="C145" i="142"/>
  <c r="BO130" i="142"/>
  <c r="C129" i="142"/>
  <c r="BO193" i="142"/>
  <c r="C193" i="142" s="1"/>
  <c r="C192" i="142"/>
  <c r="BO163" i="142"/>
  <c r="C162" i="142"/>
  <c r="BO179" i="142"/>
  <c r="U117" i="235"/>
  <c r="G102" i="189"/>
  <c r="E103" i="189"/>
  <c r="O103" i="189"/>
  <c r="M104" i="189"/>
  <c r="D119" i="235"/>
  <c r="P119" i="235"/>
  <c r="L119" i="235"/>
  <c r="H119" i="235"/>
  <c r="BO147" i="142" l="1"/>
  <c r="C146" i="142"/>
  <c r="BO131" i="142"/>
  <c r="C130" i="142"/>
  <c r="BO194" i="142"/>
  <c r="BO195" i="142" s="1"/>
  <c r="U120" i="235" s="1"/>
  <c r="U118" i="235"/>
  <c r="BO164" i="142"/>
  <c r="C163" i="142"/>
  <c r="BO180" i="142"/>
  <c r="C179" i="142"/>
  <c r="U119" i="235"/>
  <c r="G103" i="189"/>
  <c r="E104" i="189"/>
  <c r="O104" i="189"/>
  <c r="M105" i="189"/>
  <c r="D120" i="235"/>
  <c r="P120" i="235"/>
  <c r="L120" i="235"/>
  <c r="H120" i="235"/>
  <c r="BO148" i="142" l="1"/>
  <c r="C147" i="142"/>
  <c r="C194" i="142"/>
  <c r="BO132" i="142"/>
  <c r="C131" i="142"/>
  <c r="BO181" i="142"/>
  <c r="C180" i="142"/>
  <c r="BO165" i="142"/>
  <c r="C164" i="142"/>
  <c r="C195" i="142"/>
  <c r="BO196" i="142"/>
  <c r="G104" i="189"/>
  <c r="E105" i="189"/>
  <c r="O105" i="189"/>
  <c r="M106" i="189"/>
  <c r="D121" i="235"/>
  <c r="P121" i="235"/>
  <c r="L121" i="235"/>
  <c r="H121" i="235"/>
  <c r="BO149" i="142" l="1"/>
  <c r="C148" i="142"/>
  <c r="BO133" i="142"/>
  <c r="C132" i="142"/>
  <c r="BO197" i="142"/>
  <c r="C196" i="142"/>
  <c r="U121" i="235"/>
  <c r="BO166" i="142"/>
  <c r="C165" i="142"/>
  <c r="BO182" i="142"/>
  <c r="C181" i="142"/>
  <c r="G105" i="189"/>
  <c r="E106" i="189"/>
  <c r="O106" i="189"/>
  <c r="M107" i="189"/>
  <c r="O107" i="189" s="1"/>
  <c r="D122" i="235"/>
  <c r="P122" i="235"/>
  <c r="L122" i="235"/>
  <c r="H122" i="235"/>
  <c r="U122" i="235"/>
  <c r="BO150" i="142" l="1"/>
  <c r="C149" i="142"/>
  <c r="BO134" i="142"/>
  <c r="C133" i="142"/>
  <c r="BO183" i="142"/>
  <c r="C183" i="142" s="1"/>
  <c r="C182" i="142"/>
  <c r="BO167" i="142"/>
  <c r="C167" i="142" s="1"/>
  <c r="C166" i="142"/>
  <c r="BO198" i="142"/>
  <c r="C197" i="142"/>
  <c r="G106" i="189"/>
  <c r="E107" i="189"/>
  <c r="G107" i="189" s="1"/>
  <c r="D123" i="235"/>
  <c r="P123" i="235"/>
  <c r="L123" i="235"/>
  <c r="H123" i="235"/>
  <c r="BO151" i="142" l="1"/>
  <c r="C151" i="142" s="1"/>
  <c r="C150" i="142"/>
  <c r="BO135" i="142"/>
  <c r="C135" i="142" s="1"/>
  <c r="C134" i="142"/>
  <c r="U123" i="235"/>
  <c r="BO199" i="142"/>
  <c r="C199" i="142" s="1"/>
  <c r="C198" i="142"/>
  <c r="D124" i="235"/>
  <c r="C78" i="325" l="1"/>
  <c r="G78" i="325" s="1"/>
  <c r="Q78" i="333"/>
  <c r="AI78" i="333" s="1"/>
  <c r="P124" i="235"/>
  <c r="L124" i="235"/>
  <c r="H124" i="235"/>
  <c r="U124" i="235"/>
  <c r="CE252" i="142" l="1"/>
  <c r="B144" i="235" l="1"/>
  <c r="O144" i="235" s="1"/>
  <c r="F144" i="235" l="1"/>
  <c r="G144" i="235"/>
  <c r="K144" i="235"/>
  <c r="J144" i="235"/>
  <c r="N144" i="235"/>
  <c r="B151" i="234" l="1"/>
  <c r="L151" i="234" s="1"/>
  <c r="B152" i="234"/>
  <c r="L152" i="234" s="1"/>
  <c r="B153" i="234"/>
  <c r="K153" i="234" s="1"/>
  <c r="B154" i="234"/>
  <c r="K154" i="234" s="1"/>
  <c r="B155" i="234"/>
  <c r="L155" i="234" s="1"/>
  <c r="B156" i="234"/>
  <c r="L156" i="234" s="1"/>
  <c r="B157" i="234"/>
  <c r="L157" i="234" s="1"/>
  <c r="B158" i="234"/>
  <c r="B159" i="234"/>
  <c r="G159" i="234" s="1"/>
  <c r="B160" i="234"/>
  <c r="K160" i="234" s="1"/>
  <c r="B161" i="234"/>
  <c r="B162" i="234"/>
  <c r="K162" i="234" s="1"/>
  <c r="B128" i="235"/>
  <c r="C128" i="235" s="1"/>
  <c r="B129" i="235"/>
  <c r="C129" i="235" s="1"/>
  <c r="B130" i="235"/>
  <c r="C130" i="235" s="1"/>
  <c r="B131" i="235"/>
  <c r="C131" i="235" s="1"/>
  <c r="B132" i="235"/>
  <c r="C132" i="235" s="1"/>
  <c r="B133" i="235"/>
  <c r="C133" i="235" s="1"/>
  <c r="B134" i="235"/>
  <c r="C134" i="235" s="1"/>
  <c r="B135" i="235"/>
  <c r="C135" i="235" s="1"/>
  <c r="B136" i="235"/>
  <c r="C136" i="235" s="1"/>
  <c r="B137" i="235"/>
  <c r="C137" i="235" s="1"/>
  <c r="B138" i="235"/>
  <c r="C138" i="235" s="1"/>
  <c r="B139" i="235"/>
  <c r="C139" i="235" s="1"/>
  <c r="B159" i="235"/>
  <c r="B160" i="235"/>
  <c r="C160" i="235" s="1"/>
  <c r="B161" i="235"/>
  <c r="C161" i="235" s="1"/>
  <c r="B162" i="235"/>
  <c r="C162" i="235" s="1"/>
  <c r="B163" i="235"/>
  <c r="C163" i="235" s="1"/>
  <c r="B164" i="235"/>
  <c r="C164" i="235" s="1"/>
  <c r="B165" i="235"/>
  <c r="C165" i="235" s="1"/>
  <c r="B166" i="235"/>
  <c r="C166" i="235" s="1"/>
  <c r="B167" i="235"/>
  <c r="C167" i="235" s="1"/>
  <c r="B168" i="235"/>
  <c r="C168" i="235" s="1"/>
  <c r="B169" i="235"/>
  <c r="C169" i="235" s="1"/>
  <c r="B170" i="235"/>
  <c r="C170" i="235" s="1"/>
  <c r="C144" i="235"/>
  <c r="B146" i="235"/>
  <c r="B147" i="235"/>
  <c r="B148" i="235"/>
  <c r="B149" i="235"/>
  <c r="B150" i="235"/>
  <c r="B151" i="235"/>
  <c r="B152" i="235"/>
  <c r="B153" i="235"/>
  <c r="B154" i="235"/>
  <c r="B155" i="235"/>
  <c r="V1" i="235"/>
  <c r="B167" i="234"/>
  <c r="L168" i="234"/>
  <c r="F169" i="234"/>
  <c r="K170" i="234"/>
  <c r="K171" i="234"/>
  <c r="L172" i="234"/>
  <c r="K173" i="234"/>
  <c r="K174" i="234"/>
  <c r="L175" i="234"/>
  <c r="L176" i="234"/>
  <c r="C177" i="234"/>
  <c r="L178" i="234"/>
  <c r="B135" i="234"/>
  <c r="K135" i="234" s="1"/>
  <c r="B136" i="234"/>
  <c r="L136" i="234" s="1"/>
  <c r="B137" i="234"/>
  <c r="K137" i="234" s="1"/>
  <c r="B138" i="234"/>
  <c r="L138" i="234" s="1"/>
  <c r="B139" i="234"/>
  <c r="K139" i="234" s="1"/>
  <c r="B140" i="234"/>
  <c r="L140" i="234" s="1"/>
  <c r="B141" i="234"/>
  <c r="K141" i="234" s="1"/>
  <c r="B142" i="234"/>
  <c r="B143" i="234"/>
  <c r="B144" i="234"/>
  <c r="L144" i="234" s="1"/>
  <c r="B145" i="234"/>
  <c r="L145" i="234" s="1"/>
  <c r="B146" i="234"/>
  <c r="L146" i="234" s="1"/>
  <c r="B119" i="234"/>
  <c r="K119" i="234" s="1"/>
  <c r="B120" i="234"/>
  <c r="L120" i="234" s="1"/>
  <c r="B121" i="234"/>
  <c r="B122" i="234"/>
  <c r="K122" i="234" s="1"/>
  <c r="B123" i="234"/>
  <c r="K123" i="234" s="1"/>
  <c r="B124" i="234"/>
  <c r="L124" i="234" s="1"/>
  <c r="B125" i="234"/>
  <c r="C125" i="234" s="1"/>
  <c r="B126" i="234"/>
  <c r="L126" i="234" s="1"/>
  <c r="B127" i="234"/>
  <c r="L127" i="234" s="1"/>
  <c r="B128" i="234"/>
  <c r="B129" i="234"/>
  <c r="B130" i="234"/>
  <c r="K130" i="234" s="1"/>
  <c r="N1" i="234"/>
  <c r="C159" i="235" l="1"/>
  <c r="B249" i="235"/>
  <c r="S249" i="235"/>
  <c r="G151" i="234"/>
  <c r="C151" i="234"/>
  <c r="K155" i="234"/>
  <c r="L153" i="234"/>
  <c r="K157" i="234"/>
  <c r="L162" i="234"/>
  <c r="K152" i="234"/>
  <c r="K151" i="234"/>
  <c r="K156" i="234"/>
  <c r="K161" i="234"/>
  <c r="L161" i="234"/>
  <c r="L123" i="234"/>
  <c r="L122" i="234"/>
  <c r="K140" i="234"/>
  <c r="N162" i="234"/>
  <c r="K172" i="234"/>
  <c r="C135" i="234"/>
  <c r="L119" i="234"/>
  <c r="K136" i="234"/>
  <c r="K169" i="234"/>
  <c r="N146" i="234"/>
  <c r="N177" i="234"/>
  <c r="L130" i="234"/>
  <c r="K146" i="234"/>
  <c r="L177" i="234"/>
  <c r="K129" i="234"/>
  <c r="L141" i="234"/>
  <c r="L137" i="234"/>
  <c r="K125" i="234"/>
  <c r="K121" i="234"/>
  <c r="L129" i="234"/>
  <c r="L154" i="234"/>
  <c r="K178" i="234"/>
  <c r="K167" i="234"/>
  <c r="L171" i="234"/>
  <c r="L167" i="234"/>
  <c r="N130" i="234"/>
  <c r="M178" i="234"/>
  <c r="K124" i="234"/>
  <c r="K120" i="234"/>
  <c r="L125" i="234"/>
  <c r="L121" i="234"/>
  <c r="K145" i="234"/>
  <c r="K138" i="234"/>
  <c r="L139" i="234"/>
  <c r="L135" i="234"/>
  <c r="K177" i="234"/>
  <c r="K168" i="234"/>
  <c r="L174" i="234"/>
  <c r="L170" i="234"/>
  <c r="N178" i="234"/>
  <c r="L173" i="234"/>
  <c r="L169" i="234"/>
  <c r="L160" i="234"/>
  <c r="K144" i="234"/>
  <c r="K176" i="234"/>
  <c r="K128" i="234"/>
  <c r="L128" i="234"/>
  <c r="K159" i="234"/>
  <c r="L159" i="234"/>
  <c r="K158" i="234"/>
  <c r="L158" i="234"/>
  <c r="L142" i="234"/>
  <c r="K143" i="234"/>
  <c r="L143" i="234"/>
  <c r="K142" i="234"/>
  <c r="K175" i="234"/>
  <c r="K126" i="234"/>
  <c r="K127" i="234"/>
  <c r="S169" i="235"/>
  <c r="U169" i="235"/>
  <c r="S153" i="235"/>
  <c r="S168" i="235"/>
  <c r="S137" i="235"/>
  <c r="C150" i="235"/>
  <c r="S138" i="235"/>
  <c r="U138" i="235"/>
  <c r="C152" i="235"/>
  <c r="S152" i="235"/>
  <c r="S167" i="235"/>
  <c r="S136" i="235"/>
  <c r="C154" i="235"/>
  <c r="S154" i="235"/>
  <c r="U154" i="235"/>
  <c r="C146" i="235"/>
  <c r="U155" i="235"/>
  <c r="S155" i="235"/>
  <c r="C151" i="235"/>
  <c r="S151" i="235"/>
  <c r="U170" i="235"/>
  <c r="S170" i="235"/>
  <c r="S166" i="235"/>
  <c r="U139" i="235"/>
  <c r="S139" i="235"/>
  <c r="S135" i="235"/>
  <c r="C147" i="235"/>
  <c r="C155" i="235"/>
  <c r="O148" i="235"/>
  <c r="N148" i="235"/>
  <c r="G148" i="235"/>
  <c r="J148" i="235"/>
  <c r="F148" i="235"/>
  <c r="K148" i="235"/>
  <c r="K166" i="235"/>
  <c r="N166" i="235"/>
  <c r="J166" i="235"/>
  <c r="F166" i="235"/>
  <c r="O166" i="235"/>
  <c r="G166" i="235"/>
  <c r="O162" i="235"/>
  <c r="G162" i="235"/>
  <c r="J162" i="235"/>
  <c r="F162" i="235"/>
  <c r="N162" i="235"/>
  <c r="K162" i="235"/>
  <c r="O129" i="235"/>
  <c r="K129" i="235"/>
  <c r="G129" i="235"/>
  <c r="N129" i="235"/>
  <c r="J129" i="235"/>
  <c r="F129" i="235"/>
  <c r="O151" i="235"/>
  <c r="K151" i="235"/>
  <c r="N151" i="235"/>
  <c r="J151" i="235"/>
  <c r="F151" i="235"/>
  <c r="G151" i="235"/>
  <c r="K165" i="235"/>
  <c r="N165" i="235"/>
  <c r="J165" i="235"/>
  <c r="F165" i="235"/>
  <c r="O165" i="235"/>
  <c r="G165" i="235"/>
  <c r="O132" i="235"/>
  <c r="K132" i="235"/>
  <c r="G132" i="235"/>
  <c r="N132" i="235"/>
  <c r="J132" i="235"/>
  <c r="F132" i="235"/>
  <c r="G153" i="235"/>
  <c r="K153" i="235"/>
  <c r="J153" i="235"/>
  <c r="F153" i="235"/>
  <c r="N153" i="235"/>
  <c r="O153" i="235"/>
  <c r="G149" i="235"/>
  <c r="O149" i="235"/>
  <c r="N149" i="235"/>
  <c r="F149" i="235"/>
  <c r="J149" i="235"/>
  <c r="K149" i="235"/>
  <c r="G145" i="235"/>
  <c r="K145" i="235"/>
  <c r="J145" i="235"/>
  <c r="F145" i="235"/>
  <c r="O145" i="235"/>
  <c r="N145" i="235"/>
  <c r="C148" i="235"/>
  <c r="O167" i="235"/>
  <c r="K167" i="235"/>
  <c r="G167" i="235"/>
  <c r="N167" i="235"/>
  <c r="F167" i="235"/>
  <c r="J167" i="235"/>
  <c r="O163" i="235"/>
  <c r="K163" i="235"/>
  <c r="G163" i="235"/>
  <c r="N163" i="235"/>
  <c r="J163" i="235"/>
  <c r="F163" i="235"/>
  <c r="O159" i="235"/>
  <c r="K159" i="235"/>
  <c r="G159" i="235"/>
  <c r="N159" i="235"/>
  <c r="J159" i="235"/>
  <c r="F159" i="235"/>
  <c r="O138" i="235"/>
  <c r="G138" i="235"/>
  <c r="J138" i="235"/>
  <c r="N138" i="235"/>
  <c r="H138" i="235"/>
  <c r="P138" i="235"/>
  <c r="L138" i="235"/>
  <c r="K138" i="235"/>
  <c r="D138" i="235"/>
  <c r="F138" i="235"/>
  <c r="K134" i="235"/>
  <c r="N134" i="235"/>
  <c r="F134" i="235"/>
  <c r="G134" i="235"/>
  <c r="J134" i="235"/>
  <c r="O134" i="235"/>
  <c r="O130" i="235"/>
  <c r="G130" i="235"/>
  <c r="J130" i="235"/>
  <c r="K130" i="235"/>
  <c r="F130" i="235"/>
  <c r="N130" i="235"/>
  <c r="K152" i="235"/>
  <c r="J152" i="235"/>
  <c r="F152" i="235"/>
  <c r="O152" i="235"/>
  <c r="N152" i="235"/>
  <c r="G152" i="235"/>
  <c r="O170" i="235"/>
  <c r="G170" i="235"/>
  <c r="J170" i="235"/>
  <c r="F170" i="235"/>
  <c r="M170" i="235"/>
  <c r="H170" i="235"/>
  <c r="K170" i="235"/>
  <c r="I170" i="235"/>
  <c r="L170" i="235"/>
  <c r="N170" i="235"/>
  <c r="Q170" i="235"/>
  <c r="D170" i="235"/>
  <c r="P170" i="235"/>
  <c r="O137" i="235"/>
  <c r="K137" i="235"/>
  <c r="G137" i="235"/>
  <c r="N137" i="235"/>
  <c r="J137" i="235"/>
  <c r="F137" i="235"/>
  <c r="O133" i="235"/>
  <c r="K133" i="235"/>
  <c r="G133" i="235"/>
  <c r="N133" i="235"/>
  <c r="J133" i="235"/>
  <c r="F133" i="235"/>
  <c r="O155" i="235"/>
  <c r="K155" i="235"/>
  <c r="N155" i="235"/>
  <c r="J155" i="235"/>
  <c r="F155" i="235"/>
  <c r="G155" i="235"/>
  <c r="Q155" i="235"/>
  <c r="P155" i="235"/>
  <c r="L155" i="235"/>
  <c r="I155" i="235"/>
  <c r="M155" i="235"/>
  <c r="H155" i="235"/>
  <c r="D155" i="235"/>
  <c r="E155" i="235"/>
  <c r="O147" i="235"/>
  <c r="K147" i="235"/>
  <c r="N147" i="235"/>
  <c r="J147" i="235"/>
  <c r="F147" i="235"/>
  <c r="G147" i="235"/>
  <c r="O169" i="235"/>
  <c r="G169" i="235"/>
  <c r="J169" i="235"/>
  <c r="F169" i="235"/>
  <c r="K169" i="235"/>
  <c r="N169" i="235"/>
  <c r="D169" i="235"/>
  <c r="L169" i="235"/>
  <c r="H169" i="235"/>
  <c r="P169" i="235"/>
  <c r="O161" i="235"/>
  <c r="G161" i="235"/>
  <c r="J161" i="235"/>
  <c r="F161" i="235"/>
  <c r="N161" i="235"/>
  <c r="K161" i="235"/>
  <c r="O136" i="235"/>
  <c r="K136" i="235"/>
  <c r="G136" i="235"/>
  <c r="N136" i="235"/>
  <c r="J136" i="235"/>
  <c r="F136" i="235"/>
  <c r="O128" i="235"/>
  <c r="K128" i="235"/>
  <c r="G128" i="235"/>
  <c r="N128" i="235"/>
  <c r="J128" i="235"/>
  <c r="F128" i="235"/>
  <c r="O154" i="235"/>
  <c r="K154" i="235"/>
  <c r="N154" i="235"/>
  <c r="J154" i="235"/>
  <c r="F154" i="235"/>
  <c r="G154" i="235"/>
  <c r="L154" i="235"/>
  <c r="P154" i="235"/>
  <c r="O150" i="235"/>
  <c r="K150" i="235"/>
  <c r="N150" i="235"/>
  <c r="J150" i="235"/>
  <c r="F150" i="235"/>
  <c r="G150" i="235"/>
  <c r="O146" i="235"/>
  <c r="K146" i="235"/>
  <c r="N146" i="235"/>
  <c r="J146" i="235"/>
  <c r="F146" i="235"/>
  <c r="G146" i="235"/>
  <c r="C153" i="235"/>
  <c r="C149" i="235"/>
  <c r="C145" i="235"/>
  <c r="O168" i="235"/>
  <c r="K168" i="235"/>
  <c r="G168" i="235"/>
  <c r="N168" i="235"/>
  <c r="F168" i="235"/>
  <c r="J168" i="235"/>
  <c r="O164" i="235"/>
  <c r="K164" i="235"/>
  <c r="G164" i="235"/>
  <c r="N164" i="235"/>
  <c r="J164" i="235"/>
  <c r="F164" i="235"/>
  <c r="O160" i="235"/>
  <c r="K160" i="235"/>
  <c r="G160" i="235"/>
  <c r="N160" i="235"/>
  <c r="J160" i="235"/>
  <c r="F160" i="235"/>
  <c r="O139" i="235"/>
  <c r="G139" i="235"/>
  <c r="J139" i="235"/>
  <c r="N139" i="235"/>
  <c r="H139" i="235"/>
  <c r="Q139" i="235"/>
  <c r="I139" i="235"/>
  <c r="L139" i="235"/>
  <c r="K139" i="235"/>
  <c r="M139" i="235"/>
  <c r="D139" i="235"/>
  <c r="P139" i="235"/>
  <c r="F139" i="235"/>
  <c r="K135" i="235"/>
  <c r="N135" i="235"/>
  <c r="F135" i="235"/>
  <c r="G135" i="235"/>
  <c r="J135" i="235"/>
  <c r="O135" i="235"/>
  <c r="O131" i="235"/>
  <c r="G131" i="235"/>
  <c r="J131" i="235"/>
  <c r="K131" i="235"/>
  <c r="F131" i="235"/>
  <c r="N131" i="235"/>
  <c r="G135" i="234"/>
  <c r="F135" i="234"/>
  <c r="G142" i="234"/>
  <c r="G140" i="234"/>
  <c r="F136" i="234"/>
  <c r="F143" i="234"/>
  <c r="G143" i="234"/>
  <c r="G156" i="234"/>
  <c r="C143" i="234"/>
  <c r="F139" i="234"/>
  <c r="C159" i="234"/>
  <c r="F159" i="234"/>
  <c r="G155" i="234"/>
  <c r="C139" i="234"/>
  <c r="G139" i="234"/>
  <c r="C155" i="234"/>
  <c r="F155" i="234"/>
  <c r="C140" i="234"/>
  <c r="F144" i="234"/>
  <c r="F152" i="234"/>
  <c r="C144" i="234"/>
  <c r="C136" i="234"/>
  <c r="F140" i="234"/>
  <c r="G144" i="234"/>
  <c r="G136" i="234"/>
  <c r="C156" i="234"/>
  <c r="F160" i="234"/>
  <c r="F151" i="234"/>
  <c r="G145" i="234"/>
  <c r="G137" i="234"/>
  <c r="C173" i="234"/>
  <c r="G177" i="234"/>
  <c r="I130" i="234"/>
  <c r="C169" i="234"/>
  <c r="F177" i="234"/>
  <c r="G173" i="234"/>
  <c r="F173" i="234"/>
  <c r="G169" i="234"/>
  <c r="C175" i="234"/>
  <c r="C171" i="234"/>
  <c r="C167" i="234"/>
  <c r="F175" i="234"/>
  <c r="F171" i="234"/>
  <c r="F167" i="234"/>
  <c r="G175" i="234"/>
  <c r="G171" i="234"/>
  <c r="G167" i="234"/>
  <c r="C119" i="234"/>
  <c r="C160" i="234"/>
  <c r="C152" i="234"/>
  <c r="F156" i="234"/>
  <c r="G160" i="234"/>
  <c r="G152" i="234"/>
  <c r="C146" i="234"/>
  <c r="C138" i="234"/>
  <c r="I162" i="234"/>
  <c r="C178" i="234"/>
  <c r="C174" i="234"/>
  <c r="C170" i="234"/>
  <c r="F178" i="234"/>
  <c r="F174" i="234"/>
  <c r="F170" i="234"/>
  <c r="G178" i="234"/>
  <c r="G174" i="234"/>
  <c r="G170" i="234"/>
  <c r="G120" i="234"/>
  <c r="C176" i="234"/>
  <c r="C172" i="234"/>
  <c r="C168" i="234"/>
  <c r="F176" i="234"/>
  <c r="F172" i="234"/>
  <c r="F168" i="234"/>
  <c r="G176" i="234"/>
  <c r="G172" i="234"/>
  <c r="G168" i="234"/>
  <c r="C162" i="234"/>
  <c r="C158" i="234"/>
  <c r="C154" i="234"/>
  <c r="F162" i="234"/>
  <c r="F158" i="234"/>
  <c r="F154" i="234"/>
  <c r="G162" i="234"/>
  <c r="G158" i="234"/>
  <c r="G154" i="234"/>
  <c r="C161" i="234"/>
  <c r="C157" i="234"/>
  <c r="C153" i="234"/>
  <c r="F161" i="234"/>
  <c r="F157" i="234"/>
  <c r="F153" i="234"/>
  <c r="G161" i="234"/>
  <c r="G157" i="234"/>
  <c r="G153" i="234"/>
  <c r="G141" i="234"/>
  <c r="I146" i="234"/>
  <c r="C142" i="234"/>
  <c r="F146" i="234"/>
  <c r="F142" i="234"/>
  <c r="F138" i="234"/>
  <c r="G146" i="234"/>
  <c r="G138" i="234"/>
  <c r="C145" i="234"/>
  <c r="C141" i="234"/>
  <c r="C137" i="234"/>
  <c r="F145" i="234"/>
  <c r="F141" i="234"/>
  <c r="F137" i="234"/>
  <c r="G124" i="234"/>
  <c r="C124" i="234"/>
  <c r="G125" i="234"/>
  <c r="B179" i="234"/>
  <c r="C128" i="234"/>
  <c r="F125" i="234"/>
  <c r="C129" i="234"/>
  <c r="F124" i="234"/>
  <c r="C127" i="234"/>
  <c r="F130" i="234"/>
  <c r="G126" i="234"/>
  <c r="B163" i="234"/>
  <c r="C120" i="234"/>
  <c r="F120" i="234"/>
  <c r="C123" i="234"/>
  <c r="F128" i="234"/>
  <c r="F129" i="234"/>
  <c r="G121" i="234"/>
  <c r="B147" i="234"/>
  <c r="C130" i="234"/>
  <c r="C126" i="234"/>
  <c r="C122" i="234"/>
  <c r="G130" i="234"/>
  <c r="C121" i="234"/>
  <c r="F122" i="234"/>
  <c r="G129" i="234"/>
  <c r="F126" i="234"/>
  <c r="F121" i="234"/>
  <c r="G128" i="234"/>
  <c r="G122" i="234"/>
  <c r="F127" i="234"/>
  <c r="F123" i="234"/>
  <c r="F119" i="234"/>
  <c r="G127" i="234"/>
  <c r="G123" i="234"/>
  <c r="G119" i="234"/>
  <c r="B131" i="234"/>
  <c r="D6" i="142"/>
  <c r="E6" i="404" s="1"/>
  <c r="D5" i="142"/>
  <c r="C6" i="404" s="1"/>
  <c r="J249" i="235" l="1"/>
  <c r="K249" i="235"/>
  <c r="G249" i="235"/>
  <c r="O249" i="235"/>
  <c r="F249" i="235"/>
  <c r="N249" i="235"/>
  <c r="T249" i="235"/>
  <c r="C249" i="235"/>
  <c r="E6" i="347"/>
  <c r="E6" i="348"/>
  <c r="E6" i="346"/>
  <c r="E6" i="349"/>
  <c r="C6" i="347"/>
  <c r="C6" i="348"/>
  <c r="C6" i="349"/>
  <c r="C6" i="346"/>
  <c r="E6" i="329"/>
  <c r="E6" i="327"/>
  <c r="E6" i="331"/>
  <c r="E6" i="325"/>
  <c r="E6" i="321"/>
  <c r="E6" i="323"/>
  <c r="E6" i="319"/>
  <c r="E6" i="317"/>
  <c r="E6" i="315"/>
  <c r="E6" i="313"/>
  <c r="E6" i="311"/>
  <c r="B3" i="332"/>
  <c r="C6" i="329"/>
  <c r="C6" i="327"/>
  <c r="C6" i="331"/>
  <c r="C6" i="325"/>
  <c r="C6" i="321"/>
  <c r="C6" i="323"/>
  <c r="C6" i="319"/>
  <c r="C6" i="317"/>
  <c r="C6" i="315"/>
  <c r="C6" i="313"/>
  <c r="C6" i="311"/>
  <c r="B7" i="20"/>
  <c r="B5" i="20"/>
  <c r="G163" i="234"/>
  <c r="F179" i="234"/>
  <c r="G131" i="234"/>
  <c r="F131" i="234"/>
  <c r="G179" i="234"/>
  <c r="F147" i="234"/>
  <c r="G147" i="234"/>
  <c r="F163" i="234"/>
  <c r="C179" i="234"/>
  <c r="L163" i="234"/>
  <c r="K179" i="234"/>
  <c r="L179" i="234"/>
  <c r="C163" i="234"/>
  <c r="K163" i="234"/>
  <c r="L147" i="234"/>
  <c r="K147" i="234"/>
  <c r="C147" i="234"/>
  <c r="C131" i="234"/>
  <c r="BO252" i="142" l="1"/>
  <c r="D167" i="234" s="1"/>
  <c r="D168" i="234"/>
  <c r="D169" i="234"/>
  <c r="D170" i="234"/>
  <c r="D171" i="234"/>
  <c r="D172" i="234"/>
  <c r="D173" i="234"/>
  <c r="D174" i="234"/>
  <c r="D175" i="234"/>
  <c r="D176" i="234"/>
  <c r="D177" i="234"/>
  <c r="D178" i="234"/>
  <c r="E167" i="234"/>
  <c r="E168" i="234"/>
  <c r="E169" i="234"/>
  <c r="E170" i="234"/>
  <c r="E171" i="234"/>
  <c r="E172" i="234"/>
  <c r="E173" i="234"/>
  <c r="E174" i="234"/>
  <c r="E175" i="234"/>
  <c r="E176" i="234"/>
  <c r="E177" i="234"/>
  <c r="E178" i="234"/>
  <c r="BW252" i="142"/>
  <c r="D151" i="234" s="1"/>
  <c r="D152" i="234"/>
  <c r="D153" i="234"/>
  <c r="D154" i="234"/>
  <c r="D155" i="234"/>
  <c r="D156" i="234"/>
  <c r="D157" i="234"/>
  <c r="D158" i="234"/>
  <c r="D159" i="234"/>
  <c r="D160" i="234"/>
  <c r="D161" i="234"/>
  <c r="D162" i="234"/>
  <c r="E151" i="234"/>
  <c r="E152" i="234"/>
  <c r="E153" i="234"/>
  <c r="E154" i="234"/>
  <c r="E155" i="234"/>
  <c r="E156" i="234"/>
  <c r="E157" i="234"/>
  <c r="E158" i="234"/>
  <c r="E159" i="234"/>
  <c r="E160" i="234"/>
  <c r="E161" i="234"/>
  <c r="E162" i="234"/>
  <c r="CM252" i="142"/>
  <c r="D135" i="234" s="1"/>
  <c r="CM253" i="142"/>
  <c r="D136" i="234" s="1"/>
  <c r="CM254" i="142"/>
  <c r="D137" i="234" s="1"/>
  <c r="CM255" i="142"/>
  <c r="D138" i="234" s="1"/>
  <c r="CM256" i="142"/>
  <c r="D139" i="234" s="1"/>
  <c r="CM257" i="142"/>
  <c r="D140" i="234" s="1"/>
  <c r="CM258" i="142"/>
  <c r="D141" i="234" s="1"/>
  <c r="CM259" i="142"/>
  <c r="D142" i="234" s="1"/>
  <c r="CM260" i="142"/>
  <c r="D143" i="234" s="1"/>
  <c r="CM261" i="142"/>
  <c r="D144" i="234" s="1"/>
  <c r="CM262" i="142"/>
  <c r="D145" i="234" s="1"/>
  <c r="CM263" i="142"/>
  <c r="D146" i="234" s="1"/>
  <c r="E135" i="234"/>
  <c r="E136" i="234"/>
  <c r="E137" i="234"/>
  <c r="E138" i="234"/>
  <c r="E139" i="234"/>
  <c r="E140" i="234"/>
  <c r="E141" i="234"/>
  <c r="E142" i="234"/>
  <c r="E143" i="234"/>
  <c r="E144" i="234"/>
  <c r="E145" i="234"/>
  <c r="E146" i="234"/>
  <c r="D119" i="234"/>
  <c r="D120" i="234"/>
  <c r="D121" i="234"/>
  <c r="D122" i="234"/>
  <c r="D123" i="234"/>
  <c r="D124" i="234"/>
  <c r="D125" i="234"/>
  <c r="D126" i="234"/>
  <c r="D127" i="234"/>
  <c r="D128" i="234"/>
  <c r="D129" i="234"/>
  <c r="D130" i="234"/>
  <c r="E119" i="234"/>
  <c r="E120" i="234"/>
  <c r="E121" i="234"/>
  <c r="E122" i="234"/>
  <c r="E123" i="234"/>
  <c r="E124" i="234"/>
  <c r="E125" i="234"/>
  <c r="E126" i="234"/>
  <c r="E127" i="234"/>
  <c r="E128" i="234"/>
  <c r="E129" i="234"/>
  <c r="E130" i="234"/>
  <c r="BO268" i="142"/>
  <c r="H167" i="234" s="1"/>
  <c r="H168" i="234"/>
  <c r="H169" i="234"/>
  <c r="H170" i="234"/>
  <c r="H171" i="234"/>
  <c r="H172" i="234"/>
  <c r="H173" i="234"/>
  <c r="H174" i="234"/>
  <c r="H175" i="234"/>
  <c r="H176" i="234"/>
  <c r="H177" i="234"/>
  <c r="H178" i="234"/>
  <c r="I167" i="234"/>
  <c r="I168" i="234"/>
  <c r="I169" i="234"/>
  <c r="I170" i="234"/>
  <c r="I171" i="234"/>
  <c r="I172" i="234"/>
  <c r="I173" i="234"/>
  <c r="I174" i="234"/>
  <c r="I175" i="234"/>
  <c r="I176" i="234"/>
  <c r="I177" i="234"/>
  <c r="I178" i="234"/>
  <c r="BW268" i="142"/>
  <c r="H151" i="234" s="1"/>
  <c r="H152" i="234"/>
  <c r="H153" i="234"/>
  <c r="H154" i="234"/>
  <c r="H155" i="234"/>
  <c r="H156" i="234"/>
  <c r="H157" i="234"/>
  <c r="H158" i="234"/>
  <c r="H159" i="234"/>
  <c r="H160" i="234"/>
  <c r="H161" i="234"/>
  <c r="H162" i="234"/>
  <c r="I151" i="234"/>
  <c r="I152" i="234"/>
  <c r="I153" i="234"/>
  <c r="I154" i="234"/>
  <c r="I155" i="234"/>
  <c r="I156" i="234"/>
  <c r="I157" i="234"/>
  <c r="I158" i="234"/>
  <c r="I159" i="234"/>
  <c r="I160" i="234"/>
  <c r="I161" i="234"/>
  <c r="CM268" i="142"/>
  <c r="H135" i="234" s="1"/>
  <c r="CM269" i="142"/>
  <c r="H136" i="234" s="1"/>
  <c r="CM270" i="142"/>
  <c r="H137" i="234" s="1"/>
  <c r="CM271" i="142"/>
  <c r="H138" i="234" s="1"/>
  <c r="CM272" i="142"/>
  <c r="H139" i="234" s="1"/>
  <c r="CM273" i="142"/>
  <c r="H140" i="234" s="1"/>
  <c r="CM274" i="142"/>
  <c r="H141" i="234" s="1"/>
  <c r="CM275" i="142"/>
  <c r="H142" i="234" s="1"/>
  <c r="CM276" i="142"/>
  <c r="H143" i="234" s="1"/>
  <c r="CM277" i="142"/>
  <c r="H144" i="234" s="1"/>
  <c r="CM278" i="142"/>
  <c r="H145" i="234" s="1"/>
  <c r="CM279" i="142"/>
  <c r="H146" i="234" s="1"/>
  <c r="I135" i="234"/>
  <c r="I136" i="234"/>
  <c r="I137" i="234"/>
  <c r="I138" i="234"/>
  <c r="I139" i="234"/>
  <c r="I140" i="234"/>
  <c r="I141" i="234"/>
  <c r="I142" i="234"/>
  <c r="I143" i="234"/>
  <c r="I144" i="234"/>
  <c r="I145" i="234"/>
  <c r="CE268" i="142"/>
  <c r="H119" i="234" s="1"/>
  <c r="H120" i="234"/>
  <c r="H121" i="234"/>
  <c r="H122" i="234"/>
  <c r="H123" i="234"/>
  <c r="H124" i="234"/>
  <c r="H125" i="234"/>
  <c r="H126" i="234"/>
  <c r="H127" i="234"/>
  <c r="H128" i="234"/>
  <c r="H129" i="234"/>
  <c r="H130" i="234"/>
  <c r="I119" i="234"/>
  <c r="I120" i="234"/>
  <c r="I121" i="234"/>
  <c r="I122" i="234"/>
  <c r="I123" i="234"/>
  <c r="I124" i="234"/>
  <c r="I125" i="234"/>
  <c r="I126" i="234"/>
  <c r="I127" i="234"/>
  <c r="I128" i="234"/>
  <c r="I129" i="234"/>
  <c r="C268" i="142"/>
  <c r="S160" i="235"/>
  <c r="S161" i="235"/>
  <c r="S162" i="235"/>
  <c r="S163" i="235"/>
  <c r="S164" i="235"/>
  <c r="S165" i="235"/>
  <c r="T159" i="235"/>
  <c r="T160" i="235"/>
  <c r="T161" i="235"/>
  <c r="T162" i="235"/>
  <c r="T163" i="235"/>
  <c r="T164" i="235"/>
  <c r="T165" i="235"/>
  <c r="T166" i="235"/>
  <c r="T168" i="235"/>
  <c r="T169" i="235"/>
  <c r="T170" i="235"/>
  <c r="S129" i="235"/>
  <c r="S130" i="235"/>
  <c r="S131" i="235"/>
  <c r="S132" i="235"/>
  <c r="S133" i="235"/>
  <c r="S134" i="235"/>
  <c r="T128" i="235"/>
  <c r="T129" i="235"/>
  <c r="T130" i="235"/>
  <c r="T131" i="235"/>
  <c r="T132" i="235"/>
  <c r="T133" i="235"/>
  <c r="T134" i="235"/>
  <c r="T135" i="235"/>
  <c r="T137" i="235"/>
  <c r="T138" i="235"/>
  <c r="T139" i="235"/>
  <c r="T113" i="235"/>
  <c r="T114" i="235"/>
  <c r="T115" i="235"/>
  <c r="T116" i="235"/>
  <c r="T117" i="235"/>
  <c r="T118" i="235"/>
  <c r="T119" i="235"/>
  <c r="T120" i="235"/>
  <c r="T121" i="235"/>
  <c r="T122" i="235"/>
  <c r="T123" i="235"/>
  <c r="T124" i="235"/>
  <c r="T155" i="235"/>
  <c r="S145" i="235"/>
  <c r="S146" i="235"/>
  <c r="S147" i="235"/>
  <c r="S148" i="235"/>
  <c r="S149" i="235"/>
  <c r="S150" i="235"/>
  <c r="E113" i="235"/>
  <c r="I113" i="235"/>
  <c r="I159" i="235"/>
  <c r="M113" i="235"/>
  <c r="Q113" i="235"/>
  <c r="Q159" i="235"/>
  <c r="T154" i="235" l="1"/>
  <c r="T153" i="235"/>
  <c r="T151" i="235"/>
  <c r="T150" i="235"/>
  <c r="T149" i="235"/>
  <c r="T148" i="235"/>
  <c r="T147" i="235"/>
  <c r="T146" i="235"/>
  <c r="T145" i="235"/>
  <c r="T144" i="235"/>
  <c r="H144" i="235"/>
  <c r="P144" i="235"/>
  <c r="P159" i="235"/>
  <c r="H147" i="234"/>
  <c r="H163" i="234"/>
  <c r="I131" i="234"/>
  <c r="I147" i="234"/>
  <c r="I163" i="234"/>
  <c r="I179" i="234"/>
  <c r="E131" i="234"/>
  <c r="E147" i="234"/>
  <c r="E163" i="234"/>
  <c r="E179" i="234"/>
  <c r="H179" i="234"/>
  <c r="D179" i="234"/>
  <c r="H131" i="234"/>
  <c r="D131" i="234"/>
  <c r="Q114" i="235"/>
  <c r="M114" i="235"/>
  <c r="I114" i="235"/>
  <c r="E114" i="235"/>
  <c r="Q128" i="235"/>
  <c r="P128" i="235"/>
  <c r="M128" i="235"/>
  <c r="L128" i="235"/>
  <c r="I128" i="235"/>
  <c r="H128" i="235"/>
  <c r="E128" i="235"/>
  <c r="S128" i="235"/>
  <c r="D128" i="235"/>
  <c r="T136" i="235"/>
  <c r="L159" i="235"/>
  <c r="M159" i="235"/>
  <c r="T167" i="235"/>
  <c r="U159" i="235"/>
  <c r="S159" i="235"/>
  <c r="E159" i="235"/>
  <c r="D159" i="235"/>
  <c r="Q144" i="235"/>
  <c r="P145" i="235"/>
  <c r="L144" i="235"/>
  <c r="M144" i="235"/>
  <c r="I144" i="235"/>
  <c r="E144" i="235"/>
  <c r="S144" i="235"/>
  <c r="T152" i="235"/>
  <c r="D144" i="235"/>
  <c r="D163" i="234"/>
  <c r="D147" i="234"/>
  <c r="C271" i="142"/>
  <c r="C270" i="142"/>
  <c r="C269" i="142"/>
  <c r="C279" i="142"/>
  <c r="C275" i="142"/>
  <c r="C278" i="142"/>
  <c r="C274" i="142"/>
  <c r="C277" i="142"/>
  <c r="C273" i="142"/>
  <c r="C276" i="142"/>
  <c r="C272" i="142"/>
  <c r="H145" i="235"/>
  <c r="Q145" i="235" l="1"/>
  <c r="I145" i="235"/>
  <c r="U144" i="235"/>
  <c r="U128" i="235"/>
  <c r="M115" i="235"/>
  <c r="Q115" i="235"/>
  <c r="I115" i="235"/>
  <c r="E115" i="235"/>
  <c r="P129" i="235"/>
  <c r="Q129" i="235"/>
  <c r="L129" i="235"/>
  <c r="M129" i="235"/>
  <c r="H129" i="235"/>
  <c r="I129" i="235"/>
  <c r="D129" i="235"/>
  <c r="E129" i="235"/>
  <c r="Q160" i="235"/>
  <c r="P160" i="235"/>
  <c r="M160" i="235"/>
  <c r="L160" i="235"/>
  <c r="I160" i="235"/>
  <c r="H160" i="235"/>
  <c r="E160" i="235"/>
  <c r="D160" i="235"/>
  <c r="M145" i="235"/>
  <c r="L145" i="235"/>
  <c r="D145" i="235"/>
  <c r="E145" i="235"/>
  <c r="H146" i="235"/>
  <c r="M116" i="235" l="1"/>
  <c r="Q146" i="235"/>
  <c r="I147" i="235"/>
  <c r="I146" i="235"/>
  <c r="P146" i="235"/>
  <c r="U129" i="235"/>
  <c r="Q116" i="235"/>
  <c r="M117" i="235"/>
  <c r="I116" i="235"/>
  <c r="E116" i="235"/>
  <c r="Q130" i="235"/>
  <c r="P130" i="235"/>
  <c r="M130" i="235"/>
  <c r="L130" i="235"/>
  <c r="I130" i="235"/>
  <c r="H130" i="235"/>
  <c r="D130" i="235"/>
  <c r="E130" i="235"/>
  <c r="U130" i="235"/>
  <c r="P161" i="235"/>
  <c r="Q161" i="235"/>
  <c r="L161" i="235"/>
  <c r="M161" i="235"/>
  <c r="I161" i="235"/>
  <c r="H161" i="235"/>
  <c r="D161" i="235"/>
  <c r="U160" i="235"/>
  <c r="E161" i="235"/>
  <c r="P147" i="235"/>
  <c r="L146" i="235"/>
  <c r="M146" i="235"/>
  <c r="E146" i="235"/>
  <c r="D146" i="235"/>
  <c r="U145" i="235"/>
  <c r="H147" i="235"/>
  <c r="Q147" i="235" l="1"/>
  <c r="I148" i="235"/>
  <c r="Q117" i="235"/>
  <c r="M118" i="235"/>
  <c r="I117" i="235"/>
  <c r="E117" i="235"/>
  <c r="P131" i="235"/>
  <c r="Q131" i="235"/>
  <c r="L131" i="235"/>
  <c r="M131" i="235"/>
  <c r="H131" i="235"/>
  <c r="I131" i="235"/>
  <c r="E131" i="235"/>
  <c r="U131" i="235"/>
  <c r="D131" i="235"/>
  <c r="Q162" i="235"/>
  <c r="P162" i="235"/>
  <c r="M162" i="235"/>
  <c r="L162" i="235"/>
  <c r="I162" i="235"/>
  <c r="H162" i="235"/>
  <c r="U161" i="235"/>
  <c r="E162" i="235"/>
  <c r="D162" i="235"/>
  <c r="P148" i="235"/>
  <c r="M147" i="235"/>
  <c r="L147" i="235"/>
  <c r="U146" i="235"/>
  <c r="D147" i="235"/>
  <c r="E147" i="235"/>
  <c r="H148" i="235"/>
  <c r="Q148" i="235" l="1"/>
  <c r="I149" i="235"/>
  <c r="Q118" i="235"/>
  <c r="M119" i="235"/>
  <c r="I118" i="235"/>
  <c r="E118" i="235"/>
  <c r="Q132" i="235"/>
  <c r="P132" i="235"/>
  <c r="M132" i="235"/>
  <c r="L132" i="235"/>
  <c r="I132" i="235"/>
  <c r="H132" i="235"/>
  <c r="U132" i="235"/>
  <c r="D132" i="235"/>
  <c r="E132" i="235"/>
  <c r="P163" i="235"/>
  <c r="Q163" i="235"/>
  <c r="L163" i="235"/>
  <c r="M163" i="235"/>
  <c r="I163" i="235"/>
  <c r="H163" i="235"/>
  <c r="E163" i="235"/>
  <c r="D163" i="235"/>
  <c r="U162" i="235"/>
  <c r="P149" i="235"/>
  <c r="L148" i="235"/>
  <c r="M148" i="235"/>
  <c r="E148" i="235"/>
  <c r="D148" i="235"/>
  <c r="U147" i="235"/>
  <c r="H149" i="235"/>
  <c r="Q149" i="235" l="1"/>
  <c r="I150" i="235"/>
  <c r="Q119" i="235"/>
  <c r="I119" i="235"/>
  <c r="E119" i="235"/>
  <c r="P133" i="235"/>
  <c r="Q133" i="235"/>
  <c r="L133" i="235"/>
  <c r="M133" i="235"/>
  <c r="H133" i="235"/>
  <c r="I133" i="235"/>
  <c r="D133" i="235"/>
  <c r="E133" i="235"/>
  <c r="U133" i="235"/>
  <c r="Q164" i="235"/>
  <c r="P164" i="235"/>
  <c r="M164" i="235"/>
  <c r="L164" i="235"/>
  <c r="I164" i="235"/>
  <c r="H164" i="235"/>
  <c r="D164" i="235"/>
  <c r="U163" i="235"/>
  <c r="E164" i="235"/>
  <c r="P150" i="235"/>
  <c r="M149" i="235"/>
  <c r="L149" i="235"/>
  <c r="D149" i="235"/>
  <c r="U148" i="235"/>
  <c r="E149" i="235"/>
  <c r="I151" i="235" l="1"/>
  <c r="H150" i="235"/>
  <c r="Q150" i="235"/>
  <c r="E120" i="235"/>
  <c r="Q134" i="235"/>
  <c r="P134" i="235"/>
  <c r="L134" i="235"/>
  <c r="M134" i="235"/>
  <c r="I134" i="235"/>
  <c r="H134" i="235"/>
  <c r="E134" i="235"/>
  <c r="U134" i="235"/>
  <c r="D134" i="235"/>
  <c r="P165" i="235"/>
  <c r="Q165" i="235"/>
  <c r="L165" i="235"/>
  <c r="M165" i="235"/>
  <c r="I165" i="235"/>
  <c r="H165" i="235"/>
  <c r="U164" i="235"/>
  <c r="E165" i="235"/>
  <c r="D165" i="235"/>
  <c r="P151" i="235"/>
  <c r="M150" i="235"/>
  <c r="L150" i="235"/>
  <c r="U149" i="235"/>
  <c r="E150" i="235"/>
  <c r="D150" i="235"/>
  <c r="I152" i="235" l="1"/>
  <c r="Q151" i="235"/>
  <c r="P153" i="235"/>
  <c r="E121" i="235"/>
  <c r="P135" i="235"/>
  <c r="Q135" i="235"/>
  <c r="M135" i="235"/>
  <c r="L135" i="235"/>
  <c r="H135" i="235"/>
  <c r="I135" i="235"/>
  <c r="U135" i="235"/>
  <c r="D135" i="235"/>
  <c r="E135" i="235"/>
  <c r="Q166" i="235"/>
  <c r="P166" i="235"/>
  <c r="M166" i="235"/>
  <c r="L166" i="235"/>
  <c r="H166" i="235"/>
  <c r="I166" i="235"/>
  <c r="E166" i="235"/>
  <c r="D166" i="235"/>
  <c r="U165" i="235"/>
  <c r="P152" i="235"/>
  <c r="L151" i="235"/>
  <c r="M151" i="235"/>
  <c r="H151" i="235"/>
  <c r="E151" i="235"/>
  <c r="D151" i="235"/>
  <c r="U150" i="235"/>
  <c r="I153" i="235" l="1"/>
  <c r="Q152" i="235"/>
  <c r="H154" i="235"/>
  <c r="U137" i="235"/>
  <c r="D154" i="235"/>
  <c r="H153" i="235"/>
  <c r="D136" i="235"/>
  <c r="L136" i="235"/>
  <c r="D167" i="235"/>
  <c r="L167" i="235"/>
  <c r="P167" i="235"/>
  <c r="H136" i="235"/>
  <c r="P136" i="235"/>
  <c r="D153" i="235"/>
  <c r="L153" i="235"/>
  <c r="H167" i="235"/>
  <c r="E122" i="235"/>
  <c r="Q136" i="235"/>
  <c r="M136" i="235"/>
  <c r="I136" i="235"/>
  <c r="U136" i="235"/>
  <c r="E136" i="235"/>
  <c r="Q168" i="235"/>
  <c r="Q167" i="235"/>
  <c r="M167" i="235"/>
  <c r="I167" i="235"/>
  <c r="U166" i="235"/>
  <c r="E167" i="235"/>
  <c r="L152" i="235"/>
  <c r="M152" i="235"/>
  <c r="H152" i="235"/>
  <c r="U151" i="235"/>
  <c r="E152" i="235"/>
  <c r="D152" i="235"/>
  <c r="M153" i="235" l="1"/>
  <c r="I154" i="235"/>
  <c r="E153" i="235"/>
  <c r="P137" i="235"/>
  <c r="Q153" i="235"/>
  <c r="L168" i="235"/>
  <c r="L137" i="235"/>
  <c r="H137" i="235"/>
  <c r="H168" i="235"/>
  <c r="D137" i="235"/>
  <c r="U168" i="235"/>
  <c r="D168" i="235"/>
  <c r="M168" i="235"/>
  <c r="P168" i="235"/>
  <c r="E137" i="235"/>
  <c r="I137" i="235"/>
  <c r="Q137" i="235"/>
  <c r="E168" i="235"/>
  <c r="I168" i="235"/>
  <c r="U153" i="235"/>
  <c r="M137" i="235"/>
  <c r="E123" i="235"/>
  <c r="Q169" i="235"/>
  <c r="U167" i="235"/>
  <c r="U152" i="235"/>
  <c r="L249" i="235" l="1"/>
  <c r="P249" i="235"/>
  <c r="U249" i="235"/>
  <c r="D249" i="235"/>
  <c r="M138" i="235"/>
  <c r="Q138" i="235"/>
  <c r="I138" i="235"/>
  <c r="I169" i="235"/>
  <c r="M169" i="235"/>
  <c r="M154" i="235"/>
  <c r="E154" i="235"/>
  <c r="Q154" i="235"/>
  <c r="Q249" i="235" s="1"/>
  <c r="E124" i="235"/>
  <c r="E139" i="235"/>
  <c r="E138" i="235"/>
  <c r="E170" i="235"/>
  <c r="E169" i="235"/>
  <c r="I249" i="235" l="1"/>
  <c r="M249" i="235"/>
  <c r="E249" i="235"/>
  <c r="C3" i="194"/>
  <c r="C1" i="194"/>
  <c r="B8" i="194" l="1"/>
  <c r="B2" i="194" s="1"/>
  <c r="D2" i="194" s="1"/>
  <c r="D1" i="194"/>
  <c r="F2" i="194"/>
  <c r="D3" i="194"/>
  <c r="F3" i="194"/>
  <c r="E2" i="194" l="1"/>
  <c r="G2" i="194" s="1"/>
  <c r="G1" i="194"/>
  <c r="F1" i="194"/>
  <c r="H1" i="194" s="1"/>
  <c r="C42" i="278" l="1"/>
  <c r="C65" i="278"/>
  <c r="C59" i="278"/>
  <c r="C26" i="278"/>
  <c r="C49" i="278"/>
  <c r="D49" i="278" l="1"/>
  <c r="U49" i="332"/>
  <c r="AI49" i="332" s="1"/>
  <c r="D26" i="278"/>
  <c r="U26" i="332"/>
  <c r="AI26" i="332" s="1"/>
  <c r="D59" i="278"/>
  <c r="U59" i="332"/>
  <c r="AI59" i="332" s="1"/>
  <c r="D42" i="278"/>
  <c r="U42" i="332"/>
  <c r="AI42" i="332" s="1"/>
  <c r="D65" i="278"/>
  <c r="G26" i="278"/>
  <c r="H26" i="278" s="1"/>
  <c r="G14" i="278"/>
  <c r="H14" i="278" s="1"/>
  <c r="G12" i="278"/>
  <c r="H12" i="278" s="1"/>
  <c r="G11" i="278"/>
  <c r="H11" i="278" s="1"/>
  <c r="C13" i="278"/>
  <c r="G10" i="278"/>
  <c r="C61" i="278"/>
  <c r="G49" i="278"/>
  <c r="H49" i="278" s="1"/>
  <c r="G59" i="278"/>
  <c r="H59" i="278" s="1"/>
  <c r="G65" i="278"/>
  <c r="AJ59" i="332" l="1"/>
  <c r="V59" i="332"/>
  <c r="V42" i="332"/>
  <c r="AJ42" i="332"/>
  <c r="V26" i="332"/>
  <c r="AJ26" i="332"/>
  <c r="V49" i="332"/>
  <c r="AJ49" i="332"/>
  <c r="D61" i="278"/>
  <c r="U61" i="332"/>
  <c r="AI61" i="332" s="1"/>
  <c r="D13" i="278"/>
  <c r="U13" i="332"/>
  <c r="AI13" i="332" s="1"/>
  <c r="H65" i="278"/>
  <c r="G13" i="278"/>
  <c r="H10" i="278"/>
  <c r="G42" i="278"/>
  <c r="H42" i="278" s="1"/>
  <c r="C16" i="278"/>
  <c r="M171" i="234"/>
  <c r="M170" i="234"/>
  <c r="V61" i="332" l="1"/>
  <c r="AJ61" i="332"/>
  <c r="D16" i="278"/>
  <c r="U16" i="332"/>
  <c r="AI16" i="332" s="1"/>
  <c r="V13" i="332"/>
  <c r="AJ13" i="332"/>
  <c r="G61" i="278"/>
  <c r="H61" i="278" s="1"/>
  <c r="G16" i="278"/>
  <c r="H13" i="278"/>
  <c r="C18" i="278"/>
  <c r="U18" i="332" s="1"/>
  <c r="AI18" i="332" s="1"/>
  <c r="E79" i="253"/>
  <c r="E83" i="253" s="1"/>
  <c r="D83" i="253"/>
  <c r="E58" i="253"/>
  <c r="E62" i="253" s="1"/>
  <c r="D62" i="253"/>
  <c r="V18" i="332" l="1"/>
  <c r="AJ18" i="332"/>
  <c r="V16" i="332"/>
  <c r="AJ16" i="332"/>
  <c r="C69" i="278"/>
  <c r="D18" i="278"/>
  <c r="G18" i="278"/>
  <c r="H18" i="278" s="1"/>
  <c r="H16" i="278"/>
  <c r="C44" i="278"/>
  <c r="C70" i="278" l="1"/>
  <c r="U70" i="332" s="1"/>
  <c r="AI70" i="332" s="1"/>
  <c r="U69" i="332"/>
  <c r="AI69" i="332" s="1"/>
  <c r="C76" i="278"/>
  <c r="D76" i="278" s="1"/>
  <c r="D44" i="278"/>
  <c r="U44" i="332"/>
  <c r="AI44" i="332" s="1"/>
  <c r="D69" i="278"/>
  <c r="G44" i="278"/>
  <c r="H44" i="278" s="1"/>
  <c r="G69" i="278"/>
  <c r="G70" i="278" s="1"/>
  <c r="D70" i="278" l="1"/>
  <c r="V44" i="332"/>
  <c r="AJ44" i="332"/>
  <c r="V69" i="332"/>
  <c r="U76" i="332"/>
  <c r="AI76" i="332" s="1"/>
  <c r="AJ69" i="332"/>
  <c r="V70" i="332"/>
  <c r="AJ70" i="332"/>
  <c r="H69" i="278"/>
  <c r="H70" i="278"/>
  <c r="G76" i="278"/>
  <c r="H76" i="278" s="1"/>
  <c r="H38" i="253"/>
  <c r="H42" i="253" s="1"/>
  <c r="E38" i="253"/>
  <c r="E42" i="253" s="1"/>
  <c r="D42" i="253"/>
  <c r="E18" i="253"/>
  <c r="E22" i="253" s="1"/>
  <c r="D22" i="253"/>
  <c r="CE286" i="142"/>
  <c r="M121" i="234" s="1"/>
  <c r="V76" i="332" l="1"/>
  <c r="AJ76" i="332"/>
  <c r="H79" i="253"/>
  <c r="H83" i="253" s="1"/>
  <c r="H58" i="253"/>
  <c r="H62" i="253" s="1"/>
  <c r="M177" i="234" l="1"/>
  <c r="N175" i="234"/>
  <c r="M175" i="234"/>
  <c r="N174" i="234"/>
  <c r="M174" i="234"/>
  <c r="N173" i="234"/>
  <c r="M173" i="234"/>
  <c r="N172" i="234"/>
  <c r="M172" i="234"/>
  <c r="N171" i="234"/>
  <c r="N170" i="234"/>
  <c r="N169" i="234"/>
  <c r="M169" i="234"/>
  <c r="N168" i="234"/>
  <c r="M168" i="234"/>
  <c r="N167" i="234"/>
  <c r="M167" i="234"/>
  <c r="M162" i="234"/>
  <c r="N161" i="234"/>
  <c r="M161" i="234"/>
  <c r="N159" i="234"/>
  <c r="M159" i="234"/>
  <c r="N158" i="234"/>
  <c r="M158" i="234"/>
  <c r="N157" i="234"/>
  <c r="M157" i="234"/>
  <c r="N156" i="234"/>
  <c r="M156" i="234"/>
  <c r="N155" i="234"/>
  <c r="M155" i="234"/>
  <c r="N154" i="234"/>
  <c r="M154" i="234"/>
  <c r="N153" i="234"/>
  <c r="M153" i="234"/>
  <c r="N152" i="234"/>
  <c r="M152" i="234"/>
  <c r="N151" i="234"/>
  <c r="BW284" i="142"/>
  <c r="CM295" i="142"/>
  <c r="M146" i="234" s="1"/>
  <c r="N145" i="234"/>
  <c r="CM294" i="142"/>
  <c r="M145" i="234" s="1"/>
  <c r="CM293" i="142"/>
  <c r="N143" i="234"/>
  <c r="CM292" i="142"/>
  <c r="M143" i="234" s="1"/>
  <c r="N142" i="234"/>
  <c r="CM291" i="142"/>
  <c r="M142" i="234" s="1"/>
  <c r="N141" i="234"/>
  <c r="CM290" i="142"/>
  <c r="M141" i="234" s="1"/>
  <c r="N140" i="234"/>
  <c r="CM289" i="142"/>
  <c r="M140" i="234" s="1"/>
  <c r="N139" i="234"/>
  <c r="CM288" i="142"/>
  <c r="N138" i="234"/>
  <c r="CM287" i="142"/>
  <c r="M138" i="234" s="1"/>
  <c r="N137" i="234"/>
  <c r="CM286" i="142"/>
  <c r="M137" i="234" s="1"/>
  <c r="N136" i="234"/>
  <c r="CM285" i="142"/>
  <c r="M136" i="234" s="1"/>
  <c r="N135" i="234"/>
  <c r="CM284" i="142"/>
  <c r="M135" i="234" s="1"/>
  <c r="N129" i="234"/>
  <c r="N127" i="234"/>
  <c r="N126" i="234"/>
  <c r="N125" i="234"/>
  <c r="N124" i="234"/>
  <c r="N123" i="234"/>
  <c r="N122" i="234"/>
  <c r="N121" i="234"/>
  <c r="N120" i="234"/>
  <c r="N119" i="234"/>
  <c r="CE295" i="142"/>
  <c r="M130" i="234" s="1"/>
  <c r="CE294" i="142"/>
  <c r="M129" i="234" s="1"/>
  <c r="CE293" i="142"/>
  <c r="CE292" i="142"/>
  <c r="M127" i="234" s="1"/>
  <c r="CE291" i="142"/>
  <c r="M126" i="234" s="1"/>
  <c r="CE290" i="142"/>
  <c r="M125" i="234" s="1"/>
  <c r="CE289" i="142"/>
  <c r="M124" i="234" s="1"/>
  <c r="CE288" i="142"/>
  <c r="CE287" i="142"/>
  <c r="M122" i="234" s="1"/>
  <c r="CE285" i="142"/>
  <c r="M120" i="234" s="1"/>
  <c r="CE284" i="142"/>
  <c r="C292" i="142"/>
  <c r="B66" i="190"/>
  <c r="B67" i="190"/>
  <c r="B68" i="190"/>
  <c r="B69" i="190"/>
  <c r="B70" i="190"/>
  <c r="B71" i="190"/>
  <c r="B72" i="190"/>
  <c r="B73" i="190"/>
  <c r="B74" i="190"/>
  <c r="B75" i="190"/>
  <c r="B76" i="190"/>
  <c r="B77" i="190"/>
  <c r="V113" i="235"/>
  <c r="E15" i="102"/>
  <c r="F15" i="102"/>
  <c r="G15" i="102"/>
  <c r="H15" i="102"/>
  <c r="I15" i="102"/>
  <c r="J15" i="102"/>
  <c r="K15" i="102"/>
  <c r="L15" i="102"/>
  <c r="M15" i="102"/>
  <c r="E16" i="102"/>
  <c r="F16" i="102"/>
  <c r="G16" i="102"/>
  <c r="H16" i="102"/>
  <c r="I16" i="102"/>
  <c r="J16" i="102"/>
  <c r="K16" i="102"/>
  <c r="L16" i="102"/>
  <c r="M16" i="102"/>
  <c r="E14" i="102"/>
  <c r="F14" i="102"/>
  <c r="G14" i="102"/>
  <c r="H14" i="102"/>
  <c r="I14" i="102"/>
  <c r="J14" i="102"/>
  <c r="K14" i="102"/>
  <c r="L14" i="102"/>
  <c r="M14" i="102"/>
  <c r="E13" i="102"/>
  <c r="F13" i="102"/>
  <c r="G13" i="102"/>
  <c r="H13" i="102"/>
  <c r="I13" i="102"/>
  <c r="J13" i="102"/>
  <c r="K13" i="102"/>
  <c r="L13" i="102"/>
  <c r="M13" i="102"/>
  <c r="K37" i="102"/>
  <c r="H37" i="102"/>
  <c r="G37" i="102"/>
  <c r="F37" i="102"/>
  <c r="E37" i="102"/>
  <c r="H36" i="102"/>
  <c r="G36" i="102"/>
  <c r="F36" i="102"/>
  <c r="E36" i="102"/>
  <c r="B13" i="102"/>
  <c r="B14" i="102"/>
  <c r="B16" i="102"/>
  <c r="B15" i="102"/>
  <c r="B127" i="189"/>
  <c r="C127" i="189" s="1"/>
  <c r="B128" i="189"/>
  <c r="C128" i="189" s="1"/>
  <c r="B129" i="189"/>
  <c r="C129" i="189" s="1"/>
  <c r="B130" i="189"/>
  <c r="C130" i="189" s="1"/>
  <c r="B131" i="189"/>
  <c r="C131" i="189" s="1"/>
  <c r="B132" i="189"/>
  <c r="C132" i="189" s="1"/>
  <c r="B133" i="189"/>
  <c r="C133" i="189" s="1"/>
  <c r="B134" i="189"/>
  <c r="B135" i="189"/>
  <c r="B136" i="189"/>
  <c r="B137" i="189"/>
  <c r="J81" i="189"/>
  <c r="J82" i="189"/>
  <c r="K82" i="189" s="1"/>
  <c r="J83" i="189"/>
  <c r="K83" i="189" s="1"/>
  <c r="J84" i="189"/>
  <c r="K84" i="189" s="1"/>
  <c r="J85" i="189"/>
  <c r="K85" i="189" s="1"/>
  <c r="J86" i="189"/>
  <c r="K86" i="189" s="1"/>
  <c r="J87" i="189"/>
  <c r="K87" i="189" s="1"/>
  <c r="J88" i="189"/>
  <c r="K88" i="189" s="1"/>
  <c r="J89" i="189"/>
  <c r="J90" i="189"/>
  <c r="J91" i="189"/>
  <c r="J92" i="189"/>
  <c r="B81" i="189"/>
  <c r="B82" i="189"/>
  <c r="B83" i="189"/>
  <c r="C83" i="189" s="1"/>
  <c r="B84" i="189"/>
  <c r="C84" i="189" s="1"/>
  <c r="B85" i="189"/>
  <c r="C85" i="189" s="1"/>
  <c r="B86" i="189"/>
  <c r="C86" i="189" s="1"/>
  <c r="B87" i="189"/>
  <c r="C87" i="189" s="1"/>
  <c r="B88" i="189"/>
  <c r="C88" i="189" s="1"/>
  <c r="B89" i="189"/>
  <c r="B90" i="189"/>
  <c r="B91" i="189"/>
  <c r="B92" i="189"/>
  <c r="J66" i="189"/>
  <c r="J67" i="189"/>
  <c r="J68" i="189"/>
  <c r="K68" i="189" s="1"/>
  <c r="J69" i="189"/>
  <c r="K69" i="189" s="1"/>
  <c r="J70" i="189"/>
  <c r="K70" i="189" s="1"/>
  <c r="J71" i="189"/>
  <c r="K71" i="189" s="1"/>
  <c r="J72" i="189"/>
  <c r="K72" i="189" s="1"/>
  <c r="J73" i="189"/>
  <c r="K73" i="189" s="1"/>
  <c r="J74" i="189"/>
  <c r="J75" i="189"/>
  <c r="J76" i="189"/>
  <c r="J77" i="189"/>
  <c r="B66" i="189"/>
  <c r="B67" i="189"/>
  <c r="B68" i="189"/>
  <c r="B69" i="189"/>
  <c r="B70" i="189"/>
  <c r="B71" i="189"/>
  <c r="B72" i="189"/>
  <c r="B73" i="189"/>
  <c r="C73" i="189" s="1"/>
  <c r="B74" i="189"/>
  <c r="B75" i="189"/>
  <c r="B76" i="189"/>
  <c r="B77" i="189"/>
  <c r="B126" i="190"/>
  <c r="B127" i="190"/>
  <c r="B129" i="190"/>
  <c r="B130" i="190"/>
  <c r="B131" i="190"/>
  <c r="B132" i="190"/>
  <c r="B133" i="190"/>
  <c r="B134" i="190"/>
  <c r="B135" i="190"/>
  <c r="B136" i="190"/>
  <c r="B137" i="190"/>
  <c r="J81" i="190"/>
  <c r="J82" i="190"/>
  <c r="J83" i="190"/>
  <c r="J84" i="190"/>
  <c r="J85" i="190"/>
  <c r="J86" i="190"/>
  <c r="J87" i="190"/>
  <c r="J88" i="190"/>
  <c r="J89" i="190"/>
  <c r="J90" i="190"/>
  <c r="J91" i="190"/>
  <c r="J92" i="190"/>
  <c r="B81" i="190"/>
  <c r="F81" i="190" s="1"/>
  <c r="B82" i="190"/>
  <c r="F82" i="190" s="1"/>
  <c r="B83" i="190"/>
  <c r="F83" i="190" s="1"/>
  <c r="B84" i="190"/>
  <c r="F84" i="190" s="1"/>
  <c r="B85" i="190"/>
  <c r="F85" i="190" s="1"/>
  <c r="B86" i="190"/>
  <c r="F86" i="190" s="1"/>
  <c r="B87" i="190"/>
  <c r="F87" i="190" s="1"/>
  <c r="B88" i="190"/>
  <c r="F88" i="190" s="1"/>
  <c r="B89" i="190"/>
  <c r="F89" i="190" s="1"/>
  <c r="B90" i="190"/>
  <c r="B91" i="190"/>
  <c r="B92" i="190"/>
  <c r="J66" i="190"/>
  <c r="J67" i="190"/>
  <c r="J68" i="190"/>
  <c r="J69" i="190"/>
  <c r="J70" i="190"/>
  <c r="J71" i="190"/>
  <c r="J72" i="190"/>
  <c r="J73" i="190"/>
  <c r="J74" i="190"/>
  <c r="J75" i="190"/>
  <c r="J76" i="190"/>
  <c r="J77" i="190"/>
  <c r="D13" i="102"/>
  <c r="C13" i="102"/>
  <c r="D14" i="102"/>
  <c r="C14" i="102"/>
  <c r="B35" i="102"/>
  <c r="D16" i="102"/>
  <c r="C16" i="102"/>
  <c r="B37" i="102"/>
  <c r="D15" i="102"/>
  <c r="C15" i="102"/>
  <c r="M49" i="102"/>
  <c r="L49" i="102"/>
  <c r="K49" i="102"/>
  <c r="J49" i="102"/>
  <c r="I49" i="102"/>
  <c r="H49" i="102"/>
  <c r="G49" i="102"/>
  <c r="F49" i="102"/>
  <c r="E49" i="102"/>
  <c r="D49" i="102"/>
  <c r="C49" i="102"/>
  <c r="B49" i="102"/>
  <c r="M50" i="102"/>
  <c r="L50" i="102"/>
  <c r="K50" i="102"/>
  <c r="J50" i="102"/>
  <c r="I50" i="102"/>
  <c r="H50" i="102"/>
  <c r="G50" i="102"/>
  <c r="F50" i="102"/>
  <c r="E50" i="102"/>
  <c r="D50" i="102"/>
  <c r="C50" i="102"/>
  <c r="B50" i="102"/>
  <c r="M52" i="102"/>
  <c r="L52" i="102"/>
  <c r="K52" i="102"/>
  <c r="J52" i="102"/>
  <c r="I52" i="102"/>
  <c r="H52" i="102"/>
  <c r="G52" i="102"/>
  <c r="F52" i="102"/>
  <c r="E52" i="102"/>
  <c r="D52" i="102"/>
  <c r="C52" i="102"/>
  <c r="B52" i="102"/>
  <c r="M51" i="102"/>
  <c r="L51" i="102"/>
  <c r="K51" i="102"/>
  <c r="J51" i="102"/>
  <c r="I51" i="102"/>
  <c r="H51" i="102"/>
  <c r="G51" i="102"/>
  <c r="F51" i="102"/>
  <c r="E51" i="102"/>
  <c r="D51" i="102"/>
  <c r="C51" i="102"/>
  <c r="B51" i="102"/>
  <c r="K34" i="102"/>
  <c r="H34" i="102"/>
  <c r="G34" i="102"/>
  <c r="F34" i="102"/>
  <c r="E34" i="102"/>
  <c r="K35" i="102"/>
  <c r="H35" i="102"/>
  <c r="G35" i="102"/>
  <c r="F35" i="102"/>
  <c r="E35" i="102"/>
  <c r="M34" i="102"/>
  <c r="L34" i="102"/>
  <c r="J34" i="102"/>
  <c r="I34" i="102"/>
  <c r="D34" i="102"/>
  <c r="C34" i="102"/>
  <c r="B34" i="102"/>
  <c r="M35" i="102"/>
  <c r="L35" i="102"/>
  <c r="J35" i="102"/>
  <c r="I35" i="102"/>
  <c r="D35" i="102"/>
  <c r="C35" i="102"/>
  <c r="L37" i="102"/>
  <c r="J37" i="102"/>
  <c r="I37" i="102"/>
  <c r="D37" i="102"/>
  <c r="C37" i="102"/>
  <c r="M36" i="102"/>
  <c r="J36" i="102"/>
  <c r="I36" i="102"/>
  <c r="C36" i="102"/>
  <c r="B36" i="102"/>
  <c r="O1" i="190"/>
  <c r="O1" i="189"/>
  <c r="M1" i="102"/>
  <c r="H1" i="162"/>
  <c r="H1" i="155"/>
  <c r="H1" i="154"/>
  <c r="H1" i="153"/>
  <c r="H1" i="152"/>
  <c r="H1" i="148"/>
  <c r="H1" i="147"/>
  <c r="H1" i="146"/>
  <c r="H1" i="145"/>
  <c r="H1" i="144"/>
  <c r="H1" i="143"/>
  <c r="B11" i="20"/>
  <c r="B9" i="20"/>
  <c r="M151" i="234" l="1"/>
  <c r="S80" i="333"/>
  <c r="C80" i="327"/>
  <c r="G80" i="327" s="1"/>
  <c r="F17" i="102"/>
  <c r="F23" i="102" s="1"/>
  <c r="J17" i="102"/>
  <c r="J23" i="102" s="1"/>
  <c r="I17" i="102"/>
  <c r="I23" i="102" s="1"/>
  <c r="H17" i="102"/>
  <c r="H23" i="102" s="1"/>
  <c r="G17" i="102"/>
  <c r="G23" i="102" s="1"/>
  <c r="B17" i="102"/>
  <c r="B23" i="102" s="1"/>
  <c r="C17" i="102"/>
  <c r="C23" i="102" s="1"/>
  <c r="D17" i="102"/>
  <c r="D23" i="102" s="1"/>
  <c r="M17" i="102"/>
  <c r="M23" i="102" s="1"/>
  <c r="E17" i="102"/>
  <c r="E23" i="102" s="1"/>
  <c r="L17" i="102"/>
  <c r="L23" i="102" s="1"/>
  <c r="K17" i="102"/>
  <c r="K23" i="102" s="1"/>
  <c r="M139" i="234"/>
  <c r="W80" i="333"/>
  <c r="C80" i="331"/>
  <c r="G80" i="331" s="1"/>
  <c r="M123" i="234"/>
  <c r="C80" i="329"/>
  <c r="G80" i="329" s="1"/>
  <c r="U80" i="333"/>
  <c r="M119" i="234"/>
  <c r="C80" i="278"/>
  <c r="G80" i="278" s="1"/>
  <c r="B53" i="102"/>
  <c r="M53" i="102"/>
  <c r="C53" i="102"/>
  <c r="K53" i="102"/>
  <c r="C68" i="102"/>
  <c r="H53" i="102"/>
  <c r="E53" i="102"/>
  <c r="V144" i="235"/>
  <c r="M68" i="102"/>
  <c r="J68" i="102"/>
  <c r="F68" i="102"/>
  <c r="I53" i="102"/>
  <c r="D53" i="102"/>
  <c r="L53" i="102"/>
  <c r="B68" i="102"/>
  <c r="K68" i="102"/>
  <c r="L68" i="102"/>
  <c r="G68" i="102"/>
  <c r="J53" i="102"/>
  <c r="F53" i="102"/>
  <c r="G53" i="102"/>
  <c r="H68" i="102"/>
  <c r="N70" i="190"/>
  <c r="O70" i="190"/>
  <c r="N66" i="190"/>
  <c r="O66" i="190"/>
  <c r="O85" i="190"/>
  <c r="N85" i="190"/>
  <c r="O81" i="190"/>
  <c r="N81" i="190"/>
  <c r="F130" i="190"/>
  <c r="G130" i="190"/>
  <c r="F70" i="190"/>
  <c r="G70" i="190"/>
  <c r="G66" i="190"/>
  <c r="F66" i="190"/>
  <c r="N77" i="190"/>
  <c r="O77" i="190"/>
  <c r="O69" i="190"/>
  <c r="N69" i="190"/>
  <c r="F92" i="190"/>
  <c r="G92" i="190"/>
  <c r="O92" i="190"/>
  <c r="N92" i="190"/>
  <c r="O84" i="190"/>
  <c r="N84" i="190"/>
  <c r="F137" i="190"/>
  <c r="G137" i="190"/>
  <c r="F129" i="190"/>
  <c r="G129" i="190"/>
  <c r="G77" i="190"/>
  <c r="F77" i="190"/>
  <c r="F69" i="190"/>
  <c r="G69" i="190"/>
  <c r="N144" i="234"/>
  <c r="N147" i="234" s="1"/>
  <c r="N160" i="234"/>
  <c r="N163" i="234" s="1"/>
  <c r="O76" i="190"/>
  <c r="N76" i="190"/>
  <c r="O72" i="190"/>
  <c r="N72" i="190"/>
  <c r="N68" i="190"/>
  <c r="O68" i="190"/>
  <c r="G91" i="190"/>
  <c r="F91" i="190"/>
  <c r="O91" i="190"/>
  <c r="N91" i="190"/>
  <c r="N87" i="190"/>
  <c r="O87" i="190"/>
  <c r="N83" i="190"/>
  <c r="O83" i="190"/>
  <c r="F136" i="190"/>
  <c r="G136" i="190"/>
  <c r="G132" i="190"/>
  <c r="F132" i="190"/>
  <c r="F127" i="190"/>
  <c r="G127" i="190"/>
  <c r="F76" i="190"/>
  <c r="G76" i="190"/>
  <c r="F72" i="190"/>
  <c r="G72" i="190"/>
  <c r="F68" i="190"/>
  <c r="G68" i="190"/>
  <c r="N128" i="234"/>
  <c r="N131" i="234" s="1"/>
  <c r="N71" i="190"/>
  <c r="O71" i="190"/>
  <c r="N67" i="190"/>
  <c r="O67" i="190"/>
  <c r="N86" i="190"/>
  <c r="O86" i="190"/>
  <c r="N82" i="190"/>
  <c r="O82" i="190"/>
  <c r="G131" i="190"/>
  <c r="F131" i="190"/>
  <c r="F126" i="190"/>
  <c r="G126" i="190"/>
  <c r="G71" i="190"/>
  <c r="F71" i="190"/>
  <c r="G67" i="190"/>
  <c r="F67" i="190"/>
  <c r="N176" i="234"/>
  <c r="N179" i="234" s="1"/>
  <c r="G135" i="190"/>
  <c r="F135" i="190"/>
  <c r="M160" i="234"/>
  <c r="M163" i="234" s="1"/>
  <c r="G90" i="190"/>
  <c r="F90" i="190"/>
  <c r="M144" i="234"/>
  <c r="O75" i="190"/>
  <c r="N75" i="190"/>
  <c r="M176" i="234"/>
  <c r="M179" i="234" s="1"/>
  <c r="O90" i="190"/>
  <c r="N90" i="190"/>
  <c r="M128" i="234"/>
  <c r="F75" i="190"/>
  <c r="G75" i="190"/>
  <c r="V114" i="235"/>
  <c r="V128" i="235"/>
  <c r="V159" i="235"/>
  <c r="N73" i="190"/>
  <c r="O73" i="190"/>
  <c r="N74" i="190"/>
  <c r="O74" i="190"/>
  <c r="N88" i="190"/>
  <c r="O88" i="190"/>
  <c r="N89" i="190"/>
  <c r="O89" i="190"/>
  <c r="F74" i="190"/>
  <c r="G74" i="190"/>
  <c r="F73" i="190"/>
  <c r="G73" i="190"/>
  <c r="F133" i="190"/>
  <c r="G133" i="190"/>
  <c r="F134" i="190"/>
  <c r="G134" i="190"/>
  <c r="M74" i="190"/>
  <c r="K74" i="190"/>
  <c r="L74" i="190" s="1"/>
  <c r="M70" i="190"/>
  <c r="K70" i="190"/>
  <c r="L70" i="190" s="1"/>
  <c r="E89" i="190"/>
  <c r="C89" i="190"/>
  <c r="D89" i="190" s="1"/>
  <c r="E85" i="190"/>
  <c r="C85" i="190"/>
  <c r="D85" i="190" s="1"/>
  <c r="M89" i="190"/>
  <c r="K89" i="190"/>
  <c r="L89" i="190" s="1"/>
  <c r="M85" i="190"/>
  <c r="K85" i="190"/>
  <c r="L85" i="190" s="1"/>
  <c r="D104" i="190"/>
  <c r="D100" i="190"/>
  <c r="L104" i="190"/>
  <c r="L100" i="190"/>
  <c r="E130" i="190"/>
  <c r="C130" i="190"/>
  <c r="D130" i="190" s="1"/>
  <c r="E75" i="190"/>
  <c r="C75" i="190"/>
  <c r="D75" i="190" s="1"/>
  <c r="E67" i="190"/>
  <c r="C67" i="190"/>
  <c r="D67" i="190" s="1"/>
  <c r="M73" i="190"/>
  <c r="K73" i="190"/>
  <c r="L73" i="190" s="1"/>
  <c r="M69" i="190"/>
  <c r="K69" i="190"/>
  <c r="L69" i="190" s="1"/>
  <c r="E88" i="190"/>
  <c r="C88" i="190"/>
  <c r="D88" i="190" s="1"/>
  <c r="E84" i="190"/>
  <c r="C84" i="190"/>
  <c r="D84" i="190" s="1"/>
  <c r="M88" i="190"/>
  <c r="K88" i="190"/>
  <c r="L88" i="190" s="1"/>
  <c r="D107" i="190"/>
  <c r="D103" i="190"/>
  <c r="D99" i="190"/>
  <c r="L103" i="190"/>
  <c r="E137" i="190"/>
  <c r="C137" i="190"/>
  <c r="D137" i="190" s="1"/>
  <c r="E133" i="190"/>
  <c r="C133" i="190"/>
  <c r="D133" i="190" s="1"/>
  <c r="E74" i="190"/>
  <c r="C74" i="190"/>
  <c r="D74" i="190" s="1"/>
  <c r="E70" i="190"/>
  <c r="C70" i="190"/>
  <c r="D70" i="190" s="1"/>
  <c r="M75" i="190"/>
  <c r="K75" i="190"/>
  <c r="L75" i="190" s="1"/>
  <c r="M71" i="190"/>
  <c r="K71" i="190"/>
  <c r="L71" i="190" s="1"/>
  <c r="M67" i="190"/>
  <c r="K67" i="190"/>
  <c r="L67" i="190" s="1"/>
  <c r="E90" i="190"/>
  <c r="C90" i="190"/>
  <c r="D90" i="190" s="1"/>
  <c r="C86" i="190"/>
  <c r="D86" i="190" s="1"/>
  <c r="E86" i="190"/>
  <c r="E82" i="190"/>
  <c r="C82" i="190"/>
  <c r="D82" i="190" s="1"/>
  <c r="K90" i="190"/>
  <c r="L90" i="190" s="1"/>
  <c r="M90" i="190"/>
  <c r="M86" i="190"/>
  <c r="K86" i="190"/>
  <c r="L86" i="190" s="1"/>
  <c r="K82" i="190"/>
  <c r="L82" i="190" s="1"/>
  <c r="M82" i="190"/>
  <c r="D105" i="190"/>
  <c r="D101" i="190"/>
  <c r="D97" i="190"/>
  <c r="L105" i="190"/>
  <c r="L101" i="190"/>
  <c r="L97" i="190"/>
  <c r="E135" i="190"/>
  <c r="C135" i="190"/>
  <c r="D135" i="190" s="1"/>
  <c r="E131" i="190"/>
  <c r="C131" i="190"/>
  <c r="D131" i="190" s="1"/>
  <c r="E126" i="190"/>
  <c r="C126" i="190"/>
  <c r="C76" i="190"/>
  <c r="D76" i="190" s="1"/>
  <c r="E76" i="190"/>
  <c r="E72" i="190"/>
  <c r="C72" i="190"/>
  <c r="D72" i="190" s="1"/>
  <c r="C68" i="190"/>
  <c r="D68" i="190" s="1"/>
  <c r="E68" i="190"/>
  <c r="M66" i="190"/>
  <c r="K66" i="190"/>
  <c r="L66" i="190" s="1"/>
  <c r="E81" i="190"/>
  <c r="C81" i="190"/>
  <c r="D81" i="190" s="1"/>
  <c r="M81" i="190"/>
  <c r="K81" i="190"/>
  <c r="D96" i="190"/>
  <c r="E134" i="190"/>
  <c r="C134" i="190"/>
  <c r="D134" i="190" s="1"/>
  <c r="E71" i="190"/>
  <c r="C71" i="190"/>
  <c r="D71" i="190" s="1"/>
  <c r="M77" i="190"/>
  <c r="K77" i="190"/>
  <c r="L77" i="190" s="1"/>
  <c r="E92" i="190"/>
  <c r="C92" i="190"/>
  <c r="D92" i="190" s="1"/>
  <c r="M92" i="190"/>
  <c r="K92" i="190"/>
  <c r="L92" i="190" s="1"/>
  <c r="M84" i="190"/>
  <c r="K84" i="190"/>
  <c r="L84" i="190" s="1"/>
  <c r="L107" i="190"/>
  <c r="L99" i="190"/>
  <c r="E129" i="190"/>
  <c r="C129" i="190"/>
  <c r="D129" i="190" s="1"/>
  <c r="E66" i="190"/>
  <c r="C66" i="190"/>
  <c r="D66" i="190" s="1"/>
  <c r="M76" i="190"/>
  <c r="K76" i="190"/>
  <c r="L76" i="190" s="1"/>
  <c r="K72" i="190"/>
  <c r="L72" i="190" s="1"/>
  <c r="M72" i="190"/>
  <c r="M68" i="190"/>
  <c r="K68" i="190"/>
  <c r="L68" i="190" s="1"/>
  <c r="C91" i="190"/>
  <c r="D91" i="190" s="1"/>
  <c r="E91" i="190"/>
  <c r="E87" i="190"/>
  <c r="C87" i="190"/>
  <c r="D87" i="190" s="1"/>
  <c r="C83" i="190"/>
  <c r="D83" i="190" s="1"/>
  <c r="E83" i="190"/>
  <c r="M91" i="190"/>
  <c r="K91" i="190"/>
  <c r="L91" i="190" s="1"/>
  <c r="K87" i="190"/>
  <c r="L87" i="190" s="1"/>
  <c r="M87" i="190"/>
  <c r="M83" i="190"/>
  <c r="K83" i="190"/>
  <c r="L83" i="190" s="1"/>
  <c r="D106" i="190"/>
  <c r="D102" i="190"/>
  <c r="D98" i="190"/>
  <c r="L106" i="190"/>
  <c r="L102" i="190"/>
  <c r="L98" i="190"/>
  <c r="C136" i="190"/>
  <c r="D136" i="190" s="1"/>
  <c r="E136" i="190"/>
  <c r="E132" i="190"/>
  <c r="C132" i="190"/>
  <c r="D132" i="190" s="1"/>
  <c r="E127" i="190"/>
  <c r="C127" i="190"/>
  <c r="D127" i="190" s="1"/>
  <c r="E77" i="190"/>
  <c r="C77" i="190"/>
  <c r="D77" i="190" s="1"/>
  <c r="E73" i="190"/>
  <c r="C73" i="190"/>
  <c r="D73" i="190" s="1"/>
  <c r="E69" i="190"/>
  <c r="C69" i="190"/>
  <c r="D69" i="190" s="1"/>
  <c r="L88" i="189"/>
  <c r="D73" i="189"/>
  <c r="I68" i="102"/>
  <c r="C90" i="189"/>
  <c r="K90" i="189"/>
  <c r="L90" i="189" s="1"/>
  <c r="C137" i="189"/>
  <c r="D137" i="189" s="1"/>
  <c r="C75" i="189"/>
  <c r="D75" i="189" s="1"/>
  <c r="C71" i="189"/>
  <c r="D71" i="189" s="1"/>
  <c r="K76" i="189"/>
  <c r="L76" i="189" s="1"/>
  <c r="C91" i="189"/>
  <c r="D91" i="189" s="1"/>
  <c r="K91" i="189"/>
  <c r="C134" i="189"/>
  <c r="D134" i="189" s="1"/>
  <c r="E126" i="189"/>
  <c r="E127" i="189" s="1"/>
  <c r="E128" i="189" s="1"/>
  <c r="E129" i="189" s="1"/>
  <c r="C126" i="189"/>
  <c r="F126" i="189" s="1"/>
  <c r="F127" i="189" s="1"/>
  <c r="F128" i="189" s="1"/>
  <c r="F129" i="189" s="1"/>
  <c r="F130" i="189" s="1"/>
  <c r="F131" i="189" s="1"/>
  <c r="F132" i="189" s="1"/>
  <c r="F133" i="189" s="1"/>
  <c r="C70" i="189"/>
  <c r="D70" i="189" s="1"/>
  <c r="C67" i="189"/>
  <c r="D67" i="189" s="1"/>
  <c r="K67" i="189"/>
  <c r="C77" i="189"/>
  <c r="D77" i="189" s="1"/>
  <c r="C69" i="189"/>
  <c r="D69" i="189" s="1"/>
  <c r="C66" i="189"/>
  <c r="F66" i="189" s="1"/>
  <c r="K74" i="189"/>
  <c r="L74" i="189" s="1"/>
  <c r="K66" i="189"/>
  <c r="L66" i="189" s="1"/>
  <c r="C89" i="189"/>
  <c r="D89" i="189" s="1"/>
  <c r="C81" i="189"/>
  <c r="F81" i="189" s="1"/>
  <c r="K89" i="189"/>
  <c r="L89" i="189" s="1"/>
  <c r="K81" i="189"/>
  <c r="N81" i="189" s="1"/>
  <c r="N82" i="189" s="1"/>
  <c r="N83" i="189" s="1"/>
  <c r="N84" i="189" s="1"/>
  <c r="N85" i="189" s="1"/>
  <c r="N86" i="189" s="1"/>
  <c r="N87" i="189" s="1"/>
  <c r="N88" i="189" s="1"/>
  <c r="C136" i="189"/>
  <c r="D136" i="189" s="1"/>
  <c r="C74" i="189"/>
  <c r="D74" i="189" s="1"/>
  <c r="K75" i="189"/>
  <c r="C82" i="189"/>
  <c r="D82" i="189" s="1"/>
  <c r="C76" i="189"/>
  <c r="C72" i="189"/>
  <c r="D72" i="189" s="1"/>
  <c r="C68" i="189"/>
  <c r="D68" i="189" s="1"/>
  <c r="K77" i="189"/>
  <c r="L77" i="189" s="1"/>
  <c r="C92" i="189"/>
  <c r="D92" i="189" s="1"/>
  <c r="K92" i="189"/>
  <c r="L92" i="189" s="1"/>
  <c r="C135" i="189"/>
  <c r="D135" i="189" s="1"/>
  <c r="L87" i="189"/>
  <c r="D68" i="102"/>
  <c r="E68" i="102"/>
  <c r="G38" i="102"/>
  <c r="F38" i="102"/>
  <c r="C38" i="102"/>
  <c r="J38" i="102"/>
  <c r="H38" i="102"/>
  <c r="E38" i="102"/>
  <c r="B38" i="102"/>
  <c r="D87" i="189"/>
  <c r="K36" i="102"/>
  <c r="K38" i="102" s="1"/>
  <c r="L84" i="189"/>
  <c r="M66" i="189"/>
  <c r="M67" i="189" s="1"/>
  <c r="I38" i="102"/>
  <c r="L82" i="189"/>
  <c r="D88" i="189"/>
  <c r="D86" i="189"/>
  <c r="D133" i="189"/>
  <c r="J78" i="189"/>
  <c r="L73" i="189"/>
  <c r="D132" i="189"/>
  <c r="D127" i="189"/>
  <c r="D131" i="189"/>
  <c r="D128" i="189"/>
  <c r="L86" i="189"/>
  <c r="D84" i="189"/>
  <c r="E66" i="189"/>
  <c r="J93" i="190"/>
  <c r="B128" i="190"/>
  <c r="C288" i="142"/>
  <c r="D83" i="189"/>
  <c r="B93" i="189"/>
  <c r="L83" i="189"/>
  <c r="D36" i="102"/>
  <c r="D38" i="102" s="1"/>
  <c r="L36" i="102"/>
  <c r="L38" i="102" s="1"/>
  <c r="M37" i="102"/>
  <c r="M38" i="102" s="1"/>
  <c r="B93" i="190"/>
  <c r="L68" i="189"/>
  <c r="L71" i="189"/>
  <c r="M81" i="189"/>
  <c r="L70" i="189"/>
  <c r="L72" i="189"/>
  <c r="D85" i="189"/>
  <c r="E81" i="189"/>
  <c r="B78" i="190"/>
  <c r="C295" i="142"/>
  <c r="C291" i="142"/>
  <c r="C287" i="142"/>
  <c r="C294" i="142"/>
  <c r="C290" i="142"/>
  <c r="C286" i="142"/>
  <c r="C293" i="142"/>
  <c r="C289" i="142"/>
  <c r="C285" i="142"/>
  <c r="J93" i="189"/>
  <c r="L85" i="189"/>
  <c r="J108" i="190"/>
  <c r="B78" i="189"/>
  <c r="B108" i="190"/>
  <c r="B138" i="189"/>
  <c r="D129" i="189"/>
  <c r="J78" i="190"/>
  <c r="L69" i="189"/>
  <c r="M131" i="234" l="1"/>
  <c r="M147" i="234"/>
  <c r="U80" i="332"/>
  <c r="G108" i="190"/>
  <c r="F108" i="190"/>
  <c r="F78" i="190"/>
  <c r="F93" i="190"/>
  <c r="G78" i="190"/>
  <c r="G128" i="190"/>
  <c r="G138" i="190" s="1"/>
  <c r="F128" i="190"/>
  <c r="F138" i="190" s="1"/>
  <c r="L81" i="189"/>
  <c r="V115" i="235"/>
  <c r="V129" i="235"/>
  <c r="V160" i="235"/>
  <c r="V145" i="235"/>
  <c r="O78" i="190"/>
  <c r="N78" i="190"/>
  <c r="O108" i="190"/>
  <c r="N108" i="190"/>
  <c r="O93" i="190"/>
  <c r="N93" i="190"/>
  <c r="N89" i="189"/>
  <c r="N90" i="189" s="1"/>
  <c r="N91" i="189" s="1"/>
  <c r="N92" i="189" s="1"/>
  <c r="F134" i="189"/>
  <c r="F135" i="189" s="1"/>
  <c r="F136" i="189" s="1"/>
  <c r="F137" i="189" s="1"/>
  <c r="M93" i="190"/>
  <c r="M108" i="190"/>
  <c r="M78" i="190"/>
  <c r="E108" i="190"/>
  <c r="C78" i="190"/>
  <c r="D78" i="190" s="1"/>
  <c r="K108" i="190"/>
  <c r="L108" i="190" s="1"/>
  <c r="K78" i="190"/>
  <c r="L78" i="190" s="1"/>
  <c r="E78" i="190"/>
  <c r="E93" i="190"/>
  <c r="C108" i="190"/>
  <c r="D108" i="190" s="1"/>
  <c r="K93" i="190"/>
  <c r="L93" i="190" s="1"/>
  <c r="C93" i="190"/>
  <c r="D93" i="190" s="1"/>
  <c r="L96" i="190"/>
  <c r="L81" i="190"/>
  <c r="C128" i="190"/>
  <c r="D128" i="190" s="1"/>
  <c r="E128" i="190"/>
  <c r="E138" i="190" s="1"/>
  <c r="L75" i="189"/>
  <c r="D90" i="189"/>
  <c r="L91" i="189"/>
  <c r="F67" i="189"/>
  <c r="F68" i="189" s="1"/>
  <c r="F69" i="189" s="1"/>
  <c r="F70" i="189" s="1"/>
  <c r="F71" i="189" s="1"/>
  <c r="F72" i="189" s="1"/>
  <c r="F73" i="189" s="1"/>
  <c r="F74" i="189" s="1"/>
  <c r="F75" i="189" s="1"/>
  <c r="F76" i="189" s="1"/>
  <c r="F77" i="189" s="1"/>
  <c r="D76" i="189"/>
  <c r="K78" i="189"/>
  <c r="C138" i="189"/>
  <c r="D126" i="189"/>
  <c r="D81" i="189"/>
  <c r="N66" i="189"/>
  <c r="N67" i="189" s="1"/>
  <c r="D66" i="189"/>
  <c r="K93" i="189"/>
  <c r="C93" i="189"/>
  <c r="L67" i="189"/>
  <c r="F82" i="189"/>
  <c r="F83" i="189" s="1"/>
  <c r="F84" i="189" s="1"/>
  <c r="F85" i="189" s="1"/>
  <c r="F86" i="189" s="1"/>
  <c r="F87" i="189" s="1"/>
  <c r="F88" i="189" s="1"/>
  <c r="F89" i="189" s="1"/>
  <c r="F90" i="189" s="1"/>
  <c r="F91" i="189" s="1"/>
  <c r="F92" i="189" s="1"/>
  <c r="C78" i="189"/>
  <c r="M68" i="189"/>
  <c r="M69" i="189" s="1"/>
  <c r="M70" i="189" s="1"/>
  <c r="B138" i="190"/>
  <c r="D130" i="189"/>
  <c r="G126" i="189"/>
  <c r="G129" i="189"/>
  <c r="G127" i="189"/>
  <c r="G128" i="189"/>
  <c r="O81" i="189"/>
  <c r="M82" i="189"/>
  <c r="G66" i="189"/>
  <c r="E67" i="189"/>
  <c r="E82" i="189"/>
  <c r="G81" i="189"/>
  <c r="D126" i="190"/>
  <c r="E130" i="189"/>
  <c r="V116" i="235" l="1"/>
  <c r="V130" i="235"/>
  <c r="V161" i="235"/>
  <c r="V146" i="235"/>
  <c r="C138" i="190"/>
  <c r="D138" i="190" s="1"/>
  <c r="N68" i="189"/>
  <c r="N69" i="189" s="1"/>
  <c r="N70" i="189" s="1"/>
  <c r="N71" i="189" s="1"/>
  <c r="N72" i="189" s="1"/>
  <c r="N73" i="189" s="1"/>
  <c r="N74" i="189" s="1"/>
  <c r="N75" i="189" s="1"/>
  <c r="N76" i="189" s="1"/>
  <c r="N77" i="189" s="1"/>
  <c r="O67" i="189"/>
  <c r="O66" i="189"/>
  <c r="M71" i="189"/>
  <c r="G130" i="189"/>
  <c r="E131" i="189"/>
  <c r="G82" i="189"/>
  <c r="E83" i="189"/>
  <c r="O82" i="189"/>
  <c r="M83" i="189"/>
  <c r="G67" i="189"/>
  <c r="E68" i="189"/>
  <c r="V117" i="235" l="1"/>
  <c r="V131" i="235"/>
  <c r="V162" i="235"/>
  <c r="V147" i="235"/>
  <c r="O68" i="189"/>
  <c r="O70" i="189"/>
  <c r="O69" i="189"/>
  <c r="G131" i="189"/>
  <c r="E132" i="189"/>
  <c r="O71" i="189"/>
  <c r="M72" i="189"/>
  <c r="G83" i="189"/>
  <c r="E84" i="189"/>
  <c r="O83" i="189"/>
  <c r="M84" i="189"/>
  <c r="G68" i="189"/>
  <c r="E69" i="189"/>
  <c r="V118" i="235" l="1"/>
  <c r="V132" i="235"/>
  <c r="V163" i="235"/>
  <c r="V148" i="235"/>
  <c r="G132" i="189"/>
  <c r="E133" i="189"/>
  <c r="O72" i="189"/>
  <c r="M73" i="189"/>
  <c r="G69" i="189"/>
  <c r="E70" i="189"/>
  <c r="O84" i="189"/>
  <c r="M85" i="189"/>
  <c r="G84" i="189"/>
  <c r="E85" i="189"/>
  <c r="V119" i="235" l="1"/>
  <c r="V133" i="235"/>
  <c r="V164" i="235"/>
  <c r="V149" i="235"/>
  <c r="G133" i="189"/>
  <c r="E134" i="189"/>
  <c r="O73" i="189"/>
  <c r="M74" i="189"/>
  <c r="G85" i="189"/>
  <c r="E86" i="189"/>
  <c r="O85" i="189"/>
  <c r="M86" i="189"/>
  <c r="G70" i="189"/>
  <c r="E71" i="189"/>
  <c r="G134" i="189" l="1"/>
  <c r="E135" i="189"/>
  <c r="V120" i="235"/>
  <c r="V134" i="235"/>
  <c r="V165" i="235"/>
  <c r="V150" i="235"/>
  <c r="O74" i="189"/>
  <c r="M75" i="189"/>
  <c r="G86" i="189"/>
  <c r="E87" i="189"/>
  <c r="G71" i="189"/>
  <c r="E72" i="189"/>
  <c r="O86" i="189"/>
  <c r="M87" i="189"/>
  <c r="G135" i="189" l="1"/>
  <c r="E136" i="189"/>
  <c r="V121" i="235"/>
  <c r="V135" i="235"/>
  <c r="V166" i="235"/>
  <c r="V151" i="235"/>
  <c r="O75" i="189"/>
  <c r="M76" i="189"/>
  <c r="O87" i="189"/>
  <c r="M88" i="189"/>
  <c r="G87" i="189"/>
  <c r="E88" i="189"/>
  <c r="G72" i="189"/>
  <c r="E73" i="189"/>
  <c r="G136" i="189" l="1"/>
  <c r="E137" i="189"/>
  <c r="G137" i="189" s="1"/>
  <c r="V122" i="235"/>
  <c r="V136" i="235"/>
  <c r="V167" i="235"/>
  <c r="V152" i="235"/>
  <c r="O76" i="189"/>
  <c r="M77" i="189"/>
  <c r="O77" i="189" s="1"/>
  <c r="G88" i="189"/>
  <c r="E89" i="189"/>
  <c r="O88" i="189"/>
  <c r="M89" i="189"/>
  <c r="G73" i="189"/>
  <c r="E74" i="189"/>
  <c r="V153" i="235" l="1"/>
  <c r="V137" i="235"/>
  <c r="V169" i="235"/>
  <c r="V168" i="235"/>
  <c r="V123" i="235"/>
  <c r="G89" i="189"/>
  <c r="E90" i="189"/>
  <c r="O89" i="189"/>
  <c r="M90" i="189"/>
  <c r="G74" i="189"/>
  <c r="E75" i="189"/>
  <c r="V138" i="235" l="1"/>
  <c r="V154" i="235"/>
  <c r="V124" i="235"/>
  <c r="V170" i="235"/>
  <c r="G90" i="189"/>
  <c r="E91" i="189"/>
  <c r="O90" i="189"/>
  <c r="M91" i="189"/>
  <c r="G75" i="189"/>
  <c r="E76" i="189"/>
  <c r="V155" i="235"/>
  <c r="V139" i="235" l="1"/>
  <c r="G91" i="189"/>
  <c r="E92" i="189"/>
  <c r="G92" i="189" s="1"/>
  <c r="O91" i="189"/>
  <c r="M92" i="189"/>
  <c r="O92" i="189" s="1"/>
  <c r="G76" i="189"/>
  <c r="E77" i="189"/>
  <c r="G77" i="189" s="1"/>
  <c r="L131" i="234" l="1"/>
  <c r="K131" i="234"/>
  <c r="H159" i="235" l="1"/>
  <c r="H249" i="23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DAFC5C-4C2C-4696-BFEC-3755B5996EDA}" keepAlive="1" name="Requête - GLR5" description="Connexion à la requête « GLR5 » dans le classeur." type="5" refreshedVersion="6" background="1" saveData="1">
    <dbPr connection="Provider=Microsoft.Mashup.OleDb.1;Data Source=$Workbook$;Location=GLR5;Extended Properties=&quot;&quot;" command="SELECT * FROM [GLR5]"/>
  </connection>
  <connection id="2" xr16:uid="{E6C2C86F-9CA4-4714-948C-FC1967298656}" keepAlive="1" name="Requête - HTR8" description="Connexion à la requête « HTR8 » dans le classeur." type="5" refreshedVersion="6" background="1" saveData="1">
    <dbPr connection="Provider=Microsoft.Mashup.OleDb.1;Data Source=$Workbook$;Location=HTR8;Extended Properties=&quot;&quot;" command="SELECT * FROM [HTR8]"/>
  </connection>
  <connection id="3" xr16:uid="{377870FE-DF5D-4201-A52D-CCBD92EDA539}" keepAlive="1" name="Requête - HTR8 (2)" description="Connexion à la requête « HTR8 (2) » dans le classeur." type="5" refreshedVersion="6" background="1" saveData="1">
    <dbPr connection="Provider=Microsoft.Mashup.OleDb.1;Data Source=$Workbook$;Location=&quot;HTR8 (2)&quot;;Extended Properties=&quot;&quot;" command="SELECT * FROM [HTR8 (2)]"/>
  </connection>
  <connection id="4" xr16:uid="{4D5E7080-B08C-40B2-9028-D4CAA4729218}" keepAlive="1" name="Requête - HTR8 (3)" description="Connexion à la requête « HTR8 (3) » dans le classeur." type="5" refreshedVersion="6" background="1" saveData="1">
    <dbPr connection="Provider=Microsoft.Mashup.OleDb.1;Data Source=$Workbook$;Location=&quot;HTR8 (3)&quot;;Extended Properties=&quot;&quot;" command="SELECT * FROM [HTR8 (3)]"/>
  </connection>
  <connection id="5" xr16:uid="{9627CA13-253F-4E89-9A5F-FBF71D0AD1AA}" keepAlive="1" name="Requête - LYSE" description="Connexion à la requête « LYSE » dans le classeur." type="5" refreshedVersion="6" background="1" saveData="1">
    <dbPr connection="Provider=Microsoft.Mashup.OleDb.1;Data Source=$Workbook$;Location=LYSE;Extended Properties=&quot;&quot;" command="SELECT * FROM [LYSE]"/>
  </connection>
  <connection id="6" xr16:uid="{610D3EBC-3CFB-4CED-BF30-AD980849EF5D}" keepAlive="1" name="Requête - R314" description="Connexion à la requête « R314 » dans le classeur." type="5" refreshedVersion="6" background="1" saveData="1">
    <dbPr connection="Provider=Microsoft.Mashup.OleDb.1;Data Source=$Workbook$;Location=R314;Extended Properties=&quot;&quot;" command="SELECT * FROM [R314]"/>
  </connection>
  <connection id="7" xr16:uid="{D4325FB7-041F-4BC4-8AE2-E13E9C759594}" keepAlive="1" name="Requête - R314 (2)" description="Connexion à la requête « R314 (2) » dans le classeur." type="5" refreshedVersion="6" background="1" saveData="1">
    <dbPr connection="Provider=Microsoft.Mashup.OleDb.1;Data Source=$Workbook$;Location=&quot;R314 (2)&quot;;Extended Properties=&quot;&quot;" command="SELECT * FROM [R314 (2)]"/>
  </connection>
  <connection id="8" xr16:uid="{F99A228C-3577-46AE-9800-F37ADEAE15DB}" keepAlive="1" name="Requête - R314 (3)" description="Connexion à la requête « R314 (3) » dans le classeur." type="5" refreshedVersion="6" background="1" saveData="1">
    <dbPr connection="Provider=Microsoft.Mashup.OleDb.1;Data Source=$Workbook$;Location=&quot;R314 (3)&quot;;Extended Properties=&quot;&quot;" command="SELECT * FROM [R314 (3)]"/>
  </connection>
  <connection id="9" xr16:uid="{901244A0-98E1-4E1B-80F7-73A4BDE9765C}" keepAlive="1" name="Requête - TABLES DIVES" description="Connexion à la requête « TABLES DIVES » dans le classeur." type="5" refreshedVersion="6" background="1" saveData="1">
    <dbPr connection="Provider=Microsoft.Mashup.OleDb.1;Data Source=$Workbook$;Location=&quot;TABLES DIVES&quot;;Extended Properties=&quot;&quot;" command="SELECT * FROM [TABLES DIVES]"/>
  </connection>
  <connection id="10" xr16:uid="{C62F547A-1007-408E-BCCB-5A8FD449FCEC}" keepAlive="1" name="Requête - TABLES GLR5" description="Connexion à la requête « TABLES GLR5 » dans le classeur." type="5" refreshedVersion="6" background="1" saveData="1">
    <dbPr connection="Provider=Microsoft.Mashup.OleDb.1;Data Source=$Workbook$;Location=&quot;TABLES GLR5&quot;;Extended Properties=&quot;&quot;" command="SELECT * FROM [TABLES GLR5]"/>
  </connection>
  <connection id="11" xr16:uid="{6C865DA7-E480-4F68-B24C-C0FFF3C29F8F}" keepAlive="1" name="Requête - TABLES HTR8" description="Connexion à la requête « TABLES HTR8 » dans le classeur." type="5" refreshedVersion="6" background="1" saveData="1">
    <dbPr connection="Provider=Microsoft.Mashup.OleDb.1;Data Source=$Workbook$;Location=&quot;TABLES HTR8&quot;;Extended Properties=&quot;&quot;" command="SELECT * FROM [TABLES HTR8]"/>
  </connection>
  <connection id="12" xr16:uid="{C2CBAFE7-972B-47A3-ACB6-238F04A0C794}" keepAlive="1" name="Requête - TABLES LYSE" description="Connexion à la requête « TABLES LYSE » dans le classeur." type="5" refreshedVersion="6" background="1" saveData="1">
    <dbPr connection="Provider=Microsoft.Mashup.OleDb.1;Data Source=$Workbook$;Location=&quot;TABLES LYSE&quot;;Extended Properties=&quot;&quot;" command="SELECT * FROM [TABLES LYSE]"/>
  </connection>
  <connection id="13" xr16:uid="{B17E4B1C-BA0C-4CFF-B612-4608DF28FDA5}" keepAlive="1" name="Requête - TABLES R314" description="Connexion à la requête « TABLES R314 » dans le classeur." type="5" refreshedVersion="6" background="1" saveData="1">
    <dbPr connection="Provider=Microsoft.Mashup.OleDb.1;Data Source=$Workbook$;Location=&quot;TABLES R314&quot;;Extended Properties=&quot;&quot;" command="SELECT * FROM [TABLES R314]"/>
  </connection>
  <connection id="14" xr16:uid="{33B65139-8E1D-4994-A4DC-0F2E9CE9598C}" keepAlive="1" name="Requête - TABLES R314 (2)" description="Connexion à la requête « TABLES R314 (2) » dans le classeur." type="5" refreshedVersion="6" background="1" saveData="1">
    <dbPr connection="Provider=Microsoft.Mashup.OleDb.1;Data Source=$Workbook$;Location=&quot;TABLES R314 (2)&quot;;Extended Properties=&quot;&quot;" command="SELECT * FROM [TABLES R314 (2)]"/>
  </connection>
  <connection id="15" xr16:uid="{821B6C4F-852D-4257-B695-C15D0FC4208A}" keepAlive="1" name="Requête - TABLES TH4" description="Connexion à la requête « TABLES TH4 » dans le classeur." type="5" refreshedVersion="6" background="1" saveData="1">
    <dbPr connection="Provider=Microsoft.Mashup.OleDb.1;Data Source=$Workbook$;Location=&quot;TABLES TH4&quot;;Extended Properties=&quot;&quot;" command="SELECT * FROM [TABLES TH4]"/>
  </connection>
  <connection id="16" xr16:uid="{26A8F3ED-A946-4EBA-895E-62D7C8D84850}" keepAlive="1" name="Requête - TABLES TIRR" description="Connexion à la requête « TABLES TIRR » dans le classeur." type="5" refreshedVersion="6" background="1" saveData="1">
    <dbPr connection="Provider=Microsoft.Mashup.OleDb.1;Data Source=$Workbook$;Location=&quot;TABLES TIRR&quot;;Extended Properties=&quot;&quot;" command="SELECT * FROM [TABLES TIRR]"/>
  </connection>
  <connection id="17" xr16:uid="{78308F80-88BA-4C27-8EC7-C289C09DC624}" keepAlive="1" name="Requête - TABLES VR7" description="Connexion à la requête « TABLES VR7 » dans le classeur." type="5" refreshedVersion="6" background="1" saveData="1">
    <dbPr connection="Provider=Microsoft.Mashup.OleDb.1;Data Source=$Workbook$;Location=&quot;TABLES VR7&quot;;Extended Properties=&quot;&quot;" command="SELECT * FROM [TABLES VR7]"/>
  </connection>
  <connection id="18" xr16:uid="{25EAE28B-C59B-4201-B5A5-962CB0B99E2A}" keepAlive="1" name="Requête - TH4" description="Connexion à la requête « TH4 » dans le classeur." type="5" refreshedVersion="6" background="1" saveData="1">
    <dbPr connection="Provider=Microsoft.Mashup.OleDb.1;Data Source=$Workbook$;Location=TH4;Extended Properties=&quot;&quot;" command="SELECT * FROM [TH4]"/>
  </connection>
  <connection id="19" xr16:uid="{EB53CD4B-BEC5-4043-989A-AB561ABACDBC}" keepAlive="1" name="Requête - TIRR" description="Connexion à la requête « TIRR » dans le classeur." type="5" refreshedVersion="6" background="1" saveData="1">
    <dbPr connection="Provider=Microsoft.Mashup.OleDb.1;Data Source=$Workbook$;Location=TIRR;Extended Properties=&quot;&quot;" command="SELECT * FROM [TIRR]"/>
  </connection>
  <connection id="20" xr16:uid="{C80FFAE6-89EC-40D6-B0A2-A0BC412F0B43}" keepAlive="1" name="Requête - TL DIVES" description="Connexion à la requête « TL DIVES » dans le classeur." type="5" refreshedVersion="6" background="1" saveData="1">
    <dbPr connection="Provider=Microsoft.Mashup.OleDb.1;Data Source=$Workbook$;Location=&quot;TL DIVES&quot;;Extended Properties=&quot;&quot;" command="SELECT * FROM [TL DIVES]"/>
  </connection>
  <connection id="21" xr16:uid="{4B985907-E7E1-41C6-A4E7-AD04904666F0}" keepAlive="1" name="Requête - VR7" description="Connexion à la requête « VR7 » dans le classeur." type="5" refreshedVersion="6" background="1" saveData="1">
    <dbPr connection="Provider=Microsoft.Mashup.OleDb.1;Data Source=$Workbook$;Location=VR7;Extended Properties=&quot;&quot;" command="SELECT * FROM [VR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<sst xmlns="http://schemas.openxmlformats.org/spreadsheetml/2006/main" count="44468" uniqueCount="7139">
  <si>
    <t>06</t>
  </si>
  <si>
    <t>07</t>
  </si>
  <si>
    <t>Déchets</t>
  </si>
  <si>
    <t>08</t>
  </si>
  <si>
    <t>Repas</t>
  </si>
  <si>
    <t>02</t>
  </si>
  <si>
    <t>Coût total</t>
  </si>
  <si>
    <t>03</t>
  </si>
  <si>
    <t>Coût total papier</t>
  </si>
  <si>
    <t>04</t>
  </si>
  <si>
    <t>Coût total ventes</t>
  </si>
  <si>
    <t>05</t>
  </si>
  <si>
    <t>10</t>
  </si>
  <si>
    <t>11</t>
  </si>
  <si>
    <t>Salaires Managers</t>
  </si>
  <si>
    <t>12</t>
  </si>
  <si>
    <t>13</t>
  </si>
  <si>
    <t>14</t>
  </si>
  <si>
    <t>15</t>
  </si>
  <si>
    <t>Promotion</t>
  </si>
  <si>
    <t>16</t>
  </si>
  <si>
    <t>17</t>
  </si>
  <si>
    <t>Lingerie</t>
  </si>
  <si>
    <t>18</t>
  </si>
  <si>
    <t>Fournitures d'exploitation</t>
  </si>
  <si>
    <t>19</t>
  </si>
  <si>
    <t>Entretien et réparations</t>
  </si>
  <si>
    <t>20</t>
  </si>
  <si>
    <t>Electricité-eau-gaz</t>
  </si>
  <si>
    <t>21</t>
  </si>
  <si>
    <t>22</t>
  </si>
  <si>
    <t>Ecarts de caisse</t>
  </si>
  <si>
    <t>23</t>
  </si>
  <si>
    <t>Divers</t>
  </si>
  <si>
    <t>24</t>
  </si>
  <si>
    <t>30</t>
  </si>
  <si>
    <t>Loyers</t>
  </si>
  <si>
    <t>31</t>
  </si>
  <si>
    <t>Frais de service</t>
  </si>
  <si>
    <t>32</t>
  </si>
  <si>
    <t>33</t>
  </si>
  <si>
    <t>Assurances</t>
  </si>
  <si>
    <t>34</t>
  </si>
  <si>
    <t>Taxes et permis</t>
  </si>
  <si>
    <t>35</t>
  </si>
  <si>
    <t>36</t>
  </si>
  <si>
    <t>Dép. et amts</t>
  </si>
  <si>
    <t>37</t>
  </si>
  <si>
    <t>38</t>
  </si>
  <si>
    <t>Revenus financiers</t>
  </si>
  <si>
    <t>39</t>
  </si>
  <si>
    <t>Dépenses et revenus divers</t>
  </si>
  <si>
    <t>40</t>
  </si>
  <si>
    <t>REVENU NON ALIMENTAIRE</t>
  </si>
  <si>
    <t>41</t>
  </si>
  <si>
    <t>REVENU NET D'EXPLOITATION</t>
  </si>
  <si>
    <t xml:space="preserve"> </t>
  </si>
  <si>
    <t>%</t>
  </si>
  <si>
    <t xml:space="preserve">                 BENEFICE BRUT </t>
  </si>
  <si>
    <t xml:space="preserve">                              PAC </t>
  </si>
  <si>
    <t xml:space="preserve">            TOTAL DES DEPENSES </t>
  </si>
  <si>
    <t xml:space="preserve">            REVENU NET PERIODE </t>
  </si>
  <si>
    <t>Frais compta. Juridiques</t>
  </si>
  <si>
    <t xml:space="preserve">Total frais administratifs </t>
  </si>
  <si>
    <t>Ventes non alimentaires</t>
  </si>
  <si>
    <t>Coût prdts non alimentaires</t>
  </si>
  <si>
    <t>SOMMAIRE</t>
  </si>
  <si>
    <t>A)</t>
  </si>
  <si>
    <t>2</t>
  </si>
  <si>
    <t>B) et C)</t>
  </si>
  <si>
    <t>Libellés</t>
  </si>
  <si>
    <t>09</t>
  </si>
  <si>
    <t>Sommes</t>
  </si>
  <si>
    <t>Janvier</t>
  </si>
  <si>
    <t>Février</t>
  </si>
  <si>
    <t>Mars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</si>
  <si>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</si>
  <si>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</si>
  <si>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</si>
  <si>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</si>
  <si>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</si>
  <si>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</si>
  <si>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</si>
  <si>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</si>
  <si>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</si>
  <si>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 xml:space="preserve">            TRANSACTIONS</t>
  </si>
  <si>
    <t xml:space="preserve">            PANIERS MOYENS</t>
  </si>
  <si>
    <t>GLOBAL</t>
  </si>
  <si>
    <t>JANVIER</t>
  </si>
  <si>
    <t>MARS</t>
  </si>
  <si>
    <t>AVRIL</t>
  </si>
  <si>
    <t>MAI</t>
  </si>
  <si>
    <t>JUIN</t>
  </si>
  <si>
    <t>JUILLET</t>
  </si>
  <si>
    <t>SEPTEMBRE</t>
  </si>
  <si>
    <t>OCTOBRE</t>
  </si>
  <si>
    <t>NOVEMBRE</t>
  </si>
  <si>
    <t xml:space="preserve">   </t>
  </si>
  <si>
    <t xml:space="preserve">      </t>
  </si>
  <si>
    <t>Période</t>
  </si>
  <si>
    <t>Mois en cours</t>
  </si>
  <si>
    <t>Comparaison mensuelle des prévisions et des P&amp;L réalisés ..................................................................................................</t>
  </si>
  <si>
    <t>P&amp;L par restaurant</t>
  </si>
  <si>
    <t>Restaurant</t>
  </si>
  <si>
    <t>P&amp;L globalisés</t>
  </si>
  <si>
    <t>Autres suivis</t>
  </si>
  <si>
    <t>MOIS</t>
  </si>
  <si>
    <t>Année en cours</t>
  </si>
  <si>
    <t>Année précédente</t>
  </si>
  <si>
    <r>
      <t xml:space="preserve">                       </t>
    </r>
    <r>
      <rPr>
        <b/>
        <u val="singleAccounting"/>
        <sz val="10"/>
        <color theme="0"/>
        <rFont val="Times New Roman"/>
        <family val="1"/>
      </rPr>
      <t xml:space="preserve"> </t>
    </r>
    <r>
      <rPr>
        <b/>
        <sz val="10"/>
        <color theme="0"/>
        <rFont val="Times New Roman"/>
        <family val="1"/>
      </rPr>
      <t>VENTES</t>
    </r>
  </si>
  <si>
    <t>P&amp;L cumulés</t>
  </si>
  <si>
    <r>
      <t xml:space="preserve">Comparaison P&amp;L mensuel </t>
    </r>
    <r>
      <rPr>
        <b/>
        <u/>
        <sz val="12"/>
        <rFont val="Calibri"/>
        <family val="2"/>
        <scheme val="minor"/>
      </rPr>
      <t>GLOBAL</t>
    </r>
  </si>
  <si>
    <t>AOÛT</t>
  </si>
  <si>
    <t>SEPT.</t>
  </si>
  <si>
    <t>OCT.</t>
  </si>
  <si>
    <t>NOV.</t>
  </si>
  <si>
    <t>DÉC.</t>
  </si>
  <si>
    <t>Suivi de la trésorerie</t>
  </si>
  <si>
    <t>JANV.</t>
  </si>
  <si>
    <t>FÉV.</t>
  </si>
  <si>
    <t>JUILL.</t>
  </si>
  <si>
    <t>Mois année précédente</t>
  </si>
  <si>
    <t>1</t>
  </si>
  <si>
    <t>3</t>
  </si>
  <si>
    <t>4</t>
  </si>
  <si>
    <t>5</t>
  </si>
  <si>
    <t>6</t>
  </si>
  <si>
    <t>7</t>
  </si>
  <si>
    <t>8</t>
  </si>
  <si>
    <t>9</t>
  </si>
  <si>
    <t>Transactions</t>
  </si>
  <si>
    <t>Global</t>
  </si>
  <si>
    <t>Chiffre d'affaires net</t>
  </si>
  <si>
    <t>Paniers moyens</t>
  </si>
  <si>
    <t xml:space="preserve"> TOTAL </t>
  </si>
  <si>
    <t xml:space="preserve">  TOTAL  </t>
  </si>
  <si>
    <t>Variat.</t>
  </si>
  <si>
    <t>Cumulé variat.</t>
  </si>
  <si>
    <t>Trésorerie</t>
  </si>
  <si>
    <t>P&amp;L mensuels</t>
  </si>
  <si>
    <t>Evolution des paniers moyens………………………………………………………………………………………………………………………………………………²</t>
  </si>
  <si>
    <t>Periode</t>
  </si>
  <si>
    <t>Code</t>
  </si>
  <si>
    <t>01</t>
  </si>
  <si>
    <t>Salaires managers</t>
  </si>
  <si>
    <t>Publicité GIE</t>
  </si>
  <si>
    <t>Uniformes</t>
  </si>
  <si>
    <t>51</t>
  </si>
  <si>
    <t>56</t>
  </si>
  <si>
    <t>60</t>
  </si>
  <si>
    <t>62</t>
  </si>
  <si>
    <t>Coût non alimentaire</t>
  </si>
  <si>
    <t>99</t>
  </si>
  <si>
    <t>Publicite gie</t>
  </si>
  <si>
    <t>Entretien espaces verts</t>
  </si>
  <si>
    <t>Dons</t>
  </si>
  <si>
    <t>Eau restaurant</t>
  </si>
  <si>
    <t>Impots sur les benefices</t>
  </si>
  <si>
    <t>Urssaf equipiers</t>
  </si>
  <si>
    <t>Frais d'actes et contentieux</t>
  </si>
  <si>
    <t>Repas employes</t>
  </si>
  <si>
    <t>Emballages perdus</t>
  </si>
  <si>
    <t>Honoraires juridiques</t>
  </si>
  <si>
    <t>Produits divers gestion courante</t>
  </si>
  <si>
    <t>Charges diverses gestion courante</t>
  </si>
  <si>
    <t>Cvae</t>
  </si>
  <si>
    <t>Formations extérieures</t>
  </si>
  <si>
    <t>Téléphone</t>
  </si>
  <si>
    <t>Cfe</t>
  </si>
  <si>
    <t>Pôle emploi équipiers</t>
  </si>
  <si>
    <t>Frais postaux</t>
  </si>
  <si>
    <t>Achats nourriture</t>
  </si>
  <si>
    <t>Médecine du travail et pharmacie</t>
  </si>
  <si>
    <t>Dot. amort. s/immobil. corporel.</t>
  </si>
  <si>
    <t>Dot. prov. risques &amp; ch. exploit.</t>
  </si>
  <si>
    <t>Urssaf équipiers</t>
  </si>
  <si>
    <t>Repris.s/provis.risques &amp; charges</t>
  </si>
  <si>
    <t>Ecart</t>
  </si>
  <si>
    <t>Transactions sur place</t>
  </si>
  <si>
    <t>Transactions à emporter</t>
  </si>
  <si>
    <t>Transactions Mc Drive</t>
  </si>
  <si>
    <t>Transactions kiosque</t>
  </si>
  <si>
    <t>Transactions totales</t>
  </si>
  <si>
    <t>Transactions sur place cumulées</t>
  </si>
  <si>
    <t>Transactions à emporter cumulées</t>
  </si>
  <si>
    <t>Transactions Mc Drive cumulées</t>
  </si>
  <si>
    <t>Transactions kiosque cumulées</t>
  </si>
  <si>
    <t>Transactions totales cumulées</t>
  </si>
  <si>
    <t>Paniers moyens sur place</t>
  </si>
  <si>
    <t>Paniers moyens à emporter</t>
  </si>
  <si>
    <t>Paniers moyens total</t>
  </si>
  <si>
    <t>Paniers moyens cumulés sur place</t>
  </si>
  <si>
    <t>Paniers moyens cumulés à emporter</t>
  </si>
  <si>
    <t>Paniers moyens cumulés total</t>
  </si>
  <si>
    <t>Paniers moyens détail</t>
  </si>
  <si>
    <t>Sur place</t>
  </si>
  <si>
    <t>A emporter</t>
  </si>
  <si>
    <t>Total</t>
  </si>
  <si>
    <t>Mc Drive</t>
  </si>
  <si>
    <t>Kiosque</t>
  </si>
  <si>
    <t>Transactions détail</t>
  </si>
  <si>
    <t>Comparaison annuelle des prévisions et des P&amp;L réalisés ..................................................................................................</t>
  </si>
  <si>
    <t>D) et E)</t>
  </si>
  <si>
    <t>Comparatif P&amp;L / prévisionnel par restaurant</t>
  </si>
  <si>
    <t>Prévisions annuelles</t>
  </si>
  <si>
    <t>Prévisions mensuelles</t>
  </si>
  <si>
    <t>Suivi des transactions par type de ventes ……………………………………………………………………………………………………………………………………………</t>
  </si>
  <si>
    <t>Suivi de la trésorerie ……………………………………………………………………………………………………………………………………………</t>
  </si>
  <si>
    <t>Suivi des transactions globales ……………………………………………………………………………………………………………………</t>
  </si>
  <si>
    <t>2019</t>
  </si>
  <si>
    <t>TIRR</t>
  </si>
  <si>
    <t>Contrat ramassage espèces</t>
  </si>
  <si>
    <t>Entretien et réparation divers</t>
  </si>
  <si>
    <t>Frais comptables et juridiques</t>
  </si>
  <si>
    <t>Fournitures de bureau</t>
  </si>
  <si>
    <t>Promotion locale</t>
  </si>
  <si>
    <t>R.r.r.obtenus s/ach.mat.premières</t>
  </si>
  <si>
    <t>Assurance auto-mission</t>
  </si>
  <si>
    <t>Autr.imp.taxes (impots)</t>
  </si>
  <si>
    <t>Location interway</t>
  </si>
  <si>
    <t>Effort construction</t>
  </si>
  <si>
    <t>loyer oeuvre d art</t>
  </si>
  <si>
    <t>Ventes produits alimentaires</t>
  </si>
  <si>
    <t>Dons fondation de france</t>
  </si>
  <si>
    <t>Avantage en nature voiture</t>
  </si>
  <si>
    <t>Dechets</t>
  </si>
  <si>
    <t>Promotions</t>
  </si>
  <si>
    <t>Honoraires cac</t>
  </si>
  <si>
    <t>Cadeaux</t>
  </si>
  <si>
    <t>Contrat acrelec</t>
  </si>
  <si>
    <t>Taxes sur les véhicules sociétés</t>
  </si>
  <si>
    <t>Mutuelle équipiers</t>
  </si>
  <si>
    <t>Location vehicule</t>
  </si>
  <si>
    <t>Contrat wifi</t>
  </si>
  <si>
    <t>Contrat iron mountain</t>
  </si>
  <si>
    <t>Contrat melitta</t>
  </si>
  <si>
    <t>Dot.amort.immo.incorpore.</t>
  </si>
  <si>
    <t>Cice gie</t>
  </si>
  <si>
    <t>Commissions cb</t>
  </si>
  <si>
    <t>Contrat reflex services</t>
  </si>
  <si>
    <t>Contrat entretien linge</t>
  </si>
  <si>
    <t>Electricite restaurant</t>
  </si>
  <si>
    <t>Contrat sesam</t>
  </si>
  <si>
    <t>Effort de construction</t>
  </si>
  <si>
    <t>Commissions cv</t>
  </si>
  <si>
    <t>Ventes a 5.5%</t>
  </si>
  <si>
    <t>Ventes à 10%</t>
  </si>
  <si>
    <t>Dot. amort. s/immobil. incorporel.</t>
  </si>
  <si>
    <t>Crédit mecenat gie</t>
  </si>
  <si>
    <t>contrat jri</t>
  </si>
  <si>
    <t>Crédit mecenat</t>
  </si>
  <si>
    <t>Ventes à 20%</t>
  </si>
  <si>
    <t>contrat mood</t>
  </si>
  <si>
    <t>Locations interway</t>
  </si>
  <si>
    <t>Premium</t>
  </si>
  <si>
    <t>Redevance rth</t>
  </si>
  <si>
    <t>Ventes de produits interm</t>
  </si>
  <si>
    <t>Assurance vehicule</t>
  </si>
  <si>
    <t>Commissions bancaires</t>
  </si>
  <si>
    <t>Contrat maintenance coca</t>
  </si>
  <si>
    <t>Entretien vitres</t>
  </si>
  <si>
    <t>Transports sur achats</t>
  </si>
  <si>
    <t>transport uber</t>
  </si>
  <si>
    <t>Commissions tr</t>
  </si>
  <si>
    <t>Repris.s/amort. immob. corporelle</t>
  </si>
  <si>
    <t>Achats emballage</t>
  </si>
  <si>
    <t>Contrat telesurveillance</t>
  </si>
  <si>
    <t>Carburant</t>
  </si>
  <si>
    <t>Achats happy meal</t>
  </si>
  <si>
    <t>Contribution sur boissons sucrées</t>
  </si>
  <si>
    <t>Pole emploi equipiers</t>
  </si>
  <si>
    <t>Mutuelle equipiers</t>
  </si>
  <si>
    <t>A.n. managers</t>
  </si>
  <si>
    <t>Mutuelle managers</t>
  </si>
  <si>
    <t>Avantages en nat.equipiers</t>
  </si>
  <si>
    <t>Retraite et prev managers</t>
  </si>
  <si>
    <t>Redevance service 5%</t>
  </si>
  <si>
    <t>Avoir hm 5%</t>
  </si>
  <si>
    <t>Assurances voitures</t>
  </si>
  <si>
    <t>Frais déplacement équipiers</t>
  </si>
  <si>
    <t>Contrat silliker</t>
  </si>
  <si>
    <t>Retraite et prev equipiers</t>
  </si>
  <si>
    <t>Redevance sacem</t>
  </si>
  <si>
    <t>Ventes de produits finis</t>
  </si>
  <si>
    <t>A.n equipiers</t>
  </si>
  <si>
    <t>Contrat canal music</t>
  </si>
  <si>
    <t>42</t>
  </si>
  <si>
    <t>44</t>
  </si>
  <si>
    <t>46</t>
  </si>
  <si>
    <t>52</t>
  </si>
  <si>
    <t>54</t>
  </si>
  <si>
    <t>58</t>
  </si>
  <si>
    <t>R3 14</t>
  </si>
  <si>
    <r>
      <t xml:space="preserve">Comparaison P&amp;L mensuel </t>
    </r>
    <r>
      <rPr>
        <b/>
        <u/>
        <sz val="12"/>
        <rFont val="Calibri"/>
        <family val="2"/>
        <scheme val="minor"/>
      </rPr>
      <t>R3 14</t>
    </r>
  </si>
  <si>
    <t>LYSE</t>
  </si>
  <si>
    <t>Comparaison P&amp;L mensuel LYSE</t>
  </si>
  <si>
    <t>TL DIVES</t>
  </si>
  <si>
    <t>TH4</t>
  </si>
  <si>
    <t>Comparaison P&amp;L cumulé LYSE</t>
  </si>
  <si>
    <t>Comparaison P&amp;L cumulé TL DIVES</t>
  </si>
  <si>
    <t>Comparaison P&amp;L cumulé TH4</t>
  </si>
  <si>
    <t>R314</t>
  </si>
  <si>
    <t>assurances diverses</t>
  </si>
  <si>
    <t>DIVERS</t>
  </si>
  <si>
    <t>Cotisations</t>
  </si>
  <si>
    <t>Services exterieurs div.</t>
  </si>
  <si>
    <t>Charges div.gest.courante</t>
  </si>
  <si>
    <t>Taxe apprentissage</t>
  </si>
  <si>
    <t>Entretien du matériel de transport</t>
  </si>
  <si>
    <t>Remise lr service</t>
  </si>
  <si>
    <t>Var.stocks food</t>
  </si>
  <si>
    <t>Prod.divers de gest.cour.</t>
  </si>
  <si>
    <t>Dot.amort.immo.corporell.</t>
  </si>
  <si>
    <t>Dot. amort. exce s/immob corporel.</t>
  </si>
  <si>
    <t>Contrat nilfisk</t>
  </si>
  <si>
    <t>Prod.nets/ces.val.mob.pla</t>
  </si>
  <si>
    <t>Contrat tyco</t>
  </si>
  <si>
    <t>Frais acte et contentieux</t>
  </si>
  <si>
    <t>loc caisse palette biodechets</t>
  </si>
  <si>
    <t>Dot.prov.risq.&amp; chrg.expl</t>
  </si>
  <si>
    <t>Autres droits</t>
  </si>
  <si>
    <t>Redevance service 5 %</t>
  </si>
  <si>
    <t>Achats gaz</t>
  </si>
  <si>
    <t>Charges locat.copropriété</t>
  </si>
  <si>
    <t>Locations vehicules ponctuelles</t>
  </si>
  <si>
    <t>Ftures bureau restaurant</t>
  </si>
  <si>
    <t>Contrat ménage dératisat° désinfect</t>
  </si>
  <si>
    <t>Achat emballage</t>
  </si>
  <si>
    <t>Frais paypal</t>
  </si>
  <si>
    <t>Intérêts emprunt crca 450k€</t>
  </si>
  <si>
    <t>Tvts</t>
  </si>
  <si>
    <t>Taxe d'apprentissage</t>
  </si>
  <si>
    <t>Formation professionnelle</t>
  </si>
  <si>
    <t>Taxe handicapés</t>
  </si>
  <si>
    <t>Variat. stocks paper</t>
  </si>
  <si>
    <t>Contrat onyx veolia</t>
  </si>
  <si>
    <t>Entretien materiel transport</t>
  </si>
  <si>
    <t>contrat nilfisk</t>
  </si>
  <si>
    <t>Ptt restaurant</t>
  </si>
  <si>
    <t>Publicité (redevance 4%)</t>
  </si>
  <si>
    <t>Frais cv</t>
  </si>
  <si>
    <t>Personnel prêt d'équipiers</t>
  </si>
  <si>
    <t>Assurance multirisque</t>
  </si>
  <si>
    <t>Retraite et prév équipiers</t>
  </si>
  <si>
    <t>Avantages en nature managers</t>
  </si>
  <si>
    <t>Urssaf managers</t>
  </si>
  <si>
    <t>Avantages en nature equipiers</t>
  </si>
  <si>
    <t>Divers (pourboires, dons courants)</t>
  </si>
  <si>
    <t>Ind. blanch. managers</t>
  </si>
  <si>
    <t>Ch sociales s cp managers</t>
  </si>
  <si>
    <t>Ind. blanch équipiers</t>
  </si>
  <si>
    <t>Pôle emploi managers</t>
  </si>
  <si>
    <t>Retraite et prév managers</t>
  </si>
  <si>
    <t>Ch sociales s cp équipiers</t>
  </si>
  <si>
    <t>Services ext divers</t>
  </si>
  <si>
    <t>Auto mission</t>
  </si>
  <si>
    <t>Avantages en nature équipiers</t>
  </si>
  <si>
    <t>Impôt sur les sociétés</t>
  </si>
  <si>
    <t>Refact huiles usagees</t>
  </si>
  <si>
    <t>Prov cp managers</t>
  </si>
  <si>
    <t>Cotisat° retraite supp prev cadre</t>
  </si>
  <si>
    <t>Variat. stocks food</t>
  </si>
  <si>
    <t>Cartons collecte</t>
  </si>
  <si>
    <t>Frais tr</t>
  </si>
  <si>
    <t>Prov cp équipiers</t>
  </si>
  <si>
    <t>Vtes produits alimentaire</t>
  </si>
  <si>
    <t>Taxe publicité</t>
  </si>
  <si>
    <t>Transfert de chrges</t>
  </si>
  <si>
    <t>Refact formation managers</t>
  </si>
  <si>
    <t>Pénalités et amendes</t>
  </si>
  <si>
    <t>Pub public rel publiques</t>
  </si>
  <si>
    <t>Ecart de caisse</t>
  </si>
  <si>
    <t>Ind. licenciement équipiers</t>
  </si>
  <si>
    <t>contrat ats</t>
  </si>
  <si>
    <t>Crédit d'impôt compétitivté emploi</t>
  </si>
  <si>
    <t>Assurance full image</t>
  </si>
  <si>
    <t>Salaires équipiers</t>
  </si>
  <si>
    <t>Crédit mécénat</t>
  </si>
  <si>
    <t>Ventes à 10 %</t>
  </si>
  <si>
    <t>Ventes à 5.5 %</t>
  </si>
  <si>
    <t>Refacturation personnel manag.</t>
  </si>
  <si>
    <t>Immo corporelles</t>
  </si>
  <si>
    <t>Fourn.bureau restaurant</t>
  </si>
  <si>
    <t>Assurances automobiles</t>
  </si>
  <si>
    <t>Intérêts débiteurs</t>
  </si>
  <si>
    <t>Ecarts caisse</t>
  </si>
  <si>
    <t>Intérêts des emprunts</t>
  </si>
  <si>
    <t>Entretien et matériel divers</t>
  </si>
  <si>
    <t>Frais téléphone</t>
  </si>
  <si>
    <t>Contrat cofely clim</t>
  </si>
  <si>
    <t>Frais de deplacmt managers</t>
  </si>
  <si>
    <t>Pret personnel équipiers</t>
  </si>
  <si>
    <t>Honoraire comptable</t>
  </si>
  <si>
    <t>location audi a1 ez 614 le</t>
  </si>
  <si>
    <t>location copieur</t>
  </si>
  <si>
    <t>Salaire mgr</t>
  </si>
  <si>
    <t>Var. stock paper</t>
  </si>
  <si>
    <t>Formation pro</t>
  </si>
  <si>
    <t>Retraite &amp; prévoyance équipiers</t>
  </si>
  <si>
    <t>Honoraire ercem</t>
  </si>
  <si>
    <t>Assurance multirisque res</t>
  </si>
  <si>
    <t>R.r.r.obtenues sur achats mp</t>
  </si>
  <si>
    <t>Medecine du travail-pharm</t>
  </si>
  <si>
    <t>Subventions d'exploitat.</t>
  </si>
  <si>
    <t>Contrat recycl huiles usagees</t>
  </si>
  <si>
    <t>Frais fonctionnement gth 14</t>
  </si>
  <si>
    <t>Salaire equipiers</t>
  </si>
  <si>
    <t>Urssaf equipier</t>
  </si>
  <si>
    <t>Ind. blanch. equipiers</t>
  </si>
  <si>
    <t>Pole emploi manager</t>
  </si>
  <si>
    <t>Retraite &amp; prévoyance mgr</t>
  </si>
  <si>
    <t>Ch soc sur cp équipiers</t>
  </si>
  <si>
    <t>Ind.blanch mgr</t>
  </si>
  <si>
    <t>Pole emploi  équipiers</t>
  </si>
  <si>
    <t>Location Audi A1 ed 895 pj</t>
  </si>
  <si>
    <t>Transfert de charges</t>
  </si>
  <si>
    <t>Frais pay pal</t>
  </si>
  <si>
    <t>cotisations agirc</t>
  </si>
  <si>
    <t>Contrat eryma alarme</t>
  </si>
  <si>
    <t>Maintenance mc do sire</t>
  </si>
  <si>
    <t>La Mondiale Art. 83</t>
  </si>
  <si>
    <t>Ch soc sur cp mgr</t>
  </si>
  <si>
    <t>Achats déchets</t>
  </si>
  <si>
    <t>Indemnités licenciement</t>
  </si>
  <si>
    <t>Dot amort immo incorporelles</t>
  </si>
  <si>
    <t>Pub.public.rel.publiques</t>
  </si>
  <si>
    <t>Refacturation formations managers</t>
  </si>
  <si>
    <t>Honoraire juridique</t>
  </si>
  <si>
    <t>Prov cp mgr</t>
  </si>
  <si>
    <t>Pers.pretes ligne 39</t>
  </si>
  <si>
    <t>Taxe sur la publicité</t>
  </si>
  <si>
    <t>Dot amort immo corporelles</t>
  </si>
  <si>
    <t>Agefip handicapés</t>
  </si>
  <si>
    <t>A.n. equipiers</t>
  </si>
  <si>
    <t>Charges loc mc do france</t>
  </si>
  <si>
    <t>Achats repas employés</t>
  </si>
  <si>
    <t>Dons et pourboire</t>
  </si>
  <si>
    <t>Prod cessions actifs - Immo corp</t>
  </si>
  <si>
    <t>Cice</t>
  </si>
  <si>
    <t>Ventes à 5.5%</t>
  </si>
  <si>
    <t>Cice GIE</t>
  </si>
  <si>
    <t>location polo fg 707 vy</t>
  </si>
  <si>
    <t>Crédit mécénat GIE</t>
  </si>
  <si>
    <t>Redevance standard 14%</t>
  </si>
  <si>
    <t>Entretien réparation matériel</t>
  </si>
  <si>
    <t>Fourni bureau restaurant</t>
  </si>
  <si>
    <t>Canal music</t>
  </si>
  <si>
    <t>Reflex services</t>
  </si>
  <si>
    <t>Achats hm</t>
  </si>
  <si>
    <t>Ad hoc</t>
  </si>
  <si>
    <t>Charges locatives mc do france</t>
  </si>
  <si>
    <t>Rld - linge</t>
  </si>
  <si>
    <t>Achats emballages</t>
  </si>
  <si>
    <t>Contrat coca cola</t>
  </si>
  <si>
    <t>Interets bancaires</t>
  </si>
  <si>
    <t>Format° pro.</t>
  </si>
  <si>
    <t>Contribution sur boiss.sucrées</t>
  </si>
  <si>
    <t>Avoir hm 14%</t>
  </si>
  <si>
    <t>Personnel prêté équipiers</t>
  </si>
  <si>
    <t>Télésurveillance</t>
  </si>
  <si>
    <t>Charges s/ex. antérieurs</t>
  </si>
  <si>
    <t>Dons fondat.de fr.</t>
  </si>
  <si>
    <t>Assurances Cyber</t>
  </si>
  <si>
    <t>Revenus des autres créances</t>
  </si>
  <si>
    <t>Produits s/placemt cpte à terme</t>
  </si>
  <si>
    <t>Ind blanchi equipiers</t>
  </si>
  <si>
    <t>Impôt sur les bénéfices</t>
  </si>
  <si>
    <t>Taxe s/ les handicapés</t>
  </si>
  <si>
    <t>Indem rupture convent managers</t>
  </si>
  <si>
    <t>Dons et pourboires</t>
  </si>
  <si>
    <t>Prov congés payés mgr</t>
  </si>
  <si>
    <t>Ch.soc./cp equipiers</t>
  </si>
  <si>
    <t>Taxe sur la publicité extérieure</t>
  </si>
  <si>
    <t>Provis° cp mgr</t>
  </si>
  <si>
    <t>Refacturation soiree -repas</t>
  </si>
  <si>
    <t>Refac huiles usagees</t>
  </si>
  <si>
    <t>Dégraissage - dératisation</t>
  </si>
  <si>
    <t>Variation stock hm</t>
  </si>
  <si>
    <t>Frais equip lig 39</t>
  </si>
  <si>
    <t>Pret de personnel equipiers</t>
  </si>
  <si>
    <t>Medecine du travail pharm</t>
  </si>
  <si>
    <t>Loomis</t>
  </si>
  <si>
    <t>Ind blanchiss managers</t>
  </si>
  <si>
    <t>Pole emploi mgr</t>
  </si>
  <si>
    <t>Acrelec</t>
  </si>
  <si>
    <t>Ch.soc./cp managers</t>
  </si>
  <si>
    <t>Maintenance mc do</t>
  </si>
  <si>
    <t>Frs fonctionnement gie</t>
  </si>
  <si>
    <t>Ramassage déchets</t>
  </si>
  <si>
    <t>Loc.audi a1 DZ351PW</t>
  </si>
  <si>
    <t>Entretien du mat. de transport</t>
  </si>
  <si>
    <t>Loc.audi a1 ES829YE</t>
  </si>
  <si>
    <t>Assurance véhicule</t>
  </si>
  <si>
    <t>Transport</t>
  </si>
  <si>
    <t>Variat° stock paper</t>
  </si>
  <si>
    <t>Promot° locale</t>
  </si>
  <si>
    <t>Loc audi a1 EZ613LE</t>
  </si>
  <si>
    <t>contrat ats gie</t>
  </si>
  <si>
    <t>Frais divers direct°</t>
  </si>
  <si>
    <t>Int. sur emprunt</t>
  </si>
  <si>
    <t>Urssaf mgr</t>
  </si>
  <si>
    <t>Prov conges payes equip</t>
  </si>
  <si>
    <t>Contrib.fonciere entreprise</t>
  </si>
  <si>
    <t>Iron mountain</t>
  </si>
  <si>
    <t>Indem rupture convent equip</t>
  </si>
  <si>
    <t>Contrat fabre eau</t>
  </si>
  <si>
    <t>Location copieur</t>
  </si>
  <si>
    <t>Recept° equi et mgr</t>
  </si>
  <si>
    <t>Nettoyage cuisine</t>
  </si>
  <si>
    <t>Hotesses ligne 39</t>
  </si>
  <si>
    <t>Dot prov risques&amp;charges</t>
  </si>
  <si>
    <t>Maint.licence syst.géolocalis°</t>
  </si>
  <si>
    <t>Commission cb npu</t>
  </si>
  <si>
    <t>Crédit d'impôt compétitiv.emp.</t>
  </si>
  <si>
    <t>Rep prov risques&amp;charges</t>
  </si>
  <si>
    <t>commissions uber</t>
  </si>
  <si>
    <t>Salaire managers</t>
  </si>
  <si>
    <t>Repas employés</t>
  </si>
  <si>
    <t>Loc.audi a1 DM146RF</t>
  </si>
  <si>
    <t>Cont assist.servic</t>
  </si>
  <si>
    <t>Contrib valeur ajoutee entrep.</t>
  </si>
  <si>
    <t>Cotisations agirc</t>
  </si>
  <si>
    <t>Loc caisse palette biodechets</t>
  </si>
  <si>
    <t>Refacturation fourn exploitation</t>
  </si>
  <si>
    <t xml:space="preserve">R314 </t>
  </si>
  <si>
    <t>Compte général d'attente</t>
  </si>
  <si>
    <t>Lyse</t>
  </si>
  <si>
    <t>Th4</t>
  </si>
  <si>
    <t>Cesbron</t>
  </si>
  <si>
    <t>Urnes</t>
  </si>
  <si>
    <t>Remuner.dues au personnel</t>
  </si>
  <si>
    <t>Chèques émis intégrés</t>
  </si>
  <si>
    <t>Petite caisse</t>
  </si>
  <si>
    <t>Tickets restaurants</t>
  </si>
  <si>
    <t>Tva a decaisser</t>
  </si>
  <si>
    <t>Credit de tva a reporte</t>
  </si>
  <si>
    <t>agirc</t>
  </si>
  <si>
    <t>Fourniss.fact.non parvenues</t>
  </si>
  <si>
    <t>vente 02/01</t>
  </si>
  <si>
    <t>vente 11/07</t>
  </si>
  <si>
    <t>Capital souscrit-appelé, versé</t>
  </si>
  <si>
    <t>Autres reserves</t>
  </si>
  <si>
    <t>Bénéfice</t>
  </si>
  <si>
    <t>Perte</t>
  </si>
  <si>
    <t>Amortissements dérogatoires</t>
  </si>
  <si>
    <t>Autr.provis. pour risques</t>
  </si>
  <si>
    <t>Provisions pensions &amp; obligat.simil</t>
  </si>
  <si>
    <t>Autres provisions pour charges</t>
  </si>
  <si>
    <t>Interets courus /emprunts</t>
  </si>
  <si>
    <t>Aai des constr.s/sol d aut.</t>
  </si>
  <si>
    <t>Materiel de cuisine</t>
  </si>
  <si>
    <t>Outillage industriel</t>
  </si>
  <si>
    <t>Aai divers</t>
  </si>
  <si>
    <t>Matériel de transport</t>
  </si>
  <si>
    <t>Mat.de bureau et informatiq</t>
  </si>
  <si>
    <t>Mobilier de restaurant</t>
  </si>
  <si>
    <t>Dépôts et cautionnements</t>
  </si>
  <si>
    <t>Depot de garantie</t>
  </si>
  <si>
    <t>Amort.aai const.s/sol autr.</t>
  </si>
  <si>
    <t>Amort.outillage industriel</t>
  </si>
  <si>
    <t>Amort.aai divers</t>
  </si>
  <si>
    <t>Amort.mat.bureau et inform.</t>
  </si>
  <si>
    <t>Stocks emballages</t>
  </si>
  <si>
    <t>Stocks pdts non aliment.</t>
  </si>
  <si>
    <t>Fournisseurs</t>
  </si>
  <si>
    <t>Frs.crea./emb.mat.a rendr</t>
  </si>
  <si>
    <t>Fourniss. autres avoirs</t>
  </si>
  <si>
    <t>Rrr a obtenir  avr a recev.</t>
  </si>
  <si>
    <t>Clients</t>
  </si>
  <si>
    <t>Clients douteux litigieux</t>
  </si>
  <si>
    <t>Salariés</t>
  </si>
  <si>
    <t>Personnel avanc.et acptes</t>
  </si>
  <si>
    <t>Personnel oppositions</t>
  </si>
  <si>
    <t>Urssaf</t>
  </si>
  <si>
    <t>La mondiale</t>
  </si>
  <si>
    <t>Ag2r</t>
  </si>
  <si>
    <t>Pole emploi</t>
  </si>
  <si>
    <t>AGIRC</t>
  </si>
  <si>
    <t>predica</t>
  </si>
  <si>
    <t>Prel.lib.sociaux</t>
  </si>
  <si>
    <t>Tva due intracommunautaire</t>
  </si>
  <si>
    <t>Tva/immobilis.deductible</t>
  </si>
  <si>
    <t>Tva déductible intracommunautaire</t>
  </si>
  <si>
    <t>Tva a 19.6%</t>
  </si>
  <si>
    <t>Tva 19.6% lr service</t>
  </si>
  <si>
    <t>Tva lr service 20 %</t>
  </si>
  <si>
    <t>Tva sur factures à établir</t>
  </si>
  <si>
    <t>Autr.charg.fiscales a payer</t>
  </si>
  <si>
    <t>Assoc.dividendes a payer</t>
  </si>
  <si>
    <t>Tl dives</t>
  </si>
  <si>
    <t>Autres comptes débiteurs</t>
  </si>
  <si>
    <t>Autres comptes créditeurs</t>
  </si>
  <si>
    <t>RR RACING</t>
  </si>
  <si>
    <t>Autres comptes débiteurs/créditeurs</t>
  </si>
  <si>
    <t>Compte d attente</t>
  </si>
  <si>
    <t>Produits constatés d'avance</t>
  </si>
  <si>
    <t>Actions</t>
  </si>
  <si>
    <t>Cheques</t>
  </si>
  <si>
    <t>Chèques vacances</t>
  </si>
  <si>
    <t>Chèques émis</t>
  </si>
  <si>
    <t>Caisse d'epargne</t>
  </si>
  <si>
    <t>Société générale</t>
  </si>
  <si>
    <t>Banque - Intérets courus à payer</t>
  </si>
  <si>
    <t>Billet a ordre</t>
  </si>
  <si>
    <t>Coffre</t>
  </si>
  <si>
    <t>Prov.depreciat.des actions</t>
  </si>
  <si>
    <t>Ramassage especes</t>
  </si>
  <si>
    <t>Locations</t>
  </si>
  <si>
    <t>Contrat onyx</t>
  </si>
  <si>
    <t>Contrat j-normandie</t>
  </si>
  <si>
    <t>Contrat sir</t>
  </si>
  <si>
    <t>Ptt restaurant npu</t>
  </si>
  <si>
    <t>Taxe professionnelle</t>
  </si>
  <si>
    <t>Organic</t>
  </si>
  <si>
    <t>Ne pas utiliser</t>
  </si>
  <si>
    <t>Primes et gratifications</t>
  </si>
  <si>
    <t>Rémunération de gérance</t>
  </si>
  <si>
    <t>Quote-part/oper.en commun</t>
  </si>
  <si>
    <t>Valeurs compt. éléments actif cédés</t>
  </si>
  <si>
    <t>Dot.prov.deprec.elts fin.</t>
  </si>
  <si>
    <t>Dot.amort.except.immobil.</t>
  </si>
  <si>
    <t>Dot. amort. exce s/immob incorpore.</t>
  </si>
  <si>
    <t>Dot. amortissements dérogatoires</t>
  </si>
  <si>
    <t>Ventes à 7 %</t>
  </si>
  <si>
    <t>Ventes a 19.6%</t>
  </si>
  <si>
    <t>Prêt de personnel managers</t>
  </si>
  <si>
    <t>Subvention full image</t>
  </si>
  <si>
    <t>Coupons</t>
  </si>
  <si>
    <t>Repris.s/amort. immob. incorporelle</t>
  </si>
  <si>
    <t>Reprises amortissements dérogatoire</t>
  </si>
  <si>
    <t>Avantage nature mgr</t>
  </si>
  <si>
    <t>Compte de bilan</t>
  </si>
  <si>
    <t>Tva/abs</t>
  </si>
  <si>
    <t>Prédica</t>
  </si>
  <si>
    <t>Versement espèces</t>
  </si>
  <si>
    <t>Crédit agricole</t>
  </si>
  <si>
    <t>Ptt</t>
  </si>
  <si>
    <t>R 3-14</t>
  </si>
  <si>
    <t>Tickets restaurant</t>
  </si>
  <si>
    <t>Capital social</t>
  </si>
  <si>
    <t>Capital souscrit-non appelé</t>
  </si>
  <si>
    <t>Capital soumis règl. part</t>
  </si>
  <si>
    <t>Réserve légale</t>
  </si>
  <si>
    <t>Reserves indisponibles</t>
  </si>
  <si>
    <t>Autres réserves</t>
  </si>
  <si>
    <t>Réserve spéciale oeuv.art.vivt</t>
  </si>
  <si>
    <t>Autres prov. pour risques</t>
  </si>
  <si>
    <t>Emprunt 720 000 €</t>
  </si>
  <si>
    <t>Emprunt CA 200 K€</t>
  </si>
  <si>
    <t>Emprunt CA 150 K€</t>
  </si>
  <si>
    <t>Logiciels</t>
  </si>
  <si>
    <t>Mat.cuisine</t>
  </si>
  <si>
    <t>Immobilsation en cours</t>
  </si>
  <si>
    <t>Avances sur matériel technique</t>
  </si>
  <si>
    <t>Amort.frais d'etablissem.</t>
  </si>
  <si>
    <t>Amort.logiciels</t>
  </si>
  <si>
    <t>Amorts matériel cuisine</t>
  </si>
  <si>
    <t>Amort.materiel et outilla</t>
  </si>
  <si>
    <t>Amorts outillage indust</t>
  </si>
  <si>
    <t>Amortissements mobilier</t>
  </si>
  <si>
    <t>Prov.depr.depots versem.</t>
  </si>
  <si>
    <t>Stocks nourritures</t>
  </si>
  <si>
    <t>Centralisateur débit</t>
  </si>
  <si>
    <t>Fournisseurs débiteurs</t>
  </si>
  <si>
    <t>Fournisseurs d'immobilisations</t>
  </si>
  <si>
    <t>Fournisseur immobilisations</t>
  </si>
  <si>
    <t>Fourn avances et acomptes</t>
  </si>
  <si>
    <t>Fourn. autres avoirs</t>
  </si>
  <si>
    <t>Centralisateur crédit</t>
  </si>
  <si>
    <t>Collectif client divers</t>
  </si>
  <si>
    <t>Clients fact. à établir</t>
  </si>
  <si>
    <t>Clients - acomptes sur commandes</t>
  </si>
  <si>
    <t>Clients - rrr à accorder</t>
  </si>
  <si>
    <t>Frais de personnel</t>
  </si>
  <si>
    <t>Dettes prov. congés payés</t>
  </si>
  <si>
    <t>Prov. pour gratifications</t>
  </si>
  <si>
    <t>Rsi</t>
  </si>
  <si>
    <t>Malakoff retraite</t>
  </si>
  <si>
    <t>Groupe mornay npu</t>
  </si>
  <si>
    <t>Klesia</t>
  </si>
  <si>
    <t>PRELVT IMPOT SOURCE</t>
  </si>
  <si>
    <t>Charges sociales à payer</t>
  </si>
  <si>
    <t>Prel.liberatoires fiscaux</t>
  </si>
  <si>
    <t>Prel.liberatoires sociaux</t>
  </si>
  <si>
    <t>Tva deduct.intracommunautaire</t>
  </si>
  <si>
    <t>Tva immo - encaissements</t>
  </si>
  <si>
    <t>Tva/prest.services</t>
  </si>
  <si>
    <t>Tva a 5.5%</t>
  </si>
  <si>
    <t>Tva intra communautaire</t>
  </si>
  <si>
    <t>Tva à 10 %</t>
  </si>
  <si>
    <t>Remboursement tva demandé</t>
  </si>
  <si>
    <t>Tva s/fact. non parvenues</t>
  </si>
  <si>
    <t>Tca s/avoirs non parvenu.</t>
  </si>
  <si>
    <t>Etat - charges à payer</t>
  </si>
  <si>
    <t>Etats produits à recevoir</t>
  </si>
  <si>
    <t>Cc régis rego</t>
  </si>
  <si>
    <t>Associes comptes courants</t>
  </si>
  <si>
    <t>Associés - intérêts courus</t>
  </si>
  <si>
    <t>Assoc dividendes à payer</t>
  </si>
  <si>
    <t>Maison ronald</t>
  </si>
  <si>
    <t>Ecart sur remises cb</t>
  </si>
  <si>
    <t>Ecart sur remises tr</t>
  </si>
  <si>
    <t>Ecart sur remises cv</t>
  </si>
  <si>
    <t>Ecarts sur remises espèces</t>
  </si>
  <si>
    <t>Glr5</t>
  </si>
  <si>
    <t>Ecart rem cheque</t>
  </si>
  <si>
    <t>ecart uber</t>
  </si>
  <si>
    <t>Rth 76</t>
  </si>
  <si>
    <t>Rsi à recevoir</t>
  </si>
  <si>
    <t>Divers charges à payer</t>
  </si>
  <si>
    <t>Divers prod à recevoir</t>
  </si>
  <si>
    <t>Charges constatees d avance</t>
  </si>
  <si>
    <t>Placements</t>
  </si>
  <si>
    <t>Dépôt à terme</t>
  </si>
  <si>
    <t>Int. courus s/dépôt à ter</t>
  </si>
  <si>
    <t>Carte bleue</t>
  </si>
  <si>
    <t>Bics</t>
  </si>
  <si>
    <t>Cheque vacance</t>
  </si>
  <si>
    <t>Cheques vacances</t>
  </si>
  <si>
    <t>Pre paiement</t>
  </si>
  <si>
    <t>Pay pal</t>
  </si>
  <si>
    <t>Credit du nord</t>
  </si>
  <si>
    <t>Dépôts à termes</t>
  </si>
  <si>
    <t>Int.courus à recevoir s/dat</t>
  </si>
  <si>
    <t>Souscription dépôt à terme</t>
  </si>
  <si>
    <t>Caisse coffre</t>
  </si>
  <si>
    <t>Virements internes</t>
  </si>
  <si>
    <t>Especes</t>
  </si>
  <si>
    <t>Monnaie</t>
  </si>
  <si>
    <t>Alimentaire + surgelés</t>
  </si>
  <si>
    <t>Var.stocks hm</t>
  </si>
  <si>
    <t>Fourni admin</t>
  </si>
  <si>
    <t>Sous-traitance générale</t>
  </si>
  <si>
    <t>Sous-traitance generale</t>
  </si>
  <si>
    <t>Ent.fleurs</t>
  </si>
  <si>
    <t>Norbail location</t>
  </si>
  <si>
    <t>Redevance stand</t>
  </si>
  <si>
    <t>Location 308 affaire</t>
  </si>
  <si>
    <t>Location sci</t>
  </si>
  <si>
    <t>F 01/12 fact volswagen location pol</t>
  </si>
  <si>
    <t>Cont. entret. linge</t>
  </si>
  <si>
    <t>Surveill. gardien.</t>
  </si>
  <si>
    <t>Contrat ecogras</t>
  </si>
  <si>
    <t>Entretien cuisine</t>
  </si>
  <si>
    <t>Entret. et repar.</t>
  </si>
  <si>
    <t>Entret. mat transp.</t>
  </si>
  <si>
    <t>Contrat musique</t>
  </si>
  <si>
    <t>F 17/09 fact silliker suite visite</t>
  </si>
  <si>
    <t>Mach.à affranchir</t>
  </si>
  <si>
    <t>Personnel ne pas utiliser</t>
  </si>
  <si>
    <t>Prets personnel managers npu</t>
  </si>
  <si>
    <t>Refac.pers.techniq.</t>
  </si>
  <si>
    <t>Salaire melinda lig 39</t>
  </si>
  <si>
    <t>Honoraire siliker</t>
  </si>
  <si>
    <t>Annonces et insertions</t>
  </si>
  <si>
    <t>Voy et dep direct°</t>
  </si>
  <si>
    <t>Ptt bureau</t>
  </si>
  <si>
    <t>Tel. restaurant</t>
  </si>
  <si>
    <t>Telephone bureau</t>
  </si>
  <si>
    <t>Comm.bancaires npu</t>
  </si>
  <si>
    <t>Comm tr npu</t>
  </si>
  <si>
    <t>Ne plus utiliser</t>
  </si>
  <si>
    <t>Comm cv npu</t>
  </si>
  <si>
    <t>Comm paypal npu</t>
  </si>
  <si>
    <t>Convention (ne pas utiliser)</t>
  </si>
  <si>
    <t>Taxe fonciere</t>
  </si>
  <si>
    <t>Taxes/vehicul.de societes</t>
  </si>
  <si>
    <t>Cartes grises</t>
  </si>
  <si>
    <t>Pêche</t>
  </si>
  <si>
    <t>Redevance audio</t>
  </si>
  <si>
    <t>Taxe 0.12% ca</t>
  </si>
  <si>
    <t>Ifa</t>
  </si>
  <si>
    <t>Impôt forfaitaire annuel</t>
  </si>
  <si>
    <t>Taxes diverses</t>
  </si>
  <si>
    <t>Salaire lg</t>
  </si>
  <si>
    <t>Indemn. licenciement equipiers</t>
  </si>
  <si>
    <t>Prov cp equipiers</t>
  </si>
  <si>
    <t>Urssaf lg</t>
  </si>
  <si>
    <t>Mutuelle équipiers npu</t>
  </si>
  <si>
    <t>Mutuelle managers npu</t>
  </si>
  <si>
    <t>Isica lg</t>
  </si>
  <si>
    <t>Ret.supplem. Article 83</t>
  </si>
  <si>
    <t>Assedic lg</t>
  </si>
  <si>
    <t>Chrges sociales/cp</t>
  </si>
  <si>
    <t>Ch.soc/primes</t>
  </si>
  <si>
    <t>Caisse de retraite</t>
  </si>
  <si>
    <t>Retraite r.rego</t>
  </si>
  <si>
    <t>Créances irrécouvrables</t>
  </si>
  <si>
    <t>Intérêts sur emprunts</t>
  </si>
  <si>
    <t>Pertes de change ne pas utiliser</t>
  </si>
  <si>
    <t>Charges nettes sur cession wmp</t>
  </si>
  <si>
    <t>Charges excep.s/ope.gest.</t>
  </si>
  <si>
    <t>Val.nette cptble immo.incorp.cédées</t>
  </si>
  <si>
    <t>Val.nette cptble immo.corpo.cédées</t>
  </si>
  <si>
    <t>Prov p&amp;l cs/cp mgr</t>
  </si>
  <si>
    <t>Prov p&amp;l cs/cp eq.</t>
  </si>
  <si>
    <t>Imp. sur les benef.</t>
  </si>
  <si>
    <t>Contr.add.impots.benef</t>
  </si>
  <si>
    <t>Divers analytique ne pas utiliser</t>
  </si>
  <si>
    <t>Vente 01/07</t>
  </si>
  <si>
    <t>VENTES 07/06/2019</t>
  </si>
  <si>
    <t>Pret de personnel equip</t>
  </si>
  <si>
    <t>Refacturation nourriture</t>
  </si>
  <si>
    <t>Refacturation papier</t>
  </si>
  <si>
    <t>Refacturation cadeaux et promo</t>
  </si>
  <si>
    <t>Refacturation happy meal</t>
  </si>
  <si>
    <t>Refacturation location véhicule</t>
  </si>
  <si>
    <t>Revenus du dépôt à terme</t>
  </si>
  <si>
    <t>Prdts nets sur cession vmp</t>
  </si>
  <si>
    <t>Prdts excep.s/oper.gest</t>
  </si>
  <si>
    <t>Produits s/ex. antérieurs</t>
  </si>
  <si>
    <t>Rep prov elemt financiers</t>
  </si>
  <si>
    <t>Repris.s/amort.immob.incorpo (exce)</t>
  </si>
  <si>
    <t>Repris.s/amort.immob.corpor. (exce)</t>
  </si>
  <si>
    <t>Avantages nature mgr</t>
  </si>
  <si>
    <t>Avantages nature equipiers</t>
  </si>
  <si>
    <t>Trans chrg. d'exp.</t>
  </si>
  <si>
    <t>Transfert charges ac tva</t>
  </si>
  <si>
    <t>Transfert charges ss tva</t>
  </si>
  <si>
    <t>Transfert de ch.except.</t>
  </si>
  <si>
    <t>Versements espèces</t>
  </si>
  <si>
    <t>Prêt remodel SG 900 000 €</t>
  </si>
  <si>
    <t>Ecart sur remises espèces</t>
  </si>
  <si>
    <t>Remb tva à recevoir</t>
  </si>
  <si>
    <t>Credit de tva à reporter</t>
  </si>
  <si>
    <t>Cartes bleues</t>
  </si>
  <si>
    <t>GTH14</t>
  </si>
  <si>
    <t>Capit.souscrit appelé versé</t>
  </si>
  <si>
    <t>Réserve spéciale Oeuvre d'art</t>
  </si>
  <si>
    <t>Resultat exercice perte</t>
  </si>
  <si>
    <t>Autres prov pour risques</t>
  </si>
  <si>
    <t>Frais d etablissement</t>
  </si>
  <si>
    <t>33/08 - remplacement batterie ondul</t>
  </si>
  <si>
    <t>Materiel bureau et info.</t>
  </si>
  <si>
    <t>Installations techniques en cours</t>
  </si>
  <si>
    <t>Avances sur installations technique</t>
  </si>
  <si>
    <t>Depots de garantie</t>
  </si>
  <si>
    <t>Cautionnements</t>
  </si>
  <si>
    <t>Amort.frais etablissement</t>
  </si>
  <si>
    <t>Amort. logiciels</t>
  </si>
  <si>
    <t>Amort materiel de cuisine</t>
  </si>
  <si>
    <t>Amort.mat.bureau et info.</t>
  </si>
  <si>
    <t>Amort mobilier restaurant</t>
  </si>
  <si>
    <t>Stock nourriture</t>
  </si>
  <si>
    <t>Stock d'emballage</t>
  </si>
  <si>
    <t>Stock pdts non alimentaires</t>
  </si>
  <si>
    <t>Fournisseurs d'immobilis.</t>
  </si>
  <si>
    <t>Fourn.av.acpt verses/comm</t>
  </si>
  <si>
    <t>Frs créa-mat à rendre</t>
  </si>
  <si>
    <t>Rrr a obtenir  avr à recev.</t>
  </si>
  <si>
    <t>FA Bourg Achard  réfection trottoir</t>
  </si>
  <si>
    <t>Factures à etablir</t>
  </si>
  <si>
    <t>40.03/Lejamtel/Aménag porte bureau</t>
  </si>
  <si>
    <t>Saisie arrêt</t>
  </si>
  <si>
    <t>Dettes provisio.pour congés</t>
  </si>
  <si>
    <t>Dettes prov. gratificat.</t>
  </si>
  <si>
    <t>Groupe mornay</t>
  </si>
  <si>
    <t>Autres caisses</t>
  </si>
  <si>
    <t>Charges sociales s/congés à payer</t>
  </si>
  <si>
    <t>Autr.charg.sociales à payer</t>
  </si>
  <si>
    <t>Prel.lib.fiscaux</t>
  </si>
  <si>
    <t>Tva/immobilis.deductible debits</t>
  </si>
  <si>
    <t>Tva sur immo déduct encaissements</t>
  </si>
  <si>
    <t>Tva sur autres biens et services</t>
  </si>
  <si>
    <t>Tva a 7%</t>
  </si>
  <si>
    <t>Tva intra c ommunautaire</t>
  </si>
  <si>
    <t>Tva 19.6% lrs services</t>
  </si>
  <si>
    <t>Tca s/factures non parvenu.</t>
  </si>
  <si>
    <t>Tva s/avoirs a recevoir</t>
  </si>
  <si>
    <t>Etat - produits à recevoir</t>
  </si>
  <si>
    <t>C/c regis rego</t>
  </si>
  <si>
    <t>Vente 21/03</t>
  </si>
  <si>
    <t>Sas r3-14</t>
  </si>
  <si>
    <t>Autres comptes crÉditeurs</t>
  </si>
  <si>
    <t>Divers produits à recevoir</t>
  </si>
  <si>
    <t>Compte d attente ne pas utiliser</t>
  </si>
  <si>
    <t>Charges constatées d avance</t>
  </si>
  <si>
    <t>Vmp</t>
  </si>
  <si>
    <t>Livret b</t>
  </si>
  <si>
    <t>Chèques</t>
  </si>
  <si>
    <t>Banque - intérets courus à payer</t>
  </si>
  <si>
    <t>Interets courus à payer</t>
  </si>
  <si>
    <t>Billet à ordre</t>
  </si>
  <si>
    <t>Espèces</t>
  </si>
  <si>
    <t>Fact edf conso</t>
  </si>
  <si>
    <t>Fournitures exploitation</t>
  </si>
  <si>
    <t>Fournit. administratives</t>
  </si>
  <si>
    <t>Ramassage espèces</t>
  </si>
  <si>
    <t>51.06/mc donald's/redev min 06.14</t>
  </si>
  <si>
    <t>Location camions</t>
  </si>
  <si>
    <t>Location c2</t>
  </si>
  <si>
    <t>Locat° polo (remplace c2 - crespin)</t>
  </si>
  <si>
    <t>Fact veolia proprete du 31  juillet</t>
  </si>
  <si>
    <t>Ent et rep equipement</t>
  </si>
  <si>
    <t>Entretien véhicules npu</t>
  </si>
  <si>
    <t>Linge</t>
  </si>
  <si>
    <t>Canal musique</t>
  </si>
  <si>
    <t>Entret.mat.trsp</t>
  </si>
  <si>
    <t>Contrat ne pas utiliser</t>
  </si>
  <si>
    <t>Contrat cesbron</t>
  </si>
  <si>
    <t>Contrat Interway</t>
  </si>
  <si>
    <t>Fact mood contrat lecteur mp 8  du</t>
  </si>
  <si>
    <t>Fact ouest france du 31  juillet jo</t>
  </si>
  <si>
    <t>honoraires divers</t>
  </si>
  <si>
    <t>Annonce et insertion</t>
  </si>
  <si>
    <t>Fact valette cadeaux noel</t>
  </si>
  <si>
    <t>cadeaux ligne 39</t>
  </si>
  <si>
    <t>Frais lrs livraison supplémentaire</t>
  </si>
  <si>
    <t>Voy et dep direction</t>
  </si>
  <si>
    <t>Recept° equipier et mgr</t>
  </si>
  <si>
    <t>Telephone restaurant npu</t>
  </si>
  <si>
    <t>Commiss° bancaires npu</t>
  </si>
  <si>
    <t>Commiss° cb npu</t>
  </si>
  <si>
    <t>Commiss° tr npu</t>
  </si>
  <si>
    <t>Commiss° cv  npu</t>
  </si>
  <si>
    <t>Commissions pay pal  npu</t>
  </si>
  <si>
    <t>Cet</t>
  </si>
  <si>
    <t>Contribution péche - taxe sur filet</t>
  </si>
  <si>
    <t>Indemnite licenct/retraite</t>
  </si>
  <si>
    <t>Indemnités licenciemt manag</t>
  </si>
  <si>
    <t>Prov primes</t>
  </si>
  <si>
    <t>Primes équipiers</t>
  </si>
  <si>
    <t>Primes managers</t>
  </si>
  <si>
    <t>Charges sociales n</t>
  </si>
  <si>
    <t>Charges sur primes équipiers</t>
  </si>
  <si>
    <t>Charges sur primes managers</t>
  </si>
  <si>
    <t>Charges sociales s/gratif</t>
  </si>
  <si>
    <t>52.06/mc donald's/redev serv 06.14</t>
  </si>
  <si>
    <t>Charges exploit./exer.ant</t>
  </si>
  <si>
    <t>Vnc élé actif cédés - incorpor</t>
  </si>
  <si>
    <t>Vnc élé actif cédés corporelles</t>
  </si>
  <si>
    <t>Dot. amortissements dÉrogatoires</t>
  </si>
  <si>
    <t>Bidon analytique ne pas utiliser</t>
  </si>
  <si>
    <t>Crédit impot mécénat</t>
  </si>
  <si>
    <t>Ventes à 7%</t>
  </si>
  <si>
    <t>Ventes à 19.6%</t>
  </si>
  <si>
    <t>Refacturation personnel (Équipiers)</t>
  </si>
  <si>
    <t>Refacturation fournitures exploit.</t>
  </si>
  <si>
    <t>Refacturation formations équipiers</t>
  </si>
  <si>
    <t>Intérêts créditeurs</t>
  </si>
  <si>
    <t>Gains de change</t>
  </si>
  <si>
    <t>Autr. produits financiers</t>
  </si>
  <si>
    <t>Pdts sur placements cpt à terme</t>
  </si>
  <si>
    <t>Autres produits except. de gestion</t>
  </si>
  <si>
    <t>Prod.exploit./exerc.anter</t>
  </si>
  <si>
    <t>Avantage nature équipie</t>
  </si>
  <si>
    <t>Transf. charges taxables</t>
  </si>
  <si>
    <t>Transfert de charges exceptionnell.</t>
  </si>
  <si>
    <t>Compte gÉnÉral d'attente</t>
  </si>
  <si>
    <t>Tva à décaisser</t>
  </si>
  <si>
    <t>Capital souscrit-non appelÉ</t>
  </si>
  <si>
    <t>Capital souscrit, appelé, versé</t>
  </si>
  <si>
    <t>RÉserves statutaires ou contract.</t>
  </si>
  <si>
    <t>Report À nouveau (solde dÉbiteur)</t>
  </si>
  <si>
    <t>BÉnÉfice</t>
  </si>
  <si>
    <t>Amortissements dÉrogatoires</t>
  </si>
  <si>
    <t>Intérêts courus</t>
  </si>
  <si>
    <t>Frais de constitution</t>
  </si>
  <si>
    <t>Concessions et droits similaires</t>
  </si>
  <si>
    <t>Matériel de cuisine</t>
  </si>
  <si>
    <t>Agenct.aménagt.mat. &amp; outil. indust</t>
  </si>
  <si>
    <t>Matériel de bureau et informatique</t>
  </si>
  <si>
    <t>Titres de participation</t>
  </si>
  <si>
    <t>Amort.frais d'établissem.</t>
  </si>
  <si>
    <t>Amortis. concess. &amp; droits simil.</t>
  </si>
  <si>
    <t>Amort.matériel de cuisine</t>
  </si>
  <si>
    <t>Amort.outillag.industriel</t>
  </si>
  <si>
    <t>Installations, matériel &amp; outillage</t>
  </si>
  <si>
    <t>Amortis. instal. gales, agenct. div</t>
  </si>
  <si>
    <t>Amortis. matér.bureau et informat.</t>
  </si>
  <si>
    <t>Amortis. mobilier</t>
  </si>
  <si>
    <t>Stocks nourriture</t>
  </si>
  <si>
    <t>Stock emballage</t>
  </si>
  <si>
    <t>Stocks pdts non alimentaires</t>
  </si>
  <si>
    <t>Stock uniformes</t>
  </si>
  <si>
    <t>Fournisseurs - fact. non parvenues</t>
  </si>
  <si>
    <t>Frs immobil. - fact. non parvenues</t>
  </si>
  <si>
    <t>Frs avances et acomptes</t>
  </si>
  <si>
    <t>Frs emb et mat à rendre</t>
  </si>
  <si>
    <t>Fournisseurs - autres avoirs</t>
  </si>
  <si>
    <t>Fournisseurs - rrr à obtenir</t>
  </si>
  <si>
    <t>Clients - effet à recevoir</t>
  </si>
  <si>
    <t>Clients - factures à établir</t>
  </si>
  <si>
    <t>SalariÉs</t>
  </si>
  <si>
    <t>Dettes provis. pr congés à payer</t>
  </si>
  <si>
    <t>Dettes provision primes</t>
  </si>
  <si>
    <t>Charges sociales - charges à payer</t>
  </si>
  <si>
    <t>Prel lib sociaux</t>
  </si>
  <si>
    <t>Etat - impôts sur les bénéfices</t>
  </si>
  <si>
    <t>Tva/immo déductible débits</t>
  </si>
  <si>
    <t>Tva/immo déductible encaissemts</t>
  </si>
  <si>
    <t>Tva sur autrs biens et services déd</t>
  </si>
  <si>
    <t>Tva ded sur intracommunautaire</t>
  </si>
  <si>
    <t>Crédit de tva a reporter</t>
  </si>
  <si>
    <t>Tva collectée à 5.5 %</t>
  </si>
  <si>
    <t>Tva collectée à 7%</t>
  </si>
  <si>
    <t>Tva intracommunautaire</t>
  </si>
  <si>
    <t>Tva collectée à 19.6%</t>
  </si>
  <si>
    <t>Tva lr service 19.6 %</t>
  </si>
  <si>
    <t>Tva collectée à 10 %</t>
  </si>
  <si>
    <t>Regularisation de tva</t>
  </si>
  <si>
    <t>Remboursement de tva demandé</t>
  </si>
  <si>
    <t>Tca/fact. non parvenues</t>
  </si>
  <si>
    <t>Etat - autres charges à payer</t>
  </si>
  <si>
    <t>Cc regis rego</t>
  </si>
  <si>
    <t>AssociÉs - dividendes À payer</t>
  </si>
  <si>
    <t>Ecart sur remise tr</t>
  </si>
  <si>
    <t>Ecart sur remise espèces</t>
  </si>
  <si>
    <t>Autres comptes dÉbiteurs</t>
  </si>
  <si>
    <t>Autres comptes dÉbiteurs/crÉditeurs</t>
  </si>
  <si>
    <t>Divers - charges à payer</t>
  </si>
  <si>
    <t>Divers - produits à recevoir</t>
  </si>
  <si>
    <t>Charges constatées d'avance</t>
  </si>
  <si>
    <t>Chèque émis</t>
  </si>
  <si>
    <t>Comptes en monnaie nationale</t>
  </si>
  <si>
    <t>Intérêts courus à payer</t>
  </si>
  <si>
    <t>Banque - intérêts courus à recevoir</t>
  </si>
  <si>
    <t>Billets à ordre</t>
  </si>
  <si>
    <t>Vente 11/07</t>
  </si>
  <si>
    <t>Variation stock uniforme</t>
  </si>
  <si>
    <t>Achats d'études et prestations</t>
  </si>
  <si>
    <t>Ftures bureau jda-martini</t>
  </si>
  <si>
    <t>Location polo</t>
  </si>
  <si>
    <t>Locations ponctuelles</t>
  </si>
  <si>
    <t>27.02/ac froid/interv fuite d'eau</t>
  </si>
  <si>
    <t>Ent et repararat</t>
  </si>
  <si>
    <t>Vitres</t>
  </si>
  <si>
    <t>Entret.mat.de transp.</t>
  </si>
  <si>
    <t>Contrat mach affranchir</t>
  </si>
  <si>
    <t>Contrat cofely cofatec</t>
  </si>
  <si>
    <t>05.04/cofly/ct chauffage</t>
  </si>
  <si>
    <t>Full connection ews comptabilité</t>
  </si>
  <si>
    <t>Contrat interway</t>
  </si>
  <si>
    <t>Honoraires siliker</t>
  </si>
  <si>
    <t>12.05/being/simple translite drive</t>
  </si>
  <si>
    <t>Voy et deplct direction</t>
  </si>
  <si>
    <t>Frais reception mgr</t>
  </si>
  <si>
    <t>Commission cb</t>
  </si>
  <si>
    <t>Taxes fonciÈres</t>
  </si>
  <si>
    <t>Contribution peche</t>
  </si>
  <si>
    <t>Taxe 0,12% ca</t>
  </si>
  <si>
    <t>Impot forfait.annuel</t>
  </si>
  <si>
    <t>Contribution sociale de solidarité</t>
  </si>
  <si>
    <t>IndemnitÉs et avantages ne pas util</t>
  </si>
  <si>
    <t>Charges soc s/primes</t>
  </si>
  <si>
    <t>Charges sociales régis</t>
  </si>
  <si>
    <t>Creances irrecouvrables</t>
  </si>
  <si>
    <t>Quote part ne pas utiliser</t>
  </si>
  <si>
    <t>Autres charges ne pas utiliser</t>
  </si>
  <si>
    <t>Charges excep./op.gestion</t>
  </si>
  <si>
    <t>Autres charges except. de gestion</t>
  </si>
  <si>
    <t>Charges sur exercices antérieurs</t>
  </si>
  <si>
    <t>Vnc élé actifs cédés - immo incorpo</t>
  </si>
  <si>
    <t>Vncélé actif cédés - immo corporel</t>
  </si>
  <si>
    <t>Divers attente analytique ne pas ut</t>
  </si>
  <si>
    <t>Crédits d'impôts</t>
  </si>
  <si>
    <t>Ventes à 19.6 %</t>
  </si>
  <si>
    <t>Vente 21/07</t>
  </si>
  <si>
    <t>Refacturation fournit.exploit.</t>
  </si>
  <si>
    <t>Refacturation jouet</t>
  </si>
  <si>
    <t>Refacturation travaux</t>
  </si>
  <si>
    <t>Gains de change ne pas utiliser</t>
  </si>
  <si>
    <t>Produits nets s/cessions vmp</t>
  </si>
  <si>
    <t>Ecart conversion ne pas utiliser</t>
  </si>
  <si>
    <t>Produits des exercices antérieurs</t>
  </si>
  <si>
    <t>Reprises amortissements dÉrogatoire</t>
  </si>
  <si>
    <t>Avantage en nature managers</t>
  </si>
  <si>
    <t>Avantage en nature équipiers</t>
  </si>
  <si>
    <t>Transferts charges d'expl avec tva</t>
  </si>
  <si>
    <t>Remboursements formations managers</t>
  </si>
  <si>
    <t>Remboursements formations équipiers</t>
  </si>
  <si>
    <t>Tva/autr.biens serv. ded.</t>
  </si>
  <si>
    <t>Commissions paypal</t>
  </si>
  <si>
    <t>Taxes sur les véhic.soc.</t>
  </si>
  <si>
    <t>Credit agricole</t>
  </si>
  <si>
    <t>Services financiers</t>
  </si>
  <si>
    <t>Predica</t>
  </si>
  <si>
    <t>Taxe publicite exterieure</t>
  </si>
  <si>
    <t>Mc donald's lisieux</t>
  </si>
  <si>
    <t>Ecart sur remise cb</t>
  </si>
  <si>
    <t>Ecart s/ remise tr</t>
  </si>
  <si>
    <t>Ecart s/remise cv</t>
  </si>
  <si>
    <t>Remboursement de tva</t>
  </si>
  <si>
    <t>Ecart s/ remises especes</t>
  </si>
  <si>
    <t>Prov conges equipiers</t>
  </si>
  <si>
    <t>Prov conges managers</t>
  </si>
  <si>
    <t>Cs/cp equipiers</t>
  </si>
  <si>
    <t>Cs/cp managers</t>
  </si>
  <si>
    <t>Capital soumis reglem par</t>
  </si>
  <si>
    <t>Reserve legale</t>
  </si>
  <si>
    <t>Report a nouveau debiteur</t>
  </si>
  <si>
    <t>Emprunt full restaurant</t>
  </si>
  <si>
    <t>Emprunt Volkswagen 16 900 €</t>
  </si>
  <si>
    <t>Emprunt crca 56 000 €</t>
  </si>
  <si>
    <t>Logiciels informatiques</t>
  </si>
  <si>
    <t>licence</t>
  </si>
  <si>
    <t>Avances sur immobilisat. corporel.</t>
  </si>
  <si>
    <t>Amort.logiciels informat.</t>
  </si>
  <si>
    <t>Amort.materiel de cuisine</t>
  </si>
  <si>
    <t>Amortis. matériel de transport</t>
  </si>
  <si>
    <t>Amort.mobilier de rest.</t>
  </si>
  <si>
    <t>Stocks food</t>
  </si>
  <si>
    <t>Fourn.d'immobilisations</t>
  </si>
  <si>
    <t>Frs immobil. - fact. non parv.</t>
  </si>
  <si>
    <t>Frs av.acptes vers.s/comman</t>
  </si>
  <si>
    <t>Clients, fact à établir</t>
  </si>
  <si>
    <t>Dettes prov./conges payes</t>
  </si>
  <si>
    <t>Pers.autr.charges a payer</t>
  </si>
  <si>
    <t>Malakoff mederic</t>
  </si>
  <si>
    <t>prelvt impot source</t>
  </si>
  <si>
    <t>Charg.soc./conges a payer</t>
  </si>
  <si>
    <t>Autr.charges soc.a payer</t>
  </si>
  <si>
    <t>Prel.lib. fiscaux</t>
  </si>
  <si>
    <t>Tva s/ immo encaissements</t>
  </si>
  <si>
    <t>Tva s/prest services</t>
  </si>
  <si>
    <t>Tva a 5.5 %</t>
  </si>
  <si>
    <t>Tva a 7 %</t>
  </si>
  <si>
    <t>Tva intra communautaire ne pas util</t>
  </si>
  <si>
    <t>Tva à 10%</t>
  </si>
  <si>
    <t>Tva à 20%</t>
  </si>
  <si>
    <t>Tva/factures non parvenues</t>
  </si>
  <si>
    <t>Tva s/avoirs non parvenus</t>
  </si>
  <si>
    <t>Etat produits a recevoir</t>
  </si>
  <si>
    <t>Compte courant regis rego</t>
  </si>
  <si>
    <t>Cc i rego</t>
  </si>
  <si>
    <t>Compte courant jean régo</t>
  </si>
  <si>
    <t>Cpte courant claude rego</t>
  </si>
  <si>
    <t>Cpte courant renaud rego</t>
  </si>
  <si>
    <t>Cc jc omont</t>
  </si>
  <si>
    <t>Cpt courant gilles abadia</t>
  </si>
  <si>
    <t>Cpte courant Thomas Rego De Sebes</t>
  </si>
  <si>
    <t>Cpte courant Hugo Rego De Sebes</t>
  </si>
  <si>
    <t>Urnes - maison ronald</t>
  </si>
  <si>
    <t>ecart s rem chq</t>
  </si>
  <si>
    <t>Gth14</t>
  </si>
  <si>
    <t>Autre compte débiteur</t>
  </si>
  <si>
    <t>Divers charges a payer</t>
  </si>
  <si>
    <t>Divers prod. a recevoir</t>
  </si>
  <si>
    <t>Charges constat. d'avance</t>
  </si>
  <si>
    <t>Portefeuille v.m.p.</t>
  </si>
  <si>
    <t>Chèques bancaires</t>
  </si>
  <si>
    <t>Carte bleue ne pas utiliser</t>
  </si>
  <si>
    <t>Cartes bancaires</t>
  </si>
  <si>
    <t>Pre-paiement</t>
  </si>
  <si>
    <t>Dépôts à terme</t>
  </si>
  <si>
    <t>Fonds de coffre</t>
  </si>
  <si>
    <t>Remises espèces</t>
  </si>
  <si>
    <t>Approv.monnaie</t>
  </si>
  <si>
    <t>Cartons collectes</t>
  </si>
  <si>
    <t>Variat° stock emballage</t>
  </si>
  <si>
    <t>Variat° stock hm</t>
  </si>
  <si>
    <t>Var stocks pdts non alim.</t>
  </si>
  <si>
    <t>Achats  gaz</t>
  </si>
  <si>
    <t>Petit outillage</t>
  </si>
  <si>
    <t>Fournit d'exploit et pdts entretien</t>
  </si>
  <si>
    <t>Uniformes L 39</t>
  </si>
  <si>
    <t>Fourni. bureau restaurant</t>
  </si>
  <si>
    <t>R.r.r.obtenus s/ach.nourritures</t>
  </si>
  <si>
    <t>Entretien fleurs</t>
  </si>
  <si>
    <t>Location machine affranch</t>
  </si>
  <si>
    <t>Redevance standard 16.5</t>
  </si>
  <si>
    <t>Location camion</t>
  </si>
  <si>
    <t>location vaisselle</t>
  </si>
  <si>
    <t>Redevance standard 16.5%</t>
  </si>
  <si>
    <t>Frais dossier</t>
  </si>
  <si>
    <t>Location polo aq 746 ql npu</t>
  </si>
  <si>
    <t>Loc audi q3</t>
  </si>
  <si>
    <t>Location Audi A1 DB959MP</t>
  </si>
  <si>
    <t>Location Audi A1 Ambit.BV388LP</t>
  </si>
  <si>
    <t>Location Audi A1 Business DM187RF</t>
  </si>
  <si>
    <t>Location Audi  A1 FL Bus. DW287FC</t>
  </si>
  <si>
    <t>Location Audi Q3 DX335HL</t>
  </si>
  <si>
    <t>Location Audi A1 DZ351PW</t>
  </si>
  <si>
    <t>Location Audi Q3 EC272HP</t>
  </si>
  <si>
    <t>Location Audi Q3 EN156AM</t>
  </si>
  <si>
    <t>Location Audi Q2 ES330MY</t>
  </si>
  <si>
    <t>Location Audi A1 ES830YE</t>
  </si>
  <si>
    <t>Locations diverses</t>
  </si>
  <si>
    <t>Charges locat.mc do france</t>
  </si>
  <si>
    <t>Ent et reparation</t>
  </si>
  <si>
    <t>Fac simile ne pas utiliser</t>
  </si>
  <si>
    <t>Location canal music</t>
  </si>
  <si>
    <t>Entretien mat.transport</t>
  </si>
  <si>
    <t>Maintenance mac do</t>
  </si>
  <si>
    <t>Contrat loomis</t>
  </si>
  <si>
    <t>Contrat ramassage huiles usagées</t>
  </si>
  <si>
    <t>Contratreflex services</t>
  </si>
  <si>
    <t>Contrat enlevement déchets</t>
  </si>
  <si>
    <t>Contrat machine affranchir</t>
  </si>
  <si>
    <t>Contrat entretien clim</t>
  </si>
  <si>
    <t>Contrat dégraissage dératisation</t>
  </si>
  <si>
    <t>Contrat maintenance melitta</t>
  </si>
  <si>
    <t>Contrat altalys</t>
  </si>
  <si>
    <t>Contrat gruppo</t>
  </si>
  <si>
    <t>abonnement profil net</t>
  </si>
  <si>
    <t>abonnement ephori</t>
  </si>
  <si>
    <t>contrat vigiles</t>
  </si>
  <si>
    <t>Assu. multirisque restau</t>
  </si>
  <si>
    <t>Assurance carence fournisseurs</t>
  </si>
  <si>
    <t>Assurance décénale</t>
  </si>
  <si>
    <t>Prêt personnel équipiers</t>
  </si>
  <si>
    <t>Refacturation Managers</t>
  </si>
  <si>
    <t>hotesse ligne 39</t>
  </si>
  <si>
    <t>Honoraires comptables</t>
  </si>
  <si>
    <t>Honoraires comm aux com</t>
  </si>
  <si>
    <t>Honoraires divers</t>
  </si>
  <si>
    <t>Annonce et insertions</t>
  </si>
  <si>
    <t>Dons et pouboires</t>
  </si>
  <si>
    <t>Voyage et dep mgr</t>
  </si>
  <si>
    <t>Voyage et dep direct°</t>
  </si>
  <si>
    <t>Frais recept° direct°</t>
  </si>
  <si>
    <t>Frais de deplacement mgrs</t>
  </si>
  <si>
    <t>Frais deplacemts equipiers L39</t>
  </si>
  <si>
    <t>Recept° equipiers et mgr</t>
  </si>
  <si>
    <t>Ptt bureau npu</t>
  </si>
  <si>
    <t>Telephone rest</t>
  </si>
  <si>
    <t>Télécom/27.01/du 02.31.98.34.94</t>
  </si>
  <si>
    <t>Frais postaux bureaux npu</t>
  </si>
  <si>
    <t>Telephone</t>
  </si>
  <si>
    <t>Comm.bancaire npu</t>
  </si>
  <si>
    <t>Comm. cb npu</t>
  </si>
  <si>
    <t>Comm.tr npu</t>
  </si>
  <si>
    <t>Comm.cv npu</t>
  </si>
  <si>
    <t>Serv financiers npu</t>
  </si>
  <si>
    <t>Frais paypal npu</t>
  </si>
  <si>
    <t>Gie gth 14</t>
  </si>
  <si>
    <t>Taxe 1 % publicite</t>
  </si>
  <si>
    <t>Format° pro</t>
  </si>
  <si>
    <t>Effort construct°</t>
  </si>
  <si>
    <t>Contribution foncière entreprises</t>
  </si>
  <si>
    <t>Contrib. valeur ajoutée entreprises</t>
  </si>
  <si>
    <t>Taxes foncieres</t>
  </si>
  <si>
    <t>Contrib fonciere entreprises</t>
  </si>
  <si>
    <t>Carte grise</t>
  </si>
  <si>
    <t>Taxe produits peche</t>
  </si>
  <si>
    <t>Redevance audiovisuelle</t>
  </si>
  <si>
    <t>Taxe annuelle 0.12% ca</t>
  </si>
  <si>
    <t>Impot forfait annuel</t>
  </si>
  <si>
    <t>Taxe agefiph</t>
  </si>
  <si>
    <t>Salaires equipiers</t>
  </si>
  <si>
    <t>Ind licenciement équipiers</t>
  </si>
  <si>
    <t>Ind.rupture convent equipiers</t>
  </si>
  <si>
    <t>Ind licenciement managers</t>
  </si>
  <si>
    <t>Indemnités de licenciemt. équipiers</t>
  </si>
  <si>
    <t>A.n voiture equipiers</t>
  </si>
  <si>
    <t>Ind. blanchis equipiers</t>
  </si>
  <si>
    <t>Ind. blanchissage managers</t>
  </si>
  <si>
    <t>Urssaf mgrs</t>
  </si>
  <si>
    <t>Pole emploi managers</t>
  </si>
  <si>
    <t>Retraite cadre agirc</t>
  </si>
  <si>
    <t>Retraite supp La Mondiale ART 83</t>
  </si>
  <si>
    <t>Charges sociales sur conges payes</t>
  </si>
  <si>
    <t>Charges socales régis</t>
  </si>
  <si>
    <t>Medecine du travail</t>
  </si>
  <si>
    <t>Crédit d'impôt compét.entrep</t>
  </si>
  <si>
    <t>Avoir hm 16.50 %</t>
  </si>
  <si>
    <t>Interets/emp billet a ordre</t>
  </si>
  <si>
    <t>Intérêts sur emprunt</t>
  </si>
  <si>
    <t>Interets/emp 56 k€</t>
  </si>
  <si>
    <t>Interets debiteurs</t>
  </si>
  <si>
    <t>Pertes de change</t>
  </si>
  <si>
    <t>Charges sur cession de V.M.P</t>
  </si>
  <si>
    <t>Ecarts de conversion</t>
  </si>
  <si>
    <t>Ecart caisse</t>
  </si>
  <si>
    <t>Pénalité de retard</t>
  </si>
  <si>
    <t>Amendes et Pénalités</t>
  </si>
  <si>
    <t>Vnc immo incorpo cédées</t>
  </si>
  <si>
    <t>Val.compta.immob.corp.ced</t>
  </si>
  <si>
    <t>Impots dus en france</t>
  </si>
  <si>
    <t>Credit mecenat</t>
  </si>
  <si>
    <t>Doit être à zéro-attente analytique</t>
  </si>
  <si>
    <t>Mecenat gie</t>
  </si>
  <si>
    <t>Crédit d'impôt</t>
  </si>
  <si>
    <t>Pret de personnel</t>
  </si>
  <si>
    <t>Refacturation équipiers</t>
  </si>
  <si>
    <t>Refact personnel ligne 39 équipière</t>
  </si>
  <si>
    <t>Refacturat° nourriture</t>
  </si>
  <si>
    <t>Refacturat° papier</t>
  </si>
  <si>
    <t>Refacturat° fournit exploitat°</t>
  </si>
  <si>
    <t>refacturation cadeaux</t>
  </si>
  <si>
    <t>Refact huiles usagées</t>
  </si>
  <si>
    <t>Refact formation mgrs</t>
  </si>
  <si>
    <t>refacturation vehicule</t>
  </si>
  <si>
    <t>Refact publicité</t>
  </si>
  <si>
    <t>Subvention d'exploitation</t>
  </si>
  <si>
    <t>Produits s/placement cpte à terme</t>
  </si>
  <si>
    <t>produits exeptionnels</t>
  </si>
  <si>
    <t>Produits expl.s/exerc.ante.</t>
  </si>
  <si>
    <t>cession immo corporelle</t>
  </si>
  <si>
    <t>Repr/prov.risq.charg.expl</t>
  </si>
  <si>
    <t>Rep/prov.depr vmp</t>
  </si>
  <si>
    <t>Transfert charges exploitat</t>
  </si>
  <si>
    <t>Avantages en nat. repas equip.</t>
  </si>
  <si>
    <t>Avantages en nat. repas manag.</t>
  </si>
  <si>
    <t>Avantages en nat.voiture equipiers</t>
  </si>
  <si>
    <t>Avantage nature equipiers</t>
  </si>
  <si>
    <t>Trans. charges format° ta</t>
  </si>
  <si>
    <t>n°/FACT 44/05 FACURE PARTENARIAT FF</t>
  </si>
  <si>
    <t>n°/FACT 41/05 AVOIR STANLEY DU 29/0</t>
  </si>
  <si>
    <t>INTRODUCTION</t>
  </si>
  <si>
    <t>Préambule</t>
  </si>
  <si>
    <t xml:space="preserve">Ces résultats sont destinés à une utilisation strictement interne, ils ne doivent pas être divulgués. Ils n'ont qu'un rôle informatif et ne sont qu'une approche du résultat sous réserve des informations fournies. </t>
  </si>
  <si>
    <t xml:space="preserve">Ils ont été produits à destination des dirigeants uniquement et n'ont pas été établis selon les normes d'exercice professionnel en vigueur. </t>
  </si>
  <si>
    <t>48</t>
  </si>
  <si>
    <t>2020</t>
  </si>
  <si>
    <t>Solde de tout compte</t>
  </si>
  <si>
    <t>Charges sociales - produits à recev</t>
  </si>
  <si>
    <t>Sci rir</t>
  </si>
  <si>
    <t>Air liquide</t>
  </si>
  <si>
    <t>Achat nourriture mc café</t>
  </si>
  <si>
    <t>Fourni. adminis</t>
  </si>
  <si>
    <t>Location Audi A1 FG276RC</t>
  </si>
  <si>
    <t>Rld</t>
  </si>
  <si>
    <t>Surveillance</t>
  </si>
  <si>
    <t>Ecogras</t>
  </si>
  <si>
    <t>ccmx ne pas utiliser</t>
  </si>
  <si>
    <t>Normanet</t>
  </si>
  <si>
    <t>Contrat entretien aire de jeux</t>
  </si>
  <si>
    <t>Contrat nettoyage</t>
  </si>
  <si>
    <t>Contrat maintenace coca</t>
  </si>
  <si>
    <t>Contrat chubb horloge péremption</t>
  </si>
  <si>
    <t>contrat hobart</t>
  </si>
  <si>
    <t>Contrat GLC température gaz</t>
  </si>
  <si>
    <t>Salaire personnel marketing</t>
  </si>
  <si>
    <t>Retraite AGIRC</t>
  </si>
  <si>
    <t>Charges sociales/gratif.</t>
  </si>
  <si>
    <t>Refacturation happy meals</t>
  </si>
  <si>
    <t>Refacturation pub gie</t>
  </si>
  <si>
    <t>Refacturation ndf déplacement</t>
  </si>
  <si>
    <t>Refacturation uniformes</t>
  </si>
  <si>
    <t>Refact formation équipiers</t>
  </si>
  <si>
    <t>Refact frais de réception</t>
  </si>
  <si>
    <t>AN Nourriture Equipiers</t>
  </si>
  <si>
    <t>AN Nourriture Managers</t>
  </si>
  <si>
    <t>Emprunt CA 143 429 €</t>
  </si>
  <si>
    <t>Soldes de tout compte</t>
  </si>
  <si>
    <t>Tva à 7 %</t>
  </si>
  <si>
    <t>Tva à 20 %</t>
  </si>
  <si>
    <t>Rth76 - convention trésorerie</t>
  </si>
  <si>
    <t>Gth</t>
  </si>
  <si>
    <t>Sci villa rir</t>
  </si>
  <si>
    <t>Fourn exploitation</t>
  </si>
  <si>
    <t>Fourn exploitat° et pdts entretien</t>
  </si>
  <si>
    <t>Charges locatives</t>
  </si>
  <si>
    <t>Collecte huiles usagées</t>
  </si>
  <si>
    <t>Siliker</t>
  </si>
  <si>
    <t>Tyco - protect° incendie</t>
  </si>
  <si>
    <t>Pret personnel equipiers npu</t>
  </si>
  <si>
    <t>Personnel prêté managers</t>
  </si>
  <si>
    <t>Rétrocessions transport Uber</t>
  </si>
  <si>
    <t>Affichages et insertions</t>
  </si>
  <si>
    <t>Frais deplacement mgrs</t>
  </si>
  <si>
    <t>Frais Paypal</t>
  </si>
  <si>
    <t>Primes et licenciement p&amp;l</t>
  </si>
  <si>
    <t>Refacturation formations mgrs</t>
  </si>
  <si>
    <t>AN nourriture équipiers</t>
  </si>
  <si>
    <t>AN nourriture Managers</t>
  </si>
  <si>
    <t>Revenus des placements</t>
  </si>
  <si>
    <t>Mutuelle</t>
  </si>
  <si>
    <t>Prêt travaux terrasse CA 250 000 €</t>
  </si>
  <si>
    <t>Rém. dues - Solde de tout compte</t>
  </si>
  <si>
    <t>Prélèvement à la source impôt</t>
  </si>
  <si>
    <t>Dépot à terme</t>
  </si>
  <si>
    <t>Interets courus à recevoir</t>
  </si>
  <si>
    <t>Achats gaz npu</t>
  </si>
  <si>
    <t>Fourn exploit° et pdts entretien</t>
  </si>
  <si>
    <t>Standard 12.5%</t>
  </si>
  <si>
    <t>Contrta sir</t>
  </si>
  <si>
    <t>Contrat espèces loomis</t>
  </si>
  <si>
    <t>Contrat loc mach affranchir</t>
  </si>
  <si>
    <t>Assurances travaux full image</t>
  </si>
  <si>
    <t>Pret personnel</t>
  </si>
  <si>
    <t>Pret personnel managers</t>
  </si>
  <si>
    <t>Affichage et insertions</t>
  </si>
  <si>
    <t>Contribution 0.12 % ca</t>
  </si>
  <si>
    <t>Ecarts de convers°</t>
  </si>
  <si>
    <t>Charges exceptionnelles gestion</t>
  </si>
  <si>
    <t>Ventes à 20 %</t>
  </si>
  <si>
    <t>Refacturation personnel (managers)</t>
  </si>
  <si>
    <t>Refact happy meals</t>
  </si>
  <si>
    <t>Refacturation cadeaux</t>
  </si>
  <si>
    <t>AN nourriture managers</t>
  </si>
  <si>
    <t>Annul erreur integratin hed</t>
  </si>
  <si>
    <t>Transferts charges avec tva</t>
  </si>
  <si>
    <t>Transfert de charges sans tva</t>
  </si>
  <si>
    <t>Réserve spéciale oeuvre d'art</t>
  </si>
  <si>
    <t>Dépots de garantie</t>
  </si>
  <si>
    <t>Rem dues - stc exercices antérieurs</t>
  </si>
  <si>
    <t>A3m cotisations</t>
  </si>
  <si>
    <t>Tva collectée à 20 %</t>
  </si>
  <si>
    <t>Ecart sur remise cv</t>
  </si>
  <si>
    <t>Paypal</t>
  </si>
  <si>
    <t>Fournit exploit et pdts entretien</t>
  </si>
  <si>
    <t>Fleurs</t>
  </si>
  <si>
    <t>Redevance</t>
  </si>
  <si>
    <t>Location polo sukran mora</t>
  </si>
  <si>
    <t>Contrat sud récup</t>
  </si>
  <si>
    <t>J normandie</t>
  </si>
  <si>
    <t>Sire</t>
  </si>
  <si>
    <t>Meteor</t>
  </si>
  <si>
    <t>Lexo entretien</t>
  </si>
  <si>
    <t>Contrat collecte huiles usagées</t>
  </si>
  <si>
    <t>Contrat entretien climatisation</t>
  </si>
  <si>
    <t>Surveillance gardiennage/vidéo</t>
  </si>
  <si>
    <t>Annonces, affichages et insertions</t>
  </si>
  <si>
    <t>Décorations</t>
  </si>
  <si>
    <t>Frais livraison lrs</t>
  </si>
  <si>
    <t>Frais déplacement managers</t>
  </si>
  <si>
    <t>Taxe fonciÈre</t>
  </si>
  <si>
    <t>Ind. licenciement managers</t>
  </si>
  <si>
    <t>Prov cp</t>
  </si>
  <si>
    <t>Primes &amp; licenciement p&amp;l</t>
  </si>
  <si>
    <t>Intéréts des emprunts 200 k€</t>
  </si>
  <si>
    <t>Impôts is</t>
  </si>
  <si>
    <t>Impôts sur les sociétés ex antérieu</t>
  </si>
  <si>
    <t>Subvention activité partielle</t>
  </si>
  <si>
    <t>Transferts charges d'expl sans tva</t>
  </si>
  <si>
    <t>Commentaire</t>
  </si>
  <si>
    <t>Report à nouveau</t>
  </si>
  <si>
    <t>vente 11/03</t>
  </si>
  <si>
    <t>GROUPE REGIS REGO - MC DONALD'S ROUEN</t>
  </si>
  <si>
    <t>Comparaison des P&amp;L Didier / cabinet Martini</t>
  </si>
  <si>
    <t>P&amp;L Didier</t>
  </si>
  <si>
    <t>P&amp;L
rapport P&amp;L</t>
  </si>
  <si>
    <t>Cumulé Didier</t>
  </si>
  <si>
    <t>Cumulé rapport P&amp;L</t>
  </si>
  <si>
    <t>Conclusion</t>
  </si>
  <si>
    <t xml:space="preserve">Total </t>
  </si>
  <si>
    <t>R3.14</t>
  </si>
  <si>
    <t>Emprunt CA 200 K€ COVID-19</t>
  </si>
  <si>
    <t>Emprunt CA 350 K€ COVID19 n°2</t>
  </si>
  <si>
    <t>Indemnités chomage partiel</t>
  </si>
  <si>
    <t>Tva sur avoir à établir</t>
  </si>
  <si>
    <t>Vr7</t>
  </si>
  <si>
    <t>Uber</t>
  </si>
  <si>
    <t>Achats protection COVID19</t>
  </si>
  <si>
    <t>Location véhicule société</t>
  </si>
  <si>
    <t>loyer vehicule thomas rego</t>
  </si>
  <si>
    <t>loyer vehicule marine de castro fer</t>
  </si>
  <si>
    <t>location polo FV935QN</t>
  </si>
  <si>
    <t>location defibrillateur</t>
  </si>
  <si>
    <t>Locations mat.inform.GRENKE</t>
  </si>
  <si>
    <t>contrat grenke</t>
  </si>
  <si>
    <t>contrat socotec</t>
  </si>
  <si>
    <t>Assurance prêt COVID-19</t>
  </si>
  <si>
    <t>salaires pers marketing</t>
  </si>
  <si>
    <t>Avantages et indem.divers équip.</t>
  </si>
  <si>
    <t>Avantages et indem.divers managers</t>
  </si>
  <si>
    <t>Subventions COVID</t>
  </si>
  <si>
    <t>Transfert charges</t>
  </si>
  <si>
    <t>Emprunt crca 450 k€ - remodel</t>
  </si>
  <si>
    <t>Emprunt 150 k€ - cuisines</t>
  </si>
  <si>
    <t>Emprunt 200k€ full restaurant</t>
  </si>
  <si>
    <t>Emprunt 150 k€ full restaurant</t>
  </si>
  <si>
    <t>Pret covid</t>
  </si>
  <si>
    <t>Oeuvre d art</t>
  </si>
  <si>
    <t>Titres CRCA</t>
  </si>
  <si>
    <t>Indemnisation activité partielle</t>
  </si>
  <si>
    <t>Klesia - retraite et prévoyance</t>
  </si>
  <si>
    <t>Prédica - mutuelle</t>
  </si>
  <si>
    <t>La Mondiale - prévoyance</t>
  </si>
  <si>
    <t>Agirc</t>
  </si>
  <si>
    <t>Impot prelvt source</t>
  </si>
  <si>
    <t>Etat - impôts et taxes recouv tiers</t>
  </si>
  <si>
    <t>Indemnités activité partielle</t>
  </si>
  <si>
    <t>Ecart remise cheque</t>
  </si>
  <si>
    <t>Écart paypal</t>
  </si>
  <si>
    <t>Parts sociales crca</t>
  </si>
  <si>
    <t>Vente 12/01</t>
  </si>
  <si>
    <t>Crca - parts sociales</t>
  </si>
  <si>
    <t>Virements internes npu</t>
  </si>
  <si>
    <t>Petit équipement COVID-19</t>
  </si>
  <si>
    <t>Npu carburant</t>
  </si>
  <si>
    <t>Npu location audi a1 business line</t>
  </si>
  <si>
    <t>Locations audi a1 dy170dy</t>
  </si>
  <si>
    <t>Location polo cp-409-dr</t>
  </si>
  <si>
    <t>Loyer oeuvre d art</t>
  </si>
  <si>
    <t>Loyer audi a1 em 535 ng</t>
  </si>
  <si>
    <t>Location polo sport fn 598 qz</t>
  </si>
  <si>
    <t>Loc surveillance vidéo gardiennage</t>
  </si>
  <si>
    <t>location box</t>
  </si>
  <si>
    <t>Ercem silliker</t>
  </si>
  <si>
    <t>Contrat mood</t>
  </si>
  <si>
    <t>Contrat spie</t>
  </si>
  <si>
    <t>Contrat blanchet pompe relevage</t>
  </si>
  <si>
    <t>Contrat ats</t>
  </si>
  <si>
    <t>Contrat jri</t>
  </si>
  <si>
    <t>contrat eryma</t>
  </si>
  <si>
    <t>contrat chubb</t>
  </si>
  <si>
    <t>Assurance juridiques</t>
  </si>
  <si>
    <t>Assurance cyber</t>
  </si>
  <si>
    <t>Assurance prêt Covid</t>
  </si>
  <si>
    <t>Personnel prété - npu</t>
  </si>
  <si>
    <t>Personnel prêt managers</t>
  </si>
  <si>
    <t>Salaire delacroix lig 39</t>
  </si>
  <si>
    <t>Honoraires commissariat aux comptes</t>
  </si>
  <si>
    <t>Promo ligne 39</t>
  </si>
  <si>
    <t>Cadeaux lig 39</t>
  </si>
  <si>
    <t>Frais télécom</t>
  </si>
  <si>
    <t>Achat coupons cinema</t>
  </si>
  <si>
    <t>Indem ruptureconvent equipiers</t>
  </si>
  <si>
    <t>ind rupture convent mgrs</t>
  </si>
  <si>
    <t>Avoir mccine</t>
  </si>
  <si>
    <t>Avoir cine 5%</t>
  </si>
  <si>
    <t>Intérêts emprunts crca 150 k€</t>
  </si>
  <si>
    <t>Intérêts emprunt crca 150k€</t>
  </si>
  <si>
    <t>Intérets emprunt PGE 150 K€</t>
  </si>
  <si>
    <t>Charges interets</t>
  </si>
  <si>
    <t>Crédit d'impôt mécénat gie</t>
  </si>
  <si>
    <t>Remise Martin Brower</t>
  </si>
  <si>
    <t>Aide fonds solidarité</t>
  </si>
  <si>
    <t>Prêt PGE 30 000 €</t>
  </si>
  <si>
    <t>Etat - activité partielle</t>
  </si>
  <si>
    <t>Fourn. diverses Covid</t>
  </si>
  <si>
    <t>location veh thomas rego</t>
  </si>
  <si>
    <t>loyer vehicule marine</t>
  </si>
  <si>
    <t>Redevance standard 13 %</t>
  </si>
  <si>
    <t>location bailart</t>
  </si>
  <si>
    <t>contrat iss</t>
  </si>
  <si>
    <t>Assurances juridiques</t>
  </si>
  <si>
    <t>Avantages et indemnités divers équi</t>
  </si>
  <si>
    <t>Avantages et indemnités divers mger</t>
  </si>
  <si>
    <t>2021</t>
  </si>
  <si>
    <t>JRI</t>
  </si>
  <si>
    <t>Assurances cyber attack</t>
  </si>
  <si>
    <t>ecart lad</t>
  </si>
  <si>
    <t>honoraires lyveat</t>
  </si>
  <si>
    <t>Emprunt CA 150 K€ COVID-19</t>
  </si>
  <si>
    <t>Emprunt CA 850 K€</t>
  </si>
  <si>
    <t>Clients - RRR à accorder</t>
  </si>
  <si>
    <t>Achats protection COVID-19</t>
  </si>
  <si>
    <t>Location matériel inform.GRENKE</t>
  </si>
  <si>
    <t>Location vehicule thomas rego</t>
  </si>
  <si>
    <t>Location Polo FQ 525 RY</t>
  </si>
  <si>
    <t>location</t>
  </si>
  <si>
    <t>Location véhicule Marine</t>
  </si>
  <si>
    <t>Location Polo FV934QN</t>
  </si>
  <si>
    <t>Location Audi Q3 FZ217TC</t>
  </si>
  <si>
    <t>Assurance juridique</t>
  </si>
  <si>
    <t>Droits d'enregistrem.et timbres</t>
  </si>
  <si>
    <t>Avantages et indem. divers manag.</t>
  </si>
  <si>
    <t>Aide COVID-19</t>
  </si>
  <si>
    <t>TRÉSORERIE 2021 (EN K€)</t>
  </si>
  <si>
    <t>38/58</t>
  </si>
  <si>
    <t>D)</t>
  </si>
  <si>
    <t>43</t>
  </si>
  <si>
    <t>uber</t>
  </si>
  <si>
    <t>contrat steeple</t>
  </si>
  <si>
    <t>honoraires uber</t>
  </si>
  <si>
    <t>ind rupture  convent mgr</t>
  </si>
  <si>
    <t>ind inflation equipiers</t>
  </si>
  <si>
    <t>ind inflation mgrs</t>
  </si>
  <si>
    <t>ind inflation mgr</t>
  </si>
  <si>
    <t>2022</t>
  </si>
  <si>
    <t>CFE</t>
  </si>
  <si>
    <t>Sous-traitance comptable</t>
  </si>
  <si>
    <t>Prêt personnel marketing</t>
  </si>
  <si>
    <t>Avoir HM 13 %</t>
  </si>
  <si>
    <t>Avoir HM 5%</t>
  </si>
  <si>
    <t>Subventions emploi</t>
  </si>
  <si>
    <t>Crédit Agricole</t>
  </si>
  <si>
    <t>Caisse d' Epargne</t>
  </si>
  <si>
    <t>Société Générale</t>
  </si>
  <si>
    <t>Loyer vehicule Thomas</t>
  </si>
  <si>
    <t>Loyer vehicules autres</t>
  </si>
  <si>
    <t>Loyer véhicule Hugo</t>
  </si>
  <si>
    <t>loyer vehicule resse</t>
  </si>
  <si>
    <t>Location tpe interway</t>
  </si>
  <si>
    <t>Location defibrillateur</t>
  </si>
  <si>
    <t>Avoirs happy meals 5%</t>
  </si>
  <si>
    <t>Transfert de charges salaires</t>
  </si>
  <si>
    <t>Compte DAT Ech 11.2026</t>
  </si>
  <si>
    <t>Contrat accès Sylae</t>
  </si>
  <si>
    <t>loc audi a1 gd 751 gn</t>
  </si>
  <si>
    <t>Commissions sur emprunts</t>
  </si>
  <si>
    <t>41100000</t>
  </si>
  <si>
    <t>Comptes non affectés en PNL modification PCG effectué</t>
  </si>
  <si>
    <t>TRÉSORERIE 2022 (EN K€)</t>
  </si>
  <si>
    <t>hono randstad</t>
  </si>
  <si>
    <t>613510</t>
  </si>
  <si>
    <t>445660</t>
  </si>
  <si>
    <t>401000</t>
  </si>
  <si>
    <t>615618</t>
  </si>
  <si>
    <t>615620</t>
  </si>
  <si>
    <t>445661</t>
  </si>
  <si>
    <t>613016</t>
  </si>
  <si>
    <t>606300</t>
  </si>
  <si>
    <t>613200</t>
  </si>
  <si>
    <t>606105</t>
  </si>
  <si>
    <t>615500</t>
  </si>
  <si>
    <t>626200</t>
  </si>
  <si>
    <t>628200</t>
  </si>
  <si>
    <t>615639</t>
  </si>
  <si>
    <t>615628</t>
  </si>
  <si>
    <t>623000</t>
  </si>
  <si>
    <t>615621</t>
  </si>
  <si>
    <t>623002</t>
  </si>
  <si>
    <t>615630</t>
  </si>
  <si>
    <t>615615</t>
  </si>
  <si>
    <t>613520</t>
  </si>
  <si>
    <t>627802</t>
  </si>
  <si>
    <t>623400</t>
  </si>
  <si>
    <t>615210</t>
  </si>
  <si>
    <t>621405</t>
  </si>
  <si>
    <t>651200</t>
  </si>
  <si>
    <t>651001</t>
  </si>
  <si>
    <t>651210</t>
  </si>
  <si>
    <t>601100</t>
  </si>
  <si>
    <t>615611</t>
  </si>
  <si>
    <t>606303</t>
  </si>
  <si>
    <t>647500</t>
  </si>
  <si>
    <t>615617</t>
  </si>
  <si>
    <t>606401</t>
  </si>
  <si>
    <t>615632</t>
  </si>
  <si>
    <t>615622</t>
  </si>
  <si>
    <t>621404</t>
  </si>
  <si>
    <t>606302</t>
  </si>
  <si>
    <t>615613</t>
  </si>
  <si>
    <t>606800</t>
  </si>
  <si>
    <t>628300</t>
  </si>
  <si>
    <t>615614</t>
  </si>
  <si>
    <t>606103</t>
  </si>
  <si>
    <t>622600</t>
  </si>
  <si>
    <t>628400</t>
  </si>
  <si>
    <t>615627</t>
  </si>
  <si>
    <t>615616</t>
  </si>
  <si>
    <t>615623</t>
  </si>
  <si>
    <t>615600</t>
  </si>
  <si>
    <t>615637</t>
  </si>
  <si>
    <t>615200</t>
  </si>
  <si>
    <t>602201</t>
  </si>
  <si>
    <t>602202</t>
  </si>
  <si>
    <t>409600</t>
  </si>
  <si>
    <t>623415</t>
  </si>
  <si>
    <t>602610</t>
  </si>
  <si>
    <t>615612</t>
  </si>
  <si>
    <t>609100</t>
  </si>
  <si>
    <t>129000</t>
  </si>
  <si>
    <t>101300</t>
  </si>
  <si>
    <t>101800</t>
  </si>
  <si>
    <t>106100</t>
  </si>
  <si>
    <t>106800</t>
  </si>
  <si>
    <t>106810</t>
  </si>
  <si>
    <t>120000</t>
  </si>
  <si>
    <t>153000</t>
  </si>
  <si>
    <t>158000</t>
  </si>
  <si>
    <t>164300</t>
  </si>
  <si>
    <t>164400</t>
  </si>
  <si>
    <t>164500</t>
  </si>
  <si>
    <t>164600</t>
  </si>
  <si>
    <t>168800</t>
  </si>
  <si>
    <t>205000</t>
  </si>
  <si>
    <t>215400</t>
  </si>
  <si>
    <t>215500</t>
  </si>
  <si>
    <t>218100</t>
  </si>
  <si>
    <t>218300</t>
  </si>
  <si>
    <t>218400</t>
  </si>
  <si>
    <t>280500</t>
  </si>
  <si>
    <t>281540</t>
  </si>
  <si>
    <t>281550</t>
  </si>
  <si>
    <t>281810</t>
  </si>
  <si>
    <t>281830</t>
  </si>
  <si>
    <t>281840</t>
  </si>
  <si>
    <t>310000</t>
  </si>
  <si>
    <t>320000</t>
  </si>
  <si>
    <t>321000</t>
  </si>
  <si>
    <t>408100</t>
  </si>
  <si>
    <t>409100</t>
  </si>
  <si>
    <t>409800</t>
  </si>
  <si>
    <t>418100</t>
  </si>
  <si>
    <t>421000</t>
  </si>
  <si>
    <t>421010</t>
  </si>
  <si>
    <t>425000</t>
  </si>
  <si>
    <t>428200</t>
  </si>
  <si>
    <t>431000</t>
  </si>
  <si>
    <t>437010</t>
  </si>
  <si>
    <t>437020</t>
  </si>
  <si>
    <t>437040</t>
  </si>
  <si>
    <t>438600</t>
  </si>
  <si>
    <t>438700</t>
  </si>
  <si>
    <t>442000</t>
  </si>
  <si>
    <t>443200</t>
  </si>
  <si>
    <t>444000</t>
  </si>
  <si>
    <t>445510</t>
  </si>
  <si>
    <t>445716</t>
  </si>
  <si>
    <t>445720</t>
  </si>
  <si>
    <t>445860</t>
  </si>
  <si>
    <t>445865</t>
  </si>
  <si>
    <t>445870</t>
  </si>
  <si>
    <t>448600</t>
  </si>
  <si>
    <t>455100</t>
  </si>
  <si>
    <t>455800</t>
  </si>
  <si>
    <t>467200</t>
  </si>
  <si>
    <t>468700</t>
  </si>
  <si>
    <t>486000</t>
  </si>
  <si>
    <t>511221</t>
  </si>
  <si>
    <t>511231</t>
  </si>
  <si>
    <t>511251</t>
  </si>
  <si>
    <t>511261</t>
  </si>
  <si>
    <t>511271</t>
  </si>
  <si>
    <t>511701</t>
  </si>
  <si>
    <t>512300</t>
  </si>
  <si>
    <t>512400</t>
  </si>
  <si>
    <t>519200</t>
  </si>
  <si>
    <t>530200</t>
  </si>
  <si>
    <t>531000</t>
  </si>
  <si>
    <t>581100</t>
  </si>
  <si>
    <t>583100</t>
  </si>
  <si>
    <t>411000</t>
  </si>
  <si>
    <t>467210</t>
  </si>
  <si>
    <t>427000</t>
  </si>
  <si>
    <t>627801</t>
  </si>
  <si>
    <t>740100</t>
  </si>
  <si>
    <t>627807</t>
  </si>
  <si>
    <t>627805</t>
  </si>
  <si>
    <t>616007</t>
  </si>
  <si>
    <t>627803</t>
  </si>
  <si>
    <t>625201</t>
  </si>
  <si>
    <t>616005</t>
  </si>
  <si>
    <t>616004</t>
  </si>
  <si>
    <t>616001</t>
  </si>
  <si>
    <t>661100</t>
  </si>
  <si>
    <t>471000</t>
  </si>
  <si>
    <t>467240</t>
  </si>
  <si>
    <t>635511</t>
  </si>
  <si>
    <t>671300</t>
  </si>
  <si>
    <t>625204</t>
  </si>
  <si>
    <t>613501</t>
  </si>
  <si>
    <t>467410</t>
  </si>
  <si>
    <t>633500</t>
  </si>
  <si>
    <t>633300</t>
  </si>
  <si>
    <t>616003</t>
  </si>
  <si>
    <t>635112</t>
  </si>
  <si>
    <t>626001</t>
  </si>
  <si>
    <t>445717</t>
  </si>
  <si>
    <t>708000</t>
  </si>
  <si>
    <t>708600</t>
  </si>
  <si>
    <t>708800</t>
  </si>
  <si>
    <t>622800</t>
  </si>
  <si>
    <t>467270</t>
  </si>
  <si>
    <t>467230</t>
  </si>
  <si>
    <t>467220</t>
  </si>
  <si>
    <t>445710</t>
  </si>
  <si>
    <t>658000</t>
  </si>
  <si>
    <t>758000</t>
  </si>
  <si>
    <t>641401</t>
  </si>
  <si>
    <t>726100</t>
  </si>
  <si>
    <t>641404</t>
  </si>
  <si>
    <t>726110</t>
  </si>
  <si>
    <t>641101</t>
  </si>
  <si>
    <t>641104</t>
  </si>
  <si>
    <t>641411</t>
  </si>
  <si>
    <t>641414</t>
  </si>
  <si>
    <t>645401</t>
  </si>
  <si>
    <t>645404</t>
  </si>
  <si>
    <t>645101</t>
  </si>
  <si>
    <t>645104</t>
  </si>
  <si>
    <t>645301</t>
  </si>
  <si>
    <t>645304</t>
  </si>
  <si>
    <t>645041</t>
  </si>
  <si>
    <t>645044</t>
  </si>
  <si>
    <t>645306</t>
  </si>
  <si>
    <t>641110</t>
  </si>
  <si>
    <t>763800</t>
  </si>
  <si>
    <t>622610</t>
  </si>
  <si>
    <t>606101</t>
  </si>
  <si>
    <t>622620</t>
  </si>
  <si>
    <t>613120</t>
  </si>
  <si>
    <t>615631</t>
  </si>
  <si>
    <t>615640</t>
  </si>
  <si>
    <t>616006</t>
  </si>
  <si>
    <t>615633</t>
  </si>
  <si>
    <t>615636</t>
  </si>
  <si>
    <t>641200</t>
  </si>
  <si>
    <t>641210</t>
  </si>
  <si>
    <t>645800</t>
  </si>
  <si>
    <t>645810</t>
  </si>
  <si>
    <t>637300</t>
  </si>
  <si>
    <t>621411</t>
  </si>
  <si>
    <t>615610</t>
  </si>
  <si>
    <t>603100</t>
  </si>
  <si>
    <t>603200</t>
  </si>
  <si>
    <t>603201</t>
  </si>
  <si>
    <t>641220</t>
  </si>
  <si>
    <t>614100</t>
  </si>
  <si>
    <t>615625</t>
  </si>
  <si>
    <t>635111</t>
  </si>
  <si>
    <t>681110</t>
  </si>
  <si>
    <t>623401</t>
  </si>
  <si>
    <t>601103</t>
  </si>
  <si>
    <t>601102</t>
  </si>
  <si>
    <t>628320</t>
  </si>
  <si>
    <t>635530</t>
  </si>
  <si>
    <t>701001</t>
  </si>
  <si>
    <t>702300</t>
  </si>
  <si>
    <t>615634</t>
  </si>
  <si>
    <t>651003</t>
  </si>
  <si>
    <t>701002</t>
  </si>
  <si>
    <t>771100</t>
  </si>
  <si>
    <t>701006</t>
  </si>
  <si>
    <t>701005</t>
  </si>
  <si>
    <t>671100</t>
  </si>
  <si>
    <t>101000</t>
  </si>
  <si>
    <t>101100</t>
  </si>
  <si>
    <t>106200</t>
  </si>
  <si>
    <t>145000</t>
  </si>
  <si>
    <t>151800</t>
  </si>
  <si>
    <t>164100</t>
  </si>
  <si>
    <t>164200</t>
  </si>
  <si>
    <t>201100</t>
  </si>
  <si>
    <t>214500</t>
  </si>
  <si>
    <t>215000</t>
  </si>
  <si>
    <t>218200</t>
  </si>
  <si>
    <t>231000</t>
  </si>
  <si>
    <t>238500</t>
  </si>
  <si>
    <t>275000</t>
  </si>
  <si>
    <t>275100</t>
  </si>
  <si>
    <t>280110</t>
  </si>
  <si>
    <t>281450</t>
  </si>
  <si>
    <t>281500</t>
  </si>
  <si>
    <t>297500</t>
  </si>
  <si>
    <t>401001</t>
  </si>
  <si>
    <t>401100</t>
  </si>
  <si>
    <t>404100</t>
  </si>
  <si>
    <t>404110</t>
  </si>
  <si>
    <t>409700</t>
  </si>
  <si>
    <t>411001</t>
  </si>
  <si>
    <t>411100</t>
  </si>
  <si>
    <t>411999</t>
  </si>
  <si>
    <t>416000</t>
  </si>
  <si>
    <t>419100</t>
  </si>
  <si>
    <t>419800</t>
  </si>
  <si>
    <t>421444</t>
  </si>
  <si>
    <t>425100</t>
  </si>
  <si>
    <t>428600</t>
  </si>
  <si>
    <t>437000</t>
  </si>
  <si>
    <t>437015</t>
  </si>
  <si>
    <t>437025</t>
  </si>
  <si>
    <t>437026</t>
  </si>
  <si>
    <t>437030</t>
  </si>
  <si>
    <t>437060</t>
  </si>
  <si>
    <t>442100</t>
  </si>
  <si>
    <t>445200</t>
  </si>
  <si>
    <t>445620</t>
  </si>
  <si>
    <t>445621</t>
  </si>
  <si>
    <t>445662</t>
  </si>
  <si>
    <t>445670</t>
  </si>
  <si>
    <t>445711</t>
  </si>
  <si>
    <t>445713</t>
  </si>
  <si>
    <t>445714</t>
  </si>
  <si>
    <t>445715</t>
  </si>
  <si>
    <t>445830</t>
  </si>
  <si>
    <t>445871</t>
  </si>
  <si>
    <t>448700</t>
  </si>
  <si>
    <t>455000</t>
  </si>
  <si>
    <t>455020</t>
  </si>
  <si>
    <t>457000</t>
  </si>
  <si>
    <t>467000</t>
  </si>
  <si>
    <t>467100</t>
  </si>
  <si>
    <t>467250</t>
  </si>
  <si>
    <t>467260</t>
  </si>
  <si>
    <t>467300</t>
  </si>
  <si>
    <t>467310</t>
  </si>
  <si>
    <t>467400</t>
  </si>
  <si>
    <t>467420</t>
  </si>
  <si>
    <t>467444</t>
  </si>
  <si>
    <t>467500</t>
  </si>
  <si>
    <t>467555</t>
  </si>
  <si>
    <t>467666</t>
  </si>
  <si>
    <t>468600</t>
  </si>
  <si>
    <t>472000</t>
  </si>
  <si>
    <t>487000</t>
  </si>
  <si>
    <t>503100</t>
  </si>
  <si>
    <t>508000</t>
  </si>
  <si>
    <t>508100</t>
  </si>
  <si>
    <t>508800</t>
  </si>
  <si>
    <t>511210</t>
  </si>
  <si>
    <t>511211</t>
  </si>
  <si>
    <t>511220</t>
  </si>
  <si>
    <t>511230</t>
  </si>
  <si>
    <t>511240</t>
  </si>
  <si>
    <t>511250</t>
  </si>
  <si>
    <t>511252</t>
  </si>
  <si>
    <t>511260</t>
  </si>
  <si>
    <t>511700</t>
  </si>
  <si>
    <t>512000</t>
  </si>
  <si>
    <t>512100</t>
  </si>
  <si>
    <t>518800</t>
  </si>
  <si>
    <t>519100</t>
  </si>
  <si>
    <t>580000</t>
  </si>
  <si>
    <t>581000</t>
  </si>
  <si>
    <t>583000</t>
  </si>
  <si>
    <t>590300</t>
  </si>
  <si>
    <t>601000</t>
  </si>
  <si>
    <t>603210</t>
  </si>
  <si>
    <t>606301</t>
  </si>
  <si>
    <t>606304</t>
  </si>
  <si>
    <t>606305</t>
  </si>
  <si>
    <t>606400</t>
  </si>
  <si>
    <t>611000</t>
  </si>
  <si>
    <t>611001</t>
  </si>
  <si>
    <t>611003</t>
  </si>
  <si>
    <t>611005</t>
  </si>
  <si>
    <t>612200</t>
  </si>
  <si>
    <t>613000</t>
  </si>
  <si>
    <t>613003</t>
  </si>
  <si>
    <t>613004</t>
  </si>
  <si>
    <t>613005</t>
  </si>
  <si>
    <t>613006</t>
  </si>
  <si>
    <t>613007</t>
  </si>
  <si>
    <t>613008</t>
  </si>
  <si>
    <t>613009</t>
  </si>
  <si>
    <t>613010</t>
  </si>
  <si>
    <t>613011</t>
  </si>
  <si>
    <t>613012</t>
  </si>
  <si>
    <t>613013</t>
  </si>
  <si>
    <t>613014</t>
  </si>
  <si>
    <t>613015</t>
  </si>
  <si>
    <t>613100</t>
  </si>
  <si>
    <t>613110</t>
  </si>
  <si>
    <t>613500</t>
  </si>
  <si>
    <t>614000</t>
  </si>
  <si>
    <t>615001</t>
  </si>
  <si>
    <t>615003</t>
  </si>
  <si>
    <t>615004</t>
  </si>
  <si>
    <t>615005</t>
  </si>
  <si>
    <t>615006</t>
  </si>
  <si>
    <t>615009</t>
  </si>
  <si>
    <t>615011</t>
  </si>
  <si>
    <t>615012</t>
  </si>
  <si>
    <t>615013</t>
  </si>
  <si>
    <t>615015</t>
  </si>
  <si>
    <t>615016</t>
  </si>
  <si>
    <t>615017</t>
  </si>
  <si>
    <t>615211</t>
  </si>
  <si>
    <t>615520</t>
  </si>
  <si>
    <t>615619</t>
  </si>
  <si>
    <t>615624</t>
  </si>
  <si>
    <t>615626</t>
  </si>
  <si>
    <t>615629</t>
  </si>
  <si>
    <t>615635</t>
  </si>
  <si>
    <t>615638</t>
  </si>
  <si>
    <t>616002</t>
  </si>
  <si>
    <t>618100</t>
  </si>
  <si>
    <t>621000</t>
  </si>
  <si>
    <t>621400</t>
  </si>
  <si>
    <t>621401</t>
  </si>
  <si>
    <t>621402</t>
  </si>
  <si>
    <t>621406</t>
  </si>
  <si>
    <t>621412</t>
  </si>
  <si>
    <t>622000</t>
  </si>
  <si>
    <t>622630</t>
  </si>
  <si>
    <t>622700</t>
  </si>
  <si>
    <t>622900</t>
  </si>
  <si>
    <t>623100</t>
  </si>
  <si>
    <t>623200</t>
  </si>
  <si>
    <t>623800</t>
  </si>
  <si>
    <t>624100</t>
  </si>
  <si>
    <t>625100</t>
  </si>
  <si>
    <t>625102</t>
  </si>
  <si>
    <t>625103</t>
  </si>
  <si>
    <t>625202</t>
  </si>
  <si>
    <t>625203</t>
  </si>
  <si>
    <t>625701</t>
  </si>
  <si>
    <t>626002</t>
  </si>
  <si>
    <t>626003</t>
  </si>
  <si>
    <t>626004</t>
  </si>
  <si>
    <t>626100</t>
  </si>
  <si>
    <t>627001</t>
  </si>
  <si>
    <t>627002</t>
  </si>
  <si>
    <t>627003</t>
  </si>
  <si>
    <t>627004</t>
  </si>
  <si>
    <t>627005</t>
  </si>
  <si>
    <t>627007</t>
  </si>
  <si>
    <t>628023</t>
  </si>
  <si>
    <t>628310</t>
  </si>
  <si>
    <t>633400</t>
  </si>
  <si>
    <t>635110</t>
  </si>
  <si>
    <t>635130</t>
  </si>
  <si>
    <t>635140</t>
  </si>
  <si>
    <t>635300</t>
  </si>
  <si>
    <t>635500</t>
  </si>
  <si>
    <t>635510</t>
  </si>
  <si>
    <t>635520</t>
  </si>
  <si>
    <t>635540</t>
  </si>
  <si>
    <t>635700</t>
  </si>
  <si>
    <t>635800</t>
  </si>
  <si>
    <t>635810</t>
  </si>
  <si>
    <t>637100</t>
  </si>
  <si>
    <t>637800</t>
  </si>
  <si>
    <t>641102</t>
  </si>
  <si>
    <t>641111</t>
  </si>
  <si>
    <t>641112</t>
  </si>
  <si>
    <t>641113</t>
  </si>
  <si>
    <t>641114</t>
  </si>
  <si>
    <t>641115</t>
  </si>
  <si>
    <t>641230</t>
  </si>
  <si>
    <t>641300</t>
  </si>
  <si>
    <t>641333</t>
  </si>
  <si>
    <t>641402</t>
  </si>
  <si>
    <t>641403</t>
  </si>
  <si>
    <t>641405</t>
  </si>
  <si>
    <t>645102</t>
  </si>
  <si>
    <t>645201</t>
  </si>
  <si>
    <t>645204</t>
  </si>
  <si>
    <t>645302</t>
  </si>
  <si>
    <t>645305</t>
  </si>
  <si>
    <t>645402</t>
  </si>
  <si>
    <t>645820</t>
  </si>
  <si>
    <t>645830</t>
  </si>
  <si>
    <t>646000</t>
  </si>
  <si>
    <t>646300</t>
  </si>
  <si>
    <t>649000</t>
  </si>
  <si>
    <t>654100</t>
  </si>
  <si>
    <t>655000</t>
  </si>
  <si>
    <t>661160</t>
  </si>
  <si>
    <t>661600</t>
  </si>
  <si>
    <t>666000</t>
  </si>
  <si>
    <t>667100</t>
  </si>
  <si>
    <t>668800</t>
  </si>
  <si>
    <t>671200</t>
  </si>
  <si>
    <t>671310</t>
  </si>
  <si>
    <t>671800</t>
  </si>
  <si>
    <t>672000</t>
  </si>
  <si>
    <t>675100</t>
  </si>
  <si>
    <t>675200</t>
  </si>
  <si>
    <t>681120</t>
  </si>
  <si>
    <t>681500</t>
  </si>
  <si>
    <t>681520</t>
  </si>
  <si>
    <t>681530</t>
  </si>
  <si>
    <t>686620</t>
  </si>
  <si>
    <t>686650</t>
  </si>
  <si>
    <t>687100</t>
  </si>
  <si>
    <t>687110</t>
  </si>
  <si>
    <t>687120</t>
  </si>
  <si>
    <t>687250</t>
  </si>
  <si>
    <t>695000</t>
  </si>
  <si>
    <t>695100</t>
  </si>
  <si>
    <t>695110</t>
  </si>
  <si>
    <t>695120</t>
  </si>
  <si>
    <t>695200</t>
  </si>
  <si>
    <t>698910</t>
  </si>
  <si>
    <t>698920</t>
  </si>
  <si>
    <t>698999</t>
  </si>
  <si>
    <t>699100</t>
  </si>
  <si>
    <t>701003</t>
  </si>
  <si>
    <t>701004</t>
  </si>
  <si>
    <t>701010</t>
  </si>
  <si>
    <t>701011</t>
  </si>
  <si>
    <t>701020</t>
  </si>
  <si>
    <t>701100</t>
  </si>
  <si>
    <t>701220</t>
  </si>
  <si>
    <t>706005</t>
  </si>
  <si>
    <t>708100</t>
  </si>
  <si>
    <t>708101</t>
  </si>
  <si>
    <t>708104</t>
  </si>
  <si>
    <t>708200</t>
  </si>
  <si>
    <t>708300</t>
  </si>
  <si>
    <t>708400</t>
  </si>
  <si>
    <t>708700</t>
  </si>
  <si>
    <t>708710</t>
  </si>
  <si>
    <t>708810</t>
  </si>
  <si>
    <t>708811</t>
  </si>
  <si>
    <t>708812</t>
  </si>
  <si>
    <t>708813</t>
  </si>
  <si>
    <t>740200</t>
  </si>
  <si>
    <t>740300</t>
  </si>
  <si>
    <t>764000</t>
  </si>
  <si>
    <t>764100</t>
  </si>
  <si>
    <t>766000</t>
  </si>
  <si>
    <t>767000</t>
  </si>
  <si>
    <t>767100</t>
  </si>
  <si>
    <t>768100</t>
  </si>
  <si>
    <t>768800</t>
  </si>
  <si>
    <t>771800</t>
  </si>
  <si>
    <t>772000</t>
  </si>
  <si>
    <t>781110</t>
  </si>
  <si>
    <t>781120</t>
  </si>
  <si>
    <t>781500</t>
  </si>
  <si>
    <t>786650</t>
  </si>
  <si>
    <t>787110</t>
  </si>
  <si>
    <t>787120</t>
  </si>
  <si>
    <t>787250</t>
  </si>
  <si>
    <t>791000</t>
  </si>
  <si>
    <t>791100</t>
  </si>
  <si>
    <t>791101</t>
  </si>
  <si>
    <t>791104</t>
  </si>
  <si>
    <t>791110</t>
  </si>
  <si>
    <t>791120</t>
  </si>
  <si>
    <t>791200</t>
  </si>
  <si>
    <t>791210</t>
  </si>
  <si>
    <t>797000</t>
  </si>
  <si>
    <t>890000</t>
  </si>
  <si>
    <t>lyveat</t>
  </si>
  <si>
    <t>Provision primes</t>
  </si>
  <si>
    <t>applicat suivi performance</t>
  </si>
  <si>
    <t>615641</t>
  </si>
  <si>
    <t>615642</t>
  </si>
  <si>
    <t>application suivi performance</t>
  </si>
  <si>
    <t>contrat applicat suivi perf</t>
  </si>
  <si>
    <t>écart lyv eat</t>
  </si>
  <si>
    <t>appli suivi perf mgr</t>
  </si>
  <si>
    <t>refacturation premiums</t>
  </si>
  <si>
    <t>SALAIRES 09/2022</t>
  </si>
  <si>
    <t>Taxe d'apprentissage libératoire</t>
  </si>
  <si>
    <t>Contribution paritarsime</t>
  </si>
  <si>
    <t>Loyer véhicule Wassa</t>
  </si>
  <si>
    <t>Loyer vehicule Rego</t>
  </si>
  <si>
    <t>Loyer véhicule Lanos</t>
  </si>
  <si>
    <t>Loyer véhicule Phoeuk</t>
  </si>
  <si>
    <t>Redevances Mungu</t>
  </si>
  <si>
    <t>A.n. voiture mgrs</t>
  </si>
  <si>
    <t>Avantages en nat.voiture manag.</t>
  </si>
  <si>
    <t>628340</t>
  </si>
  <si>
    <t>613018</t>
  </si>
  <si>
    <t>613017</t>
  </si>
  <si>
    <t>613019</t>
  </si>
  <si>
    <t>627200</t>
  </si>
  <si>
    <t>438620</t>
  </si>
  <si>
    <t>438610</t>
  </si>
  <si>
    <t>433860</t>
  </si>
  <si>
    <t>SALAIRES 04/2022</t>
  </si>
  <si>
    <t>438000</t>
  </si>
  <si>
    <t>438200</t>
  </si>
  <si>
    <t>Extourne Provision CP - mars 2022 (</t>
  </si>
  <si>
    <t>Taxe d'apprentissage - VL</t>
  </si>
  <si>
    <t>Paritarisme - CF</t>
  </si>
  <si>
    <t>Loyer vehicule Wassa</t>
  </si>
  <si>
    <t>Loyer véhicule Rego</t>
  </si>
  <si>
    <t>613020</t>
  </si>
  <si>
    <t>625000</t>
  </si>
  <si>
    <t>Redevance mungu</t>
  </si>
  <si>
    <t>775200</t>
  </si>
  <si>
    <t>Produits cessions éléments d'actif</t>
  </si>
  <si>
    <t>Agefip</t>
  </si>
  <si>
    <t>Tva MBS 20 %</t>
  </si>
  <si>
    <t>REDEVANCE MUNGU</t>
  </si>
  <si>
    <t>Intérets courus sur emprunt</t>
  </si>
  <si>
    <t>Mutuelle gfp - NPU</t>
  </si>
  <si>
    <t>Paritarisme</t>
  </si>
  <si>
    <t>Taxe apprentissage vert lib.</t>
  </si>
  <si>
    <t>Redevance MUNGU</t>
  </si>
  <si>
    <t>Extourne Provision CP - août 2022 (</t>
  </si>
  <si>
    <t>Subv equipement</t>
  </si>
  <si>
    <t xml:space="preserve">Les résultats présentés ci-après sont issus des P&amp;L établis par le comptable en interne. </t>
  </si>
  <si>
    <t>SALAIRES 10/2022</t>
  </si>
  <si>
    <t>Tva Martin Brower 20 %</t>
  </si>
  <si>
    <t>NPU Tickets restaurants</t>
  </si>
  <si>
    <t>NPU Chèques vacances</t>
  </si>
  <si>
    <t>Chèques émis NPU</t>
  </si>
  <si>
    <t>Produit de cession d'éléments d'act</t>
  </si>
  <si>
    <t>Especes NPU</t>
  </si>
  <si>
    <t>MARTIN BROWER</t>
  </si>
  <si>
    <t>Redevance GTH14</t>
  </si>
  <si>
    <t>Redevance Mungu</t>
  </si>
  <si>
    <t>Avoirs happy meals 14%</t>
  </si>
  <si>
    <t>TURVILLA</t>
  </si>
  <si>
    <t>SALAIRES 11/2022</t>
  </si>
  <si>
    <t>SALAIRES 12/2022</t>
  </si>
  <si>
    <t>12/2022 - KLESIA (ex Mornay Prévoya</t>
  </si>
  <si>
    <t>Dotation aux amortissements</t>
  </si>
  <si>
    <t>Tva 5.5%</t>
  </si>
  <si>
    <t>164700</t>
  </si>
  <si>
    <t>ANCV</t>
  </si>
  <si>
    <t>Assurances multirisques</t>
  </si>
  <si>
    <t>Tva 10%</t>
  </si>
  <si>
    <t>Mungu</t>
  </si>
  <si>
    <t>Ecart cb</t>
  </si>
  <si>
    <t>Vtes20 %</t>
  </si>
  <si>
    <t>2023</t>
  </si>
  <si>
    <t>Loyer FS-149-CP - B. Rath</t>
  </si>
  <si>
    <t>Loyer FG-768-AV - B.Wassa</t>
  </si>
  <si>
    <t>Loyer EV-769-NG - M. Lanos</t>
  </si>
  <si>
    <t>Loyer FN-451-MV - M. F. DE CASTRO</t>
  </si>
  <si>
    <t>Nettoyage</t>
  </si>
  <si>
    <t>Honoraires silliker</t>
  </si>
  <si>
    <t>Taxe boissons sucrées</t>
  </si>
  <si>
    <t>MEDECINE DU TRAVAIL</t>
  </si>
  <si>
    <t>COMMISSIONS ANCV</t>
  </si>
  <si>
    <t>Remise martin brower</t>
  </si>
  <si>
    <t>Commissions UBER</t>
  </si>
  <si>
    <t>Commissions DELIVEROO</t>
  </si>
  <si>
    <t>Indemnites blanchissage équipiers</t>
  </si>
  <si>
    <t>Assurance chômage assistants</t>
  </si>
  <si>
    <t>Remunerations assistants</t>
  </si>
  <si>
    <t>Prevoyance equipiers</t>
  </si>
  <si>
    <t>Prevoyance assistants</t>
  </si>
  <si>
    <t>Avantage nature assistants repas</t>
  </si>
  <si>
    <t>Assurance chômage equipiers</t>
  </si>
  <si>
    <t>Avantage en nature Equipiers</t>
  </si>
  <si>
    <t>Remunerations equipiers</t>
  </si>
  <si>
    <t>Retraite  assistants</t>
  </si>
  <si>
    <t>Mutuelle assistants</t>
  </si>
  <si>
    <t>Retraite équipiers</t>
  </si>
  <si>
    <t>Cotis. urssaf equipiers</t>
  </si>
  <si>
    <t>Avantage en nature Managers</t>
  </si>
  <si>
    <t>Indemnites blanchissage assistants</t>
  </si>
  <si>
    <t>Cotis urssaf assistants</t>
  </si>
  <si>
    <t>Assurance multi. risques</t>
  </si>
  <si>
    <t>Assurances véhicules</t>
  </si>
  <si>
    <t>Redevance gth</t>
  </si>
  <si>
    <t>Avoirs happy meals (5%)</t>
  </si>
  <si>
    <t>Contrat enlevt dechets</t>
  </si>
  <si>
    <t>Contrat vitres (graux ets gabriel)</t>
  </si>
  <si>
    <t>Contrat coca maintenance</t>
  </si>
  <si>
    <t>Redevance services</t>
  </si>
  <si>
    <t>Avoirs happy meals (15,5%)</t>
  </si>
  <si>
    <t>Loyer redevance standard 15,50%</t>
  </si>
  <si>
    <t>contrat indelec borne</t>
  </si>
  <si>
    <t>Prov c payes equipiers</t>
  </si>
  <si>
    <t>Charges sociales sur cp assistants</t>
  </si>
  <si>
    <t>Achats alimentaires</t>
  </si>
  <si>
    <t>Emballages</t>
  </si>
  <si>
    <t>Jouets</t>
  </si>
  <si>
    <t>Variation stock food</t>
  </si>
  <si>
    <t>Variation stock paper</t>
  </si>
  <si>
    <t>Variation stock pdt non cos</t>
  </si>
  <si>
    <t>Eau</t>
  </si>
  <si>
    <t>Edf</t>
  </si>
  <si>
    <t>Gaz</t>
  </si>
  <si>
    <t>Pdt entretien</t>
  </si>
  <si>
    <t>Carburants</t>
  </si>
  <si>
    <t>Loyer clio wassa</t>
  </si>
  <si>
    <t>Location box</t>
  </si>
  <si>
    <t>Loyer FZ 994 AV - S. Raffray</t>
  </si>
  <si>
    <t>Loyer FZ-768-AV - S. Laturaze</t>
  </si>
  <si>
    <t>Location caisse palette biodechets</t>
  </si>
  <si>
    <t>Location paritel</t>
  </si>
  <si>
    <t>Taxe foncières</t>
  </si>
  <si>
    <t>Entretien matériel de transport</t>
  </si>
  <si>
    <t>Maintenance mcdo</t>
  </si>
  <si>
    <t>Contrat sacem</t>
  </si>
  <si>
    <t>Contrat ndie alarme ac2f</t>
  </si>
  <si>
    <t>Contrat ecolab amboile</t>
  </si>
  <si>
    <t>Contrat télésurveillance</t>
  </si>
  <si>
    <t>Contrat regie linge</t>
  </si>
  <si>
    <t>Contrat cis - interway</t>
  </si>
  <si>
    <t>Abonnement recru net</t>
  </si>
  <si>
    <t>Contrat guildagil</t>
  </si>
  <si>
    <t>Contrat réflex services</t>
  </si>
  <si>
    <t>Contrat socotec</t>
  </si>
  <si>
    <t>Contrat majie</t>
  </si>
  <si>
    <t>Contrat iss</t>
  </si>
  <si>
    <t>contrat grenke refresh</t>
  </si>
  <si>
    <t>Assurances diverses</t>
  </si>
  <si>
    <t>Personnel technique prété</t>
  </si>
  <si>
    <t>Prêt personnel managers</t>
  </si>
  <si>
    <t>salaire personnel marketing</t>
  </si>
  <si>
    <t>Publicite promotion</t>
  </si>
  <si>
    <t>Premiums</t>
  </si>
  <si>
    <t>Deplacts missions receptio.</t>
  </si>
  <si>
    <t>Services bancaires et ass</t>
  </si>
  <si>
    <t>Frais divers</t>
  </si>
  <si>
    <t>Places cinema</t>
  </si>
  <si>
    <t>Formations</t>
  </si>
  <si>
    <t>Assistance financière</t>
  </si>
  <si>
    <t>Agefiph</t>
  </si>
  <si>
    <t>Formation continue (organisme)</t>
  </si>
  <si>
    <t>Taxe d'apprentissage (verst libér.)</t>
  </si>
  <si>
    <t>Autres impots</t>
  </si>
  <si>
    <t>Prov° c payes assistants</t>
  </si>
  <si>
    <t>Ch soc  prov cp assistant</t>
  </si>
  <si>
    <t>Ch soc s prov cp equipier</t>
  </si>
  <si>
    <t>Charges d'interets</t>
  </si>
  <si>
    <t>Dot.amort.s/immo.corporell.</t>
  </si>
  <si>
    <t>Ventes cine 5.50 %</t>
  </si>
  <si>
    <t>Ventes sur place 10 %</t>
  </si>
  <si>
    <t>Ventes sur place 20%</t>
  </si>
  <si>
    <t>Ventes 5.50%</t>
  </si>
  <si>
    <t>Refact personnel technique</t>
  </si>
  <si>
    <t>Refactur sal cs managers</t>
  </si>
  <si>
    <t>Refact salaires managers</t>
  </si>
  <si>
    <t>Refacturation matériels outill.</t>
  </si>
  <si>
    <t>Refacturation carburant</t>
  </si>
  <si>
    <t>Gie opération de marché</t>
  </si>
  <si>
    <t>Coupons cinéma</t>
  </si>
  <si>
    <t>Prod.divers gestion courant</t>
  </si>
  <si>
    <t>Avantage nature assistants</t>
  </si>
  <si>
    <t>Achats papiers</t>
  </si>
  <si>
    <t>Taxe sur les boissons sucrées</t>
  </si>
  <si>
    <t>Intérêts emprunt SG 150K€</t>
  </si>
  <si>
    <t>Intérêts emprunt CRCA 200K€</t>
  </si>
  <si>
    <t>Intérêts bancaires</t>
  </si>
  <si>
    <t>Frais et services bancaires</t>
  </si>
  <si>
    <t>honoraires deliveroo</t>
  </si>
  <si>
    <t>An équipiers</t>
  </si>
  <si>
    <t>Rémunération des équipiers</t>
  </si>
  <si>
    <t>An assistants</t>
  </si>
  <si>
    <t>contrat wi fi</t>
  </si>
  <si>
    <t>Contrat Vitres</t>
  </si>
  <si>
    <t>Assurance audi hugo</t>
  </si>
  <si>
    <t>Contrat Socotec</t>
  </si>
  <si>
    <t>Assurances restaurant</t>
  </si>
  <si>
    <t>Fournitures eau</t>
  </si>
  <si>
    <t>Achats jouets happy meal</t>
  </si>
  <si>
    <t>Variat. stocks matières premières</t>
  </si>
  <si>
    <t>Variat. stocks papier</t>
  </si>
  <si>
    <t>Var stock produits non alimentaires</t>
  </si>
  <si>
    <t>Contrat Silae</t>
  </si>
  <si>
    <t>loy voiture lanos</t>
  </si>
  <si>
    <t>loy voiture marine</t>
  </si>
  <si>
    <t>loyer voiture sandrine mercedez</t>
  </si>
  <si>
    <t>loyer veh audi elect hugo</t>
  </si>
  <si>
    <t>Loyr véh Phoeuk</t>
  </si>
  <si>
    <t>Taxes foncières</t>
  </si>
  <si>
    <t>Entretien sur biens mobiliers</t>
  </si>
  <si>
    <t>Contrat ecolab</t>
  </si>
  <si>
    <t>Contrat rammassage espèces</t>
  </si>
  <si>
    <t>Contrat entretien jardin</t>
  </si>
  <si>
    <t>Contrat ac2f</t>
  </si>
  <si>
    <t>contrat siriusweb</t>
  </si>
  <si>
    <t>Contrat iroun montain</t>
  </si>
  <si>
    <t>Contrat collecte huiles usagées ole</t>
  </si>
  <si>
    <t>Contrat coca</t>
  </si>
  <si>
    <t>Rammassages déchets</t>
  </si>
  <si>
    <t>Abonnement recru-net</t>
  </si>
  <si>
    <t>contrat majie</t>
  </si>
  <si>
    <t>contrat indelec rech borne</t>
  </si>
  <si>
    <t>contrat axed porte auto</t>
  </si>
  <si>
    <t>applicat suivi perf mgr</t>
  </si>
  <si>
    <t>Assurance diverses</t>
  </si>
  <si>
    <t>Honoraires com. aux comptes</t>
  </si>
  <si>
    <t>Publicité gie</t>
  </si>
  <si>
    <t>Promo food paper</t>
  </si>
  <si>
    <t>Prémium cadeaux</t>
  </si>
  <si>
    <t>Voyages et déplacements</t>
  </si>
  <si>
    <t>Certificats divers</t>
  </si>
  <si>
    <t>Places de cinéma</t>
  </si>
  <si>
    <t>Redevance gth14</t>
  </si>
  <si>
    <t>Rémunération des assistants</t>
  </si>
  <si>
    <t>Prov congés payés managers</t>
  </si>
  <si>
    <t>Prov congés payés équipiers</t>
  </si>
  <si>
    <t>Ind blanchisserie équipiers</t>
  </si>
  <si>
    <t>Ind blanchisserie assistants</t>
  </si>
  <si>
    <t>Urssaf assistants</t>
  </si>
  <si>
    <t>Retraite assistants</t>
  </si>
  <si>
    <t>Pôle emploi assistants</t>
  </si>
  <si>
    <t>Charges sociales sur cp équipiers</t>
  </si>
  <si>
    <t>Prévoyance assistants</t>
  </si>
  <si>
    <t>Prévoyance équipiers</t>
  </si>
  <si>
    <t>Redevance service</t>
  </si>
  <si>
    <t>Intérêts emprunt PGE 100K€</t>
  </si>
  <si>
    <t>Intérêts emprunt PGE 350K€</t>
  </si>
  <si>
    <t>Dons, gie</t>
  </si>
  <si>
    <t>Remises MB</t>
  </si>
  <si>
    <t>Refacturation salaires mgr brut</t>
  </si>
  <si>
    <t>Refacturation opérations de marché</t>
  </si>
  <si>
    <t>Refacturation loyer vehicule</t>
  </si>
  <si>
    <t>Contrat ville de rouen déchets</t>
  </si>
  <si>
    <t>Charges sur cp prov assistants</t>
  </si>
  <si>
    <t>Provisions congés payés équipiers</t>
  </si>
  <si>
    <t>Charges sur cp prov équipiers</t>
  </si>
  <si>
    <t>Publicité</t>
  </si>
  <si>
    <t>Contrat traitement eaux usées</t>
  </si>
  <si>
    <t>Loyer paritel</t>
  </si>
  <si>
    <t>Contrat grenke refresh parc</t>
  </si>
  <si>
    <t>Frais telephone</t>
  </si>
  <si>
    <t>Personnel ext assistants</t>
  </si>
  <si>
    <t>Contrat ecolab antiparasite</t>
  </si>
  <si>
    <t>Médecine du travail</t>
  </si>
  <si>
    <t>Cadeaux à la clientèle</t>
  </si>
  <si>
    <t>Contribution boissons sucrées</t>
  </si>
  <si>
    <t>Remises Martin Brower</t>
  </si>
  <si>
    <t>Commission Deliveroo</t>
  </si>
  <si>
    <t>Commissions Uber</t>
  </si>
  <si>
    <t>Rémunération équipiers</t>
  </si>
  <si>
    <t>Ventes ciné</t>
  </si>
  <si>
    <t>Ventes 20%</t>
  </si>
  <si>
    <t>Ventes 5,5 %</t>
  </si>
  <si>
    <t>Ventes 10%</t>
  </si>
  <si>
    <t>Achat papier</t>
  </si>
  <si>
    <t>Variat. stocks mat. premières/fourn</t>
  </si>
  <si>
    <t>Fournitures électricité</t>
  </si>
  <si>
    <t>Petit equipement</t>
  </si>
  <si>
    <t>Achats fournitures administratives</t>
  </si>
  <si>
    <t>Contrat accès Silae</t>
  </si>
  <si>
    <t>Redevance standard location</t>
  </si>
  <si>
    <t>Loyer voiture bun rath - lanos</t>
  </si>
  <si>
    <t>loyer voiture a1 marine</t>
  </si>
  <si>
    <t>loyer voiture wassa htr8</t>
  </si>
  <si>
    <t>Contrat mc do maintenance</t>
  </si>
  <si>
    <t>Abo recru net</t>
  </si>
  <si>
    <t>Contrat iroun mountain</t>
  </si>
  <si>
    <t>Personnel technique prêté</t>
  </si>
  <si>
    <t>Frais de recepti° et déplacement</t>
  </si>
  <si>
    <t>Taxe vehicule societe</t>
  </si>
  <si>
    <t>Rémunération assistants</t>
  </si>
  <si>
    <t>Provisions congés payés assistants</t>
  </si>
  <si>
    <t>Ind blanchissage managers</t>
  </si>
  <si>
    <t>Avoirs happy meals (14.5%)</t>
  </si>
  <si>
    <t>Intérêts emprunt CRCA</t>
  </si>
  <si>
    <t>Commissions de garantie PGE</t>
  </si>
  <si>
    <t>Refact charges soc assistants</t>
  </si>
  <si>
    <t>Refact salaires bruts assists</t>
  </si>
  <si>
    <t>Refacturation hm</t>
  </si>
  <si>
    <t>Refacturation pub</t>
  </si>
  <si>
    <t>Refact loyer vehicule</t>
  </si>
  <si>
    <t>loyer caddy5 van business</t>
  </si>
  <si>
    <t>Formation continue</t>
  </si>
  <si>
    <t>Commissions cartes bleues</t>
  </si>
  <si>
    <t>Publicité gie mc do force</t>
  </si>
  <si>
    <t>Location grenke</t>
  </si>
  <si>
    <t>Variat. stocks autres approvist.</t>
  </si>
  <si>
    <t>Contrat d'accès Sylae</t>
  </si>
  <si>
    <t>Loyer FN-451-MV - M. F. De Castro</t>
  </si>
  <si>
    <t>Loyer GA-768-QK - B. Wassa</t>
  </si>
  <si>
    <t>Loyer 16.50%</t>
  </si>
  <si>
    <t>Contrat suez</t>
  </si>
  <si>
    <t>Contrat atral alarme</t>
  </si>
  <si>
    <t>Contrat guldagil (adoucisseur)</t>
  </si>
  <si>
    <t>Contrat abo recru net</t>
  </si>
  <si>
    <t>Contrat arrosea - entretien jardin</t>
  </si>
  <si>
    <t>Contrat iss - entretien installat°</t>
  </si>
  <si>
    <t>Abonnement bornes recharge</t>
  </si>
  <si>
    <t>contrat perf mgr</t>
  </si>
  <si>
    <t>Prêt personnel manager</t>
  </si>
  <si>
    <t>Prêt personnel technique</t>
  </si>
  <si>
    <t>Voyages et deplacements</t>
  </si>
  <si>
    <t>Fact gth 14 frais fonctionnement gt</t>
  </si>
  <si>
    <t>Cs/ cp équipiers</t>
  </si>
  <si>
    <t>Intérêts des emprunts et dettes</t>
  </si>
  <si>
    <t>Refacturation loyer clio wassa</t>
  </si>
  <si>
    <t>Refact véhicule Rego</t>
  </si>
  <si>
    <t>Refact véhicule Fernandez</t>
  </si>
  <si>
    <t>Refact véhicule Lanos</t>
  </si>
  <si>
    <t>Refact véhicule Phoeuk</t>
  </si>
  <si>
    <t>Avantages en nature équipier</t>
  </si>
  <si>
    <t>Pte fourn diverses</t>
  </si>
  <si>
    <t>Budget de marche</t>
  </si>
  <si>
    <t>commission lyveat</t>
  </si>
  <si>
    <t>Fourniture op mb</t>
  </si>
  <si>
    <t>Vtes alim / place a 5.50%</t>
  </si>
  <si>
    <t>Vtes alim /place a 20%</t>
  </si>
  <si>
    <t>Compte</t>
  </si>
  <si>
    <t>Electricité</t>
  </si>
  <si>
    <t>Nettoyage du restaurant</t>
  </si>
  <si>
    <t>Ct informatique / medias</t>
  </si>
  <si>
    <t>Securite/ gardiennage</t>
  </si>
  <si>
    <t>Contrat accès sylae</t>
  </si>
  <si>
    <t>Contrat Analyse relat° clients</t>
  </si>
  <si>
    <t>Loyer mcdonald's</t>
  </si>
  <si>
    <t>Indexat¦ loyer</t>
  </si>
  <si>
    <t>Loyer vehicule brahim</t>
  </si>
  <si>
    <t>Loyer vehicule bun rath</t>
  </si>
  <si>
    <t>Loyer vehicule sandrine</t>
  </si>
  <si>
    <t>Loyer vehicule max</t>
  </si>
  <si>
    <t>Loyer véhicule Marine</t>
  </si>
  <si>
    <t>Location Grenke</t>
  </si>
  <si>
    <t>Ent. repar. equipement</t>
  </si>
  <si>
    <t>Maintenance</t>
  </si>
  <si>
    <t>Contrat cimbali</t>
  </si>
  <si>
    <t>Enlevt dechets</t>
  </si>
  <si>
    <t>Contrat femel sav alarme et incendi</t>
  </si>
  <si>
    <t>Assur. multirisque resto</t>
  </si>
  <si>
    <t>Honoraires</t>
  </si>
  <si>
    <t>Frais uber</t>
  </si>
  <si>
    <t>Voyages &amp; dpt manager</t>
  </si>
  <si>
    <t>Carburant bun rath</t>
  </si>
  <si>
    <t>Telephone restaurant</t>
  </si>
  <si>
    <t>Commission sur emprunt</t>
  </si>
  <si>
    <t>Services bancaries et ass</t>
  </si>
  <si>
    <t>Taxe sur publicite</t>
  </si>
  <si>
    <t>Taxe sur les boissons sucrees</t>
  </si>
  <si>
    <t>Remunerations managers</t>
  </si>
  <si>
    <t>Avantage nature managers</t>
  </si>
  <si>
    <t>Prov° c payes managers</t>
  </si>
  <si>
    <t>Indemnites blanchissage managers</t>
  </si>
  <si>
    <t>Cotis urssaf managers</t>
  </si>
  <si>
    <t>Retraite  managers</t>
  </si>
  <si>
    <t>Assurance chômage managers</t>
  </si>
  <si>
    <t>Ch soc  prov cp managers</t>
  </si>
  <si>
    <t>Comite d'entreprise</t>
  </si>
  <si>
    <t>Redev. service 5% ca net</t>
  </si>
  <si>
    <t>Avoirs happy meals (14%)</t>
  </si>
  <si>
    <t>Charges d'interets sur emprunts</t>
  </si>
  <si>
    <t>Vtes alim /place a 10%</t>
  </si>
  <si>
    <t>Avantage en nature equipiers</t>
  </si>
  <si>
    <t>Produits entretien</t>
  </si>
  <si>
    <t>Avantage nature équipiers</t>
  </si>
  <si>
    <t>Redevance GTH</t>
  </si>
  <si>
    <t>Contrat radical antiparasitaire</t>
  </si>
  <si>
    <t>Variation stock h.meal</t>
  </si>
  <si>
    <t>Edf - Gdf</t>
  </si>
  <si>
    <t>Loyer redevance standard</t>
  </si>
  <si>
    <t>Loy voiture marine</t>
  </si>
  <si>
    <t>Loy voiture lanos max</t>
  </si>
  <si>
    <t>Location voiture Phoeuk</t>
  </si>
  <si>
    <t>Location veh. hugo</t>
  </si>
  <si>
    <t>Location matériel informatique</t>
  </si>
  <si>
    <t>Maintenance Mc Do</t>
  </si>
  <si>
    <t>Contrat vitres</t>
  </si>
  <si>
    <t>ContraIt Interway</t>
  </si>
  <si>
    <t>Contrat Steeple</t>
  </si>
  <si>
    <t>Contrat Maje entretien aire jeux</t>
  </si>
  <si>
    <t>Contrat Guldagil</t>
  </si>
  <si>
    <t>Contrat ISS</t>
  </si>
  <si>
    <t>Contrat Mood</t>
  </si>
  <si>
    <t>application suivi perf</t>
  </si>
  <si>
    <t>Assurance multirisques</t>
  </si>
  <si>
    <t>Rémun. &amp; honoraires divers</t>
  </si>
  <si>
    <t>Provision congés payés équipiers</t>
  </si>
  <si>
    <t>Provision congés payés assistants</t>
  </si>
  <si>
    <t>Indemnités blanchissage assistants</t>
  </si>
  <si>
    <t>Retraite et prev équipiers</t>
  </si>
  <si>
    <t>Retraite et prev assistants</t>
  </si>
  <si>
    <t>Charges s/ congés à payer équipiers</t>
  </si>
  <si>
    <t>Charges s/ congés à payer assistant</t>
  </si>
  <si>
    <t>Avoirs happy meals (14,5%)</t>
  </si>
  <si>
    <t>Ventes à 5.50 %</t>
  </si>
  <si>
    <t>Mois</t>
  </si>
  <si>
    <t>Cumulé</t>
  </si>
  <si>
    <t>Ligne P&amp;L</t>
  </si>
  <si>
    <t>Racine</t>
  </si>
  <si>
    <t>701015</t>
  </si>
  <si>
    <t>Table n°2  -  Ventes produits alimentaires</t>
  </si>
  <si>
    <t>637400</t>
  </si>
  <si>
    <t>Table n°2  -  Coût nourriture : achat nourriture</t>
  </si>
  <si>
    <t>Table n°2  -  Repas employés</t>
  </si>
  <si>
    <t>Table n°2  -  Déchets Pertes</t>
  </si>
  <si>
    <t>Table n°2  -  Coût emballages</t>
  </si>
  <si>
    <t>641030</t>
  </si>
  <si>
    <t>641063</t>
  </si>
  <si>
    <t>641410</t>
  </si>
  <si>
    <t>Table n°2  -  Main d'œuvre brute équipiers</t>
  </si>
  <si>
    <t>645130</t>
  </si>
  <si>
    <t>645330</t>
  </si>
  <si>
    <t>645430</t>
  </si>
  <si>
    <t>645530</t>
  </si>
  <si>
    <t>645930</t>
  </si>
  <si>
    <t>Table n°2  -  Charges sociales équipiers</t>
  </si>
  <si>
    <t>641020</t>
  </si>
  <si>
    <t>641064</t>
  </si>
  <si>
    <t>Table n°2  -  Main d'œuvre brute équipe de gestio</t>
  </si>
  <si>
    <t>Prêt personnel managers CS</t>
  </si>
  <si>
    <t>645120</t>
  </si>
  <si>
    <t>645320</t>
  </si>
  <si>
    <t>645420</t>
  </si>
  <si>
    <t>645520</t>
  </si>
  <si>
    <t>645920</t>
  </si>
  <si>
    <t>Table n°2  -  Charges sociales équipe de gestion</t>
  </si>
  <si>
    <t>621010</t>
  </si>
  <si>
    <t>Table n°2  -  Divers MO</t>
  </si>
  <si>
    <t>611013</t>
  </si>
  <si>
    <t>Nettoyage restaurant</t>
  </si>
  <si>
    <t>Table n°2  -  Nettoyage</t>
  </si>
  <si>
    <t>Table n°2  -  Sécurité et Gardiennage</t>
  </si>
  <si>
    <t>Table n°2  -  Frais bancaires</t>
  </si>
  <si>
    <t>Table n°2  -  Contrats Maintenance et réparations</t>
  </si>
  <si>
    <t>611012</t>
  </si>
  <si>
    <t>613262</t>
  </si>
  <si>
    <t>613330</t>
  </si>
  <si>
    <t>613350</t>
  </si>
  <si>
    <t>613360</t>
  </si>
  <si>
    <t>615609</t>
  </si>
  <si>
    <t>615645</t>
  </si>
  <si>
    <t>615647</t>
  </si>
  <si>
    <t>615651</t>
  </si>
  <si>
    <t>615652</t>
  </si>
  <si>
    <t>615653</t>
  </si>
  <si>
    <t>615654</t>
  </si>
  <si>
    <t>615655</t>
  </si>
  <si>
    <t>615656</t>
  </si>
  <si>
    <t>615657</t>
  </si>
  <si>
    <t>615658</t>
  </si>
  <si>
    <t>615659</t>
  </si>
  <si>
    <t>615660</t>
  </si>
  <si>
    <t>615662</t>
  </si>
  <si>
    <t>Table n°2  -  Autres Services Extérieurs</t>
  </si>
  <si>
    <t>Table n°2  -  Commissions Food Tech</t>
  </si>
  <si>
    <t>Table n°2  -  Publicité GIE</t>
  </si>
  <si>
    <t>623050</t>
  </si>
  <si>
    <t>708870</t>
  </si>
  <si>
    <t>Table n°2  -  Promotion locale</t>
  </si>
  <si>
    <t>606110</t>
  </si>
  <si>
    <t>606120</t>
  </si>
  <si>
    <t>606150</t>
  </si>
  <si>
    <t>Table n°2  -  Electricité, eau, gaz, téléphone</t>
  </si>
  <si>
    <t>708856</t>
  </si>
  <si>
    <t>Table n°2  -  Fournitures exploitation et bureau</t>
  </si>
  <si>
    <t>625200</t>
  </si>
  <si>
    <t>Table n°2  -  Frais de déplacements et Evènements</t>
  </si>
  <si>
    <t>625300</t>
  </si>
  <si>
    <t>Budget motivation</t>
  </si>
  <si>
    <t>Table n°2  -  Divers</t>
  </si>
  <si>
    <t>Table n°2  -  Redevance standard</t>
  </si>
  <si>
    <t>Table n°2  -  Incentives et Avoirs de redevance</t>
  </si>
  <si>
    <t>Table n°2  -  Charges locatives et copro</t>
  </si>
  <si>
    <t>651110</t>
  </si>
  <si>
    <t>Table n°2  -  Redevance service 5%</t>
  </si>
  <si>
    <t>622660</t>
  </si>
  <si>
    <t>622661</t>
  </si>
  <si>
    <t>Table n°2  -  Frais comptables et juridiques</t>
  </si>
  <si>
    <t>Table n°2  -  Assurances</t>
  </si>
  <si>
    <t>Table n°2  -  Taxes</t>
  </si>
  <si>
    <t>Table n°2  -  Dépréciations amortissements</t>
  </si>
  <si>
    <t>606613</t>
  </si>
  <si>
    <t>613263</t>
  </si>
  <si>
    <t>613284</t>
  </si>
  <si>
    <t>613285</t>
  </si>
  <si>
    <t>613286</t>
  </si>
  <si>
    <t>613287</t>
  </si>
  <si>
    <t>613288</t>
  </si>
  <si>
    <t>708860</t>
  </si>
  <si>
    <t>Table n°2  -  Dépenses / Revenus divers</t>
  </si>
  <si>
    <t>Table n°2  -  Charges / Revenus financiers</t>
  </si>
  <si>
    <t>628220</t>
  </si>
  <si>
    <t>628500</t>
  </si>
  <si>
    <t>Table n°2  -  G&amp;A (Frais administratifs)</t>
  </si>
  <si>
    <t>708880</t>
  </si>
  <si>
    <t>Table n°2  -  Ventes non alimentaires</t>
  </si>
  <si>
    <t>628024</t>
  </si>
  <si>
    <t>Table n°2  -  Coût non alimentaire</t>
  </si>
  <si>
    <t>Total général</t>
  </si>
  <si>
    <t>70100100</t>
  </si>
  <si>
    <t>70100200</t>
  </si>
  <si>
    <t>70101000</t>
  </si>
  <si>
    <t>70102000</t>
  </si>
  <si>
    <t>60110000</t>
  </si>
  <si>
    <t>60310000</t>
  </si>
  <si>
    <t>63551100</t>
  </si>
  <si>
    <t>70800000</t>
  </si>
  <si>
    <t>60110300</t>
  </si>
  <si>
    <t>60110200</t>
  </si>
  <si>
    <t>60220100</t>
  </si>
  <si>
    <t>60320000</t>
  </si>
  <si>
    <t>64110100</t>
  </si>
  <si>
    <t>64120000</t>
  </si>
  <si>
    <t>64140100</t>
  </si>
  <si>
    <t>64141100</t>
  </si>
  <si>
    <t>72610000</t>
  </si>
  <si>
    <t>64510100</t>
  </si>
  <si>
    <t>64520100</t>
  </si>
  <si>
    <t>64530100</t>
  </si>
  <si>
    <t>64540100</t>
  </si>
  <si>
    <t>64580000</t>
  </si>
  <si>
    <t>62140200</t>
  </si>
  <si>
    <t>64110400</t>
  </si>
  <si>
    <t>64121000</t>
  </si>
  <si>
    <t>64140400</t>
  </si>
  <si>
    <t>64141400</t>
  </si>
  <si>
    <t>70810400</t>
  </si>
  <si>
    <t>72611000</t>
  </si>
  <si>
    <t>62140700</t>
  </si>
  <si>
    <t>Prêt pers.manag.charges</t>
  </si>
  <si>
    <t>64510400</t>
  </si>
  <si>
    <t>64520400</t>
  </si>
  <si>
    <t>64530400</t>
  </si>
  <si>
    <t>64540400</t>
  </si>
  <si>
    <t>64581000</t>
  </si>
  <si>
    <t>62140500</t>
  </si>
  <si>
    <t>62140600</t>
  </si>
  <si>
    <t>61521000</t>
  </si>
  <si>
    <t>61561500</t>
  </si>
  <si>
    <t>61562000</t>
  </si>
  <si>
    <t>61562400</t>
  </si>
  <si>
    <t>62720000</t>
  </si>
  <si>
    <t>62780100</t>
  </si>
  <si>
    <t>62780200</t>
  </si>
  <si>
    <t>62780300</t>
  </si>
  <si>
    <t>62780400</t>
  </si>
  <si>
    <t>60630000</t>
  </si>
  <si>
    <t>61101200</t>
  </si>
  <si>
    <t>61301900</t>
  </si>
  <si>
    <t>61321000</t>
  </si>
  <si>
    <t>61323000</t>
  </si>
  <si>
    <t>61324000</t>
  </si>
  <si>
    <t>61560000</t>
  </si>
  <si>
    <t>61561000</t>
  </si>
  <si>
    <t>61561100</t>
  </si>
  <si>
    <t>61561200</t>
  </si>
  <si>
    <t>61561300</t>
  </si>
  <si>
    <t>61561600</t>
  </si>
  <si>
    <t>61561800</t>
  </si>
  <si>
    <t>61562100</t>
  </si>
  <si>
    <t>61562300</t>
  </si>
  <si>
    <t>Contrat maint.caisses</t>
  </si>
  <si>
    <t>61562500</t>
  </si>
  <si>
    <t>61562800</t>
  </si>
  <si>
    <t>61563000</t>
  </si>
  <si>
    <t>61563200</t>
  </si>
  <si>
    <t>61563500</t>
  </si>
  <si>
    <t>61563600</t>
  </si>
  <si>
    <t>61563700</t>
  </si>
  <si>
    <t>61563800</t>
  </si>
  <si>
    <t>61564100</t>
  </si>
  <si>
    <t>61564300</t>
  </si>
  <si>
    <t>61564600</t>
  </si>
  <si>
    <t>61564700</t>
  </si>
  <si>
    <t>61564800</t>
  </si>
  <si>
    <t>61564900</t>
  </si>
  <si>
    <t>Contrat Incendie</t>
  </si>
  <si>
    <t>62840000</t>
  </si>
  <si>
    <t>64750000</t>
  </si>
  <si>
    <t>62280000</t>
  </si>
  <si>
    <t>62281000</t>
  </si>
  <si>
    <t>62300000</t>
  </si>
  <si>
    <t>62300200</t>
  </si>
  <si>
    <t>62340000</t>
  </si>
  <si>
    <t>62340100</t>
  </si>
  <si>
    <t>62341500</t>
  </si>
  <si>
    <t>60610100</t>
  </si>
  <si>
    <t>60610300</t>
  </si>
  <si>
    <t>62620000</t>
  </si>
  <si>
    <t>60630200</t>
  </si>
  <si>
    <t>60640100</t>
  </si>
  <si>
    <t>62510000</t>
  </si>
  <si>
    <t>62802300</t>
  </si>
  <si>
    <t>67110000</t>
  </si>
  <si>
    <t>77110000</t>
  </si>
  <si>
    <t>61320000</t>
  </si>
  <si>
    <t>65120000</t>
  </si>
  <si>
    <t>65121000</t>
  </si>
  <si>
    <t>61410000</t>
  </si>
  <si>
    <t>65100100</t>
  </si>
  <si>
    <t>62260000</t>
  </si>
  <si>
    <t>62261000</t>
  </si>
  <si>
    <t>61600100</t>
  </si>
  <si>
    <t>63330000</t>
  </si>
  <si>
    <t>63350000</t>
  </si>
  <si>
    <t>63511100</t>
  </si>
  <si>
    <t>63511200</t>
  </si>
  <si>
    <t>63514000</t>
  </si>
  <si>
    <t>63553000</t>
  </si>
  <si>
    <t>63730000</t>
  </si>
  <si>
    <t>68111000</t>
  </si>
  <si>
    <t>60661300</t>
  </si>
  <si>
    <t>61301500</t>
  </si>
  <si>
    <t>61301700</t>
  </si>
  <si>
    <t>61302000</t>
  </si>
  <si>
    <t>61302100</t>
  </si>
  <si>
    <t>61302200</t>
  </si>
  <si>
    <t>61600200</t>
  </si>
  <si>
    <t>70817000</t>
  </si>
  <si>
    <t>70819100</t>
  </si>
  <si>
    <t>70819200</t>
  </si>
  <si>
    <t>70819300</t>
  </si>
  <si>
    <t>70819400</t>
  </si>
  <si>
    <t>66110000</t>
  </si>
  <si>
    <t>62821000</t>
  </si>
  <si>
    <t>62850000</t>
  </si>
  <si>
    <t>70230000</t>
  </si>
  <si>
    <t>60220200</t>
  </si>
  <si>
    <t>60320100</t>
  </si>
  <si>
    <t>62802400</t>
  </si>
  <si>
    <t>637810</t>
  </si>
  <si>
    <t>708850</t>
  </si>
  <si>
    <t>611100</t>
  </si>
  <si>
    <t>613514</t>
  </si>
  <si>
    <t>613519</t>
  </si>
  <si>
    <t>615649</t>
  </si>
  <si>
    <t>615650</t>
  </si>
  <si>
    <t>Contrat jardin services</t>
  </si>
  <si>
    <t>615661</t>
  </si>
  <si>
    <t>615663</t>
  </si>
  <si>
    <t>615664</t>
  </si>
  <si>
    <t>615665</t>
  </si>
  <si>
    <t>Appli suivi performance</t>
  </si>
  <si>
    <t>615666</t>
  </si>
  <si>
    <t>Contrat incendie</t>
  </si>
  <si>
    <t>647516</t>
  </si>
  <si>
    <t>622810</t>
  </si>
  <si>
    <t>651031</t>
  </si>
  <si>
    <t>616200</t>
  </si>
  <si>
    <t>616300</t>
  </si>
  <si>
    <t>635820</t>
  </si>
  <si>
    <t>613513</t>
  </si>
  <si>
    <t>613518</t>
  </si>
  <si>
    <t>613524</t>
  </si>
  <si>
    <t>613529</t>
  </si>
  <si>
    <t>616210</t>
  </si>
  <si>
    <t>708882</t>
  </si>
  <si>
    <t>661900</t>
  </si>
  <si>
    <t>625800</t>
  </si>
  <si>
    <t>628210</t>
  </si>
  <si>
    <t>708873</t>
  </si>
  <si>
    <t>708120</t>
  </si>
  <si>
    <t>621015</t>
  </si>
  <si>
    <t>pret personnel technique</t>
  </si>
  <si>
    <t>Contrat alarme</t>
  </si>
  <si>
    <t>613530</t>
  </si>
  <si>
    <t>613562</t>
  </si>
  <si>
    <t>615672</t>
  </si>
  <si>
    <t>615673</t>
  </si>
  <si>
    <t>615674</t>
  </si>
  <si>
    <t>615675</t>
  </si>
  <si>
    <t>615676</t>
  </si>
  <si>
    <t>615678</t>
  </si>
  <si>
    <t>615679</t>
  </si>
  <si>
    <t>615680</t>
  </si>
  <si>
    <t>622690</t>
  </si>
  <si>
    <t>622691</t>
  </si>
  <si>
    <t>622692</t>
  </si>
  <si>
    <t>625700</t>
  </si>
  <si>
    <t>Frais mission reception</t>
  </si>
  <si>
    <t>Locations redevance standard</t>
  </si>
  <si>
    <t>622670</t>
  </si>
  <si>
    <t>622680</t>
  </si>
  <si>
    <t>613551</t>
  </si>
  <si>
    <t>613557</t>
  </si>
  <si>
    <t>613558</t>
  </si>
  <si>
    <t>613559</t>
  </si>
  <si>
    <t>613563</t>
  </si>
  <si>
    <t>613565</t>
  </si>
  <si>
    <t>616330</t>
  </si>
  <si>
    <t>661110</t>
  </si>
  <si>
    <t>661130</t>
  </si>
  <si>
    <t>661140</t>
  </si>
  <si>
    <t>Table n°2  -  Charges et produits exceptionnels</t>
  </si>
  <si>
    <t>Refacturation homme maint. cotisat°</t>
  </si>
  <si>
    <t>Refacturation petit équipement</t>
  </si>
  <si>
    <t>Maintenance caisses</t>
  </si>
  <si>
    <t>Table n°2  -  Indexation loyer externe</t>
  </si>
  <si>
    <t>Incentives Mc do</t>
  </si>
  <si>
    <t>701040</t>
  </si>
  <si>
    <t>701200</t>
  </si>
  <si>
    <t>635211</t>
  </si>
  <si>
    <t>641201</t>
  </si>
  <si>
    <t>645501</t>
  </si>
  <si>
    <t>645801</t>
  </si>
  <si>
    <t>641204</t>
  </si>
  <si>
    <t>645504</t>
  </si>
  <si>
    <t>645804</t>
  </si>
  <si>
    <t>615644</t>
  </si>
  <si>
    <t>615648</t>
  </si>
  <si>
    <t>Frais de mission reception</t>
  </si>
  <si>
    <t>651000</t>
  </si>
  <si>
    <t>606130</t>
  </si>
  <si>
    <t>613261</t>
  </si>
  <si>
    <t>613289</t>
  </si>
  <si>
    <t>613290</t>
  </si>
  <si>
    <t>603202</t>
  </si>
  <si>
    <t>VENTES ALIMENTAIRES   5.5%</t>
  </si>
  <si>
    <t>VENTES ALIMENTAIRES  20%</t>
  </si>
  <si>
    <t>VENTES ALIMENTAIRES  10%</t>
  </si>
  <si>
    <t>ACHATS ALIMENTAIRES</t>
  </si>
  <si>
    <t>Variat. stocks Mat. premières/fourn</t>
  </si>
  <si>
    <t>VARIAT STOCK ALIMENTAIRE</t>
  </si>
  <si>
    <t>TAXE PRODUITS SUCRES</t>
  </si>
  <si>
    <t>PRESTATIONS MB 20%</t>
  </si>
  <si>
    <t>ESTIMATION REPAS DU PERSONNEL</t>
  </si>
  <si>
    <t>DECHETS</t>
  </si>
  <si>
    <t>ACHAT PAPER</t>
  </si>
  <si>
    <t>VARIAT STOCK PAPIER</t>
  </si>
  <si>
    <t>SALAIRES EQUIPIERS</t>
  </si>
  <si>
    <t>CONGES PAYES EQUIPIERS</t>
  </si>
  <si>
    <t>AV NATURE REPAS EQUIPIERS</t>
  </si>
  <si>
    <t>PRIME BLANCHISSAGE EQUIPIERS</t>
  </si>
  <si>
    <t>Refacturation équipiers SB</t>
  </si>
  <si>
    <t>AV EN NATURE REPAS EQUIPIERS</t>
  </si>
  <si>
    <t>URSSAF EQUIPIERS</t>
  </si>
  <si>
    <t>MUTUELLE EQUIPIERS</t>
  </si>
  <si>
    <t>PREVOYANCE EQUIPIER</t>
  </si>
  <si>
    <t>RETRAITE EQUIPIER</t>
  </si>
  <si>
    <t>ASSEDIC EQUIPIERS</t>
  </si>
  <si>
    <t>CHARGES SOCIALES CP EQUIPIERS</t>
  </si>
  <si>
    <t>Refacturation équipiers Charges</t>
  </si>
  <si>
    <t>SALAIRES MANAGERS</t>
  </si>
  <si>
    <t>CONGES PAYES MANAGERS</t>
  </si>
  <si>
    <t>AV NATURE REPAS MANAGERS</t>
  </si>
  <si>
    <t>AV NATURE VOITURE MANAGERS</t>
  </si>
  <si>
    <t>PRIME BLANCHISSAGE MANAGERS</t>
  </si>
  <si>
    <t>Refacturation manager SB</t>
  </si>
  <si>
    <t>AV EN NATURE REPAS MANAGERS</t>
  </si>
  <si>
    <t>URSSAF MANAGERS</t>
  </si>
  <si>
    <t>MUTUELLE MANAGERS</t>
  </si>
  <si>
    <t>PREVOYANCE MANAGERS</t>
  </si>
  <si>
    <t>RETRAITE MANAGER</t>
  </si>
  <si>
    <t>ASSEDIC MANAGERS</t>
  </si>
  <si>
    <t>CHARGES SOCIALES CP  MANAGERS</t>
  </si>
  <si>
    <t>Refacturation manager Charges</t>
  </si>
  <si>
    <t>Personnel technique</t>
  </si>
  <si>
    <t>NETTOYAGE</t>
  </si>
  <si>
    <t>MAINT  MAT TELESURVAILLANCE ALARME</t>
  </si>
  <si>
    <t>MAINT CONTROLE  MATERIEL SECURITE</t>
  </si>
  <si>
    <t>SERVICES BANCAIRES ET ASSIM.</t>
  </si>
  <si>
    <t>COMMISSIONS &amp; FRAIS BQUE CMU</t>
  </si>
  <si>
    <t>COMMISSIONS TR DEMATERIALISES</t>
  </si>
  <si>
    <t>COMMISSIONS CARTES BLEUES</t>
  </si>
  <si>
    <t>FOURNITURE D' ENTRETIENS</t>
  </si>
  <si>
    <t>ENTRETIEN DIVERS</t>
  </si>
  <si>
    <t>RAMASSAGE ESPECES</t>
  </si>
  <si>
    <t>SERVICE NETTOYAGE JEUX</t>
  </si>
  <si>
    <t>ANALYSE ALIMENTAIRE BACTERIO</t>
  </si>
  <si>
    <t>RECUP HUILES USAGE BAC A GRAISSE</t>
  </si>
  <si>
    <t>RAMASSAGE DECHETS ORDURES BENNES</t>
  </si>
  <si>
    <t>Contrat accès logiciels</t>
  </si>
  <si>
    <t>ENTRETIEN FLEURS - PAYSAGISTE</t>
  </si>
  <si>
    <t>NUISIBLE DERATISATION DESINSECTISAT</t>
  </si>
  <si>
    <t>SAUVEGARDE DES DONNEES</t>
  </si>
  <si>
    <t>INTERWAY  RESEAU G3 - WIFI</t>
  </si>
  <si>
    <t>PREVENTION INCENDIE</t>
  </si>
  <si>
    <t>WORDLINE PRO FIDELITE</t>
  </si>
  <si>
    <t>MOOD MUSIC</t>
  </si>
  <si>
    <t>ELIS SANITAIRE SERVICE</t>
  </si>
  <si>
    <t>LOCATION TPE</t>
  </si>
  <si>
    <t>Location Défibrillateur</t>
  </si>
  <si>
    <t>LOCATION FRIGO</t>
  </si>
  <si>
    <t>MAINT INFORMATIQUE DES CAISSES</t>
  </si>
  <si>
    <t>REPARATION MATERIEL COCA</t>
  </si>
  <si>
    <t>MAINT INFORMATIQ MCDO</t>
  </si>
  <si>
    <t>MAINT MACHINE A  CAFE</t>
  </si>
  <si>
    <t>MAINT SYSTEME ANSUL</t>
  </si>
  <si>
    <t>MAINT NETTOYAGES HOTTE</t>
  </si>
  <si>
    <t>MAINTENANCE INTERWAY</t>
  </si>
  <si>
    <t>CONTRAT CHAMBRES FROIDES</t>
  </si>
  <si>
    <t>MAINT ACRELEC</t>
  </si>
  <si>
    <t>MAINT CLIMATISATION</t>
  </si>
  <si>
    <t>REFLEX SERVICES VISITE PERIODIQUE</t>
  </si>
  <si>
    <t>APPLICAT. SUIVI PERFORMANCE</t>
  </si>
  <si>
    <t>FORMATIONS</t>
  </si>
  <si>
    <t>SACEM-SPRE</t>
  </si>
  <si>
    <t>REFACTURATION HUILES</t>
  </si>
  <si>
    <t>PUBLICITE GIE</t>
  </si>
  <si>
    <t>PROMOTIONS LOCALES</t>
  </si>
  <si>
    <t>CADEAUX A LA CLIENTELE</t>
  </si>
  <si>
    <t>PROMOTIONS</t>
  </si>
  <si>
    <t>Refacturation budget de marché</t>
  </si>
  <si>
    <t>EAU RESTAURANT</t>
  </si>
  <si>
    <t>ELECTRICITE</t>
  </si>
  <si>
    <t>TELECOM RESTAURANT</t>
  </si>
  <si>
    <t>INTERWAY RESEAU G3</t>
  </si>
  <si>
    <t>PRODUITS D'ENTRETIEN-OPS</t>
  </si>
  <si>
    <t>FOURN BUREAU RESTAURANT</t>
  </si>
  <si>
    <t>DOCUMENTATION GENERALE</t>
  </si>
  <si>
    <t>RECEPTIONS DIRECTION</t>
  </si>
  <si>
    <t>Pénalités sur marché</t>
  </si>
  <si>
    <t>ECARTS DE CAISSE</t>
  </si>
  <si>
    <t>REDEVANCES MCDO</t>
  </si>
  <si>
    <t>Avoir HM (12.50%)</t>
  </si>
  <si>
    <t>Avoir HM (5%)</t>
  </si>
  <si>
    <t>TAXE FONCIERE MCDO</t>
  </si>
  <si>
    <t>REDEVANCE SERVICE 5% DU CA NET</t>
  </si>
  <si>
    <t>HONORAIRE COMPTABLE</t>
  </si>
  <si>
    <t>HONORAIRES JURIDIQUES</t>
  </si>
  <si>
    <t>HONORAIRES CAC</t>
  </si>
  <si>
    <t>ASSURANCE MULTIRIQUE</t>
  </si>
  <si>
    <t>TAXE APPRENTISSAGE</t>
  </si>
  <si>
    <t>CVAE</t>
  </si>
  <si>
    <t>TVTS</t>
  </si>
  <si>
    <t>DOTATIONS AUX AMORT</t>
  </si>
  <si>
    <t>FRAIS DE CARBURANT</t>
  </si>
  <si>
    <t>CREDIT BAIL</t>
  </si>
  <si>
    <t>ASSURANCE VEHICULE</t>
  </si>
  <si>
    <t>AN VEHICULE</t>
  </si>
  <si>
    <t>INTERETS EMPRUNT</t>
  </si>
  <si>
    <t>REDEVANCE GTH 14</t>
  </si>
  <si>
    <t>VENTES DE PDTS NON ALIM  5.5%</t>
  </si>
  <si>
    <t>VENTES DE PDTS NON ALIM 20%</t>
  </si>
  <si>
    <t>VENTES DE PDTS NON ALIM 10%</t>
  </si>
  <si>
    <t>ACHAT HAPPY MEAL</t>
  </si>
  <si>
    <t>VARIATION ST.HAPPY MEAL</t>
  </si>
  <si>
    <t>Personnel prêt maintenance</t>
  </si>
  <si>
    <t>Location baie de brassage</t>
  </si>
  <si>
    <t>Frais Mission - reception</t>
  </si>
  <si>
    <t>Hotesses équip ligne 40</t>
  </si>
  <si>
    <t>Variat.stock happy meals</t>
  </si>
  <si>
    <t>Prêt personnel techniq</t>
  </si>
  <si>
    <t>Refacturation équipiers charges</t>
  </si>
  <si>
    <t>Refac. managers charges</t>
  </si>
  <si>
    <t>Contrat helpline</t>
  </si>
  <si>
    <t>Frais de déplacements</t>
  </si>
  <si>
    <t>Frais deplacemts</t>
  </si>
  <si>
    <t>Nouvelle</t>
  </si>
  <si>
    <t>Coût nourriture</t>
  </si>
  <si>
    <t>6.1</t>
  </si>
  <si>
    <t>Vaisselle réutilisable</t>
  </si>
  <si>
    <t>Charges sociales Managers</t>
  </si>
  <si>
    <t>Main-d'œuvre brute Équipiers</t>
  </si>
  <si>
    <t>Charges sociales Équipiers</t>
  </si>
  <si>
    <t>Aides et exonérations sociales</t>
  </si>
  <si>
    <t>Divers MO</t>
  </si>
  <si>
    <t>Coût total Main d'œuvre</t>
  </si>
  <si>
    <t>Sécurité et Gardiennage</t>
  </si>
  <si>
    <t>Frais bancaires</t>
  </si>
  <si>
    <t>Contrat Maintenance et réparations</t>
  </si>
  <si>
    <t>Autres Services Extérieurs</t>
  </si>
  <si>
    <t>Coût total Services Extérieurs</t>
  </si>
  <si>
    <t>Commissions Food Tech</t>
  </si>
  <si>
    <t>25</t>
  </si>
  <si>
    <t>26</t>
  </si>
  <si>
    <t>Fournitures d'exploitation et bureau</t>
  </si>
  <si>
    <t>Frais de déplacements et Evènements</t>
  </si>
  <si>
    <t>27</t>
  </si>
  <si>
    <t>Divers (écarts de caisse - uniformes - motivation)</t>
  </si>
  <si>
    <t>Coût total autres dépenses contrôlables</t>
  </si>
  <si>
    <t>29</t>
  </si>
  <si>
    <t>Indexation loyer externe</t>
  </si>
  <si>
    <t>Incentives et avoirs de redevance</t>
  </si>
  <si>
    <t>Coût total redevance</t>
  </si>
  <si>
    <t>Charges locatives et copro</t>
  </si>
  <si>
    <t>Crédit bail</t>
  </si>
  <si>
    <t>41.1</t>
  </si>
  <si>
    <t>41.2</t>
  </si>
  <si>
    <t>Résultat financier</t>
  </si>
  <si>
    <t>Total autres dépenses non contrôlables</t>
  </si>
  <si>
    <t>45</t>
  </si>
  <si>
    <t>Charges et produits exceptionnels</t>
  </si>
  <si>
    <t>TL1</t>
  </si>
  <si>
    <t>DIVES</t>
  </si>
  <si>
    <t>GLR5</t>
  </si>
  <si>
    <t>HART</t>
  </si>
  <si>
    <t>HTR8</t>
  </si>
  <si>
    <t>VICTOIRE</t>
  </si>
  <si>
    <t>VR7</t>
  </si>
  <si>
    <t>50</t>
  </si>
  <si>
    <t>Jour fin de mois</t>
  </si>
  <si>
    <t>Ventes nettes totales</t>
  </si>
  <si>
    <t>Coût nourriture : achat nourriture</t>
  </si>
  <si>
    <t>Déchets Pertes</t>
  </si>
  <si>
    <t>Coût emballages</t>
  </si>
  <si>
    <t>Table n°2  -  Vaisselle réutilisable</t>
  </si>
  <si>
    <t>Marge brute</t>
  </si>
  <si>
    <t>Main d'œuvre brute équipiers</t>
  </si>
  <si>
    <t>Charges sociales équipiers</t>
  </si>
  <si>
    <t>Main d'œuvre brute équipe de gestion</t>
  </si>
  <si>
    <t>Charges sociales équipe de gestion</t>
  </si>
  <si>
    <t>Table n°2  -  Aides et exonérations sociales</t>
  </si>
  <si>
    <t>Sous total Main d'œuvre</t>
  </si>
  <si>
    <t>Contrats Maintenance et réparations</t>
  </si>
  <si>
    <t>Sous total Services Extérieurs</t>
  </si>
  <si>
    <t>Electricité, eau, gaz, téléphone</t>
  </si>
  <si>
    <t>Fournitures exploitation et bureau</t>
  </si>
  <si>
    <t>Profit après contrôlables (PAC)</t>
  </si>
  <si>
    <t>Redevance standard</t>
  </si>
  <si>
    <t>Incentives et Avoirs de redevance</t>
  </si>
  <si>
    <t>Sous total Redevance effective</t>
  </si>
  <si>
    <t>Taxes</t>
  </si>
  <si>
    <t>Dépréciations amortissements</t>
  </si>
  <si>
    <t>Table n°2  -  Crédit bail</t>
  </si>
  <si>
    <t>Dépenses / Revenus divers</t>
  </si>
  <si>
    <t>Table n°2  -  Résultat net non alimentaire</t>
  </si>
  <si>
    <t>Résultat net non alimentaire</t>
  </si>
  <si>
    <t>Charges / Revenus financiers</t>
  </si>
  <si>
    <t>Résultat net d'exploitation (SOI)</t>
  </si>
  <si>
    <t>Cash Flow avant fin, G&amp;A et IS</t>
  </si>
  <si>
    <t>G&amp;A (Frais administratifs)</t>
  </si>
  <si>
    <t>Revenu net avant impôt</t>
  </si>
  <si>
    <t>Table n°2  -  Impôt sur les sociétés</t>
  </si>
  <si>
    <t>Résultat net</t>
  </si>
  <si>
    <t>Table libre</t>
  </si>
  <si>
    <t>TL2</t>
  </si>
  <si>
    <t>SOCIETE</t>
  </si>
  <si>
    <t>MONTANT</t>
  </si>
  <si>
    <t>TL2 CORRESPONDANCE</t>
  </si>
  <si>
    <t>Remplacé 50 par 41.1</t>
  </si>
  <si>
    <t>Remplacé 51 par 41.2</t>
  </si>
  <si>
    <t>GROUPE REGIS REGO</t>
  </si>
  <si>
    <t>Société - compte</t>
  </si>
  <si>
    <t>Intitulé</t>
  </si>
  <si>
    <t>Table Libre N° 1</t>
  </si>
  <si>
    <t>Table Libre N° 2</t>
  </si>
  <si>
    <t>Société</t>
  </si>
  <si>
    <t>106300</t>
  </si>
  <si>
    <t>Réserves statutaires ou contract.</t>
  </si>
  <si>
    <t>128000</t>
  </si>
  <si>
    <t>Acomptes sur les dividendes</t>
  </si>
  <si>
    <t>Cree par cegid</t>
  </si>
  <si>
    <t>Provision pour risques et charges</t>
  </si>
  <si>
    <t>164000</t>
  </si>
  <si>
    <t>Emprunt CRCA Full Restaurant 200K€</t>
  </si>
  <si>
    <t>Emprunt SG Parking 150K€</t>
  </si>
  <si>
    <t>Emprunt CRCA Remodel 1400K€</t>
  </si>
  <si>
    <t>Emprunt CRCA PGE 100K€</t>
  </si>
  <si>
    <t>Emprunt CRCA PGE 350K€</t>
  </si>
  <si>
    <t>Emprunt NPU</t>
  </si>
  <si>
    <t>168840</t>
  </si>
  <si>
    <t>Int.courus s/emp.aup.etablt.crédit</t>
  </si>
  <si>
    <t>Matériel industriel</t>
  </si>
  <si>
    <t>Instal.gales, agenct, aménagt.div.</t>
  </si>
  <si>
    <t>Mat.de bureau et informat</t>
  </si>
  <si>
    <t>Mobilier</t>
  </si>
  <si>
    <t>Immo.corporelles en cours</t>
  </si>
  <si>
    <t>238800</t>
  </si>
  <si>
    <t>Avances sur autres immobilisations</t>
  </si>
  <si>
    <t>Amortis. matériel de bureau</t>
  </si>
  <si>
    <t>283100</t>
  </si>
  <si>
    <t>Stock food</t>
  </si>
  <si>
    <t>Stock papier</t>
  </si>
  <si>
    <t>Stock matières consommables</t>
  </si>
  <si>
    <t>Fournisseurs créditeurs</t>
  </si>
  <si>
    <t>401110</t>
  </si>
  <si>
    <t>401111</t>
  </si>
  <si>
    <t>408400</t>
  </si>
  <si>
    <t>Fournisseurs acomptes s/c</t>
  </si>
  <si>
    <t>Fournisseurs - emballages à rendre</t>
  </si>
  <si>
    <t>Fournisseurs - avoirs à recevoir</t>
  </si>
  <si>
    <t>Client oleo recycling NPU</t>
  </si>
  <si>
    <t>Clients débiteurs</t>
  </si>
  <si>
    <t>413000</t>
  </si>
  <si>
    <t>Clients - effets à recevoir</t>
  </si>
  <si>
    <t>Personnel - rémunérations dues</t>
  </si>
  <si>
    <t>Personnel - rémunérations dues SDTC</t>
  </si>
  <si>
    <t>421100</t>
  </si>
  <si>
    <t>Personnel - avances et acomptes</t>
  </si>
  <si>
    <t>428220</t>
  </si>
  <si>
    <t>Dettes prov pour congés managers</t>
  </si>
  <si>
    <t>428230</t>
  </si>
  <si>
    <t>Dettes prov pour congés équipiers</t>
  </si>
  <si>
    <t>Provisions gratifications à payer</t>
  </si>
  <si>
    <t>428610</t>
  </si>
  <si>
    <t>Personnel, charges à payer</t>
  </si>
  <si>
    <t>Sécurité sociale</t>
  </si>
  <si>
    <t>Autres organismes sociaux</t>
  </si>
  <si>
    <t>Activité partielle</t>
  </si>
  <si>
    <t>Retraite klésia</t>
  </si>
  <si>
    <t>Predica Retraite compltaire cadre</t>
  </si>
  <si>
    <t>437080</t>
  </si>
  <si>
    <t>Prévoyance Klesia</t>
  </si>
  <si>
    <t>437090</t>
  </si>
  <si>
    <t>Mutuelle npu</t>
  </si>
  <si>
    <t>437091</t>
  </si>
  <si>
    <t>PRELVT SOURCE</t>
  </si>
  <si>
    <t>437200</t>
  </si>
  <si>
    <t>Mutuelle cerap</t>
  </si>
  <si>
    <t>ta libératoire</t>
  </si>
  <si>
    <t>438300</t>
  </si>
  <si>
    <t>Prov ch sociales s gratifications</t>
  </si>
  <si>
    <t>Charges sociales prov cp assistants</t>
  </si>
  <si>
    <t>438630</t>
  </si>
  <si>
    <t>Charges sociales prov cp équipiers</t>
  </si>
  <si>
    <t>Etat - impôts et taxes recouv.s/tie</t>
  </si>
  <si>
    <t>prelevement liberatoire</t>
  </si>
  <si>
    <t>442300</t>
  </si>
  <si>
    <t>Retenues et prél. sur distributions</t>
  </si>
  <si>
    <t>Tva ue collectée</t>
  </si>
  <si>
    <t>445580</t>
  </si>
  <si>
    <t>Acomptes sur tva à décaisser</t>
  </si>
  <si>
    <t>Tva déductible s/immobilisations</t>
  </si>
  <si>
    <t>Tva déductible s/aut.biens et sces</t>
  </si>
  <si>
    <t>Tva déductible s/prest. services</t>
  </si>
  <si>
    <t>Tva déductible ue</t>
  </si>
  <si>
    <t>Crédit de tva à reporter</t>
  </si>
  <si>
    <t>Tva à 5,5%</t>
  </si>
  <si>
    <t>Tva 20 % lr service</t>
  </si>
  <si>
    <t>445750</t>
  </si>
  <si>
    <t>Tva collectee à 19.60 %</t>
  </si>
  <si>
    <t>Tva sur factures non parvenues</t>
  </si>
  <si>
    <t>445861</t>
  </si>
  <si>
    <t>Tva avoir a recevoir</t>
  </si>
  <si>
    <t>Associés - régis régo de sebes</t>
  </si>
  <si>
    <t>Rth76</t>
  </si>
  <si>
    <t>455200</t>
  </si>
  <si>
    <t>Associés - renaud rego de sebes</t>
  </si>
  <si>
    <t>Associés dividendes à payer</t>
  </si>
  <si>
    <t>458800</t>
  </si>
  <si>
    <t>urne</t>
  </si>
  <si>
    <t>467110</t>
  </si>
  <si>
    <t>GLR5 NE PAS UTILISER</t>
  </si>
  <si>
    <t>ecart s/remise chq</t>
  </si>
  <si>
    <t>Ecart remise espèces</t>
  </si>
  <si>
    <t>NE PAS UTILISER</t>
  </si>
  <si>
    <t>467280</t>
  </si>
  <si>
    <t>Turvilla</t>
  </si>
  <si>
    <t>467290</t>
  </si>
  <si>
    <t>ecart lyveat</t>
  </si>
  <si>
    <t>467330</t>
  </si>
  <si>
    <t>GIE GTH 14</t>
  </si>
  <si>
    <t>467340</t>
  </si>
  <si>
    <t>467667</t>
  </si>
  <si>
    <t>Créditeurs divers non collectif</t>
  </si>
  <si>
    <t>508010</t>
  </si>
  <si>
    <t>Ecureuil monepremiere fcp</t>
  </si>
  <si>
    <t>511200</t>
  </si>
  <si>
    <t>Chèques à encaisser npu</t>
  </si>
  <si>
    <t>Chèques bancaires à encaisser</t>
  </si>
  <si>
    <t>lad</t>
  </si>
  <si>
    <t>511253</t>
  </si>
  <si>
    <t>NPU deliveroo</t>
  </si>
  <si>
    <t>511254</t>
  </si>
  <si>
    <t>UBER</t>
  </si>
  <si>
    <t>Chèques émis caisse d'epargne</t>
  </si>
  <si>
    <t>511702</t>
  </si>
  <si>
    <t>Chèques émis crca caen</t>
  </si>
  <si>
    <t>511703</t>
  </si>
  <si>
    <t>Chèques émis crca rouen</t>
  </si>
  <si>
    <t>512210</t>
  </si>
  <si>
    <t>Compte excédent trésorerie</t>
  </si>
  <si>
    <t>512600</t>
  </si>
  <si>
    <t>Crca normandie caen</t>
  </si>
  <si>
    <t>512700</t>
  </si>
  <si>
    <t>Crca normandie rouen</t>
  </si>
  <si>
    <t>512800</t>
  </si>
  <si>
    <t>518600</t>
  </si>
  <si>
    <t>Banque - Intérêts courus à recevoir</t>
  </si>
  <si>
    <t>530000</t>
  </si>
  <si>
    <t>Caisse</t>
  </si>
  <si>
    <t>Virement internes</t>
  </si>
  <si>
    <t>Approvisionnement en monnaie</t>
  </si>
  <si>
    <t>602155</t>
  </si>
  <si>
    <t>Jouets et divers</t>
  </si>
  <si>
    <t>602600</t>
  </si>
  <si>
    <t>602630</t>
  </si>
  <si>
    <t>Achats papier</t>
  </si>
  <si>
    <t>Fournitures edf</t>
  </si>
  <si>
    <t>606280</t>
  </si>
  <si>
    <t>Autres fournitures non stockées</t>
  </si>
  <si>
    <t>Fournitures petit-entretien</t>
  </si>
  <si>
    <t>Petit equipement-protection Covid</t>
  </si>
  <si>
    <t>Achats fournitures npu</t>
  </si>
  <si>
    <t>Carburant NPU</t>
  </si>
  <si>
    <t>606614</t>
  </si>
  <si>
    <t>CARBURANT</t>
  </si>
  <si>
    <t>606810</t>
  </si>
  <si>
    <t>609000</t>
  </si>
  <si>
    <t>Rabais, remises &amp; ristourn. obtenus</t>
  </si>
  <si>
    <t>609700</t>
  </si>
  <si>
    <t>R.R.R.obtenus s/ach.de marchandises</t>
  </si>
  <si>
    <t>613001</t>
  </si>
  <si>
    <t>location caisse biodechets</t>
  </si>
  <si>
    <t>613300</t>
  </si>
  <si>
    <t>Loc audi a1 bw-661-jb</t>
  </si>
  <si>
    <t>613310</t>
  </si>
  <si>
    <t>Volswagen Location A4 Allroad</t>
  </si>
  <si>
    <t>613320</t>
  </si>
  <si>
    <t>loc vehicule audi ea-888-sn</t>
  </si>
  <si>
    <t>613400</t>
  </si>
  <si>
    <t>Loyer audi df-711-jy</t>
  </si>
  <si>
    <t>Loc audi a1 bw-661-jb - rhf</t>
  </si>
  <si>
    <t>Loc audi df-711-jy</t>
  </si>
  <si>
    <t>Loc occas. de matériel de transport</t>
  </si>
  <si>
    <t>613540</t>
  </si>
  <si>
    <t>loyer mercedes HTR8 DN-822-GT</t>
  </si>
  <si>
    <t>613550</t>
  </si>
  <si>
    <t>Loyer véhicule resp formation</t>
  </si>
  <si>
    <t>613552</t>
  </si>
  <si>
    <t>loyer audi q2 ep 574 sx</t>
  </si>
  <si>
    <t>613553</t>
  </si>
  <si>
    <t>loyer voiture bun rath</t>
  </si>
  <si>
    <t>613555</t>
  </si>
  <si>
    <t>loyer mercedes tirr wassa</t>
  </si>
  <si>
    <t>613556</t>
  </si>
  <si>
    <t>loyer bmw fh 787 sz</t>
  </si>
  <si>
    <t>613560</t>
  </si>
  <si>
    <t>location vehicule</t>
  </si>
  <si>
    <t>613561</t>
  </si>
  <si>
    <t>613564</t>
  </si>
  <si>
    <t>loyer voit yatera htr8</t>
  </si>
  <si>
    <t>615300</t>
  </si>
  <si>
    <t>Entretien equipement</t>
  </si>
  <si>
    <t>Contrat huiles npu</t>
  </si>
  <si>
    <t>Contrat vitres sols</t>
  </si>
  <si>
    <t>Contrat calypsound</t>
  </si>
  <si>
    <t>Contrat spie - clim</t>
  </si>
  <si>
    <t>Cont telima</t>
  </si>
  <si>
    <t>Contrat tsn</t>
  </si>
  <si>
    <t>Contrat guildalgil</t>
  </si>
  <si>
    <t>615643</t>
  </si>
  <si>
    <t>Contrat servipro</t>
  </si>
  <si>
    <t>Contrat technivap</t>
  </si>
  <si>
    <t>Contrat interway NPU</t>
  </si>
  <si>
    <t>615670</t>
  </si>
  <si>
    <t>Silliker</t>
  </si>
  <si>
    <t>615671</t>
  </si>
  <si>
    <t>615677</t>
  </si>
  <si>
    <t>contrat advertis</t>
  </si>
  <si>
    <t>616000</t>
  </si>
  <si>
    <t>Primes d'assurance</t>
  </si>
  <si>
    <t>616340</t>
  </si>
  <si>
    <t>assurance mercedes HTR8</t>
  </si>
  <si>
    <t>616350</t>
  </si>
  <si>
    <t>Assurances véhicules autres</t>
  </si>
  <si>
    <t>Prêts personnel assistants</t>
  </si>
  <si>
    <t>Prêt personnel assistants</t>
  </si>
  <si>
    <t>621011</t>
  </si>
  <si>
    <t>Refacturation personnel rhf</t>
  </si>
  <si>
    <t>621012</t>
  </si>
  <si>
    <t>621013</t>
  </si>
  <si>
    <t>Prêt de Personnel Directeur</t>
  </si>
  <si>
    <t>621014</t>
  </si>
  <si>
    <t>Prêt de Personnel Formateur(trice)</t>
  </si>
  <si>
    <t>Emploi pro20043</t>
  </si>
  <si>
    <t>voyages et deplacement</t>
  </si>
  <si>
    <t>frais bun rath</t>
  </si>
  <si>
    <t>625400</t>
  </si>
  <si>
    <t>Frais professionnels du responsable</t>
  </si>
  <si>
    <t>625600</t>
  </si>
  <si>
    <t>Missions</t>
  </si>
  <si>
    <t>626000</t>
  </si>
  <si>
    <t>Frais de télécommunication</t>
  </si>
  <si>
    <t>627000</t>
  </si>
  <si>
    <t>Commissions de banque npu</t>
  </si>
  <si>
    <t>628100</t>
  </si>
  <si>
    <t>Cotisations diverses</t>
  </si>
  <si>
    <t>Prestations services rhf</t>
  </si>
  <si>
    <t>Prestations de services rth76</t>
  </si>
  <si>
    <t>637900</t>
  </si>
  <si>
    <t>641065</t>
  </si>
  <si>
    <t>An Voiture</t>
  </si>
  <si>
    <t>641120</t>
  </si>
  <si>
    <t>Indemnité rupture conventionnelle</t>
  </si>
  <si>
    <t>641121</t>
  </si>
  <si>
    <t>ind rupt convent equip</t>
  </si>
  <si>
    <t>641130</t>
  </si>
  <si>
    <t>Salaires fevrier 2012</t>
  </si>
  <si>
    <t>An assistants voiture</t>
  </si>
  <si>
    <t>641320</t>
  </si>
  <si>
    <t>Var. prov gratifications assistants</t>
  </si>
  <si>
    <t>641330</t>
  </si>
  <si>
    <t>Var prov gratifications équipiers</t>
  </si>
  <si>
    <t>641400</t>
  </si>
  <si>
    <t>indem et avant divers</t>
  </si>
  <si>
    <t>641412</t>
  </si>
  <si>
    <t>ind tpt equipiers</t>
  </si>
  <si>
    <t>641430</t>
  </si>
  <si>
    <t>Indem Licenciement Equipiers</t>
  </si>
  <si>
    <t>641431</t>
  </si>
  <si>
    <t>Indemn licenciement Managers</t>
  </si>
  <si>
    <t>641440</t>
  </si>
  <si>
    <t>645340</t>
  </si>
  <si>
    <t>retraite cadre credit agricole</t>
  </si>
  <si>
    <t>645620</t>
  </si>
  <si>
    <t>Cotisations AGIRC Assistants</t>
  </si>
  <si>
    <t>Prov autres charges sociales</t>
  </si>
  <si>
    <t>Medecine du travail  npu</t>
  </si>
  <si>
    <t>645821</t>
  </si>
  <si>
    <t>Charges sociales gratifications ass</t>
  </si>
  <si>
    <t>645831</t>
  </si>
  <si>
    <t>Charges sociales gratifications équ</t>
  </si>
  <si>
    <t>645870</t>
  </si>
  <si>
    <t>Charges ss et prévoyance</t>
  </si>
  <si>
    <t>646200</t>
  </si>
  <si>
    <t>Cot vieillesse gérant</t>
  </si>
  <si>
    <t>FACT AMI SANTE DU 16.12.2014 18 VIS</t>
  </si>
  <si>
    <t>Crédit d'impôt compétitivité entrep</t>
  </si>
  <si>
    <t>Cheque impaye</t>
  </si>
  <si>
    <t>661120</t>
  </si>
  <si>
    <t>Intérêts emprunt CRCA 1400K€</t>
  </si>
  <si>
    <t>661500</t>
  </si>
  <si>
    <t>Intérêts comptes courants rth 76</t>
  </si>
  <si>
    <t>Amendes et pénalités</t>
  </si>
  <si>
    <t>675000</t>
  </si>
  <si>
    <t>675600</t>
  </si>
  <si>
    <t>678800</t>
  </si>
  <si>
    <t>Charges exceptionnelles diverses</t>
  </si>
  <si>
    <t>Dotation aux amorts</t>
  </si>
  <si>
    <t>Impôts sur les bénéfices</t>
  </si>
  <si>
    <t>Ventes 07/03</t>
  </si>
  <si>
    <t>Ventes à emporter à 05,50 %</t>
  </si>
  <si>
    <t>Ventes à emporter à 7 %</t>
  </si>
  <si>
    <t>703100</t>
  </si>
  <si>
    <t>Refacturation huiles usagées</t>
  </si>
  <si>
    <t>Prêt equipiers</t>
  </si>
  <si>
    <t>708110</t>
  </si>
  <si>
    <t>708111</t>
  </si>
  <si>
    <t>Refacturation paper</t>
  </si>
  <si>
    <t>708130</t>
  </si>
  <si>
    <t>Refact sal mgr charges sociales</t>
  </si>
  <si>
    <t>Refacturation fourn exploitat°</t>
  </si>
  <si>
    <t>708500</t>
  </si>
  <si>
    <t>Refacturation publicité intra group</t>
  </si>
  <si>
    <t>708820</t>
  </si>
  <si>
    <t>Part. publicitaire à 19.60 %</t>
  </si>
  <si>
    <t>708830</t>
  </si>
  <si>
    <t>Facturations prestations assistants</t>
  </si>
  <si>
    <t>708840</t>
  </si>
  <si>
    <t>Refacturations charges sociales ass</t>
  </si>
  <si>
    <t>Facturations prestations équipiers</t>
  </si>
  <si>
    <t>Refacturation outillage</t>
  </si>
  <si>
    <t>708881</t>
  </si>
  <si>
    <t>Refacturation assurance vehicule</t>
  </si>
  <si>
    <t>708890</t>
  </si>
  <si>
    <t>Refacturation publicite</t>
  </si>
  <si>
    <t>740000</t>
  </si>
  <si>
    <t>Subventions d'exploitation</t>
  </si>
  <si>
    <t>740001</t>
  </si>
  <si>
    <t>Fonds de solidarité</t>
  </si>
  <si>
    <t>740410</t>
  </si>
  <si>
    <t>aide fonds solidarite</t>
  </si>
  <si>
    <t>741000</t>
  </si>
  <si>
    <t>Produits divers de gestion courante</t>
  </si>
  <si>
    <t>761100</t>
  </si>
  <si>
    <t>Intérêts compte courant RTH76</t>
  </si>
  <si>
    <t>Livret a</t>
  </si>
  <si>
    <t>Produits financiers cep</t>
  </si>
  <si>
    <t>771000</t>
  </si>
  <si>
    <t>produits exceptionnels</t>
  </si>
  <si>
    <t>771300</t>
  </si>
  <si>
    <t>Reclassement subv mcdo</t>
  </si>
  <si>
    <t>791010</t>
  </si>
  <si>
    <t>Remboursements formation</t>
  </si>
  <si>
    <t>Av. en nature voiture</t>
  </si>
  <si>
    <t>791111</t>
  </si>
  <si>
    <t>10110000</t>
  </si>
  <si>
    <t>10130000</t>
  </si>
  <si>
    <t>10610000</t>
  </si>
  <si>
    <t>10630000</t>
  </si>
  <si>
    <t>10680000</t>
  </si>
  <si>
    <t>10681000</t>
  </si>
  <si>
    <t>11900000</t>
  </si>
  <si>
    <t>12000000</t>
  </si>
  <si>
    <t>12900000</t>
  </si>
  <si>
    <t>14500000</t>
  </si>
  <si>
    <t>15180000</t>
  </si>
  <si>
    <t>15300000</t>
  </si>
  <si>
    <t>15800000</t>
  </si>
  <si>
    <t>16410000</t>
  </si>
  <si>
    <t>16420000</t>
  </si>
  <si>
    <t>16430000</t>
  </si>
  <si>
    <t>16440000</t>
  </si>
  <si>
    <t>16450000</t>
  </si>
  <si>
    <t>16880000</t>
  </si>
  <si>
    <t>20110000</t>
  </si>
  <si>
    <t>20500000</t>
  </si>
  <si>
    <t>21540000</t>
  </si>
  <si>
    <t>21550000</t>
  </si>
  <si>
    <t>21570000</t>
  </si>
  <si>
    <t>21810000</t>
  </si>
  <si>
    <t>21830000</t>
  </si>
  <si>
    <t>21840000</t>
  </si>
  <si>
    <t>21860000</t>
  </si>
  <si>
    <t>26100000</t>
  </si>
  <si>
    <t>27110000</t>
  </si>
  <si>
    <t>27500000</t>
  </si>
  <si>
    <t>27510000</t>
  </si>
  <si>
    <t>27550000</t>
  </si>
  <si>
    <t>28011000</t>
  </si>
  <si>
    <t>28050000</t>
  </si>
  <si>
    <t>28154000</t>
  </si>
  <si>
    <t>28155000</t>
  </si>
  <si>
    <t>28157000</t>
  </si>
  <si>
    <t>28181000</t>
  </si>
  <si>
    <t>28183000</t>
  </si>
  <si>
    <t>28184000</t>
  </si>
  <si>
    <t>31000000</t>
  </si>
  <si>
    <t>32000000</t>
  </si>
  <si>
    <t>32100000</t>
  </si>
  <si>
    <t>32200000</t>
  </si>
  <si>
    <t>40100000</t>
  </si>
  <si>
    <t>40410000</t>
  </si>
  <si>
    <t>40810000</t>
  </si>
  <si>
    <t>40840000</t>
  </si>
  <si>
    <t>40910000</t>
  </si>
  <si>
    <t>40960000</t>
  </si>
  <si>
    <t>40970000</t>
  </si>
  <si>
    <t>40980000</t>
  </si>
  <si>
    <t>41300000</t>
  </si>
  <si>
    <t>41600000</t>
  </si>
  <si>
    <t>41810000</t>
  </si>
  <si>
    <t>42100000</t>
  </si>
  <si>
    <t>42101000</t>
  </si>
  <si>
    <t>42144400</t>
  </si>
  <si>
    <t>42500000</t>
  </si>
  <si>
    <t>42700000</t>
  </si>
  <si>
    <t>42820000</t>
  </si>
  <si>
    <t>42830000</t>
  </si>
  <si>
    <t>43100000</t>
  </si>
  <si>
    <t>43700000</t>
  </si>
  <si>
    <t>43701000</t>
  </si>
  <si>
    <t>43701500</t>
  </si>
  <si>
    <t>43702000</t>
  </si>
  <si>
    <t>43702500</t>
  </si>
  <si>
    <t>43702600</t>
  </si>
  <si>
    <t>43702700</t>
  </si>
  <si>
    <t>43703000</t>
  </si>
  <si>
    <t>43704000</t>
  </si>
  <si>
    <t>43705000</t>
  </si>
  <si>
    <t>43706000</t>
  </si>
  <si>
    <t>43708000</t>
  </si>
  <si>
    <t>43800000</t>
  </si>
  <si>
    <t>43820000</t>
  </si>
  <si>
    <t>43860000</t>
  </si>
  <si>
    <t>44200000</t>
  </si>
  <si>
    <t>44210000</t>
  </si>
  <si>
    <t>44300000</t>
  </si>
  <si>
    <t>44400000</t>
  </si>
  <si>
    <t>44520000</t>
  </si>
  <si>
    <t>44551000</t>
  </si>
  <si>
    <t>44562000</t>
  </si>
  <si>
    <t>44562100</t>
  </si>
  <si>
    <t>44566000</t>
  </si>
  <si>
    <t>44566100</t>
  </si>
  <si>
    <t>44566200</t>
  </si>
  <si>
    <t>44567000</t>
  </si>
  <si>
    <t>44571000</t>
  </si>
  <si>
    <t>44571100</t>
  </si>
  <si>
    <t>44571300</t>
  </si>
  <si>
    <t>44571400</t>
  </si>
  <si>
    <t>44571500</t>
  </si>
  <si>
    <t>44571600</t>
  </si>
  <si>
    <t>44571700</t>
  </si>
  <si>
    <t>44572000</t>
  </si>
  <si>
    <t>44580000</t>
  </si>
  <si>
    <t>44583000</t>
  </si>
  <si>
    <t>44586000</t>
  </si>
  <si>
    <t>44586100</t>
  </si>
  <si>
    <t>44587000</t>
  </si>
  <si>
    <t>44860000</t>
  </si>
  <si>
    <t>44870000</t>
  </si>
  <si>
    <t>45500000</t>
  </si>
  <si>
    <t>45700000</t>
  </si>
  <si>
    <t>46700000</t>
  </si>
  <si>
    <t>46710000</t>
  </si>
  <si>
    <t>46720000</t>
  </si>
  <si>
    <t>46721000</t>
  </si>
  <si>
    <t>46722000</t>
  </si>
  <si>
    <t>46723000</t>
  </si>
  <si>
    <t>46724000</t>
  </si>
  <si>
    <t>46725000</t>
  </si>
  <si>
    <t>46726000</t>
  </si>
  <si>
    <t>46727000</t>
  </si>
  <si>
    <t>46730000</t>
  </si>
  <si>
    <t>46740000</t>
  </si>
  <si>
    <t>46744400</t>
  </si>
  <si>
    <t>46755500</t>
  </si>
  <si>
    <t>46766600</t>
  </si>
  <si>
    <t>46860000</t>
  </si>
  <si>
    <t>46870000</t>
  </si>
  <si>
    <t>47100000</t>
  </si>
  <si>
    <t>47200000</t>
  </si>
  <si>
    <t>48600000</t>
  </si>
  <si>
    <t>48700000</t>
  </si>
  <si>
    <t>50320000</t>
  </si>
  <si>
    <t>50800000</t>
  </si>
  <si>
    <t>50810000</t>
  </si>
  <si>
    <t>51120000</t>
  </si>
  <si>
    <t>51121000</t>
  </si>
  <si>
    <t>51121100</t>
  </si>
  <si>
    <t>51122000</t>
  </si>
  <si>
    <t>51122100</t>
  </si>
  <si>
    <t>51123000</t>
  </si>
  <si>
    <t>51123100</t>
  </si>
  <si>
    <t>51125000</t>
  </si>
  <si>
    <t>51125100</t>
  </si>
  <si>
    <t>51126000</t>
  </si>
  <si>
    <t>51126100</t>
  </si>
  <si>
    <t>51127000</t>
  </si>
  <si>
    <t>51170000</t>
  </si>
  <si>
    <t>51170100</t>
  </si>
  <si>
    <t>51200000</t>
  </si>
  <si>
    <t>51210000</t>
  </si>
  <si>
    <t>51220000</t>
  </si>
  <si>
    <t>51230000</t>
  </si>
  <si>
    <t>51240000</t>
  </si>
  <si>
    <t>51810000</t>
  </si>
  <si>
    <t>51860000</t>
  </si>
  <si>
    <t>51880000</t>
  </si>
  <si>
    <t>51910000</t>
  </si>
  <si>
    <t>51920000</t>
  </si>
  <si>
    <t>53020000</t>
  </si>
  <si>
    <t>53100000</t>
  </si>
  <si>
    <t>58000000</t>
  </si>
  <si>
    <t>58010000</t>
  </si>
  <si>
    <t>58100000</t>
  </si>
  <si>
    <t>58110000</t>
  </si>
  <si>
    <t>58300000</t>
  </si>
  <si>
    <t>60100000</t>
  </si>
  <si>
    <t>60260000</t>
  </si>
  <si>
    <t>60261000</t>
  </si>
  <si>
    <t>60261200</t>
  </si>
  <si>
    <t>Vaisselle</t>
  </si>
  <si>
    <t>60320200</t>
  </si>
  <si>
    <t>60400000</t>
  </si>
  <si>
    <t>60610500</t>
  </si>
  <si>
    <t>60630100</t>
  </si>
  <si>
    <t>60630300</t>
  </si>
  <si>
    <t>60630500</t>
  </si>
  <si>
    <t>60640200</t>
  </si>
  <si>
    <t>60680000</t>
  </si>
  <si>
    <t>60910000</t>
  </si>
  <si>
    <t>61100000</t>
  </si>
  <si>
    <t>61100100</t>
  </si>
  <si>
    <t>ESPECES</t>
  </si>
  <si>
    <t>61100500</t>
  </si>
  <si>
    <t>61110000</t>
  </si>
  <si>
    <t>61300000</t>
  </si>
  <si>
    <t>61300400</t>
  </si>
  <si>
    <t>61300500</t>
  </si>
  <si>
    <t>61300600</t>
  </si>
  <si>
    <t>61300700</t>
  </si>
  <si>
    <t>61300800</t>
  </si>
  <si>
    <t>61300900</t>
  </si>
  <si>
    <t>61350000</t>
  </si>
  <si>
    <t>61351000</t>
  </si>
  <si>
    <t>61352000</t>
  </si>
  <si>
    <t>61352100</t>
  </si>
  <si>
    <t>61352200</t>
  </si>
  <si>
    <t>61352300</t>
  </si>
  <si>
    <t>61352400</t>
  </si>
  <si>
    <t>61352500</t>
  </si>
  <si>
    <t>61352600</t>
  </si>
  <si>
    <t>61352700</t>
  </si>
  <si>
    <t>61352800</t>
  </si>
  <si>
    <t>61353000</t>
  </si>
  <si>
    <t>61354000</t>
  </si>
  <si>
    <t>61354100</t>
  </si>
  <si>
    <t>61354200</t>
  </si>
  <si>
    <t>61354300</t>
  </si>
  <si>
    <t>61400000</t>
  </si>
  <si>
    <t>61500000</t>
  </si>
  <si>
    <t>61500100</t>
  </si>
  <si>
    <t>61500300</t>
  </si>
  <si>
    <t>61500400</t>
  </si>
  <si>
    <t>61500600</t>
  </si>
  <si>
    <t>61501100</t>
  </si>
  <si>
    <t>61501200</t>
  </si>
  <si>
    <t>61501600</t>
  </si>
  <si>
    <t>61501700</t>
  </si>
  <si>
    <t>61520000</t>
  </si>
  <si>
    <t>61522000</t>
  </si>
  <si>
    <t>61550000</t>
  </si>
  <si>
    <t>61552000</t>
  </si>
  <si>
    <t>61552100</t>
  </si>
  <si>
    <t>61552200</t>
  </si>
  <si>
    <t>61561400</t>
  </si>
  <si>
    <t>61561700</t>
  </si>
  <si>
    <t>61561900</t>
  </si>
  <si>
    <t>61562200</t>
  </si>
  <si>
    <t>61562600</t>
  </si>
  <si>
    <t>61562700</t>
  </si>
  <si>
    <t>61562900</t>
  </si>
  <si>
    <t>61563100</t>
  </si>
  <si>
    <t>CONTRAT ACRELEC</t>
  </si>
  <si>
    <t>61563300</t>
  </si>
  <si>
    <t>61563400</t>
  </si>
  <si>
    <t>61563900</t>
  </si>
  <si>
    <t>61564000</t>
  </si>
  <si>
    <t>61564200</t>
  </si>
  <si>
    <t>61564400</t>
  </si>
  <si>
    <t>61600300</t>
  </si>
  <si>
    <t>61600400</t>
  </si>
  <si>
    <t>61600500</t>
  </si>
  <si>
    <t>61600600</t>
  </si>
  <si>
    <t>61600800</t>
  </si>
  <si>
    <t>61810000</t>
  </si>
  <si>
    <t>62140000</t>
  </si>
  <si>
    <t>62140100</t>
  </si>
  <si>
    <t>62140400</t>
  </si>
  <si>
    <t>62141100</t>
  </si>
  <si>
    <t>62141200</t>
  </si>
  <si>
    <t>62141300</t>
  </si>
  <si>
    <t>62200000</t>
  </si>
  <si>
    <t>62262000</t>
  </si>
  <si>
    <t>62263000</t>
  </si>
  <si>
    <t>62264000</t>
  </si>
  <si>
    <t>62270000</t>
  </si>
  <si>
    <t>62300300</t>
  </si>
  <si>
    <t>62310000</t>
  </si>
  <si>
    <t>62320000</t>
  </si>
  <si>
    <t>62340400</t>
  </si>
  <si>
    <t>62340500</t>
  </si>
  <si>
    <t>62341600</t>
  </si>
  <si>
    <t>62380000</t>
  </si>
  <si>
    <t>62410000</t>
  </si>
  <si>
    <t>62500000</t>
  </si>
  <si>
    <t>62510300</t>
  </si>
  <si>
    <t>62510400</t>
  </si>
  <si>
    <t>62520100</t>
  </si>
  <si>
    <t>62520400</t>
  </si>
  <si>
    <t>62570100</t>
  </si>
  <si>
    <t>62600100</t>
  </si>
  <si>
    <t>62600300</t>
  </si>
  <si>
    <t>62610000</t>
  </si>
  <si>
    <t>62700100</t>
  </si>
  <si>
    <t>62700200</t>
  </si>
  <si>
    <t>62700300</t>
  </si>
  <si>
    <t>62700500</t>
  </si>
  <si>
    <t>62780500</t>
  </si>
  <si>
    <t>62780600</t>
  </si>
  <si>
    <t>62820000</t>
  </si>
  <si>
    <t>62830000</t>
  </si>
  <si>
    <t>62832000</t>
  </si>
  <si>
    <t>63120000</t>
  </si>
  <si>
    <t>63340000</t>
  </si>
  <si>
    <t>63511000</t>
  </si>
  <si>
    <t>63512000</t>
  </si>
  <si>
    <t>63513000</t>
  </si>
  <si>
    <t>63550000</t>
  </si>
  <si>
    <t>63551000</t>
  </si>
  <si>
    <t>63552000</t>
  </si>
  <si>
    <t>63554000</t>
  </si>
  <si>
    <t>63555000</t>
  </si>
  <si>
    <t>63570000</t>
  </si>
  <si>
    <t>63710000</t>
  </si>
  <si>
    <t>64110300</t>
  </si>
  <si>
    <t>64110500</t>
  </si>
  <si>
    <t>64111000</t>
  </si>
  <si>
    <t>64112000</t>
  </si>
  <si>
    <t>64113000</t>
  </si>
  <si>
    <t>64114000</t>
  </si>
  <si>
    <t>64122000</t>
  </si>
  <si>
    <t>64123000</t>
  </si>
  <si>
    <t>64130000</t>
  </si>
  <si>
    <t>64133300</t>
  </si>
  <si>
    <t>64140000</t>
  </si>
  <si>
    <t>64504100</t>
  </si>
  <si>
    <t>64504400</t>
  </si>
  <si>
    <t>64550400</t>
  </si>
  <si>
    <t>64582000</t>
  </si>
  <si>
    <t>64610000</t>
  </si>
  <si>
    <t>64910000</t>
  </si>
  <si>
    <t>65100300</t>
  </si>
  <si>
    <t>65130000</t>
  </si>
  <si>
    <t>65131000</t>
  </si>
  <si>
    <t>65410000</t>
  </si>
  <si>
    <t>65500000</t>
  </si>
  <si>
    <t>65800000</t>
  </si>
  <si>
    <t>66112000</t>
  </si>
  <si>
    <t>66113000</t>
  </si>
  <si>
    <t>66114000</t>
  </si>
  <si>
    <t>66115000</t>
  </si>
  <si>
    <t>66160000</t>
  </si>
  <si>
    <t>66800000</t>
  </si>
  <si>
    <t>67120000</t>
  </si>
  <si>
    <t>67130000</t>
  </si>
  <si>
    <t>67131000</t>
  </si>
  <si>
    <t>67180000</t>
  </si>
  <si>
    <t>67200000</t>
  </si>
  <si>
    <t>67500000</t>
  </si>
  <si>
    <t>67510000</t>
  </si>
  <si>
    <t>67520000</t>
  </si>
  <si>
    <t>68112000</t>
  </si>
  <si>
    <t>68150000</t>
  </si>
  <si>
    <t>68710000</t>
  </si>
  <si>
    <t>68711000</t>
  </si>
  <si>
    <t>68712000</t>
  </si>
  <si>
    <t>68725000</t>
  </si>
  <si>
    <t>69500000</t>
  </si>
  <si>
    <t>69510000</t>
  </si>
  <si>
    <t>69511000</t>
  </si>
  <si>
    <t>69512000</t>
  </si>
  <si>
    <t>69891000</t>
  </si>
  <si>
    <t>69892000</t>
  </si>
  <si>
    <t>69899900</t>
  </si>
  <si>
    <t>69910000</t>
  </si>
  <si>
    <t>70100300</t>
  </si>
  <si>
    <t>70100400</t>
  </si>
  <si>
    <t>70100500</t>
  </si>
  <si>
    <t>70100600</t>
  </si>
  <si>
    <t>70110300</t>
  </si>
  <si>
    <t>70810000</t>
  </si>
  <si>
    <t>70820000</t>
  </si>
  <si>
    <t>70830000</t>
  </si>
  <si>
    <t>70840000</t>
  </si>
  <si>
    <t>70850000</t>
  </si>
  <si>
    <t>70860000</t>
  </si>
  <si>
    <t>70870000</t>
  </si>
  <si>
    <t>70880000</t>
  </si>
  <si>
    <t>70881000</t>
  </si>
  <si>
    <t>70881100</t>
  </si>
  <si>
    <t>70881200</t>
  </si>
  <si>
    <t>74010000</t>
  </si>
  <si>
    <t>74020000</t>
  </si>
  <si>
    <t>74030000</t>
  </si>
  <si>
    <t>74040000</t>
  </si>
  <si>
    <t>74041000</t>
  </si>
  <si>
    <t>75800000</t>
  </si>
  <si>
    <t>76400000</t>
  </si>
  <si>
    <t>76600000</t>
  </si>
  <si>
    <t>76700000</t>
  </si>
  <si>
    <t>76710000</t>
  </si>
  <si>
    <t>76800000</t>
  </si>
  <si>
    <t>76810000</t>
  </si>
  <si>
    <t>77180000</t>
  </si>
  <si>
    <t>77200000</t>
  </si>
  <si>
    <t>77520000</t>
  </si>
  <si>
    <t>78111000</t>
  </si>
  <si>
    <t>78112000</t>
  </si>
  <si>
    <t>78150000</t>
  </si>
  <si>
    <t>78711000</t>
  </si>
  <si>
    <t>78712000</t>
  </si>
  <si>
    <t>78725000</t>
  </si>
  <si>
    <t>79100000</t>
  </si>
  <si>
    <t>79110000</t>
  </si>
  <si>
    <t>79110100</t>
  </si>
  <si>
    <t>79110400</t>
  </si>
  <si>
    <t>79110500</t>
  </si>
  <si>
    <t>79111000</t>
  </si>
  <si>
    <t>79120000</t>
  </si>
  <si>
    <t>79121000</t>
  </si>
  <si>
    <t>79130000</t>
  </si>
  <si>
    <t>79131000</t>
  </si>
  <si>
    <t>79131100</t>
  </si>
  <si>
    <t>89000000</t>
  </si>
  <si>
    <t>A-Nouveaux au 01/04/2019</t>
  </si>
  <si>
    <t>101200</t>
  </si>
  <si>
    <t>Capital souscrit-appelé non versé</t>
  </si>
  <si>
    <t>CAPITAL</t>
  </si>
  <si>
    <t>Capital soumis à réglementation</t>
  </si>
  <si>
    <t>104100</t>
  </si>
  <si>
    <t>Primes d'émission</t>
  </si>
  <si>
    <t>104150</t>
  </si>
  <si>
    <t>Primes d'émission titres participat</t>
  </si>
  <si>
    <t>104200</t>
  </si>
  <si>
    <t>Primes de fusion</t>
  </si>
  <si>
    <t>104300</t>
  </si>
  <si>
    <t>Primes d'apport</t>
  </si>
  <si>
    <t>104400</t>
  </si>
  <si>
    <t>Primes de conv. obligat. en actions</t>
  </si>
  <si>
    <t>104500</t>
  </si>
  <si>
    <t>Bons de souscription d'actions</t>
  </si>
  <si>
    <t>105100</t>
  </si>
  <si>
    <t>Réserve spéciale de réévaluation</t>
  </si>
  <si>
    <t>105200</t>
  </si>
  <si>
    <t>Ecart de réévaluation libre</t>
  </si>
  <si>
    <t>105300</t>
  </si>
  <si>
    <t>Réserve de réévaluation</t>
  </si>
  <si>
    <t>105500</t>
  </si>
  <si>
    <t>Ecarts de réévaluation</t>
  </si>
  <si>
    <t>105700</t>
  </si>
  <si>
    <t>Autres écarts de réévaluation (FR)</t>
  </si>
  <si>
    <t>105800</t>
  </si>
  <si>
    <t>Autres écarts réévaluation (ETR)</t>
  </si>
  <si>
    <t>RESERVE LEGALE</t>
  </si>
  <si>
    <t>106110</t>
  </si>
  <si>
    <t>Réserve légale proprement dite</t>
  </si>
  <si>
    <t>106120</t>
  </si>
  <si>
    <t>Réserve légale (+ value à LT)</t>
  </si>
  <si>
    <t>Réserves disponibles</t>
  </si>
  <si>
    <t>106400</t>
  </si>
  <si>
    <t>Réserves réglementées</t>
  </si>
  <si>
    <t>106410</t>
  </si>
  <si>
    <t>Réserve pour + Values à LT</t>
  </si>
  <si>
    <t>106480</t>
  </si>
  <si>
    <t>Autres réserves réglementées</t>
  </si>
  <si>
    <t>AUTRES RESERVES</t>
  </si>
  <si>
    <t>Réserve de propre assureur</t>
  </si>
  <si>
    <t>106880</t>
  </si>
  <si>
    <t>Réserves diverses</t>
  </si>
  <si>
    <t>107000</t>
  </si>
  <si>
    <t>Ecart d'équivalence</t>
  </si>
  <si>
    <t>108000</t>
  </si>
  <si>
    <t>Compte de l'exploitant</t>
  </si>
  <si>
    <t>109000</t>
  </si>
  <si>
    <t>Actionnaires : capit.sousc.n/appelé</t>
  </si>
  <si>
    <t>110000</t>
  </si>
  <si>
    <t>Report à nouveau (solde créditeur)</t>
  </si>
  <si>
    <t>119000</t>
  </si>
  <si>
    <t>Report à nouveau (solde débiteur)</t>
  </si>
  <si>
    <t>RESULTAT DE L'EXERCICE</t>
  </si>
  <si>
    <t>131000</t>
  </si>
  <si>
    <t>Subventions d'équipement</t>
  </si>
  <si>
    <t>138000</t>
  </si>
  <si>
    <t>Autres subventions d'investissement</t>
  </si>
  <si>
    <t>139000</t>
  </si>
  <si>
    <t>Subventions inscrites au C/R</t>
  </si>
  <si>
    <t>139100</t>
  </si>
  <si>
    <t>Sub. d'équipement inscrites au C/R</t>
  </si>
  <si>
    <t>139800</t>
  </si>
  <si>
    <t>Autres sub d'équip inscrites au C/R</t>
  </si>
  <si>
    <t>142300</t>
  </si>
  <si>
    <t>Provisions reconstit.gisemt.miniers</t>
  </si>
  <si>
    <t>142400</t>
  </si>
  <si>
    <t>Provisions pour investissement</t>
  </si>
  <si>
    <t>143100</t>
  </si>
  <si>
    <t>Provisions pour hausse des prix</t>
  </si>
  <si>
    <t>143200</t>
  </si>
  <si>
    <t>Provisions fluctuation des cours</t>
  </si>
  <si>
    <t>144000</t>
  </si>
  <si>
    <t>Provis.réglement.relat.aut.élém.act</t>
  </si>
  <si>
    <t>144100</t>
  </si>
  <si>
    <t>Provision pour prêts d'installation</t>
  </si>
  <si>
    <t>146000</t>
  </si>
  <si>
    <t>Provision spéciale de réévaluation</t>
  </si>
  <si>
    <t>147000</t>
  </si>
  <si>
    <t>Plus-values réinvesties</t>
  </si>
  <si>
    <t>148000</t>
  </si>
  <si>
    <t>Autres provisions réglementées</t>
  </si>
  <si>
    <t>148600</t>
  </si>
  <si>
    <t>Provision implantation à l'étranger</t>
  </si>
  <si>
    <t>148650</t>
  </si>
  <si>
    <t>Provisions implantation dans CEE</t>
  </si>
  <si>
    <t>151100</t>
  </si>
  <si>
    <t>PROVISION POUR RISQUES</t>
  </si>
  <si>
    <t>151200</t>
  </si>
  <si>
    <t>Provisions pour garanties clients</t>
  </si>
  <si>
    <t>151300</t>
  </si>
  <si>
    <t>Provisions pertes s/ marché à terme</t>
  </si>
  <si>
    <t>151400</t>
  </si>
  <si>
    <t>Provisions amendes et pénalités</t>
  </si>
  <si>
    <t>151500</t>
  </si>
  <si>
    <t>Provisions perte de change</t>
  </si>
  <si>
    <t>151600</t>
  </si>
  <si>
    <t>Provisions particip en équivalence</t>
  </si>
  <si>
    <t>151700</t>
  </si>
  <si>
    <t>Provisions pour restructuration</t>
  </si>
  <si>
    <t>AUTRES PROVISIONS POUR LITIGES</t>
  </si>
  <si>
    <t>154000</t>
  </si>
  <si>
    <t>Provision pour restructuration</t>
  </si>
  <si>
    <t>155000</t>
  </si>
  <si>
    <t>Provisions pour impots</t>
  </si>
  <si>
    <t>156000</t>
  </si>
  <si>
    <t>Provision pour renouvel.immobilisat</t>
  </si>
  <si>
    <t>157200</t>
  </si>
  <si>
    <t>Prov. gros entretien grandes révis°</t>
  </si>
  <si>
    <t>158200</t>
  </si>
  <si>
    <t>Provisions pour charges sur congés</t>
  </si>
  <si>
    <t>158800</t>
  </si>
  <si>
    <t>Provisions pour charges diverses</t>
  </si>
  <si>
    <t>161000</t>
  </si>
  <si>
    <t>Emprunts obligataires convertibles</t>
  </si>
  <si>
    <t>163000</t>
  </si>
  <si>
    <t>Autres emprunts obligataires</t>
  </si>
  <si>
    <t>Emprunts auprès établ. de crédit</t>
  </si>
  <si>
    <t>Emprunts ets de crédit à + 5 ans</t>
  </si>
  <si>
    <t>164110</t>
  </si>
  <si>
    <t>Emprunt n°1 (LT)</t>
  </si>
  <si>
    <t>164120</t>
  </si>
  <si>
    <t>Emprunt n°2 (LT)</t>
  </si>
  <si>
    <t>164130</t>
  </si>
  <si>
    <t>Emprunt n°3 (LT)</t>
  </si>
  <si>
    <t>164140</t>
  </si>
  <si>
    <t>Emprunt n°4 (LT)</t>
  </si>
  <si>
    <t>164150</t>
  </si>
  <si>
    <t>EMPRUNT CDN 670 K€ -138 06</t>
  </si>
  <si>
    <t>164151</t>
  </si>
  <si>
    <t>EMPRUNT CDN 47580€ - 138 07</t>
  </si>
  <si>
    <t>164152</t>
  </si>
  <si>
    <t>EMPRUNT CDN 23283.18€ - 138 02</t>
  </si>
  <si>
    <t>164153</t>
  </si>
  <si>
    <t>EMPRUNT CDN 10046.50€ - 138 03</t>
  </si>
  <si>
    <t>164154</t>
  </si>
  <si>
    <t>EMPRUNT CDN 143440€ - 138 08</t>
  </si>
  <si>
    <t>Emprunts ets de crédit à de 1-5 ans</t>
  </si>
  <si>
    <t>164710</t>
  </si>
  <si>
    <t>Emprunt n°1 (MT)</t>
  </si>
  <si>
    <t>164720</t>
  </si>
  <si>
    <t>Emprunt n°2 (MT)</t>
  </si>
  <si>
    <t>164730</t>
  </si>
  <si>
    <t>Emprunt n°3 (MT)</t>
  </si>
  <si>
    <t>164740</t>
  </si>
  <si>
    <t>Emprunt n°4 (MT)</t>
  </si>
  <si>
    <t>164750</t>
  </si>
  <si>
    <t>Emprunt n°5 (MT)</t>
  </si>
  <si>
    <t>164800</t>
  </si>
  <si>
    <t>Emprunts ets de crédit à - 1 an</t>
  </si>
  <si>
    <t>164810</t>
  </si>
  <si>
    <t>Emprunt n°1 (CT)</t>
  </si>
  <si>
    <t>164820</t>
  </si>
  <si>
    <t>Emprunt n°2 (CT)</t>
  </si>
  <si>
    <t>164830</t>
  </si>
  <si>
    <t>Emprunt n°3 (CT)</t>
  </si>
  <si>
    <t>164840</t>
  </si>
  <si>
    <t>Emprunt n°4 (CT)</t>
  </si>
  <si>
    <t>164850</t>
  </si>
  <si>
    <t>Emprunt n°5 (CT)</t>
  </si>
  <si>
    <t>165000</t>
  </si>
  <si>
    <t>Dépôts et cautionnements reçus</t>
  </si>
  <si>
    <t>165100</t>
  </si>
  <si>
    <t>Dépôts reçus</t>
  </si>
  <si>
    <t>165500</t>
  </si>
  <si>
    <t>Cautionnements reçus</t>
  </si>
  <si>
    <t>166000</t>
  </si>
  <si>
    <t>Participation des salariés</t>
  </si>
  <si>
    <t>166100</t>
  </si>
  <si>
    <t>Participation - Comptes bloqués</t>
  </si>
  <si>
    <t>166200</t>
  </si>
  <si>
    <t>Fonds de participation</t>
  </si>
  <si>
    <t>166700</t>
  </si>
  <si>
    <t>Participation des salariés (MT)</t>
  </si>
  <si>
    <t>166800</t>
  </si>
  <si>
    <t>Participation des salariés (CT)</t>
  </si>
  <si>
    <t>167100</t>
  </si>
  <si>
    <t>Emissions titres participatifs</t>
  </si>
  <si>
    <t>167400</t>
  </si>
  <si>
    <t>Avances conditionnées de l'état</t>
  </si>
  <si>
    <t>167500</t>
  </si>
  <si>
    <t>Emprunts participatifs</t>
  </si>
  <si>
    <t>167600</t>
  </si>
  <si>
    <t>Emprunts à conditions particulières</t>
  </si>
  <si>
    <t>168100</t>
  </si>
  <si>
    <t>Autres emprunts</t>
  </si>
  <si>
    <t>168500</t>
  </si>
  <si>
    <t>Rentes viagères capitalisées</t>
  </si>
  <si>
    <t>168510</t>
  </si>
  <si>
    <t>Rentes viagères (LT)</t>
  </si>
  <si>
    <t>168570</t>
  </si>
  <si>
    <t>Rentes viagères (MT)</t>
  </si>
  <si>
    <t>168580</t>
  </si>
  <si>
    <t>Rentes viagères (CT)</t>
  </si>
  <si>
    <t>168700</t>
  </si>
  <si>
    <t>Autres dettes</t>
  </si>
  <si>
    <t>168711</t>
  </si>
  <si>
    <t>Autres dettes 1 (LT)</t>
  </si>
  <si>
    <t>168712</t>
  </si>
  <si>
    <t>Autres dettes 2 (LT)</t>
  </si>
  <si>
    <t>168713</t>
  </si>
  <si>
    <t>Autres dettes 3 (LT)</t>
  </si>
  <si>
    <t>168771</t>
  </si>
  <si>
    <t>Autres dettes 1 (MT)</t>
  </si>
  <si>
    <t>168772</t>
  </si>
  <si>
    <t>Autres dettes 2 (MT)</t>
  </si>
  <si>
    <t>168773</t>
  </si>
  <si>
    <t>Autres dettes 3 (MT)</t>
  </si>
  <si>
    <t>168781</t>
  </si>
  <si>
    <t>Autres dettes 1 (CT)</t>
  </si>
  <si>
    <t>168782</t>
  </si>
  <si>
    <t>Autres dettes 2 (CT)</t>
  </si>
  <si>
    <t>168783</t>
  </si>
  <si>
    <t>Autres dettes 3 (CT)</t>
  </si>
  <si>
    <t>168810</t>
  </si>
  <si>
    <t>Int.courus s/emp.oblig.convertibles</t>
  </si>
  <si>
    <t>168820</t>
  </si>
  <si>
    <t>Int.courus s/autres emp.oblig.</t>
  </si>
  <si>
    <t>168830</t>
  </si>
  <si>
    <t>Int.courus s/aut.emp.obligataires</t>
  </si>
  <si>
    <t>INTERETS COURUS SUR EMPRUNTS</t>
  </si>
  <si>
    <t>168850</t>
  </si>
  <si>
    <t>Int.courus s/dépôts/caut. reçus</t>
  </si>
  <si>
    <t>168860</t>
  </si>
  <si>
    <t>Int.courus s/particip.salariés</t>
  </si>
  <si>
    <t>168870</t>
  </si>
  <si>
    <t>Int.courus s/emp.dettes cond.partic</t>
  </si>
  <si>
    <t>168875</t>
  </si>
  <si>
    <t>Int.courus s/emprunts participatifs</t>
  </si>
  <si>
    <t>168880</t>
  </si>
  <si>
    <t>int.courus s/aut.emprunts</t>
  </si>
  <si>
    <t>169000</t>
  </si>
  <si>
    <t>Primes de rembourst des obligations</t>
  </si>
  <si>
    <t>171000</t>
  </si>
  <si>
    <t>Dettes rattach. participations (Grp</t>
  </si>
  <si>
    <t>171110</t>
  </si>
  <si>
    <t>Dette 1 (LT)</t>
  </si>
  <si>
    <t>171120</t>
  </si>
  <si>
    <t>Dette 2 (LT)</t>
  </si>
  <si>
    <t>171710</t>
  </si>
  <si>
    <t>Dette 1 (MT)</t>
  </si>
  <si>
    <t>171720</t>
  </si>
  <si>
    <t>Dette 2 (MT)</t>
  </si>
  <si>
    <t>171810</t>
  </si>
  <si>
    <t>Dette 1 (CT)</t>
  </si>
  <si>
    <t>171820</t>
  </si>
  <si>
    <t>Dette 2 (CT)</t>
  </si>
  <si>
    <t>174000</t>
  </si>
  <si>
    <t>Dettes rattach. participations (HG)</t>
  </si>
  <si>
    <t>174110</t>
  </si>
  <si>
    <t>174710</t>
  </si>
  <si>
    <t>174810</t>
  </si>
  <si>
    <t>178000</t>
  </si>
  <si>
    <t>Dettes rattachées ste en particip.</t>
  </si>
  <si>
    <t>178100</t>
  </si>
  <si>
    <t>Principal</t>
  </si>
  <si>
    <t>178800</t>
  </si>
  <si>
    <t>181000</t>
  </si>
  <si>
    <t>Comptes de liaison établissements</t>
  </si>
  <si>
    <t>186000</t>
  </si>
  <si>
    <t>Biens &amp; services échangés (charges)</t>
  </si>
  <si>
    <t>187000</t>
  </si>
  <si>
    <t>Biens &amp; services échangés (produit)</t>
  </si>
  <si>
    <t>188000</t>
  </si>
  <si>
    <t>Comptes de liaison stes</t>
  </si>
  <si>
    <t>201200</t>
  </si>
  <si>
    <t>Frais de premier établissement</t>
  </si>
  <si>
    <t>201300</t>
  </si>
  <si>
    <t>Frais d'augmentation de capital</t>
  </si>
  <si>
    <t>203000</t>
  </si>
  <si>
    <t>Frais de recherche et développement</t>
  </si>
  <si>
    <t>CONCESSIONS ET BREVETS LICENCE</t>
  </si>
  <si>
    <t>205100</t>
  </si>
  <si>
    <t>206000</t>
  </si>
  <si>
    <t>Droit au bail</t>
  </si>
  <si>
    <t>207000</t>
  </si>
  <si>
    <t>Fonds commercial</t>
  </si>
  <si>
    <t>208000</t>
  </si>
  <si>
    <t>Autres immobilisat. incorporelles</t>
  </si>
  <si>
    <t>211000</t>
  </si>
  <si>
    <t>Terrains</t>
  </si>
  <si>
    <t>212000</t>
  </si>
  <si>
    <t>Agenct. &amp; aménagt. terrains</t>
  </si>
  <si>
    <t>213100</t>
  </si>
  <si>
    <t>Batiments</t>
  </si>
  <si>
    <t>213500</t>
  </si>
  <si>
    <t>AAI DES CONSTRUCTIONS</t>
  </si>
  <si>
    <t>213800</t>
  </si>
  <si>
    <t>Ouvrages d'infrastructure</t>
  </si>
  <si>
    <t>214100</t>
  </si>
  <si>
    <t>Constructions sur sol d'autrui</t>
  </si>
  <si>
    <t>Agencements const s/ sol d'autrui</t>
  </si>
  <si>
    <t>215100</t>
  </si>
  <si>
    <t>Installations complexes spécialis.</t>
  </si>
  <si>
    <t>215300</t>
  </si>
  <si>
    <t>Installations à caractère spécifiq.</t>
  </si>
  <si>
    <t>MATERIEL DE CUISINE</t>
  </si>
  <si>
    <t>215410</t>
  </si>
  <si>
    <t>MATERIEL ET OUTILLAGE DIVERS</t>
  </si>
  <si>
    <t>215700</t>
  </si>
  <si>
    <t>217000</t>
  </si>
  <si>
    <t>Comptes spécifiques</t>
  </si>
  <si>
    <t>INSTALLATION &amp; AGENCEMENT</t>
  </si>
  <si>
    <t>MATERIEL DE TRANSPORT</t>
  </si>
  <si>
    <t>MATERIEL DE BUREAU ET INFORMAT</t>
  </si>
  <si>
    <t>218310</t>
  </si>
  <si>
    <t>Matériel informatique</t>
  </si>
  <si>
    <t>MOBILIER RESTAURANT</t>
  </si>
  <si>
    <t>218500</t>
  </si>
  <si>
    <t>Cheptel</t>
  </si>
  <si>
    <t>218600</t>
  </si>
  <si>
    <t>Emballages récupérables</t>
  </si>
  <si>
    <t>218800</t>
  </si>
  <si>
    <t>Autres matériels</t>
  </si>
  <si>
    <t>220000</t>
  </si>
  <si>
    <t>Immobilisations mises en concession</t>
  </si>
  <si>
    <t>229000</t>
  </si>
  <si>
    <t>Apport du concédant à titre gratuit</t>
  </si>
  <si>
    <t>Immobilisat. corporelles en cours</t>
  </si>
  <si>
    <t>231200</t>
  </si>
  <si>
    <t>Terrains en cours</t>
  </si>
  <si>
    <t>231300</t>
  </si>
  <si>
    <t>Constructions en cours</t>
  </si>
  <si>
    <t>231500</t>
  </si>
  <si>
    <t>231800</t>
  </si>
  <si>
    <t>Autres immobilisations en cours</t>
  </si>
  <si>
    <t>232000</t>
  </si>
  <si>
    <t>Immobilisat. incorporelles en cours</t>
  </si>
  <si>
    <t>237000</t>
  </si>
  <si>
    <t>Avances sur immobilisat. incorporel</t>
  </si>
  <si>
    <t>238000</t>
  </si>
  <si>
    <t>238200</t>
  </si>
  <si>
    <t>Avances sur terrains</t>
  </si>
  <si>
    <t>238300</t>
  </si>
  <si>
    <t>Avances sur constructions</t>
  </si>
  <si>
    <t>260000</t>
  </si>
  <si>
    <t>261000</t>
  </si>
  <si>
    <t>261200</t>
  </si>
  <si>
    <t>PARTS SOCIALES CMU</t>
  </si>
  <si>
    <t>262000</t>
  </si>
  <si>
    <t>Participations évaluées équivalence</t>
  </si>
  <si>
    <t>266000</t>
  </si>
  <si>
    <t>Autres formes de participation</t>
  </si>
  <si>
    <t>267000</t>
  </si>
  <si>
    <t>Créances rattach. à des participat.</t>
  </si>
  <si>
    <t>267100</t>
  </si>
  <si>
    <t>Créances rattach particip. (Grpe)</t>
  </si>
  <si>
    <t>267170</t>
  </si>
  <si>
    <t>Part du groupe (à plus d'un an)</t>
  </si>
  <si>
    <t>267180</t>
  </si>
  <si>
    <t>Part du groupe (à moins d'un an)</t>
  </si>
  <si>
    <t>267400</t>
  </si>
  <si>
    <t>Créances rattach particip. (Hors G)</t>
  </si>
  <si>
    <t>267470</t>
  </si>
  <si>
    <t>Hors groupe (à plus d'un an)</t>
  </si>
  <si>
    <t>267480</t>
  </si>
  <si>
    <t>Hors groupe (à moins d'un an)</t>
  </si>
  <si>
    <t>267500</t>
  </si>
  <si>
    <t>Versts d'apports non capitalisés</t>
  </si>
  <si>
    <t>267600</t>
  </si>
  <si>
    <t>Avances consolidables</t>
  </si>
  <si>
    <t>267700</t>
  </si>
  <si>
    <t>Autres créances rattach. participat</t>
  </si>
  <si>
    <t>267800</t>
  </si>
  <si>
    <t>Intérêts courus s/créances rattaché</t>
  </si>
  <si>
    <t>268000</t>
  </si>
  <si>
    <t>Créances rattach. stés en particip.</t>
  </si>
  <si>
    <t>269000</t>
  </si>
  <si>
    <t>Verst.restant à effect.s/tit.n/lib.</t>
  </si>
  <si>
    <t>269700</t>
  </si>
  <si>
    <t>Versements à  effectuer à + 1 an</t>
  </si>
  <si>
    <t>269800</t>
  </si>
  <si>
    <t>Versements à  effectuer à - 1 an</t>
  </si>
  <si>
    <t>271000</t>
  </si>
  <si>
    <t>Titres immobilisés (droit propriét)</t>
  </si>
  <si>
    <t>271100</t>
  </si>
  <si>
    <t>271800</t>
  </si>
  <si>
    <t>Autres titres</t>
  </si>
  <si>
    <t>272000</t>
  </si>
  <si>
    <t>Titres immobilisés (droit créance)</t>
  </si>
  <si>
    <t>272100</t>
  </si>
  <si>
    <t>Obligations</t>
  </si>
  <si>
    <t>272200</t>
  </si>
  <si>
    <t>Bons</t>
  </si>
  <si>
    <t>273000</t>
  </si>
  <si>
    <t>Titres (Activité de portefeuille)</t>
  </si>
  <si>
    <t>274100</t>
  </si>
  <si>
    <t>Prêts participatifs</t>
  </si>
  <si>
    <t>274200</t>
  </si>
  <si>
    <t>Prêts aux associés</t>
  </si>
  <si>
    <t>274300</t>
  </si>
  <si>
    <t>Prêts au personnel</t>
  </si>
  <si>
    <t>274370</t>
  </si>
  <si>
    <t>Prêts au personnel (+ 1 an)</t>
  </si>
  <si>
    <t>274380</t>
  </si>
  <si>
    <t>Prêts au personnel (- 1 an)</t>
  </si>
  <si>
    <t>274800</t>
  </si>
  <si>
    <t>Autres prêts</t>
  </si>
  <si>
    <t>274870</t>
  </si>
  <si>
    <t>Autres prêts (part à plus d'un an)</t>
  </si>
  <si>
    <t>274880</t>
  </si>
  <si>
    <t>Autres prêts (part à moins d'un an)</t>
  </si>
  <si>
    <t>Dépots</t>
  </si>
  <si>
    <t>275500</t>
  </si>
  <si>
    <t>276100</t>
  </si>
  <si>
    <t>Créances diverses</t>
  </si>
  <si>
    <t>276800</t>
  </si>
  <si>
    <t>276820</t>
  </si>
  <si>
    <t>Int.courus s/titres immobilisés</t>
  </si>
  <si>
    <t>276840</t>
  </si>
  <si>
    <t>Int.courus s/prêts</t>
  </si>
  <si>
    <t>276850</t>
  </si>
  <si>
    <t>Int.courus s/dépôts et cautionnem.</t>
  </si>
  <si>
    <t>276880</t>
  </si>
  <si>
    <t>Int.courus s/créances diverses</t>
  </si>
  <si>
    <t>277000</t>
  </si>
  <si>
    <t>Actions propres ou parts propres</t>
  </si>
  <si>
    <t>279000</t>
  </si>
  <si>
    <t>Versemt. rest.à effect.s/tit.imm.NL</t>
  </si>
  <si>
    <t>279700</t>
  </si>
  <si>
    <t>Versements à effectuer (+ 1 an)</t>
  </si>
  <si>
    <t>279800</t>
  </si>
  <si>
    <t>Versements à effectuer (- 1 an)</t>
  </si>
  <si>
    <t>280100</t>
  </si>
  <si>
    <t>Amortis. frais d'établissement</t>
  </si>
  <si>
    <t>280300</t>
  </si>
  <si>
    <t>Amortis. frais recherche &amp; dévelop.</t>
  </si>
  <si>
    <t>AMORT. CONCESSIONS BREVETS</t>
  </si>
  <si>
    <t>280700</t>
  </si>
  <si>
    <t>Amortis. fonds commercial</t>
  </si>
  <si>
    <t>280800</t>
  </si>
  <si>
    <t>Amortis. autres immobil. incorpor.</t>
  </si>
  <si>
    <t>281200</t>
  </si>
  <si>
    <t>Amortis. agenct. aménagt. de terr.</t>
  </si>
  <si>
    <t>281310</t>
  </si>
  <si>
    <t>Amortis. constructions</t>
  </si>
  <si>
    <t>281350</t>
  </si>
  <si>
    <t>AMORT. AAI DES CONSTRUCTIONS</t>
  </si>
  <si>
    <t>281410</t>
  </si>
  <si>
    <t>Amortis. constructions sol d'autrui</t>
  </si>
  <si>
    <t>Amortis. agencements constructions</t>
  </si>
  <si>
    <t>Amortis. matériel et outillage</t>
  </si>
  <si>
    <t>AMORT. MATERIEL DE CUISINE</t>
  </si>
  <si>
    <t>281541</t>
  </si>
  <si>
    <t>AMORT. MATERIEL ET OUTILLAGE DIVERS</t>
  </si>
  <si>
    <t>AMORT. INSTALLATION &amp; AGENCEMENT</t>
  </si>
  <si>
    <t>281820</t>
  </si>
  <si>
    <t>AMORT. MAT DE TRANSPORT</t>
  </si>
  <si>
    <t>AMORT. MATERIEL DE BUREAU ET INFORM</t>
  </si>
  <si>
    <t>AMORT. MOBILIER RESTAURANT</t>
  </si>
  <si>
    <t>281860</t>
  </si>
  <si>
    <t>Amortis. emballages récupérables</t>
  </si>
  <si>
    <t>282000</t>
  </si>
  <si>
    <t>Amortis immobilis en concession</t>
  </si>
  <si>
    <t>290500</t>
  </si>
  <si>
    <t>Provis. dépréc. marques, procédés</t>
  </si>
  <si>
    <t>290600</t>
  </si>
  <si>
    <t>Provis. dépréc. droit au bail</t>
  </si>
  <si>
    <t>290700</t>
  </si>
  <si>
    <t>Provis. dépréc. fonds commercial</t>
  </si>
  <si>
    <t>290800</t>
  </si>
  <si>
    <t>Provis. dépréc. aut. immob. incorp.</t>
  </si>
  <si>
    <t>291100</t>
  </si>
  <si>
    <t>Dépréciations terrains</t>
  </si>
  <si>
    <t>291300</t>
  </si>
  <si>
    <t>Dépréciations constructions</t>
  </si>
  <si>
    <t>291500</t>
  </si>
  <si>
    <t>Dépréciations matériel</t>
  </si>
  <si>
    <t>291800</t>
  </si>
  <si>
    <t>Dépréciations autres immobilis.</t>
  </si>
  <si>
    <t>292000</t>
  </si>
  <si>
    <t>Dépréciations immob. en concess.</t>
  </si>
  <si>
    <t>293100</t>
  </si>
  <si>
    <t>Dépréciations immob.corpor. cours</t>
  </si>
  <si>
    <t>296100</t>
  </si>
  <si>
    <t>Dépréciations titres participat.</t>
  </si>
  <si>
    <t>296200</t>
  </si>
  <si>
    <t>Dépréciations partic. équivalence</t>
  </si>
  <si>
    <t>296600</t>
  </si>
  <si>
    <t>Dépréciations aut. formes partic.</t>
  </si>
  <si>
    <t>296700</t>
  </si>
  <si>
    <t>Dépréciations créances ratt.parti</t>
  </si>
  <si>
    <t>296800</t>
  </si>
  <si>
    <t>Dépréciations cr.ratt.stés part.</t>
  </si>
  <si>
    <t>297100</t>
  </si>
  <si>
    <t>Dépréciations titres immobilisés</t>
  </si>
  <si>
    <t>297200</t>
  </si>
  <si>
    <t>Dépréciations tit. immob. créance</t>
  </si>
  <si>
    <t>297300</t>
  </si>
  <si>
    <t>Dépréciations titres activ. port.</t>
  </si>
  <si>
    <t>297400</t>
  </si>
  <si>
    <t>Dépréciations des prêts</t>
  </si>
  <si>
    <t>297410</t>
  </si>
  <si>
    <t>Dépréciations prêts participatifs</t>
  </si>
  <si>
    <t>297420</t>
  </si>
  <si>
    <t>Dépréciations prêts aux associés</t>
  </si>
  <si>
    <t>297430</t>
  </si>
  <si>
    <t>Dépréciations prêts au personnel</t>
  </si>
  <si>
    <t>297480</t>
  </si>
  <si>
    <t>Dépréciations autres prêts</t>
  </si>
  <si>
    <t>Dépréciations dépots et cautions</t>
  </si>
  <si>
    <t>297510</t>
  </si>
  <si>
    <t>Dépréciations dépots</t>
  </si>
  <si>
    <t>297550</t>
  </si>
  <si>
    <t>Dépréciations cautionnements</t>
  </si>
  <si>
    <t>297600</t>
  </si>
  <si>
    <t>Dépréciations créances diverses</t>
  </si>
  <si>
    <t>Stocks matières premières</t>
  </si>
  <si>
    <t>311000</t>
  </si>
  <si>
    <t>STOCK MATIERES PREMIERES</t>
  </si>
  <si>
    <t>312000</t>
  </si>
  <si>
    <t>Matière première (ou groupe) B</t>
  </si>
  <si>
    <t>317000</t>
  </si>
  <si>
    <t>Fournitures A, B, C...</t>
  </si>
  <si>
    <t>STOCK PAPER</t>
  </si>
  <si>
    <t>321100</t>
  </si>
  <si>
    <t>Matière consommable (ou groupe) C</t>
  </si>
  <si>
    <t>321200</t>
  </si>
  <si>
    <t>Matière consommable (ou groupe) D</t>
  </si>
  <si>
    <t>322000</t>
  </si>
  <si>
    <t>STOCK HAPPY MEAL</t>
  </si>
  <si>
    <t>322100</t>
  </si>
  <si>
    <t>Fourn. consomm. combustible</t>
  </si>
  <si>
    <t>322200</t>
  </si>
  <si>
    <t>Fourn. consomm. produits entretien</t>
  </si>
  <si>
    <t>322300</t>
  </si>
  <si>
    <t>Fourn. consomm. d'atelier &amp; usine</t>
  </si>
  <si>
    <t>322400</t>
  </si>
  <si>
    <t>Fourn. consomm. de magasin</t>
  </si>
  <si>
    <t>322500</t>
  </si>
  <si>
    <t>326000</t>
  </si>
  <si>
    <t>Stocks d'emballages</t>
  </si>
  <si>
    <t>331000</t>
  </si>
  <si>
    <t>Production en cours</t>
  </si>
  <si>
    <t>335000</t>
  </si>
  <si>
    <t>Travaux en cours</t>
  </si>
  <si>
    <t>341000</t>
  </si>
  <si>
    <t>Etudes en cours</t>
  </si>
  <si>
    <t>345000</t>
  </si>
  <si>
    <t>Prestations de services en cours</t>
  </si>
  <si>
    <t>348000</t>
  </si>
  <si>
    <t>Appels d'offres en cours</t>
  </si>
  <si>
    <t>351000</t>
  </si>
  <si>
    <t>Stocks de produits intermédiaires</t>
  </si>
  <si>
    <t>351100</t>
  </si>
  <si>
    <t>Produit interm. (ou groupe) A</t>
  </si>
  <si>
    <t>351200</t>
  </si>
  <si>
    <t>Produit interm. (ou groupe) B</t>
  </si>
  <si>
    <t>355000</t>
  </si>
  <si>
    <t>Stocks de produits finis</t>
  </si>
  <si>
    <t>355100</t>
  </si>
  <si>
    <t>Produit finis (ou groupe) A</t>
  </si>
  <si>
    <t>355200</t>
  </si>
  <si>
    <t>Produit finis (ou groupe) B</t>
  </si>
  <si>
    <t>358000</t>
  </si>
  <si>
    <t>Stocks de produits résiduels</t>
  </si>
  <si>
    <t>360000</t>
  </si>
  <si>
    <t>Stocks provenant d'immobilisations</t>
  </si>
  <si>
    <t>370000</t>
  </si>
  <si>
    <t>Stocks de marchandises</t>
  </si>
  <si>
    <t>371000</t>
  </si>
  <si>
    <t>Marchandise (ou groupe) A</t>
  </si>
  <si>
    <t>372000</t>
  </si>
  <si>
    <t>Marchandise (ou groupe) B</t>
  </si>
  <si>
    <t>391000</t>
  </si>
  <si>
    <t>Dépréciations matières premières</t>
  </si>
  <si>
    <t>392000</t>
  </si>
  <si>
    <t>Dépréciations autres approvisiont.</t>
  </si>
  <si>
    <t>393000</t>
  </si>
  <si>
    <t>Dépréciations en-cours production</t>
  </si>
  <si>
    <t>394000</t>
  </si>
  <si>
    <t>Dépréciations en-cours produc. sces</t>
  </si>
  <si>
    <t>395000</t>
  </si>
  <si>
    <t>Dépréciations stocks de produits</t>
  </si>
  <si>
    <t>397000</t>
  </si>
  <si>
    <t>Dépréciations stocks de marchand.</t>
  </si>
  <si>
    <t>401700</t>
  </si>
  <si>
    <t>Fournisseurs - retenue de garantie</t>
  </si>
  <si>
    <t>403000</t>
  </si>
  <si>
    <t>Fournisseurs - effets à payer</t>
  </si>
  <si>
    <t>404170</t>
  </si>
  <si>
    <t>Fournisseurs d'immobilisations (CT)</t>
  </si>
  <si>
    <t>404180</t>
  </si>
  <si>
    <t>Fournisseurs d'immobilisations (MT)</t>
  </si>
  <si>
    <t>404700</t>
  </si>
  <si>
    <t>Fournisseurs immobilis. reten. gara</t>
  </si>
  <si>
    <t>405000</t>
  </si>
  <si>
    <t>Fournisseurs d'immobilisat. - effet</t>
  </si>
  <si>
    <t>FOURNISSEURS FACT NON PARVENUE</t>
  </si>
  <si>
    <t>408101</t>
  </si>
  <si>
    <t>Achats matières premières NP</t>
  </si>
  <si>
    <t>408102</t>
  </si>
  <si>
    <t>Achats consommables NP</t>
  </si>
  <si>
    <t>408104</t>
  </si>
  <si>
    <t>Achats de sous-traitance NP</t>
  </si>
  <si>
    <t>408106</t>
  </si>
  <si>
    <t>Electricité NP</t>
  </si>
  <si>
    <t>408107</t>
  </si>
  <si>
    <t>Achats de marchandises NP</t>
  </si>
  <si>
    <t>408132</t>
  </si>
  <si>
    <t>Locations immobilières NP</t>
  </si>
  <si>
    <t>408133</t>
  </si>
  <si>
    <t>Location Gérance NP</t>
  </si>
  <si>
    <t>408135</t>
  </si>
  <si>
    <t>408140</t>
  </si>
  <si>
    <t>Charges locatives NP</t>
  </si>
  <si>
    <t>408152</t>
  </si>
  <si>
    <t>Entretien immobilier NP</t>
  </si>
  <si>
    <t>408155</t>
  </si>
  <si>
    <t>Entretien mobilier NP</t>
  </si>
  <si>
    <t>408156</t>
  </si>
  <si>
    <t>Maintenance NP</t>
  </si>
  <si>
    <t>408160</t>
  </si>
  <si>
    <t>Assurances NP</t>
  </si>
  <si>
    <t>408200</t>
  </si>
  <si>
    <t>MCDO FRANCE CHARGE A PAYER</t>
  </si>
  <si>
    <t>408210</t>
  </si>
  <si>
    <t>Personnel extérieur NP</t>
  </si>
  <si>
    <t>408220</t>
  </si>
  <si>
    <t>Commissions NP</t>
  </si>
  <si>
    <t>408226</t>
  </si>
  <si>
    <t>Honoraires NP</t>
  </si>
  <si>
    <t>408260</t>
  </si>
  <si>
    <t>Frais de télécommunications NP</t>
  </si>
  <si>
    <t>408300</t>
  </si>
  <si>
    <t>CAP PUB LOCALE</t>
  </si>
  <si>
    <t>408500</t>
  </si>
  <si>
    <t>PROV IMPACT CICE</t>
  </si>
  <si>
    <t>408800</t>
  </si>
  <si>
    <t>Fournisseurs - intérêts courus</t>
  </si>
  <si>
    <t>FRS AVANCES/ACPTES S/CDES</t>
  </si>
  <si>
    <t>409601</t>
  </si>
  <si>
    <t>CONSIGNES DEMI-PALETTES MB</t>
  </si>
  <si>
    <t>409602</t>
  </si>
  <si>
    <t>CONSIGNES MB-DOLLIES</t>
  </si>
  <si>
    <t>409610</t>
  </si>
  <si>
    <t>409611</t>
  </si>
  <si>
    <t>Fournisseurs - RRR à obtenir</t>
  </si>
  <si>
    <t>409801</t>
  </si>
  <si>
    <t>FOURN DEBITEUR AVOIR NON RECU</t>
  </si>
  <si>
    <t>411600</t>
  </si>
  <si>
    <t>Créances professionnelles cédées</t>
  </si>
  <si>
    <t>411700</t>
  </si>
  <si>
    <t>Clients - retenues de garantie</t>
  </si>
  <si>
    <t>Clients douteux ou litigieux</t>
  </si>
  <si>
    <t>417000</t>
  </si>
  <si>
    <t>Créances s/travaux non facturables</t>
  </si>
  <si>
    <t>418101</t>
  </si>
  <si>
    <t>Ventes de produits finis FAE</t>
  </si>
  <si>
    <t>418104</t>
  </si>
  <si>
    <t>Ventes de travaux FAE</t>
  </si>
  <si>
    <t>418105</t>
  </si>
  <si>
    <t>Ventes d'études FAE</t>
  </si>
  <si>
    <t>418106</t>
  </si>
  <si>
    <t>Prestations de services FAE</t>
  </si>
  <si>
    <t>418107</t>
  </si>
  <si>
    <t>Ventes de marchandises FAE</t>
  </si>
  <si>
    <t>418108</t>
  </si>
  <si>
    <t>Activités annexes FAE</t>
  </si>
  <si>
    <t>418800</t>
  </si>
  <si>
    <t>FAE MARTIN BROWER</t>
  </si>
  <si>
    <t>419600</t>
  </si>
  <si>
    <t>Clients - emballages consignés</t>
  </si>
  <si>
    <t>419700</t>
  </si>
  <si>
    <t>Clients - autres avoirs</t>
  </si>
  <si>
    <t>RRR A ACCORDER/AVOIRS A ETABL</t>
  </si>
  <si>
    <t>STC NON DÉBITÉS</t>
  </si>
  <si>
    <t>422000</t>
  </si>
  <si>
    <t>Comité d'entreprise</t>
  </si>
  <si>
    <t>424600</t>
  </si>
  <si>
    <t>Participation - réserve spéciale</t>
  </si>
  <si>
    <t>424800</t>
  </si>
  <si>
    <t>Participation - comptes courants</t>
  </si>
  <si>
    <t>ACOMPTE</t>
  </si>
  <si>
    <t>426000</t>
  </si>
  <si>
    <t>Personnel - dépots</t>
  </si>
  <si>
    <t>Personnel - oppositions</t>
  </si>
  <si>
    <t>428000</t>
  </si>
  <si>
    <t>EXT PROV PRIMES</t>
  </si>
  <si>
    <t>PROVISION  POUR CONGES PAYES</t>
  </si>
  <si>
    <t>428201</t>
  </si>
  <si>
    <t>PROVISION POUR PRIMES</t>
  </si>
  <si>
    <t>428400</t>
  </si>
  <si>
    <t>Dettes provis. pr partic. salariés</t>
  </si>
  <si>
    <t>PERS AUTRES CHARG A PAYER</t>
  </si>
  <si>
    <t>Primes de bilan CAP</t>
  </si>
  <si>
    <t>428620</t>
  </si>
  <si>
    <t>Rappel de Salaires CAP</t>
  </si>
  <si>
    <t>428625</t>
  </si>
  <si>
    <t>Frais de déplacement CAP</t>
  </si>
  <si>
    <t>428700</t>
  </si>
  <si>
    <t>Personnel - produits à recevoir</t>
  </si>
  <si>
    <t>SECURITE SOCIALE</t>
  </si>
  <si>
    <t>437100</t>
  </si>
  <si>
    <t>Caisse de retraite cadres</t>
  </si>
  <si>
    <t>437110</t>
  </si>
  <si>
    <t>RETRAITE KLESIA</t>
  </si>
  <si>
    <t>437120</t>
  </si>
  <si>
    <t>PREVOYANCE NON CADRE AG2R</t>
  </si>
  <si>
    <t>437125</t>
  </si>
  <si>
    <t>PREVOYANCE KLESIA</t>
  </si>
  <si>
    <t>437130</t>
  </si>
  <si>
    <t>PREVOYANCE CADRE AXA</t>
  </si>
  <si>
    <t>437140</t>
  </si>
  <si>
    <t>MUTUELLE EOVI</t>
  </si>
  <si>
    <t>Caisse de retraite salariés</t>
  </si>
  <si>
    <t>437300</t>
  </si>
  <si>
    <t>ASSEDIC</t>
  </si>
  <si>
    <t>437320</t>
  </si>
  <si>
    <t>437330</t>
  </si>
  <si>
    <t>437340</t>
  </si>
  <si>
    <t>437350</t>
  </si>
  <si>
    <t>437400</t>
  </si>
  <si>
    <t>Caisse de congés payés</t>
  </si>
  <si>
    <t>437800</t>
  </si>
  <si>
    <t>ORG.SOC. CHARGES A PAYER</t>
  </si>
  <si>
    <t>CH SOC ET FISC/PROV PRIMES</t>
  </si>
  <si>
    <t>438611</t>
  </si>
  <si>
    <t>ASSEDIC CAP</t>
  </si>
  <si>
    <t>438612</t>
  </si>
  <si>
    <t>Retraite complémentaire CAP</t>
  </si>
  <si>
    <t>438613</t>
  </si>
  <si>
    <t>Retraite cadres CAP</t>
  </si>
  <si>
    <t>438614</t>
  </si>
  <si>
    <t>Caisse congés payés BTP CAP</t>
  </si>
  <si>
    <t>Charges sociales sur primes prov.</t>
  </si>
  <si>
    <t>ORG.SOC.PROD A PAYER</t>
  </si>
  <si>
    <t>441000</t>
  </si>
  <si>
    <t>Etat - subvention à recevoir</t>
  </si>
  <si>
    <t>441100</t>
  </si>
  <si>
    <t>Subventions d'investissement</t>
  </si>
  <si>
    <t>441700</t>
  </si>
  <si>
    <t>441800</t>
  </si>
  <si>
    <t>Subventions d'équilibre</t>
  </si>
  <si>
    <t>441900</t>
  </si>
  <si>
    <t>Avances sur subventions</t>
  </si>
  <si>
    <t>Eléments recouvrés pour l’Etat</t>
  </si>
  <si>
    <t>PRELEVEMENT A LA SOURCE</t>
  </si>
  <si>
    <t>442200</t>
  </si>
  <si>
    <t>Prél. forfaitaires non libératoires</t>
  </si>
  <si>
    <t>442400</t>
  </si>
  <si>
    <t>Impôts recouvrables s/obligataires</t>
  </si>
  <si>
    <t>442500</t>
  </si>
  <si>
    <t>Impôts recouvrables s/associés</t>
  </si>
  <si>
    <t>443000</t>
  </si>
  <si>
    <t>Etat - opérations particulières</t>
  </si>
  <si>
    <t>443100</t>
  </si>
  <si>
    <t>Créances suppression décalage TVA</t>
  </si>
  <si>
    <t>ETAT - ACTIVITE PARTIELLE</t>
  </si>
  <si>
    <t>443800</t>
  </si>
  <si>
    <t>Intérêts courus sur créances</t>
  </si>
  <si>
    <t>ETAT IMPOTS SUR LES BENEFICES</t>
  </si>
  <si>
    <t>444200</t>
  </si>
  <si>
    <t>Créances sur l'Etat - carry back</t>
  </si>
  <si>
    <t>TVA DUE INTRACOM</t>
  </si>
  <si>
    <t>445500</t>
  </si>
  <si>
    <t>TVA A DECAISSER</t>
  </si>
  <si>
    <t>Taxes assimilées à TVA à décaisser</t>
  </si>
  <si>
    <t>TVA SUR IMMOBILISATIONS</t>
  </si>
  <si>
    <t>445630</t>
  </si>
  <si>
    <t>TVA transf. par autres entreprises</t>
  </si>
  <si>
    <t>TVA DEDUCT SUR ACHATS</t>
  </si>
  <si>
    <t>TVA déductible sur achats</t>
  </si>
  <si>
    <t>TVA déductible sur frais généraux</t>
  </si>
  <si>
    <t>CREDIT TVA A REPORTER</t>
  </si>
  <si>
    <t>445680</t>
  </si>
  <si>
    <t>Taxes déductibles assimilées à TVA</t>
  </si>
  <si>
    <t>445700</t>
  </si>
  <si>
    <t>SHOESFORCREWS</t>
  </si>
  <si>
    <t>TVA COLL.  20%</t>
  </si>
  <si>
    <t>REGUL TVA SUR BIERE</t>
  </si>
  <si>
    <t>445780</t>
  </si>
  <si>
    <t>Taxes collectées assimilées à TVA</t>
  </si>
  <si>
    <t>445800</t>
  </si>
  <si>
    <t>Régularisation de TVA collectée</t>
  </si>
  <si>
    <t>445801</t>
  </si>
  <si>
    <t>Régularisation de TVA déductible</t>
  </si>
  <si>
    <t>445807</t>
  </si>
  <si>
    <t>TVA COLLECTEE A REGULARISER</t>
  </si>
  <si>
    <t>445810</t>
  </si>
  <si>
    <t>Acomptes TVA réel simplifié</t>
  </si>
  <si>
    <t>445820</t>
  </si>
  <si>
    <t>Acomptes régime de forfait</t>
  </si>
  <si>
    <t>Remboursement de TVA demandé</t>
  </si>
  <si>
    <t>445840</t>
  </si>
  <si>
    <t>TVA récupérée d'avance</t>
  </si>
  <si>
    <t>TVA S/FNP+AAR</t>
  </si>
  <si>
    <t>TVA S/ FAE+AAE</t>
  </si>
  <si>
    <t>446000</t>
  </si>
  <si>
    <t>Obligations cautionnées</t>
  </si>
  <si>
    <t>446100</t>
  </si>
  <si>
    <t>447000</t>
  </si>
  <si>
    <t>Autres impôts taxes et verst. assim</t>
  </si>
  <si>
    <t>448200</t>
  </si>
  <si>
    <t>Charges fiscales s/congés à payer</t>
  </si>
  <si>
    <t>ETAT CHARGES A PAYER</t>
  </si>
  <si>
    <t>448630</t>
  </si>
  <si>
    <t>448631</t>
  </si>
  <si>
    <t>Taxe sur les salaires CAP</t>
  </si>
  <si>
    <t>448632</t>
  </si>
  <si>
    <t>Taxe d'apprentissage CAP</t>
  </si>
  <si>
    <t>448633</t>
  </si>
  <si>
    <t>Formation continue CAP</t>
  </si>
  <si>
    <t>448634</t>
  </si>
  <si>
    <t>Effort de logement CAP</t>
  </si>
  <si>
    <t>448635</t>
  </si>
  <si>
    <t>Taxe professionnelle CAP</t>
  </si>
  <si>
    <t>448636</t>
  </si>
  <si>
    <t>Taxe foncière CAP</t>
  </si>
  <si>
    <t>448637</t>
  </si>
  <si>
    <t>T.V.T.S CAP</t>
  </si>
  <si>
    <t>448638</t>
  </si>
  <si>
    <t>Autres droits CAP</t>
  </si>
  <si>
    <t>448639</t>
  </si>
  <si>
    <t>Versement transport CAP</t>
  </si>
  <si>
    <t>448640</t>
  </si>
  <si>
    <t>ORGANIC CAP</t>
  </si>
  <si>
    <t>ETAT PRODUITS A RECEVOIR</t>
  </si>
  <si>
    <t>449000</t>
  </si>
  <si>
    <t>Quotas d'émission à resti.à l'état</t>
  </si>
  <si>
    <t>451000</t>
  </si>
  <si>
    <t>Groupe</t>
  </si>
  <si>
    <t>Associés</t>
  </si>
  <si>
    <t>C/C PRINCIPAL</t>
  </si>
  <si>
    <t>455170</t>
  </si>
  <si>
    <t>Associés - comptes courants (MT)</t>
  </si>
  <si>
    <t>455180</t>
  </si>
  <si>
    <t>Associés - comptes courants (CT)</t>
  </si>
  <si>
    <t>455300</t>
  </si>
  <si>
    <t>C/C FGS</t>
  </si>
  <si>
    <t>456000</t>
  </si>
  <si>
    <t>Associés - opérations s/le capital</t>
  </si>
  <si>
    <t>456110</t>
  </si>
  <si>
    <t>Associés - apports en nature</t>
  </si>
  <si>
    <t>456150</t>
  </si>
  <si>
    <t>Associés - apports en numéraire</t>
  </si>
  <si>
    <t>456210</t>
  </si>
  <si>
    <t>Capital appelé non versé</t>
  </si>
  <si>
    <t>Associés - dividendes à payer</t>
  </si>
  <si>
    <t>458000</t>
  </si>
  <si>
    <t>Associés - opérations en commun/GIE</t>
  </si>
  <si>
    <t>458100</t>
  </si>
  <si>
    <t>Associés - opérations courantes co.</t>
  </si>
  <si>
    <t>462000</t>
  </si>
  <si>
    <t>Créances s/cessions d'immobilisat.</t>
  </si>
  <si>
    <t>462700</t>
  </si>
  <si>
    <t>Créances sur cession à moyen terme</t>
  </si>
  <si>
    <t>462800</t>
  </si>
  <si>
    <t>Créances sur cession à court terme</t>
  </si>
  <si>
    <t>464000</t>
  </si>
  <si>
    <t>Dettes s/acquisitions VMP</t>
  </si>
  <si>
    <t>465000</t>
  </si>
  <si>
    <t>Créances s/cessions VMP</t>
  </si>
  <si>
    <t>TICKETS RESTAURANTS</t>
  </si>
  <si>
    <t>URNES DIGITALES</t>
  </si>
  <si>
    <t>URNES</t>
  </si>
  <si>
    <t>467700</t>
  </si>
  <si>
    <t>Opérations d'affacturage</t>
  </si>
  <si>
    <t>Compte d'attente</t>
  </si>
  <si>
    <t>476100</t>
  </si>
  <si>
    <t>Diff. convers. diminution créances</t>
  </si>
  <si>
    <t>476200</t>
  </si>
  <si>
    <t>Diff. convers. augmentation dettes</t>
  </si>
  <si>
    <t>476800</t>
  </si>
  <si>
    <t>Diff. convers. compensées couvertur</t>
  </si>
  <si>
    <t>477100</t>
  </si>
  <si>
    <t>Diff. convers. augmentation créance</t>
  </si>
  <si>
    <t>477200</t>
  </si>
  <si>
    <t>Diff. convers. diminution dettes</t>
  </si>
  <si>
    <t>477800</t>
  </si>
  <si>
    <t>478000</t>
  </si>
  <si>
    <t>Comptes transitoires</t>
  </si>
  <si>
    <t>478700</t>
  </si>
  <si>
    <t>Indemnités d'assurance à recevoir</t>
  </si>
  <si>
    <t>481100</t>
  </si>
  <si>
    <t>Charges différées</t>
  </si>
  <si>
    <t>481200</t>
  </si>
  <si>
    <t>Frais d'acquisition immobilisations</t>
  </si>
  <si>
    <t>481600</t>
  </si>
  <si>
    <t>Frais d'émission des emprunts</t>
  </si>
  <si>
    <t>481800</t>
  </si>
  <si>
    <t>Charges à étaler</t>
  </si>
  <si>
    <t>CHARGES CONSTATEES D'AVANCE</t>
  </si>
  <si>
    <t>486060</t>
  </si>
  <si>
    <t>Stock de fournitures</t>
  </si>
  <si>
    <t>486120</t>
  </si>
  <si>
    <t>Crédit bail d'avance</t>
  </si>
  <si>
    <t>486132</t>
  </si>
  <si>
    <t>Locations immobilières d'avance</t>
  </si>
  <si>
    <t>486133</t>
  </si>
  <si>
    <t>Location gérance d'avance</t>
  </si>
  <si>
    <t>486135</t>
  </si>
  <si>
    <t>Locations mobilières d'avance</t>
  </si>
  <si>
    <t>486150</t>
  </si>
  <si>
    <t>Entretiens effectués d'avance</t>
  </si>
  <si>
    <t>486156</t>
  </si>
  <si>
    <t>Maintenance, période d'avance</t>
  </si>
  <si>
    <t>486160</t>
  </si>
  <si>
    <t>Assurances, période d'avance</t>
  </si>
  <si>
    <t>486220</t>
  </si>
  <si>
    <t>Commissions versées en avance</t>
  </si>
  <si>
    <t>486234</t>
  </si>
  <si>
    <t>Stock Cadeaux d'entreprise</t>
  </si>
  <si>
    <t>486260</t>
  </si>
  <si>
    <t>Abonnements téléphones d'avance</t>
  </si>
  <si>
    <t>486270</t>
  </si>
  <si>
    <t>Frais bancaires d'avance</t>
  </si>
  <si>
    <t>486351</t>
  </si>
  <si>
    <t>Taxe Professionnelle d'avance</t>
  </si>
  <si>
    <t>486610</t>
  </si>
  <si>
    <t>Frais financiers d'avance</t>
  </si>
  <si>
    <t>PRODUITS CONSTATES D'AVANCE</t>
  </si>
  <si>
    <t>488600</t>
  </si>
  <si>
    <t>Charges - répartit. périodique</t>
  </si>
  <si>
    <t>488630</t>
  </si>
  <si>
    <t>488631</t>
  </si>
  <si>
    <t>488632</t>
  </si>
  <si>
    <t>ABT FORMATION CONTINUE + TAXE APPRE</t>
  </si>
  <si>
    <t>488633</t>
  </si>
  <si>
    <t>EFFORT CONSTR</t>
  </si>
  <si>
    <t>488634</t>
  </si>
  <si>
    <t>ABT CFE + CVAE</t>
  </si>
  <si>
    <t>488636</t>
  </si>
  <si>
    <t>ABT TAXE FONCIERE</t>
  </si>
  <si>
    <t>488641</t>
  </si>
  <si>
    <t>ABT CONGES PAYES</t>
  </si>
  <si>
    <t>488681</t>
  </si>
  <si>
    <t>ABNT AMORTISSEMENTS</t>
  </si>
  <si>
    <t>488700</t>
  </si>
  <si>
    <t>Produits - répartit. périodique</t>
  </si>
  <si>
    <t>490910</t>
  </si>
  <si>
    <t>Dépréciations avances versées</t>
  </si>
  <si>
    <t>491000</t>
  </si>
  <si>
    <t>PROVISION CLIENTS DOUTEUX</t>
  </si>
  <si>
    <t>495000</t>
  </si>
  <si>
    <t>Dépréciations groupe &amp; associés</t>
  </si>
  <si>
    <t>496000</t>
  </si>
  <si>
    <t>Dépréciations débiteurs divers</t>
  </si>
  <si>
    <t>496200</t>
  </si>
  <si>
    <t>Dépréciations créances cess. immo</t>
  </si>
  <si>
    <t>496500</t>
  </si>
  <si>
    <t>Dépréciations créances cess. VMP</t>
  </si>
  <si>
    <t>496700</t>
  </si>
  <si>
    <t>Dépréciations autres cptes debit.</t>
  </si>
  <si>
    <t>496740</t>
  </si>
  <si>
    <t>Dépréciations fournisseurs débit</t>
  </si>
  <si>
    <t>496742</t>
  </si>
  <si>
    <t>Dépréciations personnel</t>
  </si>
  <si>
    <t>496744</t>
  </si>
  <si>
    <t>Dépréciations autres créances</t>
  </si>
  <si>
    <t>501000</t>
  </si>
  <si>
    <t>Parts dans des entreprises liées</t>
  </si>
  <si>
    <t>502000</t>
  </si>
  <si>
    <t>Actions propres</t>
  </si>
  <si>
    <t>503000</t>
  </si>
  <si>
    <t>504000</t>
  </si>
  <si>
    <t>Autres titres conférant droit prop.</t>
  </si>
  <si>
    <t>505000</t>
  </si>
  <si>
    <t>Obligations rachetées</t>
  </si>
  <si>
    <t>506000</t>
  </si>
  <si>
    <t>507000</t>
  </si>
  <si>
    <t>Bons du trésor &amp; bons de caisse CT</t>
  </si>
  <si>
    <t>507100</t>
  </si>
  <si>
    <t>Certificats de dépôt</t>
  </si>
  <si>
    <t>507400</t>
  </si>
  <si>
    <t>Bons du trésor</t>
  </si>
  <si>
    <t>507500</t>
  </si>
  <si>
    <t>Billets de trésorerie</t>
  </si>
  <si>
    <t>507700</t>
  </si>
  <si>
    <t>Autres titres de créances négociab.</t>
  </si>
  <si>
    <t>507800</t>
  </si>
  <si>
    <t>Bons de caisse</t>
  </si>
  <si>
    <t>Autres valeurs mobilières</t>
  </si>
  <si>
    <t>Intérêts courus s/valeurs mobilière</t>
  </si>
  <si>
    <t>509000</t>
  </si>
  <si>
    <t>Versements rest. à effect.s/VMP NL</t>
  </si>
  <si>
    <t>511000</t>
  </si>
  <si>
    <t>VALEURS A L'ENCAISSEMENT</t>
  </si>
  <si>
    <t>511100</t>
  </si>
  <si>
    <t>Coupons échus à l'encaissement</t>
  </si>
  <si>
    <t>CHEQUES A ENCAISSER</t>
  </si>
  <si>
    <t>CARTE BANCAIRE</t>
  </si>
  <si>
    <t>511300</t>
  </si>
  <si>
    <t>Effets à l'encaissement</t>
  </si>
  <si>
    <t>511400</t>
  </si>
  <si>
    <t>Effets à l'escompte</t>
  </si>
  <si>
    <t>Crédit du Nord - Chèques émis</t>
  </si>
  <si>
    <t>511800</t>
  </si>
  <si>
    <t>Cartes de crédit à encaisser</t>
  </si>
  <si>
    <t>Banque</t>
  </si>
  <si>
    <t>512101</t>
  </si>
  <si>
    <t>BANQUE CDN</t>
  </si>
  <si>
    <t>512102</t>
  </si>
  <si>
    <t>BANQUE CE</t>
  </si>
  <si>
    <t>512103</t>
  </si>
  <si>
    <t>BANQUE CMU</t>
  </si>
  <si>
    <t>512104</t>
  </si>
  <si>
    <t>512110</t>
  </si>
  <si>
    <t>COMPTE EXCEDENT TRESORERIE</t>
  </si>
  <si>
    <t>512350</t>
  </si>
  <si>
    <t>Comptes en devises</t>
  </si>
  <si>
    <t>512450</t>
  </si>
  <si>
    <t>512550</t>
  </si>
  <si>
    <t>512555</t>
  </si>
  <si>
    <t>514000</t>
  </si>
  <si>
    <t>Chèques postaux</t>
  </si>
  <si>
    <t>516000</t>
  </si>
  <si>
    <t>Sociétés de bourse</t>
  </si>
  <si>
    <t>517000</t>
  </si>
  <si>
    <t>Autres organismes financiers</t>
  </si>
  <si>
    <t>518100</t>
  </si>
  <si>
    <t>518700</t>
  </si>
  <si>
    <t>FRAIS BANCAIRES A PAYER</t>
  </si>
  <si>
    <t>Crédit mobilis.créanc.ciales (CMCC)</t>
  </si>
  <si>
    <t>Concours bancaires courants</t>
  </si>
  <si>
    <t>519300</t>
  </si>
  <si>
    <t>Mobilisations créances étrangères</t>
  </si>
  <si>
    <t>519400</t>
  </si>
  <si>
    <t>Crédits garanties par créances prof</t>
  </si>
  <si>
    <t>519700</t>
  </si>
  <si>
    <t>Autres concours bancaires</t>
  </si>
  <si>
    <t>519800</t>
  </si>
  <si>
    <t>Concours bancaires - intérêts couru</t>
  </si>
  <si>
    <t>520000</t>
  </si>
  <si>
    <t>Instruments de trésorerie</t>
  </si>
  <si>
    <t>530001</t>
  </si>
  <si>
    <t>530002</t>
  </si>
  <si>
    <t>531100</t>
  </si>
  <si>
    <t>Caisse en monnaie nationale</t>
  </si>
  <si>
    <t>531101</t>
  </si>
  <si>
    <t>PETITE CAISSE</t>
  </si>
  <si>
    <t>531102</t>
  </si>
  <si>
    <t>COFFRE</t>
  </si>
  <si>
    <t>531400</t>
  </si>
  <si>
    <t>Caisse en devises</t>
  </si>
  <si>
    <t>540000</t>
  </si>
  <si>
    <t>Régie d'avances et accréditifs</t>
  </si>
  <si>
    <t>VIREMENTS INTERNES</t>
  </si>
  <si>
    <t>580001</t>
  </si>
  <si>
    <t>ECHANGE MONNAIE</t>
  </si>
  <si>
    <t>580002</t>
  </si>
  <si>
    <t>VIREMENTS PETITE CAISSE</t>
  </si>
  <si>
    <t>580100</t>
  </si>
  <si>
    <t>VIREMENTS CHEQUES</t>
  </si>
  <si>
    <t>580200</t>
  </si>
  <si>
    <t>VIR SEPA TRD SODEXO PASS FRANCE</t>
  </si>
  <si>
    <t>581001</t>
  </si>
  <si>
    <t>ESPECES LOOMIS</t>
  </si>
  <si>
    <t>582000</t>
  </si>
  <si>
    <t>VIREMENTS ESPECES</t>
  </si>
  <si>
    <t>VIREMENTS CB</t>
  </si>
  <si>
    <t>585000</t>
  </si>
  <si>
    <t>VIREMENTS MONNAIE COFFRE</t>
  </si>
  <si>
    <t>587000</t>
  </si>
  <si>
    <t>590000</t>
  </si>
  <si>
    <t>Dépréciations valeurs mobilières</t>
  </si>
  <si>
    <t>Dépréciations actions (VMP)</t>
  </si>
  <si>
    <t>590600</t>
  </si>
  <si>
    <t>Dépréciations obligations (VMP)</t>
  </si>
  <si>
    <t>Achats matières premières</t>
  </si>
  <si>
    <t>601104</t>
  </si>
  <si>
    <t>ACHAT GAZ CO2</t>
  </si>
  <si>
    <t>601200</t>
  </si>
  <si>
    <t>Achats matières (ou groupe) B</t>
  </si>
  <si>
    <t>601700</t>
  </si>
  <si>
    <t>Achats fournitures A, B, C...</t>
  </si>
  <si>
    <t>601900</t>
  </si>
  <si>
    <t>Prélèvements de matières</t>
  </si>
  <si>
    <t>601920</t>
  </si>
  <si>
    <t>Matières premières CEE</t>
  </si>
  <si>
    <t>601940</t>
  </si>
  <si>
    <t>Matières premières hors CEE</t>
  </si>
  <si>
    <t>602100</t>
  </si>
  <si>
    <t>Achats de matieres consommables</t>
  </si>
  <si>
    <t>602110</t>
  </si>
  <si>
    <t>Achats matiere consomm.(ou gpe) C</t>
  </si>
  <si>
    <t>602120</t>
  </si>
  <si>
    <t>Achats matiere consomm.(ou gpe) D</t>
  </si>
  <si>
    <t>602200</t>
  </si>
  <si>
    <t>602210</t>
  </si>
  <si>
    <t>Achats fourn. cons. combustibles</t>
  </si>
  <si>
    <t>602220</t>
  </si>
  <si>
    <t>Achats fourn. cons. produits entret</t>
  </si>
  <si>
    <t>602240</t>
  </si>
  <si>
    <t>Achats fourn. cons. de magasin</t>
  </si>
  <si>
    <t>602250</t>
  </si>
  <si>
    <t>Achats fournitures de bureau</t>
  </si>
  <si>
    <t>ACHAT EMBALLAGES PERDUS</t>
  </si>
  <si>
    <t>602900</t>
  </si>
  <si>
    <t>Prélèvements de fournitures</t>
  </si>
  <si>
    <t>602920</t>
  </si>
  <si>
    <t>Autres appro.CEE</t>
  </si>
  <si>
    <t>602940</t>
  </si>
  <si>
    <t>Autres appro.hors CEE</t>
  </si>
  <si>
    <t>603110</t>
  </si>
  <si>
    <t>STOCK DEBUT</t>
  </si>
  <si>
    <t>603220</t>
  </si>
  <si>
    <t>603700</t>
  </si>
  <si>
    <t>Variat. stocks marchandises</t>
  </si>
  <si>
    <t>604000</t>
  </si>
  <si>
    <t>604920</t>
  </si>
  <si>
    <t>Etudes et prestations CEE</t>
  </si>
  <si>
    <t>604940</t>
  </si>
  <si>
    <t>Etudes et prestations hors CEE</t>
  </si>
  <si>
    <t>605000</t>
  </si>
  <si>
    <t>Achats matériel et travaux</t>
  </si>
  <si>
    <t>605920</t>
  </si>
  <si>
    <t>Matériel et travaux CEE</t>
  </si>
  <si>
    <t>605940</t>
  </si>
  <si>
    <t>Matériel et travaux hors CEE</t>
  </si>
  <si>
    <t>606100</t>
  </si>
  <si>
    <t>Achats fournitures non stockable</t>
  </si>
  <si>
    <t>606111</t>
  </si>
  <si>
    <t>606112</t>
  </si>
  <si>
    <t>GAZ</t>
  </si>
  <si>
    <t>Fournitures gaz</t>
  </si>
  <si>
    <t>606140</t>
  </si>
  <si>
    <t>Fournitures carburant</t>
  </si>
  <si>
    <t>606149</t>
  </si>
  <si>
    <t>Evaluation forfaitaire carburant</t>
  </si>
  <si>
    <t>Fournitures combustibles</t>
  </si>
  <si>
    <t>606160</t>
  </si>
  <si>
    <t>NDF BAG 04/19</t>
  </si>
  <si>
    <t>606260</t>
  </si>
  <si>
    <t>EMBALLAGES PERDUS</t>
  </si>
  <si>
    <t>606320</t>
  </si>
  <si>
    <t>UNIFORMES</t>
  </si>
  <si>
    <t>606410</t>
  </si>
  <si>
    <t>606900</t>
  </si>
  <si>
    <t>Prélèvements personnels</t>
  </si>
  <si>
    <t>606920</t>
  </si>
  <si>
    <t>Matières et fournitures CEE</t>
  </si>
  <si>
    <t>606940</t>
  </si>
  <si>
    <t>Matières et fournitures hors CEE</t>
  </si>
  <si>
    <t>607000</t>
  </si>
  <si>
    <t>Achats de marchandises</t>
  </si>
  <si>
    <t>607100</t>
  </si>
  <si>
    <t>Achats marchandise (ou groupe) A</t>
  </si>
  <si>
    <t>607200</t>
  </si>
  <si>
    <t>Achats marchandise (ou groupe) B</t>
  </si>
  <si>
    <t>607900</t>
  </si>
  <si>
    <t>Prélèvements de marchandises</t>
  </si>
  <si>
    <t>607920</t>
  </si>
  <si>
    <t>Marchandises CEE</t>
  </si>
  <si>
    <t>607940</t>
  </si>
  <si>
    <t>Marchandises hors CEE</t>
  </si>
  <si>
    <t>608100</t>
  </si>
  <si>
    <t>Frais accessoires s/matières 1ers</t>
  </si>
  <si>
    <t>608200</t>
  </si>
  <si>
    <t>Frais accessoires s/approvision.</t>
  </si>
  <si>
    <t>608400</t>
  </si>
  <si>
    <t>Frais accessoires s/études</t>
  </si>
  <si>
    <t>608500</t>
  </si>
  <si>
    <t>Frais accessoires s/matériel</t>
  </si>
  <si>
    <t>608600</t>
  </si>
  <si>
    <t>Frais accessoires s/fournitures</t>
  </si>
  <si>
    <t>608700</t>
  </si>
  <si>
    <t>Frais accessoires s/marchandises</t>
  </si>
  <si>
    <t>R.R.R.obtenus s/ach.mat.premières</t>
  </si>
  <si>
    <t>609200</t>
  </si>
  <si>
    <t>R.R.R.obtenus s/ach.aut.approv.stoc</t>
  </si>
  <si>
    <t>609400</t>
  </si>
  <si>
    <t>R.R.R.obtenus s/ach.étud. &amp; pr.sces</t>
  </si>
  <si>
    <t>609500</t>
  </si>
  <si>
    <t>R.R.R. obtenus s/ach.mat.équip.tvx</t>
  </si>
  <si>
    <t>609600</t>
  </si>
  <si>
    <t>R.R.R.obtenus s/ach.approv.n/stocké</t>
  </si>
  <si>
    <t>609800</t>
  </si>
  <si>
    <t>R.R.R.obtenus non affectés</t>
  </si>
  <si>
    <t>611002</t>
  </si>
  <si>
    <t>611004</t>
  </si>
  <si>
    <t>611006</t>
  </si>
  <si>
    <t>GARDIENNAGE SURVEILLANCE</t>
  </si>
  <si>
    <t>611007</t>
  </si>
  <si>
    <t>611008</t>
  </si>
  <si>
    <t>REDEVANCES FGS</t>
  </si>
  <si>
    <t>611009</t>
  </si>
  <si>
    <t>611010</t>
  </si>
  <si>
    <t>611011</t>
  </si>
  <si>
    <t>SILLIKER / ERCEM</t>
  </si>
  <si>
    <t>611101</t>
  </si>
  <si>
    <t>611102</t>
  </si>
  <si>
    <t>611103</t>
  </si>
  <si>
    <t>611104</t>
  </si>
  <si>
    <t>611105</t>
  </si>
  <si>
    <t>611107</t>
  </si>
  <si>
    <t>611108</t>
  </si>
  <si>
    <t>611109</t>
  </si>
  <si>
    <t>611110</t>
  </si>
  <si>
    <t>611940</t>
  </si>
  <si>
    <t>Sous-traitance hors CEE</t>
  </si>
  <si>
    <t>Redevances crédit-bail mobilier</t>
  </si>
  <si>
    <t>612201</t>
  </si>
  <si>
    <t>612220</t>
  </si>
  <si>
    <t>Redevances crédit-bail mat. transp.</t>
  </si>
  <si>
    <t>612500</t>
  </si>
  <si>
    <t>Redevances crédit-bail immobilier</t>
  </si>
  <si>
    <t>613210</t>
  </si>
  <si>
    <t>Redevances de gérance libre</t>
  </si>
  <si>
    <t>Locations mobilières</t>
  </si>
  <si>
    <t>Locations de matériel de transport</t>
  </si>
  <si>
    <t>Locations de matériel de bureau</t>
  </si>
  <si>
    <t>613580</t>
  </si>
  <si>
    <t>Charges locatives &amp; copropriété</t>
  </si>
  <si>
    <t>615000</t>
  </si>
  <si>
    <t>615002</t>
  </si>
  <si>
    <t>ELIWELL</t>
  </si>
  <si>
    <t>Entretien immobilier</t>
  </si>
  <si>
    <t>ENTRETIEN MAT. TRANSPORT</t>
  </si>
  <si>
    <t>615510</t>
  </si>
  <si>
    <t>615511</t>
  </si>
  <si>
    <t>ENTRETIEN  PLOMBERIE</t>
  </si>
  <si>
    <t>615512</t>
  </si>
  <si>
    <t>ENTRETIEN CARRELAGE</t>
  </si>
  <si>
    <t>615513</t>
  </si>
  <si>
    <t>ENTRETIEN MOBILIER</t>
  </si>
  <si>
    <t>615514</t>
  </si>
  <si>
    <t>ENTRETIEN PEINTURE</t>
  </si>
  <si>
    <t>615530</t>
  </si>
  <si>
    <t>Entretien du matériel de bureau</t>
  </si>
  <si>
    <t>615601</t>
  </si>
  <si>
    <t>615603</t>
  </si>
  <si>
    <t>615606</t>
  </si>
  <si>
    <t>615608</t>
  </si>
  <si>
    <t>ENTRETIEN SPIE</t>
  </si>
  <si>
    <t>MAINT ELECTRICITE</t>
  </si>
  <si>
    <t>CALIBRATION</t>
  </si>
  <si>
    <t>Abonnement recrue</t>
  </si>
  <si>
    <t>616010</t>
  </si>
  <si>
    <t>ASSCE AXA / refact FGS  EXT CCA</t>
  </si>
  <si>
    <t>616100</t>
  </si>
  <si>
    <t>616120</t>
  </si>
  <si>
    <t>616130</t>
  </si>
  <si>
    <t>ASSURANCE AUTO MISSION</t>
  </si>
  <si>
    <t>616140</t>
  </si>
  <si>
    <t>ASS MANDATAIRES SOCIAUX</t>
  </si>
  <si>
    <t>616150</t>
  </si>
  <si>
    <t>ASSCE FINAXY MANDATAIRES SOCIAUX 01</t>
  </si>
  <si>
    <t>616170</t>
  </si>
  <si>
    <t>ASSURANCE CYBER RISQUES</t>
  </si>
  <si>
    <t>Assurances dommage-construction</t>
  </si>
  <si>
    <t>Assurance matériel de transport</t>
  </si>
  <si>
    <t>616400</t>
  </si>
  <si>
    <t>Risques d'exploitation</t>
  </si>
  <si>
    <t>616500</t>
  </si>
  <si>
    <t>Insolvabilité clients</t>
  </si>
  <si>
    <t>616600</t>
  </si>
  <si>
    <t>Assurance COFACE</t>
  </si>
  <si>
    <t>616700</t>
  </si>
  <si>
    <t>Assurance des risques de pollution</t>
  </si>
  <si>
    <t>616800</t>
  </si>
  <si>
    <t>Primes d'assurance responsab. civil</t>
  </si>
  <si>
    <t>617000</t>
  </si>
  <si>
    <t>Etudes et recherches</t>
  </si>
  <si>
    <t>618300</t>
  </si>
  <si>
    <t>Documentation technique</t>
  </si>
  <si>
    <t>618500</t>
  </si>
  <si>
    <t>Frais de colloques, de séminaires</t>
  </si>
  <si>
    <t>619000</t>
  </si>
  <si>
    <t>R.R.R. obtenus sur services extér.</t>
  </si>
  <si>
    <t>621100</t>
  </si>
  <si>
    <t>Personnel intérimaire</t>
  </si>
  <si>
    <t>Personnel prêté</t>
  </si>
  <si>
    <t>622100</t>
  </si>
  <si>
    <t>Commissions et courtages sur achats</t>
  </si>
  <si>
    <t>622200</t>
  </si>
  <si>
    <t>Commissions et courtages sur ventes</t>
  </si>
  <si>
    <t>622280</t>
  </si>
  <si>
    <t>Com. et courtages s/ventes retroc.</t>
  </si>
  <si>
    <t>622400</t>
  </si>
  <si>
    <t>Rémunérations des transitaires</t>
  </si>
  <si>
    <t>622500</t>
  </si>
  <si>
    <t>Rémunérations d'affacturage</t>
  </si>
  <si>
    <t>622601</t>
  </si>
  <si>
    <t>622602</t>
  </si>
  <si>
    <t>622604</t>
  </si>
  <si>
    <t>Retrocessions d'honoraires</t>
  </si>
  <si>
    <t>Rémun. &amp; Honoraires divers</t>
  </si>
  <si>
    <t>622890</t>
  </si>
  <si>
    <t>RECLST FORMATIONS</t>
  </si>
  <si>
    <t>EPIC brochure groupes 2019  EXT CCA</t>
  </si>
  <si>
    <t>623012</t>
  </si>
  <si>
    <t>PROV PUB 0,5%</t>
  </si>
  <si>
    <t>623102</t>
  </si>
  <si>
    <t>Echantillons</t>
  </si>
  <si>
    <t>623300</t>
  </si>
  <si>
    <t>Foires et expositions</t>
  </si>
  <si>
    <t>623500</t>
  </si>
  <si>
    <t>Primes</t>
  </si>
  <si>
    <t>623600</t>
  </si>
  <si>
    <t>Catalogues et imprimés</t>
  </si>
  <si>
    <t>623700</t>
  </si>
  <si>
    <t>Pubications</t>
  </si>
  <si>
    <t>POURBOIRES, DONS</t>
  </si>
  <si>
    <t>623900</t>
  </si>
  <si>
    <t>DECORATION</t>
  </si>
  <si>
    <t>624200</t>
  </si>
  <si>
    <t>Transports sur ventes</t>
  </si>
  <si>
    <t>624700</t>
  </si>
  <si>
    <t>Transports collectifs du personnel</t>
  </si>
  <si>
    <t>624800</t>
  </si>
  <si>
    <t>Transports divers</t>
  </si>
  <si>
    <t>625101</t>
  </si>
  <si>
    <t>625104</t>
  </si>
  <si>
    <t>VOY.DEPL. MGRS</t>
  </si>
  <si>
    <t>625105</t>
  </si>
  <si>
    <t>VOY.DEPL. DIRECTEUR</t>
  </si>
  <si>
    <t>Frais accessoires des véhicules</t>
  </si>
  <si>
    <t>Forfait kilométriques</t>
  </si>
  <si>
    <t>625500</t>
  </si>
  <si>
    <t>Frais et déménagement</t>
  </si>
  <si>
    <t>Réceptions</t>
  </si>
  <si>
    <t>LA POSTE</t>
  </si>
  <si>
    <t>626008</t>
  </si>
  <si>
    <t>WORDLINE CEL</t>
  </si>
  <si>
    <t>*CB COM MCDONALDS 310319</t>
  </si>
  <si>
    <t>627006</t>
  </si>
  <si>
    <t>627100</t>
  </si>
  <si>
    <t>Frais sur titres</t>
  </si>
  <si>
    <t>627500</t>
  </si>
  <si>
    <t>Frais sur effets</t>
  </si>
  <si>
    <t>627600</t>
  </si>
  <si>
    <t>Locations de coffres</t>
  </si>
  <si>
    <t>627700</t>
  </si>
  <si>
    <t>Commissions sur lettres de crédit</t>
  </si>
  <si>
    <t>627800</t>
  </si>
  <si>
    <t>COMMISSIONS TICKETS RESTAURANT</t>
  </si>
  <si>
    <t>Cotisation CGA</t>
  </si>
  <si>
    <t>628101</t>
  </si>
  <si>
    <t>COTISATION SNARR</t>
  </si>
  <si>
    <t>628110</t>
  </si>
  <si>
    <t>Cotisations professionnelles</t>
  </si>
  <si>
    <t>Sous-Traitance comptable</t>
  </si>
  <si>
    <t>Travaux de gardiennage</t>
  </si>
  <si>
    <t>628800</t>
  </si>
  <si>
    <t>EURL  F.G.S.</t>
  </si>
  <si>
    <t>628820</t>
  </si>
  <si>
    <t>SEPROMA</t>
  </si>
  <si>
    <t>629000</t>
  </si>
  <si>
    <t>R.R.R. obtenus s/autres sces exter.</t>
  </si>
  <si>
    <t>631100</t>
  </si>
  <si>
    <t>Taxe sur les salaires</t>
  </si>
  <si>
    <t>631200</t>
  </si>
  <si>
    <t>631300</t>
  </si>
  <si>
    <t>FORMATION PROF CONTINUE</t>
  </si>
  <si>
    <t>631400</t>
  </si>
  <si>
    <t>Défaut d'investissement construct.</t>
  </si>
  <si>
    <t>631500</t>
  </si>
  <si>
    <t>COTISATION AGEFIPH</t>
  </si>
  <si>
    <t>631800</t>
  </si>
  <si>
    <t>Autres taxes versées aux impôts</t>
  </si>
  <si>
    <t>633100</t>
  </si>
  <si>
    <t>Versement de transport</t>
  </si>
  <si>
    <t>633200</t>
  </si>
  <si>
    <t>Allocation logement</t>
  </si>
  <si>
    <t>633800</t>
  </si>
  <si>
    <t>Autres taxes versées organismes</t>
  </si>
  <si>
    <t>634600</t>
  </si>
  <si>
    <t>Taxe intérieure s/pdts pétroliers</t>
  </si>
  <si>
    <t>Contribut° économique territoriale</t>
  </si>
  <si>
    <t>635120</t>
  </si>
  <si>
    <t>Autres impôts locaux</t>
  </si>
  <si>
    <t>635200</t>
  </si>
  <si>
    <t>TVA non récupérables</t>
  </si>
  <si>
    <t>Impôts indirects</t>
  </si>
  <si>
    <t>635400</t>
  </si>
  <si>
    <t>Vignettes automobiles</t>
  </si>
  <si>
    <t>635410</t>
  </si>
  <si>
    <t>Droits de mutation</t>
  </si>
  <si>
    <t>635420</t>
  </si>
  <si>
    <t>Timbres fiscaux</t>
  </si>
  <si>
    <t>635430</t>
  </si>
  <si>
    <t>635600</t>
  </si>
  <si>
    <t>REDEVANCE TV</t>
  </si>
  <si>
    <t>637200</t>
  </si>
  <si>
    <t>Taxes perçues org. publics internat</t>
  </si>
  <si>
    <t>CSG Déductible</t>
  </si>
  <si>
    <t>Impôts taxes exigibles à l'étranger</t>
  </si>
  <si>
    <t>641010</t>
  </si>
  <si>
    <t>SALAIRE DIRECTION</t>
  </si>
  <si>
    <t>641050</t>
  </si>
  <si>
    <t>SALAIRE PRESIDENT</t>
  </si>
  <si>
    <t>641100</t>
  </si>
  <si>
    <t>Salaires appointements</t>
  </si>
  <si>
    <t>641150</t>
  </si>
  <si>
    <t>Salaires administrateurs gérance</t>
  </si>
  <si>
    <t>Congés payés</t>
  </si>
  <si>
    <t>641202</t>
  </si>
  <si>
    <t>CONGÉS PAYÉS PRIS EQUIPIERS</t>
  </si>
  <si>
    <t>641203</t>
  </si>
  <si>
    <t>CONGÉS PAYÉS PRIS MANAGERS</t>
  </si>
  <si>
    <t>641302</t>
  </si>
  <si>
    <t>PRIME EQUIPIERS</t>
  </si>
  <si>
    <t>641303</t>
  </si>
  <si>
    <t>PRIMES MANAGERS</t>
  </si>
  <si>
    <t>Indemnités et avantages divers</t>
  </si>
  <si>
    <t>INDEMNITES LICENCIEMENT</t>
  </si>
  <si>
    <t>INDEMNITÉ ACTIVITÉ PARTIELLE  EQUIP</t>
  </si>
  <si>
    <t>INDEMNITÉ ACTIVITÉ PARTIELLE  MGR</t>
  </si>
  <si>
    <t>641413</t>
  </si>
  <si>
    <t>PRIMES POUVOIR ACHAT MANAGERS</t>
  </si>
  <si>
    <t>641450</t>
  </si>
  <si>
    <t>SALAIRES MANAGER</t>
  </si>
  <si>
    <t>641500</t>
  </si>
  <si>
    <t>Supplément familial</t>
  </si>
  <si>
    <t>641520</t>
  </si>
  <si>
    <t>SALAIRES MANAGER / INDEMNITE BLANCH</t>
  </si>
  <si>
    <t>641700</t>
  </si>
  <si>
    <t>Avantages en nature</t>
  </si>
  <si>
    <t>641800</t>
  </si>
  <si>
    <t>Salaires provisionnés</t>
  </si>
  <si>
    <t>641850</t>
  </si>
  <si>
    <t>641912</t>
  </si>
  <si>
    <t>ACTIVITE PARTIELLE PERCUE</t>
  </si>
  <si>
    <t>644000</t>
  </si>
  <si>
    <t>Rémunération de l'exploitant</t>
  </si>
  <si>
    <t>645100</t>
  </si>
  <si>
    <t>Cotisations à l'URSSAF</t>
  </si>
  <si>
    <t>URSSAF DIRECTION</t>
  </si>
  <si>
    <t>645103</t>
  </si>
  <si>
    <t>645200</t>
  </si>
  <si>
    <t>Cotisations aux mutuelles</t>
  </si>
  <si>
    <t>645202</t>
  </si>
  <si>
    <t>645203</t>
  </si>
  <si>
    <t>645220</t>
  </si>
  <si>
    <t>645300</t>
  </si>
  <si>
    <t>Cotisations aux caisses de retraite</t>
  </si>
  <si>
    <t>PREVOYANCE DIRECTION</t>
  </si>
  <si>
    <t>645303</t>
  </si>
  <si>
    <t>645310</t>
  </si>
  <si>
    <t>Cotisations retraites (cadres)</t>
  </si>
  <si>
    <t>645311</t>
  </si>
  <si>
    <t>RETRAITE DIRECTION</t>
  </si>
  <si>
    <t>645312</t>
  </si>
  <si>
    <t>645313</t>
  </si>
  <si>
    <t>Cotisations retraites (salariés)</t>
  </si>
  <si>
    <t>Cotisations Prévoyance</t>
  </si>
  <si>
    <t>645400</t>
  </si>
  <si>
    <t>Cotisations Pôle Emploi</t>
  </si>
  <si>
    <t>645403</t>
  </si>
  <si>
    <t>Cotisations autres organism. socx</t>
  </si>
  <si>
    <t>CHARGES SOC S/CP MANAGERS</t>
  </si>
  <si>
    <t>645840</t>
  </si>
  <si>
    <t>PROV CS/PRIMES</t>
  </si>
  <si>
    <t>645911</t>
  </si>
  <si>
    <t>COVID EXO URSSAF</t>
  </si>
  <si>
    <t>645912</t>
  </si>
  <si>
    <t>REMBT COTISATION URSSAF</t>
  </si>
  <si>
    <t>Cotisations sociales person.exploit</t>
  </si>
  <si>
    <t>646100</t>
  </si>
  <si>
    <t>Allocations familiales</t>
  </si>
  <si>
    <t>Maladie</t>
  </si>
  <si>
    <t>Vieillesse</t>
  </si>
  <si>
    <t>646400</t>
  </si>
  <si>
    <t>Retraite complémentaire et facultat</t>
  </si>
  <si>
    <t>646500</t>
  </si>
  <si>
    <t>Complémentaire maladie</t>
  </si>
  <si>
    <t>646600</t>
  </si>
  <si>
    <t>Perte d'emploi</t>
  </si>
  <si>
    <t>647000</t>
  </si>
  <si>
    <t>Autres charges sociales</t>
  </si>
  <si>
    <t>647100</t>
  </si>
  <si>
    <t>Prestations directes</t>
  </si>
  <si>
    <t>647200</t>
  </si>
  <si>
    <t>647300</t>
  </si>
  <si>
    <t>Dotations CHSCT</t>
  </si>
  <si>
    <t>647400</t>
  </si>
  <si>
    <t>Dotations oeuvres sociales</t>
  </si>
  <si>
    <t>647510</t>
  </si>
  <si>
    <t>PHARMACIE</t>
  </si>
  <si>
    <t>647600</t>
  </si>
  <si>
    <t>Cartes de transport</t>
  </si>
  <si>
    <t>647700</t>
  </si>
  <si>
    <t>647800</t>
  </si>
  <si>
    <t>Stages formation perfectionnement</t>
  </si>
  <si>
    <t>648000</t>
  </si>
  <si>
    <t>648020</t>
  </si>
  <si>
    <t>SACEM 1/7-30/6/2019  EXT CCA</t>
  </si>
  <si>
    <t>651010</t>
  </si>
  <si>
    <t>651021</t>
  </si>
  <si>
    <t>651100</t>
  </si>
  <si>
    <t>Redevances SACEM</t>
  </si>
  <si>
    <t>651300</t>
  </si>
  <si>
    <t>Redevances de franchissage</t>
  </si>
  <si>
    <t>651600</t>
  </si>
  <si>
    <t>Droits d'auteurs</t>
  </si>
  <si>
    <t>651800</t>
  </si>
  <si>
    <t>Autres droits et valeurs similaires</t>
  </si>
  <si>
    <t>653000</t>
  </si>
  <si>
    <t>Jetons de présence</t>
  </si>
  <si>
    <t>654000</t>
  </si>
  <si>
    <t>Pertes s/créances irrécouvrables</t>
  </si>
  <si>
    <t>PERTE CREANCE IRRECOUVRABLE</t>
  </si>
  <si>
    <t>654400</t>
  </si>
  <si>
    <t>Pertes sur créances antérieures</t>
  </si>
  <si>
    <t>Quote part de résultat s/opér.comm.</t>
  </si>
  <si>
    <t>656000</t>
  </si>
  <si>
    <t>Perte change / Cré. &amp; Det. Ciales</t>
  </si>
  <si>
    <t>CHARGES DIVERSES GESTION COURA</t>
  </si>
  <si>
    <t>658100</t>
  </si>
  <si>
    <t>Intérêts sur emprunts et dettes</t>
  </si>
  <si>
    <t>661170</t>
  </si>
  <si>
    <t>Intérêts sur dettes participations</t>
  </si>
  <si>
    <t>Intérêts comptes courants dépôts CR</t>
  </si>
  <si>
    <t>661610</t>
  </si>
  <si>
    <t>Intérêts d'escompte</t>
  </si>
  <si>
    <t>661700</t>
  </si>
  <si>
    <t>Intérêts obligations cautionnées</t>
  </si>
  <si>
    <t>661800</t>
  </si>
  <si>
    <t>Intérêts des autres dettes</t>
  </si>
  <si>
    <t>661810</t>
  </si>
  <si>
    <t>ntérêts des dettes commerciales</t>
  </si>
  <si>
    <t>661880</t>
  </si>
  <si>
    <t>Intérêts des dettes diverses</t>
  </si>
  <si>
    <t>664000</t>
  </si>
  <si>
    <t>Pertes s/créances liées à particip.</t>
  </si>
  <si>
    <t>665000</t>
  </si>
  <si>
    <t>Escomptes accordés</t>
  </si>
  <si>
    <t>667000</t>
  </si>
  <si>
    <t>668000</t>
  </si>
  <si>
    <t>Autres charges financières</t>
  </si>
  <si>
    <t>668700</t>
  </si>
  <si>
    <t>Commission financière d'affacturage</t>
  </si>
  <si>
    <t>Ecart de conversion EURO</t>
  </si>
  <si>
    <t>671000</t>
  </si>
  <si>
    <t>Charges exception. s/opérat.gestion</t>
  </si>
  <si>
    <t>Dons et libéralités</t>
  </si>
  <si>
    <t>671400</t>
  </si>
  <si>
    <t>Créances devenues irrécouvrables</t>
  </si>
  <si>
    <t>671500</t>
  </si>
  <si>
    <t>Subventions accordées</t>
  </si>
  <si>
    <t>671700</t>
  </si>
  <si>
    <t>Rappel d'impôts hors IS</t>
  </si>
  <si>
    <t>671810</t>
  </si>
  <si>
    <t>Vols</t>
  </si>
  <si>
    <t>671820</t>
  </si>
  <si>
    <t>Annulation de créances</t>
  </si>
  <si>
    <t>674100</t>
  </si>
  <si>
    <t>Op. liées à la constit. fiducie</t>
  </si>
  <si>
    <t>674200</t>
  </si>
  <si>
    <t>Op. liées à la liquid. fiducie</t>
  </si>
  <si>
    <t>VNC actifs cédés - Immo incorp.</t>
  </si>
  <si>
    <t>VALEUR COMPTABLE ELT ACTIF CEDE</t>
  </si>
  <si>
    <t>VNC actifs cédés - Immo financières</t>
  </si>
  <si>
    <t>681100</t>
  </si>
  <si>
    <t>DOTATION AMORT</t>
  </si>
  <si>
    <t>DAP IMMO CORP</t>
  </si>
  <si>
    <t>681200</t>
  </si>
  <si>
    <t>Dot. amort. ch. exploit. à répartir</t>
  </si>
  <si>
    <t>DOT PROV RISQ CHARGES EXPL.</t>
  </si>
  <si>
    <t>681610</t>
  </si>
  <si>
    <t>Dot. prov. s/immobil. incorporel.</t>
  </si>
  <si>
    <t>681620</t>
  </si>
  <si>
    <t>Dot. prov. s/immobil. corporel.</t>
  </si>
  <si>
    <t>681730</t>
  </si>
  <si>
    <t>Dot. prov. dépréc. stocks en-cours</t>
  </si>
  <si>
    <t>681740</t>
  </si>
  <si>
    <t>Dot. prov. dépréc. créances clients</t>
  </si>
  <si>
    <t>681745</t>
  </si>
  <si>
    <t>Dot. prov. dépréc. autres créances</t>
  </si>
  <si>
    <t>686100</t>
  </si>
  <si>
    <t>Dot. prov. amort.prime rembourst</t>
  </si>
  <si>
    <t>686400</t>
  </si>
  <si>
    <t>Dot. prov. risques part. équivalenc</t>
  </si>
  <si>
    <t>686500</t>
  </si>
  <si>
    <t>Dot. prov. risques financiers</t>
  </si>
  <si>
    <t>Dot. prov. dépréc. immob. financ.</t>
  </si>
  <si>
    <t>686640</t>
  </si>
  <si>
    <t>Dot. prov. dépréc. T.I.A.P</t>
  </si>
  <si>
    <t>Dot. prov. dépréc. V.M.P</t>
  </si>
  <si>
    <t>687200</t>
  </si>
  <si>
    <t>Dot. provisions réglementées</t>
  </si>
  <si>
    <t>687300</t>
  </si>
  <si>
    <t>687400</t>
  </si>
  <si>
    <t>Dot. autres provisions réglementées</t>
  </si>
  <si>
    <t>687500</t>
  </si>
  <si>
    <t>Dot. prov. risques et charges excep</t>
  </si>
  <si>
    <t>687600</t>
  </si>
  <si>
    <t>Dot. prov. dépréciat. exceptionnel.</t>
  </si>
  <si>
    <t>689000</t>
  </si>
  <si>
    <t>Dot. provisions pour impôts</t>
  </si>
  <si>
    <t>691000</t>
  </si>
  <si>
    <t>IMPOTS SOCIETE</t>
  </si>
  <si>
    <t>696000</t>
  </si>
  <si>
    <t>Contribution supplémentaire de 10 %</t>
  </si>
  <si>
    <t>697000</t>
  </si>
  <si>
    <t>Impôsition forfaitaire annuelle</t>
  </si>
  <si>
    <t>698100</t>
  </si>
  <si>
    <t>Intégration fiscale - charges</t>
  </si>
  <si>
    <t>698900</t>
  </si>
  <si>
    <t>Intégration fiscale - produits</t>
  </si>
  <si>
    <t>699000</t>
  </si>
  <si>
    <t>CREDIT IMPOT MECENAT</t>
  </si>
  <si>
    <t>699500</t>
  </si>
  <si>
    <t>Crédit d'impôt recherche</t>
  </si>
  <si>
    <t>699600</t>
  </si>
  <si>
    <t>Crédit d'impôt formation</t>
  </si>
  <si>
    <t>701000</t>
  </si>
  <si>
    <t>Ventes produit finis (ou groupe) A</t>
  </si>
  <si>
    <t>701300</t>
  </si>
  <si>
    <t>HAPPY MEALS 19,6 %</t>
  </si>
  <si>
    <t>701400</t>
  </si>
  <si>
    <t>701900</t>
  </si>
  <si>
    <t>Ventes de produits finis (export)</t>
  </si>
  <si>
    <t>701920</t>
  </si>
  <si>
    <t>Ventes de produits finis (intracom)</t>
  </si>
  <si>
    <t>702000</t>
  </si>
  <si>
    <t>702100</t>
  </si>
  <si>
    <t>Places Ciné Clients 5,5 %</t>
  </si>
  <si>
    <t>702200</t>
  </si>
  <si>
    <t>702400</t>
  </si>
  <si>
    <t>702900</t>
  </si>
  <si>
    <t>Ventes pdts intermédiaires (export)</t>
  </si>
  <si>
    <t>702920</t>
  </si>
  <si>
    <t>Ventes pdts intermédiaires (intrac)</t>
  </si>
  <si>
    <t>703000</t>
  </si>
  <si>
    <t>Ventes de produits résiduels</t>
  </si>
  <si>
    <t>703900</t>
  </si>
  <si>
    <t>Ventes produits résiduels (export)</t>
  </si>
  <si>
    <t>703920</t>
  </si>
  <si>
    <t>Ventes produits résiduels (intrac)</t>
  </si>
  <si>
    <t>704000</t>
  </si>
  <si>
    <t>Travaux</t>
  </si>
  <si>
    <t>704900</t>
  </si>
  <si>
    <t>Travaux (Export)</t>
  </si>
  <si>
    <t>704920</t>
  </si>
  <si>
    <t>Travaux (intracom)</t>
  </si>
  <si>
    <t>705000</t>
  </si>
  <si>
    <t>Etudes</t>
  </si>
  <si>
    <t>705900</t>
  </si>
  <si>
    <t>Etudes (export)</t>
  </si>
  <si>
    <t>705920</t>
  </si>
  <si>
    <t>Etudes (intracom)</t>
  </si>
  <si>
    <t>706000</t>
  </si>
  <si>
    <t>Prestations de services</t>
  </si>
  <si>
    <t>706800</t>
  </si>
  <si>
    <t>Service au % revenant au personnel</t>
  </si>
  <si>
    <t>706900</t>
  </si>
  <si>
    <t>Prestations de services (export)</t>
  </si>
  <si>
    <t>706920</t>
  </si>
  <si>
    <t>Prestations de services (intracom)</t>
  </si>
  <si>
    <t>707000</t>
  </si>
  <si>
    <t>Ventes de marchandises</t>
  </si>
  <si>
    <t>707080</t>
  </si>
  <si>
    <t>Retrocessions à prix coûtant</t>
  </si>
  <si>
    <t>707100</t>
  </si>
  <si>
    <t>Ventes de marchandise A</t>
  </si>
  <si>
    <t>707200</t>
  </si>
  <si>
    <t>Ventes de marchandise B</t>
  </si>
  <si>
    <t>707900</t>
  </si>
  <si>
    <t>Ventes de marchandises (export)</t>
  </si>
  <si>
    <t>707920</t>
  </si>
  <si>
    <t>Ventes de marchandises (intracom)</t>
  </si>
  <si>
    <t>Produits des activités annexes</t>
  </si>
  <si>
    <t>Fact. FA0435 Tessi Marketing Servic</t>
  </si>
  <si>
    <t>708102</t>
  </si>
  <si>
    <t>Fact. FA0420 VIRGILE-S</t>
  </si>
  <si>
    <t>Fact. FA0430 VALENTINE-S</t>
  </si>
  <si>
    <t>708105</t>
  </si>
  <si>
    <t>Fact. FA0417 VICTOR-S</t>
  </si>
  <si>
    <t>Commissions et courtages</t>
  </si>
  <si>
    <t>708290</t>
  </si>
  <si>
    <t>Commissions et courtages (export)</t>
  </si>
  <si>
    <t>708320</t>
  </si>
  <si>
    <t>Produits des locations immobilières</t>
  </si>
  <si>
    <t>708390</t>
  </si>
  <si>
    <t>Locations diverses (export)</t>
  </si>
  <si>
    <t>Mise à disposition de personnel</t>
  </si>
  <si>
    <t>708490</t>
  </si>
  <si>
    <t>Mise disposition personnel (export)</t>
  </si>
  <si>
    <t>Ports et frais facturés</t>
  </si>
  <si>
    <t>708520</t>
  </si>
  <si>
    <t>Fact. FA0434 VALENTINE-S</t>
  </si>
  <si>
    <t>708590</t>
  </si>
  <si>
    <t>Ports et frais facturés (export)</t>
  </si>
  <si>
    <t>Autres produits activités annexes</t>
  </si>
  <si>
    <t>708801</t>
  </si>
  <si>
    <t>708802</t>
  </si>
  <si>
    <t>Fact. FA0467 Tessi Marketing Servic</t>
  </si>
  <si>
    <t>708803</t>
  </si>
  <si>
    <t>RETROCESSION PAPIER</t>
  </si>
  <si>
    <t>708804</t>
  </si>
  <si>
    <t>RETROCESSION HM</t>
  </si>
  <si>
    <t>708805</t>
  </si>
  <si>
    <t>RETROCESSION OPS</t>
  </si>
  <si>
    <t>708806</t>
  </si>
  <si>
    <t>708807</t>
  </si>
  <si>
    <t>708808</t>
  </si>
  <si>
    <t>708809</t>
  </si>
  <si>
    <t>REFACTRURATION DIVERSES</t>
  </si>
  <si>
    <t>Autres produits annexes (export)</t>
  </si>
  <si>
    <t>709100</t>
  </si>
  <si>
    <t>R.R.R.accordés s/vtes prod. finis</t>
  </si>
  <si>
    <t>709190</t>
  </si>
  <si>
    <t>R.R.R.accordés s/vtes prod. (export</t>
  </si>
  <si>
    <t>709200</t>
  </si>
  <si>
    <t>R.R.R.accordés s/vtes prod. interm.</t>
  </si>
  <si>
    <t>709290</t>
  </si>
  <si>
    <t>R.R.R.accordés s/vtes interm. (expo</t>
  </si>
  <si>
    <t>709400</t>
  </si>
  <si>
    <t>R.R.R.accordés s/travaux</t>
  </si>
  <si>
    <t>709490</t>
  </si>
  <si>
    <t>R.R.R.accordés s/travaux (export)</t>
  </si>
  <si>
    <t>709500</t>
  </si>
  <si>
    <t>R.R.R.accordés s/études</t>
  </si>
  <si>
    <t>709590</t>
  </si>
  <si>
    <t>R.R.R.accordés s/études (export)</t>
  </si>
  <si>
    <t>709600</t>
  </si>
  <si>
    <t>R.R.R.accordés s/prestat. de sces</t>
  </si>
  <si>
    <t>709690</t>
  </si>
  <si>
    <t>R.R.R.accordés s/prestat. (export)</t>
  </si>
  <si>
    <t>709700</t>
  </si>
  <si>
    <t>R.R.R.accordés s/vtes de marchand.</t>
  </si>
  <si>
    <t>709790</t>
  </si>
  <si>
    <t>R.R.R.accordés s/ventes (export)</t>
  </si>
  <si>
    <t>709800</t>
  </si>
  <si>
    <t>R.R.R.accordés s/prod. activ. ann.</t>
  </si>
  <si>
    <t>709890</t>
  </si>
  <si>
    <t>R.R.R.accordés s/annexes (export)</t>
  </si>
  <si>
    <t>713300</t>
  </si>
  <si>
    <t>Variation encours product. biens</t>
  </si>
  <si>
    <t>713400</t>
  </si>
  <si>
    <t>Variation encours product. services</t>
  </si>
  <si>
    <t>713500</t>
  </si>
  <si>
    <t>Variation stocks produits</t>
  </si>
  <si>
    <t>720000</t>
  </si>
  <si>
    <t>Production immobilisée</t>
  </si>
  <si>
    <t>721000</t>
  </si>
  <si>
    <t>Production immobilisée incorporelle</t>
  </si>
  <si>
    <t>722000</t>
  </si>
  <si>
    <t>Production immobilisée corporelle</t>
  </si>
  <si>
    <t>726000</t>
  </si>
  <si>
    <t>730000</t>
  </si>
  <si>
    <t>Produits nets partiels opér. LT</t>
  </si>
  <si>
    <t>FONDS DE SOLIDARITE JANVIER  / EXT</t>
  </si>
  <si>
    <t>740010</t>
  </si>
  <si>
    <t>SUBVENTION EXPLOITATION IMPOSABLE</t>
  </si>
  <si>
    <t>740020</t>
  </si>
  <si>
    <t>SUBVENTION EXPLOITATION NON IMPOSAB</t>
  </si>
  <si>
    <t>751000</t>
  </si>
  <si>
    <t>Redevances pour brevets, licences</t>
  </si>
  <si>
    <t>751100</t>
  </si>
  <si>
    <t>Redevances pour brevets</t>
  </si>
  <si>
    <t>751600</t>
  </si>
  <si>
    <t>752000</t>
  </si>
  <si>
    <t>Revenus immeubl. n/affect. act.prof</t>
  </si>
  <si>
    <t>753000</t>
  </si>
  <si>
    <t>Jetons présence &amp; rémun. administ.</t>
  </si>
  <si>
    <t>755000</t>
  </si>
  <si>
    <t>Quotes-parts résult. faites commun</t>
  </si>
  <si>
    <t>756000</t>
  </si>
  <si>
    <t>Gain change / Cré. &amp; Det. Ciales</t>
  </si>
  <si>
    <t>PRODUITS DIVERS GEST° COURANTE</t>
  </si>
  <si>
    <t>758100</t>
  </si>
  <si>
    <t>761000</t>
  </si>
  <si>
    <t>Produits de participations</t>
  </si>
  <si>
    <t>762000</t>
  </si>
  <si>
    <t>Produits autres immobilis.financ.</t>
  </si>
  <si>
    <t>762100</t>
  </si>
  <si>
    <t>Revenus des titres immobilisés</t>
  </si>
  <si>
    <t>762400</t>
  </si>
  <si>
    <t>Revenus des prêts</t>
  </si>
  <si>
    <t>762700</t>
  </si>
  <si>
    <t>Revenus des créances immobilisées</t>
  </si>
  <si>
    <t>763000</t>
  </si>
  <si>
    <t>Revenus autres créances</t>
  </si>
  <si>
    <t>763100</t>
  </si>
  <si>
    <t>Revenus des créances commerciales</t>
  </si>
  <si>
    <t>Revenus des VMP</t>
  </si>
  <si>
    <t>765000</t>
  </si>
  <si>
    <t>Escomptes obtenus</t>
  </si>
  <si>
    <t>Produits nets s/cessions VMP</t>
  </si>
  <si>
    <t>768000</t>
  </si>
  <si>
    <t>AUTRE PROCUITS FINANCIERS</t>
  </si>
  <si>
    <t>Produits except. s/opér. gestion</t>
  </si>
  <si>
    <t>Libéralités perçues</t>
  </si>
  <si>
    <t>771400</t>
  </si>
  <si>
    <t>Rentrées sur créances amorties</t>
  </si>
  <si>
    <t>771500</t>
  </si>
  <si>
    <t>771700</t>
  </si>
  <si>
    <t>Dégrèvements d'impôts hors IS</t>
  </si>
  <si>
    <t>AUTRES PRODUITS S/OP DE GESTIO</t>
  </si>
  <si>
    <t>775000</t>
  </si>
  <si>
    <t>775100</t>
  </si>
  <si>
    <t>Prod cessions actifs - Immo incorp</t>
  </si>
  <si>
    <t>PDTS CESSIONS IMMO. CORPORELLES</t>
  </si>
  <si>
    <t>775600</t>
  </si>
  <si>
    <t>Prod cessions actifs - Immo Fi.</t>
  </si>
  <si>
    <t>777000</t>
  </si>
  <si>
    <t>Quote-part des subventions virées</t>
  </si>
  <si>
    <t>778000</t>
  </si>
  <si>
    <t>Produits exceptionnels divers</t>
  </si>
  <si>
    <t>778800</t>
  </si>
  <si>
    <t>781610</t>
  </si>
  <si>
    <t>Repris.s/prov.dépréc.immob. incorp.</t>
  </si>
  <si>
    <t>781620</t>
  </si>
  <si>
    <t>Repris.s/prov.dépréc.immob. corp.</t>
  </si>
  <si>
    <t>781730</t>
  </si>
  <si>
    <t>Repris.s/prov.dépréc. stocks</t>
  </si>
  <si>
    <t>781740</t>
  </si>
  <si>
    <t>REPRISE SUR PROV CREANCE IRREC</t>
  </si>
  <si>
    <t>781745</t>
  </si>
  <si>
    <t>Repris.s/prov.dépréc.aut.créances</t>
  </si>
  <si>
    <t>786400</t>
  </si>
  <si>
    <t>Repris.s/prov.parti. mise en équiv.</t>
  </si>
  <si>
    <t>786500</t>
  </si>
  <si>
    <t>Repris.s/prov.risques financiers</t>
  </si>
  <si>
    <t>786620</t>
  </si>
  <si>
    <t>Repris.s/prov.dépréc.immob. financ.</t>
  </si>
  <si>
    <t>786640</t>
  </si>
  <si>
    <t>Repris.s/prov.dépréc. titres IAP</t>
  </si>
  <si>
    <t>Repris.s/prov.dépréc.valeurs placem</t>
  </si>
  <si>
    <t>787200</t>
  </si>
  <si>
    <t>Repris.s/prov.réglementées immob.</t>
  </si>
  <si>
    <t>787260</t>
  </si>
  <si>
    <t>787270</t>
  </si>
  <si>
    <t>Plus-values réinvestis</t>
  </si>
  <si>
    <t>787300</t>
  </si>
  <si>
    <t>Repris.s/prov.réglementées stocks</t>
  </si>
  <si>
    <t>787400</t>
  </si>
  <si>
    <t>Repris.s/prov.réglementées autres</t>
  </si>
  <si>
    <t>787500</t>
  </si>
  <si>
    <t>Repris.s/prov.risques charges excep</t>
  </si>
  <si>
    <t>787600</t>
  </si>
  <si>
    <t>Repris.s/prov.dépréc.exception.</t>
  </si>
  <si>
    <t>789000</t>
  </si>
  <si>
    <t>Repris.s/provisions pour impôts</t>
  </si>
  <si>
    <t>Transfert de charges d'exploitation</t>
  </si>
  <si>
    <t>Transfert affectant marge comm.</t>
  </si>
  <si>
    <t>791300</t>
  </si>
  <si>
    <t>Transfert affectant valeur ajoutée</t>
  </si>
  <si>
    <t>791400</t>
  </si>
  <si>
    <t>Transfert affectant EBE</t>
  </si>
  <si>
    <t>791500</t>
  </si>
  <si>
    <t>Transferts non affectables</t>
  </si>
  <si>
    <t>791622</t>
  </si>
  <si>
    <t>TRANSFERT CHARGES FORMATION</t>
  </si>
  <si>
    <t>791640</t>
  </si>
  <si>
    <t>REMBT PREVOYANCE / EXT ATTENTE</t>
  </si>
  <si>
    <t>791641</t>
  </si>
  <si>
    <t>796000</t>
  </si>
  <si>
    <t>Transfert de charges financières</t>
  </si>
  <si>
    <t>797440</t>
  </si>
  <si>
    <t>Réintégration rémun. exploitant</t>
  </si>
  <si>
    <t>131700</t>
  </si>
  <si>
    <t>Subventions d'investissements</t>
  </si>
  <si>
    <t>139170</t>
  </si>
  <si>
    <t>Subv. inscrites au cpte resultat</t>
  </si>
  <si>
    <t>Prov depart y laemle</t>
  </si>
  <si>
    <t>Provisions points fidelite</t>
  </si>
  <si>
    <t>Provision ifc salaries</t>
  </si>
  <si>
    <t>Emprunt</t>
  </si>
  <si>
    <t>164004</t>
  </si>
  <si>
    <t>Emprunt PGE 300 750 € Ech 04/2026</t>
  </si>
  <si>
    <t>164005</t>
  </si>
  <si>
    <t>Pret credit du nord</t>
  </si>
  <si>
    <t>164008</t>
  </si>
  <si>
    <t>Emprunt cehn 200 000€</t>
  </si>
  <si>
    <t>164010</t>
  </si>
  <si>
    <t>Emprunt crca 1 325 000 €</t>
  </si>
  <si>
    <t>Concessions brevets licence</t>
  </si>
  <si>
    <t>Construction/sol d'autrui</t>
  </si>
  <si>
    <t>Instal. gen. agenc.</t>
  </si>
  <si>
    <t>Spie rempl du chassis pou</t>
  </si>
  <si>
    <t>Materiel industriel</t>
  </si>
  <si>
    <t>Mat. &amp; outillage divers</t>
  </si>
  <si>
    <t>215450</t>
  </si>
  <si>
    <t>Agenc et materiel mc cafe</t>
  </si>
  <si>
    <t>218402</t>
  </si>
  <si>
    <t>Mobil. de rest.</t>
  </si>
  <si>
    <t>Immo en cours</t>
  </si>
  <si>
    <t>3 f parts sociales</t>
  </si>
  <si>
    <t>271810</t>
  </si>
  <si>
    <t>Parts sociales</t>
  </si>
  <si>
    <t>Amort.concessions, brevets</t>
  </si>
  <si>
    <t>Amort constr s/s d'autru</t>
  </si>
  <si>
    <t>Amort. agenc. instal.</t>
  </si>
  <si>
    <t>281510</t>
  </si>
  <si>
    <t>Amort.inst.compl.special.</t>
  </si>
  <si>
    <t>Amort.materiel industriel</t>
  </si>
  <si>
    <t>Amort. mat. outil.divers</t>
  </si>
  <si>
    <t>281545</t>
  </si>
  <si>
    <t>Ammortissement</t>
  </si>
  <si>
    <t>CREE PAR CEGID</t>
  </si>
  <si>
    <t>315000</t>
  </si>
  <si>
    <t>Stock initial paper</t>
  </si>
  <si>
    <t>Stocks paper</t>
  </si>
  <si>
    <t>Stocks pdt non cost</t>
  </si>
  <si>
    <t>323000</t>
  </si>
  <si>
    <t>Stock fournitures d'exploitation</t>
  </si>
  <si>
    <t>327000</t>
  </si>
  <si>
    <t>Stock promotion</t>
  </si>
  <si>
    <t>401120</t>
  </si>
  <si>
    <t>Fournisseurs prestataires de servic</t>
  </si>
  <si>
    <t>401999</t>
  </si>
  <si>
    <t>404000</t>
  </si>
  <si>
    <t>Fournisseurs d'immo</t>
  </si>
  <si>
    <t>Fournisseurs - acomptes / acomptes</t>
  </si>
  <si>
    <t>Consignes emballages</t>
  </si>
  <si>
    <t>Consignes demi palette</t>
  </si>
  <si>
    <t>Fournisseurs avoirs</t>
  </si>
  <si>
    <t>411002</t>
  </si>
  <si>
    <t>Client divers</t>
  </si>
  <si>
    <t>411003</t>
  </si>
  <si>
    <t>Client martin brower</t>
  </si>
  <si>
    <t>411004</t>
  </si>
  <si>
    <t>Client hart</t>
  </si>
  <si>
    <t>411005</t>
  </si>
  <si>
    <t>Client vr7</t>
  </si>
  <si>
    <t>411006</t>
  </si>
  <si>
    <t>411007</t>
  </si>
  <si>
    <t>Client GLR5</t>
  </si>
  <si>
    <t>411008</t>
  </si>
  <si>
    <t>Client salarie</t>
  </si>
  <si>
    <t>411010</t>
  </si>
  <si>
    <t>Client garance</t>
  </si>
  <si>
    <t>411444</t>
  </si>
  <si>
    <t>416100</t>
  </si>
  <si>
    <t>Clients douteux,litigieux</t>
  </si>
  <si>
    <t>Clts factures a etablir</t>
  </si>
  <si>
    <t>Facture retrocession</t>
  </si>
  <si>
    <t>421001</t>
  </si>
  <si>
    <t>Remunerations janvier</t>
  </si>
  <si>
    <t>421002</t>
  </si>
  <si>
    <t>Remunerations fevrier</t>
  </si>
  <si>
    <t>421003</t>
  </si>
  <si>
    <t>Remunerations mars</t>
  </si>
  <si>
    <t>421004</t>
  </si>
  <si>
    <t>Remunerations avril</t>
  </si>
  <si>
    <t>421005</t>
  </si>
  <si>
    <t>Remunerations mai</t>
  </si>
  <si>
    <t>421006</t>
  </si>
  <si>
    <t>Remunerations juin</t>
  </si>
  <si>
    <t>421007</t>
  </si>
  <si>
    <t>Remunerations juillet</t>
  </si>
  <si>
    <t>421008</t>
  </si>
  <si>
    <t>Remunerations aout</t>
  </si>
  <si>
    <t>421009</t>
  </si>
  <si>
    <t>Remunerations septembre</t>
  </si>
  <si>
    <t>Remunerations octobre</t>
  </si>
  <si>
    <t>421011</t>
  </si>
  <si>
    <t>Remunerations novembre</t>
  </si>
  <si>
    <t>421012</t>
  </si>
  <si>
    <t>Remunerations decembre</t>
  </si>
  <si>
    <t>Personnel - solde de tout compte</t>
  </si>
  <si>
    <t>421120</t>
  </si>
  <si>
    <t>Rémunarations dues - STC</t>
  </si>
  <si>
    <t>Participation</t>
  </si>
  <si>
    <t>Prov c payes assistants</t>
  </si>
  <si>
    <t>Personnel - autres charges à payer</t>
  </si>
  <si>
    <t>Pôle emploi</t>
  </si>
  <si>
    <t>Indemnité activité partielle</t>
  </si>
  <si>
    <t>437070</t>
  </si>
  <si>
    <t>Prevoyance non cadres</t>
  </si>
  <si>
    <t>Prlvt source</t>
  </si>
  <si>
    <t>Mutuelle gfp NE PAS UTILISER</t>
  </si>
  <si>
    <t>Mutuelle mieux et - NE PAS UTILISER</t>
  </si>
  <si>
    <t>Retraite klesia NE PAS UTILISER</t>
  </si>
  <si>
    <t>437530</t>
  </si>
  <si>
    <t>Prev ag2r mondiale - NE PAS UTIL</t>
  </si>
  <si>
    <t>SALAIRES 03/2022</t>
  </si>
  <si>
    <t>438220</t>
  </si>
  <si>
    <t>438230</t>
  </si>
  <si>
    <t>Charges sociales sur cp equipiers</t>
  </si>
  <si>
    <t>Charges soc /primes</t>
  </si>
  <si>
    <t>Forfait social participation</t>
  </si>
  <si>
    <t>Charges sociales - produits À recev</t>
  </si>
  <si>
    <t>Prélèvements à la source (ir)</t>
  </si>
  <si>
    <t>Prelevements liberatoires</t>
  </si>
  <si>
    <t>442510</t>
  </si>
  <si>
    <t>Prelevements sociaux</t>
  </si>
  <si>
    <t>442520</t>
  </si>
  <si>
    <t>Prelevement liberatoire</t>
  </si>
  <si>
    <t>Tva á décaisser</t>
  </si>
  <si>
    <t>Tva s/ immobilisations encaissement</t>
  </si>
  <si>
    <t>Tva s prest de services</t>
  </si>
  <si>
    <t>Tva collectee a 5.5%</t>
  </si>
  <si>
    <t>445712</t>
  </si>
  <si>
    <t>Tva collectee intracommautaire</t>
  </si>
  <si>
    <t>Tva collectee a 20%</t>
  </si>
  <si>
    <t>Tva collectee a 10%</t>
  </si>
  <si>
    <t>Tva à  7%</t>
  </si>
  <si>
    <t>445730</t>
  </si>
  <si>
    <t>Tva collectée à 20%</t>
  </si>
  <si>
    <t>Tva collectée 19.6%</t>
  </si>
  <si>
    <t>445760</t>
  </si>
  <si>
    <t>Tva collectée 19,6% lrs</t>
  </si>
  <si>
    <t>445770</t>
  </si>
  <si>
    <t>Tva collectée 19,6% agefos</t>
  </si>
  <si>
    <t>R+®gularisation de tva collect+®e</t>
  </si>
  <si>
    <t>Tca s/avoirs a recevoir</t>
  </si>
  <si>
    <t>445862</t>
  </si>
  <si>
    <t>Tva déd. s/ fact immo non parvenues</t>
  </si>
  <si>
    <t>445868</t>
  </si>
  <si>
    <t>Tva /avoir non parvenue</t>
  </si>
  <si>
    <t>Tca/factures a etablir</t>
  </si>
  <si>
    <t>Prelev a la source</t>
  </si>
  <si>
    <t>448620</t>
  </si>
  <si>
    <t>01/2022 - URSSAF Normandie (2870000</t>
  </si>
  <si>
    <t>SALAIRES 01/2022</t>
  </si>
  <si>
    <t>Compte groupe</t>
  </si>
  <si>
    <t>451100</t>
  </si>
  <si>
    <t>Compte courant nbr</t>
  </si>
  <si>
    <t>Compte courant regis rego de sebes</t>
  </si>
  <si>
    <t>Associés - comptes courants RTH76</t>
  </si>
  <si>
    <t>Cc berenice</t>
  </si>
  <si>
    <t>Compte courant Mungu</t>
  </si>
  <si>
    <t>Interets cc RTH76</t>
  </si>
  <si>
    <t>Remise tr</t>
  </si>
  <si>
    <t>Remise ticket restaurant dematerial</t>
  </si>
  <si>
    <t>Ecart remise cheques</t>
  </si>
  <si>
    <t>Ecart uber</t>
  </si>
  <si>
    <t>Ecart Lyv eat</t>
  </si>
  <si>
    <t>Remise chqs ancv</t>
  </si>
  <si>
    <t>467350</t>
  </si>
  <si>
    <t>Hart</t>
  </si>
  <si>
    <t>467360</t>
  </si>
  <si>
    <t>467370</t>
  </si>
  <si>
    <t>Urnes fondat¦ ronald mc  donalds</t>
  </si>
  <si>
    <t>486015</t>
  </si>
  <si>
    <t>Cca publicite</t>
  </si>
  <si>
    <t>486016</t>
  </si>
  <si>
    <t>Cca services exterieurs</t>
  </si>
  <si>
    <t>486033</t>
  </si>
  <si>
    <t>Cca assurances</t>
  </si>
  <si>
    <t>Abonnement taxe handicapé</t>
  </si>
  <si>
    <t>488635</t>
  </si>
  <si>
    <t>Abonnement CET</t>
  </si>
  <si>
    <t>488647</t>
  </si>
  <si>
    <t>Abonnement CE</t>
  </si>
  <si>
    <t>Abonnement dotation</t>
  </si>
  <si>
    <t>Aut.val.mob.crean.assimil.</t>
  </si>
  <si>
    <t>Titres de placement</t>
  </si>
  <si>
    <t>Trd</t>
  </si>
  <si>
    <t>Remises de chèques</t>
  </si>
  <si>
    <t>Delivroo</t>
  </si>
  <si>
    <t>LYVEAT</t>
  </si>
  <si>
    <t>ventes 16/02</t>
  </si>
  <si>
    <t>Chèques émis Crédit Agricole</t>
  </si>
  <si>
    <t>Chèques émis crca</t>
  </si>
  <si>
    <t>B.n.p</t>
  </si>
  <si>
    <t>512001</t>
  </si>
  <si>
    <t>Cdn</t>
  </si>
  <si>
    <t>512003</t>
  </si>
  <si>
    <t>Ce-excedent professionnel</t>
  </si>
  <si>
    <t>512004</t>
  </si>
  <si>
    <t>Caisse d'Epargne</t>
  </si>
  <si>
    <t>512040</t>
  </si>
  <si>
    <t>Caisse d epargne</t>
  </si>
  <si>
    <t>Agios courus a payer</t>
  </si>
  <si>
    <t>Versement especes</t>
  </si>
  <si>
    <t>Virement monnaie</t>
  </si>
  <si>
    <t>580003</t>
  </si>
  <si>
    <t>Virement interne</t>
  </si>
  <si>
    <t>Remise de cheques</t>
  </si>
  <si>
    <t>Remise carte bleue</t>
  </si>
  <si>
    <t>580300</t>
  </si>
  <si>
    <t>Remise paypal</t>
  </si>
  <si>
    <t>Achat emballages</t>
  </si>
  <si>
    <t>Cartons de collecte</t>
  </si>
  <si>
    <t>Variat. stock happy meal</t>
  </si>
  <si>
    <t>603203</t>
  </si>
  <si>
    <t>Variation stock p.entret</t>
  </si>
  <si>
    <t>603227</t>
  </si>
  <si>
    <t>Npu</t>
  </si>
  <si>
    <t>Fournitures de bureau NPU</t>
  </si>
  <si>
    <t>606600</t>
  </si>
  <si>
    <t>Facture total</t>
  </si>
  <si>
    <t>Ramassage brink's</t>
  </si>
  <si>
    <t>Autres contrat maintenan</t>
  </si>
  <si>
    <t>Ct entretien securite</t>
  </si>
  <si>
    <t>Cotisation d'abonnement</t>
  </si>
  <si>
    <t>Sita enlev.containers</t>
  </si>
  <si>
    <t>Ct abonnement</t>
  </si>
  <si>
    <t>Entretien nettoy.divers</t>
  </si>
  <si>
    <t>611023</t>
  </si>
  <si>
    <t>Enlevement huile friture</t>
  </si>
  <si>
    <t>611024</t>
  </si>
  <si>
    <t>613201</t>
  </si>
  <si>
    <t>613202</t>
  </si>
  <si>
    <t>613250</t>
  </si>
  <si>
    <t>Location locaux</t>
  </si>
  <si>
    <t>613260</t>
  </si>
  <si>
    <t>Loyer vehicule thomas</t>
  </si>
  <si>
    <t>613264</t>
  </si>
  <si>
    <t>613265</t>
  </si>
  <si>
    <t>Loyer veh sabrina</t>
  </si>
  <si>
    <t>613266</t>
  </si>
  <si>
    <t>613340</t>
  </si>
  <si>
    <t>613361</t>
  </si>
  <si>
    <t>613370</t>
  </si>
  <si>
    <t>Contrat maint.equipement</t>
  </si>
  <si>
    <t>maintenance STEEPLE</t>
  </si>
  <si>
    <t>615602</t>
  </si>
  <si>
    <t>Cont oleo</t>
  </si>
  <si>
    <t>Contrat initial</t>
  </si>
  <si>
    <t>Contrat vitres sols services</t>
  </si>
  <si>
    <t>Contrat Tyco</t>
  </si>
  <si>
    <t>Contrat meteor</t>
  </si>
  <si>
    <t>Contrat Melitta</t>
  </si>
  <si>
    <t>Contrat elis</t>
  </si>
  <si>
    <t>Contrat osiatis</t>
  </si>
  <si>
    <t>Contrat grenke refresh</t>
  </si>
  <si>
    <t>Contrat indelec borne</t>
  </si>
  <si>
    <t>Contrat bonnefond</t>
  </si>
  <si>
    <t>Ct so-pro-net</t>
  </si>
  <si>
    <t>Contrat maint. Gruppo</t>
  </si>
  <si>
    <t>Ass. marsh</t>
  </si>
  <si>
    <t>616310</t>
  </si>
  <si>
    <t>Ass financiere auto</t>
  </si>
  <si>
    <t>Ass recreative</t>
  </si>
  <si>
    <t>Documentation generale</t>
  </si>
  <si>
    <t>618110</t>
  </si>
  <si>
    <t>Journal ouest france</t>
  </si>
  <si>
    <t>618503</t>
  </si>
  <si>
    <t>Formation du personnel</t>
  </si>
  <si>
    <t>Mise à disposition directeur</t>
  </si>
  <si>
    <t>Mise à dispo responsable formation</t>
  </si>
  <si>
    <t>Prêt personnel managers l39</t>
  </si>
  <si>
    <t>621403</t>
  </si>
  <si>
    <t>Pret personnel equipiers</t>
  </si>
  <si>
    <t>Salaire pers superviseur</t>
  </si>
  <si>
    <t>Frais d'actes/contentieux</t>
  </si>
  <si>
    <t>Commissions delivroo</t>
  </si>
  <si>
    <t>622820</t>
  </si>
  <si>
    <t>622850</t>
  </si>
  <si>
    <t>Honoraires gecec</t>
  </si>
  <si>
    <t>Retrocession transport - uber</t>
  </si>
  <si>
    <t>623001</t>
  </si>
  <si>
    <t>Pub contrat longue duree</t>
  </si>
  <si>
    <t>623004</t>
  </si>
  <si>
    <t>Sponsoring</t>
  </si>
  <si>
    <t>623110</t>
  </si>
  <si>
    <t>Annonces insertion</t>
  </si>
  <si>
    <t>Pourboires</t>
  </si>
  <si>
    <t>Transp.biens et personnes</t>
  </si>
  <si>
    <t>Voyages &amp; dpt equipiers</t>
  </si>
  <si>
    <t>Voyages &amp; dpt direction</t>
  </si>
  <si>
    <t>625210</t>
  </si>
  <si>
    <t>Voy deplacement perso technique</t>
  </si>
  <si>
    <t>625220</t>
  </si>
  <si>
    <t>Recep.equipier &amp; manager</t>
  </si>
  <si>
    <t>Aide financière</t>
  </si>
  <si>
    <t>Frais postaux et telecom</t>
  </si>
  <si>
    <t>P.t.t. restaurant</t>
  </si>
  <si>
    <t>626006</t>
  </si>
  <si>
    <t>Abonn e-payment</t>
  </si>
  <si>
    <t>626007</t>
  </si>
  <si>
    <t>Abonnement internet+forfait</t>
  </si>
  <si>
    <t>Services bancaires et ass pas utili</t>
  </si>
  <si>
    <t>Commissions carte bleue</t>
  </si>
  <si>
    <t>627201</t>
  </si>
  <si>
    <t>627300</t>
  </si>
  <si>
    <t>Commissions ticket resto</t>
  </si>
  <si>
    <t>Commissions ancv</t>
  </si>
  <si>
    <t>627804</t>
  </si>
  <si>
    <t>Commissions swile</t>
  </si>
  <si>
    <t>627806</t>
  </si>
  <si>
    <t>Redevance RTH 76</t>
  </si>
  <si>
    <t>Particip.emp. f.continue</t>
  </si>
  <si>
    <t>631310</t>
  </si>
  <si>
    <t>Cot.agefiph handicape</t>
  </si>
  <si>
    <t>635210</t>
  </si>
  <si>
    <t>Csg déductible</t>
  </si>
  <si>
    <t>641040</t>
  </si>
  <si>
    <t>Salaire administratif</t>
  </si>
  <si>
    <t>Provision CP - janvier 2022 (?)</t>
  </si>
  <si>
    <t>641240</t>
  </si>
  <si>
    <t>C.payes administratifs</t>
  </si>
  <si>
    <t>Primes diverses</t>
  </si>
  <si>
    <t>641301</t>
  </si>
  <si>
    <t>Prime de transport</t>
  </si>
  <si>
    <t>Primes mger/asst</t>
  </si>
  <si>
    <t>641340</t>
  </si>
  <si>
    <t>Indemnités licenciements</t>
  </si>
  <si>
    <t>641341</t>
  </si>
  <si>
    <t>Indem licenciement managers</t>
  </si>
  <si>
    <t>641342</t>
  </si>
  <si>
    <t>Indem licenciement manager L39</t>
  </si>
  <si>
    <t>641350</t>
  </si>
  <si>
    <t>Indemnites de licenciement</t>
  </si>
  <si>
    <t>Indemnités transport équipiers</t>
  </si>
  <si>
    <t>645110</t>
  </si>
  <si>
    <t>Retraite cadre</t>
  </si>
  <si>
    <t>Mutuelle non cadre</t>
  </si>
  <si>
    <t>Prev non cadre ag2r</t>
  </si>
  <si>
    <t>645341</t>
  </si>
  <si>
    <t>Prev cadre ag2r</t>
  </si>
  <si>
    <t>645345</t>
  </si>
  <si>
    <t>RETRAITE  KLESIA</t>
  </si>
  <si>
    <t>645350</t>
  </si>
  <si>
    <t>Retraite non cadre</t>
  </si>
  <si>
    <t>Cotis agirc managers</t>
  </si>
  <si>
    <t>Ch soc s prov primes</t>
  </si>
  <si>
    <t>Prevoyance managers</t>
  </si>
  <si>
    <t>Medecine travail &amp; pharm</t>
  </si>
  <si>
    <t>Prime de blanchissage</t>
  </si>
  <si>
    <t>Sacem</t>
  </si>
  <si>
    <t>651310</t>
  </si>
  <si>
    <t>Avoirs mc ciné à 5%</t>
  </si>
  <si>
    <t>Ecart de caisse debit</t>
  </si>
  <si>
    <t>Interets des cc</t>
  </si>
  <si>
    <t>Charges d'intérêts bancaires</t>
  </si>
  <si>
    <t>671110</t>
  </si>
  <si>
    <t>Pénalités sur marchés</t>
  </si>
  <si>
    <t>Amendes</t>
  </si>
  <si>
    <t>671320</t>
  </si>
  <si>
    <t>C.exceptionnelles/ex.ant</t>
  </si>
  <si>
    <t>Vnc actifs cédés - immo financières</t>
  </si>
  <si>
    <t>Dot. prov.risq. ch. expl.</t>
  </si>
  <si>
    <t>Dot. amort. except. immo.</t>
  </si>
  <si>
    <t>Dot. amort. dérogatoire</t>
  </si>
  <si>
    <t>Integration fiscale is</t>
  </si>
  <si>
    <t>Crédit mécénat gie</t>
  </si>
  <si>
    <t>699830</t>
  </si>
  <si>
    <t>Credit impot mecenat</t>
  </si>
  <si>
    <t>Vtes a emporter a 10%</t>
  </si>
  <si>
    <t>Ventes 19.60%</t>
  </si>
  <si>
    <t>Vente 7%</t>
  </si>
  <si>
    <t>702001</t>
  </si>
  <si>
    <t>Vte pdt culturels 5,5%</t>
  </si>
  <si>
    <t>702003</t>
  </si>
  <si>
    <t>Vtes produit non alim 20%</t>
  </si>
  <si>
    <t>702004</t>
  </si>
  <si>
    <t>Vtes non alim a 10%</t>
  </si>
  <si>
    <t>Transport uber</t>
  </si>
  <si>
    <t>Pdts activités annexes soumis</t>
  </si>
  <si>
    <t>Prestations lr services npu</t>
  </si>
  <si>
    <t>Retrocess. huile usagers</t>
  </si>
  <si>
    <t>Prest. lr services</t>
  </si>
  <si>
    <t>708821</t>
  </si>
  <si>
    <t>708822</t>
  </si>
  <si>
    <t>Refacturation adm</t>
  </si>
  <si>
    <t>708823</t>
  </si>
  <si>
    <t>708831</t>
  </si>
  <si>
    <t>Remboursement agefos managers</t>
  </si>
  <si>
    <t>708841</t>
  </si>
  <si>
    <t>Refacturations HM</t>
  </si>
  <si>
    <t>708844</t>
  </si>
  <si>
    <t>Refact diverses</t>
  </si>
  <si>
    <t>708845</t>
  </si>
  <si>
    <t>708846</t>
  </si>
  <si>
    <t>Refact salaires equipiers</t>
  </si>
  <si>
    <t>708852</t>
  </si>
  <si>
    <t>Refacturation ristourne</t>
  </si>
  <si>
    <t>708855</t>
  </si>
  <si>
    <t>708857</t>
  </si>
  <si>
    <t>Refact fournitures exploitation</t>
  </si>
  <si>
    <t>708858</t>
  </si>
  <si>
    <t>Refacturation emballage</t>
  </si>
  <si>
    <t>708859</t>
  </si>
  <si>
    <t>Refacturation repas pers techn</t>
  </si>
  <si>
    <t>708861</t>
  </si>
  <si>
    <t>Refacturation bureau</t>
  </si>
  <si>
    <t>708862</t>
  </si>
  <si>
    <t>Refacturation frais de deplacements</t>
  </si>
  <si>
    <t>708863</t>
  </si>
  <si>
    <t>Refacturation la poste</t>
  </si>
  <si>
    <t>708864</t>
  </si>
  <si>
    <t>Refacturation entret reparation</t>
  </si>
  <si>
    <t>708865</t>
  </si>
  <si>
    <t>Refacturation honoraires divers</t>
  </si>
  <si>
    <t>708866</t>
  </si>
  <si>
    <t>Mise a disposition jnal ouest franc</t>
  </si>
  <si>
    <t>708867</t>
  </si>
  <si>
    <t>Refacturation véhicule</t>
  </si>
  <si>
    <t>Refacturation cadeaux equip</t>
  </si>
  <si>
    <t>Refatcuration loyer veh sabrina</t>
  </si>
  <si>
    <t>708883</t>
  </si>
  <si>
    <t>Refatc uniformes</t>
  </si>
  <si>
    <t>708884</t>
  </si>
  <si>
    <t>Refacturation repas</t>
  </si>
  <si>
    <t>708885</t>
  </si>
  <si>
    <t>Subvention emploi</t>
  </si>
  <si>
    <t>Subvention equipement</t>
  </si>
  <si>
    <t>Ecart de caisse credit</t>
  </si>
  <si>
    <t>761500</t>
  </si>
  <si>
    <t>Intérêts de compte courant</t>
  </si>
  <si>
    <t>Prod.nets s/cess.val.mob.pl</t>
  </si>
  <si>
    <t>Autre produit financier</t>
  </si>
  <si>
    <t>768200</t>
  </si>
  <si>
    <t>Intérêts cep</t>
  </si>
  <si>
    <t>771200</t>
  </si>
  <si>
    <t>Produits exceptionnels</t>
  </si>
  <si>
    <t>Prod excep /ex anterieur</t>
  </si>
  <si>
    <t>777170</t>
  </si>
  <si>
    <t>Quote part subventions</t>
  </si>
  <si>
    <t>Reprises sur amort. immo. corpo.</t>
  </si>
  <si>
    <t>Reprises sur amort. dérogatoire</t>
  </si>
  <si>
    <t>791001</t>
  </si>
  <si>
    <t>Remb perte d'exploitation</t>
  </si>
  <si>
    <t>Transf. charges équipiers</t>
  </si>
  <si>
    <t>791103</t>
  </si>
  <si>
    <t>Avantage en nature 10%</t>
  </si>
  <si>
    <t>791401</t>
  </si>
  <si>
    <t>Ijss et remb prevoyance</t>
  </si>
  <si>
    <t>791402</t>
  </si>
  <si>
    <t>Transf de charges emb tpe</t>
  </si>
  <si>
    <t>10180000</t>
  </si>
  <si>
    <t>16400000</t>
  </si>
  <si>
    <t>16460000</t>
  </si>
  <si>
    <t>20510000</t>
  </si>
  <si>
    <t>21820000</t>
  </si>
  <si>
    <t>23800000</t>
  </si>
  <si>
    <t>28182000</t>
  </si>
  <si>
    <t>40971000</t>
  </si>
  <si>
    <t>41980000</t>
  </si>
  <si>
    <t>42860000</t>
  </si>
  <si>
    <t>43707000</t>
  </si>
  <si>
    <t>43709000</t>
  </si>
  <si>
    <t>43861000</t>
  </si>
  <si>
    <t>43862000</t>
  </si>
  <si>
    <t>44320000</t>
  </si>
  <si>
    <t>44586500</t>
  </si>
  <si>
    <t>44587100</t>
  </si>
  <si>
    <t>44863000</t>
  </si>
  <si>
    <t>SALAIRES 01/2023</t>
  </si>
  <si>
    <t>45501000</t>
  </si>
  <si>
    <t>45502000</t>
  </si>
  <si>
    <t>45503000</t>
  </si>
  <si>
    <t>45504000</t>
  </si>
  <si>
    <t>45505000</t>
  </si>
  <si>
    <t>45506000</t>
  </si>
  <si>
    <t>45507000</t>
  </si>
  <si>
    <t>45508000</t>
  </si>
  <si>
    <t>46750000</t>
  </si>
  <si>
    <t>46751000</t>
  </si>
  <si>
    <t>46755000</t>
  </si>
  <si>
    <t>50310000</t>
  </si>
  <si>
    <t>51127100</t>
  </si>
  <si>
    <t>51127200</t>
  </si>
  <si>
    <t>51127300</t>
  </si>
  <si>
    <t>51290000</t>
  </si>
  <si>
    <t>53020100</t>
  </si>
  <si>
    <t>59030000</t>
  </si>
  <si>
    <t>60111000</t>
  </si>
  <si>
    <t>60321000</t>
  </si>
  <si>
    <t>60631300</t>
  </si>
  <si>
    <t>60640000</t>
  </si>
  <si>
    <t>61300100</t>
  </si>
  <si>
    <t>61320100</t>
  </si>
  <si>
    <t>61321100</t>
  </si>
  <si>
    <t>61351100</t>
  </si>
  <si>
    <t>61351200</t>
  </si>
  <si>
    <t>61351300</t>
  </si>
  <si>
    <t>61351400</t>
  </si>
  <si>
    <t>61351500</t>
  </si>
  <si>
    <t>61351600</t>
  </si>
  <si>
    <t>61351700</t>
  </si>
  <si>
    <t>61351800</t>
  </si>
  <si>
    <t>61351900</t>
  </si>
  <si>
    <t>61352900</t>
  </si>
  <si>
    <t>61353100</t>
  </si>
  <si>
    <t>61353200</t>
  </si>
  <si>
    <t>61353400</t>
  </si>
  <si>
    <t>61353500</t>
  </si>
  <si>
    <t>61353600</t>
  </si>
  <si>
    <t>61353700</t>
  </si>
  <si>
    <t>61353800</t>
  </si>
  <si>
    <t>61353900</t>
  </si>
  <si>
    <t>61500500</t>
  </si>
  <si>
    <t>61500700</t>
  </si>
  <si>
    <t>61500800</t>
  </si>
  <si>
    <t>61501400</t>
  </si>
  <si>
    <t>61565000</t>
  </si>
  <si>
    <t>61565100</t>
  </si>
  <si>
    <t>61565200</t>
  </si>
  <si>
    <t>61565300</t>
  </si>
  <si>
    <t>61565400</t>
  </si>
  <si>
    <t>61565500</t>
  </si>
  <si>
    <t>61565600</t>
  </si>
  <si>
    <t>61566000</t>
  </si>
  <si>
    <t>61566100</t>
  </si>
  <si>
    <t>61566200</t>
  </si>
  <si>
    <t>61566300</t>
  </si>
  <si>
    <t>61566400</t>
  </si>
  <si>
    <t>61600700</t>
  </si>
  <si>
    <t>62100000</t>
  </si>
  <si>
    <t>Prêt personnel</t>
  </si>
  <si>
    <t>62140300</t>
  </si>
  <si>
    <t>62265000</t>
  </si>
  <si>
    <t>62266000</t>
  </si>
  <si>
    <t>62267000</t>
  </si>
  <si>
    <t>62268000</t>
  </si>
  <si>
    <t>62269000</t>
  </si>
  <si>
    <t>62510200</t>
  </si>
  <si>
    <t>62521100</t>
  </si>
  <si>
    <t>62600200</t>
  </si>
  <si>
    <t>62600400</t>
  </si>
  <si>
    <t>62611000</t>
  </si>
  <si>
    <t>62700600</t>
  </si>
  <si>
    <t>62700700</t>
  </si>
  <si>
    <t>COMMISSIONS CB</t>
  </si>
  <si>
    <t>COMMISSIONS TR</t>
  </si>
  <si>
    <t>COMMISSIONS CV</t>
  </si>
  <si>
    <t>62780700</t>
  </si>
  <si>
    <t>63300000</t>
  </si>
  <si>
    <t>63543000</t>
  </si>
  <si>
    <t>63544000</t>
  </si>
  <si>
    <t>63580000</t>
  </si>
  <si>
    <t>63581000</t>
  </si>
  <si>
    <t>64140200</t>
  </si>
  <si>
    <t>64140300</t>
  </si>
  <si>
    <t>64140500</t>
  </si>
  <si>
    <t>64140600</t>
  </si>
  <si>
    <t>64143000</t>
  </si>
  <si>
    <t>64400000</t>
  </si>
  <si>
    <t>64530500</t>
  </si>
  <si>
    <t>64560400</t>
  </si>
  <si>
    <t>64583000</t>
  </si>
  <si>
    <t>64900000</t>
  </si>
  <si>
    <t>66111000</t>
  </si>
  <si>
    <t>66130000</t>
  </si>
  <si>
    <t>66600000</t>
  </si>
  <si>
    <t>66710000</t>
  </si>
  <si>
    <t>66880000</t>
  </si>
  <si>
    <t>67121000</t>
  </si>
  <si>
    <t>68665000</t>
  </si>
  <si>
    <t>69810000</t>
  </si>
  <si>
    <t>70810100</t>
  </si>
  <si>
    <t>70810200</t>
  </si>
  <si>
    <t>70811100</t>
  </si>
  <si>
    <t>70851000</t>
  </si>
  <si>
    <t>70875000</t>
  </si>
  <si>
    <t>70883000</t>
  </si>
  <si>
    <t>70888200</t>
  </si>
  <si>
    <t>70890000</t>
  </si>
  <si>
    <t>70891000</t>
  </si>
  <si>
    <t>77120000</t>
  </si>
  <si>
    <t>77500000</t>
  </si>
  <si>
    <t>78665000</t>
  </si>
  <si>
    <t>79110600</t>
  </si>
  <si>
    <t>90604100</t>
  </si>
  <si>
    <t>92208750</t>
  </si>
  <si>
    <t>Reserve légale</t>
  </si>
  <si>
    <t>12200;</t>
  </si>
  <si>
    <t>.</t>
  </si>
  <si>
    <t>Autres prov risques &amp; charges</t>
  </si>
  <si>
    <t>Emprunt CA 100 000 €</t>
  </si>
  <si>
    <t>Emprunt CA 70 000 €</t>
  </si>
  <si>
    <t>Emprunt CA 100 000€ PGE</t>
  </si>
  <si>
    <t>Emprunt CA 350 000€ PGE</t>
  </si>
  <si>
    <t>168400</t>
  </si>
  <si>
    <t>Intérêts courus sur emprunt</t>
  </si>
  <si>
    <t>Matériel de bureau</t>
  </si>
  <si>
    <t>Stocks pdts non costs</t>
  </si>
  <si>
    <t>Central frns deb</t>
  </si>
  <si>
    <t>Fournisseurs - acomptes s/commandes</t>
  </si>
  <si>
    <t>Consignes</t>
  </si>
  <si>
    <t>Oleo recycling</t>
  </si>
  <si>
    <t>Solde a nouveau</t>
  </si>
  <si>
    <t>Impaye delarue</t>
  </si>
  <si>
    <t>Personnel - rémunération + 1an</t>
  </si>
  <si>
    <t>Dettes prov pour congés payés mngrs</t>
  </si>
  <si>
    <t>Dettes prov pour congés payés équip</t>
  </si>
  <si>
    <t>428300</t>
  </si>
  <si>
    <t>Dettes prov prim conv</t>
  </si>
  <si>
    <t>Activté partielle</t>
  </si>
  <si>
    <t>Isica klesia</t>
  </si>
  <si>
    <t>Prédica retraite</t>
  </si>
  <si>
    <t>Ag2r la mondiale</t>
  </si>
  <si>
    <t>impot prelevement source</t>
  </si>
  <si>
    <t>Taxe d'apprentissage - VB</t>
  </si>
  <si>
    <t>Contribution paritarisme</t>
  </si>
  <si>
    <t>Charges sociales sur congés payés</t>
  </si>
  <si>
    <t>Etat - Prélèvement à la source</t>
  </si>
  <si>
    <t>Tva déductible sur prestations serv</t>
  </si>
  <si>
    <t>Tva collectée 7%</t>
  </si>
  <si>
    <t>Tva à 19.6 %</t>
  </si>
  <si>
    <t>ECRITURE TVA</t>
  </si>
  <si>
    <t>TVA Collectée 20% MB</t>
  </si>
  <si>
    <t>Tva collectée lrs</t>
  </si>
  <si>
    <t>Tva à 19,6% agefos</t>
  </si>
  <si>
    <t>Tva sur avoir à recevoir</t>
  </si>
  <si>
    <t>445880</t>
  </si>
  <si>
    <t>Associés - regis rego de sebes</t>
  </si>
  <si>
    <t>Rth76 - acomptes is</t>
  </si>
  <si>
    <t>455400</t>
  </si>
  <si>
    <t>Rth76 - avances trésorerie convent.</t>
  </si>
  <si>
    <t>Résultat 24/12-31/12</t>
  </si>
  <si>
    <t>467120</t>
  </si>
  <si>
    <t>Rhf</t>
  </si>
  <si>
    <t>ecart remise cheques</t>
  </si>
  <si>
    <t>Ecart Deliveroo</t>
  </si>
  <si>
    <t>Urnes ronald's</t>
  </si>
  <si>
    <t>Attente - npu</t>
  </si>
  <si>
    <t>Remise de chèques npu</t>
  </si>
  <si>
    <t>Remises cb npu</t>
  </si>
  <si>
    <t>Ventes 16/05</t>
  </si>
  <si>
    <t>Chèques à encaisser</t>
  </si>
  <si>
    <t>Ventes 01/05</t>
  </si>
  <si>
    <t>Uber Eat</t>
  </si>
  <si>
    <t>deliveroo</t>
  </si>
  <si>
    <t>LIV EAT</t>
  </si>
  <si>
    <t>511255</t>
  </si>
  <si>
    <t>STUART</t>
  </si>
  <si>
    <t>Chèque émis crca caen</t>
  </si>
  <si>
    <t>Barclay's bank</t>
  </si>
  <si>
    <t>512200</t>
  </si>
  <si>
    <t>depot a terme</t>
  </si>
  <si>
    <t>530201</t>
  </si>
  <si>
    <t>Virements espèces</t>
  </si>
  <si>
    <t>Achats jouets et divers npu</t>
  </si>
  <si>
    <t>Achats emballages npu</t>
  </si>
  <si>
    <t>602612</t>
  </si>
  <si>
    <t>Achats papier npu</t>
  </si>
  <si>
    <t>Fourniture eau npu</t>
  </si>
  <si>
    <t>Fournitures électricité npu</t>
  </si>
  <si>
    <t>Petits equipements COVID</t>
  </si>
  <si>
    <t>Achats fournitures adm npu</t>
  </si>
  <si>
    <t>613101</t>
  </si>
  <si>
    <t>Loc caisse palette bio dechets</t>
  </si>
  <si>
    <t>613102</t>
  </si>
  <si>
    <t>Location class a dm 763 zw</t>
  </si>
  <si>
    <t>Loyer mercedes wassa yatera</t>
  </si>
  <si>
    <t>Locations classe a dm-763-zw</t>
  </si>
  <si>
    <t>Loyer Classe A EH-255-YK</t>
  </si>
  <si>
    <t>Location mercedes wassa yatera</t>
  </si>
  <si>
    <t>613511</t>
  </si>
  <si>
    <t>Loyer voit thomas de htr8</t>
  </si>
  <si>
    <t>613512</t>
  </si>
  <si>
    <t>613515</t>
  </si>
  <si>
    <t>Loyer voiture glr5 sabrina</t>
  </si>
  <si>
    <t>613516</t>
  </si>
  <si>
    <t>Loyer Classe A FG-329-YA</t>
  </si>
  <si>
    <t>613517</t>
  </si>
  <si>
    <t>loyer voiture sandrine glr5</t>
  </si>
  <si>
    <t>613521</t>
  </si>
  <si>
    <t>loy voiture max lanos</t>
  </si>
  <si>
    <t>613522</t>
  </si>
  <si>
    <t>loyer vehicule sabrina</t>
  </si>
  <si>
    <t>613523</t>
  </si>
  <si>
    <t>loc mercedes sandrine FZ 768 AV</t>
  </si>
  <si>
    <t>613526</t>
  </si>
  <si>
    <t>Entretien vehicule</t>
  </si>
  <si>
    <t>Cont mcod</t>
  </si>
  <si>
    <t>contrat halbourg</t>
  </si>
  <si>
    <t>Contrat graux</t>
  </si>
  <si>
    <t>Ne pas utiliser- espèces</t>
  </si>
  <si>
    <t>CONTRAT TYCO</t>
  </si>
  <si>
    <t>Contrat ercem silliker</t>
  </si>
  <si>
    <t>615646</t>
  </si>
  <si>
    <t>Contrat thélima npu</t>
  </si>
  <si>
    <t>Contrat cis</t>
  </si>
  <si>
    <t>Contrat sacem npu</t>
  </si>
  <si>
    <t>CONTRAT ECOGRAS</t>
  </si>
  <si>
    <t>Assurances multirisques npu</t>
  </si>
  <si>
    <t>618000</t>
  </si>
  <si>
    <t>ouest france</t>
  </si>
  <si>
    <t>Prestation direction rhf</t>
  </si>
  <si>
    <t>Personnel ext resp des opérations</t>
  </si>
  <si>
    <t>Salaire sabrina</t>
  </si>
  <si>
    <t>621020</t>
  </si>
  <si>
    <t>Personnel ext équipiers</t>
  </si>
  <si>
    <t>Personnel ext superviseur</t>
  </si>
  <si>
    <t>Personnel ext marketing</t>
  </si>
  <si>
    <t>Honoraires commissaire aux comptes</t>
  </si>
  <si>
    <t>19.03/av scène/pub 28e festival des</t>
  </si>
  <si>
    <t>Dons et pourboirs</t>
  </si>
  <si>
    <t>Au regal</t>
  </si>
  <si>
    <t>frais deplacements pers technique</t>
  </si>
  <si>
    <t>Frais professionnels  ne pas utilis</t>
  </si>
  <si>
    <t>626210</t>
  </si>
  <si>
    <t>Telephone sabrina</t>
  </si>
  <si>
    <t>Commissions bq npu</t>
  </si>
  <si>
    <t>Commissions cb npu</t>
  </si>
  <si>
    <t>Commissions tr npu</t>
  </si>
  <si>
    <t>Commissions cv npu</t>
  </si>
  <si>
    <t>628230</t>
  </si>
  <si>
    <t>Convention rth</t>
  </si>
  <si>
    <t>Agefiphj - npu</t>
  </si>
  <si>
    <t>Taxe handicapés agefiph</t>
  </si>
  <si>
    <t>637110</t>
  </si>
  <si>
    <t>Autres impôts et taxes</t>
  </si>
  <si>
    <t>An voiture</t>
  </si>
  <si>
    <t>rupture convent equipiers</t>
  </si>
  <si>
    <t>Avantage en nature véhicule</t>
  </si>
  <si>
    <t>Ind blanch assistants npu</t>
  </si>
  <si>
    <t>Indem transport équipiers</t>
  </si>
  <si>
    <t>Ind transport assistant</t>
  </si>
  <si>
    <t>641415</t>
  </si>
  <si>
    <t>Indem licenciement equipiers</t>
  </si>
  <si>
    <t>641416</t>
  </si>
  <si>
    <t>Retraite predica</t>
  </si>
  <si>
    <t>Cotis agirc patronales</t>
  </si>
  <si>
    <t>Charges sociales sur cp équip</t>
  </si>
  <si>
    <t>645863</t>
  </si>
  <si>
    <t>Charges sur primes provisionnées</t>
  </si>
  <si>
    <t>Menu cine</t>
  </si>
  <si>
    <t>Redevance sacem - spré npu</t>
  </si>
  <si>
    <t>Avoirs mc ciné</t>
  </si>
  <si>
    <t>Intérêts comptes courants associés</t>
  </si>
  <si>
    <t>Charges d interets</t>
  </si>
  <si>
    <t>Gie</t>
  </si>
  <si>
    <t>charges exceptionnelles ex anterieu</t>
  </si>
  <si>
    <t>Vnc actifs cédés - immo corporelles</t>
  </si>
  <si>
    <t>Dotation aux amortissemen</t>
  </si>
  <si>
    <t>Dot prov risq et charges exploitati</t>
  </si>
  <si>
    <t>Charges sociales sur primes assista</t>
  </si>
  <si>
    <t>Charges sociales sur cp équipe</t>
  </si>
  <si>
    <t>Ventes 5.5%</t>
  </si>
  <si>
    <t>Ventes 7%</t>
  </si>
  <si>
    <t>Ventes 19,6%</t>
  </si>
  <si>
    <t>Ventes 7% npu</t>
  </si>
  <si>
    <t>Formation Managers</t>
  </si>
  <si>
    <t>Produits lrs</t>
  </si>
  <si>
    <t>Prestations agefos managers</t>
  </si>
  <si>
    <t>Refacturation sal equipiers</t>
  </si>
  <si>
    <t>Refact. pers.marketing brut</t>
  </si>
  <si>
    <t>Refact. pers.marketing charges</t>
  </si>
  <si>
    <t>Refacturation aliments</t>
  </si>
  <si>
    <t>708871</t>
  </si>
  <si>
    <t>708872</t>
  </si>
  <si>
    <t>Refacturation pdts entretien</t>
  </si>
  <si>
    <t>708874</t>
  </si>
  <si>
    <t>708875</t>
  </si>
  <si>
    <t>Refact essence sabrina</t>
  </si>
  <si>
    <t>708876</t>
  </si>
  <si>
    <t>Refact telephone sabrina</t>
  </si>
  <si>
    <t>708877</t>
  </si>
  <si>
    <t>Mise a dispo jnal ouest france</t>
  </si>
  <si>
    <t>708878</t>
  </si>
  <si>
    <t>Refacturation coupon cinema</t>
  </si>
  <si>
    <t>708879</t>
  </si>
  <si>
    <t>Refact frais pro rafray</t>
  </si>
  <si>
    <t>Refacturation  entret reparation</t>
  </si>
  <si>
    <t>Refact entret vehicule</t>
  </si>
  <si>
    <t>refacturation assurance vehicule</t>
  </si>
  <si>
    <t>708886</t>
  </si>
  <si>
    <t>refacturation maintenance</t>
  </si>
  <si>
    <t>71000;</t>
  </si>
  <si>
    <t>subvention emploi</t>
  </si>
  <si>
    <t>subvention equipement</t>
  </si>
  <si>
    <t>subvention COVID</t>
  </si>
  <si>
    <t>Revenus des créances diverses</t>
  </si>
  <si>
    <t>Produits cession vmp</t>
  </si>
  <si>
    <t>Produits execeptionnels</t>
  </si>
  <si>
    <t>PCEA</t>
  </si>
  <si>
    <t>791004</t>
  </si>
  <si>
    <t>Transferts de charges assisitants</t>
  </si>
  <si>
    <t>Emprunt CA 631K€</t>
  </si>
  <si>
    <t>Voy et dep mgr NPU</t>
  </si>
  <si>
    <t>Emprunt SG 720 K€</t>
  </si>
  <si>
    <t>Stock fourniture</t>
  </si>
  <si>
    <t>Variation stock promo</t>
  </si>
  <si>
    <t>421200</t>
  </si>
  <si>
    <t>Acomptes sur salaires</t>
  </si>
  <si>
    <t>Primes à payer</t>
  </si>
  <si>
    <t>Klesia retraite prévoyance</t>
  </si>
  <si>
    <t>Klesia NPU</t>
  </si>
  <si>
    <t>Taxe app. vers. lib</t>
  </si>
  <si>
    <t>Charges soc sur primes à payer</t>
  </si>
  <si>
    <t>Autr.charg.sociales a payer</t>
  </si>
  <si>
    <t>Tva ded. intracommunaut.</t>
  </si>
  <si>
    <t>Tva collectee à 20%</t>
  </si>
  <si>
    <t>Tva intracommunaut.</t>
  </si>
  <si>
    <t>Tva collectee à 10%</t>
  </si>
  <si>
    <t>Tva collectee à 5.5%</t>
  </si>
  <si>
    <t>467480</t>
  </si>
  <si>
    <t>467490</t>
  </si>
  <si>
    <t>RTH 76</t>
  </si>
  <si>
    <t>486001</t>
  </si>
  <si>
    <t>Cca ami</t>
  </si>
  <si>
    <t>486002</t>
  </si>
  <si>
    <t>Cca gudalgil</t>
  </si>
  <si>
    <t>486003</t>
  </si>
  <si>
    <t>Cca interway</t>
  </si>
  <si>
    <t>486004</t>
  </si>
  <si>
    <t>486005</t>
  </si>
  <si>
    <t>486006</t>
  </si>
  <si>
    <t>486007</t>
  </si>
  <si>
    <t>Cca sesam</t>
  </si>
  <si>
    <t>486008</t>
  </si>
  <si>
    <t>Cca radical</t>
  </si>
  <si>
    <t>Ticket restau demat</t>
  </si>
  <si>
    <t>Livraison à domicile - uber</t>
  </si>
  <si>
    <t>Chèques émis sg</t>
  </si>
  <si>
    <t>Societe generale</t>
  </si>
  <si>
    <t>Banques - charges à payer</t>
  </si>
  <si>
    <t>Remise espèces</t>
  </si>
  <si>
    <t>Variation stock fourniture exploita</t>
  </si>
  <si>
    <t>Eau - npu</t>
  </si>
  <si>
    <t>Fournitures diverses</t>
  </si>
  <si>
    <t>CT MAGA GEST PLAINTE</t>
  </si>
  <si>
    <t>Locations véhicules</t>
  </si>
  <si>
    <t>Loyer voiture bun rath</t>
  </si>
  <si>
    <t>613270</t>
  </si>
  <si>
    <t>Location matériel technique</t>
  </si>
  <si>
    <t>Location veh. sandrine merced. tirr</t>
  </si>
  <si>
    <t>613292</t>
  </si>
  <si>
    <t>loyer voiture yatera</t>
  </si>
  <si>
    <t>Entretien et rep divers</t>
  </si>
  <si>
    <t>Assurances agf npu</t>
  </si>
  <si>
    <t>Assurances diverses npu</t>
  </si>
  <si>
    <t>621407</t>
  </si>
  <si>
    <t>Publicite locale</t>
  </si>
  <si>
    <t>Frais de déplacement</t>
  </si>
  <si>
    <t>Redevance RTH</t>
  </si>
  <si>
    <t>Ta</t>
  </si>
  <si>
    <t>Remunerations assistants npu</t>
  </si>
  <si>
    <t>Remunerations equipiers npu</t>
  </si>
  <si>
    <t>Provision CP - novembre 2022 (?)</t>
  </si>
  <si>
    <t>Prov° c payes assistants npu</t>
  </si>
  <si>
    <t>Prov c payes equipiers npu</t>
  </si>
  <si>
    <t>Indemnites blanchissage équipiers n</t>
  </si>
  <si>
    <t>Cotis. urssaf equipiers npu</t>
  </si>
  <si>
    <t>Retraite  assistants npu</t>
  </si>
  <si>
    <t>Retraite équipiers npu</t>
  </si>
  <si>
    <t>Assurance chômage assistants npu</t>
  </si>
  <si>
    <t>Assurance chômage equipiers npu</t>
  </si>
  <si>
    <t>Mutuelle assistants npu</t>
  </si>
  <si>
    <t>Ch soc  prov cp assistant npu</t>
  </si>
  <si>
    <t>Ch soc s prov cp equipier npu</t>
  </si>
  <si>
    <t>Prevoyance assistants npu</t>
  </si>
  <si>
    <t>Prevoyance equipiers npu</t>
  </si>
  <si>
    <t>Ecart de caisse negatif</t>
  </si>
  <si>
    <t>Charges d'intérêts</t>
  </si>
  <si>
    <t>Crédit impôt mecénat</t>
  </si>
  <si>
    <t>Ventes  à 20% NPU</t>
  </si>
  <si>
    <t>Ventes  à 10% NPU</t>
  </si>
  <si>
    <t>Ventes  à 5.5% NPU</t>
  </si>
  <si>
    <t>Refacturations diverses</t>
  </si>
  <si>
    <t>Refacturation budget pub</t>
  </si>
  <si>
    <t>Ecart de caisse positif</t>
  </si>
  <si>
    <t>21530000</t>
  </si>
  <si>
    <t>23150000</t>
  </si>
  <si>
    <t>23850000</t>
  </si>
  <si>
    <t>40400000</t>
  </si>
  <si>
    <t>41110000</t>
  </si>
  <si>
    <t>42046673</t>
  </si>
  <si>
    <t>42400000</t>
  </si>
  <si>
    <t>43780000</t>
  </si>
  <si>
    <t>44571200</t>
  </si>
  <si>
    <t>45710000</t>
  </si>
  <si>
    <t>46741000</t>
  </si>
  <si>
    <t>46760000</t>
  </si>
  <si>
    <t>58020000</t>
  </si>
  <si>
    <t>60612000</t>
  </si>
  <si>
    <t>61300300</t>
  </si>
  <si>
    <t>61301000</t>
  </si>
  <si>
    <t>61301100</t>
  </si>
  <si>
    <t>61301200</t>
  </si>
  <si>
    <t>61301300</t>
  </si>
  <si>
    <t>61301400</t>
  </si>
  <si>
    <t>61301600</t>
  </si>
  <si>
    <t>61310100</t>
  </si>
  <si>
    <t>61322000</t>
  </si>
  <si>
    <t>61500200</t>
  </si>
  <si>
    <t>61800000</t>
  </si>
  <si>
    <t>62340600</t>
  </si>
  <si>
    <t>62411000</t>
  </si>
  <si>
    <t>64111100</t>
  </si>
  <si>
    <t>64111400</t>
  </si>
  <si>
    <t>64111500</t>
  </si>
  <si>
    <t>64111600</t>
  </si>
  <si>
    <t>64131000</t>
  </si>
  <si>
    <t>64134000</t>
  </si>
  <si>
    <t>64582100</t>
  </si>
  <si>
    <t>64582400</t>
  </si>
  <si>
    <t>65111000</t>
  </si>
  <si>
    <t>66161000</t>
  </si>
  <si>
    <t>68152000</t>
  </si>
  <si>
    <t>68153000</t>
  </si>
  <si>
    <t>70630000</t>
  </si>
  <si>
    <t>76380000</t>
  </si>
  <si>
    <t>76880000</t>
  </si>
  <si>
    <t>77800000</t>
  </si>
  <si>
    <t>79112000</t>
  </si>
  <si>
    <t>79700000</t>
  </si>
  <si>
    <t>Capital</t>
  </si>
  <si>
    <t>10510000</t>
  </si>
  <si>
    <t>Réserve spéciale</t>
  </si>
  <si>
    <t>Résultat</t>
  </si>
  <si>
    <t>Autres provisions pour risques</t>
  </si>
  <si>
    <t>Emprunt CA 750 000 €</t>
  </si>
  <si>
    <t>Emprunt PGE 100 000 €</t>
  </si>
  <si>
    <t>Emprunt PGE 350 000 €</t>
  </si>
  <si>
    <t>21850000</t>
  </si>
  <si>
    <t>depot cautionnement</t>
  </si>
  <si>
    <t>Amortissement matériel de cuisine</t>
  </si>
  <si>
    <t>Amortissements outillage industriel</t>
  </si>
  <si>
    <t>40970400</t>
  </si>
  <si>
    <t>Fournisseurs d'immo débiteurs</t>
  </si>
  <si>
    <t>42110000</t>
  </si>
  <si>
    <t>Remunerations dues</t>
  </si>
  <si>
    <t>Dettes provis.pr primes à payer</t>
  </si>
  <si>
    <t>Agirc-arco klésia</t>
  </si>
  <si>
    <t>Prevoyance</t>
  </si>
  <si>
    <t>Agirc - npu</t>
  </si>
  <si>
    <t>PRLVT SOURCE</t>
  </si>
  <si>
    <t>43830000</t>
  </si>
  <si>
    <t>Charges sociales s/primes à payer</t>
  </si>
  <si>
    <t>Paritarisme - FC</t>
  </si>
  <si>
    <t>Tva déductible sur achats</t>
  </si>
  <si>
    <t>Tva déd intracomm</t>
  </si>
  <si>
    <t>Tva à 5,5 %</t>
  </si>
  <si>
    <t>44573000</t>
  </si>
  <si>
    <t>Ventes 09/01</t>
  </si>
  <si>
    <t>Tva sur avoirs à recevoir</t>
  </si>
  <si>
    <t>45510000</t>
  </si>
  <si>
    <t>Associé rth76</t>
  </si>
  <si>
    <t>45520000</t>
  </si>
  <si>
    <t>45880000</t>
  </si>
  <si>
    <t>Ecart sur remise tr/ancv</t>
  </si>
  <si>
    <t>Ecart sur remises especes</t>
  </si>
  <si>
    <t>Ecart sur remise cheques</t>
  </si>
  <si>
    <t>Ecart UBER</t>
  </si>
  <si>
    <t>Ecart paypal</t>
  </si>
  <si>
    <t>46728000</t>
  </si>
  <si>
    <t>Ecart deliveroo</t>
  </si>
  <si>
    <t>ventes 03/10</t>
  </si>
  <si>
    <t>Ventes 16/01</t>
  </si>
  <si>
    <t>51125200</t>
  </si>
  <si>
    <t>51125300</t>
  </si>
  <si>
    <t>DELIVEROO</t>
  </si>
  <si>
    <t>51126200</t>
  </si>
  <si>
    <t>Espèces à remettre</t>
  </si>
  <si>
    <t>Crédit mobilis.créanc.ciales (cmcc)</t>
  </si>
  <si>
    <t>Ventes du 01/08</t>
  </si>
  <si>
    <t>60600000</t>
  </si>
  <si>
    <t>Total glr5</t>
  </si>
  <si>
    <t>Fact jcs paradox-aero polish-disque</t>
  </si>
  <si>
    <t>Autres matières et fournitures</t>
  </si>
  <si>
    <t>61300200</t>
  </si>
  <si>
    <t>Location caisse palette bio dechets</t>
  </si>
  <si>
    <t>Fac tmcdonalds redevance standard s</t>
  </si>
  <si>
    <t>Loyer mercedes classe a dn 822 gt</t>
  </si>
  <si>
    <t>Loyer mercedes a - dl 595 sq</t>
  </si>
  <si>
    <t>Loyer veh ea-962-jf</t>
  </si>
  <si>
    <t>Loyer veh tirr mercedes</t>
  </si>
  <si>
    <t>Location diac clio</t>
  </si>
  <si>
    <t>Loyer EV-769-NG M. Lanos</t>
  </si>
  <si>
    <t>Loyer audi a3 ev 182 ts</t>
  </si>
  <si>
    <t>Loyer mercedes glr5 sabrina</t>
  </si>
  <si>
    <t>Loyer FG-329-YA - B. Wassa</t>
  </si>
  <si>
    <t>Loyer FP-303-XZ - T. Rego</t>
  </si>
  <si>
    <t>61301800</t>
  </si>
  <si>
    <t>Loyer FZ-994-AV - S. Raffray</t>
  </si>
  <si>
    <t>61302300</t>
  </si>
  <si>
    <t>Loyer GG-369-GZ -T. Rego</t>
  </si>
  <si>
    <t>61320500</t>
  </si>
  <si>
    <t>Location - ouverture mc do</t>
  </si>
  <si>
    <t>Location vehicule ponctuelle</t>
  </si>
  <si>
    <t>Entretien et réparations diverses</t>
  </si>
  <si>
    <t>61560900</t>
  </si>
  <si>
    <t>Contrat ac froid</t>
  </si>
  <si>
    <t>Contrat wmf</t>
  </si>
  <si>
    <t>61564500</t>
  </si>
  <si>
    <t>Documentation générale</t>
  </si>
  <si>
    <t>61811000</t>
  </si>
  <si>
    <t>Sal brahim ligne 39</t>
  </si>
  <si>
    <t>Prêt personnel resp formation</t>
  </si>
  <si>
    <t>62520500</t>
  </si>
  <si>
    <t>Frais phoeuk bun rath</t>
  </si>
  <si>
    <t>62570000</t>
  </si>
  <si>
    <t>Receptions</t>
  </si>
  <si>
    <t>62822000</t>
  </si>
  <si>
    <t>Assistance financiere rth 76</t>
  </si>
  <si>
    <t>63780000</t>
  </si>
  <si>
    <t>64110000</t>
  </si>
  <si>
    <t>64115000</t>
  </si>
  <si>
    <t>64141200</t>
  </si>
  <si>
    <t>Indem transport equipiers</t>
  </si>
  <si>
    <t>64141500</t>
  </si>
  <si>
    <t>Indem transport manager</t>
  </si>
  <si>
    <t>64141600</t>
  </si>
  <si>
    <t>64141700</t>
  </si>
  <si>
    <t>64141800</t>
  </si>
  <si>
    <t>64141900</t>
  </si>
  <si>
    <t>Mutuelle equipiers npu</t>
  </si>
  <si>
    <t>64510000</t>
  </si>
  <si>
    <t>64520000</t>
  </si>
  <si>
    <t>64530000</t>
  </si>
  <si>
    <t>64540000</t>
  </si>
  <si>
    <t>Cotisations agirc assistant npu</t>
  </si>
  <si>
    <t>64580100</t>
  </si>
  <si>
    <t>Cs/ primes équipiers</t>
  </si>
  <si>
    <t>64581100</t>
  </si>
  <si>
    <t>Cs/ primes managers</t>
  </si>
  <si>
    <t>Avoir menu cine</t>
  </si>
  <si>
    <t>Avoir menu cinema 5%</t>
  </si>
  <si>
    <t>66150000</t>
  </si>
  <si>
    <t>Intérêts comptes courants dépôts cr</t>
  </si>
  <si>
    <t>67100000</t>
  </si>
  <si>
    <t>Charges exceptionnelles</t>
  </si>
  <si>
    <t>67140000</t>
  </si>
  <si>
    <t>67560000</t>
  </si>
  <si>
    <t>Mecenat htr8</t>
  </si>
  <si>
    <t>69890000</t>
  </si>
  <si>
    <t>70101100</t>
  </si>
  <si>
    <t>70101500</t>
  </si>
  <si>
    <t>70110000</t>
  </si>
  <si>
    <t>70600500</t>
  </si>
  <si>
    <t>Transport Uber</t>
  </si>
  <si>
    <t>Formation agefos</t>
  </si>
  <si>
    <t>refacturation paper</t>
  </si>
  <si>
    <t>70810300</t>
  </si>
  <si>
    <t>70810500</t>
  </si>
  <si>
    <t>Refact outillage</t>
  </si>
  <si>
    <t>70810600</t>
  </si>
  <si>
    <t>Refact telephone wassa</t>
  </si>
  <si>
    <t>70810700</t>
  </si>
  <si>
    <t>Refacturation loyer mercedes wassa</t>
  </si>
  <si>
    <t>70810800</t>
  </si>
  <si>
    <t>Refacturation taxe vehicule ste</t>
  </si>
  <si>
    <t>70810900</t>
  </si>
  <si>
    <t>70811000</t>
  </si>
  <si>
    <t>Refacturations huiles</t>
  </si>
  <si>
    <t>Refacturations travaux divers</t>
  </si>
  <si>
    <t>70811200</t>
  </si>
  <si>
    <t>Refacturation vehicule</t>
  </si>
  <si>
    <t>70811300</t>
  </si>
  <si>
    <t>refacturation entretien</t>
  </si>
  <si>
    <t>70811400</t>
  </si>
  <si>
    <t>refacturation entretien vehicule</t>
  </si>
  <si>
    <t>70812000</t>
  </si>
  <si>
    <t>Refacturation gie mcdonalds</t>
  </si>
  <si>
    <t>70813000</t>
  </si>
  <si>
    <t>70814000</t>
  </si>
  <si>
    <t>Refacturation cadeaux anniv</t>
  </si>
  <si>
    <t>70815000</t>
  </si>
  <si>
    <t>Refact salaire equipiers</t>
  </si>
  <si>
    <t>70816000</t>
  </si>
  <si>
    <t>70817100</t>
  </si>
  <si>
    <t>Refact voiture bun rath</t>
  </si>
  <si>
    <t>70817200</t>
  </si>
  <si>
    <t>refacturation fourn bureau</t>
  </si>
  <si>
    <t>70817300</t>
  </si>
  <si>
    <t>Refacturation loy veh marine a1</t>
  </si>
  <si>
    <t>70817400</t>
  </si>
  <si>
    <t>refacturation vetements</t>
  </si>
  <si>
    <t>70817500</t>
  </si>
  <si>
    <t>Refacturation restaurant</t>
  </si>
  <si>
    <t>70817600</t>
  </si>
  <si>
    <t>Refatcuration carburant</t>
  </si>
  <si>
    <t>70817700</t>
  </si>
  <si>
    <t>refacturation jouets hm</t>
  </si>
  <si>
    <t>70818000</t>
  </si>
  <si>
    <t>Refact frais profes</t>
  </si>
  <si>
    <t>70819000</t>
  </si>
  <si>
    <t>Refact entretien vehicule</t>
  </si>
  <si>
    <t>74000000</t>
  </si>
  <si>
    <t>Contrat aide drfip</t>
  </si>
  <si>
    <t>Subvention exploitation</t>
  </si>
  <si>
    <t>aide fonds solidarité</t>
  </si>
  <si>
    <t>76150000</t>
  </si>
  <si>
    <t>Intérêts des comptes courants</t>
  </si>
  <si>
    <t>Revenus des vmp</t>
  </si>
  <si>
    <t>77100000</t>
  </si>
  <si>
    <t>Produit de cession d'element d'acti</t>
  </si>
  <si>
    <t>Avantages en nat.managers</t>
  </si>
  <si>
    <t>Capit.souscrit appele verse</t>
  </si>
  <si>
    <t>129600</t>
  </si>
  <si>
    <t>Emprunt crca 200 k€</t>
  </si>
  <si>
    <t>Emprunt crca 150 k€</t>
  </si>
  <si>
    <t>Emprunt crca 225 k€</t>
  </si>
  <si>
    <t>Emprunt PGE 150 k€</t>
  </si>
  <si>
    <t>Depots et cautionnem.verses</t>
  </si>
  <si>
    <t>401104</t>
  </si>
  <si>
    <t>Rr racing</t>
  </si>
  <si>
    <t>Oleo</t>
  </si>
  <si>
    <t>411445</t>
  </si>
  <si>
    <t>Remunerat.dues au personnel</t>
  </si>
  <si>
    <t>2019 - CONTAIS</t>
  </si>
  <si>
    <t>Personnel - Solde de tout compte</t>
  </si>
  <si>
    <t>Personnel aut.charg.a payer</t>
  </si>
  <si>
    <t>Securite sociale</t>
  </si>
  <si>
    <t>Isica - circo</t>
  </si>
  <si>
    <t>437092</t>
  </si>
  <si>
    <t>la mondiale</t>
  </si>
  <si>
    <t>Taxe apprentissage Prlvt lib.</t>
  </si>
  <si>
    <t>Prélèvements à la source (IR)</t>
  </si>
  <si>
    <t>Tva s/aut.bien.serv.deducti</t>
  </si>
  <si>
    <t>Tva collectée 5.5%</t>
  </si>
  <si>
    <t>Ecriture tva</t>
  </si>
  <si>
    <t>tva sur avoirs à établir</t>
  </si>
  <si>
    <t>Compte courant Regis Rego de Sebes</t>
  </si>
  <si>
    <t>Compte courant Renaud Rego de Sebes</t>
  </si>
  <si>
    <t>Double cb</t>
  </si>
  <si>
    <t>Htr8</t>
  </si>
  <si>
    <t>Gth 14</t>
  </si>
  <si>
    <t>467440</t>
  </si>
  <si>
    <t>467445</t>
  </si>
  <si>
    <t>Jrcr</t>
  </si>
  <si>
    <t>467446</t>
  </si>
  <si>
    <t>467450</t>
  </si>
  <si>
    <t>467470</t>
  </si>
  <si>
    <t>Tirr</t>
  </si>
  <si>
    <t>Autres comptes débiteurs créditeurs</t>
  </si>
  <si>
    <t>Compte d attente npu</t>
  </si>
  <si>
    <t>471100</t>
  </si>
  <si>
    <t>500000</t>
  </si>
  <si>
    <t>Devises</t>
  </si>
  <si>
    <t>Chèques - npu</t>
  </si>
  <si>
    <t>Vente 23/04</t>
  </si>
  <si>
    <t>Livraison à domicile - Uber</t>
  </si>
  <si>
    <t>Ventes 08/10</t>
  </si>
  <si>
    <t>Chèques émis caisse d'épargne</t>
  </si>
  <si>
    <t>Cep</t>
  </si>
  <si>
    <t>Caisse d'epargne npu</t>
  </si>
  <si>
    <t>Caisse d'épargne</t>
  </si>
  <si>
    <t>512500</t>
  </si>
  <si>
    <t>512900</t>
  </si>
  <si>
    <t>DAT N°741090 Ech 11/2026</t>
  </si>
  <si>
    <t>Jouets et div npu</t>
  </si>
  <si>
    <t>Gaz npu</t>
  </si>
  <si>
    <t>Fournit exploit &amp; produit entretien</t>
  </si>
  <si>
    <t>606315</t>
  </si>
  <si>
    <t>Petit outillage - Covid-19</t>
  </si>
  <si>
    <t>Fournitures de bureau npu</t>
  </si>
  <si>
    <t>Lingerie npu</t>
  </si>
  <si>
    <t>Rrr obtenus sur achats</t>
  </si>
  <si>
    <t>Location-gérance mcdonald's</t>
  </si>
  <si>
    <t>Loc mercedes dl 595 sq</t>
  </si>
  <si>
    <t>Loyer mercedes wassa</t>
  </si>
  <si>
    <t>Location vehicule tirr</t>
  </si>
  <si>
    <t>613280</t>
  </si>
  <si>
    <t>Loyer veh eh 218 xl dfm</t>
  </si>
  <si>
    <t>613281</t>
  </si>
  <si>
    <t>613282</t>
  </si>
  <si>
    <t>Loyer FC-921-EK - S.Raffray</t>
  </si>
  <si>
    <t>613283</t>
  </si>
  <si>
    <t>Loyer FC-999-EK - S. Laturaze</t>
  </si>
  <si>
    <t>Loyer GA-768-QK - B.Wassa</t>
  </si>
  <si>
    <t>Locations de matériel Grenke</t>
  </si>
  <si>
    <t>Taxe foncière</t>
  </si>
  <si>
    <t>Entretien et reparations npu</t>
  </si>
  <si>
    <t>615563</t>
  </si>
  <si>
    <t>Contrat calypsound npu</t>
  </si>
  <si>
    <t>Contrat spie npu</t>
  </si>
  <si>
    <t>Contrat Spie</t>
  </si>
  <si>
    <t>Contrat cartes et service npu</t>
  </si>
  <si>
    <t>Contrat acrelec npu</t>
  </si>
  <si>
    <t>Contrat iron moutain npu</t>
  </si>
  <si>
    <t>616008</t>
  </si>
  <si>
    <t>Assurance emprunt</t>
  </si>
  <si>
    <t>Assurance auto mission npu</t>
  </si>
  <si>
    <t>Personnel exter. a l'entr npu</t>
  </si>
  <si>
    <t>Salaires directions rhf</t>
  </si>
  <si>
    <t>Personnel exter. à l'entr</t>
  </si>
  <si>
    <t>salaire pers superviseur</t>
  </si>
  <si>
    <t>622650</t>
  </si>
  <si>
    <t>Retrocession transport - Uber</t>
  </si>
  <si>
    <t>Decuax</t>
  </si>
  <si>
    <t>Frais professionnels npu</t>
  </si>
  <si>
    <t>Frais postaux et telecom.</t>
  </si>
  <si>
    <t>Commissions cb ne pas utiliser</t>
  </si>
  <si>
    <t>Commissions tr ne pas utiliser</t>
  </si>
  <si>
    <t>Commissions cv ne pas utiliser</t>
  </si>
  <si>
    <t>Prest services restogest</t>
  </si>
  <si>
    <t>Formation diverses</t>
  </si>
  <si>
    <t>Contribution restauration</t>
  </si>
  <si>
    <t>Cont de solidarite</t>
  </si>
  <si>
    <t>Autr.imp. taxes(autr.org)</t>
  </si>
  <si>
    <t>Conges payes</t>
  </si>
  <si>
    <t>Ind licenciement brut + charges p&amp;l</t>
  </si>
  <si>
    <t>Indem licenciement assistants</t>
  </si>
  <si>
    <t>Avant. en nature voiture npu</t>
  </si>
  <si>
    <t>indem inflation equipiers</t>
  </si>
  <si>
    <t>indem inflation managers</t>
  </si>
  <si>
    <t>Loi fillion</t>
  </si>
  <si>
    <t>Cotis agirc assistants</t>
  </si>
  <si>
    <t>Retraite regis rego</t>
  </si>
  <si>
    <t>Med travail npu</t>
  </si>
  <si>
    <t>Cont coca cola</t>
  </si>
  <si>
    <t>43.12/sprÉ/ct du 01.01-31.12.15</t>
  </si>
  <si>
    <t>Charg.divers.gestion couran</t>
  </si>
  <si>
    <t>Prov  csco</t>
  </si>
  <si>
    <t>Cs conges paues</t>
  </si>
  <si>
    <t>Dot. amort. except. immo</t>
  </si>
  <si>
    <t>Ventes 01/10</t>
  </si>
  <si>
    <t>Vtes 20 %</t>
  </si>
  <si>
    <t>refatcuration loyer veh sabrina</t>
  </si>
  <si>
    <t>refatc uniformes</t>
  </si>
  <si>
    <t>refacturation repas</t>
  </si>
  <si>
    <t>Comparaison P&amp;L mensuel GLR5</t>
  </si>
  <si>
    <t>Comparaison P&amp;L mensuel HTR8</t>
  </si>
  <si>
    <t>Comparaison P&amp;L mensuel TIRR</t>
  </si>
  <si>
    <t>Comparaison P&amp;L mensuel VR7</t>
  </si>
  <si>
    <t>Comparaison P&amp;L mensuel TURVILLA</t>
  </si>
  <si>
    <t>Comparaison P&amp;L mensuel HART</t>
  </si>
  <si>
    <t>Prets de personnel</t>
  </si>
  <si>
    <t>603211</t>
  </si>
  <si>
    <t>Variation stock vaisselle</t>
  </si>
  <si>
    <t>Prêt de personnel manager cotis°</t>
  </si>
  <si>
    <t>Contrat steeple</t>
  </si>
  <si>
    <t>Loyer voiture rafray</t>
  </si>
  <si>
    <t>VAISSELLE</t>
  </si>
  <si>
    <t>Var stock vaisselle Re-Use</t>
  </si>
  <si>
    <t>Variat. stocks vaisselle</t>
  </si>
  <si>
    <t>606612</t>
  </si>
  <si>
    <t>Redevance Sacem</t>
  </si>
  <si>
    <t>TVA sur FNP</t>
  </si>
  <si>
    <t>TVA sur AAR</t>
  </si>
  <si>
    <t>TVA sur FAE</t>
  </si>
  <si>
    <t>Variat. stock vaisselle</t>
  </si>
  <si>
    <t>Personnel prété équipiers cot°</t>
  </si>
  <si>
    <t>Personnel marketing</t>
  </si>
  <si>
    <t>Traitement des eaux</t>
  </si>
  <si>
    <t>Maint. lave verres</t>
  </si>
  <si>
    <t>Loyer véhicule b. wassa</t>
  </si>
  <si>
    <t>Loyer véhicule t. rego</t>
  </si>
  <si>
    <t>Loyer véhicule b.r. phoeuk</t>
  </si>
  <si>
    <t>Loyer véhicule m. lanos</t>
  </si>
  <si>
    <t>Voyages et deplacement bun rath</t>
  </si>
  <si>
    <t>Variat. stock vaisselle reuse</t>
  </si>
  <si>
    <t>Achats vaisselle reuse</t>
  </si>
  <si>
    <t>Var.stocks vaisselle reuse</t>
  </si>
  <si>
    <t>Publicite Gie Mc Do</t>
  </si>
  <si>
    <t>Var.stock happy meals</t>
  </si>
  <si>
    <t>Variation stocks vaisselle</t>
  </si>
  <si>
    <t>LOYER VOITURE SANS PERMIS</t>
  </si>
  <si>
    <t>Télephonie</t>
  </si>
  <si>
    <t>Salaires reclassés PNL</t>
  </si>
  <si>
    <t>Refacturation assurance véhicule</t>
  </si>
  <si>
    <t>Refacturation entretien de véhicule</t>
  </si>
  <si>
    <t>Comparaison P&amp;L mensuel TH4</t>
  </si>
  <si>
    <t>Comparaison P&amp;L mensuel TL DIVES</t>
  </si>
  <si>
    <t>Comparaison P&amp;L cumulé GLR5</t>
  </si>
  <si>
    <t>Comparaison P&amp;L cumulé HTR8</t>
  </si>
  <si>
    <t>Comparaison P&amp;L cumulé TIRR</t>
  </si>
  <si>
    <t>Comparaison P&amp;L cumulé VR7</t>
  </si>
  <si>
    <t>Comparaison P&amp;L cumulé TURVILLA</t>
  </si>
  <si>
    <t>Comparaison P&amp;L cumulé HART</t>
  </si>
  <si>
    <t>Comparaison P&amp;L cumulé VICTOIRE'S</t>
  </si>
  <si>
    <t>VICTOIRE'S</t>
  </si>
  <si>
    <t>Comparaison P&amp;L cumulél R3 14</t>
  </si>
  <si>
    <t>Comparaison P&amp;L mensuel VICTOIRE'S</t>
  </si>
  <si>
    <t>TOTAL</t>
  </si>
  <si>
    <t>70810410</t>
  </si>
  <si>
    <t>60321100</t>
  </si>
  <si>
    <t>61566500</t>
  </si>
  <si>
    <t>62621000</t>
  </si>
  <si>
    <t>70883010</t>
  </si>
  <si>
    <t>70883020</t>
  </si>
  <si>
    <t>70883030</t>
  </si>
  <si>
    <t>613527</t>
  </si>
  <si>
    <t>Voyages et déplacement L.40</t>
  </si>
  <si>
    <t>61302400</t>
  </si>
  <si>
    <t>Loyer veh.guerendel-resse</t>
  </si>
  <si>
    <t>Location véhicule FQ-525-RY</t>
  </si>
  <si>
    <t>Location Audi GD-751-GN</t>
  </si>
  <si>
    <t>Personnel prété l.40</t>
  </si>
  <si>
    <t>Regis REGO de SEBES</t>
  </si>
  <si>
    <t>C/c mungu</t>
  </si>
  <si>
    <t>location divers</t>
  </si>
  <si>
    <t>Contrat nettoyage cuisine</t>
  </si>
  <si>
    <t>Subvention équipement</t>
  </si>
  <si>
    <t>611111</t>
  </si>
  <si>
    <t>61322300</t>
  </si>
  <si>
    <t>Salariés - L40</t>
  </si>
  <si>
    <t>625211</t>
  </si>
  <si>
    <t>613267</t>
  </si>
  <si>
    <t>613268</t>
  </si>
  <si>
    <t>Orange</t>
  </si>
  <si>
    <t>Refacturation charges sociales</t>
  </si>
  <si>
    <t>606402</t>
  </si>
  <si>
    <t>Fournitures de bureau gth</t>
  </si>
  <si>
    <t>Avoir red. diverses</t>
  </si>
  <si>
    <t>651400</t>
  </si>
  <si>
    <t>Refacturations réception</t>
  </si>
  <si>
    <t>Location bailart</t>
  </si>
  <si>
    <t>65140000</t>
  </si>
  <si>
    <t>Avoir red. mcdo diverses</t>
  </si>
  <si>
    <t>65132000</t>
  </si>
  <si>
    <t>AVOIR REDV DIVERS</t>
  </si>
  <si>
    <t>Contrat maint. autolaveuse</t>
  </si>
  <si>
    <t>HTR8 - 64115000</t>
  </si>
  <si>
    <t>SALAIRES LIGNE 13</t>
  </si>
  <si>
    <t>2023 cumul</t>
  </si>
  <si>
    <t xml:space="preserve">2023  </t>
  </si>
  <si>
    <t xml:space="preserve">2023 cumul </t>
  </si>
  <si>
    <t xml:space="preserve">2023   </t>
  </si>
  <si>
    <t xml:space="preserve">2023 cumul   </t>
  </si>
  <si>
    <t xml:space="preserve">2023    </t>
  </si>
  <si>
    <t xml:space="preserve">2023 cumul    </t>
  </si>
  <si>
    <t>TRÉSORERIE 2023 (EN K€)</t>
  </si>
  <si>
    <t>Cumulé 2023</t>
  </si>
  <si>
    <t>Aide énergie</t>
  </si>
  <si>
    <t>Libellé</t>
  </si>
  <si>
    <t>Remise martin brower 20%</t>
  </si>
  <si>
    <t>Applicat suivi performance</t>
  </si>
  <si>
    <t>Commissions uber</t>
  </si>
  <si>
    <t>Salariés prétés - l40</t>
  </si>
  <si>
    <t>628025</t>
  </si>
  <si>
    <t>Places Happy city</t>
  </si>
  <si>
    <t/>
  </si>
  <si>
    <t>2024</t>
  </si>
  <si>
    <t>ARTHUR</t>
  </si>
  <si>
    <t>HUGO</t>
  </si>
  <si>
    <t>THOMAS</t>
  </si>
  <si>
    <t>JEANCLO</t>
  </si>
  <si>
    <t>Comparaison P&amp;L mensuel ARTHUR</t>
  </si>
  <si>
    <t>Comparaison P&amp;L mensuel HUGO</t>
  </si>
  <si>
    <t>Comparaison P&amp;L mensuel JEANCLO</t>
  </si>
  <si>
    <t>Comparaison P&amp;L mensuel THOMAS</t>
  </si>
  <si>
    <t>Comparaison P&amp;L cumulé ARTHUR</t>
  </si>
  <si>
    <t>Comparaison P&amp;L cumulé HUGO</t>
  </si>
  <si>
    <t>Comparaison P&amp;L cumulé JEANCLO</t>
  </si>
  <si>
    <t>Comparaison P&amp;L cumulé THOMAS</t>
  </si>
  <si>
    <t>Contrat primobox</t>
  </si>
  <si>
    <t>613291</t>
  </si>
  <si>
    <t>Loyer GP-260-LW - S. Raffray</t>
  </si>
  <si>
    <t>T</t>
  </si>
  <si>
    <t xml:space="preserve">    N° </t>
  </si>
  <si>
    <t>P&amp;L</t>
  </si>
  <si>
    <t>Touques</t>
  </si>
  <si>
    <t>Pont Audemer</t>
  </si>
  <si>
    <t>Montivillier</t>
  </si>
  <si>
    <t>Le Havre coty</t>
  </si>
  <si>
    <t>Le Havre pressoir</t>
  </si>
  <si>
    <t>2024 cumul</t>
  </si>
  <si>
    <t xml:space="preserve">2024  </t>
  </si>
  <si>
    <t xml:space="preserve">2024 cumul </t>
  </si>
  <si>
    <t xml:space="preserve">2024   </t>
  </si>
  <si>
    <t xml:space="preserve">2024 cumul   </t>
  </si>
  <si>
    <t xml:space="preserve">2024    </t>
  </si>
  <si>
    <t xml:space="preserve">2024 cumul    </t>
  </si>
  <si>
    <t>Cumulé 2024</t>
  </si>
  <si>
    <t>FÉVRIER</t>
  </si>
  <si>
    <t>DÉCEMBRE</t>
  </si>
  <si>
    <t>GROUPE REGIS REGO DE SEBES</t>
  </si>
  <si>
    <t>,</t>
  </si>
  <si>
    <t>49</t>
  </si>
  <si>
    <t>53</t>
  </si>
  <si>
    <t>55</t>
  </si>
  <si>
    <t>57</t>
  </si>
  <si>
    <t>59</t>
  </si>
  <si>
    <t>61</t>
  </si>
  <si>
    <t>63</t>
  </si>
  <si>
    <t>65</t>
  </si>
  <si>
    <t>67</t>
  </si>
  <si>
    <t>69</t>
  </si>
  <si>
    <t>71</t>
  </si>
  <si>
    <t>73</t>
  </si>
  <si>
    <t>75</t>
  </si>
  <si>
    <t>77</t>
  </si>
  <si>
    <t>81</t>
  </si>
  <si>
    <t>Refacturation d'huile usagée</t>
  </si>
  <si>
    <t>Commissions deliveroo</t>
  </si>
  <si>
    <t xml:space="preserve">        GLOBAL 2021         </t>
  </si>
  <si>
    <t xml:space="preserve">       GLOBAL 2022       </t>
  </si>
  <si>
    <t xml:space="preserve">         GLOBAL 2023         </t>
  </si>
  <si>
    <t>TRÉSORERIE 2024 (EN K€)</t>
  </si>
  <si>
    <t xml:space="preserve">       GLOBAL 2024        </t>
  </si>
  <si>
    <t>85</t>
  </si>
  <si>
    <t>Coût achat nourriture</t>
  </si>
  <si>
    <r>
      <t xml:space="preserve"> P&amp;L </t>
    </r>
    <r>
      <rPr>
        <b/>
        <u/>
        <sz val="12"/>
        <rFont val="Calibri"/>
        <family val="2"/>
        <scheme val="minor"/>
      </rPr>
      <t xml:space="preserve">GLOBAL </t>
    </r>
    <r>
      <rPr>
        <b/>
        <sz val="12"/>
        <rFont val="Calibri"/>
        <family val="2"/>
        <scheme val="minor"/>
      </rPr>
      <t>Cumulé</t>
    </r>
  </si>
  <si>
    <t>621408</t>
  </si>
  <si>
    <t>Prêt personnel équipiers cs</t>
  </si>
  <si>
    <t>Prêt personnel managers cs</t>
  </si>
  <si>
    <t>62140800</t>
  </si>
  <si>
    <t>Prêt personnel équipiers charges</t>
  </si>
  <si>
    <t>70815100</t>
  </si>
  <si>
    <t>Refacturation c.s. équipiers</t>
  </si>
  <si>
    <t>Contrat d'accès sylae</t>
  </si>
  <si>
    <t>Contrat ramassage dechet</t>
  </si>
  <si>
    <t>Contrat dératisation</t>
  </si>
  <si>
    <t>Contrat perf mgr</t>
  </si>
  <si>
    <t>Frais de deplacement</t>
  </si>
  <si>
    <t>Indexation loyer</t>
  </si>
  <si>
    <t>61325000</t>
  </si>
  <si>
    <t>Location leasecom</t>
  </si>
  <si>
    <t>Loyer GM-935-JM - b. rath</t>
  </si>
  <si>
    <t>Loyer gd-151-sq - m. lanos</t>
  </si>
  <si>
    <t>61302500</t>
  </si>
  <si>
    <t>Loyer GQ-226-PL</t>
  </si>
  <si>
    <t>Prêt personnel refac.</t>
  </si>
  <si>
    <t>62802500</t>
  </si>
  <si>
    <t>Achats places happy city</t>
  </si>
  <si>
    <t>Personnel ext cs assistants</t>
  </si>
  <si>
    <t>708610</t>
  </si>
  <si>
    <t>Refacturation pub locale</t>
  </si>
  <si>
    <t>Frais de réception</t>
  </si>
  <si>
    <t>708889</t>
  </si>
  <si>
    <t>613525</t>
  </si>
  <si>
    <t>Loyer véhicule Sandrine GP-090-LW</t>
  </si>
  <si>
    <t>Personnel ext refac</t>
  </si>
  <si>
    <t>708887</t>
  </si>
  <si>
    <t>628240</t>
  </si>
  <si>
    <t>Produits non alimentaires</t>
  </si>
  <si>
    <t>Places happy city</t>
  </si>
  <si>
    <t>Refacturation cs équipiers</t>
  </si>
  <si>
    <t>613380</t>
  </si>
  <si>
    <t>Contrat iss/sapian dégrais. hottes</t>
  </si>
  <si>
    <t>Curage des bacs à graisses</t>
  </si>
  <si>
    <t>Contrat alarme et incendi</t>
  </si>
  <si>
    <t>Voyages &amp; dpt</t>
  </si>
  <si>
    <t>Prêt personnel managers l40</t>
  </si>
  <si>
    <t>Achat places happy city</t>
  </si>
  <si>
    <t>Vaisselle Re-Use</t>
  </si>
  <si>
    <t>Contrat intrusion, incendie</t>
  </si>
  <si>
    <t>Location materiel info</t>
  </si>
  <si>
    <t>Contrat Véolia</t>
  </si>
  <si>
    <t>Contrat Helpline</t>
  </si>
  <si>
    <t>contrat primobox</t>
  </si>
  <si>
    <t>62221000</t>
  </si>
  <si>
    <t>Frais déplacement</t>
  </si>
  <si>
    <t>Prêt personnel hotesses</t>
  </si>
  <si>
    <t>Ventes pdts non alimentaires 10%</t>
  </si>
  <si>
    <t>Achats emballages perdus</t>
  </si>
  <si>
    <t>Prêt personnel L40</t>
  </si>
  <si>
    <t>Ventes pdts non alimentaires 10 %</t>
  </si>
  <si>
    <t>Ventes alimentaires a 5.5%</t>
  </si>
  <si>
    <t>Ventes alimentaires à 10%</t>
  </si>
  <si>
    <t>Ventes alimentaires à 20%</t>
  </si>
  <si>
    <t>Contrat intrusion &amp; incendie</t>
  </si>
  <si>
    <t>Abonnement profil net</t>
  </si>
  <si>
    <t>Contrat chubb</t>
  </si>
  <si>
    <t>61566600</t>
  </si>
  <si>
    <t>Contrat Miele lave linge</t>
  </si>
  <si>
    <t>commission uber</t>
  </si>
  <si>
    <t>615212</t>
  </si>
  <si>
    <t>615010</t>
  </si>
  <si>
    <t>Contrat entretien aires de jeux</t>
  </si>
  <si>
    <t>Contrat ats gie</t>
  </si>
  <si>
    <t>Application suivi performance</t>
  </si>
  <si>
    <t>Contrat coates</t>
  </si>
  <si>
    <t>Refac Hotesses</t>
  </si>
  <si>
    <t>CATALINA</t>
  </si>
  <si>
    <t>Pont Lévêque</t>
  </si>
  <si>
    <t>Comparaison P&amp;L mensuel CATALINA</t>
  </si>
  <si>
    <t>Comparaison P&amp;L cumulé CATALINA</t>
  </si>
  <si>
    <t>708868</t>
  </si>
  <si>
    <t>Refacturation entretien auto</t>
  </si>
  <si>
    <t>Prêt personnel managers charges</t>
  </si>
  <si>
    <t>47</t>
  </si>
  <si>
    <t>84</t>
  </si>
  <si>
    <t>86</t>
  </si>
  <si>
    <t>89</t>
  </si>
  <si>
    <t>91</t>
  </si>
  <si>
    <t>615220</t>
  </si>
  <si>
    <t>615668</t>
  </si>
  <si>
    <t>Contrat Coates</t>
  </si>
  <si>
    <t>62141400</t>
  </si>
  <si>
    <t>Prêt personnel charges managers</t>
  </si>
  <si>
    <t>61566700</t>
  </si>
  <si>
    <t>622662</t>
  </si>
  <si>
    <t>01/2025</t>
  </si>
  <si>
    <t>2025</t>
  </si>
  <si>
    <t>31 Janvier</t>
  </si>
  <si>
    <t>31 Janvier 2024</t>
  </si>
  <si>
    <t>Solde du 01/01/2025 au 31/01/2025 : Débit</t>
  </si>
  <si>
    <t>Solde du 01/01/2025 au 31/01/2025 : Crédit</t>
  </si>
  <si>
    <t>Contrat Interway volume inter.</t>
  </si>
  <si>
    <t>626300</t>
  </si>
  <si>
    <t>Connexion TPE</t>
  </si>
  <si>
    <t>Redevance Sacem spre</t>
  </si>
  <si>
    <t>651700</t>
  </si>
  <si>
    <t>Redevance interway</t>
  </si>
  <si>
    <t>Publicité locale</t>
  </si>
  <si>
    <t>Entretien Interway</t>
  </si>
  <si>
    <t>62630000</t>
  </si>
  <si>
    <t>65170000</t>
  </si>
  <si>
    <t>Contrat bachelet bac à graisse</t>
  </si>
  <si>
    <t>Redevance sacem - spré</t>
  </si>
  <si>
    <t>Redevances Interway</t>
  </si>
  <si>
    <t>Interway réseau</t>
  </si>
  <si>
    <t>62142100</t>
  </si>
  <si>
    <t>Personnel prêt équip. charges</t>
  </si>
  <si>
    <t>Redevance Interway</t>
  </si>
  <si>
    <t>commission UBER</t>
  </si>
  <si>
    <t>Contrat CIS - Interway</t>
  </si>
  <si>
    <t>Connexion TPE Interway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</si>
</sst>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* #,##0\ &quot;F&quot;_-;\-* #,##0\ &quot;F&quot;_-;_-* &quot;-&quot;\ &quot;F&quot;_-;_-@_-"/>
    <numFmt numFmtId="165" formatCode="_ [$€]\ * #,##0.00_ ;_ [$€]\ * \-#,##0.00_ ;_ [$€]\ * &quot;-&quot;??_ ;_ @_ "/>
    <numFmt numFmtId="166" formatCode="_ * #,##0.00_ ;_ * \-#,##0.00_ ;_ * &quot;-&quot;??_ ;_ @_ "/>
    <numFmt numFmtId="167" formatCode="#,##0.00_ ;\-#,##0.00\ "/>
    <numFmt numFmtId="168" formatCode="#,##0_ ;\-#,##0\ "/>
    <numFmt numFmtId="169" formatCode="[$-40C]mmm\-yy;@"/>
    <numFmt numFmtId="170" formatCode="_(* #,##0.00_);_(* \(#,##0.00\);_(* &quot;-&quot;??_);_(@_)"/>
    <numFmt numFmtId="171" formatCode="[$-40C]mmmm\-yy;@"/>
    <numFmt numFmtId="172" formatCode="_-* #,##0.00\ _€_-;\-* #,##0.00\ _€_-;_-* &quot;-&quot;??\ _€_-;_-@_-"/>
  </numFmts>
  <fonts count="97" x14ac:knownFonts="1">
    <font>
      <sz val="10"/>
      <name val="Helv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Helv"/>
    </font>
    <font>
      <sz val="10"/>
      <name val="Arial"/>
      <family val="2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b/>
      <sz val="13.5"/>
      <name val="Times New Roman"/>
      <family val="1"/>
    </font>
    <font>
      <b/>
      <sz val="20"/>
      <color indexed="48"/>
      <name val="Times New Roman"/>
      <family val="1"/>
    </font>
    <font>
      <b/>
      <sz val="20"/>
      <name val="Times New Roman"/>
      <family val="1"/>
    </font>
    <font>
      <b/>
      <sz val="13.5"/>
      <color indexed="48"/>
      <name val="Times New Roman"/>
      <family val="1"/>
    </font>
    <font>
      <b/>
      <u/>
      <sz val="13.5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0"/>
      <name val="Times New Roman"/>
      <family val="1"/>
    </font>
    <font>
      <b/>
      <u/>
      <sz val="12"/>
      <name val="Calibri"/>
      <family val="2"/>
      <scheme val="minor"/>
    </font>
    <font>
      <sz val="10"/>
      <name val="Calibri"/>
      <family val="2"/>
      <scheme val="minor"/>
    </font>
    <font>
      <b/>
      <i/>
      <sz val="10"/>
      <name val="Times New Roman"/>
      <family val="1"/>
    </font>
    <font>
      <b/>
      <i/>
      <u/>
      <sz val="10"/>
      <name val="Times New Roman"/>
      <family val="1"/>
    </font>
    <font>
      <b/>
      <u/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u val="singleAccounting"/>
      <sz val="10"/>
      <color theme="0"/>
      <name val="Times New Roman"/>
      <family val="1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u/>
      <sz val="10"/>
      <color indexed="12"/>
      <name val="Calibri"/>
      <family val="2"/>
      <scheme val="minor"/>
    </font>
    <font>
      <b/>
      <sz val="10"/>
      <color indexed="48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indexed="12"/>
      <name val="Calibri"/>
      <family val="2"/>
      <scheme val="minor"/>
    </font>
    <font>
      <b/>
      <u/>
      <sz val="16"/>
      <name val="Calibri"/>
      <family val="2"/>
      <scheme val="minor"/>
    </font>
    <font>
      <sz val="11"/>
      <color indexed="12"/>
      <name val="Calibri"/>
      <family val="2"/>
      <scheme val="minor"/>
    </font>
    <font>
      <sz val="10"/>
      <color indexed="12"/>
      <name val="Calibri"/>
      <family val="2"/>
      <scheme val="minor"/>
    </font>
    <font>
      <sz val="8"/>
      <color theme="1"/>
      <name val="Kalinga"/>
      <family val="2"/>
    </font>
    <font>
      <b/>
      <sz val="10"/>
      <color theme="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b/>
      <i/>
      <sz val="12"/>
      <name val="Calibri"/>
      <family val="2"/>
      <scheme val="minor"/>
    </font>
    <font>
      <sz val="8"/>
      <name val="Helv"/>
    </font>
    <font>
      <b/>
      <u val="singleAccounting"/>
      <sz val="10"/>
      <name val="Calibri"/>
      <family val="2"/>
      <scheme val="minor"/>
    </font>
    <font>
      <sz val="10"/>
      <color theme="0"/>
      <name val="Helv"/>
    </font>
    <font>
      <sz val="11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/>
        <bgColor indexed="9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8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double">
        <color theme="0"/>
      </bottom>
      <diagonal/>
    </border>
    <border>
      <left/>
      <right style="medium">
        <color indexed="64"/>
      </right>
      <top/>
      <bottom style="double">
        <color theme="0"/>
      </bottom>
      <diagonal/>
    </border>
    <border>
      <left/>
      <right style="thin">
        <color indexed="64"/>
      </right>
      <top/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medium">
        <color theme="0"/>
      </bottom>
      <diagonal/>
    </border>
    <border>
      <left/>
      <right style="medium">
        <color indexed="64"/>
      </right>
      <top/>
      <bottom style="medium">
        <color theme="0"/>
      </bottom>
      <diagonal/>
    </border>
    <border>
      <left/>
      <right style="thin">
        <color indexed="64"/>
      </right>
      <top/>
      <bottom style="medium">
        <color theme="0"/>
      </bottom>
      <diagonal/>
    </border>
    <border>
      <left style="medium">
        <color indexed="64"/>
      </left>
      <right/>
      <top style="double">
        <color theme="0"/>
      </top>
      <bottom style="thin">
        <color indexed="64"/>
      </bottom>
      <diagonal/>
    </border>
    <border>
      <left/>
      <right style="medium">
        <color indexed="64"/>
      </right>
      <top style="double">
        <color theme="0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theme="0"/>
      </bottom>
      <diagonal/>
    </border>
    <border>
      <left style="medium">
        <color indexed="64"/>
      </left>
      <right/>
      <top/>
      <bottom style="medium">
        <color theme="0"/>
      </bottom>
      <diagonal/>
    </border>
    <border>
      <left style="medium">
        <color indexed="64"/>
      </left>
      <right/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0"/>
      </top>
      <bottom/>
      <diagonal/>
    </border>
    <border>
      <left/>
      <right style="double">
        <color theme="0"/>
      </right>
      <top/>
      <bottom/>
      <diagonal/>
    </border>
    <border>
      <left/>
      <right style="double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72">
    <xf numFmtId="165" fontId="0" fillId="0" borderId="0"/>
    <xf numFmtId="165" fontId="33" fillId="3" borderId="0" applyNumberFormat="0" applyBorder="0" applyAlignment="0" applyProtection="0"/>
    <xf numFmtId="165" fontId="33" fillId="5" borderId="0" applyNumberFormat="0" applyBorder="0" applyAlignment="0" applyProtection="0"/>
    <xf numFmtId="165" fontId="33" fillId="7" borderId="0" applyNumberFormat="0" applyBorder="0" applyAlignment="0" applyProtection="0"/>
    <xf numFmtId="165" fontId="33" fillId="9" borderId="0" applyNumberFormat="0" applyBorder="0" applyAlignment="0" applyProtection="0"/>
    <xf numFmtId="165" fontId="33" fillId="10" borderId="0" applyNumberFormat="0" applyBorder="0" applyAlignment="0" applyProtection="0"/>
    <xf numFmtId="165" fontId="33" fillId="8" borderId="0" applyNumberFormat="0" applyBorder="0" applyAlignment="0" applyProtection="0"/>
    <xf numFmtId="165" fontId="33" fillId="2" borderId="0" applyNumberFormat="0" applyBorder="0" applyAlignment="0" applyProtection="0"/>
    <xf numFmtId="165" fontId="33" fillId="4" borderId="0" applyNumberFormat="0" applyBorder="0" applyAlignment="0" applyProtection="0"/>
    <xf numFmtId="165" fontId="33" fillId="12" borderId="0" applyNumberFormat="0" applyBorder="0" applyAlignment="0" applyProtection="0"/>
    <xf numFmtId="165" fontId="33" fillId="9" borderId="0" applyNumberFormat="0" applyBorder="0" applyAlignment="0" applyProtection="0"/>
    <xf numFmtId="165" fontId="33" fillId="2" borderId="0" applyNumberFormat="0" applyBorder="0" applyAlignment="0" applyProtection="0"/>
    <xf numFmtId="165" fontId="33" fillId="13" borderId="0" applyNumberFormat="0" applyBorder="0" applyAlignment="0" applyProtection="0"/>
    <xf numFmtId="165" fontId="34" fillId="14" borderId="0" applyNumberFormat="0" applyBorder="0" applyAlignment="0" applyProtection="0"/>
    <xf numFmtId="165" fontId="34" fillId="4" borderId="0" applyNumberFormat="0" applyBorder="0" applyAlignment="0" applyProtection="0"/>
    <xf numFmtId="165" fontId="34" fillId="12" borderId="0" applyNumberFormat="0" applyBorder="0" applyAlignment="0" applyProtection="0"/>
    <xf numFmtId="165" fontId="34" fillId="16" borderId="0" applyNumberFormat="0" applyBorder="0" applyAlignment="0" applyProtection="0"/>
    <xf numFmtId="165" fontId="34" fillId="17" borderId="0" applyNumberFormat="0" applyBorder="0" applyAlignment="0" applyProtection="0"/>
    <xf numFmtId="165" fontId="34" fillId="18" borderId="0" applyNumberFormat="0" applyBorder="0" applyAlignment="0" applyProtection="0"/>
    <xf numFmtId="165" fontId="34" fillId="19" borderId="0" applyNumberFormat="0" applyBorder="0" applyAlignment="0" applyProtection="0"/>
    <xf numFmtId="165" fontId="34" fillId="20" borderId="0" applyNumberFormat="0" applyBorder="0" applyAlignment="0" applyProtection="0"/>
    <xf numFmtId="165" fontId="34" fillId="21" borderId="0" applyNumberFormat="0" applyBorder="0" applyAlignment="0" applyProtection="0"/>
    <xf numFmtId="165" fontId="34" fillId="16" borderId="0" applyNumberFormat="0" applyBorder="0" applyAlignment="0" applyProtection="0"/>
    <xf numFmtId="165" fontId="34" fillId="17" borderId="0" applyNumberFormat="0" applyBorder="0" applyAlignment="0" applyProtection="0"/>
    <xf numFmtId="165" fontId="34" fillId="15" borderId="0" applyNumberFormat="0" applyBorder="0" applyAlignment="0" applyProtection="0"/>
    <xf numFmtId="165" fontId="35" fillId="0" borderId="0" applyNumberFormat="0" applyFill="0" applyBorder="0" applyAlignment="0" applyProtection="0"/>
    <xf numFmtId="165" fontId="43" fillId="22" borderId="1" applyNumberFormat="0" applyAlignment="0" applyProtection="0"/>
    <xf numFmtId="165" fontId="44" fillId="0" borderId="2" applyNumberFormat="0" applyFill="0" applyAlignment="0" applyProtection="0"/>
    <xf numFmtId="165" fontId="22" fillId="6" borderId="3" applyNumberFormat="0" applyFont="0" applyAlignment="0" applyProtection="0"/>
    <xf numFmtId="165" fontId="36" fillId="8" borderId="1" applyNumberFormat="0" applyAlignment="0" applyProtection="0"/>
    <xf numFmtId="165" fontId="23" fillId="0" borderId="0" applyFont="0" applyFill="0" applyBorder="0" applyAlignment="0" applyProtection="0"/>
    <xf numFmtId="165" fontId="37" fillId="5" borderId="0" applyNumberFormat="0" applyBorder="0" applyAlignment="0" applyProtection="0"/>
    <xf numFmtId="4" fontId="22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5" fillId="11" borderId="0" applyNumberFormat="0" applyBorder="0" applyAlignment="0" applyProtection="0"/>
    <xf numFmtId="165" fontId="25" fillId="0" borderId="0"/>
    <xf numFmtId="165" fontId="50" fillId="0" borderId="0"/>
    <xf numFmtId="165" fontId="51" fillId="0" borderId="0"/>
    <xf numFmtId="165" fontId="50" fillId="0" borderId="0"/>
    <xf numFmtId="165" fontId="26" fillId="0" borderId="0"/>
    <xf numFmtId="165" fontId="23" fillId="0" borderId="0"/>
    <xf numFmtId="165" fontId="27" fillId="0" borderId="0"/>
    <xf numFmtId="165" fontId="25" fillId="0" borderId="0"/>
    <xf numFmtId="165" fontId="23" fillId="0" borderId="0"/>
    <xf numFmtId="165" fontId="23" fillId="0" borderId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65" fontId="38" fillId="7" borderId="0" applyNumberFormat="0" applyBorder="0" applyAlignment="0" applyProtection="0"/>
    <xf numFmtId="165" fontId="39" fillId="22" borderId="4" applyNumberFormat="0" applyAlignment="0" applyProtection="0"/>
    <xf numFmtId="165" fontId="40" fillId="0" borderId="0" applyNumberFormat="0" applyFill="0" applyBorder="0" applyAlignment="0" applyProtection="0"/>
    <xf numFmtId="165" fontId="46" fillId="0" borderId="0" applyNumberFormat="0" applyFill="0" applyBorder="0" applyAlignment="0" applyProtection="0"/>
    <xf numFmtId="165" fontId="47" fillId="0" borderId="5" applyNumberFormat="0" applyFill="0" applyAlignment="0" applyProtection="0"/>
    <xf numFmtId="165" fontId="48" fillId="0" borderId="6" applyNumberFormat="0" applyFill="0" applyAlignment="0" applyProtection="0"/>
    <xf numFmtId="165" fontId="49" fillId="0" borderId="7" applyNumberFormat="0" applyFill="0" applyAlignment="0" applyProtection="0"/>
    <xf numFmtId="165" fontId="49" fillId="0" borderId="0" applyNumberFormat="0" applyFill="0" applyBorder="0" applyAlignment="0" applyProtection="0"/>
    <xf numFmtId="165" fontId="41" fillId="0" borderId="8" applyNumberFormat="0" applyFill="0" applyAlignment="0" applyProtection="0"/>
    <xf numFmtId="165" fontId="42" fillId="23" borderId="9" applyNumberFormat="0" applyAlignment="0" applyProtection="0"/>
    <xf numFmtId="0" fontId="22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170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0" fontId="20" fillId="0" borderId="0"/>
    <xf numFmtId="0" fontId="19" fillId="0" borderId="0"/>
    <xf numFmtId="0" fontId="18" fillId="0" borderId="0"/>
    <xf numFmtId="0" fontId="7" fillId="0" borderId="0"/>
    <xf numFmtId="0" fontId="7" fillId="0" borderId="0"/>
    <xf numFmtId="0" fontId="7" fillId="0" borderId="0"/>
    <xf numFmtId="0" fontId="6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72" fontId="23" fillId="0" borderId="0" applyFont="0" applyFill="0" applyBorder="0" applyAlignment="0" applyProtection="0"/>
    <xf numFmtId="0" fontId="75" fillId="0" borderId="0"/>
    <xf numFmtId="0" fontId="7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75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8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1" fillId="0" borderId="0" applyNumberFormat="0" applyFill="0" applyBorder="0" applyAlignment="0" applyProtection="0"/>
    <xf numFmtId="0" fontId="82" fillId="0" borderId="72" applyNumberFormat="0" applyFill="0" applyAlignment="0" applyProtection="0"/>
    <xf numFmtId="0" fontId="83" fillId="0" borderId="73" applyNumberFormat="0" applyFill="0" applyAlignment="0" applyProtection="0"/>
    <xf numFmtId="0" fontId="84" fillId="0" borderId="74" applyNumberFormat="0" applyFill="0" applyAlignment="0" applyProtection="0"/>
    <xf numFmtId="0" fontId="84" fillId="0" borderId="0" applyNumberFormat="0" applyFill="0" applyBorder="0" applyAlignment="0" applyProtection="0"/>
    <xf numFmtId="0" fontId="85" fillId="37" borderId="0" applyNumberFormat="0" applyBorder="0" applyAlignment="0" applyProtection="0"/>
    <xf numFmtId="0" fontId="86" fillId="38" borderId="0" applyNumberFormat="0" applyBorder="0" applyAlignment="0" applyProtection="0"/>
    <xf numFmtId="0" fontId="87" fillId="40" borderId="75" applyNumberFormat="0" applyAlignment="0" applyProtection="0"/>
    <xf numFmtId="0" fontId="88" fillId="41" borderId="76" applyNumberFormat="0" applyAlignment="0" applyProtection="0"/>
    <xf numFmtId="0" fontId="89" fillId="41" borderId="75" applyNumberFormat="0" applyAlignment="0" applyProtection="0"/>
    <xf numFmtId="0" fontId="90" fillId="0" borderId="77" applyNumberFormat="0" applyFill="0" applyAlignment="0" applyProtection="0"/>
    <xf numFmtId="0" fontId="91" fillId="42" borderId="78" applyNumberFormat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0" applyNumberFormat="0" applyFill="0" applyAlignment="0" applyProtection="0"/>
    <xf numFmtId="0" fontId="95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95" fillId="48" borderId="0" applyNumberFormat="0" applyBorder="0" applyAlignment="0" applyProtection="0"/>
    <xf numFmtId="0" fontId="1" fillId="49" borderId="0" applyNumberFormat="0" applyBorder="0" applyAlignment="0" applyProtection="0"/>
    <xf numFmtId="0" fontId="1" fillId="50" borderId="0" applyNumberFormat="0" applyBorder="0" applyAlignment="0" applyProtection="0"/>
    <xf numFmtId="0" fontId="95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95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95" fillId="60" borderId="0" applyNumberFormat="0" applyBorder="0" applyAlignment="0" applyProtection="0"/>
    <xf numFmtId="0" fontId="1" fillId="61" borderId="0" applyNumberFormat="0" applyBorder="0" applyAlignment="0" applyProtection="0"/>
    <xf numFmtId="0" fontId="1" fillId="62" borderId="0" applyNumberFormat="0" applyBorder="0" applyAlignment="0" applyProtection="0"/>
    <xf numFmtId="0" fontId="95" fillId="64" borderId="0" applyNumberFormat="0" applyBorder="0" applyAlignment="0" applyProtection="0"/>
    <xf numFmtId="0" fontId="1" fillId="65" borderId="0" applyNumberFormat="0" applyBorder="0" applyAlignment="0" applyProtection="0"/>
    <xf numFmtId="0" fontId="1" fillId="6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6" fillId="39" borderId="0" applyNumberFormat="0" applyBorder="0" applyAlignment="0" applyProtection="0"/>
    <xf numFmtId="0" fontId="1" fillId="43" borderId="79" applyNumberFormat="0" applyFont="0" applyAlignment="0" applyProtection="0"/>
    <xf numFmtId="0" fontId="95" fillId="47" borderId="0" applyNumberFormat="0" applyBorder="0" applyAlignment="0" applyProtection="0"/>
    <xf numFmtId="0" fontId="95" fillId="51" borderId="0" applyNumberFormat="0" applyBorder="0" applyAlignment="0" applyProtection="0"/>
    <xf numFmtId="0" fontId="95" fillId="55" borderId="0" applyNumberFormat="0" applyBorder="0" applyAlignment="0" applyProtection="0"/>
    <xf numFmtId="0" fontId="95" fillId="59" borderId="0" applyNumberFormat="0" applyBorder="0" applyAlignment="0" applyProtection="0"/>
    <xf numFmtId="0" fontId="95" fillId="63" borderId="0" applyNumberFormat="0" applyBorder="0" applyAlignment="0" applyProtection="0"/>
    <xf numFmtId="0" fontId="95" fillId="67" borderId="0" applyNumberFormat="0" applyBorder="0" applyAlignment="0" applyProtection="0"/>
    <xf numFmtId="172" fontId="1" fillId="0" borderId="0" applyFont="0" applyFill="0" applyBorder="0" applyAlignment="0" applyProtection="0"/>
    <xf numFmtId="0" fontId="75" fillId="0" borderId="0"/>
    <xf numFmtId="165" fontId="1" fillId="0" borderId="0"/>
    <xf numFmtId="165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47">
    <xf numFmtId="165" fontId="0" fillId="0" borderId="0" xfId="0"/>
    <xf numFmtId="165" fontId="24" fillId="0" borderId="0" xfId="0" applyFont="1" applyAlignment="1">
      <alignment horizontal="center" vertical="center"/>
    </xf>
    <xf numFmtId="165" fontId="24" fillId="0" borderId="11" xfId="0" applyFont="1" applyBorder="1" applyAlignment="1">
      <alignment vertical="center"/>
    </xf>
    <xf numFmtId="165" fontId="24" fillId="0" borderId="15" xfId="0" applyFont="1" applyBorder="1" applyAlignment="1">
      <alignment vertical="center"/>
    </xf>
    <xf numFmtId="3" fontId="24" fillId="0" borderId="14" xfId="0" applyNumberFormat="1" applyFont="1" applyBorder="1" applyAlignment="1">
      <alignment vertical="center"/>
    </xf>
    <xf numFmtId="2" fontId="24" fillId="0" borderId="15" xfId="0" applyNumberFormat="1" applyFont="1" applyBorder="1" applyAlignment="1">
      <alignment vertical="center"/>
    </xf>
    <xf numFmtId="165" fontId="24" fillId="0" borderId="0" xfId="0" applyFont="1" applyAlignment="1">
      <alignment vertical="center"/>
    </xf>
    <xf numFmtId="49" fontId="24" fillId="0" borderId="21" xfId="0" applyNumberFormat="1" applyFont="1" applyBorder="1" applyAlignment="1">
      <alignment horizontal="center" vertical="center"/>
    </xf>
    <xf numFmtId="165" fontId="24" fillId="0" borderId="21" xfId="0" applyFont="1" applyBorder="1" applyAlignment="1">
      <alignment horizontal="center" vertical="center"/>
    </xf>
    <xf numFmtId="3" fontId="24" fillId="0" borderId="13" xfId="0" applyNumberFormat="1" applyFont="1" applyBorder="1" applyAlignment="1">
      <alignment vertical="center"/>
    </xf>
    <xf numFmtId="2" fontId="24" fillId="0" borderId="10" xfId="0" applyNumberFormat="1" applyFont="1" applyBorder="1" applyAlignment="1">
      <alignment vertical="center"/>
    </xf>
    <xf numFmtId="165" fontId="24" fillId="0" borderId="21" xfId="0" applyFont="1" applyBorder="1" applyAlignment="1">
      <alignment vertical="center"/>
    </xf>
    <xf numFmtId="3" fontId="24" fillId="0" borderId="12" xfId="0" applyNumberFormat="1" applyFont="1" applyBorder="1" applyAlignment="1">
      <alignment vertical="center"/>
    </xf>
    <xf numFmtId="49" fontId="25" fillId="0" borderId="21" xfId="0" applyNumberFormat="1" applyFont="1" applyBorder="1" applyAlignment="1">
      <alignment horizontal="center" vertical="center"/>
    </xf>
    <xf numFmtId="165" fontId="25" fillId="0" borderId="21" xfId="0" applyFont="1" applyBorder="1" applyAlignment="1">
      <alignment vertical="center"/>
    </xf>
    <xf numFmtId="3" fontId="25" fillId="0" borderId="12" xfId="0" applyNumberFormat="1" applyFont="1" applyBorder="1" applyAlignment="1">
      <alignment vertical="center"/>
    </xf>
    <xf numFmtId="3" fontId="25" fillId="0" borderId="13" xfId="0" applyNumberFormat="1" applyFont="1" applyBorder="1" applyAlignment="1">
      <alignment vertical="center"/>
    </xf>
    <xf numFmtId="2" fontId="25" fillId="0" borderId="10" xfId="0" applyNumberFormat="1" applyFont="1" applyBorder="1" applyAlignment="1">
      <alignment vertical="center"/>
    </xf>
    <xf numFmtId="165" fontId="25" fillId="0" borderId="0" xfId="0" applyFont="1" applyAlignment="1">
      <alignment vertical="center"/>
    </xf>
    <xf numFmtId="165" fontId="24" fillId="0" borderId="12" xfId="0" applyFont="1" applyBorder="1" applyAlignment="1">
      <alignment vertical="center"/>
    </xf>
    <xf numFmtId="3" fontId="24" fillId="0" borderId="0" xfId="0" applyNumberFormat="1" applyFont="1" applyAlignment="1">
      <alignment vertical="center"/>
    </xf>
    <xf numFmtId="2" fontId="24" fillId="0" borderId="0" xfId="0" applyNumberFormat="1" applyFont="1" applyAlignment="1">
      <alignment vertical="center"/>
    </xf>
    <xf numFmtId="3" fontId="24" fillId="0" borderId="12" xfId="0" applyNumberFormat="1" applyFont="1" applyBorder="1" applyAlignment="1">
      <alignment horizontal="right" vertical="center"/>
    </xf>
    <xf numFmtId="3" fontId="25" fillId="0" borderId="12" xfId="0" applyNumberFormat="1" applyFont="1" applyBorder="1" applyAlignment="1">
      <alignment horizontal="right" vertical="center"/>
    </xf>
    <xf numFmtId="3" fontId="25" fillId="0" borderId="26" xfId="0" applyNumberFormat="1" applyFont="1" applyBorder="1" applyAlignment="1">
      <alignment vertical="center"/>
    </xf>
    <xf numFmtId="3" fontId="24" fillId="24" borderId="32" xfId="0" applyNumberFormat="1" applyFont="1" applyFill="1" applyBorder="1" applyAlignment="1" applyProtection="1">
      <alignment horizontal="center" vertical="center"/>
      <protection locked="0"/>
    </xf>
    <xf numFmtId="3" fontId="24" fillId="24" borderId="10" xfId="0" applyNumberFormat="1" applyFont="1" applyFill="1" applyBorder="1" applyAlignment="1" applyProtection="1">
      <alignment horizontal="center" vertical="center"/>
      <protection locked="0"/>
    </xf>
    <xf numFmtId="3" fontId="24" fillId="24" borderId="21" xfId="0" applyNumberFormat="1" applyFont="1" applyFill="1" applyBorder="1" applyAlignment="1" applyProtection="1">
      <alignment horizontal="center" vertical="center"/>
      <protection locked="0"/>
    </xf>
    <xf numFmtId="3" fontId="24" fillId="24" borderId="33" xfId="0" applyNumberFormat="1" applyFont="1" applyFill="1" applyBorder="1" applyAlignment="1" applyProtection="1">
      <alignment horizontal="center" vertical="center"/>
      <protection locked="0"/>
    </xf>
    <xf numFmtId="3" fontId="24" fillId="0" borderId="30" xfId="0" applyNumberFormat="1" applyFont="1" applyBorder="1" applyAlignment="1" applyProtection="1">
      <alignment vertical="center"/>
      <protection locked="0"/>
    </xf>
    <xf numFmtId="2" fontId="24" fillId="0" borderId="18" xfId="0" applyNumberFormat="1" applyFont="1" applyBorder="1" applyAlignment="1">
      <alignment vertical="center"/>
    </xf>
    <xf numFmtId="165" fontId="28" fillId="0" borderId="0" xfId="44" applyFont="1"/>
    <xf numFmtId="165" fontId="29" fillId="0" borderId="0" xfId="44" applyFont="1" applyAlignment="1">
      <alignment horizontal="centerContinuous"/>
    </xf>
    <xf numFmtId="165" fontId="30" fillId="0" borderId="0" xfId="44" applyFont="1" applyAlignment="1">
      <alignment horizontal="centerContinuous"/>
    </xf>
    <xf numFmtId="165" fontId="30" fillId="0" borderId="0" xfId="44" applyFont="1"/>
    <xf numFmtId="165" fontId="31" fillId="0" borderId="0" xfId="44" applyFont="1" applyAlignment="1">
      <alignment horizontal="centerContinuous"/>
    </xf>
    <xf numFmtId="165" fontId="28" fillId="0" borderId="0" xfId="44" applyFont="1" applyAlignment="1">
      <alignment horizontal="centerContinuous"/>
    </xf>
    <xf numFmtId="165" fontId="24" fillId="0" borderId="0" xfId="44" applyFont="1" applyAlignment="1">
      <alignment horizontal="centerContinuous"/>
    </xf>
    <xf numFmtId="165" fontId="32" fillId="0" borderId="0" xfId="44" applyFont="1" applyAlignment="1">
      <alignment horizontal="centerContinuous"/>
    </xf>
    <xf numFmtId="14" fontId="31" fillId="0" borderId="0" xfId="44" applyNumberFormat="1" applyFont="1" applyAlignment="1">
      <alignment horizontal="center"/>
    </xf>
    <xf numFmtId="14" fontId="30" fillId="0" borderId="0" xfId="44" applyNumberFormat="1" applyFont="1" applyAlignment="1">
      <alignment horizontal="centerContinuous"/>
    </xf>
    <xf numFmtId="14" fontId="28" fillId="0" borderId="0" xfId="44" applyNumberFormat="1" applyFont="1"/>
    <xf numFmtId="165" fontId="24" fillId="0" borderId="12" xfId="0" applyFont="1" applyBorder="1" applyAlignment="1">
      <alignment horizontal="center" vertical="center"/>
    </xf>
    <xf numFmtId="165" fontId="24" fillId="0" borderId="19" xfId="0" applyFont="1" applyBorder="1" applyAlignment="1">
      <alignment horizontal="center" vertical="center"/>
    </xf>
    <xf numFmtId="165" fontId="54" fillId="0" borderId="0" xfId="0" applyFont="1"/>
    <xf numFmtId="165" fontId="53" fillId="0" borderId="0" xfId="0" applyFont="1" applyAlignment="1">
      <alignment vertical="center"/>
    </xf>
    <xf numFmtId="165" fontId="54" fillId="0" borderId="0" xfId="0" applyFont="1" applyAlignment="1">
      <alignment vertical="center"/>
    </xf>
    <xf numFmtId="49" fontId="54" fillId="26" borderId="0" xfId="0" applyNumberFormat="1" applyFont="1" applyFill="1" applyAlignment="1">
      <alignment horizontal="center" vertical="center"/>
    </xf>
    <xf numFmtId="3" fontId="54" fillId="0" borderId="0" xfId="32" applyNumberFormat="1" applyFont="1" applyAlignment="1">
      <alignment vertical="center"/>
    </xf>
    <xf numFmtId="3" fontId="24" fillId="25" borderId="24" xfId="0" applyNumberFormat="1" applyFont="1" applyFill="1" applyBorder="1" applyAlignment="1">
      <alignment horizontal="right" vertical="center"/>
    </xf>
    <xf numFmtId="2" fontId="24" fillId="25" borderId="23" xfId="0" applyNumberFormat="1" applyFont="1" applyFill="1" applyBorder="1" applyAlignment="1">
      <alignment vertical="center"/>
    </xf>
    <xf numFmtId="3" fontId="24" fillId="25" borderId="22" xfId="0" applyNumberFormat="1" applyFont="1" applyFill="1" applyBorder="1" applyAlignment="1">
      <alignment vertical="center"/>
    </xf>
    <xf numFmtId="165" fontId="24" fillId="0" borderId="38" xfId="0" applyFont="1" applyBorder="1" applyAlignment="1">
      <alignment vertical="center"/>
    </xf>
    <xf numFmtId="3" fontId="24" fillId="0" borderId="40" xfId="0" applyNumberFormat="1" applyFont="1" applyBorder="1" applyAlignment="1">
      <alignment vertical="center"/>
    </xf>
    <xf numFmtId="2" fontId="24" fillId="0" borderId="39" xfId="0" applyNumberFormat="1" applyFont="1" applyBorder="1" applyAlignment="1">
      <alignment vertical="center"/>
    </xf>
    <xf numFmtId="3" fontId="55" fillId="0" borderId="20" xfId="0" applyNumberFormat="1" applyFont="1" applyBorder="1" applyAlignment="1">
      <alignment horizontal="right" vertical="center"/>
    </xf>
    <xf numFmtId="2" fontId="55" fillId="0" borderId="17" xfId="0" applyNumberFormat="1" applyFont="1" applyBorder="1" applyAlignment="1">
      <alignment vertical="center"/>
    </xf>
    <xf numFmtId="3" fontId="55" fillId="0" borderId="13" xfId="0" applyNumberFormat="1" applyFont="1" applyBorder="1" applyAlignment="1">
      <alignment vertical="center"/>
    </xf>
    <xf numFmtId="3" fontId="55" fillId="0" borderId="16" xfId="0" applyNumberFormat="1" applyFont="1" applyBorder="1" applyAlignment="1">
      <alignment vertical="center"/>
    </xf>
    <xf numFmtId="165" fontId="55" fillId="0" borderId="0" xfId="0" applyFont="1" applyAlignment="1">
      <alignment vertical="center"/>
    </xf>
    <xf numFmtId="49" fontId="55" fillId="0" borderId="21" xfId="0" applyNumberFormat="1" applyFont="1" applyBorder="1" applyAlignment="1">
      <alignment horizontal="center" vertical="center"/>
    </xf>
    <xf numFmtId="165" fontId="24" fillId="0" borderId="19" xfId="0" applyFont="1" applyBorder="1" applyAlignment="1">
      <alignment vertical="center"/>
    </xf>
    <xf numFmtId="165" fontId="56" fillId="0" borderId="21" xfId="0" applyFont="1" applyBorder="1" applyAlignment="1">
      <alignment horizontal="right" vertical="center"/>
    </xf>
    <xf numFmtId="165" fontId="24" fillId="25" borderId="31" xfId="0" applyFont="1" applyFill="1" applyBorder="1" applyAlignment="1">
      <alignment horizontal="right" vertical="center"/>
    </xf>
    <xf numFmtId="165" fontId="24" fillId="0" borderId="44" xfId="0" applyFont="1" applyBorder="1" applyAlignment="1">
      <alignment vertical="center"/>
    </xf>
    <xf numFmtId="164" fontId="24" fillId="24" borderId="21" xfId="0" applyNumberFormat="1" applyFont="1" applyFill="1" applyBorder="1" applyAlignment="1">
      <alignment horizontal="center" vertical="center"/>
    </xf>
    <xf numFmtId="164" fontId="24" fillId="0" borderId="30" xfId="0" applyNumberFormat="1" applyFont="1" applyBorder="1" applyAlignment="1">
      <alignment vertical="center"/>
    </xf>
    <xf numFmtId="3" fontId="55" fillId="0" borderId="20" xfId="0" applyNumberFormat="1" applyFont="1" applyBorder="1" applyAlignment="1">
      <alignment vertical="center"/>
    </xf>
    <xf numFmtId="165" fontId="25" fillId="0" borderId="46" xfId="0" applyFont="1" applyBorder="1" applyAlignment="1">
      <alignment horizontal="left" vertical="center"/>
    </xf>
    <xf numFmtId="165" fontId="52" fillId="27" borderId="43" xfId="0" applyFont="1" applyFill="1" applyBorder="1" applyAlignment="1">
      <alignment horizontal="center" vertical="center"/>
    </xf>
    <xf numFmtId="3" fontId="52" fillId="27" borderId="35" xfId="0" applyNumberFormat="1" applyFont="1" applyFill="1" applyBorder="1" applyAlignment="1">
      <alignment horizontal="right" vertical="center"/>
    </xf>
    <xf numFmtId="2" fontId="52" fillId="27" borderId="36" xfId="0" applyNumberFormat="1" applyFont="1" applyFill="1" applyBorder="1" applyAlignment="1">
      <alignment vertical="center"/>
    </xf>
    <xf numFmtId="3" fontId="52" fillId="27" borderId="37" xfId="0" applyNumberFormat="1" applyFont="1" applyFill="1" applyBorder="1" applyAlignment="1">
      <alignment vertical="center"/>
    </xf>
    <xf numFmtId="165" fontId="52" fillId="29" borderId="43" xfId="0" applyFont="1" applyFill="1" applyBorder="1" applyAlignment="1">
      <alignment horizontal="center" vertical="center"/>
    </xf>
    <xf numFmtId="165" fontId="57" fillId="0" borderId="0" xfId="0" applyFont="1"/>
    <xf numFmtId="165" fontId="58" fillId="0" borderId="0" xfId="0" applyFont="1" applyAlignment="1">
      <alignment horizontal="right"/>
    </xf>
    <xf numFmtId="3" fontId="54" fillId="0" borderId="0" xfId="0" applyNumberFormat="1" applyFont="1" applyAlignment="1">
      <alignment vertical="center"/>
    </xf>
    <xf numFmtId="165" fontId="52" fillId="28" borderId="28" xfId="0" applyFont="1" applyFill="1" applyBorder="1" applyAlignment="1">
      <alignment horizontal="center" vertical="center"/>
    </xf>
    <xf numFmtId="165" fontId="52" fillId="28" borderId="27" xfId="0" applyFont="1" applyFill="1" applyBorder="1" applyAlignment="1">
      <alignment horizontal="center" vertical="center"/>
    </xf>
    <xf numFmtId="165" fontId="54" fillId="0" borderId="0" xfId="41" applyFont="1" applyAlignment="1">
      <alignment vertical="center"/>
    </xf>
    <xf numFmtId="1" fontId="54" fillId="0" borderId="0" xfId="41" applyNumberFormat="1" applyFont="1" applyAlignment="1">
      <alignment horizontal="center" vertical="center"/>
    </xf>
    <xf numFmtId="165" fontId="54" fillId="0" borderId="0" xfId="41" applyFont="1" applyAlignment="1" applyProtection="1">
      <alignment vertical="center"/>
      <protection locked="0" hidden="1"/>
    </xf>
    <xf numFmtId="165" fontId="54" fillId="0" borderId="0" xfId="41" applyFont="1" applyAlignment="1">
      <alignment horizontal="center" vertical="center"/>
    </xf>
    <xf numFmtId="3" fontId="54" fillId="0" borderId="0" xfId="41" applyNumberFormat="1" applyFont="1" applyAlignment="1">
      <alignment horizontal="center" vertical="center"/>
    </xf>
    <xf numFmtId="3" fontId="54" fillId="0" borderId="0" xfId="0" applyNumberFormat="1" applyFont="1" applyAlignment="1">
      <alignment horizontal="center" vertical="center"/>
    </xf>
    <xf numFmtId="3" fontId="54" fillId="0" borderId="0" xfId="32" applyNumberFormat="1" applyFont="1" applyAlignment="1" applyProtection="1">
      <alignment horizontal="right" vertical="center"/>
      <protection locked="0" hidden="1"/>
    </xf>
    <xf numFmtId="3" fontId="54" fillId="0" borderId="0" xfId="32" applyNumberFormat="1" applyFont="1" applyAlignment="1">
      <alignment horizontal="right" vertical="center"/>
    </xf>
    <xf numFmtId="3" fontId="54" fillId="0" borderId="0" xfId="32" applyNumberFormat="1" applyFont="1" applyAlignment="1" applyProtection="1">
      <alignment vertical="center"/>
      <protection locked="0" hidden="1"/>
    </xf>
    <xf numFmtId="3" fontId="54" fillId="0" borderId="0" xfId="0" applyNumberFormat="1" applyFont="1" applyAlignment="1" applyProtection="1">
      <alignment vertical="center"/>
      <protection locked="0" hidden="1"/>
    </xf>
    <xf numFmtId="49" fontId="54" fillId="26" borderId="0" xfId="0" quotePrefix="1" applyNumberFormat="1" applyFont="1" applyFill="1" applyAlignment="1">
      <alignment horizontal="center" vertical="center"/>
    </xf>
    <xf numFmtId="167" fontId="54" fillId="0" borderId="0" xfId="0" applyNumberFormat="1" applyFont="1" applyAlignment="1">
      <alignment vertical="center"/>
    </xf>
    <xf numFmtId="167" fontId="54" fillId="0" borderId="0" xfId="32" applyNumberFormat="1" applyFont="1" applyAlignment="1">
      <alignment vertical="center"/>
    </xf>
    <xf numFmtId="3" fontId="54" fillId="0" borderId="0" xfId="0" applyNumberFormat="1" applyFont="1" applyAlignment="1">
      <alignment horizontal="right" vertical="center"/>
    </xf>
    <xf numFmtId="3" fontId="54" fillId="0" borderId="0" xfId="0" applyNumberFormat="1" applyFont="1" applyAlignment="1" applyProtection="1">
      <alignment horizontal="right" vertical="center"/>
      <protection locked="0" hidden="1"/>
    </xf>
    <xf numFmtId="1" fontId="54" fillId="0" borderId="0" xfId="41" quotePrefix="1" applyNumberFormat="1" applyFont="1" applyAlignment="1">
      <alignment horizontal="center" vertical="center" wrapText="1"/>
    </xf>
    <xf numFmtId="1" fontId="54" fillId="0" borderId="0" xfId="41" applyNumberFormat="1" applyFont="1" applyAlignment="1">
      <alignment horizontal="center" vertical="center" wrapText="1"/>
    </xf>
    <xf numFmtId="10" fontId="58" fillId="0" borderId="0" xfId="45" applyNumberFormat="1" applyFont="1" applyAlignment="1" applyProtection="1">
      <alignment horizontal="right" vertical="center"/>
      <protection locked="0" hidden="1"/>
    </xf>
    <xf numFmtId="10" fontId="58" fillId="0" borderId="0" xfId="45" applyNumberFormat="1" applyFont="1" applyAlignment="1">
      <alignment horizontal="right" vertical="center"/>
    </xf>
    <xf numFmtId="10" fontId="58" fillId="0" borderId="0" xfId="45" applyNumberFormat="1" applyFont="1"/>
    <xf numFmtId="10" fontId="24" fillId="0" borderId="0" xfId="45" applyNumberFormat="1" applyFont="1" applyAlignment="1">
      <alignment vertical="center"/>
    </xf>
    <xf numFmtId="10" fontId="58" fillId="0" borderId="0" xfId="45" applyNumberFormat="1" applyFont="1" applyAlignment="1">
      <alignment horizontal="center" vertical="center" wrapText="1"/>
    </xf>
    <xf numFmtId="10" fontId="58" fillId="0" borderId="0" xfId="45" applyNumberFormat="1" applyFont="1" applyAlignment="1">
      <alignment horizontal="center" vertical="center"/>
    </xf>
    <xf numFmtId="10" fontId="58" fillId="0" borderId="0" xfId="45" applyNumberFormat="1" applyFont="1" applyAlignment="1" applyProtection="1">
      <alignment vertical="center"/>
      <protection locked="0" hidden="1"/>
    </xf>
    <xf numFmtId="10" fontId="58" fillId="0" borderId="0" xfId="45" applyNumberFormat="1" applyFont="1" applyAlignment="1">
      <alignment vertical="center"/>
    </xf>
    <xf numFmtId="10" fontId="58" fillId="0" borderId="0" xfId="45" applyNumberFormat="1" applyFont="1" applyAlignment="1">
      <alignment horizontal="right"/>
    </xf>
    <xf numFmtId="10" fontId="58" fillId="0" borderId="0" xfId="0" applyNumberFormat="1" applyFont="1" applyAlignment="1">
      <alignment vertical="center"/>
    </xf>
    <xf numFmtId="167" fontId="54" fillId="0" borderId="0" xfId="0" applyNumberFormat="1" applyFont="1"/>
    <xf numFmtId="167" fontId="24" fillId="0" borderId="0" xfId="0" applyNumberFormat="1" applyFont="1" applyAlignment="1">
      <alignment vertical="center"/>
    </xf>
    <xf numFmtId="167" fontId="54" fillId="0" borderId="0" xfId="41" quotePrefix="1" applyNumberFormat="1" applyFont="1" applyAlignment="1">
      <alignment horizontal="center" vertical="center" wrapText="1"/>
    </xf>
    <xf numFmtId="167" fontId="54" fillId="0" borderId="0" xfId="32" applyNumberFormat="1" applyFont="1" applyAlignment="1" applyProtection="1">
      <alignment horizontal="right" vertical="center"/>
      <protection locked="0" hidden="1"/>
    </xf>
    <xf numFmtId="167" fontId="54" fillId="0" borderId="0" xfId="32" applyNumberFormat="1" applyFont="1" applyAlignment="1">
      <alignment horizontal="right" vertical="center"/>
    </xf>
    <xf numFmtId="167" fontId="54" fillId="0" borderId="0" xfId="0" applyNumberFormat="1" applyFont="1" applyAlignment="1">
      <alignment horizontal="right" vertical="center"/>
    </xf>
    <xf numFmtId="167" fontId="54" fillId="0" borderId="0" xfId="41" applyNumberFormat="1" applyFont="1" applyAlignment="1">
      <alignment horizontal="center" vertical="center"/>
    </xf>
    <xf numFmtId="167" fontId="54" fillId="0" borderId="0" xfId="32" applyNumberFormat="1" applyFont="1" applyAlignment="1" applyProtection="1">
      <alignment vertical="center"/>
      <protection locked="0" hidden="1"/>
    </xf>
    <xf numFmtId="167" fontId="54" fillId="0" borderId="0" xfId="45" applyNumberFormat="1" applyFont="1"/>
    <xf numFmtId="167" fontId="25" fillId="0" borderId="0" xfId="45" applyNumberFormat="1" applyFont="1" applyAlignment="1">
      <alignment vertical="center"/>
    </xf>
    <xf numFmtId="167" fontId="54" fillId="0" borderId="0" xfId="45" applyNumberFormat="1" applyFont="1" applyAlignment="1">
      <alignment horizontal="right" vertical="center"/>
    </xf>
    <xf numFmtId="167" fontId="54" fillId="0" borderId="0" xfId="0" applyNumberFormat="1" applyFont="1" applyAlignment="1" applyProtection="1">
      <alignment horizontal="right" vertical="center"/>
      <protection locked="0" hidden="1"/>
    </xf>
    <xf numFmtId="167" fontId="54" fillId="0" borderId="0" xfId="45" applyNumberFormat="1" applyFont="1" applyAlignment="1">
      <alignment horizontal="center" vertical="center"/>
    </xf>
    <xf numFmtId="167" fontId="54" fillId="0" borderId="0" xfId="0" applyNumberFormat="1" applyFont="1" applyAlignment="1" applyProtection="1">
      <alignment vertical="center"/>
      <protection locked="0" hidden="1"/>
    </xf>
    <xf numFmtId="167" fontId="54" fillId="0" borderId="0" xfId="45" applyNumberFormat="1" applyFont="1" applyAlignment="1">
      <alignment vertical="center"/>
    </xf>
    <xf numFmtId="167" fontId="54" fillId="0" borderId="0" xfId="41" applyNumberFormat="1" applyFont="1" applyAlignment="1">
      <alignment vertical="center"/>
    </xf>
    <xf numFmtId="167" fontId="58" fillId="0" borderId="0" xfId="0" applyNumberFormat="1" applyFont="1" applyAlignment="1">
      <alignment horizontal="right"/>
    </xf>
    <xf numFmtId="167" fontId="54" fillId="0" borderId="0" xfId="0" applyNumberFormat="1" applyFont="1" applyAlignment="1">
      <alignment horizontal="center" vertical="center"/>
    </xf>
    <xf numFmtId="167" fontId="54" fillId="0" borderId="0" xfId="45" quotePrefix="1" applyNumberFormat="1" applyFont="1" applyAlignment="1">
      <alignment horizontal="center" vertical="center" wrapText="1"/>
    </xf>
    <xf numFmtId="10" fontId="58" fillId="0" borderId="0" xfId="0" applyNumberFormat="1" applyFont="1" applyAlignment="1">
      <alignment horizontal="right" vertical="center"/>
    </xf>
    <xf numFmtId="168" fontId="54" fillId="0" borderId="0" xfId="0" applyNumberFormat="1" applyFont="1" applyAlignment="1">
      <alignment vertical="center"/>
    </xf>
    <xf numFmtId="168" fontId="54" fillId="0" borderId="0" xfId="32" applyNumberFormat="1" applyFont="1" applyAlignment="1">
      <alignment vertical="center"/>
    </xf>
    <xf numFmtId="168" fontId="54" fillId="0" borderId="0" xfId="32" applyNumberFormat="1" applyFont="1" applyAlignment="1" applyProtection="1">
      <alignment horizontal="right" vertical="center"/>
      <protection locked="0" hidden="1"/>
    </xf>
    <xf numFmtId="168" fontId="54" fillId="0" borderId="0" xfId="32" applyNumberFormat="1" applyFont="1" applyAlignment="1" applyProtection="1">
      <alignment vertical="center"/>
      <protection locked="0" hidden="1"/>
    </xf>
    <xf numFmtId="168" fontId="54" fillId="0" borderId="0" xfId="32" applyNumberFormat="1" applyFont="1" applyAlignment="1">
      <alignment horizontal="right" vertical="center"/>
    </xf>
    <xf numFmtId="3" fontId="54" fillId="26" borderId="0" xfId="32" applyNumberFormat="1" applyFont="1" applyFill="1" applyAlignment="1">
      <alignment vertical="center"/>
    </xf>
    <xf numFmtId="167" fontId="54" fillId="26" borderId="0" xfId="32" applyNumberFormat="1" applyFont="1" applyFill="1" applyAlignment="1">
      <alignment vertical="center"/>
    </xf>
    <xf numFmtId="168" fontId="54" fillId="26" borderId="0" xfId="32" applyNumberFormat="1" applyFont="1" applyFill="1" applyAlignment="1">
      <alignment vertical="center"/>
    </xf>
    <xf numFmtId="165" fontId="54" fillId="0" borderId="0" xfId="0" quotePrefix="1" applyFont="1" applyAlignment="1">
      <alignment vertical="center"/>
    </xf>
    <xf numFmtId="165" fontId="57" fillId="0" borderId="0" xfId="44" applyFont="1" applyAlignment="1">
      <alignment vertical="center"/>
    </xf>
    <xf numFmtId="165" fontId="63" fillId="0" borderId="0" xfId="44" applyFont="1" applyAlignment="1">
      <alignment vertical="center"/>
    </xf>
    <xf numFmtId="165" fontId="58" fillId="0" borderId="0" xfId="44" applyFont="1" applyAlignment="1">
      <alignment vertical="center"/>
    </xf>
    <xf numFmtId="165" fontId="64" fillId="0" borderId="0" xfId="44" applyFont="1" applyAlignment="1">
      <alignment vertical="center"/>
    </xf>
    <xf numFmtId="165" fontId="65" fillId="0" borderId="0" xfId="44" applyFont="1" applyAlignment="1">
      <alignment vertical="center" wrapText="1"/>
    </xf>
    <xf numFmtId="165" fontId="66" fillId="0" borderId="0" xfId="44" applyFont="1" applyAlignment="1">
      <alignment vertical="center"/>
    </xf>
    <xf numFmtId="165" fontId="68" fillId="0" borderId="0" xfId="44" applyFont="1" applyAlignment="1">
      <alignment vertical="center"/>
    </xf>
    <xf numFmtId="49" fontId="61" fillId="0" borderId="0" xfId="44" applyNumberFormat="1" applyFont="1" applyAlignment="1">
      <alignment horizontal="center" vertical="center"/>
    </xf>
    <xf numFmtId="165" fontId="61" fillId="0" borderId="0" xfId="44" applyFont="1" applyAlignment="1">
      <alignment horizontal="center" vertical="center"/>
    </xf>
    <xf numFmtId="165" fontId="61" fillId="0" borderId="0" xfId="44" applyFont="1" applyAlignment="1">
      <alignment horizontal="center" vertical="center" wrapText="1"/>
    </xf>
    <xf numFmtId="165" fontId="61" fillId="0" borderId="0" xfId="44" applyFont="1" applyAlignment="1">
      <alignment vertical="center"/>
    </xf>
    <xf numFmtId="165" fontId="61" fillId="0" borderId="0" xfId="44" applyFont="1" applyAlignment="1" applyProtection="1">
      <alignment vertical="center"/>
      <protection locked="0"/>
    </xf>
    <xf numFmtId="165" fontId="54" fillId="0" borderId="0" xfId="44" applyFont="1" applyAlignment="1">
      <alignment vertical="center"/>
    </xf>
    <xf numFmtId="165" fontId="54" fillId="0" borderId="0" xfId="44" applyFont="1" applyAlignment="1">
      <alignment horizontal="center" vertical="center"/>
    </xf>
    <xf numFmtId="165" fontId="70" fillId="0" borderId="0" xfId="44" applyFont="1" applyAlignment="1">
      <alignment vertical="center"/>
    </xf>
    <xf numFmtId="165" fontId="71" fillId="0" borderId="0" xfId="44" applyFont="1" applyAlignment="1">
      <alignment vertical="center"/>
    </xf>
    <xf numFmtId="165" fontId="71" fillId="0" borderId="0" xfId="44" applyFont="1" applyAlignment="1">
      <alignment horizontal="center" vertical="center"/>
    </xf>
    <xf numFmtId="165" fontId="67" fillId="28" borderId="0" xfId="44" applyFont="1" applyFill="1" applyAlignment="1">
      <alignment horizontal="center" vertical="center"/>
    </xf>
    <xf numFmtId="165" fontId="67" fillId="28" borderId="0" xfId="44" applyFont="1" applyFill="1" applyAlignment="1">
      <alignment vertical="center"/>
    </xf>
    <xf numFmtId="49" fontId="67" fillId="28" borderId="0" xfId="44" applyNumberFormat="1" applyFont="1" applyFill="1" applyAlignment="1">
      <alignment horizontal="center" vertical="center"/>
    </xf>
    <xf numFmtId="0" fontId="72" fillId="0" borderId="0" xfId="84" applyFont="1"/>
    <xf numFmtId="49" fontId="72" fillId="26" borderId="0" xfId="84" applyNumberFormat="1" applyFont="1" applyFill="1"/>
    <xf numFmtId="49" fontId="72" fillId="0" borderId="0" xfId="84" applyNumberFormat="1" applyFont="1"/>
    <xf numFmtId="14" fontId="72" fillId="0" borderId="0" xfId="84" applyNumberFormat="1" applyFont="1"/>
    <xf numFmtId="169" fontId="72" fillId="0" borderId="0" xfId="84" applyNumberFormat="1" applyFont="1"/>
    <xf numFmtId="0" fontId="72" fillId="0" borderId="0" xfId="84" applyFont="1" applyAlignment="1">
      <alignment horizontal="left"/>
    </xf>
    <xf numFmtId="0" fontId="0" fillId="0" borderId="0" xfId="0" applyNumberFormat="1"/>
    <xf numFmtId="167" fontId="58" fillId="0" borderId="0" xfId="45" applyNumberFormat="1" applyFont="1" applyAlignment="1">
      <alignment horizontal="right"/>
    </xf>
    <xf numFmtId="167" fontId="54" fillId="0" borderId="48" xfId="32" applyNumberFormat="1" applyFont="1" applyBorder="1" applyAlignment="1" applyProtection="1">
      <alignment horizontal="right" vertical="center"/>
      <protection locked="0" hidden="1"/>
    </xf>
    <xf numFmtId="167" fontId="54" fillId="0" borderId="48" xfId="0" applyNumberFormat="1" applyFont="1" applyBorder="1" applyAlignment="1" applyProtection="1">
      <alignment horizontal="right" vertical="center"/>
      <protection locked="0" hidden="1"/>
    </xf>
    <xf numFmtId="167" fontId="54" fillId="0" borderId="48" xfId="32" applyNumberFormat="1" applyFont="1" applyBorder="1" applyAlignment="1">
      <alignment horizontal="right" vertical="center"/>
    </xf>
    <xf numFmtId="167" fontId="54" fillId="0" borderId="49" xfId="41" quotePrefix="1" applyNumberFormat="1" applyFont="1" applyBorder="1" applyAlignment="1">
      <alignment horizontal="center" vertical="center" wrapText="1"/>
    </xf>
    <xf numFmtId="167" fontId="54" fillId="0" borderId="48" xfId="0" applyNumberFormat="1" applyFont="1" applyBorder="1" applyAlignment="1">
      <alignment horizontal="right" vertical="center"/>
    </xf>
    <xf numFmtId="165" fontId="24" fillId="30" borderId="50" xfId="0" applyFont="1" applyFill="1" applyBorder="1" applyAlignment="1">
      <alignment vertical="center"/>
    </xf>
    <xf numFmtId="165" fontId="54" fillId="0" borderId="50" xfId="41" applyFont="1" applyBorder="1" applyAlignment="1">
      <alignment vertical="center"/>
    </xf>
    <xf numFmtId="165" fontId="54" fillId="0" borderId="50" xfId="41" applyFont="1" applyBorder="1" applyAlignment="1" applyProtection="1">
      <alignment vertical="center"/>
      <protection locked="0" hidden="1"/>
    </xf>
    <xf numFmtId="165" fontId="54" fillId="0" borderId="50" xfId="0" applyFont="1" applyBorder="1" applyAlignment="1">
      <alignment vertical="center"/>
    </xf>
    <xf numFmtId="167" fontId="54" fillId="0" borderId="50" xfId="41" quotePrefix="1" applyNumberFormat="1" applyFont="1" applyBorder="1" applyAlignment="1">
      <alignment horizontal="center" vertical="center" wrapText="1"/>
    </xf>
    <xf numFmtId="167" fontId="54" fillId="0" borderId="50" xfId="32" applyNumberFormat="1" applyFont="1" applyBorder="1" applyAlignment="1" applyProtection="1">
      <alignment horizontal="right" vertical="center"/>
      <protection locked="0" hidden="1"/>
    </xf>
    <xf numFmtId="167" fontId="54" fillId="0" borderId="50" xfId="32" applyNumberFormat="1" applyFont="1" applyBorder="1" applyAlignment="1">
      <alignment horizontal="right" vertical="center"/>
    </xf>
    <xf numFmtId="167" fontId="54" fillId="0" borderId="50" xfId="0" applyNumberFormat="1" applyFont="1" applyBorder="1" applyAlignment="1" applyProtection="1">
      <alignment horizontal="right" vertical="center"/>
      <protection locked="0" hidden="1"/>
    </xf>
    <xf numFmtId="165" fontId="24" fillId="31" borderId="50" xfId="0" applyFont="1" applyFill="1" applyBorder="1" applyAlignment="1">
      <alignment vertical="center"/>
    </xf>
    <xf numFmtId="168" fontId="54" fillId="0" borderId="48" xfId="32" applyNumberFormat="1" applyFont="1" applyBorder="1" applyAlignment="1" applyProtection="1">
      <alignment horizontal="right" vertical="center"/>
      <protection locked="0" hidden="1"/>
    </xf>
    <xf numFmtId="168" fontId="54" fillId="0" borderId="50" xfId="32" applyNumberFormat="1" applyFont="1" applyBorder="1" applyAlignment="1" applyProtection="1">
      <alignment horizontal="right" vertical="center"/>
      <protection locked="0" hidden="1"/>
    </xf>
    <xf numFmtId="168" fontId="74" fillId="0" borderId="0" xfId="32" applyNumberFormat="1" applyFont="1" applyAlignment="1" applyProtection="1">
      <alignment horizontal="right" vertical="center"/>
      <protection locked="0" hidden="1"/>
    </xf>
    <xf numFmtId="168" fontId="54" fillId="0" borderId="0" xfId="41" applyNumberFormat="1" applyFont="1" applyAlignment="1" applyProtection="1">
      <alignment vertical="center"/>
      <protection locked="0" hidden="1"/>
    </xf>
    <xf numFmtId="168" fontId="54" fillId="0" borderId="0" xfId="41" applyNumberFormat="1" applyFont="1" applyAlignment="1">
      <alignment vertical="center"/>
    </xf>
    <xf numFmtId="168" fontId="54" fillId="0" borderId="48" xfId="32" applyNumberFormat="1" applyFont="1" applyBorder="1" applyAlignment="1">
      <alignment horizontal="right" vertical="center"/>
    </xf>
    <xf numFmtId="168" fontId="54" fillId="0" borderId="50" xfId="32" applyNumberFormat="1" applyFont="1" applyBorder="1" applyAlignment="1">
      <alignment horizontal="right" vertical="center"/>
    </xf>
    <xf numFmtId="168" fontId="74" fillId="0" borderId="0" xfId="32" applyNumberFormat="1" applyFont="1" applyAlignment="1">
      <alignment horizontal="right" vertical="center"/>
    </xf>
    <xf numFmtId="168" fontId="54" fillId="0" borderId="0" xfId="41" applyNumberFormat="1" applyFont="1" applyAlignment="1">
      <alignment horizontal="center" vertical="center"/>
    </xf>
    <xf numFmtId="0" fontId="54" fillId="0" borderId="0" xfId="0" applyNumberFormat="1" applyFont="1" applyAlignment="1">
      <alignment horizontal="center" vertical="center"/>
    </xf>
    <xf numFmtId="0" fontId="54" fillId="0" borderId="0" xfId="0" quotePrefix="1" applyNumberFormat="1" applyFont="1" applyAlignment="1">
      <alignment horizontal="center" vertical="center"/>
    </xf>
    <xf numFmtId="0" fontId="54" fillId="0" borderId="0" xfId="0" applyNumberFormat="1" applyFont="1" applyAlignment="1">
      <alignment vertical="center"/>
    </xf>
    <xf numFmtId="165" fontId="24" fillId="0" borderId="0" xfId="0" applyFont="1" applyAlignment="1">
      <alignment horizontal="center" vertical="center" wrapText="1"/>
    </xf>
    <xf numFmtId="165" fontId="52" fillId="28" borderId="52" xfId="0" applyFont="1" applyFill="1" applyBorder="1" applyAlignment="1">
      <alignment horizontal="center" vertical="center" wrapText="1"/>
    </xf>
    <xf numFmtId="165" fontId="52" fillId="28" borderId="53" xfId="0" applyFont="1" applyFill="1" applyBorder="1" applyAlignment="1">
      <alignment horizontal="center" vertical="center" wrapText="1"/>
    </xf>
    <xf numFmtId="165" fontId="52" fillId="28" borderId="54" xfId="0" applyFont="1" applyFill="1" applyBorder="1" applyAlignment="1">
      <alignment horizontal="center" vertical="center" wrapText="1"/>
    </xf>
    <xf numFmtId="165" fontId="52" fillId="28" borderId="55" xfId="0" applyFont="1" applyFill="1" applyBorder="1" applyAlignment="1">
      <alignment horizontal="center" vertical="center" wrapText="1"/>
    </xf>
    <xf numFmtId="165" fontId="24" fillId="0" borderId="29" xfId="0" applyFont="1" applyBorder="1" applyAlignment="1">
      <alignment vertical="center"/>
    </xf>
    <xf numFmtId="2" fontId="24" fillId="0" borderId="56" xfId="0" applyNumberFormat="1" applyFont="1" applyBorder="1" applyAlignment="1">
      <alignment vertical="center"/>
    </xf>
    <xf numFmtId="2" fontId="24" fillId="0" borderId="12" xfId="0" applyNumberFormat="1" applyFont="1" applyBorder="1" applyAlignment="1">
      <alignment vertical="center"/>
    </xf>
    <xf numFmtId="2" fontId="24" fillId="0" borderId="29" xfId="0" applyNumberFormat="1" applyFont="1" applyBorder="1" applyAlignment="1">
      <alignment vertical="center"/>
    </xf>
    <xf numFmtId="171" fontId="25" fillId="0" borderId="57" xfId="0" applyNumberFormat="1" applyFont="1" applyBorder="1" applyAlignment="1">
      <alignment vertical="center"/>
    </xf>
    <xf numFmtId="3" fontId="25" fillId="0" borderId="58" xfId="0" applyNumberFormat="1" applyFont="1" applyBorder="1" applyAlignment="1">
      <alignment horizontal="right" vertical="center"/>
    </xf>
    <xf numFmtId="3" fontId="25" fillId="0" borderId="59" xfId="0" applyNumberFormat="1" applyFont="1" applyBorder="1" applyAlignment="1">
      <alignment horizontal="right" vertical="center"/>
    </xf>
    <xf numFmtId="3" fontId="25" fillId="0" borderId="60" xfId="0" applyNumberFormat="1" applyFont="1" applyBorder="1" applyAlignment="1">
      <alignment horizontal="right" vertical="center"/>
    </xf>
    <xf numFmtId="3" fontId="25" fillId="0" borderId="61" xfId="0" applyNumberFormat="1" applyFont="1" applyBorder="1" applyAlignment="1">
      <alignment vertical="center" wrapText="1"/>
    </xf>
    <xf numFmtId="2" fontId="25" fillId="0" borderId="60" xfId="0" applyNumberFormat="1" applyFont="1" applyBorder="1" applyAlignment="1">
      <alignment vertical="center"/>
    </xf>
    <xf numFmtId="3" fontId="25" fillId="0" borderId="61" xfId="0" applyNumberFormat="1" applyFont="1" applyBorder="1" applyAlignment="1">
      <alignment vertical="center"/>
    </xf>
    <xf numFmtId="165" fontId="52" fillId="27" borderId="62" xfId="0" applyFont="1" applyFill="1" applyBorder="1" applyAlignment="1">
      <alignment horizontal="center" vertical="center"/>
    </xf>
    <xf numFmtId="3" fontId="52" fillId="27" borderId="52" xfId="0" applyNumberFormat="1" applyFont="1" applyFill="1" applyBorder="1" applyAlignment="1">
      <alignment horizontal="right" vertical="center"/>
    </xf>
    <xf numFmtId="3" fontId="52" fillId="27" borderId="53" xfId="0" applyNumberFormat="1" applyFont="1" applyFill="1" applyBorder="1" applyAlignment="1">
      <alignment horizontal="right" vertical="center"/>
    </xf>
    <xf numFmtId="3" fontId="52" fillId="27" borderId="54" xfId="0" applyNumberFormat="1" applyFont="1" applyFill="1" applyBorder="1" applyAlignment="1">
      <alignment horizontal="right" vertical="center"/>
    </xf>
    <xf numFmtId="3" fontId="52" fillId="27" borderId="55" xfId="0" applyNumberFormat="1" applyFont="1" applyFill="1" applyBorder="1" applyAlignment="1">
      <alignment vertical="center"/>
    </xf>
    <xf numFmtId="2" fontId="52" fillId="27" borderId="54" xfId="0" applyNumberFormat="1" applyFont="1" applyFill="1" applyBorder="1" applyAlignment="1">
      <alignment vertical="center"/>
    </xf>
    <xf numFmtId="49" fontId="54" fillId="0" borderId="0" xfId="41" quotePrefix="1" applyNumberFormat="1" applyFont="1" applyAlignment="1">
      <alignment horizontal="center" vertical="center" wrapText="1"/>
    </xf>
    <xf numFmtId="4" fontId="0" fillId="0" borderId="0" xfId="32" applyFont="1"/>
    <xf numFmtId="49" fontId="54" fillId="0" borderId="0" xfId="0" applyNumberFormat="1" applyFont="1"/>
    <xf numFmtId="49" fontId="0" fillId="0" borderId="0" xfId="0" applyNumberFormat="1" applyAlignment="1">
      <alignment horizontal="center"/>
    </xf>
    <xf numFmtId="165" fontId="54" fillId="26" borderId="0" xfId="0" applyFont="1" applyFill="1"/>
    <xf numFmtId="4" fontId="54" fillId="26" borderId="0" xfId="32" applyFont="1" applyFill="1"/>
    <xf numFmtId="4" fontId="54" fillId="25" borderId="0" xfId="32" applyFont="1" applyFill="1" applyAlignment="1">
      <alignment wrapText="1"/>
    </xf>
    <xf numFmtId="0" fontId="54" fillId="25" borderId="0" xfId="0" applyNumberFormat="1" applyFont="1" applyFill="1" applyAlignment="1">
      <alignment wrapText="1"/>
    </xf>
    <xf numFmtId="165" fontId="54" fillId="25" borderId="0" xfId="0" applyFont="1" applyFill="1" applyAlignment="1">
      <alignment wrapText="1"/>
    </xf>
    <xf numFmtId="4" fontId="54" fillId="25" borderId="0" xfId="32" applyFont="1" applyFill="1"/>
    <xf numFmtId="0" fontId="54" fillId="25" borderId="0" xfId="0" applyNumberFormat="1" applyFont="1" applyFill="1"/>
    <xf numFmtId="165" fontId="54" fillId="25" borderId="0" xfId="0" applyFont="1" applyFill="1"/>
    <xf numFmtId="4" fontId="54" fillId="0" borderId="0" xfId="32" applyFont="1"/>
    <xf numFmtId="0" fontId="54" fillId="0" borderId="0" xfId="0" applyNumberFormat="1" applyFont="1"/>
    <xf numFmtId="49" fontId="54" fillId="26" borderId="0" xfId="0" applyNumberFormat="1" applyFont="1" applyFill="1"/>
    <xf numFmtId="0" fontId="18" fillId="0" borderId="0" xfId="90" applyAlignment="1">
      <alignment horizontal="center" vertical="center"/>
    </xf>
    <xf numFmtId="0" fontId="18" fillId="0" borderId="0" xfId="90"/>
    <xf numFmtId="49" fontId="0" fillId="0" borderId="0" xfId="0" applyNumberFormat="1"/>
    <xf numFmtId="49" fontId="0" fillId="0" borderId="0" xfId="0" quotePrefix="1" applyNumberFormat="1"/>
    <xf numFmtId="0" fontId="16" fillId="0" borderId="0" xfId="90" applyFont="1"/>
    <xf numFmtId="0" fontId="15" fillId="0" borderId="0" xfId="90" applyFont="1"/>
    <xf numFmtId="0" fontId="14" fillId="0" borderId="0" xfId="90" applyFont="1"/>
    <xf numFmtId="49" fontId="18" fillId="0" borderId="0" xfId="90" applyNumberFormat="1"/>
    <xf numFmtId="49" fontId="16" fillId="0" borderId="0" xfId="90" quotePrefix="1" applyNumberFormat="1" applyFont="1"/>
    <xf numFmtId="49" fontId="15" fillId="0" borderId="0" xfId="90" quotePrefix="1" applyNumberFormat="1" applyFont="1"/>
    <xf numFmtId="49" fontId="14" fillId="0" borderId="0" xfId="90" quotePrefix="1" applyNumberFormat="1" applyFont="1"/>
    <xf numFmtId="0" fontId="13" fillId="0" borderId="0" xfId="90" applyFont="1"/>
    <xf numFmtId="49" fontId="18" fillId="0" borderId="0" xfId="90" applyNumberFormat="1" applyAlignment="1">
      <alignment horizontal="center" vertical="center"/>
    </xf>
    <xf numFmtId="49" fontId="17" fillId="0" borderId="0" xfId="90" quotePrefix="1" applyNumberFormat="1" applyFont="1"/>
    <xf numFmtId="49" fontId="18" fillId="0" borderId="0" xfId="90" quotePrefix="1" applyNumberFormat="1"/>
    <xf numFmtId="49" fontId="15" fillId="0" borderId="0" xfId="90" applyNumberFormat="1" applyFont="1"/>
    <xf numFmtId="0" fontId="13" fillId="0" borderId="0" xfId="90" quotePrefix="1" applyFont="1"/>
    <xf numFmtId="49" fontId="13" fillId="0" borderId="0" xfId="90" quotePrefix="1" applyNumberFormat="1" applyFont="1"/>
    <xf numFmtId="0" fontId="12" fillId="0" borderId="0" xfId="90" quotePrefix="1" applyFont="1"/>
    <xf numFmtId="0" fontId="12" fillId="0" borderId="0" xfId="90" applyFont="1"/>
    <xf numFmtId="0" fontId="11" fillId="0" borderId="0" xfId="90" applyFont="1"/>
    <xf numFmtId="0" fontId="11" fillId="0" borderId="0" xfId="90" quotePrefix="1" applyFont="1"/>
    <xf numFmtId="0" fontId="10" fillId="0" borderId="0" xfId="90" quotePrefix="1" applyFont="1"/>
    <xf numFmtId="0" fontId="10" fillId="0" borderId="0" xfId="90" applyFont="1"/>
    <xf numFmtId="0" fontId="9" fillId="0" borderId="0" xfId="90" quotePrefix="1" applyFont="1"/>
    <xf numFmtId="0" fontId="9" fillId="0" borderId="0" xfId="90" applyFont="1"/>
    <xf numFmtId="168" fontId="54" fillId="0" borderId="0" xfId="32" applyNumberFormat="1" applyFont="1" applyBorder="1" applyAlignment="1">
      <alignment horizontal="right" vertical="center"/>
    </xf>
    <xf numFmtId="165" fontId="24" fillId="32" borderId="50" xfId="0" applyFont="1" applyFill="1" applyBorder="1" applyAlignment="1">
      <alignment vertical="center"/>
    </xf>
    <xf numFmtId="165" fontId="24" fillId="33" borderId="50" xfId="0" applyFont="1" applyFill="1" applyBorder="1" applyAlignment="1">
      <alignment vertical="center"/>
    </xf>
    <xf numFmtId="165" fontId="24" fillId="34" borderId="50" xfId="0" applyFont="1" applyFill="1" applyBorder="1" applyAlignment="1">
      <alignment vertical="center"/>
    </xf>
    <xf numFmtId="165" fontId="24" fillId="35" borderId="50" xfId="0" applyFont="1" applyFill="1" applyBorder="1" applyAlignment="1">
      <alignment vertical="center"/>
    </xf>
    <xf numFmtId="167" fontId="54" fillId="0" borderId="0" xfId="41" quotePrefix="1" applyNumberFormat="1" applyFont="1" applyAlignment="1">
      <alignment horizontal="left" vertical="center" wrapText="1"/>
    </xf>
    <xf numFmtId="3" fontId="54" fillId="0" borderId="0" xfId="32" applyNumberFormat="1" applyFont="1" applyFill="1" applyAlignment="1">
      <alignment vertical="center"/>
    </xf>
    <xf numFmtId="167" fontId="54" fillId="0" borderId="0" xfId="32" applyNumberFormat="1" applyFont="1" applyFill="1" applyAlignment="1">
      <alignment vertical="center"/>
    </xf>
    <xf numFmtId="168" fontId="54" fillId="0" borderId="0" xfId="32" applyNumberFormat="1" applyFont="1" applyFill="1" applyAlignment="1">
      <alignment vertical="center"/>
    </xf>
    <xf numFmtId="0" fontId="8" fillId="0" borderId="0" xfId="90" applyFont="1"/>
    <xf numFmtId="0" fontId="8" fillId="0" borderId="0" xfId="90" quotePrefix="1" applyFont="1"/>
    <xf numFmtId="165" fontId="59" fillId="0" borderId="0" xfId="0" applyFont="1" applyAlignment="1">
      <alignment horizontal="center"/>
    </xf>
    <xf numFmtId="165" fontId="24" fillId="0" borderId="66" xfId="0" applyFont="1" applyBorder="1" applyAlignment="1">
      <alignment vertical="center"/>
    </xf>
    <xf numFmtId="165" fontId="52" fillId="27" borderId="68" xfId="0" applyFont="1" applyFill="1" applyBorder="1" applyAlignment="1">
      <alignment horizontal="center" vertical="center"/>
    </xf>
    <xf numFmtId="165" fontId="24" fillId="0" borderId="69" xfId="0" applyFont="1" applyBorder="1" applyAlignment="1">
      <alignment horizontal="center" vertical="center"/>
    </xf>
    <xf numFmtId="165" fontId="25" fillId="0" borderId="69" xfId="0" applyFont="1" applyBorder="1" applyAlignment="1">
      <alignment vertical="center"/>
    </xf>
    <xf numFmtId="165" fontId="56" fillId="0" borderId="69" xfId="0" applyFont="1" applyBorder="1" applyAlignment="1">
      <alignment horizontal="right" vertical="center"/>
    </xf>
    <xf numFmtId="165" fontId="24" fillId="25" borderId="70" xfId="0" applyFont="1" applyFill="1" applyBorder="1" applyAlignment="1">
      <alignment horizontal="right" vertical="center"/>
    </xf>
    <xf numFmtId="165" fontId="24" fillId="0" borderId="71" xfId="0" applyFont="1" applyBorder="1" applyAlignment="1">
      <alignment vertical="center"/>
    </xf>
    <xf numFmtId="165" fontId="24" fillId="0" borderId="69" xfId="0" applyFont="1" applyBorder="1" applyAlignment="1">
      <alignment vertical="center"/>
    </xf>
    <xf numFmtId="165" fontId="0" fillId="26" borderId="0" xfId="0" applyFill="1"/>
    <xf numFmtId="3" fontId="54" fillId="26" borderId="0" xfId="0" applyNumberFormat="1" applyFont="1" applyFill="1" applyAlignment="1">
      <alignment vertical="center"/>
    </xf>
    <xf numFmtId="165" fontId="24" fillId="0" borderId="50" xfId="0" applyFont="1" applyBorder="1" applyAlignment="1">
      <alignment vertical="center"/>
    </xf>
    <xf numFmtId="167" fontId="73" fillId="0" borderId="0" xfId="0" applyNumberFormat="1" applyFont="1" applyAlignment="1">
      <alignment horizontal="center" vertical="center"/>
    </xf>
    <xf numFmtId="167" fontId="73" fillId="0" borderId="50" xfId="0" applyNumberFormat="1" applyFont="1" applyBorder="1" applyAlignment="1">
      <alignment horizontal="center" vertical="center"/>
    </xf>
    <xf numFmtId="3" fontId="24" fillId="24" borderId="21" xfId="32" applyNumberFormat="1" applyFont="1" applyFill="1" applyBorder="1" applyAlignment="1" applyProtection="1">
      <alignment horizontal="center" vertical="center"/>
      <protection locked="0"/>
    </xf>
    <xf numFmtId="3" fontId="24" fillId="24" borderId="33" xfId="32" applyNumberFormat="1" applyFont="1" applyFill="1" applyBorder="1" applyAlignment="1" applyProtection="1">
      <alignment horizontal="center" vertical="center"/>
      <protection locked="0"/>
    </xf>
    <xf numFmtId="165" fontId="54" fillId="36" borderId="0" xfId="0" applyFont="1" applyFill="1" applyAlignment="1">
      <alignment vertical="center"/>
    </xf>
    <xf numFmtId="14" fontId="0" fillId="0" borderId="0" xfId="0" applyNumberFormat="1"/>
    <xf numFmtId="165" fontId="78" fillId="0" borderId="0" xfId="0" applyFont="1"/>
    <xf numFmtId="165" fontId="79" fillId="0" borderId="0" xfId="0" applyFont="1"/>
    <xf numFmtId="168" fontId="54" fillId="26" borderId="0" xfId="0" applyNumberFormat="1" applyFont="1" applyFill="1" applyAlignment="1" applyProtection="1">
      <alignment vertical="center"/>
      <protection locked="0" hidden="1"/>
    </xf>
    <xf numFmtId="3" fontId="54" fillId="0" borderId="0" xfId="32" applyNumberFormat="1" applyFont="1" applyFill="1" applyAlignment="1" applyProtection="1">
      <alignment horizontal="right" vertical="center"/>
      <protection locked="0" hidden="1"/>
    </xf>
    <xf numFmtId="165" fontId="73" fillId="29" borderId="0" xfId="0" applyFont="1" applyFill="1" applyAlignment="1">
      <alignment vertical="center"/>
    </xf>
    <xf numFmtId="3" fontId="73" fillId="29" borderId="0" xfId="0" applyNumberFormat="1" applyFont="1" applyFill="1" applyAlignment="1">
      <alignment horizontal="right" vertical="center"/>
    </xf>
    <xf numFmtId="167" fontId="24" fillId="35" borderId="0" xfId="0" applyNumberFormat="1" applyFont="1" applyFill="1" applyAlignment="1">
      <alignment vertical="center"/>
    </xf>
    <xf numFmtId="167" fontId="54" fillId="26" borderId="0" xfId="0" applyNumberFormat="1" applyFont="1" applyFill="1" applyAlignment="1">
      <alignment vertical="center"/>
    </xf>
    <xf numFmtId="0" fontId="3" fillId="0" borderId="0" xfId="109"/>
    <xf numFmtId="0" fontId="1" fillId="0" borderId="0" xfId="149"/>
    <xf numFmtId="0" fontId="0" fillId="0" borderId="0" xfId="0" quotePrefix="1" applyNumberFormat="1"/>
    <xf numFmtId="165" fontId="62" fillId="0" borderId="0" xfId="0" applyFont="1" applyAlignment="1">
      <alignment horizontal="center" vertical="center" wrapText="1"/>
    </xf>
    <xf numFmtId="165" fontId="52" fillId="28" borderId="19" xfId="0" applyFont="1" applyFill="1" applyBorder="1" applyAlignment="1">
      <alignment horizontal="center" vertical="center"/>
    </xf>
    <xf numFmtId="165" fontId="52" fillId="28" borderId="21" xfId="0" applyFont="1" applyFill="1" applyBorder="1" applyAlignment="1">
      <alignment horizontal="center" vertical="center"/>
    </xf>
    <xf numFmtId="165" fontId="52" fillId="28" borderId="30" xfId="0" applyFont="1" applyFill="1" applyBorder="1" applyAlignment="1">
      <alignment horizontal="center" vertical="center"/>
    </xf>
    <xf numFmtId="165" fontId="52" fillId="28" borderId="25" xfId="0" applyFont="1" applyFill="1" applyBorder="1" applyAlignment="1">
      <alignment horizontal="center" vertical="center"/>
    </xf>
    <xf numFmtId="165" fontId="52" fillId="28" borderId="15" xfId="0" applyFont="1" applyFill="1" applyBorder="1" applyAlignment="1">
      <alignment horizontal="center" vertical="center"/>
    </xf>
    <xf numFmtId="165" fontId="52" fillId="28" borderId="0" xfId="0" applyFont="1" applyFill="1" applyAlignment="1">
      <alignment horizontal="center" vertical="center"/>
    </xf>
    <xf numFmtId="165" fontId="52" fillId="28" borderId="10" xfId="0" applyFont="1" applyFill="1" applyBorder="1" applyAlignment="1">
      <alignment horizontal="center" vertical="center"/>
    </xf>
    <xf numFmtId="165" fontId="59" fillId="0" borderId="0" xfId="0" applyFont="1" applyAlignment="1">
      <alignment horizontal="center" wrapText="1"/>
    </xf>
    <xf numFmtId="165" fontId="59" fillId="0" borderId="0" xfId="0" applyFont="1" applyAlignment="1">
      <alignment horizontal="center"/>
    </xf>
    <xf numFmtId="165" fontId="69" fillId="0" borderId="0" xfId="44" applyFont="1" applyAlignment="1">
      <alignment horizontal="center" vertical="center"/>
    </xf>
    <xf numFmtId="165" fontId="54" fillId="0" borderId="0" xfId="0" applyFont="1" applyAlignment="1">
      <alignment horizontal="left" vertical="center" wrapText="1"/>
    </xf>
    <xf numFmtId="165" fontId="61" fillId="0" borderId="0" xfId="44" applyFont="1" applyAlignment="1">
      <alignment horizontal="left" vertical="center" wrapText="1"/>
    </xf>
    <xf numFmtId="165" fontId="61" fillId="0" borderId="0" xfId="44" applyFont="1" applyAlignment="1">
      <alignment horizontal="justify" vertical="center" wrapText="1"/>
    </xf>
    <xf numFmtId="165" fontId="28" fillId="0" borderId="0" xfId="44" applyFont="1" applyAlignment="1">
      <alignment horizontal="center"/>
    </xf>
    <xf numFmtId="14" fontId="31" fillId="0" borderId="0" xfId="44" applyNumberFormat="1" applyFont="1" applyAlignment="1">
      <alignment horizontal="center"/>
    </xf>
    <xf numFmtId="165" fontId="24" fillId="0" borderId="19" xfId="0" applyFont="1" applyBorder="1" applyAlignment="1">
      <alignment horizontal="center" vertical="center"/>
    </xf>
    <xf numFmtId="165" fontId="24" fillId="0" borderId="30" xfId="0" applyFont="1" applyBorder="1" applyAlignment="1">
      <alignment horizontal="center" vertical="center"/>
    </xf>
    <xf numFmtId="165" fontId="52" fillId="28" borderId="63" xfId="0" applyFont="1" applyFill="1" applyBorder="1" applyAlignment="1">
      <alignment horizontal="center" vertical="center"/>
    </xf>
    <xf numFmtId="165" fontId="52" fillId="28" borderId="64" xfId="0" applyFont="1" applyFill="1" applyBorder="1" applyAlignment="1">
      <alignment horizontal="center" vertical="center"/>
    </xf>
    <xf numFmtId="165" fontId="52" fillId="28" borderId="65" xfId="0" applyFont="1" applyFill="1" applyBorder="1" applyAlignment="1">
      <alignment horizontal="center" vertical="center"/>
    </xf>
    <xf numFmtId="165" fontId="52" fillId="28" borderId="28" xfId="0" applyFont="1" applyFill="1" applyBorder="1" applyAlignment="1">
      <alignment horizontal="center" vertical="center"/>
    </xf>
    <xf numFmtId="165" fontId="52" fillId="28" borderId="27" xfId="0" applyFont="1" applyFill="1" applyBorder="1" applyAlignment="1">
      <alignment horizontal="center" vertical="center"/>
    </xf>
    <xf numFmtId="4" fontId="52" fillId="29" borderId="45" xfId="0" applyNumberFormat="1" applyFont="1" applyFill="1" applyBorder="1" applyAlignment="1">
      <alignment horizontal="center" vertical="center"/>
    </xf>
    <xf numFmtId="4" fontId="52" fillId="29" borderId="34" xfId="0" applyNumberFormat="1" applyFont="1" applyFill="1" applyBorder="1" applyAlignment="1">
      <alignment horizontal="center" vertical="center"/>
    </xf>
    <xf numFmtId="10" fontId="52" fillId="29" borderId="45" xfId="45" applyNumberFormat="1" applyFont="1" applyFill="1" applyBorder="1" applyAlignment="1">
      <alignment horizontal="center" vertical="center"/>
    </xf>
    <xf numFmtId="10" fontId="52" fillId="29" borderId="34" xfId="45" applyNumberFormat="1" applyFont="1" applyFill="1" applyBorder="1" applyAlignment="1">
      <alignment horizontal="center" vertical="center"/>
    </xf>
    <xf numFmtId="165" fontId="24" fillId="0" borderId="41" xfId="0" applyFont="1" applyBorder="1" applyAlignment="1">
      <alignment horizontal="center" vertical="center"/>
    </xf>
    <xf numFmtId="165" fontId="24" fillId="0" borderId="42" xfId="0" applyFont="1" applyBorder="1" applyAlignment="1">
      <alignment horizontal="center" vertical="center"/>
    </xf>
    <xf numFmtId="3" fontId="24" fillId="0" borderId="41" xfId="0" applyNumberFormat="1" applyFont="1" applyBorder="1" applyAlignment="1">
      <alignment horizontal="center" vertical="center"/>
    </xf>
    <xf numFmtId="3" fontId="24" fillId="0" borderId="42" xfId="0" applyNumberFormat="1" applyFont="1" applyBorder="1" applyAlignment="1">
      <alignment horizontal="center" vertical="center"/>
    </xf>
    <xf numFmtId="3" fontId="52" fillId="29" borderId="45" xfId="0" applyNumberFormat="1" applyFont="1" applyFill="1" applyBorder="1" applyAlignment="1">
      <alignment horizontal="center" vertical="center"/>
    </xf>
    <xf numFmtId="3" fontId="52" fillId="29" borderId="34" xfId="0" applyNumberFormat="1" applyFont="1" applyFill="1" applyBorder="1" applyAlignment="1">
      <alignment horizontal="center" vertical="center"/>
    </xf>
    <xf numFmtId="3" fontId="52" fillId="29" borderId="45" xfId="32" applyNumberFormat="1" applyFont="1" applyFill="1" applyBorder="1" applyAlignment="1">
      <alignment horizontal="center" vertical="center"/>
    </xf>
    <xf numFmtId="3" fontId="52" fillId="29" borderId="34" xfId="32" applyNumberFormat="1" applyFont="1" applyFill="1" applyBorder="1" applyAlignment="1">
      <alignment horizontal="center" vertical="center"/>
    </xf>
    <xf numFmtId="165" fontId="52" fillId="28" borderId="66" xfId="0" applyFont="1" applyFill="1" applyBorder="1" applyAlignment="1">
      <alignment horizontal="center" vertical="center"/>
    </xf>
    <xf numFmtId="165" fontId="52" fillId="28" borderId="67" xfId="0" applyFont="1" applyFill="1" applyBorder="1" applyAlignment="1">
      <alignment horizontal="center" vertical="center"/>
    </xf>
    <xf numFmtId="165" fontId="76" fillId="0" borderId="0" xfId="0" applyFont="1" applyAlignment="1">
      <alignment horizontal="center" wrapText="1"/>
    </xf>
    <xf numFmtId="4" fontId="52" fillId="29" borderId="45" xfId="32" applyFont="1" applyFill="1" applyBorder="1" applyAlignment="1">
      <alignment horizontal="center" vertical="center"/>
    </xf>
    <xf numFmtId="4" fontId="52" fillId="29" borderId="34" xfId="32" applyFont="1" applyFill="1" applyBorder="1" applyAlignment="1">
      <alignment horizontal="center" vertical="center"/>
    </xf>
    <xf numFmtId="165" fontId="59" fillId="0" borderId="0" xfId="0" applyFont="1" applyAlignment="1">
      <alignment wrapText="1"/>
    </xf>
    <xf numFmtId="165" fontId="59" fillId="0" borderId="0" xfId="0" applyFont="1"/>
    <xf numFmtId="167" fontId="73" fillId="33" borderId="47" xfId="0" applyNumberFormat="1" applyFont="1" applyFill="1" applyBorder="1" applyAlignment="1">
      <alignment horizontal="center" vertical="center"/>
    </xf>
    <xf numFmtId="167" fontId="73" fillId="33" borderId="51" xfId="0" applyNumberFormat="1" applyFont="1" applyFill="1" applyBorder="1" applyAlignment="1">
      <alignment horizontal="center" vertical="center"/>
    </xf>
    <xf numFmtId="167" fontId="73" fillId="35" borderId="47" xfId="0" applyNumberFormat="1" applyFont="1" applyFill="1" applyBorder="1" applyAlignment="1">
      <alignment horizontal="center" vertical="center"/>
    </xf>
    <xf numFmtId="167" fontId="73" fillId="34" borderId="47" xfId="0" applyNumberFormat="1" applyFont="1" applyFill="1" applyBorder="1" applyAlignment="1">
      <alignment horizontal="center" vertical="center"/>
    </xf>
    <xf numFmtId="167" fontId="73" fillId="34" borderId="51" xfId="0" applyNumberFormat="1" applyFont="1" applyFill="1" applyBorder="1" applyAlignment="1">
      <alignment horizontal="center" vertical="center"/>
    </xf>
    <xf numFmtId="167" fontId="73" fillId="35" borderId="51" xfId="0" applyNumberFormat="1" applyFont="1" applyFill="1" applyBorder="1" applyAlignment="1">
      <alignment horizontal="center" vertical="center"/>
    </xf>
    <xf numFmtId="167" fontId="73" fillId="32" borderId="47" xfId="0" applyNumberFormat="1" applyFont="1" applyFill="1" applyBorder="1" applyAlignment="1">
      <alignment horizontal="center" vertical="center"/>
    </xf>
    <xf numFmtId="167" fontId="73" fillId="32" borderId="51" xfId="0" applyNumberFormat="1" applyFont="1" applyFill="1" applyBorder="1" applyAlignment="1">
      <alignment horizontal="center" vertical="center"/>
    </xf>
    <xf numFmtId="167" fontId="73" fillId="32" borderId="0" xfId="0" applyNumberFormat="1" applyFont="1" applyFill="1" applyAlignment="1">
      <alignment horizontal="center" vertical="center"/>
    </xf>
    <xf numFmtId="167" fontId="73" fillId="31" borderId="47" xfId="0" applyNumberFormat="1" applyFont="1" applyFill="1" applyBorder="1" applyAlignment="1">
      <alignment horizontal="center" vertical="center"/>
    </xf>
    <xf numFmtId="167" fontId="73" fillId="31" borderId="51" xfId="0" applyNumberFormat="1" applyFont="1" applyFill="1" applyBorder="1" applyAlignment="1">
      <alignment horizontal="center" vertical="center"/>
    </xf>
    <xf numFmtId="167" fontId="73" fillId="30" borderId="47" xfId="0" applyNumberFormat="1" applyFont="1" applyFill="1" applyBorder="1" applyAlignment="1">
      <alignment horizontal="center" vertical="center"/>
    </xf>
    <xf numFmtId="167" fontId="73" fillId="30" borderId="51" xfId="0" applyNumberFormat="1" applyFont="1" applyFill="1" applyBorder="1" applyAlignment="1">
      <alignment horizontal="center" vertical="center"/>
    </xf>
  </cellXfs>
  <cellStyles count="172">
    <cellStyle name="20 % - Accent1" xfId="132" builtinId="30" customBuiltin="1"/>
    <cellStyle name="20 % - Accent1 2" xfId="1" xr:uid="{00000000-0005-0000-0000-000000000000}"/>
    <cellStyle name="20 % - Accent2" xfId="135" builtinId="34" customBuiltin="1"/>
    <cellStyle name="20 % - Accent2 2" xfId="2" xr:uid="{00000000-0005-0000-0000-000001000000}"/>
    <cellStyle name="20 % - Accent3" xfId="138" builtinId="38" customBuiltin="1"/>
    <cellStyle name="20 % - Accent3 2" xfId="3" xr:uid="{00000000-0005-0000-0000-000002000000}"/>
    <cellStyle name="20 % - Accent4" xfId="141" builtinId="42" customBuiltin="1"/>
    <cellStyle name="20 % - Accent4 2" xfId="4" xr:uid="{00000000-0005-0000-0000-000003000000}"/>
    <cellStyle name="20 % - Accent5" xfId="144" builtinId="46" customBuiltin="1"/>
    <cellStyle name="20 % - Accent5 2" xfId="5" xr:uid="{00000000-0005-0000-0000-000004000000}"/>
    <cellStyle name="20 % - Accent6" xfId="147" builtinId="50" customBuiltin="1"/>
    <cellStyle name="20 % - Accent6 2" xfId="6" xr:uid="{00000000-0005-0000-0000-000005000000}"/>
    <cellStyle name="40 % - Accent1" xfId="133" builtinId="31" customBuiltin="1"/>
    <cellStyle name="40 % - Accent1 2" xfId="7" xr:uid="{00000000-0005-0000-0000-000006000000}"/>
    <cellStyle name="40 % - Accent2" xfId="136" builtinId="35" customBuiltin="1"/>
    <cellStyle name="40 % - Accent2 2" xfId="8" xr:uid="{00000000-0005-0000-0000-000007000000}"/>
    <cellStyle name="40 % - Accent3" xfId="139" builtinId="39" customBuiltin="1"/>
    <cellStyle name="40 % - Accent3 2" xfId="9" xr:uid="{00000000-0005-0000-0000-000008000000}"/>
    <cellStyle name="40 % - Accent4" xfId="142" builtinId="43" customBuiltin="1"/>
    <cellStyle name="40 % - Accent4 2" xfId="10" xr:uid="{00000000-0005-0000-0000-000009000000}"/>
    <cellStyle name="40 % - Accent5" xfId="145" builtinId="47" customBuiltin="1"/>
    <cellStyle name="40 % - Accent5 2" xfId="11" xr:uid="{00000000-0005-0000-0000-00000A000000}"/>
    <cellStyle name="40 % - Accent6" xfId="148" builtinId="51" customBuiltin="1"/>
    <cellStyle name="40 % - Accent6 2" xfId="12" xr:uid="{00000000-0005-0000-0000-00000B000000}"/>
    <cellStyle name="60 % - Accent1 2" xfId="13" xr:uid="{00000000-0005-0000-0000-00000C000000}"/>
    <cellStyle name="60 % - Accent1 3" xfId="154" xr:uid="{3EFFA4CC-8E28-41B3-8A8C-37A08E6AA59C}"/>
    <cellStyle name="60 % - Accent2 2" xfId="14" xr:uid="{00000000-0005-0000-0000-00000D000000}"/>
    <cellStyle name="60 % - Accent2 3" xfId="155" xr:uid="{ECDA8568-A826-4BBF-85BA-68486B34FA05}"/>
    <cellStyle name="60 % - Accent3 2" xfId="15" xr:uid="{00000000-0005-0000-0000-00000E000000}"/>
    <cellStyle name="60 % - Accent3 3" xfId="156" xr:uid="{6744EDB8-C487-44F7-868B-2DAEA9AC1904}"/>
    <cellStyle name="60 % - Accent4 2" xfId="16" xr:uid="{00000000-0005-0000-0000-00000F000000}"/>
    <cellStyle name="60 % - Accent4 3" xfId="157" xr:uid="{B98B1404-CD1D-4232-95B1-0CD4C71A8C07}"/>
    <cellStyle name="60 % - Accent5 2" xfId="17" xr:uid="{00000000-0005-0000-0000-000010000000}"/>
    <cellStyle name="60 % - Accent5 3" xfId="158" xr:uid="{C24E9401-ED6D-48A6-A937-71E802B734D3}"/>
    <cellStyle name="60 % - Accent6 2" xfId="18" xr:uid="{00000000-0005-0000-0000-000011000000}"/>
    <cellStyle name="60 % - Accent6 3" xfId="159" xr:uid="{832063E1-FA7A-472A-8F00-D8AA3E0F0FD0}"/>
    <cellStyle name="Accent1" xfId="131" builtinId="29" customBuiltin="1"/>
    <cellStyle name="Accent1 2" xfId="19" xr:uid="{00000000-0005-0000-0000-000012000000}"/>
    <cellStyle name="Accent2" xfId="134" builtinId="33" customBuiltin="1"/>
    <cellStyle name="Accent2 2" xfId="20" xr:uid="{00000000-0005-0000-0000-000013000000}"/>
    <cellStyle name="Accent3" xfId="137" builtinId="37" customBuiltin="1"/>
    <cellStyle name="Accent3 2" xfId="21" xr:uid="{00000000-0005-0000-0000-000014000000}"/>
    <cellStyle name="Accent4" xfId="140" builtinId="41" customBuiltin="1"/>
    <cellStyle name="Accent4 2" xfId="22" xr:uid="{00000000-0005-0000-0000-000015000000}"/>
    <cellStyle name="Accent5" xfId="143" builtinId="45" customBuiltin="1"/>
    <cellStyle name="Accent5 2" xfId="23" xr:uid="{00000000-0005-0000-0000-000016000000}"/>
    <cellStyle name="Accent6" xfId="146" builtinId="49" customBuiltin="1"/>
    <cellStyle name="Accent6 2" xfId="24" xr:uid="{00000000-0005-0000-0000-000017000000}"/>
    <cellStyle name="Avertissement" xfId="128" builtinId="11" customBuiltin="1"/>
    <cellStyle name="Avertissement 2" xfId="25" xr:uid="{00000000-0005-0000-0000-000018000000}"/>
    <cellStyle name="Calcul" xfId="125" builtinId="22" customBuiltin="1"/>
    <cellStyle name="Calcul 2" xfId="26" xr:uid="{00000000-0005-0000-0000-000019000000}"/>
    <cellStyle name="Cellule liée" xfId="126" builtinId="24" customBuiltin="1"/>
    <cellStyle name="Cellule liée 2" xfId="27" xr:uid="{00000000-0005-0000-0000-00001A000000}"/>
    <cellStyle name="Commentaire 2" xfId="28" xr:uid="{00000000-0005-0000-0000-00001B000000}"/>
    <cellStyle name="Entrée" xfId="123" builtinId="20" customBuiltin="1"/>
    <cellStyle name="Entrée 2" xfId="29" xr:uid="{00000000-0005-0000-0000-00001C000000}"/>
    <cellStyle name="Euro" xfId="30" xr:uid="{00000000-0005-0000-0000-00001D000000}"/>
    <cellStyle name="Insatisfaisant" xfId="122" builtinId="27" customBuiltin="1"/>
    <cellStyle name="Insatisfaisant 2" xfId="31" xr:uid="{00000000-0005-0000-0000-00001E000000}"/>
    <cellStyle name="Milliers" xfId="32" builtinId="3"/>
    <cellStyle name="Milliers 2" xfId="33" xr:uid="{00000000-0005-0000-0000-000020000000}"/>
    <cellStyle name="Milliers 2 2" xfId="99" xr:uid="{9565F39C-9074-49EA-8E5E-C3004BBD6497}"/>
    <cellStyle name="Milliers 2 3" xfId="160" xr:uid="{A7EEFA5C-CBA5-4F1E-A597-EA697C205550}"/>
    <cellStyle name="Milliers 3" xfId="85" xr:uid="{1CBC27D8-F628-4D79-9FA5-7838425BCE27}"/>
    <cellStyle name="Milliers 3 2" xfId="166" xr:uid="{601DD629-0F14-41DE-9985-1BCAC17DD52C}"/>
    <cellStyle name="Milliers 4" xfId="103" xr:uid="{512837FD-EC0F-4D9D-A471-5FCEED8216D7}"/>
    <cellStyle name="Milliers 5" xfId="107" xr:uid="{12AD10C1-44A4-4564-9903-0CB3A424D550}"/>
    <cellStyle name="Milliers 6" xfId="111" xr:uid="{F6A40924-B4F4-4116-9BA3-FD9C6EBC8674}"/>
    <cellStyle name="Milliers 7" xfId="114" xr:uid="{97C3E964-E8DF-4DAA-84DA-957CBACD2193}"/>
    <cellStyle name="Milliers 8" xfId="150" xr:uid="{E2A69A50-D5F9-44D2-AD1B-C8C2843305B2}"/>
    <cellStyle name="Neutre 2" xfId="34" xr:uid="{00000000-0005-0000-0000-000021000000}"/>
    <cellStyle name="Neutre 3" xfId="152" xr:uid="{D479365D-CA12-4345-8B54-E2342B4158DF}"/>
    <cellStyle name="Normal" xfId="0" builtinId="0"/>
    <cellStyle name="Normal 10" xfId="63" xr:uid="{00000000-0005-0000-0000-00006B000000}"/>
    <cellStyle name="Normal 11" xfId="64" xr:uid="{00000000-0005-0000-0000-00006C000000}"/>
    <cellStyle name="Normal 12" xfId="65" xr:uid="{00000000-0005-0000-0000-00006D000000}"/>
    <cellStyle name="Normal 13" xfId="66" xr:uid="{00000000-0005-0000-0000-00006E000000}"/>
    <cellStyle name="Normal 14" xfId="67" xr:uid="{00000000-0005-0000-0000-00006F000000}"/>
    <cellStyle name="Normal 15" xfId="68" xr:uid="{00000000-0005-0000-0000-000070000000}"/>
    <cellStyle name="Normal 16" xfId="69" xr:uid="{00000000-0005-0000-0000-000071000000}"/>
    <cellStyle name="Normal 17" xfId="70" xr:uid="{00000000-0005-0000-0000-000072000000}"/>
    <cellStyle name="Normal 18" xfId="71" xr:uid="{00000000-0005-0000-0000-000073000000}"/>
    <cellStyle name="Normal 19" xfId="72" xr:uid="{00000000-0005-0000-0000-000074000000}"/>
    <cellStyle name="Normal 2" xfId="35" xr:uid="{00000000-0005-0000-0000-000023000000}"/>
    <cellStyle name="Normal 2 2" xfId="36" xr:uid="{00000000-0005-0000-0000-000024000000}"/>
    <cellStyle name="Normal 2 2 2" xfId="162" xr:uid="{742BF4F3-5E0A-48FC-8C22-426B20EED298}"/>
    <cellStyle name="Normal 2 3" xfId="37" xr:uid="{00000000-0005-0000-0000-000025000000}"/>
    <cellStyle name="Normal 2 4" xfId="60" xr:uid="{00000000-0005-0000-0000-000001000000}"/>
    <cellStyle name="Normal 2 5" xfId="98" xr:uid="{716F3B66-776C-4B14-98EE-8515D14D56D7}"/>
    <cellStyle name="Normal 20" xfId="73" xr:uid="{00000000-0005-0000-0000-000075000000}"/>
    <cellStyle name="Normal 21" xfId="74" xr:uid="{00000000-0005-0000-0000-000076000000}"/>
    <cellStyle name="Normal 22" xfId="75" xr:uid="{00000000-0005-0000-0000-000077000000}"/>
    <cellStyle name="Normal 23" xfId="76" xr:uid="{00000000-0005-0000-0000-000078000000}"/>
    <cellStyle name="Normal 24" xfId="77" xr:uid="{00000000-0005-0000-0000-000079000000}"/>
    <cellStyle name="Normal 25" xfId="78" xr:uid="{00000000-0005-0000-0000-00007A000000}"/>
    <cellStyle name="Normal 26" xfId="79" xr:uid="{00000000-0005-0000-0000-00007B000000}"/>
    <cellStyle name="Normal 27" xfId="80" xr:uid="{00000000-0005-0000-0000-00007C000000}"/>
    <cellStyle name="Normal 28" xfId="81" xr:uid="{00000000-0005-0000-0000-00007D000000}"/>
    <cellStyle name="Normal 29" xfId="82" xr:uid="{00000000-0005-0000-0000-00007E000000}"/>
    <cellStyle name="Normal 3" xfId="38" xr:uid="{00000000-0005-0000-0000-000026000000}"/>
    <cellStyle name="Normal 3 2" xfId="87" xr:uid="{9D1DCC05-BED2-4956-AEB7-36668A8EF1C5}"/>
    <cellStyle name="Normal 3 2 2" xfId="97" xr:uid="{297E609C-4294-42D3-9B91-2CBC352F080B}"/>
    <cellStyle name="Normal 3 2 3" xfId="168" xr:uid="{32A88500-0CC0-471E-A3D5-8E2132B73D1F}"/>
    <cellStyle name="Normal 3 3" xfId="88" xr:uid="{B7631936-408B-48A2-B7CE-D208E959F152}"/>
    <cellStyle name="Normal 3 3 2" xfId="169" xr:uid="{9607B0AB-C148-4777-960B-D9472CA1A360}"/>
    <cellStyle name="Normal 3 4" xfId="96" xr:uid="{FBA0CC35-FC9B-439F-80A5-1621D4601E71}"/>
    <cellStyle name="Normal 3 5" xfId="161" xr:uid="{62E09667-B05A-43E3-BF3F-DE39EBB9B566}"/>
    <cellStyle name="Normal 3 6" xfId="163" xr:uid="{B52E7976-C3F2-4978-B795-F16349E14926}"/>
    <cellStyle name="Normal 30" xfId="83" xr:uid="{00000000-0005-0000-0000-00007F000000}"/>
    <cellStyle name="Normal 31" xfId="84" xr:uid="{B04153B9-A875-45F8-A7B1-051FF9920634}"/>
    <cellStyle name="Normal 31 2" xfId="89" xr:uid="{B0379294-64E2-46B9-8774-9B1F299074FF}"/>
    <cellStyle name="Normal 31 2 2" xfId="170" xr:uid="{63BB20D6-A73B-4C51-A341-32C9EC96E66C}"/>
    <cellStyle name="Normal 31 3" xfId="93" xr:uid="{3E908D0C-C9D0-43C7-A879-8831D7CBF70E}"/>
    <cellStyle name="Normal 31 4" xfId="165" xr:uid="{C6C4FD83-0969-44BB-8DDD-829646499371}"/>
    <cellStyle name="Normal 32" xfId="90" xr:uid="{8814D054-4813-4FF0-9E0A-4866FFD6CAA0}"/>
    <cellStyle name="Normal 32 2" xfId="92" xr:uid="{28E83E67-D86F-415B-AC9F-FB7E90C17FA7}"/>
    <cellStyle name="Normal 32 3" xfId="171" xr:uid="{D1A65BB4-7A62-4EFB-8FD0-84CDA02C77DC}"/>
    <cellStyle name="Normal 33" xfId="91" xr:uid="{9DEAB9DE-F55C-4F8E-A422-26411C3BA72F}"/>
    <cellStyle name="Normal 34" xfId="94" xr:uid="{8FC2F7C1-17B0-484E-8C02-4AF2CF7A472E}"/>
    <cellStyle name="Normal 35" xfId="102" xr:uid="{5287F6CB-68E7-4FF7-B0B1-DC5A3CF67564}"/>
    <cellStyle name="Normal 36" xfId="105" xr:uid="{F8C2D090-5BA4-4287-BB83-0DE987730E04}"/>
    <cellStyle name="Normal 37" xfId="109" xr:uid="{A559CAB3-BE9C-4252-9077-C66319199A9A}"/>
    <cellStyle name="Normal 38" xfId="113" xr:uid="{CCA56D90-FD9A-4E82-B6A2-D9534B9D2AC3}"/>
    <cellStyle name="Normal 39" xfId="149" xr:uid="{B5762F9B-9949-490F-B0C1-E36CF562A0C7}"/>
    <cellStyle name="Normal 4" xfId="39" xr:uid="{00000000-0005-0000-0000-000027000000}"/>
    <cellStyle name="Normal 4 2" xfId="40" xr:uid="{00000000-0005-0000-0000-000028000000}"/>
    <cellStyle name="Normal 4 3" xfId="100" xr:uid="{E93FE3CF-23D6-436A-8585-550146F69479}"/>
    <cellStyle name="Normal 5" xfId="41" xr:uid="{00000000-0005-0000-0000-000029000000}"/>
    <cellStyle name="Normal 5 2" xfId="42" xr:uid="{00000000-0005-0000-0000-00002A000000}"/>
    <cellStyle name="Normal 5 3" xfId="101" xr:uid="{0B54C3D2-F71E-46DA-9E32-A5BC74F30C88}"/>
    <cellStyle name="Normal 6" xfId="43" xr:uid="{00000000-0005-0000-0000-00002B000000}"/>
    <cellStyle name="Normal 6 2" xfId="106" xr:uid="{CE6D36C5-D15D-406C-8EDB-FE6EDA9F65BB}"/>
    <cellStyle name="Normal 6 3" xfId="110" xr:uid="{7E3DB661-2016-4CBD-B4B8-DE35FE43E51D}"/>
    <cellStyle name="Normal 7" xfId="59" xr:uid="{00000000-0005-0000-0000-000067000000}"/>
    <cellStyle name="Normal 8" xfId="61" xr:uid="{00000000-0005-0000-0000-000069000000}"/>
    <cellStyle name="Normal 9" xfId="62" xr:uid="{00000000-0005-0000-0000-00006A000000}"/>
    <cellStyle name="Normal_Feuil1" xfId="44" xr:uid="{00000000-0005-0000-0000-00002C000000}"/>
    <cellStyle name="Note 2" xfId="153" xr:uid="{EB2A8AEB-B4AF-4222-A0DF-071CADB3F22C}"/>
    <cellStyle name="Pourcentage" xfId="45" builtinId="5"/>
    <cellStyle name="Pourcentage 10" xfId="151" xr:uid="{902CFF36-41E8-4AC2-B8DD-848C0400D69A}"/>
    <cellStyle name="Pourcentage 2" xfId="46" xr:uid="{00000000-0005-0000-0000-00002F000000}"/>
    <cellStyle name="Pourcentage 2 2" xfId="47" xr:uid="{00000000-0005-0000-0000-000030000000}"/>
    <cellStyle name="Pourcentage 2 3" xfId="164" xr:uid="{D7813CBD-3FB7-4265-836B-670A843C96DA}"/>
    <cellStyle name="Pourcentage 3" xfId="48" xr:uid="{00000000-0005-0000-0000-000031000000}"/>
    <cellStyle name="Pourcentage 4" xfId="86" xr:uid="{EAECE7A1-D27A-4859-8899-E8769CF67614}"/>
    <cellStyle name="Pourcentage 4 2" xfId="167" xr:uid="{CCC43DEC-0F0A-43BB-BE0F-AECBE683F949}"/>
    <cellStyle name="Pourcentage 5" xfId="95" xr:uid="{172900A7-978E-437B-98ED-7DAC4CD1A6CB}"/>
    <cellStyle name="Pourcentage 6" xfId="104" xr:uid="{D8C0D388-346B-48BE-9C66-B61771AD84B4}"/>
    <cellStyle name="Pourcentage 7" xfId="108" xr:uid="{0D8F8D56-5F39-48D9-A8B8-BC28BBF9AF2F}"/>
    <cellStyle name="Pourcentage 8" xfId="112" xr:uid="{2AA59738-3DF5-467A-B070-A27245B1B158}"/>
    <cellStyle name="Pourcentage 9" xfId="115" xr:uid="{6492B296-0141-4B8C-A17A-A4ED21F154DE}"/>
    <cellStyle name="Satisfaisant" xfId="121" builtinId="26" customBuiltin="1"/>
    <cellStyle name="Satisfaisant 2" xfId="49" xr:uid="{00000000-0005-0000-0000-000032000000}"/>
    <cellStyle name="Sortie" xfId="124" builtinId="21" customBuiltin="1"/>
    <cellStyle name="Sortie 2" xfId="50" xr:uid="{00000000-0005-0000-0000-000033000000}"/>
    <cellStyle name="Texte explicatif" xfId="129" builtinId="53" customBuiltin="1"/>
    <cellStyle name="Texte explicatif 2" xfId="51" xr:uid="{00000000-0005-0000-0000-000034000000}"/>
    <cellStyle name="Titre" xfId="116" builtinId="15" customBuiltin="1"/>
    <cellStyle name="Titre 2" xfId="52" xr:uid="{00000000-0005-0000-0000-000035000000}"/>
    <cellStyle name="Titre 1" xfId="117" builtinId="16" customBuiltin="1"/>
    <cellStyle name="Titre 1 2" xfId="53" xr:uid="{00000000-0005-0000-0000-000036000000}"/>
    <cellStyle name="Titre 2" xfId="118" builtinId="17" customBuiltin="1"/>
    <cellStyle name="Titre 2 2" xfId="54" xr:uid="{00000000-0005-0000-0000-000037000000}"/>
    <cellStyle name="Titre 3" xfId="119" builtinId="18" customBuiltin="1"/>
    <cellStyle name="Titre 3 2" xfId="55" xr:uid="{00000000-0005-0000-0000-000038000000}"/>
    <cellStyle name="Titre 4" xfId="120" builtinId="19" customBuiltin="1"/>
    <cellStyle name="Titre 4 2" xfId="56" xr:uid="{00000000-0005-0000-0000-000039000000}"/>
    <cellStyle name="Total" xfId="130" builtinId="25" customBuiltin="1"/>
    <cellStyle name="Total 2" xfId="57" xr:uid="{00000000-0005-0000-0000-00003A000000}"/>
    <cellStyle name="Vérification" xfId="127" builtinId="23" customBuiltin="1"/>
    <cellStyle name="Vérification 2" xfId="58" xr:uid="{00000000-0005-0000-0000-00003B000000}"/>
  </cellStyles>
  <dxfs count="49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Helv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Helv"/>
        <scheme val="none"/>
      </font>
    </dxf>
    <dxf>
      <numFmt numFmtId="30" formatCode="@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alignment horizontal="righ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border outline="0"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>
        <left/>
        <right style="double">
          <color theme="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/>
        <right style="medium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8" formatCode="#,##0_ ;\-#,##0\ "/>
      <fill>
        <patternFill patternType="none">
          <fgColor rgb="FF000000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5" formatCode="_ [$€]\ * #,##0.00_ ;_ [$€]\ * \-#,##0.00_ ;_ [$€]\ * &quot;-&quot;??_ ;_ @_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double">
          <color theme="0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" formatCode="0"/>
      <fill>
        <patternFill patternType="none">
          <fgColor rgb="FF000000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theme="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1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8" formatCode="#,##0_ ;\-#,##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167" formatCode="#,##0.00_ ;\-#,##0.00\ 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vertAlign val="baseline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Kalinga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Kalinga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Kaling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Kaling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Helv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Helv"/>
        <scheme val="none"/>
      </font>
    </dxf>
    <dxf>
      <numFmt numFmtId="30" formatCode="@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ECE2E9"/>
      <color rgb="FFFDD9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onnections" Target="connections.xml"/><Relationship Id="rId118" Type="http://schemas.openxmlformats.org/officeDocument/2006/relationships/customXml" Target="../customXml/item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externalLink" Target="externalLinks/externalLink1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externalLink" Target="externalLinks/externalLink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1.51034842018793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725169897772559"/>
          <c:y val="8.9173027989821893E-2"/>
          <c:w val="0.8703359130842141"/>
          <c:h val="0.815252950251447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DONNÉES!$C$11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DONNÉES!$B$12:$B$23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DONNÉES!$C$12:$C$23</c:f>
              <c:numCache>
                <c:formatCode>#,##0</c:formatCode>
                <c:ptCount val="12"/>
                <c:pt idx="0">
                  <c:v>4419273.8499999996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147-48D7-9917-363ABDC64D2E}"/>
            </c:ext>
          </c:extLst>
        </c:ser>
        <c:ser>
          <c:idx val="3"/>
          <c:order val="1"/>
          <c:tx>
            <c:strRef>
              <c:f>DONNÉES!$D$11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DONNÉES!$B$12:$B$23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DONNÉES!$D$12:$D$23</c:f>
              <c:numCache>
                <c:formatCode>#,##0</c:formatCode>
                <c:ptCount val="12"/>
                <c:pt idx="0">
                  <c:v>3384491.03</c:v>
                </c:pt>
                <c:pt idx="1">
                  <c:v>3304328.7299999995</c:v>
                </c:pt>
                <c:pt idx="2">
                  <c:v>3717579.8100000005</c:v>
                </c:pt>
                <c:pt idx="3">
                  <c:v>3800504.69</c:v>
                </c:pt>
                <c:pt idx="4">
                  <c:v>3916103.36</c:v>
                </c:pt>
                <c:pt idx="5">
                  <c:v>3808054.51</c:v>
                </c:pt>
                <c:pt idx="6">
                  <c:v>4240473.3500000006</c:v>
                </c:pt>
                <c:pt idx="7">
                  <c:v>4726125.5399999991</c:v>
                </c:pt>
                <c:pt idx="8">
                  <c:v>3378244.6599999997</c:v>
                </c:pt>
                <c:pt idx="9">
                  <c:v>3566580.16</c:v>
                </c:pt>
                <c:pt idx="10">
                  <c:v>3722290.67</c:v>
                </c:pt>
                <c:pt idx="11">
                  <c:v>3685957.54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147-48D7-9917-363ABDC64D2E}"/>
            </c:ext>
          </c:extLst>
        </c:ser>
        <c:ser>
          <c:idx val="2"/>
          <c:order val="2"/>
          <c:tx>
            <c:strRef>
              <c:f>DONNÉES!$E$11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DONNÉES!$B$12:$B$23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DONNÉES!$E$12:$E$23</c:f>
              <c:numCache>
                <c:formatCode>#,##0</c:formatCode>
                <c:ptCount val="12"/>
                <c:pt idx="0">
                  <c:v>3819906.95</c:v>
                </c:pt>
                <c:pt idx="1">
                  <c:v>3788362.5199999996</c:v>
                </c:pt>
                <c:pt idx="2">
                  <c:v>3826062.7000000007</c:v>
                </c:pt>
                <c:pt idx="3">
                  <c:v>4266701.2200000007</c:v>
                </c:pt>
                <c:pt idx="4">
                  <c:v>4361231.0299999993</c:v>
                </c:pt>
                <c:pt idx="5">
                  <c:v>4039384.5</c:v>
                </c:pt>
                <c:pt idx="6">
                  <c:v>4904175.0699999994</c:v>
                </c:pt>
                <c:pt idx="7">
                  <c:v>5045833.2899999991</c:v>
                </c:pt>
                <c:pt idx="8">
                  <c:v>3932985.8200000003</c:v>
                </c:pt>
                <c:pt idx="9">
                  <c:v>4003494.2599999988</c:v>
                </c:pt>
                <c:pt idx="10">
                  <c:v>3828467.4600000004</c:v>
                </c:pt>
                <c:pt idx="11">
                  <c:v>3775290.86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147-48D7-9917-363ABDC64D2E}"/>
            </c:ext>
          </c:extLst>
        </c:ser>
        <c:ser>
          <c:idx val="1"/>
          <c:order val="3"/>
          <c:tx>
            <c:strRef>
              <c:f>DONNÉES!$F$11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DONNÉES!$B$12:$B$23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DONNÉES!$F$12:$F$23</c:f>
              <c:numCache>
                <c:formatCode>#,##0</c:formatCode>
                <c:ptCount val="12"/>
                <c:pt idx="0">
                  <c:v>3307048.25</c:v>
                </c:pt>
                <c:pt idx="1">
                  <c:v>3340095.03</c:v>
                </c:pt>
                <c:pt idx="2">
                  <c:v>3387927.99</c:v>
                </c:pt>
                <c:pt idx="3">
                  <c:v>3608854.75</c:v>
                </c:pt>
                <c:pt idx="4">
                  <c:v>3820596.5100000002</c:v>
                </c:pt>
                <c:pt idx="5">
                  <c:v>3745685.4520000005</c:v>
                </c:pt>
                <c:pt idx="6">
                  <c:v>4312590.3099999996</c:v>
                </c:pt>
                <c:pt idx="7">
                  <c:v>4370846.45</c:v>
                </c:pt>
                <c:pt idx="8">
                  <c:v>3361910.7999999993</c:v>
                </c:pt>
                <c:pt idx="9">
                  <c:v>3777735.1500000004</c:v>
                </c:pt>
                <c:pt idx="10">
                  <c:v>3534726.48</c:v>
                </c:pt>
                <c:pt idx="11">
                  <c:v>3791922.3499999996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147-48D7-9917-363ABDC64D2E}"/>
            </c:ext>
          </c:extLst>
        </c:ser>
        <c:ser>
          <c:idx val="0"/>
          <c:order val="4"/>
          <c:tx>
            <c:strRef>
              <c:f>DONNÉES!$G$11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DONNÉES!$B$12:$B$23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DONNÉES!$G$12:$G$23</c:f>
              <c:numCache>
                <c:formatCode>#,##0</c:formatCode>
                <c:ptCount val="12"/>
                <c:pt idx="0">
                  <c:v>2062219.36</c:v>
                </c:pt>
                <c:pt idx="1">
                  <c:v>1940064.75</c:v>
                </c:pt>
                <c:pt idx="2">
                  <c:v>2019870.3200000003</c:v>
                </c:pt>
                <c:pt idx="3">
                  <c:v>2140760.7800000003</c:v>
                </c:pt>
                <c:pt idx="4">
                  <c:v>2934702.62</c:v>
                </c:pt>
                <c:pt idx="5">
                  <c:v>3100648.85</c:v>
                </c:pt>
                <c:pt idx="6">
                  <c:v>3798943.06</c:v>
                </c:pt>
                <c:pt idx="7">
                  <c:v>4381054.17</c:v>
                </c:pt>
                <c:pt idx="8">
                  <c:v>3256341.3540000003</c:v>
                </c:pt>
                <c:pt idx="9">
                  <c:v>3615288.6</c:v>
                </c:pt>
                <c:pt idx="10">
                  <c:v>3367788.59</c:v>
                </c:pt>
                <c:pt idx="11">
                  <c:v>3509601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147-48D7-9917-363ABDC64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500000"/>
          <c:min val="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10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0725169897772559"/>
          <c:y val="0.13175907235929324"/>
          <c:w val="0.77340218229397872"/>
          <c:h val="0.67351380189230114"/>
        </c:manualLayout>
      </c:layout>
      <c:lineChart>
        <c:grouping val="standard"/>
        <c:varyColors val="0"/>
        <c:ser>
          <c:idx val="0"/>
          <c:order val="0"/>
          <c:tx>
            <c:strRef>
              <c:f>DONNÉES!$D$27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DONNÉES!$D$28:$D$39</c:f>
              <c:numCache>
                <c:formatCode>#,##0</c:formatCode>
                <c:ptCount val="12"/>
                <c:pt idx="0">
                  <c:v>-54690</c:v>
                </c:pt>
                <c:pt idx="1">
                  <c:v>-102242.80000000002</c:v>
                </c:pt>
                <c:pt idx="2">
                  <c:v>80357.450000000012</c:v>
                </c:pt>
                <c:pt idx="3">
                  <c:v>111712</c:v>
                </c:pt>
                <c:pt idx="4">
                  <c:v>174632</c:v>
                </c:pt>
                <c:pt idx="5">
                  <c:v>343747</c:v>
                </c:pt>
                <c:pt idx="6">
                  <c:v>580874.26</c:v>
                </c:pt>
                <c:pt idx="7">
                  <c:v>1114415.5</c:v>
                </c:pt>
                <c:pt idx="8">
                  <c:v>1162653.8700000001</c:v>
                </c:pt>
                <c:pt idx="9">
                  <c:v>1249028.1400000001</c:v>
                </c:pt>
                <c:pt idx="10">
                  <c:v>1326777.32</c:v>
                </c:pt>
                <c:pt idx="11">
                  <c:v>1612145.5899999999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8-4535-9BDA-CA658B383BCC}"/>
            </c:ext>
          </c:extLst>
        </c:ser>
        <c:ser>
          <c:idx val="4"/>
          <c:order val="1"/>
          <c:tx>
            <c:strRef>
              <c:f>DONNÉES!$E$27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DONNÉES!$E$28:$E$39</c:f>
              <c:numCache>
                <c:formatCode>#,##0</c:formatCode>
                <c:ptCount val="12"/>
                <c:pt idx="0">
                  <c:v>112015</c:v>
                </c:pt>
                <c:pt idx="1">
                  <c:v>280215</c:v>
                </c:pt>
                <c:pt idx="2">
                  <c:v>481424</c:v>
                </c:pt>
                <c:pt idx="3">
                  <c:v>903054</c:v>
                </c:pt>
                <c:pt idx="4">
                  <c:v>1099335</c:v>
                </c:pt>
                <c:pt idx="5">
                  <c:v>1276428</c:v>
                </c:pt>
                <c:pt idx="6">
                  <c:v>1743073.5700000003</c:v>
                </c:pt>
                <c:pt idx="7">
                  <c:v>2306290.6099999994</c:v>
                </c:pt>
                <c:pt idx="8">
                  <c:v>2573038.8600000003</c:v>
                </c:pt>
                <c:pt idx="9">
                  <c:v>2693434.37</c:v>
                </c:pt>
                <c:pt idx="10">
                  <c:v>2745498.85</c:v>
                </c:pt>
                <c:pt idx="11">
                  <c:v>2686535.42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A4-44A7-8672-8638F4E5EB22}"/>
            </c:ext>
          </c:extLst>
        </c:ser>
        <c:ser>
          <c:idx val="3"/>
          <c:order val="2"/>
          <c:tx>
            <c:strRef>
              <c:f>DONNÉES!$F$27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DONNÉES!$F$28:$F$39</c:f>
              <c:numCache>
                <c:formatCode>#,##0</c:formatCode>
                <c:ptCount val="12"/>
                <c:pt idx="0">
                  <c:v>296158</c:v>
                </c:pt>
                <c:pt idx="1">
                  <c:v>591702</c:v>
                </c:pt>
                <c:pt idx="2">
                  <c:v>830581</c:v>
                </c:pt>
                <c:pt idx="3">
                  <c:v>1138827</c:v>
                </c:pt>
                <c:pt idx="4">
                  <c:v>1403796</c:v>
                </c:pt>
                <c:pt idx="5">
                  <c:v>1688043</c:v>
                </c:pt>
                <c:pt idx="6">
                  <c:v>2135121</c:v>
                </c:pt>
                <c:pt idx="7">
                  <c:v>2631334</c:v>
                </c:pt>
                <c:pt idx="8">
                  <c:v>2756103</c:v>
                </c:pt>
                <c:pt idx="9">
                  <c:v>2962800.929999996</c:v>
                </c:pt>
                <c:pt idx="10">
                  <c:v>2771644</c:v>
                </c:pt>
                <c:pt idx="11">
                  <c:v>2655801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A4-44A7-8672-8638F4E5EB22}"/>
            </c:ext>
          </c:extLst>
        </c:ser>
        <c:ser>
          <c:idx val="2"/>
          <c:order val="3"/>
          <c:tx>
            <c:strRef>
              <c:f>DONNÉES!$G$27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DONNÉES!$G$28:$G$39</c:f>
              <c:numCache>
                <c:formatCode>#,##0</c:formatCode>
                <c:ptCount val="12"/>
                <c:pt idx="0">
                  <c:v>14582</c:v>
                </c:pt>
                <c:pt idx="1">
                  <c:v>5939</c:v>
                </c:pt>
                <c:pt idx="2">
                  <c:v>53773</c:v>
                </c:pt>
                <c:pt idx="3">
                  <c:v>133375</c:v>
                </c:pt>
                <c:pt idx="4">
                  <c:v>440276</c:v>
                </c:pt>
                <c:pt idx="5">
                  <c:v>644385</c:v>
                </c:pt>
                <c:pt idx="6">
                  <c:v>1180753</c:v>
                </c:pt>
                <c:pt idx="7">
                  <c:v>1756841</c:v>
                </c:pt>
                <c:pt idx="8">
                  <c:v>2051947</c:v>
                </c:pt>
                <c:pt idx="9">
                  <c:v>2208395</c:v>
                </c:pt>
                <c:pt idx="10">
                  <c:v>2208756</c:v>
                </c:pt>
                <c:pt idx="11">
                  <c:v>3001536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A4-44A7-8672-8638F4E5EB22}"/>
            </c:ext>
          </c:extLst>
        </c:ser>
        <c:ser>
          <c:idx val="1"/>
          <c:order val="4"/>
          <c:tx>
            <c:strRef>
              <c:f>DONNÉES!$H$27</c:f>
              <c:strCache>
                <c:ptCount val="1"/>
                <c:pt idx="0">
                  <c:v>2019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DONNÉES!$H$28:$H$39</c:f>
              <c:numCache>
                <c:formatCode>#,##0</c:formatCode>
                <c:ptCount val="12"/>
                <c:pt idx="0">
                  <c:v>197411</c:v>
                </c:pt>
                <c:pt idx="1">
                  <c:v>437342</c:v>
                </c:pt>
                <c:pt idx="2">
                  <c:v>70630</c:v>
                </c:pt>
                <c:pt idx="3">
                  <c:v>-328602</c:v>
                </c:pt>
                <c:pt idx="4">
                  <c:v>-837561</c:v>
                </c:pt>
                <c:pt idx="5">
                  <c:v>-796416.57</c:v>
                </c:pt>
                <c:pt idx="6">
                  <c:v>-588116</c:v>
                </c:pt>
                <c:pt idx="7">
                  <c:v>-114639</c:v>
                </c:pt>
                <c:pt idx="8">
                  <c:v>-13939</c:v>
                </c:pt>
                <c:pt idx="9">
                  <c:v>124277</c:v>
                </c:pt>
                <c:pt idx="10">
                  <c:v>1431</c:v>
                </c:pt>
                <c:pt idx="11">
                  <c:v>16666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A4-44A7-8672-8638F4E5EB22}"/>
            </c:ext>
          </c:extLst>
        </c:ser>
        <c:ser>
          <c:idx val="5"/>
          <c:order val="5"/>
          <c:tx>
            <c:strRef>
              <c:f>DONNÉES!$C$27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DONNÉES!$B$28:$B$39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DONNÉES!$C$28:$C$39</c:f>
              <c:numCache>
                <c:formatCode>#,##0</c:formatCode>
                <c:ptCount val="12"/>
                <c:pt idx="0">
                  <c:v>64543.609999999993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F8-4535-9BDA-CA658B383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-100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478351591031E-2"/>
          <c:y val="9.701635364160352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DONNÉES!$K$11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DONNÉES!$K$12:$K$23</c:f>
              <c:numCache>
                <c:formatCode>#,##0</c:formatCode>
                <c:ptCount val="12"/>
                <c:pt idx="0">
                  <c:v>415855.11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CB1-4015-9E28-FE51B7086D07}"/>
            </c:ext>
          </c:extLst>
        </c:ser>
        <c:ser>
          <c:idx val="3"/>
          <c:order val="1"/>
          <c:tx>
            <c:strRef>
              <c:f>DONNÉES!$L$11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DONNÉES!$L$12:$L$23</c:f>
              <c:numCache>
                <c:formatCode>#,##0</c:formatCode>
                <c:ptCount val="12"/>
                <c:pt idx="0">
                  <c:v>370437.56</c:v>
                </c:pt>
                <c:pt idx="1">
                  <c:v>352966.75</c:v>
                </c:pt>
                <c:pt idx="2">
                  <c:v>404083.86</c:v>
                </c:pt>
                <c:pt idx="3">
                  <c:v>393768.79</c:v>
                </c:pt>
                <c:pt idx="4">
                  <c:v>419059.36</c:v>
                </c:pt>
                <c:pt idx="5">
                  <c:v>391291.72</c:v>
                </c:pt>
                <c:pt idx="6">
                  <c:v>422167.57</c:v>
                </c:pt>
                <c:pt idx="7">
                  <c:v>441139.82</c:v>
                </c:pt>
                <c:pt idx="8">
                  <c:v>362094.56</c:v>
                </c:pt>
                <c:pt idx="9">
                  <c:v>409953.63</c:v>
                </c:pt>
                <c:pt idx="10">
                  <c:v>443820</c:v>
                </c:pt>
                <c:pt idx="11">
                  <c:v>443820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CB1-4015-9E28-FE51B7086D07}"/>
            </c:ext>
          </c:extLst>
        </c:ser>
        <c:ser>
          <c:idx val="2"/>
          <c:order val="2"/>
          <c:tx>
            <c:strRef>
              <c:f>DONNÉES!$M$11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DONNÉES!$M$12:$M$23</c:f>
              <c:numCache>
                <c:formatCode>#,##0</c:formatCode>
                <c:ptCount val="12"/>
                <c:pt idx="0">
                  <c:v>452783.59</c:v>
                </c:pt>
                <c:pt idx="1">
                  <c:v>440390.28</c:v>
                </c:pt>
                <c:pt idx="2">
                  <c:v>443461.83</c:v>
                </c:pt>
                <c:pt idx="3">
                  <c:v>480497.47</c:v>
                </c:pt>
                <c:pt idx="4">
                  <c:v>470982.74</c:v>
                </c:pt>
                <c:pt idx="5">
                  <c:v>454072.41</c:v>
                </c:pt>
                <c:pt idx="6">
                  <c:v>497177.23</c:v>
                </c:pt>
                <c:pt idx="7">
                  <c:v>486604.01</c:v>
                </c:pt>
                <c:pt idx="8">
                  <c:v>429554.42</c:v>
                </c:pt>
                <c:pt idx="9">
                  <c:v>426493.96</c:v>
                </c:pt>
                <c:pt idx="10">
                  <c:v>406697.2</c:v>
                </c:pt>
                <c:pt idx="11">
                  <c:v>409440.12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B1-4015-9E28-FE51B7086D07}"/>
            </c:ext>
          </c:extLst>
        </c:ser>
        <c:ser>
          <c:idx val="1"/>
          <c:order val="3"/>
          <c:tx>
            <c:strRef>
              <c:f>DONNÉES!$N$11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DONNÉES!$N$12:$N$23</c:f>
              <c:numCache>
                <c:formatCode>#,##0</c:formatCode>
                <c:ptCount val="12"/>
                <c:pt idx="0">
                  <c:v>410040.22</c:v>
                </c:pt>
                <c:pt idx="1">
                  <c:v>424042.65</c:v>
                </c:pt>
                <c:pt idx="2">
                  <c:v>433865</c:v>
                </c:pt>
                <c:pt idx="3">
                  <c:v>437342.26</c:v>
                </c:pt>
                <c:pt idx="4">
                  <c:v>457986.5</c:v>
                </c:pt>
                <c:pt idx="5">
                  <c:v>441503.85</c:v>
                </c:pt>
                <c:pt idx="6">
                  <c:v>472619.17</c:v>
                </c:pt>
                <c:pt idx="7">
                  <c:v>442290.74</c:v>
                </c:pt>
                <c:pt idx="8">
                  <c:v>395893.26</c:v>
                </c:pt>
                <c:pt idx="9">
                  <c:v>472423.18</c:v>
                </c:pt>
                <c:pt idx="10">
                  <c:v>449029.83</c:v>
                </c:pt>
                <c:pt idx="11">
                  <c:v>489142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B1-4015-9E28-FE51B7086D07}"/>
            </c:ext>
          </c:extLst>
        </c:ser>
        <c:ser>
          <c:idx val="0"/>
          <c:order val="4"/>
          <c:tx>
            <c:strRef>
              <c:f>DONNÉES!$O$11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DONNÉES!$O$12:$O$23</c:f>
              <c:numCache>
                <c:formatCode>#,##0</c:formatCode>
                <c:ptCount val="12"/>
                <c:pt idx="0">
                  <c:v>274038</c:v>
                </c:pt>
                <c:pt idx="1">
                  <c:v>248204</c:v>
                </c:pt>
                <c:pt idx="2">
                  <c:v>275166.78999999998</c:v>
                </c:pt>
                <c:pt idx="3">
                  <c:v>291766.95</c:v>
                </c:pt>
                <c:pt idx="4">
                  <c:v>377173</c:v>
                </c:pt>
                <c:pt idx="5">
                  <c:v>437698.81</c:v>
                </c:pt>
                <c:pt idx="6">
                  <c:v>486519.67</c:v>
                </c:pt>
                <c:pt idx="7">
                  <c:v>460975.61</c:v>
                </c:pt>
                <c:pt idx="8">
                  <c:v>397263.84</c:v>
                </c:pt>
                <c:pt idx="9">
                  <c:v>451574.93</c:v>
                </c:pt>
                <c:pt idx="10">
                  <c:v>422145.68</c:v>
                </c:pt>
                <c:pt idx="11">
                  <c:v>455443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CB1-4015-9E28-FE51B7086D07}"/>
            </c:ext>
          </c:extLst>
        </c:ser>
        <c:ser>
          <c:idx val="5"/>
          <c:order val="5"/>
          <c:tx>
            <c:strRef>
              <c:f>DONNÉES!$P$11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DONNÉES!$J$12:$J$23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DONNÉES!$P$12:$P$23</c:f>
              <c:numCache>
                <c:formatCode>#,##0</c:formatCode>
                <c:ptCount val="12"/>
                <c:pt idx="0">
                  <c:v>441117</c:v>
                </c:pt>
                <c:pt idx="1">
                  <c:v>452243</c:v>
                </c:pt>
                <c:pt idx="2">
                  <c:v>232764</c:v>
                </c:pt>
                <c:pt idx="3">
                  <c:v>0</c:v>
                </c:pt>
                <c:pt idx="4">
                  <c:v>221036</c:v>
                </c:pt>
                <c:pt idx="5">
                  <c:v>371908</c:v>
                </c:pt>
                <c:pt idx="6">
                  <c:v>417037</c:v>
                </c:pt>
                <c:pt idx="7">
                  <c:v>460653</c:v>
                </c:pt>
                <c:pt idx="8">
                  <c:v>396890</c:v>
                </c:pt>
                <c:pt idx="9">
                  <c:v>417907</c:v>
                </c:pt>
                <c:pt idx="10">
                  <c:v>284775.23</c:v>
                </c:pt>
                <c:pt idx="11">
                  <c:v>319096.81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B1-4015-9E28-FE51B7086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DONNÉES!$S$11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DONNÉES!$S$12:$S$23</c:f>
              <c:numCache>
                <c:formatCode>#,##0</c:formatCode>
                <c:ptCount val="12"/>
                <c:pt idx="0">
                  <c:v>206795.07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49-4FA2-9EF9-4B827297C631}"/>
            </c:ext>
          </c:extLst>
        </c:ser>
        <c:ser>
          <c:idx val="3"/>
          <c:order val="1"/>
          <c:tx>
            <c:strRef>
              <c:f>DONNÉES!$T$11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DONNÉES!$T$12:$T$23</c:f>
              <c:numCache>
                <c:formatCode>#,##0</c:formatCode>
                <c:ptCount val="12"/>
                <c:pt idx="0">
                  <c:v>191414.29</c:v>
                </c:pt>
                <c:pt idx="1">
                  <c:v>190901.19</c:v>
                </c:pt>
                <c:pt idx="2">
                  <c:v>218924.43</c:v>
                </c:pt>
                <c:pt idx="3">
                  <c:v>226915.83</c:v>
                </c:pt>
                <c:pt idx="4">
                  <c:v>228856.24</c:v>
                </c:pt>
                <c:pt idx="5">
                  <c:v>223791.21</c:v>
                </c:pt>
                <c:pt idx="6">
                  <c:v>231525.12</c:v>
                </c:pt>
                <c:pt idx="7">
                  <c:v>248759.48</c:v>
                </c:pt>
                <c:pt idx="8">
                  <c:v>201669.11</c:v>
                </c:pt>
                <c:pt idx="9">
                  <c:v>212253.47</c:v>
                </c:pt>
                <c:pt idx="10">
                  <c:v>216567.38</c:v>
                </c:pt>
                <c:pt idx="11">
                  <c:v>218617.11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C49-4FA2-9EF9-4B827297C631}"/>
            </c:ext>
          </c:extLst>
        </c:ser>
        <c:ser>
          <c:idx val="2"/>
          <c:order val="2"/>
          <c:tx>
            <c:strRef>
              <c:f>DONNÉES!$U$11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DONNÉES!$U$12:$U$23</c:f>
              <c:numCache>
                <c:formatCode>#,##0</c:formatCode>
                <c:ptCount val="12"/>
                <c:pt idx="0">
                  <c:v>234537.84</c:v>
                </c:pt>
                <c:pt idx="1">
                  <c:v>226582.81</c:v>
                </c:pt>
                <c:pt idx="2">
                  <c:v>235261.89</c:v>
                </c:pt>
                <c:pt idx="3">
                  <c:v>248382.63</c:v>
                </c:pt>
                <c:pt idx="4">
                  <c:v>248561.07</c:v>
                </c:pt>
                <c:pt idx="5">
                  <c:v>242231.5</c:v>
                </c:pt>
                <c:pt idx="6">
                  <c:v>251760.07</c:v>
                </c:pt>
                <c:pt idx="7">
                  <c:v>259714.27</c:v>
                </c:pt>
                <c:pt idx="8">
                  <c:v>220244.67</c:v>
                </c:pt>
                <c:pt idx="9">
                  <c:v>221740</c:v>
                </c:pt>
                <c:pt idx="10">
                  <c:v>217084</c:v>
                </c:pt>
                <c:pt idx="11">
                  <c:v>224028.26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C49-4FA2-9EF9-4B827297C631}"/>
            </c:ext>
          </c:extLst>
        </c:ser>
        <c:ser>
          <c:idx val="1"/>
          <c:order val="3"/>
          <c:tx>
            <c:strRef>
              <c:f>DONNÉES!$V$11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DONNÉES!$V$12:$V$23</c:f>
              <c:numCache>
                <c:formatCode>#,##0</c:formatCode>
                <c:ptCount val="12"/>
                <c:pt idx="0">
                  <c:v>232985</c:v>
                </c:pt>
                <c:pt idx="1">
                  <c:v>235577</c:v>
                </c:pt>
                <c:pt idx="2">
                  <c:v>233861</c:v>
                </c:pt>
                <c:pt idx="3">
                  <c:v>243092</c:v>
                </c:pt>
                <c:pt idx="4">
                  <c:v>241024.58</c:v>
                </c:pt>
                <c:pt idx="5">
                  <c:v>238062.96</c:v>
                </c:pt>
                <c:pt idx="6">
                  <c:v>238188.17</c:v>
                </c:pt>
                <c:pt idx="7">
                  <c:v>236700.22</c:v>
                </c:pt>
                <c:pt idx="8">
                  <c:v>217815.81</c:v>
                </c:pt>
                <c:pt idx="9">
                  <c:v>245042.74</c:v>
                </c:pt>
                <c:pt idx="10">
                  <c:v>228969.9</c:v>
                </c:pt>
                <c:pt idx="11">
                  <c:v>245340.13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C49-4FA2-9EF9-4B827297C631}"/>
            </c:ext>
          </c:extLst>
        </c:ser>
        <c:ser>
          <c:idx val="0"/>
          <c:order val="4"/>
          <c:tx>
            <c:strRef>
              <c:f>DONNÉES!$W$11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DONNÉES!$W$12:$W$23</c:f>
              <c:numCache>
                <c:formatCode>#,##0</c:formatCode>
                <c:ptCount val="12"/>
                <c:pt idx="0">
                  <c:v>167692</c:v>
                </c:pt>
                <c:pt idx="1">
                  <c:v>155321.98000000001</c:v>
                </c:pt>
                <c:pt idx="2">
                  <c:v>159400.46</c:v>
                </c:pt>
                <c:pt idx="3">
                  <c:v>168862</c:v>
                </c:pt>
                <c:pt idx="4">
                  <c:v>221124.46</c:v>
                </c:pt>
                <c:pt idx="5">
                  <c:v>257568.41</c:v>
                </c:pt>
                <c:pt idx="6">
                  <c:v>296139.77</c:v>
                </c:pt>
                <c:pt idx="7">
                  <c:v>290922.90999999997</c:v>
                </c:pt>
                <c:pt idx="8">
                  <c:v>237442</c:v>
                </c:pt>
                <c:pt idx="9">
                  <c:v>260816.74</c:v>
                </c:pt>
                <c:pt idx="10">
                  <c:v>240528.43</c:v>
                </c:pt>
                <c:pt idx="11">
                  <c:v>251559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C49-4FA2-9EF9-4B827297C631}"/>
            </c:ext>
          </c:extLst>
        </c:ser>
        <c:ser>
          <c:idx val="5"/>
          <c:order val="5"/>
          <c:tx>
            <c:strRef>
              <c:f>DONNÉES!$X$11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DONNÉES!$R$12:$R$23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DONNÉES!$X$12:$X$23</c:f>
              <c:numCache>
                <c:formatCode>#,##0</c:formatCode>
                <c:ptCount val="12"/>
                <c:pt idx="0">
                  <c:v>236528</c:v>
                </c:pt>
                <c:pt idx="1">
                  <c:v>233169</c:v>
                </c:pt>
                <c:pt idx="2">
                  <c:v>117506</c:v>
                </c:pt>
                <c:pt idx="3">
                  <c:v>0</c:v>
                </c:pt>
                <c:pt idx="4">
                  <c:v>70984</c:v>
                </c:pt>
                <c:pt idx="5">
                  <c:v>199477</c:v>
                </c:pt>
                <c:pt idx="6">
                  <c:v>250675</c:v>
                </c:pt>
                <c:pt idx="7">
                  <c:v>275840</c:v>
                </c:pt>
                <c:pt idx="8">
                  <c:v>222596</c:v>
                </c:pt>
                <c:pt idx="9">
                  <c:v>247128</c:v>
                </c:pt>
                <c:pt idx="10">
                  <c:v>171412.53</c:v>
                </c:pt>
                <c:pt idx="11">
                  <c:v>208347.54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9-4FA2-9EF9-4B827297C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DONNÉES!$AA$11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DONNÉES!$AA$12:$AA$23</c:f>
              <c:numCache>
                <c:formatCode>#,##0</c:formatCode>
                <c:ptCount val="12"/>
                <c:pt idx="0">
                  <c:v>261126.99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07-48EF-AA47-6673F978AC18}"/>
            </c:ext>
          </c:extLst>
        </c:ser>
        <c:ser>
          <c:idx val="3"/>
          <c:order val="1"/>
          <c:tx>
            <c:strRef>
              <c:f>DONNÉES!$AB$11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DONNÉES!$AB$12:$AB$23</c:f>
              <c:numCache>
                <c:formatCode>#,##0</c:formatCode>
                <c:ptCount val="12"/>
                <c:pt idx="0">
                  <c:v>258424.23</c:v>
                </c:pt>
                <c:pt idx="1">
                  <c:v>270167.67</c:v>
                </c:pt>
                <c:pt idx="2">
                  <c:v>312242.59000000003</c:v>
                </c:pt>
                <c:pt idx="3">
                  <c:v>303447.08</c:v>
                </c:pt>
                <c:pt idx="4">
                  <c:v>244167.43</c:v>
                </c:pt>
                <c:pt idx="5">
                  <c:v>262496.02</c:v>
                </c:pt>
                <c:pt idx="6">
                  <c:v>245877.6</c:v>
                </c:pt>
                <c:pt idx="7">
                  <c:v>252910.94</c:v>
                </c:pt>
                <c:pt idx="8">
                  <c:v>242694.63</c:v>
                </c:pt>
                <c:pt idx="9">
                  <c:v>253082.85</c:v>
                </c:pt>
                <c:pt idx="10">
                  <c:v>292067.53000000003</c:v>
                </c:pt>
                <c:pt idx="11">
                  <c:v>260696.55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07-48EF-AA47-6673F978AC18}"/>
            </c:ext>
          </c:extLst>
        </c:ser>
        <c:ser>
          <c:idx val="2"/>
          <c:order val="2"/>
          <c:tx>
            <c:strRef>
              <c:f>DONNÉES!$AC$11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DONNÉES!$AC$12:$AC$23</c:f>
              <c:numCache>
                <c:formatCode>#,##0</c:formatCode>
                <c:ptCount val="12"/>
                <c:pt idx="0">
                  <c:v>307323.75</c:v>
                </c:pt>
                <c:pt idx="1">
                  <c:v>304617.43</c:v>
                </c:pt>
                <c:pt idx="2">
                  <c:v>322490.84999999998</c:v>
                </c:pt>
                <c:pt idx="3">
                  <c:v>323832.49</c:v>
                </c:pt>
                <c:pt idx="4">
                  <c:v>295537.26</c:v>
                </c:pt>
                <c:pt idx="5">
                  <c:v>294485.09000000003</c:v>
                </c:pt>
                <c:pt idx="6">
                  <c:v>279305.71999999997</c:v>
                </c:pt>
                <c:pt idx="7">
                  <c:v>270321.84000000003</c:v>
                </c:pt>
                <c:pt idx="8">
                  <c:v>300462.24</c:v>
                </c:pt>
                <c:pt idx="9">
                  <c:v>281516.36</c:v>
                </c:pt>
                <c:pt idx="10">
                  <c:v>316999.32</c:v>
                </c:pt>
                <c:pt idx="11">
                  <c:v>271097.28000000003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807-48EF-AA47-6673F978AC18}"/>
            </c:ext>
          </c:extLst>
        </c:ser>
        <c:ser>
          <c:idx val="1"/>
          <c:order val="3"/>
          <c:tx>
            <c:strRef>
              <c:f>DONNÉES!$AD$11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DONNÉES!$AD$12:$AD$23</c:f>
              <c:numCache>
                <c:formatCode>#,##0</c:formatCode>
                <c:ptCount val="12"/>
                <c:pt idx="0">
                  <c:v>275698.55</c:v>
                </c:pt>
                <c:pt idx="1">
                  <c:v>275729</c:v>
                </c:pt>
                <c:pt idx="2">
                  <c:v>307652</c:v>
                </c:pt>
                <c:pt idx="3">
                  <c:v>291578.68</c:v>
                </c:pt>
                <c:pt idx="4">
                  <c:v>315538.21999999997</c:v>
                </c:pt>
                <c:pt idx="5">
                  <c:v>289258.37</c:v>
                </c:pt>
                <c:pt idx="6">
                  <c:v>282566.19</c:v>
                </c:pt>
                <c:pt idx="7">
                  <c:v>273527.27</c:v>
                </c:pt>
                <c:pt idx="8">
                  <c:v>288645.61</c:v>
                </c:pt>
                <c:pt idx="9">
                  <c:v>342671.77</c:v>
                </c:pt>
                <c:pt idx="10">
                  <c:v>323435.07</c:v>
                </c:pt>
                <c:pt idx="11">
                  <c:v>307019.48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807-48EF-AA47-6673F978AC18}"/>
            </c:ext>
          </c:extLst>
        </c:ser>
        <c:ser>
          <c:idx val="0"/>
          <c:order val="4"/>
          <c:tx>
            <c:strRef>
              <c:f>DONNÉES!$AE$11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DONNÉES!$AE$12:$AE$23</c:f>
              <c:numCache>
                <c:formatCode>#,##0</c:formatCode>
                <c:ptCount val="12"/>
                <c:pt idx="0">
                  <c:v>204744</c:v>
                </c:pt>
                <c:pt idx="1">
                  <c:v>184027.43</c:v>
                </c:pt>
                <c:pt idx="2">
                  <c:v>192914.13</c:v>
                </c:pt>
                <c:pt idx="3">
                  <c:v>209794.25</c:v>
                </c:pt>
                <c:pt idx="4">
                  <c:v>251941.37</c:v>
                </c:pt>
                <c:pt idx="5">
                  <c:v>268995.65999999997</c:v>
                </c:pt>
                <c:pt idx="6">
                  <c:v>274134</c:v>
                </c:pt>
                <c:pt idx="7">
                  <c:v>265344.2</c:v>
                </c:pt>
                <c:pt idx="8">
                  <c:v>275452.99400000001</c:v>
                </c:pt>
                <c:pt idx="9">
                  <c:v>308591.15000000002</c:v>
                </c:pt>
                <c:pt idx="10">
                  <c:v>286984.23</c:v>
                </c:pt>
                <c:pt idx="11">
                  <c:v>278713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807-48EF-AA47-6673F978AC18}"/>
            </c:ext>
          </c:extLst>
        </c:ser>
        <c:ser>
          <c:idx val="5"/>
          <c:order val="5"/>
          <c:tx>
            <c:strRef>
              <c:f>DONNÉES!$AF$11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DONNÉES!$Z$12:$Z$23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DONNÉES!$AF$12:$AF$23</c:f>
              <c:numCache>
                <c:formatCode>#,##0</c:formatCode>
                <c:ptCount val="12"/>
                <c:pt idx="0">
                  <c:v>277579</c:v>
                </c:pt>
                <c:pt idx="1">
                  <c:v>286952</c:v>
                </c:pt>
                <c:pt idx="2">
                  <c:v>155313</c:v>
                </c:pt>
                <c:pt idx="3">
                  <c:v>0</c:v>
                </c:pt>
                <c:pt idx="4">
                  <c:v>133029</c:v>
                </c:pt>
                <c:pt idx="5">
                  <c:v>220726</c:v>
                </c:pt>
                <c:pt idx="6">
                  <c:v>233080</c:v>
                </c:pt>
                <c:pt idx="7">
                  <c:v>252044</c:v>
                </c:pt>
                <c:pt idx="8">
                  <c:v>267879</c:v>
                </c:pt>
                <c:pt idx="9">
                  <c:v>272845</c:v>
                </c:pt>
                <c:pt idx="10">
                  <c:v>199041.74</c:v>
                </c:pt>
                <c:pt idx="11">
                  <c:v>217126.45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07-48EF-AA47-6673F978A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DONNÉES!$AI$11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DONNÉES!$AI$12:$AI$23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13-4FD5-8657-77C050C54381}"/>
            </c:ext>
          </c:extLst>
        </c:ser>
        <c:ser>
          <c:idx val="3"/>
          <c:order val="1"/>
          <c:tx>
            <c:strRef>
              <c:f>DONNÉES!$AJ$11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DONNÉES!$AJ$12:$AJ$23</c:f>
              <c:numCache>
                <c:formatCode>#,##0</c:formatCode>
                <c:ptCount val="12"/>
                <c:pt idx="0">
                  <c:v>382463.66</c:v>
                </c:pt>
                <c:pt idx="1">
                  <c:v>364703.69</c:v>
                </c:pt>
                <c:pt idx="2">
                  <c:v>399026.52</c:v>
                </c:pt>
                <c:pt idx="3">
                  <c:v>418729.47</c:v>
                </c:pt>
                <c:pt idx="4">
                  <c:v>421584.58</c:v>
                </c:pt>
                <c:pt idx="5">
                  <c:v>432064.89</c:v>
                </c:pt>
                <c:pt idx="6">
                  <c:v>430978.41</c:v>
                </c:pt>
                <c:pt idx="7">
                  <c:v>439960.98</c:v>
                </c:pt>
                <c:pt idx="8">
                  <c:v>375481.66</c:v>
                </c:pt>
                <c:pt idx="9">
                  <c:v>389992.15</c:v>
                </c:pt>
                <c:pt idx="10">
                  <c:v>417235.16</c:v>
                </c:pt>
                <c:pt idx="11">
                  <c:v>412209.79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13-4FD5-8657-77C050C54381}"/>
            </c:ext>
          </c:extLst>
        </c:ser>
        <c:ser>
          <c:idx val="2"/>
          <c:order val="2"/>
          <c:tx>
            <c:strRef>
              <c:f>DONNÉES!$AK$11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DONNÉES!$AK$12:$AK$23</c:f>
              <c:numCache>
                <c:formatCode>#,##0</c:formatCode>
                <c:ptCount val="12"/>
                <c:pt idx="0">
                  <c:v>408884.14</c:v>
                </c:pt>
                <c:pt idx="1">
                  <c:v>384687.46</c:v>
                </c:pt>
                <c:pt idx="2">
                  <c:v>405708.46</c:v>
                </c:pt>
                <c:pt idx="3">
                  <c:v>439098.5</c:v>
                </c:pt>
                <c:pt idx="4">
                  <c:v>446715.62</c:v>
                </c:pt>
                <c:pt idx="5">
                  <c:v>418586.74</c:v>
                </c:pt>
                <c:pt idx="6">
                  <c:v>471583.68</c:v>
                </c:pt>
                <c:pt idx="7">
                  <c:v>454922.5</c:v>
                </c:pt>
                <c:pt idx="8">
                  <c:v>414735.37</c:v>
                </c:pt>
                <c:pt idx="9">
                  <c:v>430896.9</c:v>
                </c:pt>
                <c:pt idx="10">
                  <c:v>409780.84</c:v>
                </c:pt>
                <c:pt idx="11">
                  <c:v>414223.49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D13-4FD5-8657-77C050C54381}"/>
            </c:ext>
          </c:extLst>
        </c:ser>
        <c:ser>
          <c:idx val="1"/>
          <c:order val="3"/>
          <c:tx>
            <c:strRef>
              <c:f>DONNÉES!$AL$11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DONNÉES!$AL$12:$AL$23</c:f>
              <c:numCache>
                <c:formatCode>#,##0</c:formatCode>
                <c:ptCount val="12"/>
                <c:pt idx="0">
                  <c:v>364025</c:v>
                </c:pt>
                <c:pt idx="1">
                  <c:v>363782</c:v>
                </c:pt>
                <c:pt idx="2">
                  <c:v>371731</c:v>
                </c:pt>
                <c:pt idx="3">
                  <c:v>384230.19</c:v>
                </c:pt>
                <c:pt idx="4">
                  <c:v>403500.91</c:v>
                </c:pt>
                <c:pt idx="5">
                  <c:v>398124.38</c:v>
                </c:pt>
                <c:pt idx="6">
                  <c:v>427848.2</c:v>
                </c:pt>
                <c:pt idx="7">
                  <c:v>411623.24</c:v>
                </c:pt>
                <c:pt idx="8">
                  <c:v>366637.97</c:v>
                </c:pt>
                <c:pt idx="9">
                  <c:v>426127.35</c:v>
                </c:pt>
                <c:pt idx="10">
                  <c:v>393046.78</c:v>
                </c:pt>
                <c:pt idx="11">
                  <c:v>415082.37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D13-4FD5-8657-77C050C54381}"/>
            </c:ext>
          </c:extLst>
        </c:ser>
        <c:ser>
          <c:idx val="0"/>
          <c:order val="4"/>
          <c:tx>
            <c:strRef>
              <c:f>DONNÉES!$AM$11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DONNÉES!$AM$12:$AM$23</c:f>
              <c:numCache>
                <c:formatCode>#,##0</c:formatCode>
                <c:ptCount val="12"/>
                <c:pt idx="0">
                  <c:v>242951</c:v>
                </c:pt>
                <c:pt idx="1">
                  <c:v>223431</c:v>
                </c:pt>
                <c:pt idx="2">
                  <c:v>232739</c:v>
                </c:pt>
                <c:pt idx="3">
                  <c:v>260127.79</c:v>
                </c:pt>
                <c:pt idx="4">
                  <c:v>345615.56</c:v>
                </c:pt>
                <c:pt idx="5">
                  <c:v>402445.89</c:v>
                </c:pt>
                <c:pt idx="6">
                  <c:v>419185</c:v>
                </c:pt>
                <c:pt idx="7">
                  <c:v>418605.35</c:v>
                </c:pt>
                <c:pt idx="8">
                  <c:v>340526</c:v>
                </c:pt>
                <c:pt idx="9">
                  <c:v>382463.73</c:v>
                </c:pt>
                <c:pt idx="10">
                  <c:v>366814.86</c:v>
                </c:pt>
                <c:pt idx="11">
                  <c:v>380431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D13-4FD5-8657-77C050C54381}"/>
            </c:ext>
          </c:extLst>
        </c:ser>
        <c:ser>
          <c:idx val="5"/>
          <c:order val="5"/>
          <c:tx>
            <c:strRef>
              <c:f>DONNÉES!$AN$11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DONNÉES!$AH$12:$AH$23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DONNÉES!$AN$12:$AN$23</c:f>
              <c:numCache>
                <c:formatCode>#,##0</c:formatCode>
                <c:ptCount val="12"/>
                <c:pt idx="0">
                  <c:v>342294</c:v>
                </c:pt>
                <c:pt idx="1">
                  <c:v>327298</c:v>
                </c:pt>
                <c:pt idx="2">
                  <c:v>58433</c:v>
                </c:pt>
                <c:pt idx="3">
                  <c:v>0</c:v>
                </c:pt>
                <c:pt idx="4">
                  <c:v>217701</c:v>
                </c:pt>
                <c:pt idx="5">
                  <c:v>353005</c:v>
                </c:pt>
                <c:pt idx="6">
                  <c:v>377241</c:v>
                </c:pt>
                <c:pt idx="7">
                  <c:v>403765</c:v>
                </c:pt>
                <c:pt idx="8">
                  <c:v>363051</c:v>
                </c:pt>
                <c:pt idx="9">
                  <c:v>392550</c:v>
                </c:pt>
                <c:pt idx="10">
                  <c:v>255747.06</c:v>
                </c:pt>
                <c:pt idx="11">
                  <c:v>294685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13-4FD5-8657-77C050C54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DONNÉES!$AQ$11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DONNÉES!$AQ$12:$AQ$23</c:f>
              <c:numCache>
                <c:formatCode>#,##0</c:formatCode>
                <c:ptCount val="12"/>
                <c:pt idx="0">
                  <c:v>457867.94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C07-4A57-9B7C-168EE5707EA6}"/>
            </c:ext>
          </c:extLst>
        </c:ser>
        <c:ser>
          <c:idx val="3"/>
          <c:order val="1"/>
          <c:tx>
            <c:strRef>
              <c:f>DONNÉES!$AR$11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DONNÉES!$AR$12:$AR$23</c:f>
              <c:numCache>
                <c:formatCode>#,##0</c:formatCode>
                <c:ptCount val="12"/>
                <c:pt idx="0">
                  <c:v>448803.22</c:v>
                </c:pt>
                <c:pt idx="1">
                  <c:v>427576.14</c:v>
                </c:pt>
                <c:pt idx="2">
                  <c:v>475532.13</c:v>
                </c:pt>
                <c:pt idx="3">
                  <c:v>473348.8</c:v>
                </c:pt>
                <c:pt idx="4">
                  <c:v>475377.76</c:v>
                </c:pt>
                <c:pt idx="5">
                  <c:v>466814.43</c:v>
                </c:pt>
                <c:pt idx="6">
                  <c:v>513816.15</c:v>
                </c:pt>
                <c:pt idx="7">
                  <c:v>561903.96</c:v>
                </c:pt>
                <c:pt idx="8">
                  <c:v>426073.38</c:v>
                </c:pt>
                <c:pt idx="9">
                  <c:v>468469.78</c:v>
                </c:pt>
                <c:pt idx="10">
                  <c:v>490419.88</c:v>
                </c:pt>
                <c:pt idx="11">
                  <c:v>520127.03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C07-4A57-9B7C-168EE5707EA6}"/>
            </c:ext>
          </c:extLst>
        </c:ser>
        <c:ser>
          <c:idx val="2"/>
          <c:order val="2"/>
          <c:tx>
            <c:strRef>
              <c:f>DONNÉES!$AS$11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DONNÉES!$AS$12:$AS$23</c:f>
              <c:numCache>
                <c:formatCode>#,##0</c:formatCode>
                <c:ptCount val="12"/>
                <c:pt idx="0">
                  <c:v>466855.85</c:v>
                </c:pt>
                <c:pt idx="1">
                  <c:v>463905.03</c:v>
                </c:pt>
                <c:pt idx="2">
                  <c:v>462896.02</c:v>
                </c:pt>
                <c:pt idx="3">
                  <c:v>521208.14</c:v>
                </c:pt>
                <c:pt idx="4">
                  <c:v>519965.71</c:v>
                </c:pt>
                <c:pt idx="5">
                  <c:v>484283.2</c:v>
                </c:pt>
                <c:pt idx="6">
                  <c:v>571802.79</c:v>
                </c:pt>
                <c:pt idx="7">
                  <c:v>578195.69999999995</c:v>
                </c:pt>
                <c:pt idx="8">
                  <c:v>471211.77</c:v>
                </c:pt>
                <c:pt idx="9">
                  <c:v>490957.46</c:v>
                </c:pt>
                <c:pt idx="10">
                  <c:v>468036.26</c:v>
                </c:pt>
                <c:pt idx="11">
                  <c:v>527985.5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C07-4A57-9B7C-168EE5707EA6}"/>
            </c:ext>
          </c:extLst>
        </c:ser>
        <c:ser>
          <c:idx val="1"/>
          <c:order val="3"/>
          <c:tx>
            <c:strRef>
              <c:f>DONNÉES!$AT$11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DONNÉES!$AT$12:$AT$23</c:f>
              <c:numCache>
                <c:formatCode>#,##0</c:formatCode>
                <c:ptCount val="12"/>
                <c:pt idx="0">
                  <c:v>406427.07</c:v>
                </c:pt>
                <c:pt idx="1">
                  <c:v>422363.19</c:v>
                </c:pt>
                <c:pt idx="2">
                  <c:v>407198.99</c:v>
                </c:pt>
                <c:pt idx="3">
                  <c:v>447841.34</c:v>
                </c:pt>
                <c:pt idx="4">
                  <c:v>469972.49</c:v>
                </c:pt>
                <c:pt idx="5">
                  <c:v>480520.1</c:v>
                </c:pt>
                <c:pt idx="6">
                  <c:v>526686.78</c:v>
                </c:pt>
                <c:pt idx="7">
                  <c:v>558518.88</c:v>
                </c:pt>
                <c:pt idx="8">
                  <c:v>444261.49</c:v>
                </c:pt>
                <c:pt idx="9">
                  <c:v>511359.87</c:v>
                </c:pt>
                <c:pt idx="10">
                  <c:v>468099.46</c:v>
                </c:pt>
                <c:pt idx="11">
                  <c:v>551392.09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AC07-4A57-9B7C-168EE5707EA6}"/>
            </c:ext>
          </c:extLst>
        </c:ser>
        <c:ser>
          <c:idx val="0"/>
          <c:order val="4"/>
          <c:tx>
            <c:strRef>
              <c:f>DONNÉES!$AU$11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DONNÉES!$AU$12:$AU$23</c:f>
              <c:numCache>
                <c:formatCode>#,##0</c:formatCode>
                <c:ptCount val="12"/>
                <c:pt idx="0">
                  <c:v>309760.57</c:v>
                </c:pt>
                <c:pt idx="1">
                  <c:v>271184</c:v>
                </c:pt>
                <c:pt idx="2">
                  <c:v>271701.96999999997</c:v>
                </c:pt>
                <c:pt idx="3">
                  <c:v>278202.63</c:v>
                </c:pt>
                <c:pt idx="4">
                  <c:v>390784.89</c:v>
                </c:pt>
                <c:pt idx="5">
                  <c:v>201157.54</c:v>
                </c:pt>
                <c:pt idx="6">
                  <c:v>331179.76</c:v>
                </c:pt>
                <c:pt idx="7">
                  <c:v>496490.73</c:v>
                </c:pt>
                <c:pt idx="8">
                  <c:v>384902.66</c:v>
                </c:pt>
                <c:pt idx="9">
                  <c:v>438126.3</c:v>
                </c:pt>
                <c:pt idx="10">
                  <c:v>427191</c:v>
                </c:pt>
                <c:pt idx="11">
                  <c:v>467625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AC07-4A57-9B7C-168EE5707EA6}"/>
            </c:ext>
          </c:extLst>
        </c:ser>
        <c:ser>
          <c:idx val="5"/>
          <c:order val="5"/>
          <c:tx>
            <c:strRef>
              <c:f>DONNÉES!$AV$11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DONNÉES!$AP$12:$AP$23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DONNÉES!$AV$12:$AV$23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07-4A57-9B7C-168EE5707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4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HART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DONNÉES!$AY$11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DONNÉES!$AY$12:$AY$23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727-4C4B-B061-4A5C055994B0}"/>
            </c:ext>
          </c:extLst>
        </c:ser>
        <c:ser>
          <c:idx val="3"/>
          <c:order val="1"/>
          <c:tx>
            <c:strRef>
              <c:f>DONNÉES!$AZ$11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DONNÉES!$AZ$12:$AZ$23</c:f>
              <c:numCache>
                <c:formatCode>#,##0</c:formatCode>
                <c:ptCount val="12"/>
                <c:pt idx="0">
                  <c:v>242390</c:v>
                </c:pt>
                <c:pt idx="1">
                  <c:v>230968.84</c:v>
                </c:pt>
                <c:pt idx="2">
                  <c:v>264015.46000000002</c:v>
                </c:pt>
                <c:pt idx="3">
                  <c:v>269252.90999999997</c:v>
                </c:pt>
                <c:pt idx="4">
                  <c:v>283152.21000000002</c:v>
                </c:pt>
                <c:pt idx="5">
                  <c:v>278368.93</c:v>
                </c:pt>
                <c:pt idx="6">
                  <c:v>293849.39</c:v>
                </c:pt>
                <c:pt idx="7">
                  <c:v>319102.62</c:v>
                </c:pt>
                <c:pt idx="8">
                  <c:v>230549.28</c:v>
                </c:pt>
                <c:pt idx="9">
                  <c:v>236583.24</c:v>
                </c:pt>
                <c:pt idx="10">
                  <c:v>246915.81</c:v>
                </c:pt>
                <c:pt idx="11">
                  <c:v>254335.87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727-4C4B-B061-4A5C055994B0}"/>
            </c:ext>
          </c:extLst>
        </c:ser>
        <c:ser>
          <c:idx val="2"/>
          <c:order val="2"/>
          <c:tx>
            <c:strRef>
              <c:f>DONNÉES!$BA$11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DONNÉES!$BA$12:$BA$23</c:f>
              <c:numCache>
                <c:formatCode>#,##0</c:formatCode>
                <c:ptCount val="12"/>
                <c:pt idx="0">
                  <c:v>250297.29</c:v>
                </c:pt>
                <c:pt idx="1">
                  <c:v>244019.37</c:v>
                </c:pt>
                <c:pt idx="2">
                  <c:v>260076.98</c:v>
                </c:pt>
                <c:pt idx="3">
                  <c:v>294425.03999999998</c:v>
                </c:pt>
                <c:pt idx="4">
                  <c:v>301706.03000000003</c:v>
                </c:pt>
                <c:pt idx="5">
                  <c:v>281207.93</c:v>
                </c:pt>
                <c:pt idx="6">
                  <c:v>332226.3</c:v>
                </c:pt>
                <c:pt idx="7">
                  <c:v>330457.28999999998</c:v>
                </c:pt>
                <c:pt idx="8">
                  <c:v>253289.32</c:v>
                </c:pt>
                <c:pt idx="9">
                  <c:v>266917</c:v>
                </c:pt>
                <c:pt idx="10">
                  <c:v>253103.95</c:v>
                </c:pt>
                <c:pt idx="11">
                  <c:v>268757.44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7727-4C4B-B061-4A5C055994B0}"/>
            </c:ext>
          </c:extLst>
        </c:ser>
        <c:ser>
          <c:idx val="1"/>
          <c:order val="3"/>
          <c:tx>
            <c:strRef>
              <c:f>DONNÉES!$BB$11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DONNÉES!$BB$12:$BB$23</c:f>
              <c:numCache>
                <c:formatCode>#,##0</c:formatCode>
                <c:ptCount val="12"/>
                <c:pt idx="0">
                  <c:v>228199.74</c:v>
                </c:pt>
                <c:pt idx="1">
                  <c:v>223106.15</c:v>
                </c:pt>
                <c:pt idx="2">
                  <c:v>224987</c:v>
                </c:pt>
                <c:pt idx="3">
                  <c:v>247988.7</c:v>
                </c:pt>
                <c:pt idx="4">
                  <c:v>267337.09000000003</c:v>
                </c:pt>
                <c:pt idx="5">
                  <c:v>271514.77</c:v>
                </c:pt>
                <c:pt idx="6">
                  <c:v>298337.01</c:v>
                </c:pt>
                <c:pt idx="7">
                  <c:v>304868.12</c:v>
                </c:pt>
                <c:pt idx="8">
                  <c:v>238896.91</c:v>
                </c:pt>
                <c:pt idx="9">
                  <c:v>272494.67</c:v>
                </c:pt>
                <c:pt idx="10">
                  <c:v>251327.03</c:v>
                </c:pt>
                <c:pt idx="11">
                  <c:v>272820.47999999998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727-4C4B-B061-4A5C055994B0}"/>
            </c:ext>
          </c:extLst>
        </c:ser>
        <c:ser>
          <c:idx val="0"/>
          <c:order val="4"/>
          <c:tx>
            <c:strRef>
              <c:f>DONNÉES!$BC$11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DONNÉES!$BC$12:$BC$23</c:f>
              <c:numCache>
                <c:formatCode>#,##0</c:formatCode>
                <c:ptCount val="12"/>
                <c:pt idx="6">
                  <c:v>73011.95</c:v>
                </c:pt>
                <c:pt idx="7">
                  <c:v>329480</c:v>
                </c:pt>
                <c:pt idx="8">
                  <c:v>230997.59</c:v>
                </c:pt>
                <c:pt idx="9">
                  <c:v>257744.22</c:v>
                </c:pt>
                <c:pt idx="10">
                  <c:v>228976</c:v>
                </c:pt>
                <c:pt idx="11">
                  <c:v>234220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727-4C4B-B061-4A5C055994B0}"/>
            </c:ext>
          </c:extLst>
        </c:ser>
        <c:ser>
          <c:idx val="5"/>
          <c:order val="5"/>
          <c:tx>
            <c:strRef>
              <c:f>DONNÉES!$BD$11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DONNÉES!$AX$12:$AX$23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DONNÉES!$BD$12:$BD$23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27-4C4B-B061-4A5C05599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5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VICTOIRE'S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DONNÉES!$BG$11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DONNÉES!$BG$12:$BG$23</c:f>
              <c:numCache>
                <c:formatCode>#,##0</c:formatCode>
                <c:ptCount val="12"/>
                <c:pt idx="0">
                  <c:v>225059.06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5B7-4DA7-B029-469867697329}"/>
            </c:ext>
          </c:extLst>
        </c:ser>
        <c:ser>
          <c:idx val="3"/>
          <c:order val="1"/>
          <c:tx>
            <c:strRef>
              <c:f>DONNÉES!$BH$11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DONNÉES!$BH$12:$BH$23</c:f>
              <c:numCache>
                <c:formatCode>#,##0</c:formatCode>
                <c:ptCount val="12"/>
                <c:pt idx="0">
                  <c:v>246524.07</c:v>
                </c:pt>
                <c:pt idx="1">
                  <c:v>234695.67999999999</c:v>
                </c:pt>
                <c:pt idx="2">
                  <c:v>252817.8</c:v>
                </c:pt>
                <c:pt idx="3">
                  <c:v>275154.17</c:v>
                </c:pt>
                <c:pt idx="4">
                  <c:v>293051.34000000003</c:v>
                </c:pt>
                <c:pt idx="5">
                  <c:v>271215.49</c:v>
                </c:pt>
                <c:pt idx="6">
                  <c:v>339621.57</c:v>
                </c:pt>
                <c:pt idx="7">
                  <c:v>399272.88</c:v>
                </c:pt>
                <c:pt idx="8">
                  <c:v>226476.08</c:v>
                </c:pt>
                <c:pt idx="9">
                  <c:v>240747.81</c:v>
                </c:pt>
                <c:pt idx="10">
                  <c:v>237763.28</c:v>
                </c:pt>
                <c:pt idx="11">
                  <c:v>233188.1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5B7-4DA7-B029-469867697329}"/>
            </c:ext>
          </c:extLst>
        </c:ser>
        <c:ser>
          <c:idx val="2"/>
          <c:order val="2"/>
          <c:tx>
            <c:strRef>
              <c:f>DONNÉES!$BI$11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DONNÉES!$BI$12:$BI$23</c:f>
              <c:numCache>
                <c:formatCode>#,##0</c:formatCode>
                <c:ptCount val="12"/>
                <c:pt idx="0">
                  <c:v>243468.88</c:v>
                </c:pt>
                <c:pt idx="1">
                  <c:v>251885.69</c:v>
                </c:pt>
                <c:pt idx="2">
                  <c:v>230633.48</c:v>
                </c:pt>
                <c:pt idx="3">
                  <c:v>310340.92</c:v>
                </c:pt>
                <c:pt idx="4">
                  <c:v>311153.21000000002</c:v>
                </c:pt>
                <c:pt idx="5">
                  <c:v>282644.63</c:v>
                </c:pt>
                <c:pt idx="6">
                  <c:v>396805.84</c:v>
                </c:pt>
                <c:pt idx="7">
                  <c:v>410522.6</c:v>
                </c:pt>
                <c:pt idx="8">
                  <c:v>263430.88</c:v>
                </c:pt>
                <c:pt idx="9">
                  <c:v>272202.07</c:v>
                </c:pt>
                <c:pt idx="10">
                  <c:v>251570.57</c:v>
                </c:pt>
                <c:pt idx="11">
                  <c:v>253816.58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5B7-4DA7-B029-469867697329}"/>
            </c:ext>
          </c:extLst>
        </c:ser>
        <c:ser>
          <c:idx val="1"/>
          <c:order val="3"/>
          <c:tx>
            <c:strRef>
              <c:f>DONNÉES!$BJ$11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DONNÉES!$BJ$12:$BJ$23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5B7-4DA7-B029-469867697329}"/>
            </c:ext>
          </c:extLst>
        </c:ser>
        <c:ser>
          <c:idx val="0"/>
          <c:order val="4"/>
          <c:tx>
            <c:strRef>
              <c:f>DONNÉES!$BK$11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DONNÉES!$BK$12:$BK$23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5B7-4DA7-B029-469867697329}"/>
            </c:ext>
          </c:extLst>
        </c:ser>
        <c:ser>
          <c:idx val="5"/>
          <c:order val="5"/>
          <c:tx>
            <c:strRef>
              <c:f>DONNÉES!$BL$11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DONNÉES!$BF$12:$BF$23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DONNÉES!$BL$12:$BL$23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7-4DA7-B029-46986769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>
            <a:pPr>
              <a:defRPr/>
            </a:pPr>
            <a:r>
              <a:rPr lang="fr-FR"/>
              <a:t>Évolution mensuelle</a:t>
            </a:r>
            <a:r>
              <a:rPr lang="fr-FR" baseline="0"/>
              <a:t> </a:t>
            </a:r>
            <a:r>
              <a:rPr lang="fr-FR"/>
              <a:t>du chiffre d'affaires</a:t>
            </a:r>
          </a:p>
        </c:rich>
      </c:tx>
      <c:layout>
        <c:manualLayout>
          <c:xMode val="edge"/>
          <c:yMode val="edge"/>
          <c:x val="0.26903464695274948"/>
          <c:y val="2.6553865881268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5086071987480439E-2"/>
          <c:y val="0.10210543037625358"/>
          <c:w val="0.88255058429432265"/>
          <c:h val="0.80507483320310158"/>
        </c:manualLayout>
      </c:layout>
      <c:lineChart>
        <c:grouping val="standard"/>
        <c:varyColors val="0"/>
        <c:ser>
          <c:idx val="4"/>
          <c:order val="0"/>
          <c:tx>
            <c:strRef>
              <c:f>DONNÉES!$BO$11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DONNÉES!$BN$12:$BN$23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DONNÉES!$BO$12:$BO$23</c:f>
              <c:numCache>
                <c:formatCode>#,##0</c:formatCode>
                <c:ptCount val="12"/>
                <c:pt idx="0">
                  <c:v>352127.46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78-4FDC-8B03-3454C1A3B1CD}"/>
            </c:ext>
          </c:extLst>
        </c:ser>
        <c:ser>
          <c:idx val="3"/>
          <c:order val="1"/>
          <c:tx>
            <c:strRef>
              <c:f>DONNÉES!$BP$11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DONNÉES!$BN$12:$BN$23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DONNÉES!$BP$12:$BP$23</c:f>
              <c:numCache>
                <c:formatCode>#,##0</c:formatCode>
                <c:ptCount val="12"/>
                <c:pt idx="0">
                  <c:v>335149</c:v>
                </c:pt>
                <c:pt idx="1">
                  <c:v>325760.51</c:v>
                </c:pt>
                <c:pt idx="2">
                  <c:v>360559.25</c:v>
                </c:pt>
                <c:pt idx="3">
                  <c:v>354160.18</c:v>
                </c:pt>
                <c:pt idx="4">
                  <c:v>377846.04</c:v>
                </c:pt>
                <c:pt idx="5">
                  <c:v>367846</c:v>
                </c:pt>
                <c:pt idx="6">
                  <c:v>369532.54</c:v>
                </c:pt>
                <c:pt idx="7">
                  <c:v>389592.4</c:v>
                </c:pt>
                <c:pt idx="8">
                  <c:v>339075.62</c:v>
                </c:pt>
                <c:pt idx="9">
                  <c:v>346372.13</c:v>
                </c:pt>
                <c:pt idx="10">
                  <c:v>358423.24</c:v>
                </c:pt>
                <c:pt idx="11">
                  <c:v>357979.69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78-4FDC-8B03-3454C1A3B1CD}"/>
            </c:ext>
          </c:extLst>
        </c:ser>
        <c:ser>
          <c:idx val="2"/>
          <c:order val="2"/>
          <c:tx>
            <c:strRef>
              <c:f>DONNÉES!$BQ$11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DONNÉES!$BN$12:$BN$23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DONNÉES!$BQ$12:$BQ$23</c:f>
              <c:numCache>
                <c:formatCode>#,##0</c:formatCode>
                <c:ptCount val="12"/>
                <c:pt idx="0">
                  <c:v>355277.53</c:v>
                </c:pt>
                <c:pt idx="1">
                  <c:v>348867.11</c:v>
                </c:pt>
                <c:pt idx="2">
                  <c:v>353309.04</c:v>
                </c:pt>
                <c:pt idx="3">
                  <c:v>374796.47</c:v>
                </c:pt>
                <c:pt idx="4">
                  <c:v>384943.9</c:v>
                </c:pt>
                <c:pt idx="5">
                  <c:v>352256.87</c:v>
                </c:pt>
                <c:pt idx="6">
                  <c:v>400614.96</c:v>
                </c:pt>
                <c:pt idx="7">
                  <c:v>388179.47</c:v>
                </c:pt>
                <c:pt idx="8">
                  <c:v>353171.93</c:v>
                </c:pt>
                <c:pt idx="9">
                  <c:v>365066.34</c:v>
                </c:pt>
                <c:pt idx="10">
                  <c:v>356548.18</c:v>
                </c:pt>
                <c:pt idx="11">
                  <c:v>360728.07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78-4FDC-8B03-3454C1A3B1CD}"/>
            </c:ext>
          </c:extLst>
        </c:ser>
        <c:ser>
          <c:idx val="1"/>
          <c:order val="3"/>
          <c:tx>
            <c:strRef>
              <c:f>DONNÉES!$BR$11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DONNÉES!$BN$12:$BN$23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DONNÉES!$BR$12:$BR$23</c:f>
              <c:numCache>
                <c:formatCode>#,##0</c:formatCode>
                <c:ptCount val="12"/>
                <c:pt idx="0">
                  <c:v>342395.67</c:v>
                </c:pt>
                <c:pt idx="1">
                  <c:v>326017</c:v>
                </c:pt>
                <c:pt idx="2">
                  <c:v>340232</c:v>
                </c:pt>
                <c:pt idx="3">
                  <c:v>362492.81</c:v>
                </c:pt>
                <c:pt idx="4">
                  <c:v>385855.2</c:v>
                </c:pt>
                <c:pt idx="5">
                  <c:v>373287.34</c:v>
                </c:pt>
                <c:pt idx="6">
                  <c:v>394240.68</c:v>
                </c:pt>
                <c:pt idx="7">
                  <c:v>363405.22</c:v>
                </c:pt>
                <c:pt idx="8">
                  <c:v>329560.94</c:v>
                </c:pt>
                <c:pt idx="9">
                  <c:v>375415.31</c:v>
                </c:pt>
                <c:pt idx="10">
                  <c:v>330720</c:v>
                </c:pt>
                <c:pt idx="11">
                  <c:v>365033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78-4FDC-8B03-3454C1A3B1CD}"/>
            </c:ext>
          </c:extLst>
        </c:ser>
        <c:ser>
          <c:idx val="0"/>
          <c:order val="4"/>
          <c:tx>
            <c:strRef>
              <c:f>DONNÉES!$BS$11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DONNÉES!$BN$12:$BN$23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DONNÉES!$BS$12:$BS$23</c:f>
              <c:numCache>
                <c:formatCode>#,##0</c:formatCode>
                <c:ptCount val="12"/>
                <c:pt idx="0">
                  <c:v>221755.58</c:v>
                </c:pt>
                <c:pt idx="1">
                  <c:v>206170.72</c:v>
                </c:pt>
                <c:pt idx="2">
                  <c:v>210332.3</c:v>
                </c:pt>
                <c:pt idx="3">
                  <c:v>233733.04</c:v>
                </c:pt>
                <c:pt idx="4">
                  <c:v>311091.26</c:v>
                </c:pt>
                <c:pt idx="5">
                  <c:v>359746.1</c:v>
                </c:pt>
                <c:pt idx="6">
                  <c:v>407563.91</c:v>
                </c:pt>
                <c:pt idx="7">
                  <c:v>390834.7</c:v>
                </c:pt>
                <c:pt idx="8">
                  <c:v>333191.46000000002</c:v>
                </c:pt>
                <c:pt idx="9">
                  <c:v>365738.81</c:v>
                </c:pt>
                <c:pt idx="10">
                  <c:v>341138.91</c:v>
                </c:pt>
                <c:pt idx="11">
                  <c:v>358938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78-4FDC-8B03-3454C1A3B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40000"/>
          <c:min val="-1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310962657785143"/>
          <c:y val="3.16429244054416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0.10316793893129771"/>
          <c:w val="0.88458807410687357"/>
          <c:h val="0.80125803930997175"/>
        </c:manualLayout>
      </c:layout>
      <c:lineChart>
        <c:grouping val="standard"/>
        <c:varyColors val="0"/>
        <c:ser>
          <c:idx val="4"/>
          <c:order val="0"/>
          <c:tx>
            <c:strRef>
              <c:f>DONNÉES!$BW$11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DONNÉES!$BV$12:$BV$24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DONNÉES!$BW$12:$BW$24</c:f>
              <c:numCache>
                <c:formatCode>#,##0</c:formatCode>
                <c:ptCount val="13"/>
                <c:pt idx="0">
                  <c:v>241429.07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71-4366-8260-F74B9B8CC367}"/>
            </c:ext>
          </c:extLst>
        </c:ser>
        <c:ser>
          <c:idx val="3"/>
          <c:order val="1"/>
          <c:tx>
            <c:strRef>
              <c:f>DONNÉES!$BX$11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DONNÉES!$BV$12:$BV$24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DONNÉES!$BX$12:$BX$24</c:f>
              <c:numCache>
                <c:formatCode>#,##0</c:formatCode>
                <c:ptCount val="13"/>
                <c:pt idx="0">
                  <c:v>232055</c:v>
                </c:pt>
                <c:pt idx="1">
                  <c:v>231274.57</c:v>
                </c:pt>
                <c:pt idx="2">
                  <c:v>265363.7</c:v>
                </c:pt>
                <c:pt idx="3">
                  <c:v>291579.53999999998</c:v>
                </c:pt>
                <c:pt idx="4">
                  <c:v>313676.96000000002</c:v>
                </c:pt>
                <c:pt idx="5">
                  <c:v>285854.48</c:v>
                </c:pt>
                <c:pt idx="6">
                  <c:v>416526.42</c:v>
                </c:pt>
                <c:pt idx="7">
                  <c:v>484264.72</c:v>
                </c:pt>
                <c:pt idx="8">
                  <c:v>258347.23</c:v>
                </c:pt>
                <c:pt idx="9">
                  <c:v>267026.53000000003</c:v>
                </c:pt>
                <c:pt idx="10">
                  <c:v>254625.96</c:v>
                </c:pt>
                <c:pt idx="11">
                  <c:v>251066.69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671-4366-8260-F74B9B8CC367}"/>
            </c:ext>
          </c:extLst>
        </c:ser>
        <c:ser>
          <c:idx val="2"/>
          <c:order val="2"/>
          <c:tx>
            <c:strRef>
              <c:f>DONNÉES!$BY$11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DONNÉES!$BV$12:$BV$24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DONNÉES!$BY$12:$BY$24</c:f>
              <c:numCache>
                <c:formatCode>#,##0</c:formatCode>
                <c:ptCount val="13"/>
                <c:pt idx="0">
                  <c:v>256141.46</c:v>
                </c:pt>
                <c:pt idx="1">
                  <c:v>270825.33</c:v>
                </c:pt>
                <c:pt idx="2">
                  <c:v>263470.62</c:v>
                </c:pt>
                <c:pt idx="3">
                  <c:v>311465.28999999998</c:v>
                </c:pt>
                <c:pt idx="4">
                  <c:v>343374.77</c:v>
                </c:pt>
                <c:pt idx="5">
                  <c:v>293779.56</c:v>
                </c:pt>
                <c:pt idx="6">
                  <c:v>452823.05</c:v>
                </c:pt>
                <c:pt idx="7">
                  <c:v>483673.89</c:v>
                </c:pt>
                <c:pt idx="8">
                  <c:v>285336.65999999997</c:v>
                </c:pt>
                <c:pt idx="9">
                  <c:v>288958.32</c:v>
                </c:pt>
                <c:pt idx="10">
                  <c:v>249157.58</c:v>
                </c:pt>
                <c:pt idx="11">
                  <c:v>243980.94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671-4366-8260-F74B9B8CC367}"/>
            </c:ext>
          </c:extLst>
        </c:ser>
        <c:ser>
          <c:idx val="1"/>
          <c:order val="3"/>
          <c:tx>
            <c:strRef>
              <c:f>DONNÉES!$BZ$11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DONNÉES!$BV$12:$BV$24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DONNÉES!$BZ$12:$BZ$24</c:f>
              <c:numCache>
                <c:formatCode>#,##0</c:formatCode>
                <c:ptCount val="13"/>
                <c:pt idx="0">
                  <c:v>239038</c:v>
                </c:pt>
                <c:pt idx="1">
                  <c:v>257799</c:v>
                </c:pt>
                <c:pt idx="2">
                  <c:v>254313</c:v>
                </c:pt>
                <c:pt idx="3">
                  <c:v>306176</c:v>
                </c:pt>
                <c:pt idx="4">
                  <c:v>324403.65999999997</c:v>
                </c:pt>
                <c:pt idx="5">
                  <c:v>315348.53200000001</c:v>
                </c:pt>
                <c:pt idx="6">
                  <c:v>467132.05</c:v>
                </c:pt>
                <c:pt idx="7">
                  <c:v>508187.38</c:v>
                </c:pt>
                <c:pt idx="8">
                  <c:v>276169.11</c:v>
                </c:pt>
                <c:pt idx="9">
                  <c:v>304084.81</c:v>
                </c:pt>
                <c:pt idx="10">
                  <c:v>261491</c:v>
                </c:pt>
                <c:pt idx="11">
                  <c:v>260629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671-4366-8260-F74B9B8CC367}"/>
            </c:ext>
          </c:extLst>
        </c:ser>
        <c:ser>
          <c:idx val="0"/>
          <c:order val="4"/>
          <c:tx>
            <c:strRef>
              <c:f>DONNÉES!$CA$11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DONNÉES!$BV$12:$BV$24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DONNÉES!$CA$12:$CA$24</c:f>
              <c:numCache>
                <c:formatCode>#,##0</c:formatCode>
                <c:ptCount val="13"/>
                <c:pt idx="0">
                  <c:v>174923.3</c:v>
                </c:pt>
                <c:pt idx="1">
                  <c:v>172881.16</c:v>
                </c:pt>
                <c:pt idx="2">
                  <c:v>167429.35</c:v>
                </c:pt>
                <c:pt idx="3">
                  <c:v>174507.68</c:v>
                </c:pt>
                <c:pt idx="4">
                  <c:v>267280.5</c:v>
                </c:pt>
                <c:pt idx="5">
                  <c:v>291266.09999999998</c:v>
                </c:pt>
                <c:pt idx="6">
                  <c:v>406516.01</c:v>
                </c:pt>
                <c:pt idx="7">
                  <c:v>474650.8</c:v>
                </c:pt>
                <c:pt idx="8">
                  <c:v>255164.33</c:v>
                </c:pt>
                <c:pt idx="9">
                  <c:v>284275.99</c:v>
                </c:pt>
                <c:pt idx="10">
                  <c:v>254545.07</c:v>
                </c:pt>
                <c:pt idx="11">
                  <c:v>249600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671-4366-8260-F74B9B8CC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5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52816012502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9.4262086513994925E-2"/>
          <c:w val="0.88255058429432265"/>
          <c:h val="0.81016389172727465"/>
        </c:manualLayout>
      </c:layout>
      <c:lineChart>
        <c:grouping val="standard"/>
        <c:varyColors val="0"/>
        <c:ser>
          <c:idx val="4"/>
          <c:order val="0"/>
          <c:tx>
            <c:strRef>
              <c:f>DONNÉES!$CE$11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DONNÉES!$CE$12:$CE$23</c:f>
              <c:numCache>
                <c:formatCode>#,##0</c:formatCode>
                <c:ptCount val="12"/>
                <c:pt idx="0">
                  <c:v>318555.94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6E6-40F6-9875-7E98CF10435B}"/>
            </c:ext>
          </c:extLst>
        </c:ser>
        <c:ser>
          <c:idx val="3"/>
          <c:order val="1"/>
          <c:tx>
            <c:strRef>
              <c:f>DONNÉES!$CF$11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DONNÉES!$CF$12:$CF$23</c:f>
              <c:numCache>
                <c:formatCode>#,##0</c:formatCode>
                <c:ptCount val="12"/>
                <c:pt idx="0">
                  <c:v>360434</c:v>
                </c:pt>
                <c:pt idx="1">
                  <c:v>355408.48</c:v>
                </c:pt>
                <c:pt idx="2">
                  <c:v>373324.43</c:v>
                </c:pt>
                <c:pt idx="3">
                  <c:v>412202.6</c:v>
                </c:pt>
                <c:pt idx="4">
                  <c:v>459838.44</c:v>
                </c:pt>
                <c:pt idx="5">
                  <c:v>439362.87</c:v>
                </c:pt>
                <c:pt idx="6">
                  <c:v>549867.30000000005</c:v>
                </c:pt>
                <c:pt idx="7">
                  <c:v>701345.89</c:v>
                </c:pt>
                <c:pt idx="8">
                  <c:v>342533.05</c:v>
                </c:pt>
                <c:pt idx="9">
                  <c:v>361489.56</c:v>
                </c:pt>
                <c:pt idx="10">
                  <c:v>356179.32</c:v>
                </c:pt>
                <c:pt idx="11">
                  <c:v>326511.15000000002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6E6-40F6-9875-7E98CF10435B}"/>
            </c:ext>
          </c:extLst>
        </c:ser>
        <c:ser>
          <c:idx val="2"/>
          <c:order val="2"/>
          <c:tx>
            <c:strRef>
              <c:f>DONNÉES!$CG$11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DONNÉES!$CG$12:$CG$23</c:f>
              <c:numCache>
                <c:formatCode>#,##0</c:formatCode>
                <c:ptCount val="12"/>
                <c:pt idx="0">
                  <c:v>342840.96</c:v>
                </c:pt>
                <c:pt idx="1">
                  <c:v>363375.48</c:v>
                </c:pt>
                <c:pt idx="2">
                  <c:v>353293.89</c:v>
                </c:pt>
                <c:pt idx="3">
                  <c:v>415771.41</c:v>
                </c:pt>
                <c:pt idx="4">
                  <c:v>482261.8</c:v>
                </c:pt>
                <c:pt idx="5">
                  <c:v>427925.78</c:v>
                </c:pt>
                <c:pt idx="6">
                  <c:v>616702.64</c:v>
                </c:pt>
                <c:pt idx="7">
                  <c:v>710481.58</c:v>
                </c:pt>
                <c:pt idx="8">
                  <c:v>425112.89</c:v>
                </c:pt>
                <c:pt idx="9">
                  <c:v>421378.63</c:v>
                </c:pt>
                <c:pt idx="10">
                  <c:v>376295.43</c:v>
                </c:pt>
                <c:pt idx="11">
                  <c:v>372614.95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6E6-40F6-9875-7E98CF10435B}"/>
            </c:ext>
          </c:extLst>
        </c:ser>
        <c:ser>
          <c:idx val="1"/>
          <c:order val="3"/>
          <c:tx>
            <c:strRef>
              <c:f>DONNÉES!$CH$11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DONNÉES!$CH$12:$CH$23</c:f>
              <c:numCache>
                <c:formatCode>#,##0</c:formatCode>
                <c:ptCount val="12"/>
                <c:pt idx="0">
                  <c:v>352434</c:v>
                </c:pt>
                <c:pt idx="1">
                  <c:v>360532.04</c:v>
                </c:pt>
                <c:pt idx="2">
                  <c:v>360379</c:v>
                </c:pt>
                <c:pt idx="3">
                  <c:v>385597.19</c:v>
                </c:pt>
                <c:pt idx="4">
                  <c:v>439141.06</c:v>
                </c:pt>
                <c:pt idx="5">
                  <c:v>418175.74</c:v>
                </c:pt>
                <c:pt idx="6">
                  <c:v>611656.36</c:v>
                </c:pt>
                <c:pt idx="7">
                  <c:v>631349.46</c:v>
                </c:pt>
                <c:pt idx="8">
                  <c:v>340185.88</c:v>
                </c:pt>
                <c:pt idx="9">
                  <c:v>377968.49</c:v>
                </c:pt>
                <c:pt idx="10">
                  <c:v>352453.18</c:v>
                </c:pt>
                <c:pt idx="11">
                  <c:v>349347.8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6E6-40F6-9875-7E98CF10435B}"/>
            </c:ext>
          </c:extLst>
        </c:ser>
        <c:ser>
          <c:idx val="0"/>
          <c:order val="4"/>
          <c:tx>
            <c:strRef>
              <c:f>DONNÉES!$CI$11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DONNÉES!$CI$12:$CI$23</c:f>
              <c:numCache>
                <c:formatCode>#,##0</c:formatCode>
                <c:ptCount val="12"/>
                <c:pt idx="0">
                  <c:v>180222.61</c:v>
                </c:pt>
                <c:pt idx="1">
                  <c:v>225127.07</c:v>
                </c:pt>
                <c:pt idx="2">
                  <c:v>225944.73</c:v>
                </c:pt>
                <c:pt idx="3">
                  <c:v>231696.36</c:v>
                </c:pt>
                <c:pt idx="4">
                  <c:v>366579</c:v>
                </c:pt>
                <c:pt idx="5">
                  <c:v>422304.03</c:v>
                </c:pt>
                <c:pt idx="6">
                  <c:v>566572.09</c:v>
                </c:pt>
                <c:pt idx="7">
                  <c:v>665218.61</c:v>
                </c:pt>
                <c:pt idx="8">
                  <c:v>363747</c:v>
                </c:pt>
                <c:pt idx="9">
                  <c:v>383589.73</c:v>
                </c:pt>
                <c:pt idx="10">
                  <c:v>343022.96</c:v>
                </c:pt>
                <c:pt idx="11">
                  <c:v>349186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6E6-40F6-9875-7E98CF10435B}"/>
            </c:ext>
          </c:extLst>
        </c:ser>
        <c:ser>
          <c:idx val="5"/>
          <c:order val="5"/>
          <c:tx>
            <c:strRef>
              <c:f>DONNÉES!$CJ$11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DONNÉES!$CD$12:$CD$23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DONNÉES!$CJ$12:$CJ$23</c:f>
              <c:numCache>
                <c:formatCode>#,##0</c:formatCode>
                <c:ptCount val="12"/>
                <c:pt idx="0">
                  <c:v>310830</c:v>
                </c:pt>
                <c:pt idx="1">
                  <c:v>337530</c:v>
                </c:pt>
                <c:pt idx="2">
                  <c:v>153876</c:v>
                </c:pt>
                <c:pt idx="3">
                  <c:v>0</c:v>
                </c:pt>
                <c:pt idx="4">
                  <c:v>245284</c:v>
                </c:pt>
                <c:pt idx="5">
                  <c:v>409125</c:v>
                </c:pt>
                <c:pt idx="6">
                  <c:v>588949</c:v>
                </c:pt>
                <c:pt idx="7">
                  <c:v>692944</c:v>
                </c:pt>
                <c:pt idx="8">
                  <c:v>366872</c:v>
                </c:pt>
                <c:pt idx="9">
                  <c:v>352527</c:v>
                </c:pt>
                <c:pt idx="10">
                  <c:v>208803.79</c:v>
                </c:pt>
                <c:pt idx="11">
                  <c:v>262939.93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9-42D6-9D9B-56696C0C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4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DONNÉES!$CM$11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DONNÉES!$CL$12:$CL$23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DONNÉES!$CM$12:$CM$23</c:f>
              <c:numCache>
                <c:formatCode>#,##0</c:formatCode>
                <c:ptCount val="12"/>
                <c:pt idx="0">
                  <c:v>379222.46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AD4-4AF8-AFEC-C0145EB5CD80}"/>
            </c:ext>
          </c:extLst>
        </c:ser>
        <c:ser>
          <c:idx val="3"/>
          <c:order val="1"/>
          <c:tx>
            <c:strRef>
              <c:f>DONNÉES!$CN$11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DONNÉES!$CL$12:$CL$23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DONNÉES!$CN$12:$CN$23</c:f>
              <c:numCache>
                <c:formatCode>#,##0</c:formatCode>
                <c:ptCount val="12"/>
                <c:pt idx="0">
                  <c:v>316396</c:v>
                </c:pt>
                <c:pt idx="1">
                  <c:v>319905.21000000002</c:v>
                </c:pt>
                <c:pt idx="2">
                  <c:v>391689.64</c:v>
                </c:pt>
                <c:pt idx="3">
                  <c:v>381945.32</c:v>
                </c:pt>
                <c:pt idx="4">
                  <c:v>399493</c:v>
                </c:pt>
                <c:pt idx="5">
                  <c:v>388948.47</c:v>
                </c:pt>
                <c:pt idx="6">
                  <c:v>426711.28</c:v>
                </c:pt>
                <c:pt idx="7">
                  <c:v>487871.85</c:v>
                </c:pt>
                <c:pt idx="8">
                  <c:v>373250.06</c:v>
                </c:pt>
                <c:pt idx="9">
                  <c:v>380609.01</c:v>
                </c:pt>
                <c:pt idx="10">
                  <c:v>408273.11</c:v>
                </c:pt>
                <c:pt idx="11">
                  <c:v>407405.56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AD4-4AF8-AFEC-C0145EB5CD80}"/>
            </c:ext>
          </c:extLst>
        </c:ser>
        <c:ser>
          <c:idx val="2"/>
          <c:order val="2"/>
          <c:tx>
            <c:strRef>
              <c:f>DONNÉES!$CO$11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DONNÉES!$CL$12:$CL$23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DONNÉES!$CO$12:$CO$23</c:f>
              <c:numCache>
                <c:formatCode>#,##0</c:formatCode>
                <c:ptCount val="12"/>
                <c:pt idx="0">
                  <c:v>501495.66</c:v>
                </c:pt>
                <c:pt idx="1">
                  <c:v>489206.53</c:v>
                </c:pt>
                <c:pt idx="2">
                  <c:v>495459.64</c:v>
                </c:pt>
                <c:pt idx="3">
                  <c:v>546882.86</c:v>
                </c:pt>
                <c:pt idx="4">
                  <c:v>556028.92000000004</c:v>
                </c:pt>
                <c:pt idx="5">
                  <c:v>507910.79</c:v>
                </c:pt>
                <c:pt idx="6">
                  <c:v>633372.79</c:v>
                </c:pt>
                <c:pt idx="7">
                  <c:v>672760.14</c:v>
                </c:pt>
                <c:pt idx="8">
                  <c:v>516435.67</c:v>
                </c:pt>
                <c:pt idx="9">
                  <c:v>537367.22</c:v>
                </c:pt>
                <c:pt idx="10">
                  <c:v>523194.13</c:v>
                </c:pt>
                <c:pt idx="11">
                  <c:v>428618.23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AD4-4AF8-AFEC-C0145EB5CD80}"/>
            </c:ext>
          </c:extLst>
        </c:ser>
        <c:ser>
          <c:idx val="1"/>
          <c:order val="3"/>
          <c:tx>
            <c:strRef>
              <c:f>DONNÉES!$CP$11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DONNÉES!$CL$12:$CL$23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DONNÉES!$CP$12:$CP$23</c:f>
              <c:numCache>
                <c:formatCode>#,##0</c:formatCode>
                <c:ptCount val="12"/>
                <c:pt idx="0">
                  <c:v>455805</c:v>
                </c:pt>
                <c:pt idx="1">
                  <c:v>451147</c:v>
                </c:pt>
                <c:pt idx="2">
                  <c:v>453709</c:v>
                </c:pt>
                <c:pt idx="3">
                  <c:v>502515.58</c:v>
                </c:pt>
                <c:pt idx="4">
                  <c:v>515836.8</c:v>
                </c:pt>
                <c:pt idx="5">
                  <c:v>519889.41</c:v>
                </c:pt>
                <c:pt idx="6">
                  <c:v>593315.69999999995</c:v>
                </c:pt>
                <c:pt idx="7">
                  <c:v>640375.92000000004</c:v>
                </c:pt>
                <c:pt idx="8">
                  <c:v>463843.82</c:v>
                </c:pt>
                <c:pt idx="9">
                  <c:v>450146.96</c:v>
                </c:pt>
                <c:pt idx="10">
                  <c:v>476154.23</c:v>
                </c:pt>
                <c:pt idx="11">
                  <c:v>536116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AD4-4AF8-AFEC-C0145EB5CD80}"/>
            </c:ext>
          </c:extLst>
        </c:ser>
        <c:ser>
          <c:idx val="0"/>
          <c:order val="4"/>
          <c:tx>
            <c:strRef>
              <c:f>DONNÉES!$CQ$11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DONNÉES!$CL$12:$CL$23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DONNÉES!$CQ$12:$CQ$23</c:f>
              <c:numCache>
                <c:formatCode>#,##0</c:formatCode>
                <c:ptCount val="12"/>
                <c:pt idx="0">
                  <c:v>286132.3</c:v>
                </c:pt>
                <c:pt idx="1">
                  <c:v>253717.39</c:v>
                </c:pt>
                <c:pt idx="2">
                  <c:v>284241.59000000003</c:v>
                </c:pt>
                <c:pt idx="3">
                  <c:v>292070.08</c:v>
                </c:pt>
                <c:pt idx="4">
                  <c:v>403112.58</c:v>
                </c:pt>
                <c:pt idx="5">
                  <c:v>459466.31</c:v>
                </c:pt>
                <c:pt idx="6">
                  <c:v>538120.9</c:v>
                </c:pt>
                <c:pt idx="7">
                  <c:v>588531.26</c:v>
                </c:pt>
                <c:pt idx="8">
                  <c:v>437653.48</c:v>
                </c:pt>
                <c:pt idx="9">
                  <c:v>482367</c:v>
                </c:pt>
                <c:pt idx="10">
                  <c:v>456441.45</c:v>
                </c:pt>
                <c:pt idx="11">
                  <c:v>483886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AD4-4AF8-AFEC-C0145EB5C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4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DONNÉES!$CU$11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DONNÉES!$CU$12:$CU$23</c:f>
              <c:numCache>
                <c:formatCode>#,##0</c:formatCode>
                <c:ptCount val="12"/>
                <c:pt idx="0">
                  <c:v>456276.63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73-4736-8AE8-AE0CEBB59BD8}"/>
            </c:ext>
          </c:extLst>
        </c:ser>
        <c:ser>
          <c:idx val="3"/>
          <c:order val="1"/>
          <c:tx>
            <c:strRef>
              <c:f>DONNÉES!$CV$11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DONNÉES!$CV$12:$CV$23</c:f>
              <c:numCache>
                <c:formatCode>#,##0</c:formatCode>
                <c:ptCount val="12"/>
                <c:pt idx="0">
                  <c:v>414258</c:v>
                </c:pt>
                <c:pt idx="1">
                  <c:v>392445.19</c:v>
                </c:pt>
                <c:pt idx="2">
                  <c:v>444754.05</c:v>
                </c:pt>
                <c:pt idx="3">
                  <c:v>421523.02</c:v>
                </c:pt>
                <c:pt idx="4">
                  <c:v>440171.64</c:v>
                </c:pt>
                <c:pt idx="5">
                  <c:v>427001.1</c:v>
                </c:pt>
                <c:pt idx="6">
                  <c:v>436785.56</c:v>
                </c:pt>
                <c:pt idx="7">
                  <c:v>518058.23999999999</c:v>
                </c:pt>
                <c:pt idx="8">
                  <c:v>438586.59</c:v>
                </c:pt>
                <c:pt idx="9">
                  <c:v>448749.97</c:v>
                </c:pt>
                <c:pt idx="10">
                  <c:v>478557.31</c:v>
                </c:pt>
                <c:pt idx="11">
                  <c:v>445203.67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E73-4736-8AE8-AE0CEBB59BD8}"/>
            </c:ext>
          </c:extLst>
        </c:ser>
        <c:ser>
          <c:idx val="2"/>
          <c:order val="2"/>
          <c:tx>
            <c:strRef>
              <c:f>DONNÉES!$CW$11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DONNÉES!$CW$12:$CW$23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E73-4736-8AE8-AE0CEBB59BD8}"/>
            </c:ext>
          </c:extLst>
        </c:ser>
        <c:ser>
          <c:idx val="1"/>
          <c:order val="3"/>
          <c:tx>
            <c:strRef>
              <c:f>DONNÉES!$CX$11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DONNÉES!$CX$12:$CX$23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E73-4736-8AE8-AE0CEBB59BD8}"/>
            </c:ext>
          </c:extLst>
        </c:ser>
        <c:ser>
          <c:idx val="0"/>
          <c:order val="4"/>
          <c:tx>
            <c:strRef>
              <c:f>DONNÉES!$CY$11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DONNÉES!$CY$12:$CY$23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E73-4736-8AE8-AE0CEBB59BD8}"/>
            </c:ext>
          </c:extLst>
        </c:ser>
        <c:ser>
          <c:idx val="5"/>
          <c:order val="5"/>
          <c:tx>
            <c:strRef>
              <c:f>DONNÉES!$CZ$11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DONNÉES!$CT$12:$CT$23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DONNÉES!$CZ$12:$CZ$23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73-4736-8AE8-AE0CEBB59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5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HUGO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DONNÉES!$DC$11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DONNÉES!$DC$12:$DC$23</c:f>
              <c:numCache>
                <c:formatCode>#,##0</c:formatCode>
                <c:ptCount val="12"/>
                <c:pt idx="0">
                  <c:v>539432.95999999996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CD1-4FDA-A28A-2518A1D34A93}"/>
            </c:ext>
          </c:extLst>
        </c:ser>
        <c:ser>
          <c:idx val="3"/>
          <c:order val="1"/>
          <c:tx>
            <c:strRef>
              <c:f>DONNÉES!$DD$11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DONNÉES!$DD$12:$DD$23</c:f>
              <c:numCache>
                <c:formatCode>#,##0</c:formatCode>
                <c:ptCount val="12"/>
                <c:pt idx="0">
                  <c:v>507935</c:v>
                </c:pt>
                <c:pt idx="1">
                  <c:v>459930.54</c:v>
                </c:pt>
                <c:pt idx="2">
                  <c:v>542913.28000000003</c:v>
                </c:pt>
                <c:pt idx="3">
                  <c:v>514695.74</c:v>
                </c:pt>
                <c:pt idx="4">
                  <c:v>533534.93000000005</c:v>
                </c:pt>
                <c:pt idx="5">
                  <c:v>541731.74</c:v>
                </c:pt>
                <c:pt idx="6">
                  <c:v>539322.49</c:v>
                </c:pt>
                <c:pt idx="7">
                  <c:v>586019.36</c:v>
                </c:pt>
                <c:pt idx="8">
                  <c:v>494249.15</c:v>
                </c:pt>
                <c:pt idx="9">
                  <c:v>507610.36</c:v>
                </c:pt>
                <c:pt idx="10">
                  <c:v>555479.61</c:v>
                </c:pt>
                <c:pt idx="11">
                  <c:v>577281.32999999996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CD1-4FDA-A28A-2518A1D34A93}"/>
            </c:ext>
          </c:extLst>
        </c:ser>
        <c:ser>
          <c:idx val="2"/>
          <c:order val="2"/>
          <c:tx>
            <c:strRef>
              <c:f>DONNÉES!$DE$11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DONNÉES!$DE$12:$DE$23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D1-4FDA-A28A-2518A1D34A93}"/>
            </c:ext>
          </c:extLst>
        </c:ser>
        <c:ser>
          <c:idx val="1"/>
          <c:order val="3"/>
          <c:tx>
            <c:strRef>
              <c:f>DONNÉES!$DF$11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DONNÉES!$DF$12:$DF$23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CD1-4FDA-A28A-2518A1D34A93}"/>
            </c:ext>
          </c:extLst>
        </c:ser>
        <c:ser>
          <c:idx val="0"/>
          <c:order val="4"/>
          <c:tx>
            <c:strRef>
              <c:f>DONNÉES!$DG$11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DONNÉES!$DG$12:$DG$23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CD1-4FDA-A28A-2518A1D34A93}"/>
            </c:ext>
          </c:extLst>
        </c:ser>
        <c:ser>
          <c:idx val="5"/>
          <c:order val="5"/>
          <c:tx>
            <c:strRef>
              <c:f>DONNÉES!$DH$11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DONNÉES!$DB$12:$DB$23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DONNÉES!$DH$12:$DH$23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D1-4FDA-A28A-2518A1D3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5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JEANCLO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DONNÉES!$DK$11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DONNÉES!$DK$12:$DK$23</c:f>
              <c:numCache>
                <c:formatCode>#,##0</c:formatCode>
                <c:ptCount val="12"/>
                <c:pt idx="0">
                  <c:v>217804.69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C16-48E7-8F11-5FA15D3A31C1}"/>
            </c:ext>
          </c:extLst>
        </c:ser>
        <c:ser>
          <c:idx val="3"/>
          <c:order val="1"/>
          <c:tx>
            <c:strRef>
              <c:f>DONNÉES!$DL$11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DONNÉES!$DL$12:$DL$23</c:f>
              <c:numCache>
                <c:formatCode>#,##0</c:formatCode>
                <c:ptCount val="12"/>
                <c:pt idx="0">
                  <c:v>210624</c:v>
                </c:pt>
                <c:pt idx="1">
                  <c:v>197914.73</c:v>
                </c:pt>
                <c:pt idx="2">
                  <c:v>202057.96</c:v>
                </c:pt>
                <c:pt idx="3">
                  <c:v>198183.77</c:v>
                </c:pt>
                <c:pt idx="4">
                  <c:v>203122.39</c:v>
                </c:pt>
                <c:pt idx="5">
                  <c:v>208265.96</c:v>
                </c:pt>
                <c:pt idx="6">
                  <c:v>212001.81</c:v>
                </c:pt>
                <c:pt idx="7">
                  <c:v>228519.63</c:v>
                </c:pt>
                <c:pt idx="8">
                  <c:v>213400.27</c:v>
                </c:pt>
                <c:pt idx="9">
                  <c:v>214907.75</c:v>
                </c:pt>
                <c:pt idx="10">
                  <c:v>226433.92000000001</c:v>
                </c:pt>
                <c:pt idx="11">
                  <c:v>240551.02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C16-48E7-8F11-5FA15D3A31C1}"/>
            </c:ext>
          </c:extLst>
        </c:ser>
        <c:ser>
          <c:idx val="2"/>
          <c:order val="2"/>
          <c:tx>
            <c:strRef>
              <c:f>DONNÉES!$DM$11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DONNÉES!$DM$12:$DM$23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C16-48E7-8F11-5FA15D3A31C1}"/>
            </c:ext>
          </c:extLst>
        </c:ser>
        <c:ser>
          <c:idx val="1"/>
          <c:order val="3"/>
          <c:tx>
            <c:strRef>
              <c:f>DONNÉES!$DN$11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DONNÉES!$DN$12:$DN$23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C16-48E7-8F11-5FA15D3A31C1}"/>
            </c:ext>
          </c:extLst>
        </c:ser>
        <c:ser>
          <c:idx val="0"/>
          <c:order val="4"/>
          <c:tx>
            <c:strRef>
              <c:f>DONNÉES!$DO$11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DONNÉES!$DO$12:$DO$23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C16-48E7-8F11-5FA15D3A31C1}"/>
            </c:ext>
          </c:extLst>
        </c:ser>
        <c:ser>
          <c:idx val="5"/>
          <c:order val="5"/>
          <c:tx>
            <c:strRef>
              <c:f>DONNÉES!$DP$11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DONNÉES!$DJ$12:$DJ$23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DONNÉES!$DP$12:$DP$23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6-48E7-8F11-5FA15D3A3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5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THOMAS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DONNÉES!$DS$11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DONNÉES!$DS$12:$DS$23</c:f>
              <c:numCache>
                <c:formatCode>#,##0</c:formatCode>
                <c:ptCount val="12"/>
                <c:pt idx="0">
                  <c:v>347720.47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6D-46BB-AA4B-EA93BF4D89C5}"/>
            </c:ext>
          </c:extLst>
        </c:ser>
        <c:ser>
          <c:idx val="3"/>
          <c:order val="1"/>
          <c:tx>
            <c:strRef>
              <c:f>DONNÉES!$DT$11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DONNÉES!$DT$12:$DT$23</c:f>
              <c:numCache>
                <c:formatCode>#,##0</c:formatCode>
                <c:ptCount val="12"/>
                <c:pt idx="0">
                  <c:v>349402</c:v>
                </c:pt>
                <c:pt idx="1">
                  <c:v>329585.52</c:v>
                </c:pt>
                <c:pt idx="2">
                  <c:v>365921.67</c:v>
                </c:pt>
                <c:pt idx="3">
                  <c:v>342732.24</c:v>
                </c:pt>
                <c:pt idx="4">
                  <c:v>358236.54</c:v>
                </c:pt>
                <c:pt idx="5">
                  <c:v>351896.92</c:v>
                </c:pt>
                <c:pt idx="6">
                  <c:v>338195.18</c:v>
                </c:pt>
                <c:pt idx="7">
                  <c:v>359290.12</c:v>
                </c:pt>
                <c:pt idx="8">
                  <c:v>333942.53000000003</c:v>
                </c:pt>
                <c:pt idx="9">
                  <c:v>345694.94</c:v>
                </c:pt>
                <c:pt idx="10">
                  <c:v>361725.11</c:v>
                </c:pt>
                <c:pt idx="11">
                  <c:v>363858.04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46D-46BB-AA4B-EA93BF4D89C5}"/>
            </c:ext>
          </c:extLst>
        </c:ser>
        <c:ser>
          <c:idx val="2"/>
          <c:order val="2"/>
          <c:tx>
            <c:strRef>
              <c:f>DONNÉES!$DU$11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DONNÉES!$DU$12:$DU$23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46D-46BB-AA4B-EA93BF4D89C5}"/>
            </c:ext>
          </c:extLst>
        </c:ser>
        <c:ser>
          <c:idx val="1"/>
          <c:order val="3"/>
          <c:tx>
            <c:strRef>
              <c:f>DONNÉES!$DV$11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DONNÉES!$DV$12:$DV$23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46D-46BB-AA4B-EA93BF4D89C5}"/>
            </c:ext>
          </c:extLst>
        </c:ser>
        <c:ser>
          <c:idx val="0"/>
          <c:order val="4"/>
          <c:tx>
            <c:strRef>
              <c:f>DONNÉES!$DW$11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DONNÉES!$DW$12:$DW$23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46D-46BB-AA4B-EA93BF4D89C5}"/>
            </c:ext>
          </c:extLst>
        </c:ser>
        <c:ser>
          <c:idx val="5"/>
          <c:order val="5"/>
          <c:tx>
            <c:strRef>
              <c:f>DONNÉES!$DX$11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DONNÉES!$DR$12:$DR$23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DONNÉES!$DX$12:$DX$23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6D-46BB-AA4B-EA93BF4D8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5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CATALINA</a:t>
            </a:r>
          </a:p>
          <a:p>
            <a:pPr>
              <a:defRPr/>
            </a:pPr>
            <a:r>
              <a:rPr lang="fr-FR"/>
              <a:t>Évolution mensuelle du chiffre d'affaires</a:t>
            </a:r>
          </a:p>
        </c:rich>
      </c:tx>
      <c:layout>
        <c:manualLayout>
          <c:xMode val="edge"/>
          <c:yMode val="edge"/>
          <c:x val="0.27107213676530045"/>
          <c:y val="2.7826130512311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5370205609239969E-2"/>
          <c:w val="0.88255058429432265"/>
          <c:h val="0.81905584462549497"/>
        </c:manualLayout>
      </c:layout>
      <c:lineChart>
        <c:grouping val="standard"/>
        <c:varyColors val="0"/>
        <c:ser>
          <c:idx val="4"/>
          <c:order val="0"/>
          <c:tx>
            <c:strRef>
              <c:f>DONNÉES!$EA$11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DONNÉES!$EA$12:$EA$23</c:f>
              <c:numCache>
                <c:formatCode>#,##0</c:formatCode>
                <c:ptCount val="12"/>
                <c:pt idx="0">
                  <c:v>207907.62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DB-4146-ADF7-51673D744B5C}"/>
            </c:ext>
          </c:extLst>
        </c:ser>
        <c:ser>
          <c:idx val="3"/>
          <c:order val="1"/>
          <c:tx>
            <c:strRef>
              <c:f>DONNÉES!$EB$11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DONNÉES!$EB$12:$EB$23</c:f>
              <c:numCache>
                <c:formatCode>#,##0</c:formatCode>
                <c:ptCount val="12"/>
                <c:pt idx="7">
                  <c:v>365211.91</c:v>
                </c:pt>
                <c:pt idx="8">
                  <c:v>218756.84</c:v>
                </c:pt>
                <c:pt idx="9">
                  <c:v>227098.28</c:v>
                </c:pt>
                <c:pt idx="10">
                  <c:v>228986.35</c:v>
                </c:pt>
                <c:pt idx="11">
                  <c:v>221506.53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ADB-4146-ADF7-51673D744B5C}"/>
            </c:ext>
          </c:extLst>
        </c:ser>
        <c:ser>
          <c:idx val="2"/>
          <c:order val="2"/>
          <c:tx>
            <c:strRef>
              <c:f>DONNÉES!$EC$11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DONNÉES!$EC$12:$EC$23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ADB-4146-ADF7-51673D744B5C}"/>
            </c:ext>
          </c:extLst>
        </c:ser>
        <c:ser>
          <c:idx val="1"/>
          <c:order val="3"/>
          <c:tx>
            <c:strRef>
              <c:f>DONNÉES!$ED$11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DONNÉES!$ED$12:$ED$23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ADB-4146-ADF7-51673D744B5C}"/>
            </c:ext>
          </c:extLst>
        </c:ser>
        <c:ser>
          <c:idx val="0"/>
          <c:order val="4"/>
          <c:tx>
            <c:strRef>
              <c:f>DONNÉES!$EE$11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DONNÉES!$EE$12:$EE$23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ADB-4146-ADF7-51673D744B5C}"/>
            </c:ext>
          </c:extLst>
        </c:ser>
        <c:ser>
          <c:idx val="5"/>
          <c:order val="5"/>
          <c:tx>
            <c:strRef>
              <c:f>DONNÉES!$EF$11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DONNÉES!$DZ$12:$DZ$23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DONNÉES!$EF$12:$EF$23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DB-4146-ADF7-51673D74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5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 cap="rnd">
          <a:solidFill>
            <a:schemeClr val="dk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rnd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DONNÉES!$K$27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DONNÉES!$K$28:$K$39</c:f>
              <c:numCache>
                <c:formatCode>#,##0</c:formatCode>
                <c:ptCount val="12"/>
                <c:pt idx="0">
                  <c:v>-1132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28-4A42-AF53-38DEC5B1B45A}"/>
            </c:ext>
          </c:extLst>
        </c:ser>
        <c:ser>
          <c:idx val="0"/>
          <c:order val="1"/>
          <c:tx>
            <c:strRef>
              <c:f>DONNÉES!$L$27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DONNÉES!$L$28:$L$39</c:f>
              <c:numCache>
                <c:formatCode>#,##0</c:formatCode>
                <c:ptCount val="12"/>
                <c:pt idx="0">
                  <c:v>-712</c:v>
                </c:pt>
                <c:pt idx="1">
                  <c:v>-6231.87</c:v>
                </c:pt>
                <c:pt idx="2">
                  <c:v>13716.79</c:v>
                </c:pt>
                <c:pt idx="3">
                  <c:v>8637</c:v>
                </c:pt>
                <c:pt idx="4">
                  <c:v>14614</c:v>
                </c:pt>
                <c:pt idx="5">
                  <c:v>21065</c:v>
                </c:pt>
                <c:pt idx="6">
                  <c:v>21177</c:v>
                </c:pt>
                <c:pt idx="7">
                  <c:v>55945</c:v>
                </c:pt>
                <c:pt idx="8">
                  <c:v>67352</c:v>
                </c:pt>
                <c:pt idx="9">
                  <c:v>86520</c:v>
                </c:pt>
                <c:pt idx="10">
                  <c:v>102169</c:v>
                </c:pt>
                <c:pt idx="11">
                  <c:v>155210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28-4A42-AF53-38DEC5B1B45A}"/>
            </c:ext>
          </c:extLst>
        </c:ser>
        <c:ser>
          <c:idx val="1"/>
          <c:order val="2"/>
          <c:tx>
            <c:strRef>
              <c:f>DONNÉES!$M$27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DONNÉES!$M$28:$M$39</c:f>
              <c:numCache>
                <c:formatCode>#,##0</c:formatCode>
                <c:ptCount val="12"/>
                <c:pt idx="0">
                  <c:v>23975</c:v>
                </c:pt>
                <c:pt idx="1">
                  <c:v>67887</c:v>
                </c:pt>
                <c:pt idx="2">
                  <c:v>103869</c:v>
                </c:pt>
                <c:pt idx="3">
                  <c:v>154285</c:v>
                </c:pt>
                <c:pt idx="4">
                  <c:v>178575</c:v>
                </c:pt>
                <c:pt idx="5">
                  <c:v>197815</c:v>
                </c:pt>
                <c:pt idx="6">
                  <c:v>229921.37</c:v>
                </c:pt>
                <c:pt idx="7">
                  <c:v>265341.8</c:v>
                </c:pt>
                <c:pt idx="8">
                  <c:v>302920.39</c:v>
                </c:pt>
                <c:pt idx="9">
                  <c:v>327207.71999999997</c:v>
                </c:pt>
                <c:pt idx="10">
                  <c:v>325258.88</c:v>
                </c:pt>
                <c:pt idx="11">
                  <c:v>328459.15000000002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28-4A42-AF53-38DEC5B1B45A}"/>
            </c:ext>
          </c:extLst>
        </c:ser>
        <c:ser>
          <c:idx val="2"/>
          <c:order val="3"/>
          <c:tx>
            <c:strRef>
              <c:f>DONNÉES!$N$27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DONNÉES!$N$28:$N$39</c:f>
              <c:numCache>
                <c:formatCode>#,##0</c:formatCode>
                <c:ptCount val="12"/>
                <c:pt idx="0">
                  <c:v>46024</c:v>
                </c:pt>
                <c:pt idx="1">
                  <c:v>101039</c:v>
                </c:pt>
                <c:pt idx="2">
                  <c:v>158060</c:v>
                </c:pt>
                <c:pt idx="3">
                  <c:v>207667</c:v>
                </c:pt>
                <c:pt idx="4">
                  <c:v>256777</c:v>
                </c:pt>
                <c:pt idx="5">
                  <c:v>303767</c:v>
                </c:pt>
                <c:pt idx="6">
                  <c:v>350147</c:v>
                </c:pt>
                <c:pt idx="7">
                  <c:v>391254</c:v>
                </c:pt>
                <c:pt idx="8">
                  <c:v>415063</c:v>
                </c:pt>
                <c:pt idx="9">
                  <c:v>450355</c:v>
                </c:pt>
                <c:pt idx="10">
                  <c:v>452900</c:v>
                </c:pt>
                <c:pt idx="11">
                  <c:v>489914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28-4A42-AF53-38DEC5B1B45A}"/>
            </c:ext>
          </c:extLst>
        </c:ser>
        <c:ser>
          <c:idx val="3"/>
          <c:order val="4"/>
          <c:tx>
            <c:strRef>
              <c:f>DONNÉES!$O$27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DONNÉES!$O$28:$O$39</c:f>
              <c:numCache>
                <c:formatCode>#,##0</c:formatCode>
                <c:ptCount val="12"/>
                <c:pt idx="0">
                  <c:v>16913</c:v>
                </c:pt>
                <c:pt idx="1">
                  <c:v>11814</c:v>
                </c:pt>
                <c:pt idx="2">
                  <c:v>30502</c:v>
                </c:pt>
                <c:pt idx="3">
                  <c:v>56722</c:v>
                </c:pt>
                <c:pt idx="4">
                  <c:v>95026</c:v>
                </c:pt>
                <c:pt idx="5">
                  <c:v>131146</c:v>
                </c:pt>
                <c:pt idx="6">
                  <c:v>236946</c:v>
                </c:pt>
                <c:pt idx="7">
                  <c:v>320453</c:v>
                </c:pt>
                <c:pt idx="8">
                  <c:v>367378</c:v>
                </c:pt>
                <c:pt idx="9">
                  <c:v>423366</c:v>
                </c:pt>
                <c:pt idx="10">
                  <c:v>464433</c:v>
                </c:pt>
                <c:pt idx="11">
                  <c:v>533956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28-4A42-AF53-38DEC5B1B45A}"/>
            </c:ext>
          </c:extLst>
        </c:ser>
        <c:ser>
          <c:idx val="5"/>
          <c:order val="5"/>
          <c:tx>
            <c:strRef>
              <c:f>DONNÉES!$P$27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DONNÉES!$J$28:$J$39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DONNÉES!$P$28:$P$39</c:f>
              <c:numCache>
                <c:formatCode>#,##0</c:formatCode>
                <c:ptCount val="12"/>
                <c:pt idx="0">
                  <c:v>44760</c:v>
                </c:pt>
                <c:pt idx="1">
                  <c:v>100201</c:v>
                </c:pt>
                <c:pt idx="2">
                  <c:v>61145</c:v>
                </c:pt>
                <c:pt idx="3">
                  <c:v>-28183</c:v>
                </c:pt>
                <c:pt idx="4">
                  <c:v>-52525</c:v>
                </c:pt>
                <c:pt idx="5">
                  <c:v>-47186</c:v>
                </c:pt>
                <c:pt idx="6">
                  <c:v>-27069</c:v>
                </c:pt>
                <c:pt idx="7">
                  <c:v>16054</c:v>
                </c:pt>
                <c:pt idx="8">
                  <c:v>29225</c:v>
                </c:pt>
                <c:pt idx="9">
                  <c:v>53754</c:v>
                </c:pt>
                <c:pt idx="10">
                  <c:v>46587</c:v>
                </c:pt>
                <c:pt idx="11">
                  <c:v>61720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D28-4A42-AF53-38DEC5B1B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5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DONNÉES!$S$27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DONNÉES!$S$28:$S$39</c:f>
              <c:numCache>
                <c:formatCode>#,##0</c:formatCode>
                <c:ptCount val="12"/>
                <c:pt idx="0">
                  <c:v>-7163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66-4369-84FD-0BCB319E37EA}"/>
            </c:ext>
          </c:extLst>
        </c:ser>
        <c:ser>
          <c:idx val="0"/>
          <c:order val="1"/>
          <c:tx>
            <c:strRef>
              <c:f>DONNÉES!$T$27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DONNÉES!$T$28:$T$39</c:f>
              <c:numCache>
                <c:formatCode>#,##0</c:formatCode>
                <c:ptCount val="12"/>
                <c:pt idx="0">
                  <c:v>-19109</c:v>
                </c:pt>
                <c:pt idx="1">
                  <c:v>-35060.57</c:v>
                </c:pt>
                <c:pt idx="2">
                  <c:v>-35766.99</c:v>
                </c:pt>
                <c:pt idx="3">
                  <c:v>-47885</c:v>
                </c:pt>
                <c:pt idx="4">
                  <c:v>-56218</c:v>
                </c:pt>
                <c:pt idx="5">
                  <c:v>-64527</c:v>
                </c:pt>
                <c:pt idx="6">
                  <c:v>-70248</c:v>
                </c:pt>
                <c:pt idx="7">
                  <c:v>-60408</c:v>
                </c:pt>
                <c:pt idx="8">
                  <c:v>-71719</c:v>
                </c:pt>
                <c:pt idx="9">
                  <c:v>-84785</c:v>
                </c:pt>
                <c:pt idx="10">
                  <c:v>-96060</c:v>
                </c:pt>
                <c:pt idx="11">
                  <c:v>-83667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6-4369-84FD-0BCB319E37EA}"/>
            </c:ext>
          </c:extLst>
        </c:ser>
        <c:ser>
          <c:idx val="1"/>
          <c:order val="2"/>
          <c:tx>
            <c:strRef>
              <c:f>DONNÉES!$U$27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DONNÉES!$U$28:$U$39</c:f>
              <c:numCache>
                <c:formatCode>#,##0</c:formatCode>
                <c:ptCount val="12"/>
                <c:pt idx="0">
                  <c:v>-3666</c:v>
                </c:pt>
                <c:pt idx="1">
                  <c:v>-4234</c:v>
                </c:pt>
                <c:pt idx="2">
                  <c:v>-16687</c:v>
                </c:pt>
                <c:pt idx="3">
                  <c:v>-6454</c:v>
                </c:pt>
                <c:pt idx="4">
                  <c:v>-17112</c:v>
                </c:pt>
                <c:pt idx="5">
                  <c:v>-17290</c:v>
                </c:pt>
                <c:pt idx="6">
                  <c:v>-13553</c:v>
                </c:pt>
                <c:pt idx="7">
                  <c:v>-14958.75</c:v>
                </c:pt>
                <c:pt idx="8">
                  <c:v>-26521.24</c:v>
                </c:pt>
                <c:pt idx="9">
                  <c:v>-36958.07</c:v>
                </c:pt>
                <c:pt idx="10">
                  <c:v>-42732.959999999999</c:v>
                </c:pt>
                <c:pt idx="11">
                  <c:v>-54711.48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6-4369-84FD-0BCB319E37EA}"/>
            </c:ext>
          </c:extLst>
        </c:ser>
        <c:ser>
          <c:idx val="2"/>
          <c:order val="3"/>
          <c:tx>
            <c:strRef>
              <c:f>DONNÉES!$V$27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DONNÉES!$V$28:$V$39</c:f>
              <c:numCache>
                <c:formatCode>#,##0</c:formatCode>
                <c:ptCount val="12"/>
                <c:pt idx="0">
                  <c:v>8248</c:v>
                </c:pt>
                <c:pt idx="1">
                  <c:v>4850</c:v>
                </c:pt>
                <c:pt idx="2">
                  <c:v>-2482</c:v>
                </c:pt>
                <c:pt idx="3">
                  <c:v>9351</c:v>
                </c:pt>
                <c:pt idx="4">
                  <c:v>5518</c:v>
                </c:pt>
                <c:pt idx="5">
                  <c:v>-3641</c:v>
                </c:pt>
                <c:pt idx="6">
                  <c:v>-11341</c:v>
                </c:pt>
                <c:pt idx="7">
                  <c:v>-11755</c:v>
                </c:pt>
                <c:pt idx="8">
                  <c:v>-34339</c:v>
                </c:pt>
                <c:pt idx="9">
                  <c:v>-39782</c:v>
                </c:pt>
                <c:pt idx="10">
                  <c:v>-49491</c:v>
                </c:pt>
                <c:pt idx="11">
                  <c:v>-44177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66-4369-84FD-0BCB319E37EA}"/>
            </c:ext>
          </c:extLst>
        </c:ser>
        <c:ser>
          <c:idx val="3"/>
          <c:order val="4"/>
          <c:tx>
            <c:strRef>
              <c:f>DONNÉES!$W$27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DONNÉES!$W$28:$W$39</c:f>
              <c:numCache>
                <c:formatCode>#,##0</c:formatCode>
                <c:ptCount val="12"/>
                <c:pt idx="0">
                  <c:v>3667</c:v>
                </c:pt>
                <c:pt idx="1">
                  <c:v>-6285</c:v>
                </c:pt>
                <c:pt idx="2">
                  <c:v>-2962</c:v>
                </c:pt>
                <c:pt idx="3">
                  <c:v>-5834</c:v>
                </c:pt>
                <c:pt idx="4">
                  <c:v>920</c:v>
                </c:pt>
                <c:pt idx="5">
                  <c:v>12648</c:v>
                </c:pt>
                <c:pt idx="6">
                  <c:v>47346</c:v>
                </c:pt>
                <c:pt idx="7">
                  <c:v>87343</c:v>
                </c:pt>
                <c:pt idx="8">
                  <c:v>87343</c:v>
                </c:pt>
                <c:pt idx="9">
                  <c:v>91702</c:v>
                </c:pt>
                <c:pt idx="10">
                  <c:v>86730</c:v>
                </c:pt>
                <c:pt idx="11">
                  <c:v>90817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66-4369-84FD-0BCB319E37EA}"/>
            </c:ext>
          </c:extLst>
        </c:ser>
        <c:ser>
          <c:idx val="5"/>
          <c:order val="5"/>
          <c:tx>
            <c:strRef>
              <c:f>DONNÉES!$X$27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DONNÉES!$R$28:$R$39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DONNÉES!$X$28:$X$39</c:f>
              <c:numCache>
                <c:formatCode>#,##0</c:formatCode>
                <c:ptCount val="12"/>
                <c:pt idx="0">
                  <c:v>849</c:v>
                </c:pt>
                <c:pt idx="1">
                  <c:v>3758</c:v>
                </c:pt>
                <c:pt idx="2">
                  <c:v>-33161</c:v>
                </c:pt>
                <c:pt idx="3">
                  <c:v>-102687</c:v>
                </c:pt>
                <c:pt idx="4">
                  <c:v>-166200</c:v>
                </c:pt>
                <c:pt idx="5">
                  <c:v>-175944</c:v>
                </c:pt>
                <c:pt idx="6">
                  <c:v>-169657</c:v>
                </c:pt>
                <c:pt idx="7">
                  <c:v>-162584</c:v>
                </c:pt>
                <c:pt idx="8">
                  <c:v>-173425</c:v>
                </c:pt>
                <c:pt idx="9">
                  <c:v>-159991</c:v>
                </c:pt>
                <c:pt idx="10">
                  <c:v>-161284</c:v>
                </c:pt>
                <c:pt idx="11">
                  <c:v>-119067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66-4369-84FD-0BCB319E3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DONNÉES!$AA$27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DONNÉES!$AA$28:$AA$39</c:f>
              <c:numCache>
                <c:formatCode>#,##0</c:formatCode>
                <c:ptCount val="12"/>
                <c:pt idx="0">
                  <c:v>-1610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26-4CA7-BF6E-1D969BE10637}"/>
            </c:ext>
          </c:extLst>
        </c:ser>
        <c:ser>
          <c:idx val="0"/>
          <c:order val="1"/>
          <c:tx>
            <c:strRef>
              <c:f>DONNÉES!$AB$27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DONNÉES!$AB$28:$AB$39</c:f>
              <c:numCache>
                <c:formatCode>#,##0</c:formatCode>
                <c:ptCount val="12"/>
                <c:pt idx="0">
                  <c:v>-15265</c:v>
                </c:pt>
                <c:pt idx="1">
                  <c:v>-4249.6000000000004</c:v>
                </c:pt>
                <c:pt idx="2">
                  <c:v>20812.849999999999</c:v>
                </c:pt>
                <c:pt idx="3">
                  <c:v>28222</c:v>
                </c:pt>
                <c:pt idx="4">
                  <c:v>16936</c:v>
                </c:pt>
                <c:pt idx="5">
                  <c:v>23815</c:v>
                </c:pt>
                <c:pt idx="6">
                  <c:v>22244</c:v>
                </c:pt>
                <c:pt idx="7">
                  <c:v>32615</c:v>
                </c:pt>
                <c:pt idx="8">
                  <c:v>40019</c:v>
                </c:pt>
                <c:pt idx="9">
                  <c:v>33695</c:v>
                </c:pt>
                <c:pt idx="10">
                  <c:v>49586</c:v>
                </c:pt>
                <c:pt idx="11">
                  <c:v>76861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6-4CA7-BF6E-1D969BE10637}"/>
            </c:ext>
          </c:extLst>
        </c:ser>
        <c:ser>
          <c:idx val="1"/>
          <c:order val="2"/>
          <c:tx>
            <c:strRef>
              <c:f>DONNÉES!$AC$27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DONNÉES!$AC$28:$AC$39</c:f>
              <c:numCache>
                <c:formatCode>#,##0</c:formatCode>
                <c:ptCount val="12"/>
                <c:pt idx="0">
                  <c:v>9115</c:v>
                </c:pt>
                <c:pt idx="1">
                  <c:v>12253</c:v>
                </c:pt>
                <c:pt idx="2">
                  <c:v>35556</c:v>
                </c:pt>
                <c:pt idx="3">
                  <c:v>52488</c:v>
                </c:pt>
                <c:pt idx="4">
                  <c:v>35900</c:v>
                </c:pt>
                <c:pt idx="5">
                  <c:v>35945</c:v>
                </c:pt>
                <c:pt idx="6">
                  <c:v>43674</c:v>
                </c:pt>
                <c:pt idx="7">
                  <c:v>49900.91</c:v>
                </c:pt>
                <c:pt idx="8">
                  <c:v>66379.350000000006</c:v>
                </c:pt>
                <c:pt idx="9">
                  <c:v>62970.45</c:v>
                </c:pt>
                <c:pt idx="10">
                  <c:v>69179.350000000006</c:v>
                </c:pt>
                <c:pt idx="11">
                  <c:v>58519.77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6-4CA7-BF6E-1D969BE10637}"/>
            </c:ext>
          </c:extLst>
        </c:ser>
        <c:ser>
          <c:idx val="2"/>
          <c:order val="3"/>
          <c:tx>
            <c:strRef>
              <c:f>DONNÉES!$AD$27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DONNÉES!$AD$28:$AD$39</c:f>
              <c:numCache>
                <c:formatCode>#,##0</c:formatCode>
                <c:ptCount val="12"/>
                <c:pt idx="0">
                  <c:v>23186</c:v>
                </c:pt>
                <c:pt idx="1">
                  <c:v>43992</c:v>
                </c:pt>
                <c:pt idx="2">
                  <c:v>70076</c:v>
                </c:pt>
                <c:pt idx="3">
                  <c:v>87295</c:v>
                </c:pt>
                <c:pt idx="4">
                  <c:v>109368</c:v>
                </c:pt>
                <c:pt idx="5">
                  <c:v>116191</c:v>
                </c:pt>
                <c:pt idx="6">
                  <c:v>147660</c:v>
                </c:pt>
                <c:pt idx="7">
                  <c:v>150512</c:v>
                </c:pt>
                <c:pt idx="8">
                  <c:v>161765</c:v>
                </c:pt>
                <c:pt idx="9">
                  <c:v>113890</c:v>
                </c:pt>
                <c:pt idx="10">
                  <c:v>136156</c:v>
                </c:pt>
                <c:pt idx="11">
                  <c:v>140108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26-4CA7-BF6E-1D969BE10637}"/>
            </c:ext>
          </c:extLst>
        </c:ser>
        <c:ser>
          <c:idx val="3"/>
          <c:order val="4"/>
          <c:tx>
            <c:strRef>
              <c:f>DONNÉES!$AE$27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DONNÉES!$AE$28:$AE$39</c:f>
              <c:numCache>
                <c:formatCode>#,##0</c:formatCode>
                <c:ptCount val="12"/>
                <c:pt idx="0">
                  <c:v>13549</c:v>
                </c:pt>
                <c:pt idx="1">
                  <c:v>6924</c:v>
                </c:pt>
                <c:pt idx="2">
                  <c:v>1160</c:v>
                </c:pt>
                <c:pt idx="3">
                  <c:v>15532</c:v>
                </c:pt>
                <c:pt idx="4">
                  <c:v>30881</c:v>
                </c:pt>
                <c:pt idx="5">
                  <c:v>47117</c:v>
                </c:pt>
                <c:pt idx="6">
                  <c:v>69791</c:v>
                </c:pt>
                <c:pt idx="7">
                  <c:v>96059</c:v>
                </c:pt>
                <c:pt idx="8">
                  <c:v>106981</c:v>
                </c:pt>
                <c:pt idx="9">
                  <c:v>136967</c:v>
                </c:pt>
                <c:pt idx="10">
                  <c:v>147636</c:v>
                </c:pt>
                <c:pt idx="11">
                  <c:v>138503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26-4CA7-BF6E-1D969BE10637}"/>
            </c:ext>
          </c:extLst>
        </c:ser>
        <c:ser>
          <c:idx val="5"/>
          <c:order val="5"/>
          <c:tx>
            <c:strRef>
              <c:f>DONNÉES!$AF$27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DONNÉES!$Z$28:$Z$39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DONNÉES!$AF$28:$AF$39</c:f>
              <c:numCache>
                <c:formatCode>#,##0</c:formatCode>
                <c:ptCount val="12"/>
                <c:pt idx="0">
                  <c:v>26453</c:v>
                </c:pt>
                <c:pt idx="1">
                  <c:v>62650</c:v>
                </c:pt>
                <c:pt idx="2">
                  <c:v>30194</c:v>
                </c:pt>
                <c:pt idx="3">
                  <c:v>-31797</c:v>
                </c:pt>
                <c:pt idx="4">
                  <c:v>-56845</c:v>
                </c:pt>
                <c:pt idx="5">
                  <c:v>-78246</c:v>
                </c:pt>
                <c:pt idx="6">
                  <c:v>-79979</c:v>
                </c:pt>
                <c:pt idx="7">
                  <c:v>-78859</c:v>
                </c:pt>
                <c:pt idx="8">
                  <c:v>-70404</c:v>
                </c:pt>
                <c:pt idx="9">
                  <c:v>-73162</c:v>
                </c:pt>
                <c:pt idx="10">
                  <c:v>-81723</c:v>
                </c:pt>
                <c:pt idx="11">
                  <c:v>-83690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26-4CA7-BF6E-1D969BE10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DONNÉES!$AI$27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DONNÉES!$AI$28:$AI$39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0FF-4FE4-A715-9F4FBAD4D10D}"/>
            </c:ext>
          </c:extLst>
        </c:ser>
        <c:ser>
          <c:idx val="0"/>
          <c:order val="1"/>
          <c:tx>
            <c:strRef>
              <c:f>DONNÉES!$AJ$27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DONNÉES!$AJ$28:$AJ$39</c:f>
              <c:numCache>
                <c:formatCode>#,##0</c:formatCode>
                <c:ptCount val="12"/>
                <c:pt idx="0">
                  <c:v>-38</c:v>
                </c:pt>
                <c:pt idx="1">
                  <c:v>-20851.759999999998</c:v>
                </c:pt>
                <c:pt idx="2">
                  <c:v>-11859.55</c:v>
                </c:pt>
                <c:pt idx="3">
                  <c:v>-9521</c:v>
                </c:pt>
                <c:pt idx="4">
                  <c:v>-6918</c:v>
                </c:pt>
                <c:pt idx="5">
                  <c:v>56673</c:v>
                </c:pt>
                <c:pt idx="6">
                  <c:v>70649</c:v>
                </c:pt>
                <c:pt idx="7">
                  <c:v>92487</c:v>
                </c:pt>
                <c:pt idx="8">
                  <c:v>97528</c:v>
                </c:pt>
                <c:pt idx="9">
                  <c:v>106837</c:v>
                </c:pt>
                <c:pt idx="10">
                  <c:v>120606</c:v>
                </c:pt>
                <c:pt idx="11">
                  <c:v>169359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F-4FE4-A715-9F4FBAD4D10D}"/>
            </c:ext>
          </c:extLst>
        </c:ser>
        <c:ser>
          <c:idx val="1"/>
          <c:order val="2"/>
          <c:tx>
            <c:strRef>
              <c:f>DONNÉES!$AK$27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DONNÉES!$AK$28:$AK$39</c:f>
              <c:numCache>
                <c:formatCode>#,##0</c:formatCode>
                <c:ptCount val="12"/>
                <c:pt idx="0">
                  <c:v>13490</c:v>
                </c:pt>
                <c:pt idx="1">
                  <c:v>24592</c:v>
                </c:pt>
                <c:pt idx="2">
                  <c:v>36263</c:v>
                </c:pt>
                <c:pt idx="3">
                  <c:v>56392</c:v>
                </c:pt>
                <c:pt idx="4">
                  <c:v>67329</c:v>
                </c:pt>
                <c:pt idx="5">
                  <c:v>74431</c:v>
                </c:pt>
                <c:pt idx="6">
                  <c:v>106958.67</c:v>
                </c:pt>
                <c:pt idx="7">
                  <c:v>139687.71</c:v>
                </c:pt>
                <c:pt idx="8">
                  <c:v>163434.69</c:v>
                </c:pt>
                <c:pt idx="9">
                  <c:v>174856.14</c:v>
                </c:pt>
                <c:pt idx="10">
                  <c:v>172964.85</c:v>
                </c:pt>
                <c:pt idx="11">
                  <c:v>166313.04999999999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F-4FE4-A715-9F4FBAD4D10D}"/>
            </c:ext>
          </c:extLst>
        </c:ser>
        <c:ser>
          <c:idx val="2"/>
          <c:order val="3"/>
          <c:tx>
            <c:strRef>
              <c:f>DONNÉES!$AL$27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DONNÉES!$AL$28:$AL$39</c:f>
              <c:numCache>
                <c:formatCode>#,##0</c:formatCode>
                <c:ptCount val="12"/>
                <c:pt idx="0">
                  <c:v>56972</c:v>
                </c:pt>
                <c:pt idx="1">
                  <c:v>93277</c:v>
                </c:pt>
                <c:pt idx="2">
                  <c:v>131225</c:v>
                </c:pt>
                <c:pt idx="3">
                  <c:v>162884</c:v>
                </c:pt>
                <c:pt idx="4">
                  <c:v>185975</c:v>
                </c:pt>
                <c:pt idx="5">
                  <c:v>212402</c:v>
                </c:pt>
                <c:pt idx="6">
                  <c:v>247636</c:v>
                </c:pt>
                <c:pt idx="7">
                  <c:v>270711</c:v>
                </c:pt>
                <c:pt idx="8">
                  <c:v>278725</c:v>
                </c:pt>
                <c:pt idx="9">
                  <c:v>284881.42999999598</c:v>
                </c:pt>
                <c:pt idx="10">
                  <c:v>248612</c:v>
                </c:pt>
                <c:pt idx="11">
                  <c:v>201767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F-4FE4-A715-9F4FBAD4D10D}"/>
            </c:ext>
          </c:extLst>
        </c:ser>
        <c:ser>
          <c:idx val="3"/>
          <c:order val="4"/>
          <c:tx>
            <c:strRef>
              <c:f>DONNÉES!$AM$27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DONNÉES!$AM$28:$AM$39</c:f>
              <c:numCache>
                <c:formatCode>#,##0</c:formatCode>
                <c:ptCount val="12"/>
                <c:pt idx="0">
                  <c:v>10196</c:v>
                </c:pt>
                <c:pt idx="1">
                  <c:v>6006</c:v>
                </c:pt>
                <c:pt idx="2">
                  <c:v>15001</c:v>
                </c:pt>
                <c:pt idx="3">
                  <c:v>35292</c:v>
                </c:pt>
                <c:pt idx="4">
                  <c:v>74682</c:v>
                </c:pt>
                <c:pt idx="5">
                  <c:v>104874</c:v>
                </c:pt>
                <c:pt idx="6">
                  <c:v>158833</c:v>
                </c:pt>
                <c:pt idx="7">
                  <c:v>223012</c:v>
                </c:pt>
                <c:pt idx="8">
                  <c:v>252016</c:v>
                </c:pt>
                <c:pt idx="9">
                  <c:v>290293</c:v>
                </c:pt>
                <c:pt idx="10">
                  <c:v>304359</c:v>
                </c:pt>
                <c:pt idx="11">
                  <c:v>307909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FF-4FE4-A715-9F4FBAD4D10D}"/>
            </c:ext>
          </c:extLst>
        </c:ser>
        <c:ser>
          <c:idx val="5"/>
          <c:order val="5"/>
          <c:tx>
            <c:strRef>
              <c:f>DONNÉES!$AN$27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DONNÉES!$AH$28:$AH$39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DONNÉES!$AN$28:$AN$39</c:f>
              <c:numCache>
                <c:formatCode>#,##0</c:formatCode>
                <c:ptCount val="12"/>
                <c:pt idx="0">
                  <c:v>15987</c:v>
                </c:pt>
                <c:pt idx="1">
                  <c:v>52183</c:v>
                </c:pt>
                <c:pt idx="2">
                  <c:v>-50052</c:v>
                </c:pt>
                <c:pt idx="3">
                  <c:v>-150415</c:v>
                </c:pt>
                <c:pt idx="4">
                  <c:v>-201052</c:v>
                </c:pt>
                <c:pt idx="5">
                  <c:v>-195938</c:v>
                </c:pt>
                <c:pt idx="6">
                  <c:v>-188252</c:v>
                </c:pt>
                <c:pt idx="7">
                  <c:v>-173959</c:v>
                </c:pt>
                <c:pt idx="8">
                  <c:v>-171806</c:v>
                </c:pt>
                <c:pt idx="9">
                  <c:v>-140004</c:v>
                </c:pt>
                <c:pt idx="10">
                  <c:v>-153994</c:v>
                </c:pt>
                <c:pt idx="11">
                  <c:v>-136822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FF-4FE4-A715-9F4FBAD4D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DONNÉES!$AQ$27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DONNÉES!$AQ$28:$AQ$39</c:f>
              <c:numCache>
                <c:formatCode>#,##0</c:formatCode>
                <c:ptCount val="12"/>
                <c:pt idx="0">
                  <c:v>13000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681-4A6D-BE81-025515255C4E}"/>
            </c:ext>
          </c:extLst>
        </c:ser>
        <c:ser>
          <c:idx val="0"/>
          <c:order val="1"/>
          <c:tx>
            <c:strRef>
              <c:f>DONNÉES!$AR$27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DONNÉES!$AR$28:$AR$39</c:f>
              <c:numCache>
                <c:formatCode>#,##0</c:formatCode>
                <c:ptCount val="12"/>
                <c:pt idx="0">
                  <c:v>7484</c:v>
                </c:pt>
                <c:pt idx="1">
                  <c:v>24141.98</c:v>
                </c:pt>
                <c:pt idx="2">
                  <c:v>64414.53</c:v>
                </c:pt>
                <c:pt idx="3">
                  <c:v>75757</c:v>
                </c:pt>
                <c:pt idx="4">
                  <c:v>83162</c:v>
                </c:pt>
                <c:pt idx="5">
                  <c:v>102040</c:v>
                </c:pt>
                <c:pt idx="6">
                  <c:v>143952</c:v>
                </c:pt>
                <c:pt idx="7">
                  <c:v>203285</c:v>
                </c:pt>
                <c:pt idx="8">
                  <c:v>212536</c:v>
                </c:pt>
                <c:pt idx="9">
                  <c:v>232076</c:v>
                </c:pt>
                <c:pt idx="10">
                  <c:v>249621</c:v>
                </c:pt>
                <c:pt idx="11">
                  <c:v>310783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81-4A6D-BE81-025515255C4E}"/>
            </c:ext>
          </c:extLst>
        </c:ser>
        <c:ser>
          <c:idx val="1"/>
          <c:order val="2"/>
          <c:tx>
            <c:strRef>
              <c:f>DONNÉES!$AS$27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DONNÉES!$AS$28:$AS$39</c:f>
              <c:numCache>
                <c:formatCode>#,##0</c:formatCode>
                <c:ptCount val="12"/>
                <c:pt idx="0">
                  <c:v>31439</c:v>
                </c:pt>
                <c:pt idx="1">
                  <c:v>57917</c:v>
                </c:pt>
                <c:pt idx="2">
                  <c:v>81129</c:v>
                </c:pt>
                <c:pt idx="3">
                  <c:v>148258</c:v>
                </c:pt>
                <c:pt idx="4">
                  <c:v>162621</c:v>
                </c:pt>
                <c:pt idx="5">
                  <c:v>194534</c:v>
                </c:pt>
                <c:pt idx="6">
                  <c:v>267104.42</c:v>
                </c:pt>
                <c:pt idx="7">
                  <c:v>334431.28000000003</c:v>
                </c:pt>
                <c:pt idx="8">
                  <c:v>367406.17</c:v>
                </c:pt>
                <c:pt idx="9">
                  <c:v>366624.33</c:v>
                </c:pt>
                <c:pt idx="10">
                  <c:v>378461.64</c:v>
                </c:pt>
                <c:pt idx="11">
                  <c:v>401155.28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81-4A6D-BE81-025515255C4E}"/>
            </c:ext>
          </c:extLst>
        </c:ser>
        <c:ser>
          <c:idx val="2"/>
          <c:order val="3"/>
          <c:tx>
            <c:strRef>
              <c:f>DONNÉES!$AT$27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DONNÉES!$AT$28:$AT$39</c:f>
              <c:numCache>
                <c:formatCode>#,##0</c:formatCode>
                <c:ptCount val="12"/>
                <c:pt idx="0">
                  <c:v>33738</c:v>
                </c:pt>
                <c:pt idx="1">
                  <c:v>67773</c:v>
                </c:pt>
                <c:pt idx="2">
                  <c:v>90907</c:v>
                </c:pt>
                <c:pt idx="3">
                  <c:v>121039</c:v>
                </c:pt>
                <c:pt idx="4">
                  <c:v>132293</c:v>
                </c:pt>
                <c:pt idx="5">
                  <c:v>166465</c:v>
                </c:pt>
                <c:pt idx="6">
                  <c:v>203760</c:v>
                </c:pt>
                <c:pt idx="7">
                  <c:v>263393</c:v>
                </c:pt>
                <c:pt idx="8">
                  <c:v>269112</c:v>
                </c:pt>
                <c:pt idx="9">
                  <c:v>320699</c:v>
                </c:pt>
                <c:pt idx="10">
                  <c:v>338381</c:v>
                </c:pt>
                <c:pt idx="11">
                  <c:v>372357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81-4A6D-BE81-025515255C4E}"/>
            </c:ext>
          </c:extLst>
        </c:ser>
        <c:ser>
          <c:idx val="3"/>
          <c:order val="4"/>
          <c:tx>
            <c:strRef>
              <c:f>DONNÉES!$AU$27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DONNÉES!$AU$28:$AU$39</c:f>
              <c:numCache>
                <c:formatCode>#,##0</c:formatCode>
                <c:ptCount val="12"/>
                <c:pt idx="0">
                  <c:v>-32996</c:v>
                </c:pt>
                <c:pt idx="1">
                  <c:v>-33064</c:v>
                </c:pt>
                <c:pt idx="2">
                  <c:v>-54313</c:v>
                </c:pt>
                <c:pt idx="3">
                  <c:v>-82734</c:v>
                </c:pt>
                <c:pt idx="4">
                  <c:v>-32940</c:v>
                </c:pt>
                <c:pt idx="5">
                  <c:v>-78512</c:v>
                </c:pt>
                <c:pt idx="6">
                  <c:v>-73340</c:v>
                </c:pt>
                <c:pt idx="7">
                  <c:v>-58625</c:v>
                </c:pt>
                <c:pt idx="8">
                  <c:v>43385</c:v>
                </c:pt>
                <c:pt idx="9">
                  <c:v>43288</c:v>
                </c:pt>
                <c:pt idx="10">
                  <c:v>-16030</c:v>
                </c:pt>
                <c:pt idx="11">
                  <c:v>506334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81-4A6D-BE81-025515255C4E}"/>
            </c:ext>
          </c:extLst>
        </c:ser>
        <c:ser>
          <c:idx val="5"/>
          <c:order val="5"/>
          <c:tx>
            <c:strRef>
              <c:f>DONNÉES!$AV$27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DONNÉES!$AP$28:$AP$39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DONNÉES!$AV$28:$AV$39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81-4A6D-BE81-02551525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HART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DONNÉES!$AY$27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DONNÉES!$AY$28:$AY$39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032-48BA-B7AF-F5748931FED6}"/>
            </c:ext>
          </c:extLst>
        </c:ser>
        <c:ser>
          <c:idx val="3"/>
          <c:order val="1"/>
          <c:tx>
            <c:strRef>
              <c:f>DONNÉES!$AZ$27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DONNÉES!$AZ$28:$AZ$39</c:f>
              <c:numCache>
                <c:formatCode>#,##0</c:formatCode>
                <c:ptCount val="12"/>
                <c:pt idx="0">
                  <c:v>-2717</c:v>
                </c:pt>
                <c:pt idx="1">
                  <c:v>-12637.72</c:v>
                </c:pt>
                <c:pt idx="2">
                  <c:v>-854.21</c:v>
                </c:pt>
                <c:pt idx="3">
                  <c:v>-2766</c:v>
                </c:pt>
                <c:pt idx="4">
                  <c:v>-490</c:v>
                </c:pt>
                <c:pt idx="5">
                  <c:v>12351</c:v>
                </c:pt>
                <c:pt idx="6">
                  <c:v>25933</c:v>
                </c:pt>
                <c:pt idx="7">
                  <c:v>50052</c:v>
                </c:pt>
                <c:pt idx="8">
                  <c:v>43425</c:v>
                </c:pt>
                <c:pt idx="9">
                  <c:v>35240</c:v>
                </c:pt>
                <c:pt idx="10">
                  <c:v>25681</c:v>
                </c:pt>
                <c:pt idx="11">
                  <c:v>44361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032-48BA-B7AF-F5748931FED6}"/>
            </c:ext>
          </c:extLst>
        </c:ser>
        <c:ser>
          <c:idx val="2"/>
          <c:order val="2"/>
          <c:tx>
            <c:strRef>
              <c:f>DONNÉES!$BA$27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DONNÉES!$BA$28:$BA$39</c:f>
              <c:numCache>
                <c:formatCode>#,##0</c:formatCode>
                <c:ptCount val="12"/>
                <c:pt idx="0">
                  <c:v>-1603</c:v>
                </c:pt>
                <c:pt idx="1">
                  <c:v>-872</c:v>
                </c:pt>
                <c:pt idx="2">
                  <c:v>11965</c:v>
                </c:pt>
                <c:pt idx="3">
                  <c:v>23600</c:v>
                </c:pt>
                <c:pt idx="4">
                  <c:v>18899</c:v>
                </c:pt>
                <c:pt idx="5">
                  <c:v>41506</c:v>
                </c:pt>
                <c:pt idx="6">
                  <c:v>64254.12</c:v>
                </c:pt>
                <c:pt idx="7">
                  <c:v>86537.33</c:v>
                </c:pt>
                <c:pt idx="8">
                  <c:v>97896.77</c:v>
                </c:pt>
                <c:pt idx="9">
                  <c:v>83129.73</c:v>
                </c:pt>
                <c:pt idx="10">
                  <c:v>78234.13</c:v>
                </c:pt>
                <c:pt idx="11">
                  <c:v>79669.22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032-48BA-B7AF-F5748931FED6}"/>
            </c:ext>
          </c:extLst>
        </c:ser>
        <c:ser>
          <c:idx val="1"/>
          <c:order val="3"/>
          <c:tx>
            <c:strRef>
              <c:f>DONNÉES!$BB$27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DONNÉES!$BB$28:$BB$39</c:f>
              <c:numCache>
                <c:formatCode>#,##0</c:formatCode>
                <c:ptCount val="12"/>
                <c:pt idx="0">
                  <c:v>3547</c:v>
                </c:pt>
                <c:pt idx="1">
                  <c:v>-2880</c:v>
                </c:pt>
                <c:pt idx="2">
                  <c:v>-1880</c:v>
                </c:pt>
                <c:pt idx="3">
                  <c:v>23398</c:v>
                </c:pt>
                <c:pt idx="4">
                  <c:v>34500</c:v>
                </c:pt>
                <c:pt idx="5">
                  <c:v>75550</c:v>
                </c:pt>
                <c:pt idx="6">
                  <c:v>114881</c:v>
                </c:pt>
                <c:pt idx="7">
                  <c:v>149783</c:v>
                </c:pt>
                <c:pt idx="8">
                  <c:v>156666</c:v>
                </c:pt>
                <c:pt idx="9">
                  <c:v>284859</c:v>
                </c:pt>
                <c:pt idx="10">
                  <c:v>147524</c:v>
                </c:pt>
                <c:pt idx="11">
                  <c:v>134171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032-48BA-B7AF-F5748931FED6}"/>
            </c:ext>
          </c:extLst>
        </c:ser>
        <c:ser>
          <c:idx val="0"/>
          <c:order val="4"/>
          <c:tx>
            <c:strRef>
              <c:f>DONNÉES!$BC$27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DONNÉES!$BC$28:$BC$39</c:f>
              <c:numCache>
                <c:formatCode>#,##0</c:formatCode>
                <c:ptCount val="12"/>
                <c:pt idx="7">
                  <c:v>20500</c:v>
                </c:pt>
                <c:pt idx="8">
                  <c:v>38433</c:v>
                </c:pt>
                <c:pt idx="9">
                  <c:v>-90056</c:v>
                </c:pt>
                <c:pt idx="10">
                  <c:v>-106330</c:v>
                </c:pt>
                <c:pt idx="11">
                  <c:v>10714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032-48BA-B7AF-F5748931FED6}"/>
            </c:ext>
          </c:extLst>
        </c:ser>
        <c:ser>
          <c:idx val="5"/>
          <c:order val="5"/>
          <c:tx>
            <c:strRef>
              <c:f>DONNÉES!$BD$27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DONNÉES!$AX$28:$AX$39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DONNÉES!$BD$28:$BD$39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2-48BA-B7AF-F5748931F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VICTOIRE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DONNÉES!$BG$27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DONNÉES!$BG$28:$BG$39</c:f>
              <c:numCache>
                <c:formatCode>#,##0</c:formatCode>
                <c:ptCount val="12"/>
                <c:pt idx="0">
                  <c:v>-1084.5999999999999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AA-4231-961B-CD249C7D1936}"/>
            </c:ext>
          </c:extLst>
        </c:ser>
        <c:ser>
          <c:idx val="3"/>
          <c:order val="1"/>
          <c:tx>
            <c:strRef>
              <c:f>DONNÉES!$BH$27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DONNÉES!$BH$28:$BH$39</c:f>
              <c:numCache>
                <c:formatCode>#,##0</c:formatCode>
                <c:ptCount val="12"/>
                <c:pt idx="0">
                  <c:v>5046</c:v>
                </c:pt>
                <c:pt idx="1">
                  <c:v>14336.28</c:v>
                </c:pt>
                <c:pt idx="2">
                  <c:v>35717.69</c:v>
                </c:pt>
                <c:pt idx="3">
                  <c:v>51051</c:v>
                </c:pt>
                <c:pt idx="4">
                  <c:v>64672</c:v>
                </c:pt>
                <c:pt idx="5">
                  <c:v>66253</c:v>
                </c:pt>
                <c:pt idx="6">
                  <c:v>105242.26</c:v>
                </c:pt>
                <c:pt idx="7">
                  <c:v>179305.5</c:v>
                </c:pt>
                <c:pt idx="8">
                  <c:v>176932.87</c:v>
                </c:pt>
                <c:pt idx="9">
                  <c:v>180720.14</c:v>
                </c:pt>
                <c:pt idx="10">
                  <c:v>178862.32</c:v>
                </c:pt>
                <c:pt idx="11">
                  <c:v>171758.59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AA-4231-961B-CD249C7D1936}"/>
            </c:ext>
          </c:extLst>
        </c:ser>
        <c:ser>
          <c:idx val="2"/>
          <c:order val="2"/>
          <c:tx>
            <c:strRef>
              <c:f>DONNÉES!$BI$27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DONNÉES!$BI$28:$BI$39</c:f>
              <c:numCache>
                <c:formatCode>#,##0</c:formatCode>
                <c:ptCount val="12"/>
                <c:pt idx="0">
                  <c:v>8987</c:v>
                </c:pt>
                <c:pt idx="1">
                  <c:v>20096</c:v>
                </c:pt>
                <c:pt idx="2">
                  <c:v>54069</c:v>
                </c:pt>
                <c:pt idx="3">
                  <c:v>115474</c:v>
                </c:pt>
                <c:pt idx="4">
                  <c:v>150923</c:v>
                </c:pt>
                <c:pt idx="5">
                  <c:v>169163</c:v>
                </c:pt>
                <c:pt idx="6">
                  <c:v>236310.78</c:v>
                </c:pt>
                <c:pt idx="7">
                  <c:v>294529.53999999998</c:v>
                </c:pt>
                <c:pt idx="8">
                  <c:v>313464.53000000003</c:v>
                </c:pt>
                <c:pt idx="9">
                  <c:v>338557.86</c:v>
                </c:pt>
                <c:pt idx="10">
                  <c:v>341640.67</c:v>
                </c:pt>
                <c:pt idx="11">
                  <c:v>339063.98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AA-4231-961B-CD249C7D1936}"/>
            </c:ext>
          </c:extLst>
        </c:ser>
        <c:ser>
          <c:idx val="1"/>
          <c:order val="3"/>
          <c:tx>
            <c:strRef>
              <c:f>DONNÉES!$BJ$27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DONNÉES!$BJ$28:$BJ$39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4AA-4231-961B-CD249C7D1936}"/>
            </c:ext>
          </c:extLst>
        </c:ser>
        <c:ser>
          <c:idx val="0"/>
          <c:order val="4"/>
          <c:tx>
            <c:strRef>
              <c:f>DONNÉES!$BK$27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DONNÉES!$BK$28:$BK$39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4AA-4231-961B-CD249C7D1936}"/>
            </c:ext>
          </c:extLst>
        </c:ser>
        <c:ser>
          <c:idx val="5"/>
          <c:order val="5"/>
          <c:tx>
            <c:strRef>
              <c:f>DONNÉES!$BL$27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DONNÉES!$BF$28:$BF$39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DONNÉES!$BL$28:$BL$39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A-4065-B092-17EE1241A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DONNÉES!$BO$27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DONNÉES!$BO$28:$BO$39</c:f>
              <c:numCache>
                <c:formatCode>#,##0</c:formatCode>
                <c:ptCount val="12"/>
                <c:pt idx="0">
                  <c:v>9729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347-4808-B6E9-4FD2D456936B}"/>
            </c:ext>
          </c:extLst>
        </c:ser>
        <c:ser>
          <c:idx val="3"/>
          <c:order val="1"/>
          <c:tx>
            <c:strRef>
              <c:f>DONNÉES!$BP$27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DONNÉES!$BP$28:$BP$39</c:f>
              <c:numCache>
                <c:formatCode>#,##0</c:formatCode>
                <c:ptCount val="12"/>
                <c:pt idx="0">
                  <c:v>15004</c:v>
                </c:pt>
                <c:pt idx="1">
                  <c:v>27892.93</c:v>
                </c:pt>
                <c:pt idx="2">
                  <c:v>56948.45</c:v>
                </c:pt>
                <c:pt idx="3">
                  <c:v>71783</c:v>
                </c:pt>
                <c:pt idx="4">
                  <c:v>89328</c:v>
                </c:pt>
                <c:pt idx="5">
                  <c:v>118466</c:v>
                </c:pt>
                <c:pt idx="6">
                  <c:v>156824</c:v>
                </c:pt>
                <c:pt idx="7">
                  <c:v>196184</c:v>
                </c:pt>
                <c:pt idx="8">
                  <c:v>209271</c:v>
                </c:pt>
                <c:pt idx="9">
                  <c:v>229681</c:v>
                </c:pt>
                <c:pt idx="10">
                  <c:v>243426</c:v>
                </c:pt>
                <c:pt idx="11">
                  <c:v>275037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347-4808-B6E9-4FD2D456936B}"/>
            </c:ext>
          </c:extLst>
        </c:ser>
        <c:ser>
          <c:idx val="2"/>
          <c:order val="2"/>
          <c:tx>
            <c:strRef>
              <c:f>DONNÉES!$BQ$27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DONNÉES!$BQ$28:$BQ$39</c:f>
              <c:numCache>
                <c:formatCode>#,##0</c:formatCode>
                <c:ptCount val="12"/>
                <c:pt idx="0">
                  <c:v>3769</c:v>
                </c:pt>
                <c:pt idx="1">
                  <c:v>29239</c:v>
                </c:pt>
                <c:pt idx="2">
                  <c:v>51165</c:v>
                </c:pt>
                <c:pt idx="3">
                  <c:v>90675</c:v>
                </c:pt>
                <c:pt idx="4">
                  <c:v>92475</c:v>
                </c:pt>
                <c:pt idx="5">
                  <c:v>106011</c:v>
                </c:pt>
                <c:pt idx="6">
                  <c:v>123325.71</c:v>
                </c:pt>
                <c:pt idx="7">
                  <c:v>155080.99</c:v>
                </c:pt>
                <c:pt idx="8">
                  <c:v>182926.06</c:v>
                </c:pt>
                <c:pt idx="9">
                  <c:v>197930.9</c:v>
                </c:pt>
                <c:pt idx="10">
                  <c:v>215561.93</c:v>
                </c:pt>
                <c:pt idx="11">
                  <c:v>218380.07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347-4808-B6E9-4FD2D456936B}"/>
            </c:ext>
          </c:extLst>
        </c:ser>
        <c:ser>
          <c:idx val="1"/>
          <c:order val="3"/>
          <c:tx>
            <c:strRef>
              <c:f>DONNÉES!$BR$27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DONNÉES!$BR$28:$BR$39</c:f>
              <c:numCache>
                <c:formatCode>#,##0</c:formatCode>
                <c:ptCount val="12"/>
                <c:pt idx="0">
                  <c:v>28006</c:v>
                </c:pt>
                <c:pt idx="1">
                  <c:v>67319</c:v>
                </c:pt>
                <c:pt idx="2">
                  <c:v>105342</c:v>
                </c:pt>
                <c:pt idx="3">
                  <c:v>127976</c:v>
                </c:pt>
                <c:pt idx="4">
                  <c:v>166692</c:v>
                </c:pt>
                <c:pt idx="5">
                  <c:v>194750</c:v>
                </c:pt>
                <c:pt idx="6">
                  <c:v>199124</c:v>
                </c:pt>
                <c:pt idx="7">
                  <c:v>215310</c:v>
                </c:pt>
                <c:pt idx="8">
                  <c:v>207760</c:v>
                </c:pt>
                <c:pt idx="9">
                  <c:v>210122</c:v>
                </c:pt>
                <c:pt idx="10">
                  <c:v>175028</c:v>
                </c:pt>
                <c:pt idx="11">
                  <c:v>188726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347-4808-B6E9-4FD2D456936B}"/>
            </c:ext>
          </c:extLst>
        </c:ser>
        <c:ser>
          <c:idx val="0"/>
          <c:order val="4"/>
          <c:tx>
            <c:strRef>
              <c:f>DONNÉES!$BS$27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DONNÉES!$BS$28:$BS$39</c:f>
              <c:numCache>
                <c:formatCode>#,##0</c:formatCode>
                <c:ptCount val="12"/>
                <c:pt idx="0">
                  <c:v>5213</c:v>
                </c:pt>
                <c:pt idx="1">
                  <c:v>6030</c:v>
                </c:pt>
                <c:pt idx="2">
                  <c:v>14070</c:v>
                </c:pt>
                <c:pt idx="3">
                  <c:v>39419</c:v>
                </c:pt>
                <c:pt idx="4">
                  <c:v>76865</c:v>
                </c:pt>
                <c:pt idx="5">
                  <c:v>128627</c:v>
                </c:pt>
                <c:pt idx="6">
                  <c:v>191379</c:v>
                </c:pt>
                <c:pt idx="7">
                  <c:v>210771</c:v>
                </c:pt>
                <c:pt idx="8">
                  <c:v>249704</c:v>
                </c:pt>
                <c:pt idx="9">
                  <c:v>296128</c:v>
                </c:pt>
                <c:pt idx="10">
                  <c:v>314906</c:v>
                </c:pt>
                <c:pt idx="11">
                  <c:v>333949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347-4808-B6E9-4FD2D456936B}"/>
            </c:ext>
          </c:extLst>
        </c:ser>
        <c:ser>
          <c:idx val="5"/>
          <c:order val="5"/>
          <c:tx>
            <c:strRef>
              <c:f>DONNÉES!$BT$27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DONNÉES!$BN$28:$BN$39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DONNÉES!$BT$28:$BT$39</c:f>
              <c:numCache>
                <c:formatCode>#,##0</c:formatCode>
                <c:ptCount val="12"/>
                <c:pt idx="0">
                  <c:v>39095</c:v>
                </c:pt>
                <c:pt idx="1">
                  <c:v>76806</c:v>
                </c:pt>
                <c:pt idx="2">
                  <c:v>46393</c:v>
                </c:pt>
                <c:pt idx="3">
                  <c:v>76200</c:v>
                </c:pt>
                <c:pt idx="4">
                  <c:v>-44421</c:v>
                </c:pt>
                <c:pt idx="5">
                  <c:v>-18339</c:v>
                </c:pt>
                <c:pt idx="6">
                  <c:v>12687</c:v>
                </c:pt>
                <c:pt idx="7">
                  <c:v>79899</c:v>
                </c:pt>
                <c:pt idx="8">
                  <c:v>101566</c:v>
                </c:pt>
                <c:pt idx="9">
                  <c:v>129151</c:v>
                </c:pt>
                <c:pt idx="10">
                  <c:v>103372</c:v>
                </c:pt>
                <c:pt idx="11">
                  <c:v>101525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7-4808-B6E9-4FD2D4569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DONNÉES!$BW$27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DONNÉES!$BV$28:$BV$39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DONNÉES!$BW$28:$BW$39</c:f>
              <c:numCache>
                <c:formatCode>#,##0</c:formatCode>
                <c:ptCount val="12"/>
                <c:pt idx="0">
                  <c:v>-4936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363-478B-8B20-C8F55DB54D3F}"/>
            </c:ext>
          </c:extLst>
        </c:ser>
        <c:ser>
          <c:idx val="3"/>
          <c:order val="1"/>
          <c:tx>
            <c:strRef>
              <c:f>DONNÉES!$BX$27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DONNÉES!$BV$28:$BV$39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DONNÉES!$BX$28:$BX$39</c:f>
              <c:numCache>
                <c:formatCode>#,##0</c:formatCode>
                <c:ptCount val="12"/>
                <c:pt idx="0">
                  <c:v>-16140</c:v>
                </c:pt>
                <c:pt idx="1">
                  <c:v>-28326.61</c:v>
                </c:pt>
                <c:pt idx="2">
                  <c:v>-29161.93</c:v>
                </c:pt>
                <c:pt idx="3">
                  <c:v>-36236</c:v>
                </c:pt>
                <c:pt idx="4">
                  <c:v>-45197</c:v>
                </c:pt>
                <c:pt idx="5">
                  <c:v>-38040</c:v>
                </c:pt>
                <c:pt idx="6">
                  <c:v>-2911</c:v>
                </c:pt>
                <c:pt idx="7">
                  <c:v>81869</c:v>
                </c:pt>
                <c:pt idx="8">
                  <c:v>87926</c:v>
                </c:pt>
                <c:pt idx="9">
                  <c:v>93894</c:v>
                </c:pt>
                <c:pt idx="10">
                  <c:v>94831</c:v>
                </c:pt>
                <c:pt idx="11">
                  <c:v>108767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363-478B-8B20-C8F55DB54D3F}"/>
            </c:ext>
          </c:extLst>
        </c:ser>
        <c:ser>
          <c:idx val="2"/>
          <c:order val="2"/>
          <c:tx>
            <c:strRef>
              <c:f>DONNÉES!$BY$27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DONNÉES!$BV$28:$BV$39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DONNÉES!$BY$28:$BY$39</c:f>
              <c:numCache>
                <c:formatCode>#,##0</c:formatCode>
                <c:ptCount val="12"/>
                <c:pt idx="0">
                  <c:v>-5675</c:v>
                </c:pt>
                <c:pt idx="1">
                  <c:v>-1194</c:v>
                </c:pt>
                <c:pt idx="2">
                  <c:v>380</c:v>
                </c:pt>
                <c:pt idx="3">
                  <c:v>9682</c:v>
                </c:pt>
                <c:pt idx="4">
                  <c:v>9766</c:v>
                </c:pt>
                <c:pt idx="5">
                  <c:v>1725</c:v>
                </c:pt>
                <c:pt idx="6">
                  <c:v>56698.61</c:v>
                </c:pt>
                <c:pt idx="7">
                  <c:v>132197.87</c:v>
                </c:pt>
                <c:pt idx="8">
                  <c:v>144509.94</c:v>
                </c:pt>
                <c:pt idx="9">
                  <c:v>154975.06</c:v>
                </c:pt>
                <c:pt idx="10">
                  <c:v>129198.61</c:v>
                </c:pt>
                <c:pt idx="11">
                  <c:v>100583.59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363-478B-8B20-C8F55DB54D3F}"/>
            </c:ext>
          </c:extLst>
        </c:ser>
        <c:ser>
          <c:idx val="1"/>
          <c:order val="3"/>
          <c:tx>
            <c:strRef>
              <c:f>DONNÉES!$BZ$27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DONNÉES!$BV$28:$BV$39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DONNÉES!$BZ$28:$BZ$39</c:f>
              <c:numCache>
                <c:formatCode>#,##0</c:formatCode>
                <c:ptCount val="12"/>
                <c:pt idx="0">
                  <c:v>17435</c:v>
                </c:pt>
                <c:pt idx="1">
                  <c:v>60054</c:v>
                </c:pt>
                <c:pt idx="2">
                  <c:v>65954</c:v>
                </c:pt>
                <c:pt idx="3">
                  <c:v>102439</c:v>
                </c:pt>
                <c:pt idx="4">
                  <c:v>125878</c:v>
                </c:pt>
                <c:pt idx="5">
                  <c:v>138835</c:v>
                </c:pt>
                <c:pt idx="6">
                  <c:v>209730</c:v>
                </c:pt>
                <c:pt idx="7">
                  <c:v>300452</c:v>
                </c:pt>
                <c:pt idx="8">
                  <c:v>278362</c:v>
                </c:pt>
                <c:pt idx="9">
                  <c:v>321265</c:v>
                </c:pt>
                <c:pt idx="10">
                  <c:v>289854</c:v>
                </c:pt>
                <c:pt idx="11">
                  <c:v>281357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363-478B-8B20-C8F55DB54D3F}"/>
            </c:ext>
          </c:extLst>
        </c:ser>
        <c:ser>
          <c:idx val="0"/>
          <c:order val="4"/>
          <c:tx>
            <c:strRef>
              <c:f>DONNÉES!$CA$27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DONNÉES!$BV$28:$BV$39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DONNÉES!$CA$28:$CA$39</c:f>
              <c:numCache>
                <c:formatCode>#,##0</c:formatCode>
                <c:ptCount val="12"/>
                <c:pt idx="0">
                  <c:v>4308</c:v>
                </c:pt>
                <c:pt idx="1">
                  <c:v>14380</c:v>
                </c:pt>
                <c:pt idx="2">
                  <c:v>16383</c:v>
                </c:pt>
                <c:pt idx="3">
                  <c:v>19311</c:v>
                </c:pt>
                <c:pt idx="4">
                  <c:v>54139</c:v>
                </c:pt>
                <c:pt idx="5">
                  <c:v>77928</c:v>
                </c:pt>
                <c:pt idx="6">
                  <c:v>138821</c:v>
                </c:pt>
                <c:pt idx="7">
                  <c:v>241247</c:v>
                </c:pt>
                <c:pt idx="8">
                  <c:v>239275</c:v>
                </c:pt>
                <c:pt idx="9">
                  <c:v>288550</c:v>
                </c:pt>
                <c:pt idx="10">
                  <c:v>280413</c:v>
                </c:pt>
                <c:pt idx="11">
                  <c:v>325111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363-478B-8B20-C8F55DB54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60000"/>
          <c:min val="-1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255058429432265"/>
          <c:h val="0.81930707150193516"/>
        </c:manualLayout>
      </c:layout>
      <c:lineChart>
        <c:grouping val="standard"/>
        <c:varyColors val="0"/>
        <c:ser>
          <c:idx val="4"/>
          <c:order val="0"/>
          <c:tx>
            <c:strRef>
              <c:f>DONNÉES!$CE$27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DONNÉES!$CD$28:$CD$39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DONNÉES!$CE$28:$CE$39</c:f>
              <c:numCache>
                <c:formatCode>#,##0</c:formatCode>
                <c:ptCount val="12"/>
                <c:pt idx="0">
                  <c:v>-16856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99C-414C-8D83-3FCFB10C1272}"/>
            </c:ext>
          </c:extLst>
        </c:ser>
        <c:ser>
          <c:idx val="3"/>
          <c:order val="1"/>
          <c:tx>
            <c:strRef>
              <c:f>DONNÉES!$CF$27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DONNÉES!$CD$28:$CD$39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DONNÉES!$CF$28:$CF$39</c:f>
              <c:numCache>
                <c:formatCode>#,##0</c:formatCode>
                <c:ptCount val="12"/>
                <c:pt idx="0">
                  <c:v>-3688</c:v>
                </c:pt>
                <c:pt idx="1">
                  <c:v>-12920</c:v>
                </c:pt>
                <c:pt idx="2">
                  <c:v>-20431.96</c:v>
                </c:pt>
                <c:pt idx="3">
                  <c:v>-27719</c:v>
                </c:pt>
                <c:pt idx="4">
                  <c:v>2230</c:v>
                </c:pt>
                <c:pt idx="5">
                  <c:v>40868</c:v>
                </c:pt>
                <c:pt idx="6">
                  <c:v>79462</c:v>
                </c:pt>
                <c:pt idx="7">
                  <c:v>188098</c:v>
                </c:pt>
                <c:pt idx="8">
                  <c:v>182867</c:v>
                </c:pt>
                <c:pt idx="9">
                  <c:v>192847</c:v>
                </c:pt>
                <c:pt idx="10">
                  <c:v>188324</c:v>
                </c:pt>
                <c:pt idx="11">
                  <c:v>195828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99C-414C-8D83-3FCFB10C1272}"/>
            </c:ext>
          </c:extLst>
        </c:ser>
        <c:ser>
          <c:idx val="2"/>
          <c:order val="2"/>
          <c:tx>
            <c:strRef>
              <c:f>DONNÉES!$CG$27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DONNÉES!$CD$28:$CD$39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DONNÉES!$CG$28:$CG$39</c:f>
              <c:numCache>
                <c:formatCode>#,##0</c:formatCode>
                <c:ptCount val="12"/>
                <c:pt idx="0">
                  <c:v>-10768</c:v>
                </c:pt>
                <c:pt idx="1">
                  <c:v>-5685</c:v>
                </c:pt>
                <c:pt idx="2">
                  <c:v>-6011</c:v>
                </c:pt>
                <c:pt idx="3">
                  <c:v>51016</c:v>
                </c:pt>
                <c:pt idx="4">
                  <c:v>138471</c:v>
                </c:pt>
                <c:pt idx="5">
                  <c:v>166170</c:v>
                </c:pt>
                <c:pt idx="6">
                  <c:v>227161.75</c:v>
                </c:pt>
                <c:pt idx="7">
                  <c:v>355279.44</c:v>
                </c:pt>
                <c:pt idx="8">
                  <c:v>386994.05</c:v>
                </c:pt>
                <c:pt idx="9">
                  <c:v>399712.07</c:v>
                </c:pt>
                <c:pt idx="10">
                  <c:v>403259.9</c:v>
                </c:pt>
                <c:pt idx="11">
                  <c:v>389819.71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99C-414C-8D83-3FCFB10C1272}"/>
            </c:ext>
          </c:extLst>
        </c:ser>
        <c:ser>
          <c:idx val="1"/>
          <c:order val="3"/>
          <c:tx>
            <c:strRef>
              <c:f>DONNÉES!$CH$27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DONNÉES!$CD$28:$CD$39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DONNÉES!$CH$28:$CH$39</c:f>
              <c:numCache>
                <c:formatCode>#,##0</c:formatCode>
                <c:ptCount val="12"/>
                <c:pt idx="0">
                  <c:v>5114</c:v>
                </c:pt>
                <c:pt idx="1">
                  <c:v>18473</c:v>
                </c:pt>
                <c:pt idx="2">
                  <c:v>15900</c:v>
                </c:pt>
                <c:pt idx="3">
                  <c:v>20541</c:v>
                </c:pt>
                <c:pt idx="4">
                  <c:v>47833</c:v>
                </c:pt>
                <c:pt idx="5">
                  <c:v>77847</c:v>
                </c:pt>
                <c:pt idx="6">
                  <c:v>163947</c:v>
                </c:pt>
                <c:pt idx="7">
                  <c:v>295333</c:v>
                </c:pt>
                <c:pt idx="8">
                  <c:v>274025</c:v>
                </c:pt>
                <c:pt idx="9">
                  <c:v>282827</c:v>
                </c:pt>
                <c:pt idx="10">
                  <c:v>286127</c:v>
                </c:pt>
                <c:pt idx="11">
                  <c:v>236893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99C-414C-8D83-3FCFB10C1272}"/>
            </c:ext>
          </c:extLst>
        </c:ser>
        <c:ser>
          <c:idx val="0"/>
          <c:order val="4"/>
          <c:tx>
            <c:strRef>
              <c:f>DONNÉES!$CI$27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DONNÉES!$CD$28:$CD$39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DONNÉES!$CI$28:$CI$39</c:f>
              <c:numCache>
                <c:formatCode>#,##0</c:formatCode>
                <c:ptCount val="12"/>
                <c:pt idx="0">
                  <c:v>-33182</c:v>
                </c:pt>
                <c:pt idx="1">
                  <c:v>-36557</c:v>
                </c:pt>
                <c:pt idx="2">
                  <c:v>-26973</c:v>
                </c:pt>
                <c:pt idx="3">
                  <c:v>-27941</c:v>
                </c:pt>
                <c:pt idx="4">
                  <c:v>15241</c:v>
                </c:pt>
                <c:pt idx="5">
                  <c:v>32939</c:v>
                </c:pt>
                <c:pt idx="6">
                  <c:v>80654</c:v>
                </c:pt>
                <c:pt idx="7">
                  <c:v>194951</c:v>
                </c:pt>
                <c:pt idx="8">
                  <c:v>184247</c:v>
                </c:pt>
                <c:pt idx="9">
                  <c:v>177273</c:v>
                </c:pt>
                <c:pt idx="10">
                  <c:v>129798</c:v>
                </c:pt>
                <c:pt idx="11">
                  <c:v>102377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99C-414C-8D83-3FCFB10C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-16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DONNÉES!$CM$27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DONNÉES!$CL$28:$CL$39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DONNÉES!$CM$28:$CM$39</c:f>
              <c:numCache>
                <c:formatCode>#,##0</c:formatCode>
                <c:ptCount val="12"/>
                <c:pt idx="0">
                  <c:v>8362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8D-4A32-B824-9339E5E958C1}"/>
            </c:ext>
          </c:extLst>
        </c:ser>
        <c:ser>
          <c:idx val="3"/>
          <c:order val="1"/>
          <c:tx>
            <c:strRef>
              <c:f>DONNÉES!$CN$27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DONNÉES!$CL$28:$CL$39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DONNÉES!$CN$28:$CN$39</c:f>
              <c:numCache>
                <c:formatCode>#,##0</c:formatCode>
                <c:ptCount val="12"/>
                <c:pt idx="0">
                  <c:v>-24555</c:v>
                </c:pt>
                <c:pt idx="1">
                  <c:v>-48335.86</c:v>
                </c:pt>
                <c:pt idx="2">
                  <c:v>-13178.22</c:v>
                </c:pt>
                <c:pt idx="3">
                  <c:v>389</c:v>
                </c:pt>
                <c:pt idx="4">
                  <c:v>12513</c:v>
                </c:pt>
                <c:pt idx="5">
                  <c:v>4783</c:v>
                </c:pt>
                <c:pt idx="6">
                  <c:v>28550</c:v>
                </c:pt>
                <c:pt idx="7">
                  <c:v>94983</c:v>
                </c:pt>
                <c:pt idx="8">
                  <c:v>116516</c:v>
                </c:pt>
                <c:pt idx="9">
                  <c:v>142303</c:v>
                </c:pt>
                <c:pt idx="10">
                  <c:v>169731</c:v>
                </c:pt>
                <c:pt idx="11">
                  <c:v>187848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8D-4A32-B824-9339E5E958C1}"/>
            </c:ext>
          </c:extLst>
        </c:ser>
        <c:ser>
          <c:idx val="2"/>
          <c:order val="2"/>
          <c:tx>
            <c:strRef>
              <c:f>DONNÉES!$CO$27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DONNÉES!$CL$28:$CL$39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DONNÉES!$CO$28:$CO$39</c:f>
              <c:numCache>
                <c:formatCode>#,##0</c:formatCode>
                <c:ptCount val="12"/>
                <c:pt idx="0">
                  <c:v>42952</c:v>
                </c:pt>
                <c:pt idx="1">
                  <c:v>80216</c:v>
                </c:pt>
                <c:pt idx="2">
                  <c:v>129726</c:v>
                </c:pt>
                <c:pt idx="3">
                  <c:v>207638</c:v>
                </c:pt>
                <c:pt idx="4">
                  <c:v>261488</c:v>
                </c:pt>
                <c:pt idx="5">
                  <c:v>306418</c:v>
                </c:pt>
                <c:pt idx="6">
                  <c:v>401217.14</c:v>
                </c:pt>
                <c:pt idx="7">
                  <c:v>508262.49</c:v>
                </c:pt>
                <c:pt idx="8">
                  <c:v>573628.15</c:v>
                </c:pt>
                <c:pt idx="9">
                  <c:v>624428.18000000005</c:v>
                </c:pt>
                <c:pt idx="10">
                  <c:v>674471.85</c:v>
                </c:pt>
                <c:pt idx="11">
                  <c:v>659283.07999999996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48D-4A32-B824-9339E5E958C1}"/>
            </c:ext>
          </c:extLst>
        </c:ser>
        <c:ser>
          <c:idx val="1"/>
          <c:order val="3"/>
          <c:tx>
            <c:strRef>
              <c:f>DONNÉES!$CP$27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DONNÉES!$CL$28:$CL$39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DONNÉES!$CP$28:$CP$39</c:f>
              <c:numCache>
                <c:formatCode>#,##0</c:formatCode>
                <c:ptCount val="12"/>
                <c:pt idx="0">
                  <c:v>73888</c:v>
                </c:pt>
                <c:pt idx="1">
                  <c:v>137805</c:v>
                </c:pt>
                <c:pt idx="2">
                  <c:v>197479</c:v>
                </c:pt>
                <c:pt idx="3">
                  <c:v>276237</c:v>
                </c:pt>
                <c:pt idx="4">
                  <c:v>338962</c:v>
                </c:pt>
                <c:pt idx="5">
                  <c:v>405877</c:v>
                </c:pt>
                <c:pt idx="6">
                  <c:v>509577</c:v>
                </c:pt>
                <c:pt idx="7">
                  <c:v>606341</c:v>
                </c:pt>
                <c:pt idx="8">
                  <c:v>748964</c:v>
                </c:pt>
                <c:pt idx="9">
                  <c:v>733684.5</c:v>
                </c:pt>
                <c:pt idx="10">
                  <c:v>746553</c:v>
                </c:pt>
                <c:pt idx="11">
                  <c:v>654685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48D-4A32-B824-9339E5E958C1}"/>
            </c:ext>
          </c:extLst>
        </c:ser>
        <c:ser>
          <c:idx val="0"/>
          <c:order val="4"/>
          <c:tx>
            <c:strRef>
              <c:f>DONNÉES!$CQ$27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DONNÉES!$CL$28:$CL$39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DONNÉES!$CQ$28:$CQ$39</c:f>
              <c:numCache>
                <c:formatCode>#,##0</c:formatCode>
                <c:ptCount val="12"/>
                <c:pt idx="0">
                  <c:v>26914</c:v>
                </c:pt>
                <c:pt idx="1">
                  <c:v>36691</c:v>
                </c:pt>
                <c:pt idx="2">
                  <c:v>60905</c:v>
                </c:pt>
                <c:pt idx="3">
                  <c:v>83608</c:v>
                </c:pt>
                <c:pt idx="4">
                  <c:v>125462</c:v>
                </c:pt>
                <c:pt idx="5">
                  <c:v>187618</c:v>
                </c:pt>
                <c:pt idx="6">
                  <c:v>330323</c:v>
                </c:pt>
                <c:pt idx="7">
                  <c:v>421130</c:v>
                </c:pt>
                <c:pt idx="8">
                  <c:v>483185</c:v>
                </c:pt>
                <c:pt idx="9">
                  <c:v>550884</c:v>
                </c:pt>
                <c:pt idx="10">
                  <c:v>602841</c:v>
                </c:pt>
                <c:pt idx="11">
                  <c:v>651866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48D-4A32-B824-9339E5E9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40000"/>
          <c:min val="-8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DONNÉES!$CU$27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DONNÉES!$CU$28:$CU$39</c:f>
              <c:numCache>
                <c:formatCode>#,##0</c:formatCode>
                <c:ptCount val="12"/>
                <c:pt idx="0">
                  <c:v>17703.310000000001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6A-4FBE-BCD5-E9F4D1EC4BF0}"/>
            </c:ext>
          </c:extLst>
        </c:ser>
        <c:ser>
          <c:idx val="3"/>
          <c:order val="1"/>
          <c:tx>
            <c:strRef>
              <c:f>DONNÉES!$CV$27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DONNÉES!$CV$28:$CV$39</c:f>
              <c:numCache>
                <c:formatCode>#,##0</c:formatCode>
                <c:ptCount val="12"/>
                <c:pt idx="0">
                  <c:v>-2689</c:v>
                </c:pt>
                <c:pt idx="1">
                  <c:v>11894.4</c:v>
                </c:pt>
                <c:pt idx="2">
                  <c:v>28737.48</c:v>
                </c:pt>
                <c:pt idx="3">
                  <c:v>64889.31</c:v>
                </c:pt>
                <c:pt idx="4">
                  <c:v>80082.039999999994</c:v>
                </c:pt>
                <c:pt idx="5">
                  <c:v>94472.61</c:v>
                </c:pt>
                <c:pt idx="6">
                  <c:v>128809.27</c:v>
                </c:pt>
                <c:pt idx="7">
                  <c:v>179244.97</c:v>
                </c:pt>
                <c:pt idx="8">
                  <c:v>189081.89</c:v>
                </c:pt>
                <c:pt idx="9">
                  <c:v>216123.91</c:v>
                </c:pt>
                <c:pt idx="10">
                  <c:v>242875.69</c:v>
                </c:pt>
                <c:pt idx="11">
                  <c:v>255016.21000000008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B6A-4FBE-BCD5-E9F4D1EC4BF0}"/>
            </c:ext>
          </c:extLst>
        </c:ser>
        <c:ser>
          <c:idx val="2"/>
          <c:order val="2"/>
          <c:tx>
            <c:strRef>
              <c:f>DONNÉES!$CW$27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DONNÉES!$CW$28:$CW$39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B6A-4FBE-BCD5-E9F4D1EC4BF0}"/>
            </c:ext>
          </c:extLst>
        </c:ser>
        <c:ser>
          <c:idx val="1"/>
          <c:order val="3"/>
          <c:tx>
            <c:strRef>
              <c:f>DONNÉES!$CX$27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DONNÉES!$CX$28:$CX$39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B6A-4FBE-BCD5-E9F4D1EC4BF0}"/>
            </c:ext>
          </c:extLst>
        </c:ser>
        <c:ser>
          <c:idx val="0"/>
          <c:order val="4"/>
          <c:tx>
            <c:strRef>
              <c:f>DONNÉES!$CY$27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DONNÉES!$CY$28:$CY$39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B6A-4FBE-BCD5-E9F4D1EC4BF0}"/>
            </c:ext>
          </c:extLst>
        </c:ser>
        <c:ser>
          <c:idx val="5"/>
          <c:order val="5"/>
          <c:tx>
            <c:strRef>
              <c:f>DONNÉES!$CZ$27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DONNÉES!$CT$28:$CT$39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DONNÉES!$CZ$28:$CZ$39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0-486B-A44A-4AA56DA6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000"/>
          <c:min val="-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HUGO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DONNÉES!$DC$27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DONNÉES!$DC$28:$DC$39</c:f>
              <c:numCache>
                <c:formatCode>#,##0</c:formatCode>
                <c:ptCount val="12"/>
                <c:pt idx="0">
                  <c:v>45323.09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966-4925-888B-017492EB504A}"/>
            </c:ext>
          </c:extLst>
        </c:ser>
        <c:ser>
          <c:idx val="3"/>
          <c:order val="1"/>
          <c:tx>
            <c:strRef>
              <c:f>DONNÉES!$DD$27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DONNÉES!$DD$28:$DD$39</c:f>
              <c:numCache>
                <c:formatCode>#,##0</c:formatCode>
                <c:ptCount val="12"/>
                <c:pt idx="0">
                  <c:v>22322</c:v>
                </c:pt>
                <c:pt idx="1">
                  <c:v>74127.78</c:v>
                </c:pt>
                <c:pt idx="2">
                  <c:v>131915.01</c:v>
                </c:pt>
                <c:pt idx="3">
                  <c:v>161950.73000000001</c:v>
                </c:pt>
                <c:pt idx="4">
                  <c:v>207016.81</c:v>
                </c:pt>
                <c:pt idx="5">
                  <c:v>235412</c:v>
                </c:pt>
                <c:pt idx="6">
                  <c:v>269316.95</c:v>
                </c:pt>
                <c:pt idx="7">
                  <c:v>327711.23</c:v>
                </c:pt>
                <c:pt idx="8">
                  <c:v>351073.89</c:v>
                </c:pt>
                <c:pt idx="9">
                  <c:v>373138.56</c:v>
                </c:pt>
                <c:pt idx="10">
                  <c:v>415541.12</c:v>
                </c:pt>
                <c:pt idx="11">
                  <c:v>460720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966-4925-888B-017492EB504A}"/>
            </c:ext>
          </c:extLst>
        </c:ser>
        <c:ser>
          <c:idx val="2"/>
          <c:order val="2"/>
          <c:tx>
            <c:strRef>
              <c:f>DONNÉES!$DE$27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DONNÉES!$DE$28:$DE$39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966-4925-888B-017492EB504A}"/>
            </c:ext>
          </c:extLst>
        </c:ser>
        <c:ser>
          <c:idx val="1"/>
          <c:order val="3"/>
          <c:tx>
            <c:strRef>
              <c:f>DONNÉES!$DF$27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DONNÉES!$DF$28:$DF$39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966-4925-888B-017492EB504A}"/>
            </c:ext>
          </c:extLst>
        </c:ser>
        <c:ser>
          <c:idx val="0"/>
          <c:order val="4"/>
          <c:tx>
            <c:strRef>
              <c:f>DONNÉES!$DG$27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DONNÉES!$DG$28:$DG$39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966-4925-888B-017492EB504A}"/>
            </c:ext>
          </c:extLst>
        </c:ser>
        <c:ser>
          <c:idx val="5"/>
          <c:order val="5"/>
          <c:tx>
            <c:strRef>
              <c:f>DONNÉES!$DH$27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DONNÉES!$DB$28:$DB$39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DONNÉES!$DH$28:$DH$39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6-4925-888B-017492EB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60000"/>
          <c:min val="-22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JEANCLO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DONNÉES!$DK$27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DONNÉES!$DK$28:$DK$39</c:f>
              <c:numCache>
                <c:formatCode>#,##0</c:formatCode>
                <c:ptCount val="12"/>
                <c:pt idx="0">
                  <c:v>-2380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028-46F6-BD15-7D307775AB6A}"/>
            </c:ext>
          </c:extLst>
        </c:ser>
        <c:ser>
          <c:idx val="3"/>
          <c:order val="1"/>
          <c:tx>
            <c:strRef>
              <c:f>DONNÉES!$DL$27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DONNÉES!$DL$28:$DL$39</c:f>
              <c:numCache>
                <c:formatCode>#,##0</c:formatCode>
                <c:ptCount val="12"/>
                <c:pt idx="0">
                  <c:v>-26085</c:v>
                </c:pt>
                <c:pt idx="1">
                  <c:v>-10669.27</c:v>
                </c:pt>
                <c:pt idx="2">
                  <c:v>-10237.69</c:v>
                </c:pt>
                <c:pt idx="3">
                  <c:v>-21197.68</c:v>
                </c:pt>
                <c:pt idx="4">
                  <c:v>-20326.45</c:v>
                </c:pt>
                <c:pt idx="5">
                  <c:v>-27698</c:v>
                </c:pt>
                <c:pt idx="6">
                  <c:v>-22300.55</c:v>
                </c:pt>
                <c:pt idx="7">
                  <c:v>-12535.17</c:v>
                </c:pt>
                <c:pt idx="8">
                  <c:v>-22127.27</c:v>
                </c:pt>
                <c:pt idx="9">
                  <c:v>-28667.4</c:v>
                </c:pt>
                <c:pt idx="10">
                  <c:v>-26965.51</c:v>
                </c:pt>
                <c:pt idx="11">
                  <c:v>-30172.469999999797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028-46F6-BD15-7D307775AB6A}"/>
            </c:ext>
          </c:extLst>
        </c:ser>
        <c:ser>
          <c:idx val="2"/>
          <c:order val="2"/>
          <c:tx>
            <c:strRef>
              <c:f>DONNÉES!$DM$27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DONNÉES!$DM$28:$DM$39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028-46F6-BD15-7D307775AB6A}"/>
            </c:ext>
          </c:extLst>
        </c:ser>
        <c:ser>
          <c:idx val="1"/>
          <c:order val="3"/>
          <c:tx>
            <c:strRef>
              <c:f>DONNÉES!$DN$27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DONNÉES!$DN$28:$DN$39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028-46F6-BD15-7D307775AB6A}"/>
            </c:ext>
          </c:extLst>
        </c:ser>
        <c:ser>
          <c:idx val="0"/>
          <c:order val="4"/>
          <c:tx>
            <c:strRef>
              <c:f>DONNÉES!$DO$27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DONNÉES!$DO$28:$DO$39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028-46F6-BD15-7D307775AB6A}"/>
            </c:ext>
          </c:extLst>
        </c:ser>
        <c:ser>
          <c:idx val="5"/>
          <c:order val="5"/>
          <c:tx>
            <c:strRef>
              <c:f>DONNÉES!$DP$27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DONNÉES!$DJ$28:$DJ$39</c:f>
              <c:strCache>
                <c:ptCount val="12"/>
                <c:pt idx="0">
                  <c:v> JANVIER </c:v>
                </c:pt>
                <c:pt idx="1">
                  <c:v> FÉVRIER </c:v>
                </c:pt>
                <c:pt idx="2">
                  <c:v> MARS </c:v>
                </c:pt>
                <c:pt idx="3">
                  <c:v> AVRIL </c:v>
                </c:pt>
                <c:pt idx="4">
                  <c:v> MAI </c:v>
                </c:pt>
                <c:pt idx="5">
                  <c:v> JUIN </c:v>
                </c:pt>
                <c:pt idx="6">
                  <c:v> JUILLET </c:v>
                </c:pt>
                <c:pt idx="7">
                  <c:v> AOÛT </c:v>
                </c:pt>
                <c:pt idx="8">
                  <c:v> SEPTEMBRE </c:v>
                </c:pt>
                <c:pt idx="9">
                  <c:v> OCTOBRE </c:v>
                </c:pt>
                <c:pt idx="10">
                  <c:v> NOVEMBRE </c:v>
                </c:pt>
                <c:pt idx="11">
                  <c:v> DÉCEMBRE </c:v>
                </c:pt>
              </c:strCache>
            </c:strRef>
          </c:cat>
          <c:val>
            <c:numRef>
              <c:f>DONNÉES!$DP$28:$DP$39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28-46F6-BD15-7D307775A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40000"/>
          <c:min val="-8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THOMAS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DONNÉES!$DS$27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DONNÉES!$DS$28:$DS$39</c:f>
              <c:numCache>
                <c:formatCode>#,##0</c:formatCode>
                <c:ptCount val="12"/>
                <c:pt idx="0">
                  <c:v>5587.81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82-4969-83FB-B03CE2F92580}"/>
            </c:ext>
          </c:extLst>
        </c:ser>
        <c:ser>
          <c:idx val="3"/>
          <c:order val="1"/>
          <c:tx>
            <c:strRef>
              <c:f>DONNÉES!$DT$27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DONNÉES!$DT$28:$DT$39</c:f>
              <c:numCache>
                <c:formatCode>#,##0</c:formatCode>
                <c:ptCount val="12"/>
                <c:pt idx="0">
                  <c:v>-14729</c:v>
                </c:pt>
                <c:pt idx="1">
                  <c:v>1313.96</c:v>
                </c:pt>
                <c:pt idx="2">
                  <c:v>18072.919999999998</c:v>
                </c:pt>
                <c:pt idx="3">
                  <c:v>20067.64</c:v>
                </c:pt>
                <c:pt idx="4">
                  <c:v>27796</c:v>
                </c:pt>
                <c:pt idx="5">
                  <c:v>24534</c:v>
                </c:pt>
                <c:pt idx="6">
                  <c:v>27494.66</c:v>
                </c:pt>
                <c:pt idx="7">
                  <c:v>41401.040000000001</c:v>
                </c:pt>
                <c:pt idx="8">
                  <c:v>36519.22</c:v>
                </c:pt>
                <c:pt idx="9">
                  <c:v>42758.42</c:v>
                </c:pt>
                <c:pt idx="10">
                  <c:v>43368.84</c:v>
                </c:pt>
                <c:pt idx="11">
                  <c:v>47271.039999999281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D82-4969-83FB-B03CE2F92580}"/>
            </c:ext>
          </c:extLst>
        </c:ser>
        <c:ser>
          <c:idx val="2"/>
          <c:order val="2"/>
          <c:tx>
            <c:strRef>
              <c:f>DONNÉES!$DU$27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DONNÉES!$DU$28:$DU$39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D82-4969-83FB-B03CE2F92580}"/>
            </c:ext>
          </c:extLst>
        </c:ser>
        <c:ser>
          <c:idx val="1"/>
          <c:order val="3"/>
          <c:tx>
            <c:strRef>
              <c:f>DONNÉES!$DV$27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DONNÉES!$DV$28:$DV$39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D82-4969-83FB-B03CE2F92580}"/>
            </c:ext>
          </c:extLst>
        </c:ser>
        <c:ser>
          <c:idx val="0"/>
          <c:order val="4"/>
          <c:tx>
            <c:strRef>
              <c:f>DONNÉES!$DW$27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DONNÉES!$DW$28:$DW$39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2D82-4969-83FB-B03CE2F92580}"/>
            </c:ext>
          </c:extLst>
        </c:ser>
        <c:ser>
          <c:idx val="5"/>
          <c:order val="5"/>
          <c:tx>
            <c:strRef>
              <c:f>DONNÉES!$DX$27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DONNÉES!$DR$28:$DR$39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DONNÉES!$DX$28:$DX$39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82-4969-83FB-B03CE2F9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40000"/>
          <c:min val="-8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CATALINA</a:t>
            </a:r>
          </a:p>
          <a:p>
            <a:pPr>
              <a:defRPr/>
            </a:pPr>
            <a:r>
              <a:rPr lang="fr-FR"/>
              <a:t>Évolution du résultat net cumulé</a:t>
            </a:r>
          </a:p>
        </c:rich>
      </c:tx>
      <c:layout>
        <c:manualLayout>
          <c:xMode val="edge"/>
          <c:yMode val="edge"/>
          <c:x val="0.30774695339121727"/>
          <c:y val="2.01925427260523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2999537955066131E-2"/>
          <c:y val="8.9173027989821893E-2"/>
          <c:w val="0.88458807410687357"/>
          <c:h val="0.81806826150547962"/>
        </c:manualLayout>
      </c:layout>
      <c:lineChart>
        <c:grouping val="standard"/>
        <c:varyColors val="0"/>
        <c:ser>
          <c:idx val="4"/>
          <c:order val="0"/>
          <c:tx>
            <c:strRef>
              <c:f>DONNÉES!$EA$27</c:f>
              <c:strCache>
                <c:ptCount val="1"/>
                <c:pt idx="0">
                  <c:v>2025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tx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DONNÉES!$EA$28:$EA$39</c:f>
              <c:numCache>
                <c:formatCode>#,##0</c:formatCode>
                <c:ptCount val="12"/>
                <c:pt idx="0">
                  <c:v>-13966.86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8A6-47D7-ABE7-592402947076}"/>
            </c:ext>
          </c:extLst>
        </c:ser>
        <c:ser>
          <c:idx val="3"/>
          <c:order val="1"/>
          <c:tx>
            <c:strRef>
              <c:f>DONNÉES!$EB$27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92D050"/>
              </a:solidFill>
              <a:ln w="9525" cap="flat" cmpd="sng" algn="ctr">
                <a:solidFill>
                  <a:srgbClr val="92D050"/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DONNÉES!$EB$28:$EB$39</c:f>
              <c:numCache>
                <c:formatCode>#,##0</c:formatCode>
                <c:ptCount val="12"/>
                <c:pt idx="7">
                  <c:v>20349.509999999998</c:v>
                </c:pt>
                <c:pt idx="8">
                  <c:v>18873.66</c:v>
                </c:pt>
                <c:pt idx="9">
                  <c:v>15482.9</c:v>
                </c:pt>
                <c:pt idx="10">
                  <c:v>12772.11</c:v>
                </c:pt>
                <c:pt idx="11">
                  <c:v>1869.3599999999913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8A6-47D7-ABE7-592402947076}"/>
            </c:ext>
          </c:extLst>
        </c:ser>
        <c:ser>
          <c:idx val="2"/>
          <c:order val="2"/>
          <c:tx>
            <c:strRef>
              <c:f>DONNÉES!$EC$27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75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DONNÉES!$EC$28:$EC$39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8A6-47D7-ABE7-592402947076}"/>
            </c:ext>
          </c:extLst>
        </c:ser>
        <c:ser>
          <c:idx val="1"/>
          <c:order val="3"/>
          <c:tx>
            <c:strRef>
              <c:f>DONNÉES!$ED$27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DONNÉES!$ED$28:$ED$39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8A6-47D7-ABE7-592402947076}"/>
            </c:ext>
          </c:extLst>
        </c:ser>
        <c:ser>
          <c:idx val="0"/>
          <c:order val="4"/>
          <c:tx>
            <c:strRef>
              <c:f>DONNÉES!$EE$27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DONNÉES!$EE$28:$EE$39</c:f>
              <c:numCache>
                <c:formatCode>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8A6-47D7-ABE7-592402947076}"/>
            </c:ext>
          </c:extLst>
        </c:ser>
        <c:ser>
          <c:idx val="5"/>
          <c:order val="5"/>
          <c:tx>
            <c:strRef>
              <c:f>DONNÉES!$EF$27</c:f>
              <c:strCache>
                <c:ptCount val="1"/>
                <c:pt idx="0">
                  <c:v>2020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DONNÉES!$DZ$28:$DZ$39</c:f>
              <c:strCache>
                <c:ptCount val="12"/>
                <c:pt idx="0">
                  <c:v> 01 </c:v>
                </c:pt>
                <c:pt idx="1">
                  <c:v> 02 </c:v>
                </c:pt>
                <c:pt idx="2">
                  <c:v> 03 </c:v>
                </c:pt>
                <c:pt idx="3">
                  <c:v> 04 </c:v>
                </c:pt>
                <c:pt idx="4">
                  <c:v> 05 </c:v>
                </c:pt>
                <c:pt idx="5">
                  <c:v> 06 </c:v>
                </c:pt>
                <c:pt idx="6">
                  <c:v> 07 </c:v>
                </c:pt>
                <c:pt idx="7">
                  <c:v> 08 </c:v>
                </c:pt>
                <c:pt idx="8">
                  <c:v> 09 </c:v>
                </c:pt>
                <c:pt idx="9">
                  <c:v> 10 </c:v>
                </c:pt>
                <c:pt idx="10">
                  <c:v> 11 </c:v>
                </c:pt>
                <c:pt idx="11">
                  <c:v> 12 </c:v>
                </c:pt>
              </c:strCache>
            </c:strRef>
          </c:cat>
          <c:val>
            <c:numRef>
              <c:f>DONNÉES!$EF$28:$EF$39</c:f>
              <c:numCache>
                <c:formatCode>#,##0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A6-47D7-ABE7-59240294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40000"/>
          <c:min val="-800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2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par restaurant</a:t>
            </a:r>
          </a:p>
        </c:rich>
      </c:tx>
      <c:layout>
        <c:manualLayout>
          <c:xMode val="edge"/>
          <c:yMode val="edge"/>
          <c:x val="0.26099897573778885"/>
          <c:y val="3.10731710346993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813360220216375E-2"/>
          <c:y val="0.17190043100244748"/>
          <c:w val="0.84299116573842903"/>
          <c:h val="0.67885680579273455"/>
        </c:manualLayout>
      </c:layout>
      <c:lineChart>
        <c:grouping val="standard"/>
        <c:varyColors val="0"/>
        <c:ser>
          <c:idx val="2"/>
          <c:order val="0"/>
          <c:tx>
            <c:strRef>
              <c:f>DONNÉES!$CD$297</c:f>
              <c:strCache>
                <c:ptCount val="1"/>
                <c:pt idx="0">
                  <c:v> R3 14 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cat>
            <c:strRef>
              <c:f>TRESO!$B$5:$M$5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JUILL.</c:v>
                </c:pt>
                <c:pt idx="7">
                  <c:v>AOÛT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DONNÉES!$CE$300:$CE$312</c:f>
              <c:numCache>
                <c:formatCode>#\ ##0_ ;\-#\ ##0\ </c:formatCode>
                <c:ptCount val="13"/>
                <c:pt idx="0">
                  <c:v>250.17426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DEC-438F-84AA-9BD296F49C7A}"/>
            </c:ext>
          </c:extLst>
        </c:ser>
        <c:ser>
          <c:idx val="1"/>
          <c:order val="1"/>
          <c:tx>
            <c:strRef>
              <c:f>DONNÉES!$CL$297</c:f>
              <c:strCache>
                <c:ptCount val="1"/>
                <c:pt idx="0">
                  <c:v> LYSE </c:v>
                </c:pt>
              </c:strCache>
            </c:strRef>
          </c:tx>
          <c:spPr>
            <a:ln w="22225" cap="rnd" cmpd="sng" algn="ctr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 cap="flat" cmpd="sng" algn="ctr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TRESO!$B$5:$M$5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JUILL.</c:v>
                </c:pt>
                <c:pt idx="7">
                  <c:v>AOÛT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DONNÉES!$CM$300:$CM$311</c:f>
              <c:numCache>
                <c:formatCode>#\ ##0_ ;\-#\ ##0\ </c:formatCode>
                <c:ptCount val="12"/>
                <c:pt idx="0">
                  <c:v>563.80840999999998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DEC-438F-84AA-9BD296F49C7A}"/>
            </c:ext>
          </c:extLst>
        </c:ser>
        <c:ser>
          <c:idx val="0"/>
          <c:order val="2"/>
          <c:tx>
            <c:strRef>
              <c:f>DONNÉES!$BV$297</c:f>
              <c:strCache>
                <c:ptCount val="1"/>
                <c:pt idx="0">
                  <c:v> TL DIVES 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TRESO!$B$5:$M$5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JUILL.</c:v>
                </c:pt>
                <c:pt idx="7">
                  <c:v>AOÛT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DONNÉES!$BW$300:$BW$311</c:f>
              <c:numCache>
                <c:formatCode>#\ ##0_ ;\-#\ ##0\ </c:formatCode>
                <c:ptCount val="12"/>
                <c:pt idx="0">
                  <c:v>366.46967999999998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DEC-438F-84AA-9BD296F49C7A}"/>
            </c:ext>
          </c:extLst>
        </c:ser>
        <c:ser>
          <c:idx val="5"/>
          <c:order val="3"/>
          <c:tx>
            <c:strRef>
              <c:f>DONNÉES!$BN$297</c:f>
              <c:strCache>
                <c:ptCount val="1"/>
                <c:pt idx="0">
                  <c:v> TH4 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</a:schemeClr>
              </a:solidFill>
              <a:ln w="9525" cap="flat" cmpd="sng" algn="ctr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TRESO!$B$5:$M$5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JUILL.</c:v>
                </c:pt>
                <c:pt idx="7">
                  <c:v>AOÛT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DONNÉES!$BO$300:$BO$311</c:f>
              <c:numCache>
                <c:formatCode>#\ ##0_ ;\-#\ ##0\ </c:formatCode>
                <c:ptCount val="12"/>
                <c:pt idx="0">
                  <c:v>372.45663000000002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DEC-438F-84AA-9BD296F49C7A}"/>
            </c:ext>
          </c:extLst>
        </c:ser>
        <c:ser>
          <c:idx val="3"/>
          <c:order val="4"/>
          <c:tx>
            <c:strRef>
              <c:f>TRESO!$A$6</c:f>
              <c:strCache>
                <c:ptCount val="1"/>
                <c:pt idx="0">
                  <c:v> GLR5 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</a:schemeClr>
              </a:solidFill>
              <a:ln w="9525" cap="flat" cmpd="sng" algn="ctr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TRESO!$B$6:$M$6</c:f>
              <c:numCache>
                <c:formatCode>#,##0</c:formatCode>
                <c:ptCount val="12"/>
                <c:pt idx="0">
                  <c:v>119.00608000000001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7-4E88-8D1F-1EEE8F06A6D6}"/>
            </c:ext>
          </c:extLst>
        </c:ser>
        <c:ser>
          <c:idx val="4"/>
          <c:order val="5"/>
          <c:tx>
            <c:strRef>
              <c:f>TRESO!$A$7</c:f>
              <c:strCache>
                <c:ptCount val="1"/>
                <c:pt idx="0">
                  <c:v> HTR8 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</a:schemeClr>
              </a:solidFill>
              <a:ln w="9525" cap="flat" cmpd="sng" algn="ctr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TRESO!$B$7:$M$7</c:f>
              <c:numCache>
                <c:formatCode>#,##0</c:formatCode>
                <c:ptCount val="12"/>
                <c:pt idx="0">
                  <c:v>64.110299999999995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7-4E88-8D1F-1EEE8F06A6D6}"/>
            </c:ext>
          </c:extLst>
        </c:ser>
        <c:ser>
          <c:idx val="6"/>
          <c:order val="6"/>
          <c:tx>
            <c:strRef>
              <c:f>TRESO!$A$8</c:f>
              <c:strCache>
                <c:ptCount val="1"/>
                <c:pt idx="0">
                  <c:v> TIRR 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80000"/>
                  <a:lumOff val="20000"/>
                </a:schemeClr>
              </a:solidFill>
              <a:ln w="9525" cap="flat" cmpd="sng" algn="ctr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val>
            <c:numRef>
              <c:f>TRESO!$B$8:$M$8</c:f>
              <c:numCache>
                <c:formatCode>#,##0</c:formatCode>
                <c:ptCount val="12"/>
                <c:pt idx="0">
                  <c:v>319.16282999999999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B7-4E88-8D1F-1EEE8F06A6D6}"/>
            </c:ext>
          </c:extLst>
        </c:ser>
        <c:ser>
          <c:idx val="7"/>
          <c:order val="7"/>
          <c:tx>
            <c:strRef>
              <c:f>TRESO!$A$9</c:f>
              <c:strCache>
                <c:ptCount val="1"/>
                <c:pt idx="0">
                  <c:v> VR7 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  <a:lumOff val="20000"/>
                </a:schemeClr>
              </a:solidFill>
              <a:ln w="9525" cap="flat" cmpd="sng" algn="ctr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val>
            <c:numRef>
              <c:f>TRESO!$B$9:$M$9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B7-4E88-8D1F-1EEE8F06A6D6}"/>
            </c:ext>
          </c:extLst>
        </c:ser>
        <c:ser>
          <c:idx val="8"/>
          <c:order val="8"/>
          <c:tx>
            <c:strRef>
              <c:f>TRESO!$A$10</c:f>
              <c:strCache>
                <c:ptCount val="1"/>
                <c:pt idx="0">
                  <c:v> TURVILLA 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  <a:lumOff val="20000"/>
                </a:schemeClr>
              </a:solidFill>
              <a:ln w="9525" cap="flat" cmpd="sng" algn="ctr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</c:marker>
          <c:val>
            <c:numRef>
              <c:f>TRESO!$B$10:$M$10</c:f>
              <c:numCache>
                <c:formatCode>#,##0</c:formatCode>
                <c:ptCount val="12"/>
                <c:pt idx="0">
                  <c:v>382.70744999999999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B7-4E88-8D1F-1EEE8F06A6D6}"/>
            </c:ext>
          </c:extLst>
        </c:ser>
        <c:ser>
          <c:idx val="9"/>
          <c:order val="9"/>
          <c:tx>
            <c:strRef>
              <c:f>TRESO!$A$11</c:f>
              <c:strCache>
                <c:ptCount val="1"/>
                <c:pt idx="0">
                  <c:v> HART 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80000"/>
                </a:schemeClr>
              </a:solidFill>
              <a:ln w="9525" cap="flat" cmpd="sng" algn="ctr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</c:marker>
          <c:val>
            <c:numRef>
              <c:f>TRESO!$B$11:$M$11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B7-4E88-8D1F-1EEE8F06A6D6}"/>
            </c:ext>
          </c:extLst>
        </c:ser>
        <c:ser>
          <c:idx val="10"/>
          <c:order val="10"/>
          <c:tx>
            <c:strRef>
              <c:f>TRESO!$A$12</c:f>
              <c:strCache>
                <c:ptCount val="1"/>
                <c:pt idx="0">
                  <c:v> VICTOIRE 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80000"/>
                </a:schemeClr>
              </a:solidFill>
              <a:ln w="9525" cap="flat" cmpd="sng" algn="ctr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</c:marker>
          <c:val>
            <c:numRef>
              <c:f>TRESO!$B$12:$M$12</c:f>
              <c:numCache>
                <c:formatCode>#,##0</c:formatCode>
                <c:ptCount val="12"/>
                <c:pt idx="0">
                  <c:v>257.81667499999998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B7-4E88-8D1F-1EEE8F06A6D6}"/>
            </c:ext>
          </c:extLst>
        </c:ser>
        <c:ser>
          <c:idx val="11"/>
          <c:order val="11"/>
          <c:tx>
            <c:strRef>
              <c:f>TRESO!$A$18</c:f>
              <c:strCache>
                <c:ptCount val="1"/>
                <c:pt idx="0">
                  <c:v> ARTHUR 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80000"/>
                </a:schemeClr>
              </a:solidFill>
              <a:ln w="9525" cap="flat" cmpd="sng" algn="ctr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</c:marker>
          <c:val>
            <c:numRef>
              <c:f>TRESO!$B$18:$M$18</c:f>
              <c:numCache>
                <c:formatCode>#,##0</c:formatCode>
                <c:ptCount val="12"/>
                <c:pt idx="0">
                  <c:v>721.95752000000005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B7-4E88-8D1F-1EEE8F06A6D6}"/>
            </c:ext>
          </c:extLst>
        </c:ser>
        <c:ser>
          <c:idx val="12"/>
          <c:order val="12"/>
          <c:tx>
            <c:strRef>
              <c:f>TRESO!$A$19</c:f>
              <c:strCache>
                <c:ptCount val="1"/>
                <c:pt idx="0">
                  <c:v> HUGO 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val>
            <c:numRef>
              <c:f>TRESO!$B$19:$M$19</c:f>
              <c:numCache>
                <c:formatCode>#,##0</c:formatCode>
                <c:ptCount val="12"/>
                <c:pt idx="0">
                  <c:v>997.63301000000001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B7-4E88-8D1F-1EEE8F06A6D6}"/>
            </c:ext>
          </c:extLst>
        </c:ser>
        <c:ser>
          <c:idx val="13"/>
          <c:order val="13"/>
          <c:tx>
            <c:strRef>
              <c:f>TRESO!$A$20</c:f>
              <c:strCache>
                <c:ptCount val="1"/>
                <c:pt idx="0">
                  <c:v> JEANCLO 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val>
            <c:numRef>
              <c:f>TRESO!$B$20:$M$20</c:f>
              <c:numCache>
                <c:formatCode>#,##0</c:formatCode>
                <c:ptCount val="12"/>
                <c:pt idx="0">
                  <c:v>314.25753999999995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B7-4E88-8D1F-1EEE8F06A6D6}"/>
            </c:ext>
          </c:extLst>
        </c:ser>
        <c:ser>
          <c:idx val="14"/>
          <c:order val="14"/>
          <c:tx>
            <c:strRef>
              <c:f>TRESO!$A$21</c:f>
              <c:strCache>
                <c:ptCount val="1"/>
                <c:pt idx="0">
                  <c:v> THOMAS 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val>
            <c:numRef>
              <c:f>TRESO!$B$21:$M$21</c:f>
              <c:numCache>
                <c:formatCode>#,##0</c:formatCode>
                <c:ptCount val="12"/>
                <c:pt idx="0">
                  <c:v>349.43583000000001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B7-4E88-8D1F-1EEE8F06A6D6}"/>
            </c:ext>
          </c:extLst>
        </c:ser>
        <c:ser>
          <c:idx val="15"/>
          <c:order val="15"/>
          <c:tx>
            <c:strRef>
              <c:f>TRESO!$A$22</c:f>
              <c:strCache>
                <c:ptCount val="1"/>
                <c:pt idx="0">
                  <c:v> CATALINA 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50000"/>
                </a:schemeClr>
              </a:solidFill>
              <a:ln w="9525" cap="flat" cmpd="sng" algn="ctr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</c:marker>
          <c:val>
            <c:numRef>
              <c:f>TRESO!$B$22:$M$22</c:f>
              <c:numCache>
                <c:formatCode>#,##0</c:formatCode>
                <c:ptCount val="12"/>
                <c:pt idx="0">
                  <c:v>70.845919999999992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6-420A-A67F-FAC89036E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087720"/>
        <c:axId val="1"/>
      </c:line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\ ##0_ ;\-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globale</a:t>
            </a:r>
          </a:p>
        </c:rich>
      </c:tx>
      <c:layout>
        <c:manualLayout>
          <c:xMode val="edge"/>
          <c:yMode val="edge"/>
          <c:x val="0.36618102223319438"/>
          <c:y val="3.03817530969338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1034189731974282"/>
          <c:y val="0.17015871729643658"/>
          <c:w val="0.83055034977949582"/>
          <c:h val="0.6886312074817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TRESO!$A$68</c:f>
              <c:strCache>
                <c:ptCount val="1"/>
                <c:pt idx="0">
                  <c:v>         GLOBAL 2021          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9525" cap="flat" cmpd="sng" algn="ctr">
              <a:solidFill>
                <a:schemeClr val="bg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val>
            <c:numRef>
              <c:f>TRESO!$B$68:$M$68</c:f>
              <c:numCache>
                <c:formatCode>#,##0</c:formatCode>
                <c:ptCount val="12"/>
                <c:pt idx="0">
                  <c:v>7232</c:v>
                </c:pt>
                <c:pt idx="1">
                  <c:v>10664.326999999999</c:v>
                </c:pt>
                <c:pt idx="2">
                  <c:v>10404</c:v>
                </c:pt>
                <c:pt idx="3">
                  <c:v>10732.397790000001</c:v>
                </c:pt>
                <c:pt idx="4">
                  <c:v>10453.56338</c:v>
                </c:pt>
                <c:pt idx="5">
                  <c:v>10355.72207</c:v>
                </c:pt>
                <c:pt idx="6">
                  <c:v>11051.015649999999</c:v>
                </c:pt>
                <c:pt idx="7">
                  <c:v>11219.01088</c:v>
                </c:pt>
                <c:pt idx="8">
                  <c:v>10280.932919999999</c:v>
                </c:pt>
                <c:pt idx="9">
                  <c:v>10440.367840000003</c:v>
                </c:pt>
                <c:pt idx="10">
                  <c:v>9853.7439999999988</c:v>
                </c:pt>
                <c:pt idx="11">
                  <c:v>7636.7739999999994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A-4D7E-AA6E-AB7858E26A52}"/>
            </c:ext>
          </c:extLst>
        </c:ser>
        <c:ser>
          <c:idx val="9"/>
          <c:order val="1"/>
          <c:tx>
            <c:strRef>
              <c:f>TRESO!$A$53</c:f>
              <c:strCache>
                <c:ptCount val="1"/>
                <c:pt idx="0">
                  <c:v>        GLOBAL 2022        </c:v>
                </c:pt>
              </c:strCache>
            </c:strRef>
          </c:tx>
          <c:spPr>
            <a:solidFill>
              <a:schemeClr val="accent3"/>
            </a:solidFill>
            <a:ln w="9525" cap="flat" cmpd="sng" algn="ctr">
              <a:solidFill>
                <a:schemeClr val="bg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val>
            <c:numRef>
              <c:f>TRESO!$B$53:$M$53</c:f>
              <c:numCache>
                <c:formatCode>#,##0</c:formatCode>
                <c:ptCount val="12"/>
                <c:pt idx="0">
                  <c:v>7037.7520999999997</c:v>
                </c:pt>
                <c:pt idx="1">
                  <c:v>6924.6337300000014</c:v>
                </c:pt>
                <c:pt idx="2">
                  <c:v>6919.7184699999998</c:v>
                </c:pt>
                <c:pt idx="3">
                  <c:v>7182.5236799999984</c:v>
                </c:pt>
                <c:pt idx="4">
                  <c:v>7812.3318799999997</c:v>
                </c:pt>
                <c:pt idx="5">
                  <c:v>7382.9612000000006</c:v>
                </c:pt>
                <c:pt idx="6">
                  <c:v>8276.8359300000011</c:v>
                </c:pt>
                <c:pt idx="7">
                  <c:v>8969.5920600000009</c:v>
                </c:pt>
                <c:pt idx="8">
                  <c:v>8504.6394499999988</c:v>
                </c:pt>
                <c:pt idx="9">
                  <c:v>7187.4640600000002</c:v>
                </c:pt>
                <c:pt idx="10">
                  <c:v>7277.8846700000013</c:v>
                </c:pt>
                <c:pt idx="11">
                  <c:v>6916.2364099999995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6C-42DE-8FB9-7412DD45A81C}"/>
            </c:ext>
          </c:extLst>
        </c:ser>
        <c:ser>
          <c:idx val="8"/>
          <c:order val="2"/>
          <c:tx>
            <c:strRef>
              <c:f>TRESO!$A$38</c:f>
              <c:strCache>
                <c:ptCount val="1"/>
                <c:pt idx="0">
                  <c:v>          GLOBAL 2023          </c:v>
                </c:pt>
              </c:strCache>
            </c:strRef>
          </c:tx>
          <c:spPr>
            <a:solidFill>
              <a:schemeClr val="accent5"/>
            </a:solidFill>
            <a:ln w="9525" cap="flat" cmpd="sng" algn="ctr">
              <a:solidFill>
                <a:schemeClr val="bg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val>
            <c:numRef>
              <c:f>TRESO!$B$38:$M$38</c:f>
              <c:numCache>
                <c:formatCode>#,##0</c:formatCode>
                <c:ptCount val="12"/>
                <c:pt idx="0">
                  <c:v>5641.0241399999995</c:v>
                </c:pt>
                <c:pt idx="1">
                  <c:v>5038.58572</c:v>
                </c:pt>
                <c:pt idx="2">
                  <c:v>5484.2691100000002</c:v>
                </c:pt>
                <c:pt idx="3">
                  <c:v>4883.3716299999996</c:v>
                </c:pt>
                <c:pt idx="4">
                  <c:v>5275.4456800000007</c:v>
                </c:pt>
                <c:pt idx="5">
                  <c:v>3268.9463999999998</c:v>
                </c:pt>
                <c:pt idx="6">
                  <c:v>3618.2466999999992</c:v>
                </c:pt>
                <c:pt idx="7">
                  <c:v>4297.1558800000003</c:v>
                </c:pt>
                <c:pt idx="8">
                  <c:v>3518.0959800000001</c:v>
                </c:pt>
                <c:pt idx="9">
                  <c:v>3734.4033429999999</c:v>
                </c:pt>
                <c:pt idx="10">
                  <c:v>4002.72676</c:v>
                </c:pt>
                <c:pt idx="11">
                  <c:v>3558.3122199999998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C-42DE-8FB9-7412DD45A81C}"/>
            </c:ext>
          </c:extLst>
        </c:ser>
        <c:ser>
          <c:idx val="3"/>
          <c:order val="3"/>
          <c:tx>
            <c:strRef>
              <c:f>TRESO!$A$23</c:f>
              <c:strCache>
                <c:ptCount val="1"/>
                <c:pt idx="0">
                  <c:v>        GLOBAL 2024         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bg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TRESO!$B$5:$M$5</c:f>
              <c:strCache>
                <c:ptCount val="12"/>
                <c:pt idx="0">
                  <c:v>JANV.</c:v>
                </c:pt>
                <c:pt idx="1">
                  <c:v>FÉV.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JUILL.</c:v>
                </c:pt>
                <c:pt idx="7">
                  <c:v>AOÛT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DÉC.</c:v>
                </c:pt>
              </c:strCache>
            </c:strRef>
          </c:cat>
          <c:val>
            <c:numRef>
              <c:f>TRESO!$B$23:$M$23</c:f>
              <c:numCache>
                <c:formatCode>#,##0</c:formatCode>
                <c:ptCount val="12"/>
                <c:pt idx="0">
                  <c:v>5149.8421349999999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C-42DE-8FB9-7412DD45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087720"/>
        <c:axId val="1"/>
      </c:barChart>
      <c:catAx>
        <c:axId val="630087720"/>
        <c:scaling>
          <c:orientation val="minMax"/>
        </c:scaling>
        <c:delete val="0"/>
        <c:axPos val="b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000"/>
          <c:min val="-500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0087720"/>
        <c:crosses val="autoZero"/>
        <c:crossBetween val="between"/>
        <c:majorUnit val="5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4803149606299213" l="0.70866141732283472" r="0.70866141732283472" t="0.55118110236220474" header="0.31496062992125984" footer="0.31496062992125984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nombre de transactions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1"/>
          <c:order val="0"/>
          <c:tx>
            <c:strRef>
              <c:f>'TRANSACTIONS RECAP'!$C$65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('TRANSACTIONS RECAP'!$A$65,'TRANSACTIONS RECAP'!$I$65,'TRANSACTIONS RECAP'!$A$80,'TRANSACTIONS RECAP'!$I$80,'TRANSACTIONS RECAP'!$A$95,'TRANSACTIONS RECAP'!$I$95)</c15:sqref>
                  </c15:fullRef>
                </c:ext>
              </c:extLst>
              <c:f>('TRANSACTIONS RECAP'!$A$65,'TRANSACTIONS RECAP'!$I$65,'TRANSACTIONS RECAP'!$A$80,'TRANSACTIONS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('TRANSACTIONS RECAP'!$C$78,'TRANSACTIONS RECAP'!$K$78,'TRANSACTIONS RECAP'!$C$93,'TRANSACTIONS RECAP'!$K$93,'TRANSACTIONS RECAP'!$C$108,'TRANSACTIONS RECAP'!$K$108)</c15:sqref>
                  </c15:fullRef>
                </c:ext>
              </c:extLst>
              <c:f>('TRANSACTIONS RECAP'!$C$78,'TRANSACTIONS RECAP'!$K$78,'TRANSACTIONS RECAP'!$C$93,'TRANSACTIONS RECAP'!$K$93)</c:f>
              <c:numCache>
                <c:formatCode>#,##0</c:formatCode>
                <c:ptCount val="4"/>
                <c:pt idx="0">
                  <c:v>306604</c:v>
                </c:pt>
                <c:pt idx="1">
                  <c:v>269141</c:v>
                </c:pt>
                <c:pt idx="2">
                  <c:v>192085</c:v>
                </c:pt>
                <c:pt idx="3">
                  <c:v>252208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6-41F0-B491-C4C09C981874}"/>
            </c:ext>
          </c:extLst>
        </c:ser>
        <c:ser>
          <c:idx val="0"/>
          <c:order val="1"/>
          <c:tx>
            <c:strRef>
              <c:f>'TRANSACTIONS RECAP'!$B$65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('TRANSACTIONS RECAP'!$A$65,'TRANSACTIONS RECAP'!$I$65,'TRANSACTIONS RECAP'!$A$80,'TRANSACTIONS RECAP'!$I$80,'TRANSACTIONS RECAP'!$A$95,'TRANSACTIONS RECAP'!$I$95)</c15:sqref>
                  </c15:fullRef>
                </c:ext>
              </c:extLst>
              <c:f>('TRANSACTIONS RECAP'!$A$65,'TRANSACTIONS RECAP'!$I$65,'TRANSACTIONS RECAP'!$A$80,'TRANSACTIONS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('TRANSACTIONS RECAP'!$B$78,'TRANSACTIONS RECAP'!$J$78,'TRANSACTIONS RECAP'!$B$93,'TRANSACTIONS RECAP'!$J$93,'TRANSACTIONS RECAP'!$B$108,'TRANSACTIONS RECAP'!$J$108)</c15:sqref>
                  </c15:fullRef>
                </c:ext>
              </c:extLst>
              <c:f>('TRANSACTIONS RECAP'!$B$78,'TRANSACTIONS RECAP'!$J$78,'TRANSACTIONS RECAP'!$B$93,'TRANSACTIONS RECAP'!$J$93)</c:f>
              <c:numCache>
                <c:formatCode>#,##0</c:formatCode>
                <c:ptCount val="4"/>
                <c:pt idx="0">
                  <c:v>20186</c:v>
                </c:pt>
                <c:pt idx="1">
                  <c:v>21593</c:v>
                </c:pt>
                <c:pt idx="2">
                  <c:v>13437</c:v>
                </c:pt>
                <c:pt idx="3">
                  <c:v>21816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6-41F0-B491-C4C09C98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76180240"/>
        <c:axId val="676197624"/>
        <c:axId val="0"/>
      </c:bar3DChart>
      <c:catAx>
        <c:axId val="67618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6197624"/>
        <c:crosses val="autoZero"/>
        <c:auto val="1"/>
        <c:lblAlgn val="ctr"/>
        <c:lblOffset val="100"/>
        <c:noMultiLvlLbl val="0"/>
      </c:catAx>
      <c:valAx>
        <c:axId val="67619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618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panier moyen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4"/>
          <c:order val="0"/>
          <c:tx>
            <c:strRef>
              <c:f>'PANIERS RECAP'!$G$65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accent5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5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('PANIERS RECAP'!$A$65,'PANIERS RECAP'!$I$65,'PANIERS RECAP'!$A$80,'PANIERS RECAP'!$I$80,'PANIERS RECAP'!$A$95,'PANIERS RECAP'!$I$95)</c15:sqref>
                  </c15:fullRef>
                </c:ext>
              </c:extLst>
              <c:f>('PANIERS RECAP'!$A$65,'PANIERS RECAP'!$I$65,'PANIERS RECAP'!$A$80,'PANIERS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('PANIERS RECAP'!$G$78,'PANIERS RECAP'!$O$78,'PANIERS RECAP'!$G$93,'PANIERS RECAP'!$O$93,'PANIERS RECAP'!$G$108,'PANIERS RECAP'!$O$108)</c15:sqref>
                  </c15:fullRef>
                </c:ext>
              </c:extLst>
              <c:f>('PANIERS RECAP'!$G$78,'PANIERS RECAP'!$O$78,'PANIERS RECAP'!$G$93,'PANIERS RECAP'!$O$93)</c:f>
              <c:numCache>
                <c:formatCode>#\ ##0.00_ ;\-#\ ##0.00\ </c:formatCode>
                <c:ptCount val="4"/>
                <c:pt idx="0">
                  <c:v>18.940000000000001</c:v>
                </c:pt>
                <c:pt idx="1">
                  <c:v>18.149999999999999</c:v>
                </c:pt>
                <c:pt idx="3">
                  <c:v>17.920000000000002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56-4FE7-A9EA-281B3DB04DDD}"/>
            </c:ext>
          </c:extLst>
        </c:ser>
        <c:ser>
          <c:idx val="3"/>
          <c:order val="1"/>
          <c:tx>
            <c:strRef>
              <c:f>'PANIERS RECAP'!$F$65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('PANIERS RECAP'!$A$65,'PANIERS RECAP'!$I$65,'PANIERS RECAP'!$A$80,'PANIERS RECAP'!$I$80,'PANIERS RECAP'!$A$95,'PANIERS RECAP'!$I$95)</c15:sqref>
                  </c15:fullRef>
                </c:ext>
              </c:extLst>
              <c:f>('PANIERS RECAP'!$A$65,'PANIERS RECAP'!$I$65,'PANIERS RECAP'!$A$80,'PANIERS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('PANIERS RECAP'!$F$78,'PANIERS RECAP'!$N$78,'PANIERS RECAP'!$F$93,'PANIERS RECAP'!$N$93,'PANIERS RECAP'!$F$108,'PANIERS RECAP'!$N$108)</c15:sqref>
                  </c15:fullRef>
                </c:ext>
              </c:extLst>
              <c:f>('PANIERS RECAP'!$F$78,'PANIERS RECAP'!$N$78,'PANIERS RECAP'!$F$93,'PANIERS RECAP'!$N$93)</c:f>
              <c:numCache>
                <c:formatCode>#\ ##0.00_ ;\-#\ ##0.00\ </c:formatCode>
                <c:ptCount val="4"/>
                <c:pt idx="0">
                  <c:v>16.18</c:v>
                </c:pt>
                <c:pt idx="1">
                  <c:v>17.829999999999998</c:v>
                </c:pt>
                <c:pt idx="2">
                  <c:v>17.989999999999998</c:v>
                </c:pt>
                <c:pt idx="3">
                  <c:v>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56-4FE7-A9EA-281B3DB04DDD}"/>
            </c:ext>
          </c:extLst>
        </c:ser>
        <c:ser>
          <c:idx val="2"/>
          <c:order val="2"/>
          <c:tx>
            <c:strRef>
              <c:f>'PANIERS RECAP'!$E$65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('PANIERS RECAP'!$A$65,'PANIERS RECAP'!$I$65,'PANIERS RECAP'!$A$80,'PANIERS RECAP'!$I$80,'PANIERS RECAP'!$A$95,'PANIERS RECAP'!$I$95)</c15:sqref>
                  </c15:fullRef>
                </c:ext>
              </c:extLst>
              <c:f>('PANIERS RECAP'!$A$65,'PANIERS RECAP'!$I$65,'PANIERS RECAP'!$A$80,'PANIERS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('PANIERS RECAP'!$E$78,'PANIERS RECAP'!$M$78,'PANIERS RECAP'!$E$93,'PANIERS RECAP'!$M$93,'PANIERS RECAP'!$E$108,'PANIERS RECAP'!$M$108)</c15:sqref>
                  </c15:fullRef>
                </c:ext>
              </c:extLst>
              <c:f>('PANIERS RECAP'!$E$78,'PANIERS RECAP'!$M$78,'PANIERS RECAP'!$E$93,'PANIERS RECAP'!$M$93)</c:f>
              <c:numCache>
                <c:formatCode>#\ ##0.00_ ;\-#\ ##0.00\ </c:formatCode>
                <c:ptCount val="4"/>
                <c:pt idx="0">
                  <c:v>16.53</c:v>
                </c:pt>
                <c:pt idx="1">
                  <c:v>18.600000000000001</c:v>
                </c:pt>
                <c:pt idx="2">
                  <c:v>18.170000000000002</c:v>
                </c:pt>
                <c:pt idx="3">
                  <c:v>16.239999999999998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6-4FE7-A9EA-281B3DB04DDD}"/>
            </c:ext>
          </c:extLst>
        </c:ser>
        <c:ser>
          <c:idx val="1"/>
          <c:order val="3"/>
          <c:tx>
            <c:strRef>
              <c:f>'PANIERS RECAP'!$C$65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('PANIERS RECAP'!$A$65,'PANIERS RECAP'!$I$65,'PANIERS RECAP'!$A$80,'PANIERS RECAP'!$I$80,'PANIERS RECAP'!$A$95,'PANIERS RECAP'!$I$95)</c15:sqref>
                  </c15:fullRef>
                </c:ext>
              </c:extLst>
              <c:f>('PANIERS RECAP'!$A$65,'PANIERS RECAP'!$I$65,'PANIERS RECAP'!$A$80,'PANIERS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('PANIERS RECAP'!$C$78,'PANIERS RECAP'!$K$78,'PANIERS RECAP'!$C$93,'PANIERS RECAP'!$K$93,'PANIERS RECAP'!$C$108,'PANIERS RECAP'!$K$108)</c15:sqref>
                  </c15:fullRef>
                </c:ext>
              </c:extLst>
              <c:f>('PANIERS RECAP'!$C$78,'PANIERS RECAP'!$K$78,'PANIERS RECAP'!$C$93,'PANIERS RECAP'!$K$93)</c:f>
              <c:numCache>
                <c:formatCode>#\ ##0.00_ ;\-#\ ##0.00\ </c:formatCode>
                <c:ptCount val="4"/>
                <c:pt idx="0">
                  <c:v>17.95</c:v>
                </c:pt>
                <c:pt idx="1">
                  <c:v>17.13</c:v>
                </c:pt>
                <c:pt idx="2">
                  <c:v>18.32</c:v>
                </c:pt>
                <c:pt idx="3">
                  <c:v>16.739999999999998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6-4FE7-A9EA-281B3DB04DDD}"/>
            </c:ext>
          </c:extLst>
        </c:ser>
        <c:ser>
          <c:idx val="0"/>
          <c:order val="4"/>
          <c:tx>
            <c:strRef>
              <c:f>'PANIERS RECAP'!$B$65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('PANIERS RECAP'!$A$65,'PANIERS RECAP'!$I$65,'PANIERS RECAP'!$A$80,'PANIERS RECAP'!$I$80,'PANIERS RECAP'!$A$95,'PANIERS RECAP'!$I$95)</c15:sqref>
                  </c15:fullRef>
                </c:ext>
              </c:extLst>
              <c:f>('PANIERS RECAP'!$A$65,'PANIERS RECAP'!$I$65,'PANIERS RECAP'!$A$80,'PANIERS RECAP'!$I$80)</c:f>
              <c:strCache>
                <c:ptCount val="4"/>
                <c:pt idx="0">
                  <c:v> R3 14 </c:v>
                </c:pt>
                <c:pt idx="1">
                  <c:v> LYSE </c:v>
                </c:pt>
                <c:pt idx="2">
                  <c:v> TL DIVES </c:v>
                </c:pt>
                <c:pt idx="3">
                  <c:v> TH4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('PANIERS RECAP'!$B$78,'PANIERS RECAP'!$J$78,'PANIERS RECAP'!$B$93,'PANIERS RECAP'!$J$93,'PANIERS RECAP'!$B$108,'PANIERS RECAP'!$J$108)</c15:sqref>
                  </c15:fullRef>
                </c:ext>
              </c:extLst>
              <c:f>('PANIERS RECAP'!$B$78,'PANIERS RECAP'!$J$78,'PANIERS RECAP'!$B$93,'PANIERS RECAP'!$J$93)</c:f>
              <c:numCache>
                <c:formatCode>#\ ##0.00_ ;\-#\ ##0.00\ </c:formatCode>
                <c:ptCount val="4"/>
                <c:pt idx="0">
                  <c:v>16.05</c:v>
                </c:pt>
                <c:pt idx="1">
                  <c:v>17.899999999999999</c:v>
                </c:pt>
                <c:pt idx="2">
                  <c:v>18.260000000000002</c:v>
                </c:pt>
                <c:pt idx="3">
                  <c:v>16.36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6-4FE7-A9EA-281B3DB0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76180240"/>
        <c:axId val="676197624"/>
        <c:axId val="0"/>
      </c:bar3DChart>
      <c:catAx>
        <c:axId val="67618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6197624"/>
        <c:crosses val="autoZero"/>
        <c:auto val="1"/>
        <c:lblAlgn val="ctr"/>
        <c:lblOffset val="100"/>
        <c:noMultiLvlLbl val="0"/>
      </c:catAx>
      <c:valAx>
        <c:axId val="676197624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_ ;\-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618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9525</xdr:rowOff>
    </xdr:from>
    <xdr:to>
      <xdr:col>7</xdr:col>
      <xdr:colOff>695325</xdr:colOff>
      <xdr:row>3</xdr:row>
      <xdr:rowOff>123825</xdr:rowOff>
    </xdr:to>
    <xdr:sp macro="[0]!Actualiser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8E3127B0-A6CA-47A1-8F5B-02656533F927}"/>
            </a:ext>
          </a:extLst>
        </xdr:cNvPr>
        <xdr:cNvSpPr/>
      </xdr:nvSpPr>
      <xdr:spPr bwMode="auto">
        <a:xfrm>
          <a:off x="5429250" y="209550"/>
          <a:ext cx="1314450" cy="438150"/>
        </a:xfrm>
        <a:prstGeom prst="roundRect">
          <a:avLst/>
        </a:prstGeom>
        <a:ln>
          <a:headEnd type="none" w="med" len="med"/>
          <a:tailEnd type="none" w="med" len="med"/>
        </a:ln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r>
            <a:rPr lang="fr-FR" sz="1100" b="1"/>
            <a:t>ACTUALISER</a:t>
          </a:r>
          <a:r>
            <a:rPr lang="fr-FR" sz="1100" b="1" baseline="0"/>
            <a:t> TOUT</a:t>
          </a:r>
          <a:endParaRPr lang="fr-FR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215489</xdr:colOff>
      <xdr:row>19</xdr:row>
      <xdr:rowOff>19050</xdr:rowOff>
    </xdr:from>
    <xdr:to>
      <xdr:col>6</xdr:col>
      <xdr:colOff>434349</xdr:colOff>
      <xdr:row>20</xdr:row>
      <xdr:rowOff>9525</xdr:rowOff>
    </xdr:to>
    <xdr:sp macro="" textlink="">
      <xdr:nvSpPr>
        <xdr:cNvPr id="2" name="Rectangle à coins arrondis 2">
          <a:extLst>
            <a:ext uri="{FF2B5EF4-FFF2-40B4-BE49-F238E27FC236}">
              <a16:creationId xmlns:a16="http://schemas.microsoft.com/office/drawing/2014/main" id="{E2DBF74D-B4F7-4037-A348-234E37EBB48E}"/>
            </a:ext>
          </a:extLst>
        </xdr:cNvPr>
        <xdr:cNvSpPr/>
      </xdr:nvSpPr>
      <xdr:spPr bwMode="auto">
        <a:xfrm>
          <a:off x="1419449" y="4179570"/>
          <a:ext cx="3358300" cy="729615"/>
        </a:xfrm>
        <a:prstGeom prst="round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ctr"/>
          <a:endParaRPr lang="fr-FR" sz="1350" b="1"/>
        </a:p>
        <a:p>
          <a:pPr algn="ctr"/>
          <a:r>
            <a:rPr lang="fr-FR" sz="1350" b="1"/>
            <a:t>A)</a:t>
          </a:r>
          <a:r>
            <a:rPr lang="fr-FR" sz="1350" b="1" baseline="0"/>
            <a:t> </a:t>
          </a:r>
          <a:r>
            <a:rPr lang="fr-FR" sz="1350" b="1"/>
            <a:t>P</a:t>
          </a:r>
          <a:r>
            <a:rPr lang="fr-FR" sz="1350" b="1" baseline="0"/>
            <a:t> &amp; L GLOBALISÉS</a:t>
          </a:r>
          <a:endParaRPr lang="fr-FR" sz="135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1B9E1B9-8EAC-40B4-BCB3-AC906C6FD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5</xdr:row>
      <xdr:rowOff>76200</xdr:rowOff>
    </xdr:from>
    <xdr:to>
      <xdr:col>7</xdr:col>
      <xdr:colOff>428625</xdr:colOff>
      <xdr:row>57</xdr:row>
      <xdr:rowOff>66675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24C6375-A97E-4291-AE8B-C1D2E3839D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215489</xdr:colOff>
      <xdr:row>19</xdr:row>
      <xdr:rowOff>19050</xdr:rowOff>
    </xdr:from>
    <xdr:to>
      <xdr:col>6</xdr:col>
      <xdr:colOff>434349</xdr:colOff>
      <xdr:row>20</xdr:row>
      <xdr:rowOff>9525</xdr:rowOff>
    </xdr:to>
    <xdr:sp macro="" textlink="">
      <xdr:nvSpPr>
        <xdr:cNvPr id="2" name="Rectangle à coins arrondis 2">
          <a:extLst>
            <a:ext uri="{FF2B5EF4-FFF2-40B4-BE49-F238E27FC236}">
              <a16:creationId xmlns:a16="http://schemas.microsoft.com/office/drawing/2014/main" id="{D9F35CC1-4347-443E-BB17-7EBB81E655F3}"/>
            </a:ext>
          </a:extLst>
        </xdr:cNvPr>
        <xdr:cNvSpPr/>
      </xdr:nvSpPr>
      <xdr:spPr bwMode="auto">
        <a:xfrm>
          <a:off x="1419449" y="4179570"/>
          <a:ext cx="3358300" cy="729615"/>
        </a:xfrm>
        <a:prstGeom prst="round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ctr"/>
          <a:endParaRPr lang="fr-FR" sz="1350" b="1"/>
        </a:p>
        <a:p>
          <a:pPr algn="ctr"/>
          <a:r>
            <a:rPr lang="fr-FR" sz="1350" b="1"/>
            <a:t>B)</a:t>
          </a:r>
          <a:r>
            <a:rPr lang="fr-FR" sz="1350" b="1" baseline="0"/>
            <a:t> </a:t>
          </a:r>
          <a:r>
            <a:rPr lang="fr-FR" sz="1350" b="1"/>
            <a:t>P</a:t>
          </a:r>
          <a:r>
            <a:rPr lang="fr-FR" sz="1350" b="1" baseline="0"/>
            <a:t> &amp; L MENSUELS</a:t>
          </a:r>
          <a:endParaRPr lang="fr-FR" sz="135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60C6336-C1CF-4B2F-A7EA-429A79D029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751CE74-57CF-479A-A639-1D3DFF605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7200AF0-DC29-4C4E-9565-3BF14FBA7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205DDB0-DC3C-4786-AB81-F0677F26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8215F6-E552-435C-946C-4D38E0646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3A6A35B-40C1-40D9-B11B-376AA1E77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287DD9D-0379-4634-8203-14302A6AE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ED27C0F-614B-49AE-899F-73B4C1641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F5B63C2-A023-4D8D-8963-D97A2D96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4311A32-0737-4BA9-9050-F7EB6A5FD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2FF0E3-6698-4498-B92B-A77F745A4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4FCB5A1-96A3-4BF8-ABDA-A441BC7BC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78CFBF6-BD11-4564-9F26-8F9B70FF9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C2162B0-31AE-4714-88F9-21FBF1D22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6B0393B-C97C-430B-8118-2460ABD08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3810</xdr:rowOff>
    </xdr:from>
    <xdr:to>
      <xdr:col>7</xdr:col>
      <xdr:colOff>762000</xdr:colOff>
      <xdr:row>59</xdr:row>
      <xdr:rowOff>158115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AE3274-2C2E-46F0-AFDB-0A99029AD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215489</xdr:colOff>
      <xdr:row>19</xdr:row>
      <xdr:rowOff>19050</xdr:rowOff>
    </xdr:from>
    <xdr:to>
      <xdr:col>6</xdr:col>
      <xdr:colOff>434349</xdr:colOff>
      <xdr:row>20</xdr:row>
      <xdr:rowOff>9525</xdr:rowOff>
    </xdr:to>
    <xdr:sp macro="" textlink="">
      <xdr:nvSpPr>
        <xdr:cNvPr id="2" name="Rectangle à coins arrondis 2">
          <a:extLst>
            <a:ext uri="{FF2B5EF4-FFF2-40B4-BE49-F238E27FC236}">
              <a16:creationId xmlns:a16="http://schemas.microsoft.com/office/drawing/2014/main" id="{B19405EA-9D26-4B45-A897-95A5EC93BC6E}"/>
            </a:ext>
          </a:extLst>
        </xdr:cNvPr>
        <xdr:cNvSpPr/>
      </xdr:nvSpPr>
      <xdr:spPr bwMode="auto">
        <a:xfrm>
          <a:off x="1419449" y="4179570"/>
          <a:ext cx="3358300" cy="729615"/>
        </a:xfrm>
        <a:prstGeom prst="round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ctr"/>
          <a:endParaRPr lang="fr-FR" sz="1350" b="1"/>
        </a:p>
        <a:p>
          <a:pPr algn="ctr"/>
          <a:r>
            <a:rPr lang="fr-FR" sz="1350" b="1"/>
            <a:t>C)</a:t>
          </a:r>
          <a:r>
            <a:rPr lang="fr-FR" sz="1350" b="1" baseline="0"/>
            <a:t> </a:t>
          </a:r>
          <a:r>
            <a:rPr lang="fr-FR" sz="1350" b="1"/>
            <a:t>P</a:t>
          </a:r>
          <a:r>
            <a:rPr lang="fr-FR" sz="1350" b="1" baseline="0"/>
            <a:t> &amp; L CUMULÉS</a:t>
          </a:r>
          <a:endParaRPr lang="fr-FR" sz="1350" b="1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4D610B2-5986-4700-81F6-A22405EE7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4FA0023-97E7-4F1C-B2D6-372FDF936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2E878D2-49F6-4B1C-A1FA-B124DA692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2C0365D-5E9E-4056-97AB-0F373D204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7DDCB39-0ADB-4C32-8973-24D110AE8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35172-7F83-4BEB-8118-542A18799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67610B0-6842-46F9-97BF-0158CF86A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D7DBE01-B9A3-4EBC-AC98-F84DD5D53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96E9E4F-41F4-4BBF-BA27-EFA8F6D8C8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C8C8567-4313-4AD9-B805-0F5B3A97B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F6073E1-FC99-4B37-B447-40AF7321C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7BF4B4D-4CDB-42E7-B88A-F23EBF82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03D221F-FA34-4453-BC64-A0914094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4665AD9-D3F3-4DD4-9F0C-97F888B24E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D2DB37B-1C76-47AF-A255-33FB1A25A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99060</xdr:rowOff>
    </xdr:from>
    <xdr:to>
      <xdr:col>7</xdr:col>
      <xdr:colOff>723900</xdr:colOff>
      <xdr:row>60</xdr:row>
      <xdr:rowOff>91440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C15CAC1-D00D-4735-9CC0-03C587711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215489</xdr:colOff>
      <xdr:row>19</xdr:row>
      <xdr:rowOff>19050</xdr:rowOff>
    </xdr:from>
    <xdr:to>
      <xdr:col>6</xdr:col>
      <xdr:colOff>434349</xdr:colOff>
      <xdr:row>20</xdr:row>
      <xdr:rowOff>9525</xdr:rowOff>
    </xdr:to>
    <xdr:sp macro="" textlink="">
      <xdr:nvSpPr>
        <xdr:cNvPr id="2" name="Rectangle à coins arrondis 2">
          <a:extLst>
            <a:ext uri="{FF2B5EF4-FFF2-40B4-BE49-F238E27FC236}">
              <a16:creationId xmlns:a16="http://schemas.microsoft.com/office/drawing/2014/main" id="{D17F2928-F8C8-4A92-AF4D-3AE8AB398A02}"/>
            </a:ext>
          </a:extLst>
        </xdr:cNvPr>
        <xdr:cNvSpPr/>
      </xdr:nvSpPr>
      <xdr:spPr bwMode="auto">
        <a:xfrm>
          <a:off x="1785209" y="3059430"/>
          <a:ext cx="3358300" cy="150495"/>
        </a:xfrm>
        <a:prstGeom prst="roundRect">
          <a:avLst/>
        </a:prstGeom>
        <a:solidFill>
          <a:schemeClr val="bg1">
            <a:lumMod val="85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ctr"/>
          <a:endParaRPr lang="fr-FR" sz="1350" b="1"/>
        </a:p>
        <a:p>
          <a:pPr algn="ctr"/>
          <a:r>
            <a:rPr lang="fr-FR" sz="1350" b="1"/>
            <a:t>D)</a:t>
          </a:r>
          <a:r>
            <a:rPr lang="fr-FR" sz="1350" b="1" baseline="0"/>
            <a:t> AUTRES SUIVIS</a:t>
          </a:r>
          <a:endParaRPr lang="fr-FR" sz="1350" b="1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141515</xdr:colOff>
      <xdr:row>3</xdr:row>
      <xdr:rowOff>44631</xdr:rowOff>
    </xdr:from>
    <xdr:to>
      <xdr:col>8</xdr:col>
      <xdr:colOff>76200</xdr:colOff>
      <xdr:row>30</xdr:row>
      <xdr:rowOff>10885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39A843D-3BD8-446B-BA2E-826689EA3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141514</xdr:colOff>
      <xdr:row>30</xdr:row>
      <xdr:rowOff>152399</xdr:rowOff>
    </xdr:from>
    <xdr:to>
      <xdr:col>8</xdr:col>
      <xdr:colOff>87085</xdr:colOff>
      <xdr:row>59</xdr:row>
      <xdr:rowOff>87085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7E1ED4EE-9F0D-44B1-A563-FD93072E8C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80681</xdr:colOff>
      <xdr:row>124</xdr:row>
      <xdr:rowOff>17930</xdr:rowOff>
    </xdr:from>
    <xdr:to>
      <xdr:col>14</xdr:col>
      <xdr:colOff>573742</xdr:colOff>
      <xdr:row>137</xdr:row>
      <xdr:rowOff>206189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D318D61-7206-46D1-A65B-68719A697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72888</xdr:colOff>
      <xdr:row>124</xdr:row>
      <xdr:rowOff>26504</xdr:rowOff>
    </xdr:from>
    <xdr:to>
      <xdr:col>14</xdr:col>
      <xdr:colOff>583096</xdr:colOff>
      <xdr:row>137</xdr:row>
      <xdr:rowOff>125895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62E51F5-4CED-49B7-A2D7-E1E901857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_Clients\G\_GROUPES\GROUPE%20REGIS%20REGO\_P&amp;L\2024\Fascicule%20P&amp;L%20R&#233;gis%20-%2001.2024%20v16h23.xlsx" TargetMode="External"/><Relationship Id="rId1" Type="http://schemas.openxmlformats.org/officeDocument/2006/relationships/externalLinkPath" Target="/_Clients/G/_GROUPES/GROUPE%20REGIS%20REGO/_P&amp;L/2024/Fascicule%20P&amp;L%20R&#233;gis%20-%2001.2024%20v16h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_Clients\G\_GROUPES\GROUPE%20REGIS%20REGO\_P&amp;L\2025\Fascicule%20P&amp;L%20R&#233;gis%20-%2002.2025.xlsx" TargetMode="External"/><Relationship Id="rId1" Type="http://schemas.openxmlformats.org/officeDocument/2006/relationships/externalLinkPath" Target="Fascicule%20P&amp;L%20R&#233;gis%20-%2002.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NNEES_MOIS 2023"/>
      <sheetName val="DONNEES_CUM 2023"/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TL"/>
      <sheetName val="DONNÉES"/>
      <sheetName val="PARAMETRES"/>
      <sheetName val="GLR5 M Nouveau"/>
      <sheetName val="pr info suivi écart"/>
      <sheetName val="FB0"/>
      <sheetName val="SOMMAIRE"/>
      <sheetName val="FB0 (2)"/>
      <sheetName val="INTRODUCTION"/>
      <sheetName val="FB1"/>
      <sheetName val="IA"/>
      <sheetName val="GPL GLOBAL"/>
      <sheetName val="GLOBAL MENSUEL Nouveau"/>
      <sheetName val="GCA GLOBAL"/>
      <sheetName val="GRAPH CONTRIB"/>
      <sheetName val="CONTRIB M "/>
      <sheetName val="GRAPH CONTRIB N-1"/>
      <sheetName val="FB4"/>
      <sheetName val="IB"/>
      <sheetName val="HTR8 M"/>
      <sheetName val="TIRR M"/>
      <sheetName val="VR7 M "/>
      <sheetName val="TURVILLA M "/>
      <sheetName val="HART M Nouveau"/>
      <sheetName val="VICTOIRE M Nouveau"/>
      <sheetName val="TH4 M Nouveau"/>
      <sheetName val="DIVES M Nouveau"/>
      <sheetName val="R314 M Nouveau"/>
      <sheetName val="LYSE M Nouveau"/>
      <sheetName val="ARTHUR M Nouveau"/>
      <sheetName val="HUGO M Nouveau"/>
      <sheetName val="JEANCLO M Nouveau"/>
      <sheetName val="THOMAS M"/>
      <sheetName val="GLOBAL CUMULE Nouveau"/>
      <sheetName val="CONTRIB CUM Nouveau"/>
      <sheetName val="GCA R314"/>
      <sheetName val="GCA GLR5"/>
      <sheetName val="GLR5 CUM Nouveau"/>
      <sheetName val="HTR8 CUM Nouveau"/>
      <sheetName val="TIRR CUM Nouveau"/>
      <sheetName val="VR7 CUM Nouveau"/>
      <sheetName val="TURVILLA CUM Nouveau"/>
      <sheetName val="HART CUM Nouveau"/>
      <sheetName val="VICTOIRE CUM Nouveau"/>
      <sheetName val="TH4 A"/>
      <sheetName val="DIVES CUM Nouveau"/>
      <sheetName val="R314 CUM Nouveau"/>
      <sheetName val="LYSE CUM Nouveau"/>
      <sheetName val="ARTHUR CUM Nouveau"/>
      <sheetName val="HUGO CUM Nouveau"/>
      <sheetName val="JEANCLO CUM Nouveau"/>
      <sheetName val="THOMAS CUM Nouveau"/>
      <sheetName val="GCA LYSE"/>
      <sheetName val="GCA TL DIVES"/>
      <sheetName val="TL DIVES MENSUEL"/>
      <sheetName val="GCA TH4"/>
      <sheetName val="TH4 MENSUEL"/>
      <sheetName val="FB5"/>
      <sheetName val="IC"/>
      <sheetName val="GPL R314"/>
      <sheetName val="R314 CUMUL"/>
      <sheetName val="GPL LYSE"/>
      <sheetName val="LYSE CUMUL"/>
      <sheetName val="GPL TL DIVES"/>
      <sheetName val="TL DIVES CUMUL"/>
      <sheetName val="GPL TH4"/>
      <sheetName val="TH4 CUMUL"/>
      <sheetName val="FB6"/>
      <sheetName val="FB20"/>
      <sheetName val="IF"/>
      <sheetName val="GRAPH TRESO"/>
      <sheetName val="TRESO"/>
      <sheetName val="FB21"/>
      <sheetName val="TRANSACTIONS DETAIL"/>
      <sheetName val="FB22"/>
      <sheetName val="TRANSACTIONS RECAP"/>
      <sheetName val="PANIERS DETAIL"/>
      <sheetName val="PANIERS RECAP"/>
      <sheetName val="Fascicule P&amp;L Régis - 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BAL N CATALINA"/>
      <sheetName val="TL"/>
      <sheetName val="DONNEES_MOIS 2024"/>
      <sheetName val="DONNEES_CUM 2024"/>
      <sheetName val="PARAMETRES"/>
      <sheetName val="DONNÉES"/>
      <sheetName val="pr info suivi écart"/>
      <sheetName val="SOMMAIRE"/>
      <sheetName val="FB1"/>
      <sheetName val="INTRODUCTION"/>
      <sheetName val="FB2"/>
      <sheetName val="IA"/>
      <sheetName val="GCA GLOBAL"/>
      <sheetName val="GLOBAL M"/>
      <sheetName val="GPL GLOBAL"/>
      <sheetName val="GLOBAL C"/>
      <sheetName val="CONTRIB M"/>
      <sheetName val="CONTRIB CUM "/>
      <sheetName val="FB3"/>
      <sheetName val="IB"/>
      <sheetName val="GCA GLR5"/>
      <sheetName val="GLR5 M"/>
      <sheetName val="GCA HTR8"/>
      <sheetName val="HTR8 M"/>
      <sheetName val="GCA TIRR"/>
      <sheetName val="TIRR M"/>
      <sheetName val="GCA VR7"/>
      <sheetName val="VR7 M "/>
      <sheetName val="GCA TURVILLA"/>
      <sheetName val="TURVILLA M"/>
      <sheetName val="GCA HART"/>
      <sheetName val="HART M"/>
      <sheetName val="GCA VICTOIRE"/>
      <sheetName val="VICTOIRE M"/>
      <sheetName val="GCA TH4"/>
      <sheetName val="TH4 M "/>
      <sheetName val="GCA DIVES"/>
      <sheetName val="DIVES M"/>
      <sheetName val="GCA R314"/>
      <sheetName val="R314 M "/>
      <sheetName val="GCA LYSE"/>
      <sheetName val="LYSE M "/>
      <sheetName val="GCA ARTHUR"/>
      <sheetName val="ARTHUR M "/>
      <sheetName val="GCA HUGO"/>
      <sheetName val="HUGO M "/>
      <sheetName val="GCA JEANCLO"/>
      <sheetName val="JEANCLO M "/>
      <sheetName val="GCA THOMAS"/>
      <sheetName val="THOMAS M"/>
      <sheetName val="GCA CATALINA"/>
      <sheetName val="CATALINA M"/>
      <sheetName val="FB4"/>
      <sheetName val="IC"/>
      <sheetName val="GPL GLR5"/>
      <sheetName val="GLR5 A"/>
      <sheetName val="GPL HTR8"/>
      <sheetName val="HTR8 A"/>
      <sheetName val="GPL TIRR"/>
      <sheetName val="TIRR A"/>
      <sheetName val="GPL VR7"/>
      <sheetName val="VR7 A"/>
      <sheetName val="GPL TURVILLA"/>
      <sheetName val="TURVILLA A"/>
      <sheetName val="GPL HART"/>
      <sheetName val="HART A"/>
      <sheetName val="GPL VICTOIRE"/>
      <sheetName val="VICTOIRE A"/>
      <sheetName val="GPL TH4"/>
      <sheetName val="TH4 A"/>
      <sheetName val="GPL DIVES"/>
      <sheetName val="DIVES A"/>
      <sheetName val="GPL R314"/>
      <sheetName val="R314 A"/>
      <sheetName val="GPL LYSE"/>
      <sheetName val="LYSE A"/>
      <sheetName val="GPL ARTHUR"/>
      <sheetName val="ARTHUR A"/>
      <sheetName val="GPL HUGO"/>
      <sheetName val="HUGO A"/>
      <sheetName val="GPL JEANCLO"/>
      <sheetName val="JEANCLO A"/>
      <sheetName val="GPL THOMAS"/>
      <sheetName val="THOMAS A"/>
      <sheetName val="GPL CATALINA"/>
      <sheetName val="CATALINA A"/>
      <sheetName val="FB20"/>
      <sheetName val="IF"/>
      <sheetName val="GRAPH TRESO"/>
      <sheetName val="TRESO"/>
      <sheetName val="TRANSACTIONS DETAIL"/>
      <sheetName val="TRANSACTIONS RECAP"/>
      <sheetName val="PANIERS DETAIL"/>
      <sheetName val="PANIERS REC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F7B6A22-B297-4F03-A7AD-28D5D5AC0906}" name="TL" displayName="TL" ref="A1:F6091" totalsRowShown="0" headerRowDxfId="4909">
  <autoFilter ref="A1:F6091" xr:uid="{47109593-B7CC-4E23-B4CF-4775D52B2C56}"/>
  <tableColumns count="6">
    <tableColumn id="8" xr3:uid="{7E24C811-E31E-4F03-AA49-5AADA1B96AE5}" name="Société - compte" dataDxfId="4908" totalsRowDxfId="4907">
      <calculatedColumnFormula>TL[[#This Row],[Société]]&amp;" - "&amp;TL[[#This Row],[Compte]]</calculatedColumnFormula>
    </tableColumn>
    <tableColumn id="2" xr3:uid="{4167B6B1-48E8-44AD-8AE8-41FB063EF402}" name="Compte" dataDxfId="4906" totalsRowDxfId="4905"/>
    <tableColumn id="3" xr3:uid="{DA09A5B6-F900-4179-91C1-FB55960DB0C5}" name="Intitulé" totalsRowDxfId="4904"/>
    <tableColumn id="4" xr3:uid="{85001C6B-C4B1-439F-91A1-7538E0524C27}" name="Table Libre N° 1" totalsRowDxfId="4903"/>
    <tableColumn id="5" xr3:uid="{D5BDE341-3B0A-4DFA-B7B0-14FDB4683408}" name="Table Libre N° 2" totalsRowDxfId="4902"/>
    <tableColumn id="6" xr3:uid="{6D2227C4-383D-496E-8CE6-B4459EC141C3}" name="Société" totalsRowDxfId="49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8B8A63F-8ADF-4C95-BA14-1BFB6857393B}" name="DONNEES_N1_NOUVEAU" displayName="DONNEES_N1_NOUVEAU" ref="A1:E4560" totalsRowShown="0">
  <autoFilter ref="A1:E4560" xr:uid="{B62AE4BB-3B87-4BE9-92B3-1CC94E7A1087}"/>
  <tableColumns count="5">
    <tableColumn id="1" xr3:uid="{0BAF2A03-9A22-4DA9-ACFA-20DE5D9651DC}" name="SOCIETE"/>
    <tableColumn id="2" xr3:uid="{6A64F301-8E5D-46CF-A9B0-A73FB74C6F8D}" name="MOIS" dataDxfId="4900"/>
    <tableColumn id="3" xr3:uid="{1B573235-6AC7-492F-BFDD-76728E13EB33}" name="TL2" dataDxfId="4899"/>
    <tableColumn id="4" xr3:uid="{96EE88F0-8A4E-4CAD-B56D-E1B81B8EA7AF}" name="MONTANT" dataDxfId="4898"/>
    <tableColumn id="5" xr3:uid="{C03B763D-5282-4500-8B37-B7493B6E73FA}" name="TL2 CORRESPONDANCE" dataDxfId="48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2CE85F5-E11A-4A61-9366-4FFBC2C9E4F2}" name="DONNEESCUM_N1_NOUVEAU" displayName="DONNEESCUM_N1_NOUVEAU" ref="A1:E4485" totalsRowShown="0">
  <autoFilter ref="A1:E4485" xr:uid="{B62AE4BB-3B87-4BE9-92B3-1CC94E7A1087}"/>
  <tableColumns count="5">
    <tableColumn id="1" xr3:uid="{E834FF7D-4436-4161-8425-2B8B6BE784B6}" name="SOCIETE"/>
    <tableColumn id="2" xr3:uid="{2A35E723-7D75-418B-8E99-A0BCE1262447}" name="MOIS" dataDxfId="3"/>
    <tableColumn id="3" xr3:uid="{5BFF1FFB-DE64-4793-82CA-707A5D3FC00F}" name="TL2" dataDxfId="2"/>
    <tableColumn id="4" xr3:uid="{12ECD536-7649-43DE-A521-4FB58B5C4D8F}" name="MONTANT" dataDxfId="1"/>
    <tableColumn id="5" xr3:uid="{BA5167DB-E832-4B31-9488-4E6333ACE4D5}" name="TL2 CORRESPONDANC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1EF13A8-7CDD-43B4-B179-DF84441BE2CA}" name="JOUR_FIN_MOIS" displayName="JOUR_FIN_MOIS" ref="A6:B18" totalsRowShown="0" headerRowDxfId="4896" dataDxfId="4895">
  <autoFilter ref="A6:B18" xr:uid="{31EF13A8-7CDD-43B4-B179-DF84441BE2CA}"/>
  <tableColumns count="2">
    <tableColumn id="1" xr3:uid="{04E450B2-252A-457F-BC68-E147DE51D35E}" name="Mois" dataDxfId="4894"/>
    <tableColumn id="2" xr3:uid="{B737BE53-ABFE-4C8C-9778-ECA5FB0444A4}" name="Jour fin de mois" dataDxfId="4893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0E4FB8A-496F-4DAA-9A99-35D5217A7EB9}" name="CORRESPONDANCE" displayName="CORRESPONDANCE" ref="A22:C74" totalsRowShown="0">
  <tableColumns count="3">
    <tableColumn id="3" xr3:uid="{A3FD6B39-F110-4BA8-859E-CC248B9D19F0}" name="Table libre" dataDxfId="4892"/>
    <tableColumn id="6" xr3:uid="{B42D0BE8-B500-4A32-AC89-37A3B40B1F9C}" name="Code" dataDxfId="4891"/>
    <tableColumn id="4" xr3:uid="{A934E98E-004E-40A9-8AD7-647993FCDE31}" name="Ligne P&amp;L" dataDxfId="48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F7A3DF-B3B1-4D88-86B7-5A709596E259}" name="CAGLOBAL" displayName="CAGLOBAL" ref="B11:H23" totalsRowShown="0" headerRowDxfId="4889" dataDxfId="4888">
  <tableColumns count="7">
    <tableColumn id="1" xr3:uid="{AA654F1C-5A25-4B23-8119-8A9CBDE71C97}" name="MOIS" dataDxfId="4887"/>
    <tableColumn id="7" xr3:uid="{7E78E78D-CC8E-4F44-9F01-55A8858D1BE3}" name="2025" dataDxfId="4886">
      <calculatedColumnFormula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calculatedColumnFormula>
    </tableColumn>
    <tableColumn id="2" xr3:uid="{229089CF-36AF-413A-9BC8-7A1EBA38F4F5}" name="2024" dataDxfId="4885">
      <calculatedColumnFormula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calculatedColumnFormula>
    </tableColumn>
    <tableColumn id="3" xr3:uid="{4DEBC0ED-3671-469B-99C1-C51355A07724}" name="2023" dataDxfId="4884">
      <calculatedColumnFormula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calculatedColumnFormula>
    </tableColumn>
    <tableColumn id="4" xr3:uid="{BA40021E-6C3C-458F-96F9-C18437496958}" name="2022" dataDxfId="4883">
      <calculatedColumnFormula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calculatedColumnFormula>
    </tableColumn>
    <tableColumn id="5" xr3:uid="{2FB7521D-7481-4845-87AE-040A93ED5920}" name="2021" dataDxfId="4882">
      <calculatedColumnFormula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calculatedColumnFormula>
    </tableColumn>
    <tableColumn id="6" xr3:uid="{8CEEB11D-09C3-47E6-B51E-0F5436CACC12}" name="2020" dataDxfId="4881">
      <calculatedColumnFormula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calculatedColumn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A9D6E4-289C-4F44-B0D5-1EC101AB1D11}" name="CACR314" displayName="CACR314" ref="CD11:CJ23" totalsRowShown="0" headerRowDxfId="4880" dataDxfId="4879">
  <tableColumns count="7">
    <tableColumn id="1" xr3:uid="{4471CD5D-B170-4FDA-A1FB-EFEDB7567642}" name="MOIS" dataDxfId="4878"/>
    <tableColumn id="7" xr3:uid="{6DD3857A-4C0F-4B80-8406-731D97631780}" name="2025" dataDxfId="4877"/>
    <tableColumn id="2" xr3:uid="{E2BC51CD-D5C2-4AF6-8179-78EE2BF7D064}" name="2024" dataDxfId="4876" dataCellStyle="Milliers"/>
    <tableColumn id="3" xr3:uid="{F12A9D31-DCCC-4CFA-990B-7173AF542E4F}" name="2023" dataDxfId="4875"/>
    <tableColumn id="4" xr3:uid="{55009779-DD5C-46A7-ACF1-5DE590DA0C56}" name="2022" dataDxfId="4874"/>
    <tableColumn id="5" xr3:uid="{26838F19-A1F6-4D15-AFE9-F6DB74B8367A}" name="2021" dataDxfId="4873"/>
    <tableColumn id="6" xr3:uid="{C830A1C0-384F-46F2-B6F4-558AEE03473B}" name="2020" dataDxfId="4872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265F62-3D02-4766-9108-A736A277EA4F}" name="CALYSE" displayName="CALYSE" ref="CL11:CR23" totalsRowShown="0" headerRowDxfId="4871" dataDxfId="4870">
  <tableColumns count="7">
    <tableColumn id="1" xr3:uid="{71F88CE6-3053-43C7-BEEA-DBAE5C5ED76E}" name="MOIS" dataDxfId="4869"/>
    <tableColumn id="7" xr3:uid="{40AC64C2-C3F0-4FA8-B4AB-6080251F65B0}" name="2025" dataDxfId="4868"/>
    <tableColumn id="2" xr3:uid="{2F26E42C-D453-4CD7-AD53-AFA4BE40F0CE}" name="2024" dataDxfId="4867" dataCellStyle="Milliers"/>
    <tableColumn id="3" xr3:uid="{FC78D08C-9350-4AC1-BC0B-17EE8E0E2029}" name="2023" dataDxfId="4866"/>
    <tableColumn id="4" xr3:uid="{C36A81E4-B5E7-4700-8527-0EF84D401661}" name="2022" dataDxfId="4865"/>
    <tableColumn id="5" xr3:uid="{A4BAA777-475D-4C74-B5C1-38BAA99AD90A}" name="2021" dataDxfId="4864"/>
    <tableColumn id="6" xr3:uid="{BA64A49F-14B5-4B32-8EBA-1D509388044E}" name="2020" dataDxfId="4863"/>
  </tableColumns>
  <tableStyleInfo name="TableStyleMedium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192F4A-209D-4898-8264-086CE14DDA67}" name="CADIVES" displayName="CADIVES" ref="BV11:CB23" totalsRowShown="0" headerRowDxfId="4862" dataDxfId="4861">
  <tableColumns count="7">
    <tableColumn id="1" xr3:uid="{BCA993F4-1BCC-4EF0-B7FC-F0C51D408677}" name="MOIS" dataDxfId="4860"/>
    <tableColumn id="7" xr3:uid="{1AB62C3B-E9F6-4EB3-B850-F20FDDFF3813}" name="2025" dataDxfId="4859"/>
    <tableColumn id="2" xr3:uid="{8C160197-AD78-4F6E-BECC-92AEAC9F447F}" name="2024" dataDxfId="4858" dataCellStyle="Milliers"/>
    <tableColumn id="3" xr3:uid="{9A6896A5-4E68-4ED1-BF64-1284C48300D5}" name="2023" dataDxfId="4857"/>
    <tableColumn id="4" xr3:uid="{09B36CC1-2808-4172-A657-1FD4D5155C64}" name="2022" dataDxfId="4856"/>
    <tableColumn id="5" xr3:uid="{51D5E6E2-B854-4C19-B918-D87C12A7012C}" name="2021" dataDxfId="4855"/>
    <tableColumn id="6" xr3:uid="{C0DBC2A1-A1BE-4EC1-8E21-3C93E2B83CF5}" name="2020" dataDxfId="4854"/>
  </tableColumns>
  <tableStyleInfo name="TableStyleMedium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AF99F1-C053-4AC8-9557-BD11DD82304D}" name="CATH4" displayName="CATH4" ref="BN11:BT23" totalsRowShown="0" headerRowDxfId="4853" dataDxfId="4852">
  <tableColumns count="7">
    <tableColumn id="1" xr3:uid="{6396F55A-6563-4957-AE85-F85A46691B15}" name="MOIS" dataDxfId="4851"/>
    <tableColumn id="7" xr3:uid="{38AD5EBA-DBB6-4C95-83D4-7215B1E0A07A}" name="2025" dataDxfId="4850"/>
    <tableColumn id="2" xr3:uid="{CC278157-74C1-40C4-93D4-C0B402256958}" name="2024" dataDxfId="4849" dataCellStyle="Milliers"/>
    <tableColumn id="3" xr3:uid="{7C840D50-981F-48A9-B2E5-59F3B9D3B7EA}" name="2023" dataDxfId="4848"/>
    <tableColumn id="4" xr3:uid="{476B5C43-7D09-4FEF-9A52-002AC4D46B45}" name="2022" dataDxfId="4847"/>
    <tableColumn id="5" xr3:uid="{0B87622A-764A-4FD8-B8EC-B4202EFA2929}" name="2021" dataDxfId="4846"/>
    <tableColumn id="6" xr3:uid="{419E133F-C047-49B7-804E-EFD16D3CC842}" name="2020" dataDxfId="4845"/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B29158-089C-462D-B15E-358F00B017B4}" name="PLGLOBAL" displayName="PLGLOBAL" ref="B27:H39" totalsRowShown="0" headerRowDxfId="4844" dataDxfId="4843">
  <tableColumns count="7">
    <tableColumn id="1" xr3:uid="{44CC167E-D943-403F-88C2-B38522DB8FE2}" name="MOIS" dataDxfId="4842"/>
    <tableColumn id="7" xr3:uid="{D5F8EA87-D21D-468C-8C56-A49B329531C8}" name="2024" dataDxfId="4841">
      <calculatedColumnFormula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calculatedColumnFormula>
    </tableColumn>
    <tableColumn id="2" xr3:uid="{980E7250-1D1B-40A9-BFA2-77430CEE8CD0}" name="2023" dataDxfId="4840">
      <calculatedColumnFormula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calculatedColumnFormula>
    </tableColumn>
    <tableColumn id="3" xr3:uid="{1AF72B91-A129-498B-A953-E91F0782D53A}" name="2022" dataDxfId="4839">
      <calculatedColumnFormula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calculatedColumnFormula>
    </tableColumn>
    <tableColumn id="4" xr3:uid="{A83AA5B6-833D-4763-BC80-B394FAF68CB9}" name="2021" dataDxfId="4838">
      <calculatedColumnFormula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calculatedColumnFormula>
    </tableColumn>
    <tableColumn id="5" xr3:uid="{590042E8-E199-42B9-BBCA-4D52B8BA9EDB}" name="2020" dataDxfId="4837">
      <calculatedColumnFormula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calculatedColumnFormula>
    </tableColumn>
    <tableColumn id="6" xr3:uid="{B2B660A1-C235-4E5A-9AEF-30B9473DC646}" name="2019" dataDxfId="4836">
      <calculatedColumnFormula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calculatedColumnFormula>
    </tableColumn>
  </tableColumns>
  <tableStyleInfo name="TableStyleMedium1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6A6E0A-557F-4EDF-BC15-1859896AF3AF}" name="PLCR314" displayName="PLCR314" ref="CD27:CJ39" totalsRowShown="0" headerRowDxfId="4835" dataDxfId="4834">
  <tableColumns count="7">
    <tableColumn id="1" xr3:uid="{BC706370-C3F2-4D25-B859-5A0D115FEF93}" name="MOIS" dataDxfId="4833"/>
    <tableColumn id="7" xr3:uid="{176333C7-0E8A-4CC9-AB7D-59E7512FE313}" name="2025" dataDxfId="4832"/>
    <tableColumn id="2" xr3:uid="{58764316-A373-400E-AAE3-F3C7DFB8E3D7}" name="2024" dataDxfId="4831" dataCellStyle="Milliers"/>
    <tableColumn id="3" xr3:uid="{58914E52-DCDA-4DF4-BBFD-B86B9BF28911}" name="2023" dataDxfId="4830"/>
    <tableColumn id="4" xr3:uid="{B5EF8E13-D5E0-4122-9A17-12E0A4F1ACBE}" name="2022" dataDxfId="4829"/>
    <tableColumn id="5" xr3:uid="{F0CBF05B-394F-4434-881D-8FC69172354E}" name="2021" dataDxfId="4828"/>
    <tableColumn id="6" xr3:uid="{87D97252-84B0-4C91-BABA-C8B3A40B2598}" name="2020" dataDxfId="4827"/>
  </tableColumns>
  <tableStyleInfo name="TableStyleMedium1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BA09425-F8DA-473B-9505-E0F4B456CC33}" name="PLLYSE" displayName="PLLYSE" ref="CL27:CR39" totalsRowShown="0" headerRowDxfId="4826" dataDxfId="4825">
  <tableColumns count="7">
    <tableColumn id="1" xr3:uid="{DF2AC587-ECEA-48EA-8DFA-5E49C9E3A39E}" name="MOIS" dataDxfId="4824"/>
    <tableColumn id="7" xr3:uid="{2863390A-BB1E-4E56-BA11-6B0F109459A8}" name="2025" dataDxfId="4823"/>
    <tableColumn id="2" xr3:uid="{11F2BC28-C7BF-47E7-A67D-2CCDD065EB7E}" name="2024" dataDxfId="4822" dataCellStyle="Milliers"/>
    <tableColumn id="3" xr3:uid="{B1F29215-47D0-40D0-B546-EB507383AF7D}" name="2023" dataDxfId="4821"/>
    <tableColumn id="4" xr3:uid="{2655C3E2-EBC1-4B8A-B454-2838F93E8E5D}" name="2022" dataDxfId="4820"/>
    <tableColumn id="5" xr3:uid="{200F15DE-FB7C-49E4-8D34-6BA91B244D5D}" name="2021" dataDxfId="4819"/>
    <tableColumn id="6" xr3:uid="{6B109F0D-4EBD-45BB-A1C9-B6EB21BE91BB}" name="2020" dataDxfId="4818"/>
  </tableColumns>
  <tableStyleInfo name="TableStyleMedium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702E73-1656-48E9-8F11-57C39B54961A}" name="PLDIVES" displayName="PLDIVES" ref="BV27:CB39" totalsRowShown="0" headerRowDxfId="4817" dataDxfId="4816">
  <tableColumns count="7">
    <tableColumn id="1" xr3:uid="{4DECADFF-BCAE-4DA7-AFAA-602173776A90}" name="MOIS" dataDxfId="4815"/>
    <tableColumn id="7" xr3:uid="{BA692A52-8305-414A-940D-99A7CD74043A}" name="2025" dataDxfId="4814"/>
    <tableColumn id="2" xr3:uid="{931F9B41-919D-426C-AC5B-C7582F59BD86}" name="2024" dataDxfId="4813" dataCellStyle="Milliers"/>
    <tableColumn id="3" xr3:uid="{5AB08906-8ABE-453F-9113-BD5DCD18805A}" name="2023" dataDxfId="4812"/>
    <tableColumn id="4" xr3:uid="{6E31B5A4-037A-4FF4-8277-AD0C9F2D9A78}" name="2022" dataDxfId="4811"/>
    <tableColumn id="5" xr3:uid="{1390D3AF-D802-4801-ADD7-7E1300757EEB}" name="2021" dataDxfId="4810"/>
    <tableColumn id="6" xr3:uid="{31063906-8B4D-4E0F-A394-ECDF236DEBD0}" name="2020" dataDxfId="4809"/>
  </tableColumns>
  <tableStyleInfo name="TableStyleMedium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404B8FD-453F-4619-B716-E59E7B2443C5}" name="PLTH4" displayName="PLTH4" ref="BN27:BT39" totalsRowShown="0" headerRowDxfId="4808" dataDxfId="4807">
  <tableColumns count="7">
    <tableColumn id="1" xr3:uid="{BF741F43-0BB3-4B23-A0EC-BF7E9208DE1C}" name="MOIS" dataDxfId="4806"/>
    <tableColumn id="7" xr3:uid="{626B7157-66DA-49A5-90A6-FCF801DCC307}" name="2025" dataDxfId="4805"/>
    <tableColumn id="2" xr3:uid="{0A7AE430-3FA5-4F45-ADF5-3DA88252A43E}" name="2024" dataDxfId="4804" dataCellStyle="Milliers"/>
    <tableColumn id="3" xr3:uid="{3477CF66-E5C5-4288-BAB8-EDF13ADF137C}" name="2023" dataDxfId="4803"/>
    <tableColumn id="4" xr3:uid="{96A7BD7D-891B-4DD4-9A4F-C1112F6F7D7F}" name="2022" dataDxfId="4802"/>
    <tableColumn id="5" xr3:uid="{C8E24F60-AA13-4C04-A8E5-A2411449ABA2}" name="2021" dataDxfId="4801"/>
    <tableColumn id="6" xr3:uid="{65099DC2-FA5C-4ABC-BC1E-79C416471F1A}" name="2020" dataDxfId="4800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FF8A289-A4C0-46D9-9AB2-12155A5EC7D7}" name="TRANSGLOBAL" displayName="TRANSGLOBAL" ref="B107:H119" totalsRowShown="0" headerRowDxfId="4799" dataDxfId="4798">
  <tableColumns count="7">
    <tableColumn id="1" xr3:uid="{34BB8E69-EE89-4B01-95F9-FF732D603E6A}" name="MOIS" dataDxfId="4797"/>
    <tableColumn id="7" xr3:uid="{E76D6EC8-68EB-4D57-BCE8-5997285BA738}" name="2024" dataDxfId="4796">
      <calculatedColumnFormula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calculatedColumnFormula>
    </tableColumn>
    <tableColumn id="2" xr3:uid="{499FEE8C-512B-41C4-B82B-723886E7EB7A}" name="2023" dataDxfId="4795">
      <calculatedColumnFormula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calculatedColumnFormula>
    </tableColumn>
    <tableColumn id="3" xr3:uid="{C595D222-DC3B-4FD0-A55C-246A5D99FC5C}" name="2022" dataDxfId="4794">
      <calculatedColumnFormula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calculatedColumnFormula>
    </tableColumn>
    <tableColumn id="4" xr3:uid="{34969437-ADF3-47F8-9E11-0C4EA749150E}" name="2021" dataDxfId="4793">
      <calculatedColumnFormula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calculatedColumnFormula>
    </tableColumn>
    <tableColumn id="5" xr3:uid="{9AC3C141-5D38-4406-B660-A5048C4D2671}" name="2020" dataDxfId="4792">
      <calculatedColumnFormula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calculatedColumnFormula>
    </tableColumn>
    <tableColumn id="6" xr3:uid="{8E4ED04E-637C-49E2-AE1C-57F9978C4D01}" name="2019" dataDxfId="4791">
      <calculatedColumnFormula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calculatedColumnFormula>
    </tableColumn>
  </tableColumns>
  <tableStyleInfo name="TableStyleMedium1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CA2EC7D-00DE-4938-93BF-34747FE1C597}" name="TRANSR314" displayName="TRANSR314" ref="CD107:CJ119" totalsRowShown="0" headerRowDxfId="4790" dataDxfId="4789">
  <tableColumns count="7">
    <tableColumn id="1" xr3:uid="{A7BCA9C9-2393-44BF-8E83-6A9C51862F0B}" name="MOIS" dataDxfId="4788"/>
    <tableColumn id="7" xr3:uid="{71B6ACB4-9252-4124-91A3-DD4764F113CE}" name="2025" dataDxfId="4787">
      <calculatedColumnFormula>+CE92+CE76+CE60+CE44</calculatedColumnFormula>
    </tableColumn>
    <tableColumn id="2" xr3:uid="{4771D504-81B4-46D6-938C-E3C408C35DD1}" name="2024" dataDxfId="4786" dataCellStyle="Milliers"/>
    <tableColumn id="3" xr3:uid="{6F152A8B-F5EF-45F9-A5F7-C0168EF8013E}" name="2023" dataDxfId="4785"/>
    <tableColumn id="4" xr3:uid="{6A374805-7D77-415E-B3C7-585449635D79}" name="2022" dataDxfId="4784"/>
    <tableColumn id="5" xr3:uid="{BBB132D6-9459-4981-A177-CCD906B855A8}" name="2021" dataDxfId="4783"/>
    <tableColumn id="6" xr3:uid="{22319DE5-0A2E-45FB-ABDF-1465429CB440}" name="2020" dataDxfId="4782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D0DA465-4FE2-4A03-98F9-A009283FDACD}" name="TRANSLYSE" displayName="TRANSLYSE" ref="CL107:CR119" totalsRowShown="0" headerRowDxfId="4781" dataDxfId="4780">
  <tableColumns count="7">
    <tableColumn id="1" xr3:uid="{BC49D01F-7575-4414-A17F-5B00056E6C0C}" name="MOIS" dataDxfId="4779"/>
    <tableColumn id="7" xr3:uid="{DE1520D6-5040-4B3D-B781-47E2873E8C50}" name="2025" dataDxfId="4778">
      <calculatedColumnFormula>+CM92+CM76+CM60+CM44</calculatedColumnFormula>
    </tableColumn>
    <tableColumn id="2" xr3:uid="{3CD17BB8-7F04-4643-800B-43798662B737}" name="2024" dataDxfId="4777" dataCellStyle="Milliers"/>
    <tableColumn id="3" xr3:uid="{66E21354-0AB8-4C59-928C-92448E1B26E1}" name="2023" dataDxfId="4776"/>
    <tableColumn id="4" xr3:uid="{00D9760D-2963-44CA-99BF-772FC9727D24}" name="2022" dataDxfId="4775"/>
    <tableColumn id="5" xr3:uid="{7FA55C90-D769-4C49-9C19-C10E837C0D34}" name="2021" dataDxfId="4774"/>
    <tableColumn id="6" xr3:uid="{D17CED29-C155-49D6-B8E1-D6D9D7E1BD77}" name="2020" dataDxfId="4773"/>
  </tableColumns>
  <tableStyleInfo name="TableStyleMedium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BD868E6-C28F-48B5-8678-FD1E8B62C6B4}" name="TRANSDIVES" displayName="TRANSDIVES" ref="BV107:CB119" totalsRowShown="0" headerRowDxfId="4772" dataDxfId="4771">
  <tableColumns count="7">
    <tableColumn id="1" xr3:uid="{74CD09D6-38A6-45B5-B6E2-EB315F5EF753}" name="MOIS" dataDxfId="4770"/>
    <tableColumn id="7" xr3:uid="{5EC928F0-FEC2-48AE-9F7E-049309032771}" name="2025" dataDxfId="4769">
      <calculatedColumnFormula>+BW92+BW76+BW60+BW44</calculatedColumnFormula>
    </tableColumn>
    <tableColumn id="2" xr3:uid="{675E6952-D1AE-46F5-BF11-FEFB7592C535}" name="2024" dataDxfId="4768" dataCellStyle="Milliers"/>
    <tableColumn id="3" xr3:uid="{BF3800B3-85F8-4214-957B-34FB976CC979}" name="2023" dataDxfId="4767"/>
    <tableColumn id="4" xr3:uid="{93640D6F-71D8-4A73-9290-E5E57BC26334}" name="2022" dataDxfId="4766"/>
    <tableColumn id="5" xr3:uid="{56F10E3E-A013-47A4-AF79-8739F81275FF}" name="2021" dataDxfId="4765"/>
    <tableColumn id="6" xr3:uid="{5A45EDE1-5BC4-41B6-BFDE-62AC2F09254B}" name="2020" dataDxfId="4764"/>
  </tableColumns>
  <tableStyleInfo name="TableStyleMedium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0C65FDF-BD40-4403-9FE5-2E32A92E5743}" name="TRANSTH4" displayName="TRANSTH4" ref="BN107:BT119" totalsRowShown="0" headerRowDxfId="4763" dataDxfId="4762">
  <tableColumns count="7">
    <tableColumn id="1" xr3:uid="{3BA895B0-52AF-4E3E-A60D-C4C73B4FC873}" name="MOIS" dataDxfId="4761"/>
    <tableColumn id="7" xr3:uid="{49E6E48E-79E0-452C-991B-921DEE845B10}" name="2025" dataDxfId="4760">
      <calculatedColumnFormula>+BO92+BO76+BO60+BO44</calculatedColumnFormula>
    </tableColumn>
    <tableColumn id="2" xr3:uid="{43F6F1C5-96F3-47AB-A6B9-2A43C21A140C}" name="2024" dataDxfId="4759" dataCellStyle="Milliers"/>
    <tableColumn id="3" xr3:uid="{9D5C0566-1DA5-407E-B962-A9268CE036AF}" name="2023" dataDxfId="4758"/>
    <tableColumn id="4" xr3:uid="{7AD330FC-E9A5-43E6-B286-6BA6310B6552}" name="2022" dataDxfId="4757"/>
    <tableColumn id="5" xr3:uid="{AE687310-5962-4B39-BA70-0FD4E923AFCA}" name="2021" dataDxfId="4756"/>
    <tableColumn id="6" xr3:uid="{6A3944A2-8FE6-4881-B6EA-FDEAA517AFD9}" name="2020" dataDxfId="4755"/>
  </tableColumns>
  <tableStyleInfo name="TableStyleMedium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B6B9FD3-5146-4907-AD31-EA8314A21AB1}" name="PMGLOBAL" displayName="PMGLOBAL" ref="B235:H247" totalsRowShown="0" headerRowDxfId="4754" dataDxfId="4753">
  <tableColumns count="7">
    <tableColumn id="1" xr3:uid="{E87847A6-8A3A-44C3-A60C-B0F0F5683655}" name="MOIS" dataDxfId="4752"/>
    <tableColumn id="7" xr3:uid="{9CA56792-7758-4C8B-B130-AABBB7FE3EC8}" name="2024" dataDxfId="4751">
      <calculatedColumnFormula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calculatedColumnFormula>
    </tableColumn>
    <tableColumn id="2" xr3:uid="{A4092ED7-C53C-4CE9-A35A-998A153F2A8C}" name="2023" dataDxfId="4750">
      <calculatedColumnFormula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calculatedColumnFormula>
    </tableColumn>
    <tableColumn id="3" xr3:uid="{E97A791A-C702-4B05-B9A6-79C818F51BC9}" name="2022" dataDxfId="4749">
      <calculatedColumnFormula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calculatedColumnFormula>
    </tableColumn>
    <tableColumn id="4" xr3:uid="{EA7847EF-DE05-431E-9E15-4C699E4782F3}" name="2021" dataDxfId="4748">
      <calculatedColumnFormula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calculatedColumnFormula>
    </tableColumn>
    <tableColumn id="5" xr3:uid="{EC3FA837-49A7-43FF-8285-076BE08ACADE}" name="2020" dataDxfId="4747">
      <calculatedColumnFormula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calculatedColumnFormula>
    </tableColumn>
    <tableColumn id="6" xr3:uid="{7EE6470E-EECA-4B53-825E-86F050480BDE}" name="2019" dataDxfId="4746">
      <calculatedColumnFormula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calculatedColumnFormula>
    </tableColumn>
  </tableColumns>
  <tableStyleInfo name="TableStyleMedium1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9ABB4A5-3558-4F25-B81B-41EEF1FDFE61}" name="PMTR314" displayName="PMTR314" ref="CD235:CJ247" totalsRowShown="0" headerRowDxfId="4745" dataDxfId="4744">
  <tableColumns count="7">
    <tableColumn id="1" xr3:uid="{E459B488-77B5-4FE5-AD0B-7079E058E9F7}" name="MOIS" dataDxfId="4743"/>
    <tableColumn id="7" xr3:uid="{8FDA726D-5D99-4C4B-9117-71988045AA57}" name="2025" dataDxfId="4742"/>
    <tableColumn id="2" xr3:uid="{B1987C8E-C0C3-45AD-8564-24F0787224CC}" name="2024" dataDxfId="4741" dataCellStyle="Milliers"/>
    <tableColumn id="3" xr3:uid="{86DCDCB5-0AC3-401D-B884-0DB464CB6ECD}" name="2023" dataDxfId="4740"/>
    <tableColumn id="4" xr3:uid="{7537FCAF-4D95-427A-9145-BE57CCAC26E6}" name="2022" dataDxfId="4739"/>
    <tableColumn id="5" xr3:uid="{90BFF6DB-2ED2-4BFD-816E-ECD3C2C3C080}" name="2021" dataDxfId="4738"/>
    <tableColumn id="6" xr3:uid="{E72C20F7-25B9-4BB5-BD14-BAC9A369D322}" name="2020" dataDxfId="4737"/>
  </tableColumns>
  <tableStyleInfo name="TableStyleMedium1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509C0D8-34EE-4091-986F-4D69DA0E0D45}" name="PMLYSE" displayName="PMLYSE" ref="CL235:CR247" totalsRowShown="0" headerRowDxfId="4736" dataDxfId="4735">
  <tableColumns count="7">
    <tableColumn id="1" xr3:uid="{EF2EE525-D886-410B-A7D6-E388A1DB888C}" name="MOIS" dataDxfId="4734"/>
    <tableColumn id="7" xr3:uid="{9FF13C86-7B4A-42E9-A667-15E020F4FBD3}" name="2025" dataDxfId="4733"/>
    <tableColumn id="2" xr3:uid="{635845EB-BE39-40AC-9F0C-7A7C784F3BB1}" name="2024" dataDxfId="4732" dataCellStyle="Milliers"/>
    <tableColumn id="3" xr3:uid="{04B94E2A-D2AB-4F94-B8FD-C355A1EAFEDC}" name="2023" dataDxfId="4731"/>
    <tableColumn id="4" xr3:uid="{07D9964B-8019-4629-BC9B-D4EC5B890B04}" name="2022" dataDxfId="4730"/>
    <tableColumn id="5" xr3:uid="{E1497B51-4BC0-4660-AC61-EA550B3DC56B}" name="2021" dataDxfId="4729"/>
    <tableColumn id="6" xr3:uid="{3E0FFB96-C882-4236-9921-4A97D29611C5}" name="2020" dataDxfId="4728"/>
  </tableColumns>
  <tableStyleInfo name="TableStyleMedium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7DA2139-9B85-4232-9DA5-7058071C2AF0}" name="PMDIVES" displayName="PMDIVES" ref="BV235:CB247" totalsRowShown="0" headerRowDxfId="4727" dataDxfId="4726">
  <tableColumns count="7">
    <tableColumn id="1" xr3:uid="{680EA105-E026-4839-B1FE-1DC1D59007E9}" name="MOIS" dataDxfId="4725"/>
    <tableColumn id="7" xr3:uid="{8ABD53DE-85BE-42C9-804E-713DDA5DB7AE}" name="2025" dataDxfId="4724"/>
    <tableColumn id="2" xr3:uid="{484121F6-331F-4BAF-B84E-218CE3764104}" name="2024" dataDxfId="4723" dataCellStyle="Milliers"/>
    <tableColumn id="3" xr3:uid="{4500E68F-47DD-4DED-B91D-BBAE445256F3}" name="2023" dataDxfId="4722"/>
    <tableColumn id="4" xr3:uid="{1D8C5022-E649-47C1-8A33-7AAC05900528}" name="2022" dataDxfId="4721"/>
    <tableColumn id="5" xr3:uid="{15C940E5-4001-4671-82BF-B7AE01A07B02}" name="2021" dataDxfId="4720"/>
    <tableColumn id="6" xr3:uid="{E2643756-0DB5-47DB-8CA9-E8EE884C8F48}" name="2020" dataDxfId="4719"/>
  </tableColumns>
  <tableStyleInfo name="TableStyleMedium10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8CF1548-1179-424C-8F3E-126F6AF6E97C}" name="PMTH4" displayName="PMTH4" ref="BN235:BT247" totalsRowShown="0" headerRowDxfId="4718" dataDxfId="4717">
  <tableColumns count="7">
    <tableColumn id="1" xr3:uid="{2E5DCA5E-B8E0-4DC8-B6C5-57DF00F6D3D2}" name="MOIS" dataDxfId="4716"/>
    <tableColumn id="7" xr3:uid="{F3ED2AB3-5962-4705-89D8-0FEB874CCDD2}" name="2025" dataDxfId="4715"/>
    <tableColumn id="2" xr3:uid="{18213004-0A32-40FB-B35A-619915067B0D}" name="2024" dataDxfId="4714" dataCellStyle="Milliers"/>
    <tableColumn id="3" xr3:uid="{BA6F9249-D846-420A-A330-2BD45E0B5E0A}" name="2023" dataDxfId="4713"/>
    <tableColumn id="4" xr3:uid="{C4268FC7-687E-4ACB-8C36-6F49B0287D92}" name="2022" dataDxfId="4712"/>
    <tableColumn id="5" xr3:uid="{6AD52EAD-7322-4E24-9B95-BA3DA0D42CD5}" name="2021" dataDxfId="4711"/>
    <tableColumn id="6" xr3:uid="{7F749363-886C-4A26-97E9-564449419200}" name="2020" dataDxfId="4710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45E9E84-8165-4F9D-BD81-4B4FABC9D675}" name="TRESOGLOBAL" displayName="TRESOGLOBAL" ref="B299:H311" totalsRowShown="0" headerRowDxfId="4709" dataDxfId="4708">
  <tableColumns count="7">
    <tableColumn id="1" xr3:uid="{F4BDABD2-F01A-44E3-AADB-3126A169B685}" name="MOIS" dataDxfId="4707"/>
    <tableColumn id="7" xr3:uid="{07303317-633B-4627-BF06-E21A1DE713DF}" name="2024" dataDxfId="23">
      <calculatedColumnFormula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calculatedColumnFormula>
    </tableColumn>
    <tableColumn id="2" xr3:uid="{E1BCCB11-8529-4F8C-B9C1-208CBBE460DF}" name="2023" dataDxfId="22">
      <calculatedColumnFormula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calculatedColumnFormula>
    </tableColumn>
    <tableColumn id="3" xr3:uid="{87843332-C106-4A9B-9EC0-657276C81F89}" name="2022" dataDxfId="21">
      <calculatedColumnFormula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calculatedColumnFormula>
    </tableColumn>
    <tableColumn id="4" xr3:uid="{13EE761B-7DA4-4CE9-BF08-621DB504C5C6}" name="2021" dataDxfId="20">
      <calculatedColumnFormula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calculatedColumnFormula>
    </tableColumn>
    <tableColumn id="5" xr3:uid="{13D8CD7B-B612-4184-98A0-788FD9D4413B}" name="2020" dataDxfId="19">
      <calculatedColumnFormula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calculatedColumnFormula>
    </tableColumn>
    <tableColumn id="6" xr3:uid="{C4C3ABD8-4CAE-41AE-8D02-95668A212969}" name="2019" dataDxfId="18">
      <calculatedColumnFormula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calculatedColumnFormula>
    </tableColumn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271D87B-15EB-4D26-A2C4-0D3E9005D75B}" name="TRESOR314" displayName="TRESOR314" ref="CD299:CJ311" totalsRowShown="0" headerRowDxfId="4706" dataDxfId="4705">
  <tableColumns count="7">
    <tableColumn id="1" xr3:uid="{9E446A7D-5E7F-4103-A12B-6854FA112D4D}" name="MOIS" dataDxfId="4704"/>
    <tableColumn id="7" xr3:uid="{B188C2A9-4133-4C8D-872C-A78CB3C5B49B}" name="2025" dataDxfId="17">
      <calculatedColumnFormula>258.62317-8.44891</calculatedColumnFormula>
    </tableColumn>
    <tableColumn id="2" xr3:uid="{69C368F1-A832-4827-9AD1-5241D7AE5E8F}" name="2024" dataDxfId="4703" dataCellStyle="Milliers"/>
    <tableColumn id="3" xr3:uid="{AF7F8368-6CD3-4788-B692-6DE52A853664}" name="2023" dataDxfId="4702"/>
    <tableColumn id="4" xr3:uid="{D6E0CCFE-8F24-4BC8-8EB9-6D2754FCC821}" name="2022" dataDxfId="4701"/>
    <tableColumn id="5" xr3:uid="{0A184C9C-DABF-4C0B-ABAD-C48063643E0D}" name="2021" dataDxfId="4700"/>
    <tableColumn id="6" xr3:uid="{0C9450EC-1898-4BB8-945B-891697FE22AB}" name="2020" dataDxfId="4699"/>
  </tableColumns>
  <tableStyleInfo name="TableStyleMedium1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DCB9371-AC0C-4C31-90D5-BA55A01E0EA6}" name="TRESOLYSE" displayName="TRESOLYSE" ref="CL299:CR311" totalsRowShown="0" headerRowDxfId="4698" dataDxfId="4697">
  <tableColumns count="7">
    <tableColumn id="1" xr3:uid="{02841704-3067-4B7B-B7B6-E582E557A337}" name="MOIS" dataDxfId="4696"/>
    <tableColumn id="7" xr3:uid="{DE251207-16C9-499F-B5D1-78582A3A0377}" name="2025" dataDxfId="16">
      <calculatedColumnFormula>567.38802-3.57961</calculatedColumnFormula>
    </tableColumn>
    <tableColumn id="2" xr3:uid="{C5D2906A-F3CB-4040-B29A-E4977A0FF1AF}" name="2024" dataDxfId="4695" dataCellStyle="Milliers"/>
    <tableColumn id="3" xr3:uid="{DFE57BF8-9448-40AF-BD64-94F9A28C5629}" name="2023" dataDxfId="4694"/>
    <tableColumn id="4" xr3:uid="{EE1BE7B4-1A96-4F0C-B6FD-DF330C9C34C4}" name="2022" dataDxfId="4693"/>
    <tableColumn id="5" xr3:uid="{2EEC6280-BD1F-490F-AF19-204B82A165B2}" name="2021" dataDxfId="4692"/>
    <tableColumn id="6" xr3:uid="{95260586-E94F-4EB9-93A4-84D538C77067}" name="2020" dataDxfId="4691"/>
  </tableColumns>
  <tableStyleInfo name="TableStyleMedium8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46B7D446-070F-45B3-967D-7A1D7917A731}" name="TRESODIVES" displayName="TRESODIVES" ref="BV299:CB311" totalsRowShown="0" headerRowDxfId="4690" dataDxfId="4689">
  <tableColumns count="7">
    <tableColumn id="1" xr3:uid="{64EBDEAD-89DA-4192-B0B6-B2E4159472EB}" name="MOIS" dataDxfId="4688"/>
    <tableColumn id="7" xr3:uid="{5CFF7669-B398-45FD-987C-2B093F21F400}" name="2025" dataDxfId="15">
      <calculatedColumnFormula>371.37269-4.90301</calculatedColumnFormula>
    </tableColumn>
    <tableColumn id="2" xr3:uid="{53F3B1F4-8D27-4E92-9BEE-5D06951D6C2A}" name="2024" dataDxfId="4687" dataCellStyle="Milliers"/>
    <tableColumn id="3" xr3:uid="{941A9DAF-9BCE-4D5E-B9F9-36C18B421FAD}" name="2023" dataDxfId="4686"/>
    <tableColumn id="4" xr3:uid="{D608DE40-A532-42B3-B69D-69FEC6569268}" name="2022" dataDxfId="4685"/>
    <tableColumn id="5" xr3:uid="{9159E25E-1CCC-427A-AD93-628C1A9CCE48}" name="2021" dataDxfId="4684"/>
    <tableColumn id="6" xr3:uid="{4CFB66A8-040C-4372-9C87-9DFC1C52CF26}" name="2020" dataDxfId="4683"/>
  </tableColumns>
  <tableStyleInfo name="TableStyleMedium10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397A930-E273-478D-BB55-03B3BCEF2F68}" name="TRESOTH4" displayName="TRESOTH4" ref="BN299:BT311" totalsRowShown="0" headerRowDxfId="4682" dataDxfId="4681">
  <tableColumns count="7">
    <tableColumn id="1" xr3:uid="{F0B3A726-100B-45C6-90A9-296759578750}" name="MOIS" dataDxfId="4680"/>
    <tableColumn id="7" xr3:uid="{ECA9216D-ED55-4DA4-AC8F-968DD377BE6F}" name="2025" dataDxfId="14">
      <calculatedColumnFormula>377.24434-4.78771</calculatedColumnFormula>
    </tableColumn>
    <tableColumn id="2" xr3:uid="{AF891CD9-3328-4B25-BB7D-8507592743EE}" name="2024" dataDxfId="4679" dataCellStyle="Milliers"/>
    <tableColumn id="3" xr3:uid="{23D32547-58F2-42EA-AAD9-EC6A9ECB8DBD}" name="2023" dataDxfId="4678"/>
    <tableColumn id="4" xr3:uid="{53CCE492-ADCA-46B8-BF5F-7A3DC19D7F95}" name="2022" dataDxfId="4677"/>
    <tableColumn id="5" xr3:uid="{A5A84F16-DF6C-4F2F-B192-A59CC8A73497}" name="2021" dataDxfId="4676"/>
    <tableColumn id="6" xr3:uid="{0CC84E24-B9FB-435E-ABE6-F9ECD8747418}" name="2020" dataDxfId="4675"/>
  </tableColumns>
  <tableStyleInfo name="TableStyleMedium1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07A9E92-F5C9-4B4B-872B-437BFF072271}" name="TRANSCGLOBAL" displayName="TRANSCGLOBAL" ref="B187:H199" totalsRowShown="0" headerRowDxfId="4674" dataDxfId="4673">
  <tableColumns count="7">
    <tableColumn id="1" xr3:uid="{A4FC58D7-2A37-4E06-8092-C1BA4D797B8D}" name="MOIS" dataDxfId="4672"/>
    <tableColumn id="7" xr3:uid="{D1A8F271-93EC-4838-BDA0-4F0AAA4AD51D}" name="2024" dataDxfId="4671">
      <calculatedColumnFormula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calculatedColumnFormula>
    </tableColumn>
    <tableColumn id="2" xr3:uid="{7316B636-8E2E-4895-85EF-894C0C5594DD}" name="2023" dataDxfId="4670">
      <calculatedColumnFormula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calculatedColumnFormula>
    </tableColumn>
    <tableColumn id="3" xr3:uid="{1139649E-21F4-4D44-9614-F12542FA1080}" name="2022" dataDxfId="4669">
      <calculatedColumnFormula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calculatedColumnFormula>
    </tableColumn>
    <tableColumn id="4" xr3:uid="{DC9E8282-7633-429B-8B16-5166B1C200DE}" name="2021" dataDxfId="4668">
      <calculatedColumnFormula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calculatedColumnFormula>
    </tableColumn>
    <tableColumn id="5" xr3:uid="{F1B0606E-0768-4A2E-B682-A8DF79BD3CC5}" name="2020" dataDxfId="4667">
      <calculatedColumnFormula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calculatedColumnFormula>
    </tableColumn>
    <tableColumn id="6" xr3:uid="{7E3BD9C2-102F-4B3B-8B2F-481C878DFB2F}" name="2019" dataDxfId="4666">
      <calculatedColumnFormula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calculatedColumnFormula>
    </tableColumn>
  </tableColumns>
  <tableStyleInfo name="TableStyleMedium1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8FA72A2-E6FF-4E2C-A67E-73AC29F4E100}" name="TRANSCR314" displayName="TRANSCR314" ref="CD187:CJ199" totalsRowShown="0" headerRowDxfId="4665" dataDxfId="4664">
  <tableColumns count="7">
    <tableColumn id="1" xr3:uid="{CB92AB0C-4CB9-4705-9E3B-50B29D11F152}" name="MOIS" dataDxfId="4663"/>
    <tableColumn id="7" xr3:uid="{17833910-9F3B-461C-A19C-451192E386BE}" name="2025" dataDxfId="4662"/>
    <tableColumn id="2" xr3:uid="{90449AAB-4BCC-4C3D-9CAF-11BD851769F3}" name="2024" dataDxfId="4661" dataCellStyle="Milliers"/>
    <tableColumn id="3" xr3:uid="{BDC5ABB9-8044-4851-8B23-EF8E829D6265}" name="2023" dataDxfId="4660"/>
    <tableColumn id="4" xr3:uid="{A49F6D08-AD15-4DD3-87AE-FF70B96458D7}" name="2022" dataDxfId="4659"/>
    <tableColumn id="5" xr3:uid="{1D3E2443-025F-4048-A093-B73445DF52FC}" name="2021" dataDxfId="4658"/>
    <tableColumn id="6" xr3:uid="{3DA27B57-FDFB-47FF-B0B8-A1136C2F1161}" name="2020" dataDxfId="4657"/>
  </tableColumns>
  <tableStyleInfo name="TableStyleMedium1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478E2FC-F7C8-44AF-B673-33C903C71E32}" name="TRANSCLYSE" displayName="TRANSCLYSE" ref="CL187:CR199" totalsRowShown="0" headerRowDxfId="4656" dataDxfId="4655">
  <tableColumns count="7">
    <tableColumn id="1" xr3:uid="{226C8D2F-E950-4FE3-B6B0-CA4E48F5B355}" name="MOIS" dataDxfId="4654"/>
    <tableColumn id="7" xr3:uid="{7724822A-67E1-4B29-9499-EE458C015C53}" name="2025" dataDxfId="4653"/>
    <tableColumn id="2" xr3:uid="{DD4388CB-5DC7-4067-89DA-2DC75DEB28B5}" name="2024" dataDxfId="4652" dataCellStyle="Milliers"/>
    <tableColumn id="3" xr3:uid="{ACD5076C-E6C0-4540-A5D7-C13F61A5B862}" name="2023" dataDxfId="4651"/>
    <tableColumn id="4" xr3:uid="{1BAF840E-682C-4715-BE92-9C05558ABB68}" name="2022" dataDxfId="4650"/>
    <tableColumn id="5" xr3:uid="{AEE4C4E6-20CB-4ADB-8701-5639793E544C}" name="2021" dataDxfId="4649"/>
    <tableColumn id="6" xr3:uid="{D7AC2F76-5CB6-4605-AE9A-8CD7C963B8B5}" name="2020" dataDxfId="4648"/>
  </tableColumns>
  <tableStyleInfo name="TableStyleMedium8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C7999AA1-D938-4974-B045-67FFB58B9D7D}" name="TRANSCDIVES" displayName="TRANSCDIVES" ref="BV187:CB199" totalsRowShown="0" headerRowDxfId="4647" dataDxfId="4646">
  <tableColumns count="7">
    <tableColumn id="1" xr3:uid="{214B6C01-7AFA-4C93-89A9-BBE61B372BB7}" name="MOIS" dataDxfId="4645"/>
    <tableColumn id="7" xr3:uid="{644152C7-16D3-4FC9-8FC3-A34959E16863}" name="2025" dataDxfId="4644"/>
    <tableColumn id="2" xr3:uid="{916AA173-91A2-4C5F-85A9-26E46B1595B1}" name="2024" dataDxfId="4643" dataCellStyle="Milliers"/>
    <tableColumn id="3" xr3:uid="{4154E968-AAC4-453E-B071-A17542438F03}" name="2023" dataDxfId="4642"/>
    <tableColumn id="4" xr3:uid="{74C267C2-A7E5-421A-98ED-E47AFDF39C86}" name="2022" dataDxfId="4641"/>
    <tableColumn id="5" xr3:uid="{6E77815F-435F-4DC9-B89A-58F4556E5D78}" name="2021" dataDxfId="4640"/>
    <tableColumn id="6" xr3:uid="{915E806F-4CDE-4825-9EFA-DED4EA670871}" name="2020" dataDxfId="4639"/>
  </tableColumns>
  <tableStyleInfo name="TableStyleMedium10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7CA668BE-88AF-4464-9AA7-3D46CC8E9894}" name="TRANSCTH4" displayName="TRANSCTH4" ref="BN187:BT199" totalsRowShown="0" headerRowDxfId="4638" dataDxfId="4637">
  <tableColumns count="7">
    <tableColumn id="1" xr3:uid="{014CE9B8-CEDE-4E27-9AC5-3C7480156001}" name="MOIS" dataDxfId="4636"/>
    <tableColumn id="7" xr3:uid="{41134F16-A5D4-4340-A77F-B199CC8F5837}" name="2025" dataDxfId="4635"/>
    <tableColumn id="2" xr3:uid="{668B7C00-9E9B-4F25-9ECD-46BEDE6E99A5}" name="2024" dataDxfId="4634" dataCellStyle="Milliers"/>
    <tableColumn id="3" xr3:uid="{980B0BA0-994D-407F-A356-F704BA759980}" name="2023" dataDxfId="4633"/>
    <tableColumn id="4" xr3:uid="{59DFED73-4E90-481E-89E1-E7D7CE28306D}" name="2022" dataDxfId="4632"/>
    <tableColumn id="5" xr3:uid="{01A73F16-7379-4504-9E4E-2F3FE44B7B23}" name="2021" dataDxfId="4631"/>
    <tableColumn id="6" xr3:uid="{0C9D9D5B-AD29-48F2-85E0-F95BB32E32D2}" name="2020" dataDxfId="4630"/>
  </tableColumns>
  <tableStyleInfo name="TableStyleMedium1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39614B81-834B-408F-9E5E-0161A0A4A3C2}" name="PMCGLOBAL" displayName="PMCGLOBAL" ref="B283:H295" totalsRowShown="0" headerRowDxfId="4629" dataDxfId="4628">
  <tableColumns count="7">
    <tableColumn id="1" xr3:uid="{847F9AF8-46F7-440D-A0DB-49B0268A55A5}" name="MOIS" dataDxfId="4627"/>
    <tableColumn id="7" xr3:uid="{1125142B-023A-4FB0-8E06-B47800E0F00C}" name="2024" dataDxfId="4626">
      <calculatedColumnFormula>AVERAGE(C$236:C236)</calculatedColumnFormula>
    </tableColumn>
    <tableColumn id="2" xr3:uid="{EB0B2EDA-88AE-490B-85EC-C48F6E7B5344}" name="2023" dataDxfId="4625">
      <calculatedColumnFormula>AVERAGE(D$236:D236)</calculatedColumnFormula>
    </tableColumn>
    <tableColumn id="3" xr3:uid="{05713FEF-FED8-4B5D-BF78-D64C80F6F87B}" name="2022" dataDxfId="4624">
      <calculatedColumnFormula>AVERAGE(E$236:E236)</calculatedColumnFormula>
    </tableColumn>
    <tableColumn id="4" xr3:uid="{7E199D45-5A74-4B88-89EF-9D7C3A39578B}" name="2021" dataDxfId="4623">
      <calculatedColumnFormula>AVERAGE(F$236:F236)</calculatedColumnFormula>
    </tableColumn>
    <tableColumn id="5" xr3:uid="{ACDE3D5B-EF24-42E5-9E3A-CDDCAD64A125}" name="2020" dataDxfId="4622">
      <calculatedColumnFormula>AVERAGE(G$236:G236)</calculatedColumnFormula>
    </tableColumn>
    <tableColumn id="6" xr3:uid="{50487985-B7A7-45B2-AE6A-5436BB1B9DC8}" name="2019" dataDxfId="4621">
      <calculatedColumnFormula>AVERAGE(H$236:H236)</calculatedColumnFormula>
    </tableColumn>
  </tableColumns>
  <tableStyleInfo name="TableStyleMedium1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C078879-8EE1-450F-88A0-EFA47C3541CC}" name="PMCR314" displayName="PMCR314" ref="CD283:CJ295" totalsRowShown="0" headerRowDxfId="4620" dataDxfId="4619">
  <tableColumns count="7">
    <tableColumn id="1" xr3:uid="{53CA2B50-C21C-40E0-A9C1-10E0A9DF9BC4}" name="MOIS" dataDxfId="4618"/>
    <tableColumn id="7" xr3:uid="{07E6F8C4-374D-408F-BEF4-5B60EE4D7692}" name="2025" dataDxfId="4617">
      <calculatedColumnFormula>AVERAGE(CE$236:CE236)</calculatedColumnFormula>
    </tableColumn>
    <tableColumn id="2" xr3:uid="{D05DBAE1-F898-492C-92FB-6858F05A6392}" name="2024" dataDxfId="4616" dataCellStyle="Milliers"/>
    <tableColumn id="3" xr3:uid="{023E6415-2349-42AF-BC4D-C8A04608C7F2}" name="2023" dataDxfId="4615"/>
    <tableColumn id="4" xr3:uid="{F9E1DF7D-C865-40EB-8DE5-C76324734E26}" name="2022" dataDxfId="4614"/>
    <tableColumn id="5" xr3:uid="{7D3A810A-C951-458A-8F2F-5F6BD834102D}" name="2021" dataDxfId="4613"/>
    <tableColumn id="6" xr3:uid="{E3E95645-B7E7-4490-8876-F1850B796209}" name="2020" dataDxfId="4612"/>
  </tableColumns>
  <tableStyleInfo name="TableStyleMedium1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E5749365-DF59-4FC8-ABF4-387B44F15D56}" name="PMCLYSE" displayName="PMCLYSE" ref="CL283:CR295" totalsRowShown="0" headerRowDxfId="4611" dataDxfId="4610">
  <tableColumns count="7">
    <tableColumn id="1" xr3:uid="{5D2F5B24-AF86-40DF-8E60-6760395AC589}" name="MOIS" dataDxfId="4609"/>
    <tableColumn id="7" xr3:uid="{1256C96F-8B81-4CC7-A998-0AB498C38B3A}" name="2025" dataDxfId="4608">
      <calculatedColumnFormula>AVERAGE(CM$236:CM236)</calculatedColumnFormula>
    </tableColumn>
    <tableColumn id="2" xr3:uid="{38714138-24A2-4441-AE17-9713884ED128}" name="2024" dataDxfId="4607" dataCellStyle="Milliers"/>
    <tableColumn id="3" xr3:uid="{2386B854-54B9-4B32-B0CA-6A6CBDF1AE5E}" name="2023" dataDxfId="4606"/>
    <tableColumn id="4" xr3:uid="{A41421F8-2AE4-4ACE-A495-3D72E853FE9C}" name="2022" dataDxfId="4605"/>
    <tableColumn id="5" xr3:uid="{4D0B0AEC-EFD9-40FE-9174-73D3D4A148E7}" name="2021" dataDxfId="4604"/>
    <tableColumn id="6" xr3:uid="{D2D39BB8-64E5-406B-A6EE-CFE18DDA6EBA}" name="2020" dataDxfId="4603"/>
  </tableColumns>
  <tableStyleInfo name="TableStyleMedium8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A394279-B5D4-41D3-AA4F-A39E9E9CC798}" name="PMCDIVES" displayName="PMCDIVES" ref="BV283:CB295" totalsRowShown="0" headerRowDxfId="4602" dataDxfId="4601">
  <tableColumns count="7">
    <tableColumn id="1" xr3:uid="{BE49FFEA-CE42-49D9-A2D2-B467A9844ED2}" name="MOIS" dataDxfId="4600"/>
    <tableColumn id="7" xr3:uid="{9A6356A7-ACFB-4FEC-AA9D-0C83D464653A}" name="2025" dataDxfId="4599">
      <calculatedColumnFormula>AVERAGE(BW$236:BW236)</calculatedColumnFormula>
    </tableColumn>
    <tableColumn id="2" xr3:uid="{D6FF3BE5-8B92-4129-8766-4F8B23D00526}" name="2024" dataDxfId="4598" dataCellStyle="Milliers"/>
    <tableColumn id="3" xr3:uid="{BD1CB0C1-9AE8-4819-899C-B4C1593BFB09}" name="2023" dataDxfId="4597"/>
    <tableColumn id="4" xr3:uid="{3C41627C-A2F0-459C-B213-4AF9E2ABFAF1}" name="2022" dataDxfId="4596"/>
    <tableColumn id="5" xr3:uid="{29AF6997-F829-4AC8-BF9E-73D35526AAEF}" name="2021" dataDxfId="4595"/>
    <tableColumn id="6" xr3:uid="{C53320CB-D542-461B-8357-3F63BE7C470D}" name="2020" dataDxfId="4594"/>
  </tableColumns>
  <tableStyleInfo name="TableStyleMedium10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C464DE6-9598-413E-BC7B-08BDCC5FF0C3}" name="PMCTH4" displayName="PMCTH4" ref="BN283:BT295" totalsRowShown="0" headerRowDxfId="4593" dataDxfId="4592">
  <tableColumns count="7">
    <tableColumn id="1" xr3:uid="{F5B43EA2-A798-47F3-A410-8CCF579601D0}" name="MOIS" dataDxfId="4591"/>
    <tableColumn id="7" xr3:uid="{801784C2-BCE8-40FD-8C6F-9EFFD0ECF02E}" name="2025" dataDxfId="4590">
      <calculatedColumnFormula>AVERAGE(BO$236:BO236)</calculatedColumnFormula>
    </tableColumn>
    <tableColumn id="2" xr3:uid="{A0343AD7-A104-433F-9A73-BC67AA6A8FE1}" name="2024" dataDxfId="4589" dataCellStyle="Milliers"/>
    <tableColumn id="3" xr3:uid="{5838EC6C-89D9-45B2-B51F-14906009F9DE}" name="2023" dataDxfId="4588"/>
    <tableColumn id="4" xr3:uid="{3C5A53A3-1D42-4025-9514-C04FC4C06D38}" name="2022" dataDxfId="4587"/>
    <tableColumn id="5" xr3:uid="{8D8928F4-60AB-43AB-B95C-C1D950CB9F4B}" name="2021" dataDxfId="4586"/>
    <tableColumn id="6" xr3:uid="{5B8BCC25-2565-4F60-98E4-FA7FE748B74B}" name="2020" dataDxfId="4585"/>
  </tableColumns>
  <tableStyleInfo name="TableStyleMedium1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D7EB80-085D-475E-B003-9F94BCE58AD9}" name="TRANSGLOBALK" displayName="TRANSGLOBALK" ref="B91:H103" totalsRowShown="0" headerRowDxfId="4584" dataDxfId="4583">
  <tableColumns count="7">
    <tableColumn id="1" xr3:uid="{64C00FD0-BFAB-40EC-B664-CB64EC5EECBC}" name="MOIS" dataDxfId="4582"/>
    <tableColumn id="7" xr3:uid="{00FC3AC7-9E21-4082-97FF-9FA3CA41F0B6}" name="2024" dataDxfId="4581">
      <calculatedColumnFormula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calculatedColumnFormula>
    </tableColumn>
    <tableColumn id="2" xr3:uid="{89C4F514-3355-4193-926B-D579E4A860A5}" name="2023" dataDxfId="4580"/>
    <tableColumn id="3" xr3:uid="{AFEE0C31-8A74-4C46-A98D-019383417D98}" name="2022" dataDxfId="4579"/>
    <tableColumn id="4" xr3:uid="{EE5EF23E-2C56-4524-AFDA-DDFBFCBCAFAA}" name="2021" dataDxfId="4578"/>
    <tableColumn id="5" xr3:uid="{484F2C6E-9CC2-4E93-920E-F82BB8366D51}" name="2020" dataDxfId="4577"/>
    <tableColumn id="6" xr3:uid="{994366E6-2BFE-427D-9138-D965A618046E}" name="2019" dataDxfId="4576"/>
  </tableColumns>
  <tableStyleInfo name="TableStyleMedium1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EB9BEB6-4A91-4506-8543-C91596BF1EBC}" name="TRANSR314K" displayName="TRANSR314K" ref="CD91:CJ103" totalsRowShown="0" headerRowDxfId="4575" dataDxfId="4574">
  <tableColumns count="7">
    <tableColumn id="1" xr3:uid="{FAAE52A6-052F-438C-91AB-5BA120E9A0EE}" name="MOIS" dataDxfId="4573"/>
    <tableColumn id="7" xr3:uid="{1112E28A-4211-43F5-9360-4E85CC774F71}" name="2025" dataDxfId="4572"/>
    <tableColumn id="2" xr3:uid="{BFF9A5FA-22D9-4F0A-8FF2-164201379F1A}" name="2024" dataDxfId="4571" dataCellStyle="Milliers"/>
    <tableColumn id="3" xr3:uid="{88393C75-4BA9-4090-983C-036BF2BC9A7B}" name="2023" dataDxfId="4570"/>
    <tableColumn id="4" xr3:uid="{CF112418-5465-4571-B148-36A2FAE38D9F}" name="2022" dataDxfId="4569"/>
    <tableColumn id="5" xr3:uid="{6E46A73B-F7E1-4D14-AD49-7C5BCB487200}" name="2021" dataDxfId="4568"/>
    <tableColumn id="6" xr3:uid="{B487786C-8A25-4051-B786-A7B30647A391}" name="2020" dataDxfId="4567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FF17248-E6DA-49A0-82F9-A4B192CC3153}" name="TRANSLYSEK" displayName="TRANSLYSEK" ref="CL91:CR103" totalsRowShown="0" headerRowDxfId="4566" dataDxfId="4565">
  <tableColumns count="7">
    <tableColumn id="1" xr3:uid="{05539F10-62A6-408F-83B5-EFB52AF8F32D}" name="MOIS" dataDxfId="4564"/>
    <tableColumn id="7" xr3:uid="{705657D4-F9A9-4C06-8835-A66BC79C8252}" name="2025" dataDxfId="4563"/>
    <tableColumn id="2" xr3:uid="{98B6B965-0F90-4699-B8AC-755B8E679AFF}" name="2024" dataDxfId="4562" dataCellStyle="Milliers"/>
    <tableColumn id="3" xr3:uid="{E2811407-8267-44E8-9ECF-B291D2C8AE2B}" name="2023" dataDxfId="4561"/>
    <tableColumn id="4" xr3:uid="{59E77B7C-3352-4FEB-A1D6-B6390B07CAFC}" name="2022" dataDxfId="4560"/>
    <tableColumn id="5" xr3:uid="{04ED33DE-2D1B-4D94-B0ED-56738CFB027C}" name="2021" dataDxfId="4559"/>
    <tableColumn id="6" xr3:uid="{CB97D72B-48BD-455A-826A-339AA23AABFD}" name="2020" dataDxfId="4558"/>
  </tableColumns>
  <tableStyleInfo name="TableStyleMedium8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27F11F-B8FD-4A7F-B185-870AC59B7837}" name="TRANSDIVESK" displayName="TRANSDIVESK" ref="BV91:CB103" totalsRowShown="0" headerRowDxfId="4557" dataDxfId="4556">
  <tableColumns count="7">
    <tableColumn id="1" xr3:uid="{D2590854-7D80-427D-841D-FB9776C11CA2}" name="MOIS" dataDxfId="4555"/>
    <tableColumn id="7" xr3:uid="{874501BF-B0D0-4432-90F6-B01D683CED2B}" name="2025" dataDxfId="4554"/>
    <tableColumn id="2" xr3:uid="{8777A357-92B1-40FD-86F9-3A828CC0E074}" name="2024" dataDxfId="4553" dataCellStyle="Milliers"/>
    <tableColumn id="3" xr3:uid="{51BCBC61-94AC-4BB2-8DDC-E4A55038A9A4}" name="2023" dataDxfId="4552"/>
    <tableColumn id="4" xr3:uid="{9092B14E-19F8-457F-A1AE-E5EC1DC9EEAD}" name="2022" dataDxfId="4551"/>
    <tableColumn id="5" xr3:uid="{BCDEBDB2-2CC6-4167-B049-EF55B1EF82BD}" name="2021" dataDxfId="4550"/>
    <tableColumn id="6" xr3:uid="{95C218D9-8281-4516-A9A7-43312A0048D6}" name="2020" dataDxfId="4549"/>
  </tableColumns>
  <tableStyleInfo name="TableStyleMedium10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CC4635D-DF59-48D3-B217-539D648CBB29}" name="TRANSTH4K" displayName="TRANSTH4K" ref="BN91:BT103" totalsRowShown="0" headerRowDxfId="4548" dataDxfId="4547">
  <tableColumns count="7">
    <tableColumn id="1" xr3:uid="{FB894EB8-D122-4EA1-A3AA-4D2052FCF311}" name="MOIS" dataDxfId="4546"/>
    <tableColumn id="7" xr3:uid="{2E6580E6-D467-4162-BA9D-0DB6FE9C3E79}" name="2025" dataDxfId="4545"/>
    <tableColumn id="2" xr3:uid="{5B904D4E-9A7E-442B-92B7-48EAFD13A45B}" name="2024" dataDxfId="4544" dataCellStyle="Milliers"/>
    <tableColumn id="3" xr3:uid="{424EAA1A-D141-4C31-BE74-270E604678D5}" name="2023" dataDxfId="4543"/>
    <tableColumn id="4" xr3:uid="{FACD75A9-A717-427A-ACFA-1FDF66DF9813}" name="2022" dataDxfId="4542"/>
    <tableColumn id="5" xr3:uid="{2A184E27-D501-4CB7-887F-CD5DBDF6EE56}" name="2021" dataDxfId="4541"/>
    <tableColumn id="6" xr3:uid="{141E93AF-BDEB-4B62-BDE9-B504AA5E113B}" name="2020" dataDxfId="4540"/>
  </tableColumns>
  <tableStyleInfo name="TableStyleMedium1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77171CF-F40A-487D-A5A0-555DADD6B212}" name="TRANSGLOBALMC" displayName="TRANSGLOBALMC" ref="B75:H87" totalsRowShown="0" headerRowDxfId="4539" dataDxfId="4538">
  <tableColumns count="7">
    <tableColumn id="1" xr3:uid="{517AA196-BA77-4A96-892C-FFE33C3DEE35}" name="MOIS" dataDxfId="4537"/>
    <tableColumn id="7" xr3:uid="{786196F7-AF90-4275-AB5C-77ACEFF3E5C5}" name="2024" dataDxfId="4536">
      <calculatedColumnFormula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calculatedColumnFormula>
    </tableColumn>
    <tableColumn id="2" xr3:uid="{B0249706-9201-45FE-9131-F954EA2C21ED}" name="2023" dataDxfId="4535">
      <calculatedColumnFormula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calculatedColumnFormula>
    </tableColumn>
    <tableColumn id="3" xr3:uid="{47B34075-6FE8-4BF6-8148-6D9EF6E67470}" name="2022" dataDxfId="4534">
      <calculatedColumnFormula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calculatedColumnFormula>
    </tableColumn>
    <tableColumn id="4" xr3:uid="{8892F089-6BD8-4326-B7EA-875BB71691AE}" name="2021" dataDxfId="4533">
      <calculatedColumnFormula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calculatedColumnFormula>
    </tableColumn>
    <tableColumn id="5" xr3:uid="{EE69E8AA-67A6-4101-BE44-2F20C468F218}" name="2020" dataDxfId="4532">
      <calculatedColumnFormula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calculatedColumnFormula>
    </tableColumn>
    <tableColumn id="6" xr3:uid="{6CB353A5-9057-4DFF-81EB-8248D6DA3B03}" name="2019" dataDxfId="4531">
      <calculatedColumnFormula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calculatedColumnFormula>
    </tableColumn>
  </tableColumns>
  <tableStyleInfo name="TableStyleMedium1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A697FCC4-3C88-482A-AD3A-5DC6D2DE5792}" name="TRANSR314MC" displayName="TRANSR314MC" ref="CD75:CJ87" totalsRowShown="0" headerRowDxfId="4530" dataDxfId="4529">
  <tableColumns count="7">
    <tableColumn id="1" xr3:uid="{3D4136AC-2873-4626-907B-F068381D80C2}" name="MOIS" dataDxfId="4528"/>
    <tableColumn id="7" xr3:uid="{9BD517D3-0A88-4989-B49C-50B9FC493479}" name="2025" dataDxfId="4527"/>
    <tableColumn id="2" xr3:uid="{CD65308B-CC5F-4883-AF10-C6B9730E1A6A}" name="2024" dataDxfId="4526" dataCellStyle="Milliers"/>
    <tableColumn id="3" xr3:uid="{93254534-2235-4922-A29F-52355B527B54}" name="2023" dataDxfId="4525"/>
    <tableColumn id="4" xr3:uid="{73453F79-262C-4163-8D3E-20EEA19FC4C6}" name="2022" dataDxfId="4524"/>
    <tableColumn id="5" xr3:uid="{3CE25C35-1028-4246-9137-8718597E048E}" name="2021" dataDxfId="4523"/>
    <tableColumn id="6" xr3:uid="{3A518BD0-2C9C-4FC4-AC69-EEC5B0C0295B}" name="2020" dataDxfId="4522"/>
  </tableColumns>
  <tableStyleInfo name="TableStyleMedium14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C331CAC4-613E-4CBD-8651-35072D0F5AFC}" name="TRANSLYSEMC" displayName="TRANSLYSEMC" ref="CL75:CR87" totalsRowShown="0" headerRowDxfId="4521" dataDxfId="4520">
  <tableColumns count="7">
    <tableColumn id="1" xr3:uid="{16D2EF2E-4BC2-49A6-8B3C-B40E59B80BB7}" name="MOIS" dataDxfId="4519"/>
    <tableColumn id="7" xr3:uid="{8277EC2F-B400-4A73-B2FA-3B0E71D5B2CD}" name="2025" dataDxfId="4518"/>
    <tableColumn id="2" xr3:uid="{DD21D2F2-7E1C-42B8-A8D0-C54725754804}" name="2024" dataDxfId="4517" dataCellStyle="Milliers"/>
    <tableColumn id="3" xr3:uid="{FBF0AA62-FF19-46F8-A07C-C4E0EA899D57}" name="2023" dataDxfId="4516"/>
    <tableColumn id="4" xr3:uid="{72566651-B274-4F5B-9A67-4BCB9F67EC17}" name="2022" dataDxfId="4515"/>
    <tableColumn id="5" xr3:uid="{9D7AB7FB-A0E4-4C56-9DDF-AECAF44DDF22}" name="2021" dataDxfId="4514"/>
    <tableColumn id="6" xr3:uid="{0A45FA3E-3AB3-4AF4-8A3E-1C7062253502}" name="2020" dataDxfId="4513"/>
  </tableColumns>
  <tableStyleInfo name="TableStyleMedium8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61202540-7A91-431F-A9A7-B2AD00DF0350}" name="TRANSDIVESMC" displayName="TRANSDIVESMC" ref="BV75:CB87" totalsRowShown="0" headerRowDxfId="4512" dataDxfId="4511">
  <tableColumns count="7">
    <tableColumn id="1" xr3:uid="{94FD0F1B-9C59-4AA5-BEF6-7DB19610891E}" name="MOIS" dataDxfId="4510"/>
    <tableColumn id="7" xr3:uid="{93EC1C61-C42E-4E6E-905E-BB7E6B657620}" name="2025" dataDxfId="4509"/>
    <tableColumn id="2" xr3:uid="{79C46D38-13B9-4E12-A87C-5F95461902A8}" name="2024" dataDxfId="4508" dataCellStyle="Milliers"/>
    <tableColumn id="3" xr3:uid="{FC904900-91E9-4592-8BF9-2599B06030E0}" name="2023" dataDxfId="4507"/>
    <tableColumn id="4" xr3:uid="{C863109A-3D76-4997-8EF2-AE6CFF0935FB}" name="2022" dataDxfId="4506"/>
    <tableColumn id="5" xr3:uid="{7D273C67-49CA-4CE5-8EC3-E03A246B88E1}" name="2021" dataDxfId="4505"/>
    <tableColumn id="6" xr3:uid="{94FA7E72-8430-49EC-B9E1-33888F2E3C17}" name="2020" dataDxfId="4504"/>
  </tableColumns>
  <tableStyleInfo name="TableStyleMedium10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38B41D3D-17A7-4146-94B6-049537D56001}" name="TRANSTH4MC" displayName="TRANSTH4MC" ref="BN75:BT87" totalsRowShown="0" headerRowDxfId="4503" dataDxfId="4502">
  <tableColumns count="7">
    <tableColumn id="1" xr3:uid="{CD81ED48-434E-44BA-AF83-7B58327632FE}" name="MOIS" dataDxfId="4501"/>
    <tableColumn id="7" xr3:uid="{E7E8510A-92D3-4A4B-BF0E-BBC5D258F031}" name="2025" dataDxfId="4500"/>
    <tableColumn id="2" xr3:uid="{626F516B-28D5-4F43-9532-3468327E8DAA}" name="2024" dataDxfId="4499" dataCellStyle="Milliers"/>
    <tableColumn id="3" xr3:uid="{4C9FD5EF-B94A-4A74-8C1C-5E88F87DB371}" name="2023" dataDxfId="4498"/>
    <tableColumn id="4" xr3:uid="{E95FB3A3-7841-4A2A-9E9F-756CB27C72ED}" name="2022" dataDxfId="4497"/>
    <tableColumn id="5" xr3:uid="{BC3F823D-3B91-486B-B228-C06E6F160CF6}" name="2021" dataDxfId="4496"/>
    <tableColumn id="6" xr3:uid="{36D844D4-554F-4890-9703-E05B93BA3BF9}" name="2020" dataDxfId="4495"/>
  </tableColumns>
  <tableStyleInfo name="TableStyleMedium1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EC081498-312C-433C-832A-7736A3F775EF}" name="TRANSGLOBALAE" displayName="TRANSGLOBALAE" ref="B59:H71" totalsRowShown="0" headerRowDxfId="4494" dataDxfId="4493">
  <tableColumns count="7">
    <tableColumn id="1" xr3:uid="{9DC6A1D5-86D4-43A0-B455-197BC470A235}" name="MOIS" dataDxfId="4492"/>
    <tableColumn id="7" xr3:uid="{5B455E2F-C2FE-40A0-94F4-56F98CB1B360}" name="2024" dataDxfId="4491">
      <calculatedColumnFormula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calculatedColumnFormula>
    </tableColumn>
    <tableColumn id="2" xr3:uid="{B6A51DB3-CD07-4932-B96B-5D0E508D75D5}" name="2023" dataDxfId="4490">
      <calculatedColumnFormula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calculatedColumnFormula>
    </tableColumn>
    <tableColumn id="3" xr3:uid="{0204E69B-1E41-48B8-B237-1397F69176B3}" name="2022" dataDxfId="4489">
      <calculatedColumnFormula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calculatedColumnFormula>
    </tableColumn>
    <tableColumn id="4" xr3:uid="{58AA0CFA-3609-411A-A7E0-C49A99064F69}" name="2021" dataDxfId="4488">
      <calculatedColumnFormula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calculatedColumnFormula>
    </tableColumn>
    <tableColumn id="5" xr3:uid="{0F89EBC5-2050-4166-AABF-8220391DC555}" name="2020" dataDxfId="4487">
      <calculatedColumnFormula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calculatedColumnFormula>
    </tableColumn>
    <tableColumn id="6" xr3:uid="{787C53C9-A84D-4355-A67D-D653856FFD49}" name="2019" dataDxfId="4486">
      <calculatedColumnFormula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calculatedColumnFormula>
    </tableColumn>
  </tableColumns>
  <tableStyleInfo name="TableStyleMedium1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91788A7F-D144-4641-9422-098250622D8C}" name="TRANSR314AE" displayName="TRANSR314AE" ref="CD59:CJ71" totalsRowShown="0" headerRowDxfId="4485" dataDxfId="4484">
  <tableColumns count="7">
    <tableColumn id="1" xr3:uid="{54AF7208-2021-4954-8FE9-2C6D1D1B70B8}" name="MOIS" dataDxfId="4483"/>
    <tableColumn id="7" xr3:uid="{D80A7D39-51C5-462B-B511-451B6D357B50}" name="2025" dataDxfId="4482"/>
    <tableColumn id="2" xr3:uid="{6AC96984-D2C4-45A1-9D9E-7B48D00CFF1D}" name="2024" dataDxfId="4481" dataCellStyle="Milliers"/>
    <tableColumn id="3" xr3:uid="{924629FC-1924-4E22-9479-C9BD02E78285}" name="2023" dataDxfId="4480"/>
    <tableColumn id="4" xr3:uid="{52784E9B-A464-41DE-B30D-BAA5CCABF464}" name="2022" dataDxfId="4479"/>
    <tableColumn id="5" xr3:uid="{39FD61C5-1CF5-4DFC-97C0-2FBE4D82DE20}" name="2021" dataDxfId="4478"/>
    <tableColumn id="6" xr3:uid="{3626E4BF-E5E2-474E-9D21-7D8D9F4230C0}" name="2020" dataDxfId="4477"/>
  </tableColumns>
  <tableStyleInfo name="TableStyleMedium14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BC76CA1E-1729-4719-9658-8D5BED6738DD}" name="TRANSLYSEAE" displayName="TRANSLYSEAE" ref="CL59:CR71" totalsRowShown="0" headerRowDxfId="4476" dataDxfId="4475">
  <tableColumns count="7">
    <tableColumn id="1" xr3:uid="{F300B269-C24F-4217-B260-73C701D64D66}" name="MOIS" dataDxfId="4474"/>
    <tableColumn id="7" xr3:uid="{D11F399D-73BA-4E37-B0B5-DA8F242D27D0}" name="2025" dataDxfId="4473"/>
    <tableColumn id="2" xr3:uid="{117C5B14-6CFB-4715-8DA4-2DA02538AB2C}" name="2024" dataDxfId="4472" dataCellStyle="Milliers"/>
    <tableColumn id="3" xr3:uid="{D0F6CCA1-B309-4BAF-A613-529999AD009E}" name="2023" dataDxfId="4471"/>
    <tableColumn id="4" xr3:uid="{2819A18C-55BD-45FC-819A-F491064D8A7D}" name="2022" dataDxfId="4470"/>
    <tableColumn id="5" xr3:uid="{E1861811-0333-43D8-B9B2-709F7B23502C}" name="2021" dataDxfId="4469"/>
    <tableColumn id="6" xr3:uid="{06A306B0-E84D-4BC6-BF69-A0F85F85FC39}" name="2020" dataDxfId="4468"/>
  </tableColumns>
  <tableStyleInfo name="TableStyleMedium8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AD22BB37-69B6-45E8-B8E3-A83F742B4C06}" name="TRANSDIVESAE" displayName="TRANSDIVESAE" ref="BV59:CB71" totalsRowShown="0" headerRowDxfId="4467" dataDxfId="4466">
  <tableColumns count="7">
    <tableColumn id="1" xr3:uid="{B9CA3972-5EE4-4325-B630-4F77026003D8}" name="MOIS" dataDxfId="4465"/>
    <tableColumn id="7" xr3:uid="{010746F2-5E9F-430A-AFDC-390D1E67B858}" name="2025" dataDxfId="4464"/>
    <tableColumn id="2" xr3:uid="{275B73E1-DC49-4760-9A2C-5D8E65AA402A}" name="2024" dataDxfId="4463" dataCellStyle="Milliers"/>
    <tableColumn id="3" xr3:uid="{3F361332-7048-4538-AD54-6CCA037477DA}" name="2023" dataDxfId="4462"/>
    <tableColumn id="4" xr3:uid="{554EC348-8FDF-4A24-ABD8-0717CAA4FD50}" name="2022" dataDxfId="4461"/>
    <tableColumn id="5" xr3:uid="{B8892C9D-FAB3-43A8-BF59-722749D4B4B5}" name="2021" dataDxfId="4460"/>
    <tableColumn id="6" xr3:uid="{DB8AA776-54C2-4382-ACB5-93538CF42A8C}" name="2020" dataDxfId="4459"/>
  </tableColumns>
  <tableStyleInfo name="TableStyleMedium10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79742EE-16AE-4CCA-841B-D3CBC09E7DD9}" name="TRANSTH4AE" displayName="TRANSTH4AE" ref="BN59:BT71" totalsRowShown="0" headerRowDxfId="4458" dataDxfId="4457">
  <tableColumns count="7">
    <tableColumn id="1" xr3:uid="{39134B70-D4EF-4CA2-A33F-CCEA73F806E4}" name="MOIS" dataDxfId="4456"/>
    <tableColumn id="7" xr3:uid="{D2803DCF-330D-4F85-854D-BC63D473983D}" name="2025" dataDxfId="4455"/>
    <tableColumn id="2" xr3:uid="{27AC1549-7CEE-4DF4-BE1F-ED96F2E5018D}" name="2024" dataDxfId="4454" dataCellStyle="Milliers"/>
    <tableColumn id="3" xr3:uid="{972326F6-F8D1-4664-87D9-19BB3363B426}" name="2023" dataDxfId="4453"/>
    <tableColumn id="4" xr3:uid="{4774FAEA-15AD-45D1-84EC-E72313F4CE34}" name="2022" dataDxfId="4452"/>
    <tableColumn id="5" xr3:uid="{0D2B5C2B-3447-4305-99CC-E8E08CD86FCD}" name="2021" dataDxfId="4451"/>
    <tableColumn id="6" xr3:uid="{95F8B349-40C5-42B8-9ABA-21E6F9C6EBA7}" name="2020" dataDxfId="4450"/>
  </tableColumns>
  <tableStyleInfo name="TableStyleMedium1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C7B15E14-97DA-465A-8880-CD93396A2CC4}" name="TRANSGLOBALSP" displayName="TRANSGLOBALSP" ref="B43:H55" totalsRowShown="0" headerRowDxfId="4449" dataDxfId="4448">
  <tableColumns count="7">
    <tableColumn id="1" xr3:uid="{31F1A955-939A-44D8-962F-FC7AAADFC038}" name="MOIS" dataDxfId="4447"/>
    <tableColumn id="7" xr3:uid="{84F624C2-BDB0-4DBB-A95E-8B72976F4E9F}" name="2024" dataDxfId="4446">
      <calculatedColumnFormula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calculatedColumnFormula>
    </tableColumn>
    <tableColumn id="2" xr3:uid="{F0FB5F36-FA3D-407B-9733-B2D857F765AC}" name="2023" dataDxfId="4445">
      <calculatedColumnFormula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calculatedColumnFormula>
    </tableColumn>
    <tableColumn id="3" xr3:uid="{FCC659AD-A7BB-4A5A-AD30-D80435C3666D}" name="2022" dataDxfId="4444">
      <calculatedColumnFormula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calculatedColumnFormula>
    </tableColumn>
    <tableColumn id="4" xr3:uid="{91E6C0E9-D173-44C8-987F-8C2633F3B98A}" name="2021" dataDxfId="4443">
      <calculatedColumnFormula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calculatedColumnFormula>
    </tableColumn>
    <tableColumn id="5" xr3:uid="{33DB7983-367A-4750-ACEA-DF9EF6E8FAE5}" name="2020" dataDxfId="4442">
      <calculatedColumnFormula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calculatedColumnFormula>
    </tableColumn>
    <tableColumn id="6" xr3:uid="{225656C4-A939-465B-B83B-B5F2B7A0AB18}" name="2019" dataDxfId="4441">
      <calculatedColumnFormula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calculatedColumnFormula>
    </tableColumn>
  </tableColumns>
  <tableStyleInfo name="TableStyleMedium1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EC700A01-FADB-42DA-BF51-521AD15DCF53}" name="TRANSR314SP" displayName="TRANSR314SP" ref="CD43:CJ55" totalsRowShown="0" headerRowDxfId="4440" dataDxfId="4439">
  <tableColumns count="7">
    <tableColumn id="1" xr3:uid="{9A0A4A48-E238-43DE-A0D3-E21C53D28B5A}" name="MOIS" dataDxfId="4438"/>
    <tableColumn id="7" xr3:uid="{C73C5188-70AC-4055-97A2-B706CCC52DC6}" name="2025" dataDxfId="4437"/>
    <tableColumn id="2" xr3:uid="{7749A22F-7DA4-498A-8635-A6A0F471BF10}" name="2024" dataDxfId="4436" dataCellStyle="Milliers"/>
    <tableColumn id="3" xr3:uid="{07DCB8F0-4497-4897-9236-0DE16F7CF695}" name="2023" dataDxfId="4435"/>
    <tableColumn id="4" xr3:uid="{41ECFF59-E3E6-4F5C-9907-7F4FF50EE1BD}" name="2022" dataDxfId="4434"/>
    <tableColumn id="5" xr3:uid="{2049FE68-D5F4-4F6F-BB5D-C60CB385C131}" name="2021" dataDxfId="4433"/>
    <tableColumn id="6" xr3:uid="{09920B17-733A-4BB2-A9CD-0AFA219D8FC6}" name="2020" dataDxfId="4432"/>
  </tableColumns>
  <tableStyleInfo name="TableStyleMedium14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2E5736F-DBC0-48D0-81DF-48D70E446D29}" name="TRANSLYSESP" displayName="TRANSLYSESP" ref="CL43:CR55" totalsRowShown="0" headerRowDxfId="4431" dataDxfId="4430">
  <tableColumns count="7">
    <tableColumn id="1" xr3:uid="{E5A37EBC-735C-4477-8895-9F247370040A}" name="MOIS" dataDxfId="4429"/>
    <tableColumn id="7" xr3:uid="{6FDB17EA-9EC0-4090-B7A4-FCECD99DA267}" name="2025" dataDxfId="4428"/>
    <tableColumn id="2" xr3:uid="{C4547C83-2321-44E4-A2AC-AEDE44358DDC}" name="2024" dataDxfId="4427" dataCellStyle="Milliers"/>
    <tableColumn id="3" xr3:uid="{303B4B22-C677-4161-876F-300B82A83114}" name="2023" dataDxfId="4426"/>
    <tableColumn id="4" xr3:uid="{A46A9E20-3C0C-4927-A5FC-6FB94E6B5546}" name="2022" dataDxfId="4425"/>
    <tableColumn id="5" xr3:uid="{6E244D84-D766-4B5F-BB43-A69F4A6A65F2}" name="2021" dataDxfId="4424"/>
    <tableColumn id="6" xr3:uid="{FE558B3B-D7F9-4A42-9344-66D3FEB181BA}" name="2020" dataDxfId="4423"/>
  </tableColumns>
  <tableStyleInfo name="TableStyleMedium8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69B9C1B2-CE3E-435F-9528-CFF5E613F8F3}" name="TRANSDIVESSP" displayName="TRANSDIVESSP" ref="BV43:CB55" totalsRowShown="0" headerRowDxfId="4422" dataDxfId="4421">
  <tableColumns count="7">
    <tableColumn id="1" xr3:uid="{CEFC35F5-B5B6-4881-8C6A-C39F5C664455}" name="MOIS" dataDxfId="4420"/>
    <tableColumn id="7" xr3:uid="{AC400370-372D-4CBC-8A15-5F44C170CC23}" name="2025" dataDxfId="4419"/>
    <tableColumn id="2" xr3:uid="{81991A30-FE6B-4D7A-B527-9C55EEDFADED}" name="2024" dataDxfId="4418" dataCellStyle="Milliers"/>
    <tableColumn id="3" xr3:uid="{01DB1D3D-4B8E-4F40-8F52-F64B3F79A4DD}" name="2023" dataDxfId="4417"/>
    <tableColumn id="4" xr3:uid="{52816B5D-51B9-4744-8251-85C3BFEC89D5}" name="2022" dataDxfId="4416"/>
    <tableColumn id="5" xr3:uid="{F062B013-97F8-43C3-9BCE-93411FCA5E7B}" name="2021" dataDxfId="4415"/>
    <tableColumn id="6" xr3:uid="{A2637C63-1C2A-48D2-AEE6-B902B14C513A}" name="2020" dataDxfId="4414"/>
  </tableColumns>
  <tableStyleInfo name="TableStyleMedium10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C2CBAA26-786C-48E0-B1D1-46E522866B89}" name="TRANSTH4SP" displayName="TRANSTH4SP" ref="BN43:BT55" totalsRowShown="0" headerRowDxfId="4413" dataDxfId="4412">
  <tableColumns count="7">
    <tableColumn id="1" xr3:uid="{22ACBC17-F105-40DB-8A3D-FE1CF3A17290}" name="MOIS" dataDxfId="4411"/>
    <tableColumn id="7" xr3:uid="{56CD1DF3-B885-470C-BC65-AAFFA459BC94}" name="2025" dataDxfId="4410"/>
    <tableColumn id="2" xr3:uid="{2552CE18-6B03-4717-AD5E-DFA5D412C3E1}" name="2024" dataDxfId="4409" dataCellStyle="Milliers"/>
    <tableColumn id="3" xr3:uid="{6A00EBD1-6BA4-4640-B20E-0A94394BDA95}" name="2023" dataDxfId="4408"/>
    <tableColumn id="4" xr3:uid="{00B7F870-196C-435C-9483-C8B96FA5A59B}" name="2022" dataDxfId="4407"/>
    <tableColumn id="5" xr3:uid="{9ECDB4EF-EF0F-4847-A273-1280918E69DF}" name="2021" dataDxfId="4406"/>
    <tableColumn id="6" xr3:uid="{AEAFACA1-80ED-49C0-B3D5-44381EF938AF}" name="2020" dataDxfId="4405"/>
  </tableColumns>
  <tableStyleInfo name="TableStyleMedium11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166D1A67-A4DA-4B6F-AAF7-0FF93FD806D9}" name="TRANSCGLOBAL105" displayName="TRANSCGLOBAL105" ref="B171:H183" totalsRowShown="0" headerRowDxfId="4404" dataDxfId="4403">
  <tableColumns count="7">
    <tableColumn id="1" xr3:uid="{5A517970-7F77-43FB-A6D4-773673510B42}" name="MOIS" dataDxfId="4402"/>
    <tableColumn id="7" xr3:uid="{CB302F32-28AE-4EA7-A3AC-43AC22E30645}" name="2024" dataDxfId="4401">
      <calculatedColumnFormula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calculatedColumnFormula>
    </tableColumn>
    <tableColumn id="2" xr3:uid="{5982B94D-FB40-44DA-A51A-5D59B0963EC0}" name="2023" dataDxfId="4400">
      <calculatedColumnFormula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calculatedColumnFormula>
    </tableColumn>
    <tableColumn id="3" xr3:uid="{6D47348A-C227-4383-905B-7690AD0A496C}" name="2022" dataDxfId="4399">
      <calculatedColumnFormula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calculatedColumnFormula>
    </tableColumn>
    <tableColumn id="4" xr3:uid="{27ACC158-807B-4956-A5D3-EE8EF0943426}" name="2021" dataDxfId="4398">
      <calculatedColumnFormula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calculatedColumnFormula>
    </tableColumn>
    <tableColumn id="5" xr3:uid="{6FC8A3FD-2D20-463F-B3C2-8B45D884C6A0}" name="2020" dataDxfId="4397">
      <calculatedColumnFormula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calculatedColumnFormula>
    </tableColumn>
    <tableColumn id="6" xr3:uid="{1F30AAD6-DE85-4FEF-B28B-831BEA102C52}" name="2019" dataDxfId="4396">
      <calculatedColumnFormula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calculatedColumnFormula>
    </tableColumn>
  </tableColumns>
  <tableStyleInfo name="TableStyleMedium1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197CFE6-D155-4CD7-9855-05149A18368F}" name="TRANSCR314K" displayName="TRANSCR314K" ref="CD171:CJ183" totalsRowShown="0" headerRowDxfId="4395" dataDxfId="4394">
  <tableColumns count="7">
    <tableColumn id="1" xr3:uid="{FFA824F9-CEAD-414E-BD78-F9265300E3A4}" name="MOIS" dataDxfId="4393"/>
    <tableColumn id="7" xr3:uid="{893C4071-7F70-4A43-A82A-EBD96F74A8EA}" name="2025" dataDxfId="4392"/>
    <tableColumn id="2" xr3:uid="{D10C2D85-E96A-4202-9291-E1EA96BDA284}" name="2024" dataDxfId="4391" dataCellStyle="Milliers"/>
    <tableColumn id="3" xr3:uid="{B72B7756-F923-49B9-9AB8-3CE5E5134656}" name="2023" dataDxfId="4390"/>
    <tableColumn id="4" xr3:uid="{21F42C59-2F67-4985-A973-42D2CDA23CF4}" name="2022" dataDxfId="4389"/>
    <tableColumn id="5" xr3:uid="{696D6365-8CF8-4A15-94A7-6DA74694330F}" name="2021" dataDxfId="4388"/>
    <tableColumn id="6" xr3:uid="{2DF0CBCC-879D-41D5-8808-0B438B1631CE}" name="2020" dataDxfId="4387"/>
  </tableColumns>
  <tableStyleInfo name="TableStyleMedium14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B7F8B879-6092-45F0-938B-6B3FB4B88AFF}" name="TRANSCLYSEK" displayName="TRANSCLYSEK" ref="CL171:CR183" totalsRowShown="0" headerRowDxfId="4386" dataDxfId="4385">
  <tableColumns count="7">
    <tableColumn id="1" xr3:uid="{DDB5A811-7899-4EA1-86B6-9F52A3CC44D3}" name="MOIS" dataDxfId="4384"/>
    <tableColumn id="7" xr3:uid="{5F80722E-DD23-48ED-893D-264A88B358AE}" name="2025" dataDxfId="4383"/>
    <tableColumn id="2" xr3:uid="{FDD57ED0-F458-4242-AA4B-E0CB94ACCCD1}" name="2024" dataDxfId="4382" dataCellStyle="Milliers"/>
    <tableColumn id="3" xr3:uid="{047720DD-C482-49BF-BA7D-E67328A457C5}" name="2023" dataDxfId="4381"/>
    <tableColumn id="4" xr3:uid="{68723A93-CF4B-4826-8B6F-CB0E63C9D5C0}" name="2022" dataDxfId="4380"/>
    <tableColumn id="5" xr3:uid="{5DE5FB10-F177-478A-9D98-49B4A8EE7651}" name="2021" dataDxfId="4379"/>
    <tableColumn id="6" xr3:uid="{B75F733B-95A8-408E-81B8-8411A962079A}" name="2020" dataDxfId="4378"/>
  </tableColumns>
  <tableStyleInfo name="TableStyleMedium8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1C4273DE-7306-4A24-9D04-BDDA1EC306CF}" name="TRANSCDIVESK" displayName="TRANSCDIVESK" ref="BV171:CB183" totalsRowShown="0" headerRowDxfId="4377" dataDxfId="4376">
  <tableColumns count="7">
    <tableColumn id="1" xr3:uid="{0E639058-15DC-4AC1-A827-3884B6B8F7BA}" name="MOIS" dataDxfId="4375"/>
    <tableColumn id="7" xr3:uid="{FD9993F7-DF64-4BA6-9BBB-2E444AEA30FA}" name="2025" dataDxfId="4374"/>
    <tableColumn id="2" xr3:uid="{AB85D0A7-D9E6-442B-B2BA-0B5A040925FA}" name="2024" dataDxfId="4373" dataCellStyle="Milliers"/>
    <tableColumn id="3" xr3:uid="{BEF415A3-DE89-4554-AB2A-D0988255B798}" name="2023" dataDxfId="4372"/>
    <tableColumn id="4" xr3:uid="{577434A0-2CC9-46F1-A671-55804DAC649F}" name="2022" dataDxfId="4371"/>
    <tableColumn id="5" xr3:uid="{7BB87856-CD5D-4FEB-9D85-7010565F538E}" name="2021" dataDxfId="4370"/>
    <tableColumn id="6" xr3:uid="{8B0BD582-F28C-481E-9063-BF9E2D52F044}" name="2020" dataDxfId="4369"/>
  </tableColumns>
  <tableStyleInfo name="TableStyleMedium10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4BA413F4-AD95-4208-8814-21A55E8DA1B8}" name="TRANSCTH4K" displayName="TRANSCTH4K" ref="BN171:BT183" totalsRowShown="0" headerRowDxfId="4368" dataDxfId="4367">
  <tableColumns count="7">
    <tableColumn id="1" xr3:uid="{54387B5A-44A5-4305-BD8F-BDEB6A6802BB}" name="MOIS" dataDxfId="4366"/>
    <tableColumn id="7" xr3:uid="{8DB0664E-E4D3-40CD-B50C-4F64F0DA074A}" name="2025" dataDxfId="4365"/>
    <tableColumn id="2" xr3:uid="{97219962-496E-4E25-BCFE-0175F455C542}" name="2024" dataDxfId="4364" dataCellStyle="Milliers"/>
    <tableColumn id="3" xr3:uid="{829B8019-10CE-4964-99B1-CAF7F648F6D6}" name="2023" dataDxfId="4363"/>
    <tableColumn id="4" xr3:uid="{0A903A9F-3A4A-4DF3-B075-A74A156A24D8}" name="2022" dataDxfId="4362"/>
    <tableColumn id="5" xr3:uid="{8510CF18-CC0B-4DFE-812B-CAE9E5D0F255}" name="2021" dataDxfId="4361"/>
    <tableColumn id="6" xr3:uid="{87F54E9A-9954-461A-B428-CBDD1238A3F0}" name="2020" dataDxfId="4360"/>
  </tableColumns>
  <tableStyleInfo name="TableStyleMedium11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0A0A9DD9-5898-41CD-93E0-2274A306B50D}" name="TRANSCGLOBAL105112" displayName="TRANSCGLOBAL105112" ref="B155:H167" totalsRowShown="0" headerRowDxfId="4359" dataDxfId="4358">
  <tableColumns count="7">
    <tableColumn id="1" xr3:uid="{319DAE12-F280-44A1-935A-02478F34B12C}" name="MOIS" dataDxfId="4357"/>
    <tableColumn id="7" xr3:uid="{43ECC7C4-7130-4190-BE1E-3EAE92B5C349}" name="2024" dataDxfId="4356">
      <calculatedColumnFormula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calculatedColumnFormula>
    </tableColumn>
    <tableColumn id="2" xr3:uid="{0F65B238-4690-4C0D-AB8E-012408785EF6}" name="2023" dataDxfId="4355">
      <calculatedColumnFormula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calculatedColumnFormula>
    </tableColumn>
    <tableColumn id="3" xr3:uid="{1671407D-42CA-417D-94F2-9249D63EC9C9}" name="2022" dataDxfId="4354">
      <calculatedColumnFormula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calculatedColumnFormula>
    </tableColumn>
    <tableColumn id="4" xr3:uid="{AFE12823-4917-4829-9975-F31B29AE1D8F}" name="2021" dataDxfId="4353">
      <calculatedColumnFormula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calculatedColumnFormula>
    </tableColumn>
    <tableColumn id="5" xr3:uid="{289E9695-A662-44FD-A6C9-DC9965B07EFF}" name="2020" dataDxfId="4352">
      <calculatedColumnFormula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calculatedColumnFormula>
    </tableColumn>
    <tableColumn id="6" xr3:uid="{E563E1BC-8820-442C-910C-043BBDC9D5E6}" name="2019" dataDxfId="4351">
      <calculatedColumnFormula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calculatedColumnFormula>
    </tableColumn>
  </tableColumns>
  <tableStyleInfo name="TableStyleMedium1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03B235E8-6633-4F8E-869E-38AE84BF196A}" name="TRANSCR314MC" displayName="TRANSCR314MC" ref="CD155:CJ167" totalsRowShown="0" headerRowDxfId="4350" dataDxfId="4349">
  <tableColumns count="7">
    <tableColumn id="1" xr3:uid="{6867CC67-0F88-4FD0-9582-8F28FA896C91}" name="MOIS" dataDxfId="4348"/>
    <tableColumn id="7" xr3:uid="{9E783E84-8C35-43BB-A528-905A52C0F650}" name="2025" dataDxfId="4347"/>
    <tableColumn id="2" xr3:uid="{2EE6CDF4-9AF7-42FC-834A-A7DAE88F6848}" name="2024" dataDxfId="4346" dataCellStyle="Milliers"/>
    <tableColumn id="3" xr3:uid="{5D45330E-63CD-4AB9-AE88-717356CFC1FB}" name="2023" dataDxfId="4345"/>
    <tableColumn id="4" xr3:uid="{C54037E0-4AE0-4CA1-99F4-EB6DE7C66F1F}" name="2022" dataDxfId="4344"/>
    <tableColumn id="5" xr3:uid="{3859ECB7-B913-44F5-9A6E-6E45EF438FB4}" name="2021" dataDxfId="4343"/>
    <tableColumn id="6" xr3:uid="{D6F03DF3-71E8-4C10-8402-D69CD9ED2AFC}" name="2020" dataDxfId="4342"/>
  </tableColumns>
  <tableStyleInfo name="TableStyleMedium14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A216BCE6-6D39-40CC-B622-DCF9DF27E67B}" name="TRANSCLYSEMC" displayName="TRANSCLYSEMC" ref="CL155:CR167" totalsRowShown="0" headerRowDxfId="4341" dataDxfId="4340">
  <tableColumns count="7">
    <tableColumn id="1" xr3:uid="{52E51B39-C363-4539-9E0E-558D68A7DC28}" name="MOIS" dataDxfId="4339"/>
    <tableColumn id="7" xr3:uid="{5EDD9917-259A-47DA-8499-24A8214306C2}" name="2025" dataDxfId="4338"/>
    <tableColumn id="2" xr3:uid="{38815CA3-2D15-4BB3-A0C9-2D5121F3AF4E}" name="2024" dataDxfId="4337" dataCellStyle="Milliers"/>
    <tableColumn id="3" xr3:uid="{3A1C63BF-EFB2-4818-9243-3E2768432521}" name="2023" dataDxfId="4336"/>
    <tableColumn id="4" xr3:uid="{8C8B5E2B-823C-4E6A-9DF3-0B1E849EE697}" name="2022" dataDxfId="4335"/>
    <tableColumn id="5" xr3:uid="{E074285B-872A-4088-97AD-88DFC1BA554B}" name="2021" dataDxfId="4334"/>
    <tableColumn id="6" xr3:uid="{1838FC02-3E0A-4F35-A54F-F6E5AF669620}" name="2020" dataDxfId="4333"/>
  </tableColumns>
  <tableStyleInfo name="TableStyleMedium8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BEE12090-5538-4E75-97CC-170F94AA1ABE}" name="TRANSCDIVESMC" displayName="TRANSCDIVESMC" ref="BV155:CB167" totalsRowShown="0" headerRowDxfId="4332" dataDxfId="4331">
  <tableColumns count="7">
    <tableColumn id="1" xr3:uid="{8B15B9FD-4DB4-4FB6-804B-A158224BD7B6}" name="MOIS" dataDxfId="4330"/>
    <tableColumn id="7" xr3:uid="{191D34CC-900D-4664-9D60-3A89782E957D}" name="2025" dataDxfId="4329"/>
    <tableColumn id="2" xr3:uid="{E7FA20B2-E43B-48CE-B018-6D9DBB79AA04}" name="2024" dataDxfId="4328" dataCellStyle="Milliers"/>
    <tableColumn id="3" xr3:uid="{066A7915-9D79-427B-9E3F-241D21B7959E}" name="2023" dataDxfId="4327"/>
    <tableColumn id="4" xr3:uid="{C25563DD-5A5E-4677-B49E-0015ECE2DEC1}" name="2022" dataDxfId="4326"/>
    <tableColumn id="5" xr3:uid="{693636C8-8F02-48F4-B161-7FFC3B2C7757}" name="2021" dataDxfId="4325"/>
    <tableColumn id="6" xr3:uid="{4048C757-AD9E-4E7E-BA99-9CE65FE35110}" name="2020" dataDxfId="4324"/>
  </tableColumns>
  <tableStyleInfo name="TableStyleMedium10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EDBFA53B-DD12-4E81-9541-A3C0B3108E9D}" name="TRANSCTH4MC" displayName="TRANSCTH4MC" ref="BN155:BT167" totalsRowShown="0" headerRowDxfId="4323" dataDxfId="4322">
  <tableColumns count="7">
    <tableColumn id="1" xr3:uid="{F2E6803B-035E-431D-B66E-FA6016C94F91}" name="MOIS" dataDxfId="4321"/>
    <tableColumn id="7" xr3:uid="{8073BE0E-4087-46E6-B26F-F821481B1767}" name="2025" dataDxfId="4320"/>
    <tableColumn id="2" xr3:uid="{74249443-C94C-4CF7-8CA9-D8957133A75C}" name="2024" dataDxfId="4319" dataCellStyle="Milliers"/>
    <tableColumn id="3" xr3:uid="{0FE3E47E-C3D8-4B34-ACB6-3C1BE50BB0CE}" name="2023" dataDxfId="4318"/>
    <tableColumn id="4" xr3:uid="{52EDD259-AF53-4213-AA8A-24F76FCA1BB7}" name="2022" dataDxfId="4317"/>
    <tableColumn id="5" xr3:uid="{5845C529-B217-4008-B948-D37C59A35F99}" name="2021" dataDxfId="4316"/>
    <tableColumn id="6" xr3:uid="{9AEDF3E4-1C27-4E81-B25D-6ACB5F304A63}" name="2020" dataDxfId="4315"/>
  </tableColumns>
  <tableStyleInfo name="TableStyleMedium11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E7268FBF-F22B-4ECA-8708-28ADAC4426DE}" name="TRANSCGLOBAL105112119" displayName="TRANSCGLOBAL105112119" ref="B139:H151" totalsRowShown="0" headerRowDxfId="4314" dataDxfId="4313">
  <tableColumns count="7">
    <tableColumn id="1" xr3:uid="{E253540D-BBD2-4A3C-8699-2B6CD78DB166}" name="MOIS" dataDxfId="4312"/>
    <tableColumn id="7" xr3:uid="{BD9DAFDF-CB12-4E03-930C-B0BB94CAAC06}" name="2024" dataDxfId="4311">
      <calculatedColumnFormula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calculatedColumnFormula>
    </tableColumn>
    <tableColumn id="2" xr3:uid="{B67832A1-1329-46DF-9DD9-BCDCB332B8C5}" name="2023" dataDxfId="4310">
      <calculatedColumnFormula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calculatedColumnFormula>
    </tableColumn>
    <tableColumn id="3" xr3:uid="{2F2EFAFF-E128-41F9-8FC5-2AD215783693}" name="2022" dataDxfId="4309">
      <calculatedColumnFormula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calculatedColumnFormula>
    </tableColumn>
    <tableColumn id="4" xr3:uid="{41CAC4E6-25C7-445A-AE74-D4BDA1C545E6}" name="2021" dataDxfId="4308">
      <calculatedColumnFormula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calculatedColumnFormula>
    </tableColumn>
    <tableColumn id="5" xr3:uid="{6AD27EE0-83B1-4F0F-920A-FC87CF64C400}" name="2020" dataDxfId="4307">
      <calculatedColumnFormula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calculatedColumnFormula>
    </tableColumn>
    <tableColumn id="6" xr3:uid="{2B0D231B-475F-47D7-95DA-4845E99F0909}" name="2019" dataDxfId="4306">
      <calculatedColumnFormula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calculatedColumnFormula>
    </tableColumn>
  </tableColumns>
  <tableStyleInfo name="TableStyleMedium1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D73E4062-76D5-4230-891C-5AB30B654B51}" name="TRANSCR314AE" displayName="TRANSCR314AE" ref="CD139:CJ151" totalsRowShown="0" headerRowDxfId="4305" dataDxfId="4304">
  <tableColumns count="7">
    <tableColumn id="1" xr3:uid="{D2BB925B-123D-4161-A9EC-941923E4AB65}" name="MOIS" dataDxfId="4303"/>
    <tableColumn id="7" xr3:uid="{DECF3EC0-BFE5-45D3-85C0-5F6249387F92}" name="2025" dataDxfId="4302"/>
    <tableColumn id="2" xr3:uid="{84C606EB-6C1E-4172-B0CF-D4A8713C7057}" name="2024" dataDxfId="4301" dataCellStyle="Milliers"/>
    <tableColumn id="3" xr3:uid="{90C2A36A-9495-476C-9A70-CCEA386132E4}" name="2023" dataDxfId="4300"/>
    <tableColumn id="4" xr3:uid="{2044B8A1-E709-4A8D-9473-7A28AC0A9BD7}" name="2022" dataDxfId="4299"/>
    <tableColumn id="5" xr3:uid="{A2B90569-3E5A-41A9-96FA-6B8A22075560}" name="2021" dataDxfId="4298"/>
    <tableColumn id="6" xr3:uid="{0DC4FA3E-A5BB-48CD-9D14-6708041DCCA5}" name="2020" dataDxfId="4297"/>
  </tableColumns>
  <tableStyleInfo name="TableStyleMedium14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87FA5877-2E9F-4416-A2C7-7E17EE0D1D19}" name="TRANSCLYSEAE" displayName="TRANSCLYSEAE" ref="CL139:CR151" totalsRowShown="0" headerRowDxfId="4296" dataDxfId="4295">
  <tableColumns count="7">
    <tableColumn id="1" xr3:uid="{8DC346CC-BF0E-4B08-AF34-A1FBF7D79E71}" name="MOIS" dataDxfId="4294"/>
    <tableColumn id="7" xr3:uid="{3503D523-4EBF-4386-B9A5-C6DA893FC4E7}" name="2025" dataDxfId="4293"/>
    <tableColumn id="2" xr3:uid="{CBF9BDAE-4791-4631-8BDE-7B090933464B}" name="2024" dataDxfId="4292" dataCellStyle="Milliers"/>
    <tableColumn id="3" xr3:uid="{98430B8B-753D-474F-995B-3AC895F6C610}" name="2023" dataDxfId="4291"/>
    <tableColumn id="4" xr3:uid="{DAA176A5-93A2-4711-9F7B-B5D2241A14B1}" name="2022" dataDxfId="4290"/>
    <tableColumn id="5" xr3:uid="{3E94D3BF-98ED-47E3-A46B-37E130751150}" name="2021" dataDxfId="4289"/>
    <tableColumn id="6" xr3:uid="{4C6E9752-7F5D-4A50-ACB8-0B68E332DC85}" name="2020" dataDxfId="4288"/>
  </tableColumns>
  <tableStyleInfo name="TableStyleMedium8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D6ED69A-A661-4F6B-903B-808627FCFF5D}" name="TRANSCDIVESAE" displayName="TRANSCDIVESAE" ref="BV139:CB151" totalsRowShown="0" headerRowDxfId="4287" dataDxfId="4286">
  <tableColumns count="7">
    <tableColumn id="1" xr3:uid="{78BE2A85-0712-41E7-9CB6-13EC085E8C72}" name="MOIS" dataDxfId="4285"/>
    <tableColumn id="7" xr3:uid="{8642E023-31B6-45B4-B4C0-435098F972D1}" name="2025" dataDxfId="4284"/>
    <tableColumn id="2" xr3:uid="{8963166C-D79E-4342-A6C3-B56EE62FF011}" name="2024" dataDxfId="4283" dataCellStyle="Milliers"/>
    <tableColumn id="3" xr3:uid="{5D7DCBFE-4215-487F-893F-A89521988CA8}" name="2023" dataDxfId="4282"/>
    <tableColumn id="4" xr3:uid="{F7A12166-2418-4507-AE04-66883A8A9B3B}" name="2022" dataDxfId="4281"/>
    <tableColumn id="5" xr3:uid="{67B8E4D1-BFEF-495E-A646-3B1EDAB96DE0}" name="2021" dataDxfId="4280"/>
    <tableColumn id="6" xr3:uid="{3E3D9E56-77CB-4539-846B-4CE127D68805}" name="2020" dataDxfId="4279"/>
  </tableColumns>
  <tableStyleInfo name="TableStyleMedium10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907FF72A-9BC0-4B15-BF36-6019EDA0468D}" name="TRANSCTH4AE" displayName="TRANSCTH4AE" ref="BN139:BT151" totalsRowShown="0" headerRowDxfId="4278" dataDxfId="4277">
  <tableColumns count="7">
    <tableColumn id="1" xr3:uid="{35EFCF8D-9EED-4CDD-AE22-1EFD7B5611BD}" name="MOIS" dataDxfId="4276"/>
    <tableColumn id="7" xr3:uid="{158FD131-A9BB-4681-AAFC-65DCF2033426}" name="2025" dataDxfId="4275"/>
    <tableColumn id="2" xr3:uid="{AA461450-D5B5-4E06-8BD5-6A6539FDCDA9}" name="2024" dataDxfId="4274" dataCellStyle="Milliers"/>
    <tableColumn id="3" xr3:uid="{BA0054C4-A559-4B07-AA6E-EC5B4BF4ED04}" name="2023" dataDxfId="4273"/>
    <tableColumn id="4" xr3:uid="{A8C58976-09A9-4889-95DB-4349F97403B2}" name="2022" dataDxfId="4272"/>
    <tableColumn id="5" xr3:uid="{7D51E425-A946-4B70-878F-174257172D97}" name="2021" dataDxfId="4271"/>
    <tableColumn id="6" xr3:uid="{113ACE3A-327E-4BA6-8190-0803AF0DF66B}" name="2020" dataDxfId="4270"/>
  </tableColumns>
  <tableStyleInfo name="TableStyleMedium11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9C3B9D09-BB24-4A41-86ED-B65F75335DE4}" name="TRANSCGLOBAL105112119126" displayName="TRANSCGLOBAL105112119126" ref="B123:H135" totalsRowShown="0" headerRowDxfId="4269" dataDxfId="4268">
  <tableColumns count="7">
    <tableColumn id="1" xr3:uid="{8E93CF57-3C7D-4F70-BD5E-3EEDA277750F}" name="MOIS" dataDxfId="4267"/>
    <tableColumn id="7" xr3:uid="{084FA870-1C14-4038-842F-682F970FA116}" name="2024" dataDxfId="4266">
      <calculatedColumnFormula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calculatedColumnFormula>
    </tableColumn>
    <tableColumn id="2" xr3:uid="{5D366F88-1A73-4D1F-88EF-7F0659C26C48}" name="2023" dataDxfId="4265">
      <calculatedColumnFormula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calculatedColumnFormula>
    </tableColumn>
    <tableColumn id="3" xr3:uid="{BB8AE199-FD33-4B84-8A71-DF579E899E5E}" name="2022" dataDxfId="4264">
      <calculatedColumnFormula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calculatedColumnFormula>
    </tableColumn>
    <tableColumn id="4" xr3:uid="{EE2111CB-310F-4930-AEEE-761FC094377F}" name="2021" dataDxfId="4263">
      <calculatedColumnFormula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calculatedColumnFormula>
    </tableColumn>
    <tableColumn id="5" xr3:uid="{74105FDB-30DD-4159-9C0C-8EAD949CF305}" name="2020" dataDxfId="4262">
      <calculatedColumnFormula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calculatedColumnFormula>
    </tableColumn>
    <tableColumn id="6" xr3:uid="{FEB228FE-0351-4E62-9A48-7B7E8AB014F9}" name="2019" dataDxfId="4261">
      <calculatedColumnFormula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calculatedColumnFormula>
    </tableColumn>
  </tableColumns>
  <tableStyleInfo name="TableStyleMedium1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A812D223-22F8-4CDC-9C76-B4C092F554A2}" name="TRANSCR314SP" displayName="TRANSCR314SP" ref="CD123:CJ135" totalsRowShown="0" headerRowDxfId="4260" dataDxfId="4259">
  <tableColumns count="7">
    <tableColumn id="1" xr3:uid="{3A3FE0F5-9DC1-4600-A5BF-2EB4699ADEEF}" name="MOIS" dataDxfId="4258"/>
    <tableColumn id="7" xr3:uid="{C17B135B-3536-49FB-B856-2AA959FB2B66}" name="2025" dataDxfId="4257"/>
    <tableColumn id="2" xr3:uid="{8F9D9197-9A06-4F4F-A8C5-1DCD2C88104B}" name="2024" dataDxfId="4256" dataCellStyle="Milliers"/>
    <tableColumn id="3" xr3:uid="{C386EC77-005D-4CD4-BE7F-3980BDA22699}" name="2023" dataDxfId="4255"/>
    <tableColumn id="4" xr3:uid="{CFD4D660-607E-4A60-89CA-833D01736ADF}" name="2022" dataDxfId="4254"/>
    <tableColumn id="5" xr3:uid="{2A46154B-109B-440D-9A70-A93A4C723E9D}" name="2021" dataDxfId="4253"/>
    <tableColumn id="6" xr3:uid="{90B71DB2-2DC3-4147-9F4F-36A43174BD9A}" name="2020" dataDxfId="4252"/>
  </tableColumns>
  <tableStyleInfo name="TableStyleMedium14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3F6880D3-A615-4B25-A4C1-F1743DA600E0}" name="TRANSCLYSESP" displayName="TRANSCLYSESP" ref="CL123:CR135" totalsRowShown="0" headerRowDxfId="4251" dataDxfId="4250">
  <tableColumns count="7">
    <tableColumn id="1" xr3:uid="{695B0DED-C5E5-4A2B-A882-F390416893A9}" name="MOIS" dataDxfId="4249"/>
    <tableColumn id="7" xr3:uid="{13AD74BD-D8C8-49D4-9CA9-EC60844956B6}" name="2025" dataDxfId="4248"/>
    <tableColumn id="2" xr3:uid="{25E84681-D901-47BC-9FF7-018E03F10EEC}" name="2024" dataDxfId="4247" dataCellStyle="Milliers"/>
    <tableColumn id="3" xr3:uid="{6152A259-56EF-432F-9189-BAC5BBDD9F09}" name="2023" dataDxfId="4246"/>
    <tableColumn id="4" xr3:uid="{518F242A-603B-423B-8019-41FE8D625DE5}" name="2022" dataDxfId="4245"/>
    <tableColumn id="5" xr3:uid="{B4C4FCEC-93C6-46A6-9DE3-944581F8BD3A}" name="2021" dataDxfId="4244"/>
    <tableColumn id="6" xr3:uid="{249EFB8F-9317-4BA8-9F2E-562A724D7547}" name="2020" dataDxfId="4243"/>
  </tableColumns>
  <tableStyleInfo name="TableStyleMedium8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91EC3410-E650-45BA-A05F-A1C74C50B957}" name="TRANSCDIVESSP" displayName="TRANSCDIVESSP" ref="BV123:CB135" totalsRowShown="0" headerRowDxfId="4242" dataDxfId="4241">
  <tableColumns count="7">
    <tableColumn id="1" xr3:uid="{2A85B39F-9616-453D-B186-521AB9090A6A}" name="MOIS" dataDxfId="4240"/>
    <tableColumn id="7" xr3:uid="{D5932332-39B7-414F-97A9-835A44E355CB}" name="2025" dataDxfId="4239"/>
    <tableColumn id="2" xr3:uid="{C33D8BFC-6746-4E4A-A0CB-D048A95AE71A}" name="2024" dataDxfId="4238" dataCellStyle="Milliers"/>
    <tableColumn id="3" xr3:uid="{6E4AAFA7-3672-4646-857D-F742C990B4ED}" name="2023" dataDxfId="4237"/>
    <tableColumn id="4" xr3:uid="{16187192-F313-460E-BCEA-060BB095FC39}" name="2022" dataDxfId="4236"/>
    <tableColumn id="5" xr3:uid="{02C88288-C25E-4CBB-84D8-B3901D087849}" name="2021" dataDxfId="4235"/>
    <tableColumn id="6" xr3:uid="{CA67EA95-A8E0-464E-B693-0C1D5BA68CD2}" name="2020" dataDxfId="4234"/>
  </tableColumns>
  <tableStyleInfo name="TableStyleMedium10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47AAB27C-BA61-42C1-83E1-98A576204B32}" name="TRANSCTH4SP" displayName="TRANSCTH4SP" ref="BN123:BT135" totalsRowShown="0" headerRowDxfId="4233" dataDxfId="4232">
  <tableColumns count="7">
    <tableColumn id="1" xr3:uid="{F07491F4-C592-4BF8-B68F-DDCC2CCE5B61}" name="MOIS" dataDxfId="4231"/>
    <tableColumn id="7" xr3:uid="{F6D159E4-E638-439F-83C0-40B81FF124F7}" name="2025" dataDxfId="4230"/>
    <tableColumn id="2" xr3:uid="{0D9CBE42-D54B-4510-A054-BE9E747B49D1}" name="2024" dataDxfId="4229" dataCellStyle="Milliers"/>
    <tableColumn id="3" xr3:uid="{2FE8A7ED-F2C2-46B2-99E2-2230053C50B8}" name="2023" dataDxfId="4228"/>
    <tableColumn id="4" xr3:uid="{E5CDBE1F-9DAF-44C3-9047-8A18DD69B326}" name="2022" dataDxfId="4227"/>
    <tableColumn id="5" xr3:uid="{E04D8103-0695-4C8C-8812-C5DAF2D583DB}" name="2021" dataDxfId="4226"/>
    <tableColumn id="6" xr3:uid="{81D606BB-39FD-427E-9C90-56B687B2135D}" name="2020" dataDxfId="4225"/>
  </tableColumns>
  <tableStyleInfo name="TableStyleMedium11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FF326CC-88A3-479B-874C-DD6E147B1A3F}" name="PMGLOBALAE" displayName="PMGLOBALAE" ref="B219:H231" totalsRowShown="0" headerRowDxfId="4224" dataDxfId="4223">
  <tableColumns count="7">
    <tableColumn id="1" xr3:uid="{BD715B0B-CBA3-40D3-97C1-081DB465F921}" name="MOIS" dataDxfId="4222"/>
    <tableColumn id="7" xr3:uid="{A44A8499-27B1-4390-8264-07BE7B742C6C}" name="2024" dataDxfId="4221">
      <calculatedColumnFormula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calculatedColumnFormula>
    </tableColumn>
    <tableColumn id="2" xr3:uid="{FA5B7DF9-11E9-4173-ABF3-605DDE4956CC}" name="2023" dataDxfId="4220">
      <calculatedColumnFormula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calculatedColumnFormula>
    </tableColumn>
    <tableColumn id="3" xr3:uid="{837B8359-AAF6-4D0D-96ED-D80BFC5A456D}" name="2022" dataDxfId="4219">
      <calculatedColumnFormula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calculatedColumnFormula>
    </tableColumn>
    <tableColumn id="4" xr3:uid="{33303084-84CB-454E-89A2-E8D288968091}" name="2021" dataDxfId="4218">
      <calculatedColumnFormula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calculatedColumnFormula>
    </tableColumn>
    <tableColumn id="5" xr3:uid="{4C9245DA-8976-429B-9EDD-0CA1031CEDE5}" name="2020" dataDxfId="4217"/>
    <tableColumn id="6" xr3:uid="{05C350F0-01F6-4142-87E1-A6F3229A643D}" name="2019" dataDxfId="4216"/>
  </tableColumns>
  <tableStyleInfo name="TableStyleMedium1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A4C03E8D-6D9F-4AB5-95CD-85113F60E655}" name="PMR314AE" displayName="PMR314AE" ref="CD219:CJ231" totalsRowShown="0" headerRowDxfId="4215" dataDxfId="4214">
  <tableColumns count="7">
    <tableColumn id="1" xr3:uid="{C1A1C2F6-12BD-4748-B18A-0CA6A07CCF5A}" name="MOIS" dataDxfId="4213"/>
    <tableColumn id="7" xr3:uid="{59C71DF9-5843-4D30-BE3D-CC2DEF2B4162}" name="2025" dataDxfId="4212"/>
    <tableColumn id="2" xr3:uid="{31C1B6BA-55D9-4DA0-8726-4C59942B0002}" name="2024" dataDxfId="4211" dataCellStyle="Milliers"/>
    <tableColumn id="3" xr3:uid="{4A3E86E0-0675-4334-A5EC-BDF71F528C5B}" name="2023" dataDxfId="4210"/>
    <tableColumn id="4" xr3:uid="{B51C0CAD-B5CA-4D02-A0A8-191C36ABDB5F}" name="2022" dataDxfId="4209"/>
    <tableColumn id="5" xr3:uid="{F2E49840-481B-460A-B221-6AD7C8B5954A}" name="2021" dataDxfId="4208"/>
    <tableColumn id="6" xr3:uid="{EC4126CA-7565-4E6F-96DF-EEB4A55B2442}" name="2020" dataDxfId="4207"/>
  </tableColumns>
  <tableStyleInfo name="TableStyleMedium14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3C6A5570-1D10-48BD-9AE5-812382181123}" name="PMLYSEAE" displayName="PMLYSEAE" ref="CL219:CR231" totalsRowShown="0" headerRowDxfId="4206" dataDxfId="4205">
  <tableColumns count="7">
    <tableColumn id="1" xr3:uid="{AA35017E-2880-4896-A034-0A8BBB4F4951}" name="MOIS" dataDxfId="4204"/>
    <tableColumn id="7" xr3:uid="{59CA7B24-C492-42CB-83FC-BF85CA622820}" name="2025" dataDxfId="4203"/>
    <tableColumn id="2" xr3:uid="{CFDEA090-62D4-4808-A5BD-D6E94FC02EDD}" name="2024" dataDxfId="4202" dataCellStyle="Milliers"/>
    <tableColumn id="3" xr3:uid="{6D18F7D2-4F65-426E-9D12-D2B1A287485A}" name="2023" dataDxfId="4201"/>
    <tableColumn id="4" xr3:uid="{43F7BFCC-B7E9-4782-9448-6328860E02E7}" name="2022" dataDxfId="4200"/>
    <tableColumn id="5" xr3:uid="{DD5640CE-6EED-4EE3-821F-7B139C6AB91F}" name="2021" dataDxfId="4199"/>
    <tableColumn id="6" xr3:uid="{DC23BC39-E5AF-4A94-9727-B4F2F965D888}" name="2020" dataDxfId="4198"/>
  </tableColumns>
  <tableStyleInfo name="TableStyleMedium8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9D419432-C3E0-413C-A96A-D5A6CF55D958}" name="PMDIVESAE" displayName="PMDIVESAE" ref="BV219:CB231" totalsRowShown="0" headerRowDxfId="4197" dataDxfId="4196">
  <tableColumns count="7">
    <tableColumn id="1" xr3:uid="{153518CD-486B-4D1B-BA94-79091324FCA0}" name="MOIS" dataDxfId="4195"/>
    <tableColumn id="7" xr3:uid="{5F65055D-5B96-4829-8E61-F88B0AEBB58A}" name="2025" dataDxfId="4194"/>
    <tableColumn id="2" xr3:uid="{4264E8FA-4B48-4E0A-AB8E-5FEFFF8AB1FE}" name="2024" dataDxfId="4193" dataCellStyle="Milliers"/>
    <tableColumn id="3" xr3:uid="{C5DF2C39-3DEF-4050-98E1-96C3511162BF}" name="2023" dataDxfId="4192"/>
    <tableColumn id="4" xr3:uid="{09BE4148-D35A-4C33-88BB-32EAEF7EBC74}" name="2022" dataDxfId="4191"/>
    <tableColumn id="5" xr3:uid="{DB53AA56-340C-4541-83D0-A025B1C67943}" name="2021" dataDxfId="4190"/>
    <tableColumn id="6" xr3:uid="{735315C6-48EA-41DF-9383-CA9ECBF1ADAB}" name="2020" dataDxfId="4189"/>
  </tableColumns>
  <tableStyleInfo name="TableStyleMedium10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5CA6A108-421A-49EE-BBEB-F4C72C3E3D06}" name="PMTH4AE" displayName="PMTH4AE" ref="BN219:BT231" totalsRowShown="0" headerRowDxfId="4188" dataDxfId="4187">
  <tableColumns count="7">
    <tableColumn id="1" xr3:uid="{0E3FE308-AB69-4E7D-A392-9CC0EC02F53E}" name="MOIS" dataDxfId="4186"/>
    <tableColumn id="7" xr3:uid="{FF62FFD2-DC97-4D04-AF5C-25218211D97D}" name="2025" dataDxfId="4185"/>
    <tableColumn id="2" xr3:uid="{F4DE507A-D5D9-4443-91BA-4060968A9FCB}" name="2024" dataDxfId="4184" dataCellStyle="Milliers"/>
    <tableColumn id="3" xr3:uid="{0838828B-56AD-423A-A680-D1E54A5A0534}" name="2023" dataDxfId="4183"/>
    <tableColumn id="4" xr3:uid="{354FE004-640E-40FB-8AF9-8B8E967F5456}" name="2022" dataDxfId="4182"/>
    <tableColumn id="5" xr3:uid="{1E8E14EC-290A-4E24-81CB-677A398C2ECE}" name="2021" dataDxfId="4181"/>
    <tableColumn id="6" xr3:uid="{70F28497-9E7C-4039-9238-AC2B829A8ED3}" name="2020" dataDxfId="4180"/>
  </tableColumns>
  <tableStyleInfo name="TableStyleMedium11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D324E7AB-8130-4E92-A6B0-E99BE8CF0915}" name="PMGLOBALSP" displayName="PMGLOBALSP" ref="B203:H215" totalsRowShown="0" headerRowDxfId="4179" dataDxfId="4178">
  <tableColumns count="7">
    <tableColumn id="1" xr3:uid="{3A538E7C-AB0C-4952-B96A-7D70DF428D7C}" name="MOIS" dataDxfId="4177"/>
    <tableColumn id="7" xr3:uid="{EBD30BE9-6755-4AC2-9C99-6F892A802013}" name="2024" dataDxfId="4176">
      <calculatedColumnFormula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calculatedColumnFormula>
    </tableColumn>
    <tableColumn id="2" xr3:uid="{9C7C1704-2B3F-44FD-9B95-C300ABC6C6BE}" name="2023" dataDxfId="4175">
      <calculatedColumnFormula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calculatedColumnFormula>
    </tableColumn>
    <tableColumn id="3" xr3:uid="{66294FE9-5F98-4A76-8E28-C29D91C4E9BF}" name="2022" dataDxfId="4174">
      <calculatedColumnFormula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calculatedColumnFormula>
    </tableColumn>
    <tableColumn id="4" xr3:uid="{1C4BF90D-3A94-48DE-9DF4-0E83417D29DF}" name="2021" dataDxfId="4173">
      <calculatedColumnFormula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calculatedColumnFormula>
    </tableColumn>
    <tableColumn id="5" xr3:uid="{15D713D1-2C0C-41AD-93B6-E7BCDB193922}" name="2020" dataDxfId="4172">
      <calculatedColumnFormula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calculatedColumnFormula>
    </tableColumn>
    <tableColumn id="6" xr3:uid="{5C920406-883C-4524-9AA3-8D45178E1E0D}" name="2019" dataDxfId="4171">
      <calculatedColumnFormula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calculatedColumnFormula>
    </tableColumn>
  </tableColumns>
  <tableStyleInfo name="TableStyleMedium1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2508A2A-9C75-45DB-82DB-BAABE74898D8}" name="PMR314SP" displayName="PMR314SP" ref="CD203:CJ215" totalsRowShown="0" headerRowDxfId="4170" dataDxfId="4169">
  <tableColumns count="7">
    <tableColumn id="1" xr3:uid="{4AF9C067-0311-4F0C-AD76-8DBA8FE577F6}" name="MOIS" dataDxfId="4168"/>
    <tableColumn id="7" xr3:uid="{36373616-AD27-4464-A6D7-97F9873FDE51}" name="2025" dataDxfId="4167"/>
    <tableColumn id="2" xr3:uid="{DBDCDDBF-750A-47B0-B079-19C699023792}" name="2024" dataDxfId="4166" dataCellStyle="Milliers"/>
    <tableColumn id="3" xr3:uid="{FE37EA49-0B3A-4CE0-8952-4399F802718A}" name="2023" dataDxfId="4165"/>
    <tableColumn id="4" xr3:uid="{A2DF14F7-F93F-4B4D-B4AC-6AF0E9F5B33A}" name="2022" dataDxfId="4164"/>
    <tableColumn id="5" xr3:uid="{0F4437C0-6B62-4B19-96FE-B557326B73BB}" name="2021" dataDxfId="4163"/>
    <tableColumn id="6" xr3:uid="{DA52AC7D-5C80-4EB7-949E-6A6A86C27888}" name="2020" dataDxfId="4162"/>
  </tableColumns>
  <tableStyleInfo name="TableStyleMedium14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F6EED8F-3C54-4885-989E-CB27DC7F2421}" name="PMLYSESP" displayName="PMLYSESP" ref="CL203:CR215" totalsRowShown="0" headerRowDxfId="4161" dataDxfId="4160">
  <tableColumns count="7">
    <tableColumn id="1" xr3:uid="{6E492961-071E-483A-B60B-3F1A05F4B898}" name="MOIS" dataDxfId="4159"/>
    <tableColumn id="7" xr3:uid="{E2D19C8E-516F-44B6-A0F9-C33B45D6FCA4}" name="2025" dataDxfId="4158"/>
    <tableColumn id="2" xr3:uid="{A7E5582C-03E6-4238-AD33-609207CA10CE}" name="2024" dataDxfId="4157" dataCellStyle="Milliers"/>
    <tableColumn id="3" xr3:uid="{B68A5CBA-4511-46E5-A2C1-E74C257146D8}" name="2023" dataDxfId="4156"/>
    <tableColumn id="4" xr3:uid="{B1B8BB5D-36DA-4CB6-96E6-65EEA66D8DD3}" name="2022" dataDxfId="4155"/>
    <tableColumn id="5" xr3:uid="{70B7EF69-A069-449B-9CF7-CFF023E5BD5F}" name="2021" dataDxfId="4154"/>
    <tableColumn id="6" xr3:uid="{E4D887EC-1095-439B-AC4F-FE95BB10623A}" name="2020" dataDxfId="4153"/>
  </tableColumns>
  <tableStyleInfo name="TableStyleMedium8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49934C52-81B0-46F7-BE1E-3B6B554C03CD}" name="PMDIVESSP" displayName="PMDIVESSP" ref="BV203:CB215" totalsRowShown="0" headerRowDxfId="4152" dataDxfId="4151">
  <tableColumns count="7">
    <tableColumn id="1" xr3:uid="{B11754FC-663E-4BF7-ABE2-11A2DF8BE66B}" name="MOIS" dataDxfId="4150"/>
    <tableColumn id="7" xr3:uid="{0D22E036-C6FB-496C-BFD0-F2C985F40BEB}" name="2025" dataDxfId="4149"/>
    <tableColumn id="2" xr3:uid="{F1F67EC6-A7FA-4259-B64F-914938F03429}" name="2024" dataDxfId="4148" dataCellStyle="Milliers"/>
    <tableColumn id="3" xr3:uid="{2CB6A2FC-7F51-4EE1-A520-5E0617DF9BC3}" name="2023" dataDxfId="4147"/>
    <tableColumn id="4" xr3:uid="{BE092747-BDD2-47E5-AF61-86B6419C6A34}" name="2022" dataDxfId="4146"/>
    <tableColumn id="5" xr3:uid="{A48002DF-1BEC-44B6-A05D-567CC497B461}" name="2021" dataDxfId="4145"/>
    <tableColumn id="6" xr3:uid="{E69CBCBA-9190-4BFE-AD7F-033F253B4A58}" name="2020" dataDxfId="4144"/>
  </tableColumns>
  <tableStyleInfo name="TableStyleMedium10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A3CB5609-D966-4256-9680-2FDA9AAA521B}" name="PMTH4SP" displayName="PMTH4SP" ref="BN203:BT215" totalsRowShown="0" headerRowDxfId="4143" dataDxfId="4142">
  <tableColumns count="7">
    <tableColumn id="1" xr3:uid="{EF902180-3D18-41A7-97A8-38B75406528B}" name="MOIS" dataDxfId="4141"/>
    <tableColumn id="7" xr3:uid="{05CB52FF-6949-4060-9AC6-AB0EF1570B09}" name="2025" dataDxfId="4140"/>
    <tableColumn id="2" xr3:uid="{BC009FC5-A918-4B35-8B10-95AEB4B201BB}" name="2024" dataDxfId="4139" dataCellStyle="Milliers"/>
    <tableColumn id="3" xr3:uid="{C3455679-7A77-4A9D-84B2-5799621D2E79}" name="2023" dataDxfId="4138"/>
    <tableColumn id="4" xr3:uid="{A9960198-1752-471A-B72C-8DDA5C91366A}" name="2022" dataDxfId="4137"/>
    <tableColumn id="5" xr3:uid="{291EC78B-2BBB-47A4-BBD6-9CBD88F4657D}" name="2021" dataDxfId="4136"/>
    <tableColumn id="6" xr3:uid="{6F0E5A74-B595-4715-848E-410601EFE76F}" name="2020" dataDxfId="4135"/>
  </tableColumns>
  <tableStyleInfo name="TableStyleMedium11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4A2A8871-E7C4-4014-8705-F52537105CCF}" name="PMCGLOBALAE" displayName="PMCGLOBALAE" ref="B267:H279" totalsRowShown="0" headerRowDxfId="4134" dataDxfId="4133">
  <tableColumns count="7">
    <tableColumn id="1" xr3:uid="{6B3E2838-AB1F-40FD-A3BC-3DD356A87608}" name="MOIS" dataDxfId="4132"/>
    <tableColumn id="7" xr3:uid="{243469D2-6F9C-49C2-9EA3-7CA83A788B93}" name="2024" dataDxfId="4131">
      <calculatedColumnFormula>AVERAGE(C220:C$220)</calculatedColumnFormula>
    </tableColumn>
    <tableColumn id="2" xr3:uid="{26F23A18-880C-4B6D-B8F8-D3EEEC74CD45}" name="2023" dataDxfId="4130"/>
    <tableColumn id="3" xr3:uid="{6431D0F2-9F90-4886-8EE9-949B6F276B3E}" name="2022" dataDxfId="4129"/>
    <tableColumn id="4" xr3:uid="{96EFE526-AED7-4441-B10B-2EAC2D47DE60}" name="2021" dataDxfId="4128"/>
    <tableColumn id="5" xr3:uid="{AC12F486-6482-4433-8C1F-FE91CA989DF9}" name="2020" dataDxfId="4127"/>
    <tableColumn id="6" xr3:uid="{4EC5FBC3-66C9-4708-8322-589AF87C275B}" name="2019" dataDxfId="4126"/>
  </tableColumns>
  <tableStyleInfo name="TableStyleMedium1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48BDACDE-FA7F-4B92-B5EF-CC49FA7B923A}" name="PMCR314AE" displayName="PMCR314AE" ref="CD267:CJ279" totalsRowShown="0" headerRowDxfId="4125" dataDxfId="4124">
  <tableColumns count="7">
    <tableColumn id="1" xr3:uid="{DD1C47E4-48DC-4298-91AE-53DD5A3A9108}" name="MOIS" dataDxfId="4123"/>
    <tableColumn id="7" xr3:uid="{BED49E03-8D44-4C8D-8769-76832A8E8B91}" name="2025" dataDxfId="4122">
      <calculatedColumnFormula>AVERAGE(CE220:CE$220)</calculatedColumnFormula>
    </tableColumn>
    <tableColumn id="2" xr3:uid="{92D28917-596D-49FA-BF5E-394A1C60B1DB}" name="2024" dataDxfId="4121" dataCellStyle="Milliers"/>
    <tableColumn id="3" xr3:uid="{31ED87E0-2220-4B9C-AAD0-EFB6B5809B3A}" name="2023" dataDxfId="4120"/>
    <tableColumn id="4" xr3:uid="{D8D11A31-E9CB-4E1E-A123-68FE38738A80}" name="2022" dataDxfId="4119"/>
    <tableColumn id="5" xr3:uid="{8EE79678-FB6B-4CC1-9901-6813805B28E0}" name="2021" dataDxfId="4118"/>
    <tableColumn id="6" xr3:uid="{67B27DF0-C1B4-46C6-9FEC-23568D4880A9}" name="2020" dataDxfId="4117"/>
  </tableColumns>
  <tableStyleInfo name="TableStyleMedium14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CC6452B1-4DA5-4C75-AA66-41FCFD11F21B}" name="PMCLYSEAE" displayName="PMCLYSEAE" ref="CL267:CR279" totalsRowShown="0" headerRowDxfId="4116" dataDxfId="4115">
  <tableColumns count="7">
    <tableColumn id="1" xr3:uid="{3C3D4832-BD20-4488-92E4-20C74714C1AE}" name="MOIS" dataDxfId="4114"/>
    <tableColumn id="7" xr3:uid="{2FB3A37A-20E0-4229-9291-1BCA376567DE}" name="2025" dataDxfId="4113">
      <calculatedColumnFormula>AVERAGE(CM220:CM$220)</calculatedColumnFormula>
    </tableColumn>
    <tableColumn id="2" xr3:uid="{0774D61C-428F-42BD-8F29-8A8702356EDA}" name="2024" dataDxfId="4112" dataCellStyle="Milliers"/>
    <tableColumn id="3" xr3:uid="{FDA8A0D4-D96B-445C-A2BA-69556C055124}" name="2023" dataDxfId="4111"/>
    <tableColumn id="4" xr3:uid="{E0807758-6E47-482C-9CAC-ED828E25E90F}" name="2022" dataDxfId="4110"/>
    <tableColumn id="5" xr3:uid="{E74C4041-A047-4652-9420-0FF2B62DF583}" name="2021" dataDxfId="4109"/>
    <tableColumn id="6" xr3:uid="{34095D34-038E-4D66-B430-176DD792536E}" name="2020" dataDxfId="4108"/>
  </tableColumns>
  <tableStyleInfo name="TableStyleMedium8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69E8013-E6EB-4370-AB2E-3AB36838072D}" name="PMCDIVESAE" displayName="PMCDIVESAE" ref="BV267:CB279" totalsRowShown="0" headerRowDxfId="4107" dataDxfId="4106">
  <tableColumns count="7">
    <tableColumn id="1" xr3:uid="{98C3F69B-8A9D-4473-A850-BACE18D44614}" name="MOIS" dataDxfId="4105"/>
    <tableColumn id="7" xr3:uid="{0C1A7BEC-5D5B-4306-8241-0A0F04715F52}" name="2025" dataDxfId="4104">
      <calculatedColumnFormula>AVERAGE(BW220:BW$220)</calculatedColumnFormula>
    </tableColumn>
    <tableColumn id="2" xr3:uid="{A705690D-D183-4795-A3C6-A748CA242FDB}" name="2024" dataDxfId="4103" dataCellStyle="Milliers"/>
    <tableColumn id="3" xr3:uid="{6FC16D07-2A7C-42F0-B0FD-BD2B464962EA}" name="2023" dataDxfId="4102"/>
    <tableColumn id="4" xr3:uid="{0C2B3058-9307-4C6D-AC74-41E819DB55D3}" name="2022" dataDxfId="4101"/>
    <tableColumn id="5" xr3:uid="{BF4579E3-99DE-4632-94F5-4B47B71AE9DD}" name="2021" dataDxfId="4100"/>
    <tableColumn id="6" xr3:uid="{13F0C9F3-631B-49C7-ABAF-726043893464}" name="2020" dataDxfId="4099"/>
  </tableColumns>
  <tableStyleInfo name="TableStyleMedium10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E041A571-62AC-4F28-8D40-5903F122F0D1}" name="PMCTH4AE" displayName="PMCTH4AE" ref="BN267:BT279" totalsRowShown="0" headerRowDxfId="4098" dataDxfId="4097">
  <tableColumns count="7">
    <tableColumn id="1" xr3:uid="{16AB672C-3D12-4649-84D1-A986BF824F64}" name="MOIS" dataDxfId="4096"/>
    <tableColumn id="7" xr3:uid="{728FF7E4-2CB6-4F3E-9F64-068FF38AA9FC}" name="2025" dataDxfId="4095">
      <calculatedColumnFormula>AVERAGE(BO220:BO$220)</calculatedColumnFormula>
    </tableColumn>
    <tableColumn id="2" xr3:uid="{FDFFD45D-432E-4748-A519-2FFCE942A8CA}" name="2024" dataDxfId="4094" dataCellStyle="Milliers"/>
    <tableColumn id="3" xr3:uid="{694F0044-6A80-423E-95F8-61A24BC5C8D4}" name="2023" dataDxfId="4093"/>
    <tableColumn id="4" xr3:uid="{3D6C9A39-4B78-4CCA-AEF5-313AF21EB094}" name="2022" dataDxfId="4092"/>
    <tableColumn id="5" xr3:uid="{34CF9CFD-AD56-4CE2-940F-766C63745314}" name="2021" dataDxfId="4091"/>
    <tableColumn id="6" xr3:uid="{96441256-4CAF-4E38-9AA0-1440CC4D73E0}" name="2020" dataDxfId="4090"/>
  </tableColumns>
  <tableStyleInfo name="TableStyleMedium11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5A5DBCCF-7D5D-413B-97F7-E1EBB3D11143}" name="PMCGLOBALSP" displayName="PMCGLOBALSP" ref="B251:H263" totalsRowShown="0" headerRowDxfId="4089" dataDxfId="4088">
  <tableColumns count="7">
    <tableColumn id="1" xr3:uid="{16BE51DC-181F-4704-995D-566703A2F2AF}" name="MOIS" dataDxfId="4087"/>
    <tableColumn id="7" xr3:uid="{792D6287-299D-473C-93A1-E14E3DEF2F95}" name="2024" dataDxfId="4086">
      <calculatedColumnFormula>AVERAGE(C204:C$204)</calculatedColumnFormula>
    </tableColumn>
    <tableColumn id="2" xr3:uid="{C3983CE9-E39D-4853-A06B-AB0E1984DEBC}" name="2023" dataDxfId="4085"/>
    <tableColumn id="3" xr3:uid="{07583CAF-2585-45E1-831E-FAF00CE26583}" name="2022" dataDxfId="4084"/>
    <tableColumn id="4" xr3:uid="{E83D6581-C309-42A5-93B0-F3A2DE5DDD2A}" name="2021" dataDxfId="4083"/>
    <tableColumn id="5" xr3:uid="{4098C315-C5F9-4819-9ADA-071FF541CDD1}" name="2020" dataDxfId="4082"/>
    <tableColumn id="6" xr3:uid="{0E5F7413-DD21-4D76-AA9E-37A8EE9E78A8}" name="2019" dataDxfId="4081"/>
  </tableColumns>
  <tableStyleInfo name="TableStyleMedium1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725BDAF2-B258-4B25-A8AF-65AFB48112B8}" name="PMCR314SP" displayName="PMCR314SP" ref="CD251:CJ263" totalsRowShown="0" headerRowDxfId="4080" dataDxfId="4079">
  <tableColumns count="7">
    <tableColumn id="1" xr3:uid="{D5BF8441-7008-41DE-B953-1A00E2E6814C}" name="MOIS" dataDxfId="4078"/>
    <tableColumn id="7" xr3:uid="{AB49168E-E5B0-491C-8D04-C0CD9C4C88BD}" name="2025" dataDxfId="4077">
      <calculatedColumnFormula>AVERAGE(CE204:CE$204)</calculatedColumnFormula>
    </tableColumn>
    <tableColumn id="2" xr3:uid="{7EE3EED1-2C63-4F2C-AD88-D48F4B474564}" name="2024" dataDxfId="4076" dataCellStyle="Milliers"/>
    <tableColumn id="3" xr3:uid="{60699968-AC27-4F2E-86CC-FE3044401D33}" name="2023" dataDxfId="4075"/>
    <tableColumn id="4" xr3:uid="{C841E241-CC21-4609-9F66-54F6FE9AF93A}" name="2022" dataDxfId="4074"/>
    <tableColumn id="5" xr3:uid="{800E95FD-DAF2-42E2-AD85-97520D28D59D}" name="2021" dataDxfId="4073"/>
    <tableColumn id="6" xr3:uid="{9C95675D-8AE3-497B-B1F4-7A8493E83195}" name="2020" dataDxfId="4072"/>
  </tableColumns>
  <tableStyleInfo name="TableStyleMedium14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07CF5BCA-82ED-4414-8F20-8F38523ED7B7}" name="PMCLYSESP" displayName="PMCLYSESP" ref="CL251:CR263" totalsRowShown="0" headerRowDxfId="4071" dataDxfId="4070">
  <tableColumns count="7">
    <tableColumn id="1" xr3:uid="{FC717C8D-707A-41D8-9F58-6DA9538C7550}" name="MOIS" dataDxfId="4069"/>
    <tableColumn id="7" xr3:uid="{B53D4802-FF93-4BD0-AA3A-9D2CE96A6CC1}" name="2025" dataDxfId="4068">
      <calculatedColumnFormula>AVERAGE(CM204:CM$204)</calculatedColumnFormula>
    </tableColumn>
    <tableColumn id="2" xr3:uid="{D6A68495-1AD9-4E60-918F-23455EE50756}" name="2024" dataDxfId="4067" dataCellStyle="Milliers"/>
    <tableColumn id="3" xr3:uid="{8689EFF0-46EE-4EC7-A8B5-F274D93B3636}" name="2023" dataDxfId="4066"/>
    <tableColumn id="4" xr3:uid="{F6E937F8-0651-477E-B842-F5974CE30064}" name="2022" dataDxfId="4065"/>
    <tableColumn id="5" xr3:uid="{D3473A30-E025-49D5-BC48-84FBD913A300}" name="2021" dataDxfId="4064"/>
    <tableColumn id="6" xr3:uid="{0550E63A-F8FE-43F4-BAFC-737C3D412D00}" name="2020" dataDxfId="4063"/>
  </tableColumns>
  <tableStyleInfo name="TableStyleMedium8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320EA4A0-DABD-4FA4-91CA-1EE3BD7F0B7C}" name="PMCDIVESSP" displayName="PMCDIVESSP" ref="BV251:CB263" totalsRowShown="0" headerRowDxfId="4062" dataDxfId="4061">
  <tableColumns count="7">
    <tableColumn id="1" xr3:uid="{D6F83928-DEC6-4E9A-87A2-70B6A039B7C5}" name="MOIS" dataDxfId="4060"/>
    <tableColumn id="7" xr3:uid="{1D1C7118-F2FF-4E69-9897-51C5C789CC7F}" name="2025" dataDxfId="4059">
      <calculatedColumnFormula>AVERAGE(BW204:BW$204)</calculatedColumnFormula>
    </tableColumn>
    <tableColumn id="2" xr3:uid="{4DD3A381-4449-4A90-8BF6-BB12EC5E80A8}" name="2024" dataDxfId="4058" dataCellStyle="Milliers"/>
    <tableColumn id="3" xr3:uid="{1D3C9253-7E84-4997-BCE1-D44BD1CEC990}" name="2023" dataDxfId="4057"/>
    <tableColumn id="4" xr3:uid="{F658143E-3348-45B5-B911-5C44C57A4662}" name="2022" dataDxfId="4056"/>
    <tableColumn id="5" xr3:uid="{A7323439-6849-4A9F-8414-49A99C6D105E}" name="2021" dataDxfId="4055"/>
    <tableColumn id="6" xr3:uid="{7D66037E-3084-413A-AB0E-3C45CE493371}" name="2020" dataDxfId="4054"/>
  </tableColumns>
  <tableStyleInfo name="TableStyleMedium10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D53B25E0-CB85-4956-946E-D111F6CCB9CE}" name="PMCTH4SP" displayName="PMCTH4SP" ref="BN251:BT263" totalsRowShown="0" headerRowDxfId="4053" dataDxfId="4052">
  <tableColumns count="7">
    <tableColumn id="1" xr3:uid="{96536952-10E0-452F-A597-DF0835BE3CEC}" name="MOIS" dataDxfId="4051"/>
    <tableColumn id="7" xr3:uid="{F3D9828D-C4EF-4966-9A11-61EC2333DB73}" name="2025" dataDxfId="4050">
      <calculatedColumnFormula>AVERAGE(BO204:BO$204)</calculatedColumnFormula>
    </tableColumn>
    <tableColumn id="2" xr3:uid="{5330513F-6EE3-43A7-B0BB-8C575B82A82D}" name="2024" dataDxfId="4049" dataCellStyle="Milliers"/>
    <tableColumn id="3" xr3:uid="{C3E01573-26D5-40B8-92A9-FF4B59FA0066}" name="2023" dataDxfId="4048"/>
    <tableColumn id="4" xr3:uid="{32A54451-4C36-414E-A16F-F5DA61C5724E}" name="2022" dataDxfId="4047"/>
    <tableColumn id="5" xr3:uid="{DB61AA9D-F132-41D2-82E4-9784F5544AF7}" name="2021" dataDxfId="4046"/>
    <tableColumn id="6" xr3:uid="{5C757797-D006-478B-B830-B35DA40AB727}" name="2020" dataDxfId="4045"/>
  </tableColumns>
  <tableStyleInfo name="TableStyleMedium11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8DF31E16-7114-43B9-BB07-A85D03E946D0}" name="CAGLR5" displayName="CAGLR5" ref="J11:P23" totalsRowShown="0" headerRowDxfId="4044" dataDxfId="4043">
  <tableColumns count="7">
    <tableColumn id="1" xr3:uid="{711D181E-A06D-4F9E-9063-7801B8D798C4}" name="MOIS" dataDxfId="4042"/>
    <tableColumn id="7" xr3:uid="{A0016662-E2CA-4916-8DED-1B550721A901}" name="2025" dataDxfId="4041"/>
    <tableColumn id="2" xr3:uid="{B23F2D3B-1B06-4905-95EC-512DCEB062E6}" name="2024" dataDxfId="4040" dataCellStyle="Milliers"/>
    <tableColumn id="3" xr3:uid="{15E087E5-EC93-4D8C-AEB0-CC7EFCC1184E}" name="2023" dataDxfId="4039"/>
    <tableColumn id="4" xr3:uid="{5068FCFF-7EE6-4276-9A68-FE3667EC16A2}" name="2022" dataDxfId="4038"/>
    <tableColumn id="5" xr3:uid="{B8BCEA97-231D-4CA1-B9FC-A13562518EA3}" name="2021" dataDxfId="4037"/>
    <tableColumn id="6" xr3:uid="{A3959602-983B-4722-8D77-6EE21D2F20C7}" name="2020" dataDxfId="4036"/>
  </tableColumns>
  <tableStyleInfo name="TableStyleMedium14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66B90D2C-FD5A-482E-A1B5-605509681AC4}" name="CAVR7" displayName="CAVR7" ref="AH11:AN23" totalsRowShown="0" headerRowDxfId="4035" dataDxfId="4034">
  <tableColumns count="7">
    <tableColumn id="1" xr3:uid="{ABA08647-90E0-4F22-8726-29AED4FF18C9}" name="MOIS" dataDxfId="4033"/>
    <tableColumn id="7" xr3:uid="{263E6A59-D7C4-4A3A-BF15-1F4DBF3EDE92}" name="2025" dataDxfId="4032"/>
    <tableColumn id="2" xr3:uid="{92A60748-35A6-415C-A9B9-725E473950A3}" name="2024" dataDxfId="4031"/>
    <tableColumn id="3" xr3:uid="{2541846A-B3B7-4298-86BB-3280298D66D5}" name="2023" dataDxfId="4030"/>
    <tableColumn id="4" xr3:uid="{90B1FB02-DF0A-41D8-9FAA-8F7A9F2CD14F}" name="2022" dataDxfId="4029"/>
    <tableColumn id="5" xr3:uid="{9BA10901-4256-4BE2-A2A7-F46EB29758B0}" name="2021" dataDxfId="4028"/>
    <tableColumn id="6" xr3:uid="{025DA463-DFB6-490E-81CD-C51BF1CC307F}" name="2020" dataDxfId="4027"/>
  </tableColumns>
  <tableStyleInfo name="TableStyleMedium8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BB09BB91-4D0F-462C-982F-8C021791F3C2}" name="CATIRR" displayName="CATIRR" ref="Z11:AF23" totalsRowShown="0" headerRowDxfId="4026" dataDxfId="4025">
  <tableColumns count="7">
    <tableColumn id="1" xr3:uid="{85EA4D5D-AFA2-49CF-B115-51E711D07817}" name="MOIS" dataDxfId="4024"/>
    <tableColumn id="7" xr3:uid="{D8DD75EA-6CD4-420E-BCE3-7FE121F72746}" name="2025" dataDxfId="4023"/>
    <tableColumn id="2" xr3:uid="{2ADA1E1B-093B-41F1-BB0D-2EDC4E472805}" name="2024" dataDxfId="4022" dataCellStyle="Milliers"/>
    <tableColumn id="3" xr3:uid="{7EF2AF37-10F9-44E8-BB01-BAA4B98E5207}" name="2023" dataDxfId="4021"/>
    <tableColumn id="4" xr3:uid="{073C0411-373A-4028-9892-99D1459856A0}" name="2022" dataDxfId="4020"/>
    <tableColumn id="5" xr3:uid="{9A411697-4330-4209-9BB5-3F4E9A37CB4E}" name="2021" dataDxfId="4019"/>
    <tableColumn id="6" xr3:uid="{7D129F2C-482E-4AFF-A382-C967D7BC6C10}" name="2020" dataDxfId="4018"/>
  </tableColumns>
  <tableStyleInfo name="TableStyleMedium10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F660601B-25F6-45D4-B636-4C928C707205}" name="CAHTR8" displayName="CAHTR8" ref="R11:X23" totalsRowShown="0" headerRowDxfId="4017" dataDxfId="4016">
  <tableColumns count="7">
    <tableColumn id="1" xr3:uid="{1EBFA970-C6C7-4E60-88FA-58CC009D0446}" name="MOIS" dataDxfId="4015"/>
    <tableColumn id="7" xr3:uid="{15507E64-AFA4-41B6-B609-D3D858DF1301}" name="2025" dataDxfId="4014"/>
    <tableColumn id="2" xr3:uid="{D231ACF8-4042-4891-AEB6-F1B484567282}" name="2024" dataDxfId="4013" dataCellStyle="Milliers"/>
    <tableColumn id="3" xr3:uid="{0580956D-44E2-490A-B3C5-96488B833F86}" name="2023" dataDxfId="4012"/>
    <tableColumn id="4" xr3:uid="{C0343260-0FE9-4970-8A22-0851F20037D4}" name="2022" dataDxfId="4011"/>
    <tableColumn id="5" xr3:uid="{DA808369-ECA5-429F-82A2-33B20928323D}" name="2021" dataDxfId="4010"/>
    <tableColumn id="6" xr3:uid="{13E3E8FC-07C6-4940-ABA8-523E7D865D5D}" name="2020" dataDxfId="4009"/>
  </tableColumns>
  <tableStyleInfo name="TableStyleMedium11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28CAAAF1-8345-453D-812A-415C7F46CCA1}" name="PLGLR5" displayName="PLGLR5" ref="J27:P39" totalsRowShown="0" headerRowDxfId="4008" dataDxfId="4007">
  <tableColumns count="7">
    <tableColumn id="1" xr3:uid="{D758039D-0416-43A9-AA75-1F81EC3A1AA7}" name="MOIS" dataDxfId="4006"/>
    <tableColumn id="7" xr3:uid="{F0F6D579-BDD5-4976-9268-2E221F5024EB}" name="2025" dataDxfId="4005"/>
    <tableColumn id="2" xr3:uid="{F23929DA-AA22-4040-98D2-93AEE0499C8E}" name="2024" dataDxfId="4004"/>
    <tableColumn id="3" xr3:uid="{C1B5EE99-E58D-4F21-A509-1EF95C4ED438}" name="2023" dataDxfId="4003"/>
    <tableColumn id="4" xr3:uid="{C9D46F76-8B53-456B-992F-029139A61690}" name="2022" dataDxfId="4002"/>
    <tableColumn id="5" xr3:uid="{7D257C85-4F17-40B2-8B34-8F8708BF1961}" name="2021" dataDxfId="4001"/>
    <tableColumn id="6" xr3:uid="{3D0E056F-DF8A-4CDA-AF7B-584F45100FBC}" name="2020" dataDxfId="4000"/>
  </tableColumns>
  <tableStyleInfo name="TableStyleMedium14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30D04AF7-70CC-4062-BC8D-9E1D0D1A74B2}" name="PLVR7" displayName="PLVR7" ref="AH27:AN39" totalsRowShown="0" headerRowDxfId="3999" dataDxfId="3998">
  <tableColumns count="7">
    <tableColumn id="1" xr3:uid="{DBFCB9DD-3C6D-4139-9240-DDEE07D45CB4}" name="MOIS" dataDxfId="3997"/>
    <tableColumn id="7" xr3:uid="{8DE7560F-25FF-45C4-B8FF-B272A6B68EE5}" name="2025" dataDxfId="3996"/>
    <tableColumn id="2" xr3:uid="{FFC05CF4-2FEB-4E7A-AB63-6E691D8CDD0F}" name="2024" dataDxfId="3995"/>
    <tableColumn id="3" xr3:uid="{8D8E745A-64A2-4F5C-B28F-27D9513D628B}" name="2023" dataDxfId="3994"/>
    <tableColumn id="4" xr3:uid="{D24A76F8-675C-450D-8A5E-29D0B3FF86E0}" name="2022" dataDxfId="3993"/>
    <tableColumn id="5" xr3:uid="{3B9DF2E3-BC30-4EBA-8A7E-FD5C769F49D2}" name="2021" dataDxfId="3992"/>
    <tableColumn id="6" xr3:uid="{170EB6FA-6E43-475A-9FFB-F38AD2F6454E}" name="2020" dataDxfId="3991"/>
  </tableColumns>
  <tableStyleInfo name="TableStyleMedium8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137D0AC5-4860-4E8B-B136-DDF221789828}" name="PLTIRR" displayName="PLTIRR" ref="Z27:AF39" totalsRowShown="0" headerRowDxfId="3990" dataDxfId="3989">
  <tableColumns count="7">
    <tableColumn id="1" xr3:uid="{8CE4610D-0EEC-4B41-96E9-B3A327764634}" name="MOIS" dataDxfId="3988"/>
    <tableColumn id="7" xr3:uid="{D45EF53D-E9C4-4FCD-9553-5F3921C36725}" name="2025" dataDxfId="3987"/>
    <tableColumn id="2" xr3:uid="{721433C4-B802-47EA-8F61-B8F0709DF432}" name="2024" dataDxfId="3986"/>
    <tableColumn id="3" xr3:uid="{4A2BA18B-7AB3-487E-9351-82AB270F557D}" name="2023" dataDxfId="3985"/>
    <tableColumn id="4" xr3:uid="{08A24ACA-E21C-4E3E-B352-D703264B2AB5}" name="2022" dataDxfId="3984"/>
    <tableColumn id="5" xr3:uid="{BAF7C570-0604-482C-B9F8-7BBAFF84EECD}" name="2021" dataDxfId="3983"/>
    <tableColumn id="6" xr3:uid="{65DE1A3D-5155-4039-83F0-E16DA4D2606D}" name="2020" dataDxfId="3982"/>
  </tableColumns>
  <tableStyleInfo name="TableStyleMedium10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727D9C14-5945-4434-A9BB-59D96059786C}" name="PLHTR8" displayName="PLHTR8" ref="R27:X39" totalsRowShown="0" headerRowDxfId="3981" dataDxfId="3980">
  <tableColumns count="7">
    <tableColumn id="1" xr3:uid="{0C6D94AA-1684-4489-820A-972DF5CEF2C3}" name="MOIS" dataDxfId="3979"/>
    <tableColumn id="7" xr3:uid="{2493CD9E-2565-43F8-A165-0599AAFA72CB}" name="2025" dataDxfId="3978" dataCellStyle="Milliers"/>
    <tableColumn id="2" xr3:uid="{F0CE4163-252F-46D5-9B8A-17E95E7E1BBD}" name="2024" dataDxfId="3977"/>
    <tableColumn id="3" xr3:uid="{CAEEE394-164F-40A8-98DD-2AAAC692DB6A}" name="2023" dataDxfId="3976"/>
    <tableColumn id="4" xr3:uid="{3646E001-68AA-4DF1-A1BC-B2792E38834B}" name="2022" dataDxfId="3975"/>
    <tableColumn id="5" xr3:uid="{0DEAD7A3-100B-4217-B0CD-29873CCB162D}" name="2021" dataDxfId="3974"/>
    <tableColumn id="6" xr3:uid="{1B9FADF3-DF2F-4BA9-9D66-E610652936E8}" name="2020" dataDxfId="3973"/>
  </tableColumns>
  <tableStyleInfo name="TableStyleMedium11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5FFA8AA4-C7AC-4CCA-B6BA-8043A27B2C6B}" name="TRANSGLR5" displayName="TRANSGLR5" ref="J107:P119" totalsRowShown="0" headerRowDxfId="3972" dataDxfId="3971">
  <tableColumns count="7">
    <tableColumn id="1" xr3:uid="{2D007DFB-B570-4997-B563-8F1CC02CA853}" name="MOIS" dataDxfId="3970"/>
    <tableColumn id="7" xr3:uid="{A5D4B451-8C30-4188-9B74-D1D36F9E4C9A}" name="2025" dataDxfId="3969">
      <calculatedColumnFormula>+K92+K76+K60+K44</calculatedColumnFormula>
    </tableColumn>
    <tableColumn id="2" xr3:uid="{6C421D26-5FF2-4366-8604-318500FC59CF}" name="2024" dataDxfId="3968"/>
    <tableColumn id="3" xr3:uid="{18F1A11A-1199-4EAA-BCA9-CC2F81AC20A6}" name="2023" dataDxfId="3967"/>
    <tableColumn id="4" xr3:uid="{F26747B3-CB55-4B65-AF6F-4F8CFBFACB37}" name="2022" dataDxfId="3966"/>
    <tableColumn id="5" xr3:uid="{6D5E032A-D78B-44F0-BF70-DAB37A10B131}" name="2021" dataDxfId="3965"/>
    <tableColumn id="6" xr3:uid="{C92A5408-CB79-4F47-8FF2-FA3DB52846BA}" name="2020" dataDxfId="3964"/>
  </tableColumns>
  <tableStyleInfo name="TableStyleMedium14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DB5E1A33-A8D1-46D3-9C1C-27D53EB3E390}" name="TRANSVR7" displayName="TRANSVR7" ref="AH107:AN119" totalsRowShown="0" headerRowDxfId="3963" dataDxfId="3962">
  <tableColumns count="7">
    <tableColumn id="1" xr3:uid="{8A45BF82-FE92-4661-A5F7-2D87E6D2BA54}" name="MOIS" dataDxfId="3961"/>
    <tableColumn id="7" xr3:uid="{436DEFF7-AA3E-4E8F-91A2-BD0E59C2CEDD}" name="2025" dataDxfId="3960">
      <calculatedColumnFormula>+AI92+AI76+AI60+AI44</calculatedColumnFormula>
    </tableColumn>
    <tableColumn id="2" xr3:uid="{131CF851-8939-41B9-875A-C1DD11147587}" name="2024" dataDxfId="3959"/>
    <tableColumn id="3" xr3:uid="{76DCEA1D-7F89-4540-A526-81D12517F0B9}" name="2023" dataDxfId="3958"/>
    <tableColumn id="4" xr3:uid="{827AD7D2-34CC-43E1-82CB-7CF43A396D08}" name="2022" dataDxfId="3957"/>
    <tableColumn id="5" xr3:uid="{30E9D8D4-E7E7-4C92-AB46-1A178D78A1FB}" name="2021" dataDxfId="3956"/>
    <tableColumn id="6" xr3:uid="{A5009900-F9DF-4EE0-9A2D-8E1A16FBBFD5}" name="2020" dataDxfId="3955"/>
  </tableColumns>
  <tableStyleInfo name="TableStyleMedium8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5D8FCA24-A8C9-4588-8EE5-F932A1FFF74F}" name="TRANSTIRR" displayName="TRANSTIRR" ref="Z107:AF119" totalsRowShown="0" headerRowDxfId="3954" dataDxfId="3953">
  <tableColumns count="7">
    <tableColumn id="1" xr3:uid="{4803C1EB-4774-4D1B-B9B9-087FF1F4C884}" name="MOIS" dataDxfId="3952"/>
    <tableColumn id="7" xr3:uid="{0DF69F7C-6E74-4E40-9AF9-5AD618B063A1}" name="2025" dataDxfId="3951">
      <calculatedColumnFormula>+AA92+AA76+AA60+AA44</calculatedColumnFormula>
    </tableColumn>
    <tableColumn id="2" xr3:uid="{C508D0F0-60E3-4C96-AD2D-1C726A6CBCEB}" name="2024" dataDxfId="3950"/>
    <tableColumn id="3" xr3:uid="{4AD28A39-66DB-4606-A485-95E3B504047E}" name="2023" dataDxfId="3949"/>
    <tableColumn id="4" xr3:uid="{0E99B3B6-12BC-4BFD-9E5A-A350298942A4}" name="2022" dataDxfId="3948"/>
    <tableColumn id="5" xr3:uid="{E0A0F9C4-FA08-4195-9A0A-80A6F1BA5900}" name="2021" dataDxfId="3947"/>
    <tableColumn id="6" xr3:uid="{B5010940-A5A8-474F-9311-D8501F937CD3}" name="2020" dataDxfId="3946"/>
  </tableColumns>
  <tableStyleInfo name="TableStyleMedium10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F7BD5962-8C13-48DB-99ED-64FC37FCA5E3}" name="TRANSHTR8" displayName="TRANSHTR8" ref="R107:X119" totalsRowShown="0" headerRowDxfId="3945" dataDxfId="3944">
  <tableColumns count="7">
    <tableColumn id="1" xr3:uid="{53C3495A-033E-41E1-BD09-F3F99D26C063}" name="MOIS" dataDxfId="3943"/>
    <tableColumn id="7" xr3:uid="{CA1588FD-4260-49AB-BAAA-9839C2E14789}" name="2025" dataDxfId="3942" dataCellStyle="Milliers">
      <calculatedColumnFormula>+S92+S76+S60+S44</calculatedColumnFormula>
    </tableColumn>
    <tableColumn id="2" xr3:uid="{B4BE191E-2303-4BEC-BFA1-3B4729A8A3EB}" name="2024" dataDxfId="3941"/>
    <tableColumn id="3" xr3:uid="{19AD291A-4998-4D43-90C1-D7AE0BEAE9A4}" name="2023" dataDxfId="3940"/>
    <tableColumn id="4" xr3:uid="{0BE50C62-3C1C-4225-A756-C1A9D99ABE7A}" name="2022" dataDxfId="3939"/>
    <tableColumn id="5" xr3:uid="{AE2E0BED-49D3-4640-80F6-154875385A31}" name="2021" dataDxfId="3938"/>
    <tableColumn id="6" xr3:uid="{38AE6148-9A57-4C82-A95C-9015E2C1AAC8}" name="2020" dataDxfId="3937"/>
  </tableColumns>
  <tableStyleInfo name="TableStyleMedium11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24D67286-BC5A-4D57-A7B4-C84CD9922760}" name="PMGLR5" displayName="PMGLR5" ref="J235:P247" totalsRowShown="0" headerRowDxfId="3936" dataDxfId="3935">
  <tableColumns count="7">
    <tableColumn id="1" xr3:uid="{72B8DF60-DC72-4C47-9E13-30FE8F080F21}" name="MOIS" dataDxfId="3934"/>
    <tableColumn id="7" xr3:uid="{1BFF193F-D361-49CF-A8E3-83A8431FC9BC}" name="2025" dataDxfId="3933"/>
    <tableColumn id="2" xr3:uid="{06BAB720-406A-497F-836F-A481DEE0F3E9}" name="2024" dataDxfId="3932" dataCellStyle="Milliers"/>
    <tableColumn id="3" xr3:uid="{32E79C26-E517-42D4-B5E0-3798BC5C9156}" name="2023" dataDxfId="3931"/>
    <tableColumn id="4" xr3:uid="{1AA29D33-ACA9-478A-B199-548C4D084969}" name="2022" dataDxfId="3930"/>
    <tableColumn id="5" xr3:uid="{401F8D99-FA5B-427F-9F89-5411ECE1048D}" name="2021" dataDxfId="3929"/>
    <tableColumn id="6" xr3:uid="{2C062521-9FA1-44D5-9839-5196D254EF76}" name="2020" dataDxfId="3928"/>
  </tableColumns>
  <tableStyleInfo name="TableStyleMedium14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AE3C2356-ACEB-4C80-95AC-ABFD5B8F7E15}" name="PMVR7" displayName="PMVR7" ref="AH235:AN247" totalsRowShown="0" headerRowDxfId="3927" dataDxfId="3926">
  <tableColumns count="7">
    <tableColumn id="1" xr3:uid="{AF48449D-A674-40D0-9957-DD5147D888FF}" name="MOIS" dataDxfId="3925"/>
    <tableColumn id="7" xr3:uid="{2C4B5EB6-7F83-4345-8729-E248A4C32AA5}" name="2025" dataDxfId="3924"/>
    <tableColumn id="2" xr3:uid="{EF553A2E-25D2-41A4-851D-17D7222BFF80}" name="2024" dataDxfId="3923"/>
    <tableColumn id="3" xr3:uid="{C8FFC5AA-6A9B-41C2-8783-572BC2D26E0A}" name="2023" dataDxfId="3922"/>
    <tableColumn id="4" xr3:uid="{ED48C36A-59BE-44CB-AD26-4D0A1DC5D96B}" name="2022" dataDxfId="3921"/>
    <tableColumn id="5" xr3:uid="{166D5671-102A-4707-8A11-16DE91DF9132}" name="2021" dataDxfId="3920"/>
    <tableColumn id="6" xr3:uid="{A9BBA5C7-A9B2-4911-91A7-D8BA7F841342}" name="2020" dataDxfId="3919"/>
  </tableColumns>
  <tableStyleInfo name="TableStyleMedium8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4F50A03A-C8C4-455E-BFB4-8312A427E3F0}" name="PMTIRR" displayName="PMTIRR" ref="Z235:AF247" totalsRowShown="0" headerRowDxfId="3918" dataDxfId="3917">
  <tableColumns count="7">
    <tableColumn id="1" xr3:uid="{A809008C-2781-441E-8EAD-8674ECE47E1C}" name="MOIS" dataDxfId="3916"/>
    <tableColumn id="7" xr3:uid="{9F3752E1-E382-48C7-8769-6B7C2B037EE0}" name="2025" dataDxfId="3915"/>
    <tableColumn id="2" xr3:uid="{D64238F0-97F3-46AF-87C4-FE4B7CB69A5F}" name="2024" dataDxfId="3914" dataCellStyle="Milliers"/>
    <tableColumn id="3" xr3:uid="{0904B6E6-8715-48EE-986C-1DE8A12D8826}" name="2023" dataDxfId="3913"/>
    <tableColumn id="4" xr3:uid="{9C61112C-A645-4F19-A76B-0360C1FF4CD8}" name="2022" dataDxfId="3912"/>
    <tableColumn id="5" xr3:uid="{A2002491-CBA7-4774-9CEF-D809EC2E940D}" name="2021" dataDxfId="3911"/>
    <tableColumn id="6" xr3:uid="{5F952D21-3358-4DE5-8267-26DE53A176F8}" name="2020" dataDxfId="3910"/>
  </tableColumns>
  <tableStyleInfo name="TableStyleMedium10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E7982C22-9506-412C-BE79-FE45C31B164C}" name="PMHTR8" displayName="PMHTR8" ref="R235:X247" totalsRowShown="0" headerRowDxfId="3909" dataDxfId="3908">
  <tableColumns count="7">
    <tableColumn id="1" xr3:uid="{48B9D891-10C3-4C64-A639-B7263FC6B464}" name="MOIS" dataDxfId="3907"/>
    <tableColumn id="7" xr3:uid="{C9E0E126-CA91-4A43-9241-779BF2A104F9}" name="2025" dataDxfId="3906"/>
    <tableColumn id="2" xr3:uid="{543AA4F4-6236-4842-B25A-6434C4BB37AA}" name="2024" dataDxfId="3905" dataCellStyle="Milliers"/>
    <tableColumn id="3" xr3:uid="{14297FC6-4872-4943-8B1D-6A60893AF583}" name="2023" dataDxfId="3904"/>
    <tableColumn id="4" xr3:uid="{DE956DDC-3E73-467A-BCC2-6227C75D5474}" name="2022" dataDxfId="3903"/>
    <tableColumn id="5" xr3:uid="{72160455-921D-47E8-B284-7A84E41C4782}" name="2021" dataDxfId="3902"/>
    <tableColumn id="6" xr3:uid="{38D65380-16A5-49AA-BBCC-3327CB921878}" name="2020" dataDxfId="3901"/>
  </tableColumns>
  <tableStyleInfo name="TableStyleMedium11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FB779592-50B6-4E50-A6B7-9F6BFFAC888B}" name="TRESOGLR5" displayName="TRESOGLR5" ref="J299:P311" totalsRowShown="0" headerRowDxfId="3900" dataDxfId="3899">
  <tableColumns count="7">
    <tableColumn id="1" xr3:uid="{D3234217-5DA0-47FF-A6A4-A97E5857E91B}" name="MOIS" dataDxfId="3898"/>
    <tableColumn id="7" xr3:uid="{A451D98E-0E2D-42A5-8373-E2349464E786}" name="2025" dataDxfId="13">
      <calculatedColumnFormula>167.89956-48.89348</calculatedColumnFormula>
    </tableColumn>
    <tableColumn id="2" xr3:uid="{9E71BF9B-42FF-42BA-B27D-D27B07502F0B}" name="2024" dataDxfId="3897"/>
    <tableColumn id="3" xr3:uid="{6DDD344D-3B87-463D-B391-7235A2A21689}" name="2023" dataDxfId="3896"/>
    <tableColumn id="4" xr3:uid="{2F7792BE-EBAE-4FFE-842D-9032EA74C9E3}" name="2022" dataDxfId="3895"/>
    <tableColumn id="5" xr3:uid="{B79BC642-7848-4DEC-B1A6-91BF1221CC93}" name="2021" dataDxfId="3894"/>
    <tableColumn id="6" xr3:uid="{6B083AD6-AB7C-4E5B-BBF5-4CA1FC8D8ACA}" name="2020" dataDxfId="3893"/>
  </tableColumns>
  <tableStyleInfo name="TableStyleMedium14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EDCEFE48-AA1B-4758-A2AB-BC0A55F7F832}" name="TRESOVR7" displayName="TRESOVR7" ref="AH299:AN311" totalsRowShown="0" headerRowDxfId="3892" dataDxfId="3891">
  <tableColumns count="7">
    <tableColumn id="1" xr3:uid="{862B6BCE-C662-4DFC-8B5F-56EBCEAB3FC6}" name="MOIS" dataDxfId="3890"/>
    <tableColumn id="7" xr3:uid="{1106B709-3C96-45A9-88DC-285BDF22C9A0}" name="2025" dataDxfId="3889"/>
    <tableColumn id="2" xr3:uid="{0AD7A68C-3444-4BCA-BEAC-CAAFDDEEEBAF}" name="2024" dataDxfId="3888"/>
    <tableColumn id="3" xr3:uid="{065EBD7B-BD8C-4F6A-BB75-BEAEC47BF6B7}" name="2023" dataDxfId="3887"/>
    <tableColumn id="4" xr3:uid="{9E3FB1CD-3A3C-481E-80BF-206D063C1E71}" name="2022" dataDxfId="3886"/>
    <tableColumn id="5" xr3:uid="{21B67C7F-2F84-40BC-A79A-42E28928D218}" name="2021" dataDxfId="3885"/>
    <tableColumn id="6" xr3:uid="{FAA531EE-A895-4A55-B1E2-188EE2199CFE}" name="2020" dataDxfId="3884"/>
  </tableColumns>
  <tableStyleInfo name="TableStyleMedium8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11AF6852-293B-48F2-97E4-EADAB9DDE5D2}" name="TRESOTIRR" displayName="TRESOTIRR" ref="Z299:AF311" totalsRowShown="0" headerRowDxfId="3883" dataDxfId="3882">
  <tableColumns count="7">
    <tableColumn id="1" xr3:uid="{937407ED-22FD-44CF-8952-ED9103F4F523}" name="MOIS" dataDxfId="3881"/>
    <tableColumn id="7" xr3:uid="{D70048D8-5781-4D98-B7CB-AD5D97AE1226}" name="2025" dataDxfId="12">
      <calculatedColumnFormula>993.9164-674.75357</calculatedColumnFormula>
    </tableColumn>
    <tableColumn id="2" xr3:uid="{DBEDE86C-6F1C-4DE7-9764-EE0C279FA53F}" name="2024" dataDxfId="3880"/>
    <tableColumn id="3" xr3:uid="{4125D848-B871-4A5E-BDAF-F9450541DB3C}" name="2023" dataDxfId="3879"/>
    <tableColumn id="4" xr3:uid="{B8E522BC-8E91-40FE-A7DD-35C1BE924183}" name="2022" dataDxfId="3878"/>
    <tableColumn id="5" xr3:uid="{D57FA478-B686-4423-AA12-C48DE25002D4}" name="2021" dataDxfId="3877"/>
    <tableColumn id="6" xr3:uid="{55C3D2FC-AD5E-4106-A238-248A1556AE38}" name="2020" dataDxfId="3876"/>
  </tableColumns>
  <tableStyleInfo name="TableStyleMedium10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72A4F7E4-5A91-4768-80A0-071E5F88795A}" name="TRESOHTR8" displayName="TRESOHTR8" ref="R299:X311" totalsRowShown="0" headerRowDxfId="3875" dataDxfId="3874">
  <tableColumns count="7">
    <tableColumn id="1" xr3:uid="{2A74F4DA-273C-4619-A0E9-F679D3892FB8}" name="MOIS" dataDxfId="3873"/>
    <tableColumn id="7" xr3:uid="{5FF62492-839B-43BF-8AF8-C644CA9FD510}" name="2025" dataDxfId="11">
      <calculatedColumnFormula>67.00314-2.89284</calculatedColumnFormula>
    </tableColumn>
    <tableColumn id="2" xr3:uid="{17EC5FDF-9BFF-4470-BF10-89182FAEC5F5}" name="2024" dataDxfId="3872"/>
    <tableColumn id="3" xr3:uid="{4836E3D7-943A-4FF3-8F6E-2562113FAEAB}" name="2023" dataDxfId="3871"/>
    <tableColumn id="4" xr3:uid="{658D4A6A-8727-4372-AAAC-FCBEF1E39B70}" name="2022" dataDxfId="3870"/>
    <tableColumn id="5" xr3:uid="{418C9361-3A9F-40D1-9517-068D8580FB35}" name="2021" dataDxfId="3869"/>
    <tableColumn id="6" xr3:uid="{E4BF7B60-F58F-4D11-8D4C-C878F960A23F}" name="2020" dataDxfId="3868"/>
  </tableColumns>
  <tableStyleInfo name="TableStyleMedium11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EABF1C43-F2AC-4A36-BF53-25F37DAF9918}" name="TRANSCGLR5" displayName="TRANSCGLR5" ref="J187:P199" totalsRowShown="0" headerRowDxfId="3867" dataDxfId="3866">
  <tableColumns count="7">
    <tableColumn id="1" xr3:uid="{B001A99B-0314-4547-BD20-DBF2D2E4EB09}" name="MOIS" dataDxfId="3865"/>
    <tableColumn id="7" xr3:uid="{902DD8A5-B998-40C2-9DBB-7D8BDFE85D03}" name="2025" dataDxfId="3864"/>
    <tableColumn id="2" xr3:uid="{673DC91E-96A4-4139-AEDB-47B0068A8334}" name="2024" dataDxfId="3863"/>
    <tableColumn id="3" xr3:uid="{F56B6405-961F-4949-99E2-9CFA7265DFD8}" name="2023" dataDxfId="3862"/>
    <tableColumn id="4" xr3:uid="{DC8943CD-C662-4796-80D4-5E002547543E}" name="2022" dataDxfId="3861"/>
    <tableColumn id="5" xr3:uid="{20153A75-4173-47E8-A3E2-612C2D9BC1A8}" name="2021" dataDxfId="3860"/>
    <tableColumn id="6" xr3:uid="{009BE3BF-7F8D-409E-905C-22700567BF30}" name="2020" dataDxfId="3859"/>
  </tableColumns>
  <tableStyleInfo name="TableStyleMedium14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A197D29D-05E6-4509-918A-722642B1363C}" name="TRANSCVR7" displayName="TRANSCVR7" ref="AH187:AN199" totalsRowShown="0" headerRowDxfId="3858" dataDxfId="3857">
  <tableColumns count="7">
    <tableColumn id="1" xr3:uid="{4141BD4F-74AA-4B5C-9617-D8AA0A649282}" name="MOIS" dataDxfId="3856"/>
    <tableColumn id="7" xr3:uid="{AFEFFF45-5D16-4E45-A74E-0F72EB497914}" name="2025" dataDxfId="3855"/>
    <tableColumn id="2" xr3:uid="{996AF88B-DF16-4F20-A126-836362FFFCD5}" name="2024" dataDxfId="3854"/>
    <tableColumn id="3" xr3:uid="{E55D8B4E-1138-4804-8B58-3A4F2F5C9767}" name="2023" dataDxfId="3853"/>
    <tableColumn id="4" xr3:uid="{0507AE7B-548A-48E6-A70C-8088DFC84FC6}" name="2022" dataDxfId="3852"/>
    <tableColumn id="5" xr3:uid="{939C5424-ABA3-4602-A700-290CB4EE92D2}" name="2021" dataDxfId="3851"/>
    <tableColumn id="6" xr3:uid="{7F84D37F-535E-4AC5-A9A2-C2B83213FA6D}" name="2020" dataDxfId="3850"/>
  </tableColumns>
  <tableStyleInfo name="TableStyleMedium8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8C156AA7-70A8-4703-B1D5-D51A06081631}" name="TRANSCTIRR" displayName="TRANSCTIRR" ref="Z187:AF199" totalsRowShown="0" headerRowDxfId="3849" dataDxfId="3848">
  <tableColumns count="7">
    <tableColumn id="1" xr3:uid="{0C2A320A-EBBC-4818-AD94-8E9BC269003B}" name="MOIS" dataDxfId="3847"/>
    <tableColumn id="7" xr3:uid="{22A81483-EB9C-4475-A5CC-6B2D73AE1CF6}" name="2025" dataDxfId="3846"/>
    <tableColumn id="2" xr3:uid="{3A90642F-00DF-46BA-9D9C-25957C922786}" name="2024" dataDxfId="3845"/>
    <tableColumn id="3" xr3:uid="{D5FCBB05-F579-4CE2-BDFE-1F8FE5A5AA87}" name="2023" dataDxfId="3844"/>
    <tableColumn id="4" xr3:uid="{097CD762-0C8E-4F5A-B577-CF8B69EB0F52}" name="2022" dataDxfId="3843"/>
    <tableColumn id="5" xr3:uid="{043CE43B-2897-42B9-8907-FC91D35A1688}" name="2021" dataDxfId="3842"/>
    <tableColumn id="6" xr3:uid="{8289D269-B246-4ADE-B19C-FBF33722B6B1}" name="2020" dataDxfId="3841"/>
  </tableColumns>
  <tableStyleInfo name="TableStyleMedium10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DB9D0FED-642E-47A2-80E6-0E28EF77AB52}" name="TRANSCHTR8" displayName="TRANSCHTR8" ref="R187:X199" totalsRowShown="0" headerRowDxfId="3840" dataDxfId="3839">
  <tableColumns count="7">
    <tableColumn id="1" xr3:uid="{39580119-8229-4E40-AFF1-13A76EFFF9E3}" name="MOIS" dataDxfId="3838"/>
    <tableColumn id="7" xr3:uid="{96317715-ABF7-40E5-9B91-2B47B9E31CE8}" name="2025" dataDxfId="3837" dataCellStyle="Milliers"/>
    <tableColumn id="2" xr3:uid="{9CAE19BF-0889-43E9-A4D1-C523965D7E12}" name="2024" dataDxfId="3836"/>
    <tableColumn id="3" xr3:uid="{3E2ACEB8-2550-4B97-84E6-D7C643C678B5}" name="2023" dataDxfId="3835"/>
    <tableColumn id="4" xr3:uid="{9E64ED7D-1EB8-4698-8EE9-17C0D91C40F8}" name="2022" dataDxfId="3834"/>
    <tableColumn id="5" xr3:uid="{A387C08D-0DC5-4FB8-BCFF-7EA2814016BA}" name="2021" dataDxfId="3833"/>
    <tableColumn id="6" xr3:uid="{C26CD7AD-B72D-4958-A3B8-B731439CF352}" name="2020" dataDxfId="3832"/>
  </tableColumns>
  <tableStyleInfo name="TableStyleMedium11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7F61D920-532C-4102-8C1A-A29DE67CA859}" name="PMCGLR5" displayName="PMCGLR5" ref="J283:P295" totalsRowShown="0" headerRowDxfId="3831" dataDxfId="3830">
  <tableColumns count="7">
    <tableColumn id="1" xr3:uid="{FBDD5BFC-31FC-4BA4-999A-F1273B9EE093}" name="MOIS" dataDxfId="3829"/>
    <tableColumn id="7" xr3:uid="{511E1FB9-572E-4C45-8990-1DBA0B6F49D0}" name="2025" dataDxfId="3828">
      <calculatedColumnFormula>AVERAGE(K$236:K236)</calculatedColumnFormula>
    </tableColumn>
    <tableColumn id="2" xr3:uid="{1B63F320-5815-48C5-9347-947CF83BC5E5}" name="2024" dataDxfId="3827"/>
    <tableColumn id="3" xr3:uid="{A139E3F7-49F9-4A97-A92C-02B8ED138712}" name="2023" dataDxfId="3826"/>
    <tableColumn id="4" xr3:uid="{7A49C5A1-BC39-4303-8339-9D07B88C1E95}" name="2022" dataDxfId="3825"/>
    <tableColumn id="5" xr3:uid="{E9D2C1CA-B6DD-4F28-B834-B632E46E15DB}" name="2021" dataDxfId="3824"/>
    <tableColumn id="6" xr3:uid="{5C7D0929-FD03-48DC-A02A-A76D92343A3A}" name="2020" dataDxfId="3823"/>
  </tableColumns>
  <tableStyleInfo name="TableStyleMedium14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72FD2525-C945-42E9-808F-D2C9796257C4}" name="PMCVR7" displayName="PMCVR7" ref="AH283:AN295" totalsRowShown="0" headerRowDxfId="3822" dataDxfId="3821">
  <tableColumns count="7">
    <tableColumn id="1" xr3:uid="{EE5EBFAB-4FDE-4D95-835C-910B9E8E99ED}" name="MOIS" dataDxfId="3820"/>
    <tableColumn id="7" xr3:uid="{46141F0A-DE86-4D75-9C2C-04A7AB9A1BF0}" name="2025" dataDxfId="3819">
      <calculatedColumnFormula>AVERAGE(AI$236:AI236)</calculatedColumnFormula>
    </tableColumn>
    <tableColumn id="2" xr3:uid="{F640A3D4-293D-45D7-A07D-3509FA4E94FA}" name="2024" dataDxfId="3818"/>
    <tableColumn id="3" xr3:uid="{0B11BFC1-D730-4183-AEF7-29974971B563}" name="2023" dataDxfId="3817"/>
    <tableColumn id="4" xr3:uid="{D5ADD14F-1DBA-4111-8066-0D916B8EA169}" name="2022" dataDxfId="3816"/>
    <tableColumn id="5" xr3:uid="{A8D40C2E-79C3-4B48-8314-A5E0470ADF41}" name="2021" dataDxfId="3815"/>
    <tableColumn id="6" xr3:uid="{8F5522A9-6015-4B49-9017-6BE1128EA6C9}" name="2020" dataDxfId="3814"/>
  </tableColumns>
  <tableStyleInfo name="TableStyleMedium8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EF703D5C-7C03-4C68-8338-49B1CE41ECDC}" name="PMCTIRR" displayName="PMCTIRR" ref="Z283:AF295" totalsRowShown="0" headerRowDxfId="3813" dataDxfId="3812">
  <tableColumns count="7">
    <tableColumn id="1" xr3:uid="{AC42AD9E-148C-4D31-9995-127DA4D75EAA}" name="MOIS" dataDxfId="3811"/>
    <tableColumn id="7" xr3:uid="{D3E99047-A318-4510-B81C-08CE50E7035D}" name="2025" dataDxfId="3810">
      <calculatedColumnFormula>AVERAGE(AA$236:AA236)</calculatedColumnFormula>
    </tableColumn>
    <tableColumn id="2" xr3:uid="{006D1F4C-6572-4517-99E0-6EE22047790D}" name="2024" dataDxfId="3809"/>
    <tableColumn id="3" xr3:uid="{8089FB4A-F0E8-4341-A675-9665811B34E9}" name="2023" dataDxfId="3808"/>
    <tableColumn id="4" xr3:uid="{A0F8AEC1-1F10-4CB7-916A-5786BADA8421}" name="2022" dataDxfId="3807"/>
    <tableColumn id="5" xr3:uid="{275F3425-6EC3-45FE-B31B-CAD21C39A1B5}" name="2021" dataDxfId="3806"/>
    <tableColumn id="6" xr3:uid="{060D9B2A-1BF1-4B0B-A342-CC50C8E3E797}" name="2020" dataDxfId="3805"/>
  </tableColumns>
  <tableStyleInfo name="TableStyleMedium10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C4A7B22A-641C-4FB6-A455-9B0B3445D99F}" name="PMCHTR8" displayName="PMCHTR8" ref="R283:X295" totalsRowShown="0" headerRowDxfId="3804" dataDxfId="3803">
  <tableColumns count="7">
    <tableColumn id="1" xr3:uid="{170E13D3-E5DB-4208-B8D5-F1F339EED444}" name="MOIS" dataDxfId="3802"/>
    <tableColumn id="7" xr3:uid="{0B715B49-8163-475B-BAF3-42EE322F9FAA}" name="2025" dataDxfId="3801">
      <calculatedColumnFormula>AVERAGE(S$236:S236)</calculatedColumnFormula>
    </tableColumn>
    <tableColumn id="2" xr3:uid="{9E1A2EA5-7EB7-49DE-A409-9D2C8C5FCC4F}" name="2024" dataDxfId="3800"/>
    <tableColumn id="3" xr3:uid="{025572DE-BC2A-4E61-9DAF-FBA8890D34CA}" name="2023" dataDxfId="3799"/>
    <tableColumn id="4" xr3:uid="{7EF89761-6F00-48EE-B4B7-BD6A55561B6E}" name="2022" dataDxfId="3798"/>
    <tableColumn id="5" xr3:uid="{661F22C1-7852-4201-80AD-DBC2E1F16785}" name="2021" dataDxfId="3797"/>
    <tableColumn id="6" xr3:uid="{83696F3A-87B0-49A5-9BD8-EE0DEB7FBE2C}" name="2020" dataDxfId="3796"/>
  </tableColumns>
  <tableStyleInfo name="TableStyleMedium11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A90AC762-6D2F-42BA-BE63-280105BDFA3E}" name="TRANSGLR5K" displayName="TRANSGLR5K" ref="J91:P103" totalsRowShown="0" headerRowDxfId="3795" dataDxfId="3794">
  <tableColumns count="7">
    <tableColumn id="1" xr3:uid="{FE059952-2729-4FEB-9294-780010CD9675}" name="MOIS" dataDxfId="3793"/>
    <tableColumn id="7" xr3:uid="{08B3BE56-AFF1-467A-92E7-77D7358E8660}" name="2025" dataDxfId="3792"/>
    <tableColumn id="2" xr3:uid="{F9261553-D8CD-40EC-B6B1-8C12D96FC4F6}" name="2024" dataDxfId="3791"/>
    <tableColumn id="3" xr3:uid="{ED1DDED2-830B-4F45-8DF4-C04DE7CDA775}" name="2023" dataDxfId="3790"/>
    <tableColumn id="4" xr3:uid="{312550C4-D6CB-4EB1-8D29-86DB726B8CD7}" name="2022" dataDxfId="3789"/>
    <tableColumn id="5" xr3:uid="{C2512E24-8734-44A5-98FB-02F627BC29BE}" name="2021" dataDxfId="3788"/>
    <tableColumn id="6" xr3:uid="{AB3E9181-716E-4908-8C2C-CAEBFF7D5F63}" name="2020" dataDxfId="3787"/>
  </tableColumns>
  <tableStyleInfo name="TableStyleMedium14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18D5F972-D1FA-4098-9483-97475325C079}" name="TRANSVR7K" displayName="TRANSVR7K" ref="AH91:AN103" totalsRowShown="0" headerRowDxfId="3786" dataDxfId="3785">
  <tableColumns count="7">
    <tableColumn id="1" xr3:uid="{9C31360B-6946-4C94-A695-F9AE80581542}" name="MOIS" dataDxfId="3784"/>
    <tableColumn id="7" xr3:uid="{5AD412DD-912B-42D3-A522-D3DE29D07B37}" name="2025" dataDxfId="3783"/>
    <tableColumn id="2" xr3:uid="{79A25CD5-FD55-42E5-ACF7-3A452D93F51C}" name="2024" dataDxfId="3782"/>
    <tableColumn id="3" xr3:uid="{E72BD088-1857-4011-9B77-586C1D77D707}" name="2023" dataDxfId="3781"/>
    <tableColumn id="4" xr3:uid="{EE4A7D6E-3681-4F27-A449-F2A4E3DEC066}" name="2022" dataDxfId="3780"/>
    <tableColumn id="5" xr3:uid="{45C97D1E-3613-4DC4-9C43-A368D12E580E}" name="2021" dataDxfId="3779"/>
    <tableColumn id="6" xr3:uid="{0EA3FB8C-DD39-49D2-B352-C3C6DCF6F154}" name="2020" dataDxfId="3778"/>
  </tableColumns>
  <tableStyleInfo name="TableStyleMedium8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61EF197-70CB-4A1E-95B2-7A810CA06CD8}" name="TRANSTIRRK" displayName="TRANSTIRRK" ref="Z91:AF103" totalsRowShown="0" headerRowDxfId="3777" dataDxfId="3776">
  <tableColumns count="7">
    <tableColumn id="1" xr3:uid="{6338F145-E440-4575-96C1-FB1A5A5D4C7B}" name="MOIS" dataDxfId="3775"/>
    <tableColumn id="7" xr3:uid="{6A626A57-8AC2-4A51-BBB9-849BC8BBFCF4}" name="2025" dataDxfId="3774"/>
    <tableColumn id="2" xr3:uid="{CB1BCC44-4777-4E19-AD4F-33D0728C6CF1}" name="2024" dataDxfId="3773" dataCellStyle="Milliers"/>
    <tableColumn id="3" xr3:uid="{57D41BF5-8188-439B-AFAC-10ACF8D7BDDB}" name="2023" dataDxfId="3772"/>
    <tableColumn id="4" xr3:uid="{53B5A7A9-2BAC-40E5-859A-F489135A31BD}" name="2022" dataDxfId="3771"/>
    <tableColumn id="5" xr3:uid="{174BFA6A-3E36-4C87-855D-974D77F125F8}" name="2021" dataDxfId="3770"/>
    <tableColumn id="6" xr3:uid="{925CA183-10B3-40F4-92FF-C7748912906A}" name="2020" dataDxfId="3769"/>
  </tableColumns>
  <tableStyleInfo name="TableStyleMedium10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1B7DC4C4-973C-452F-BDAA-D9599FF28E85}" name="TRANSHTR8K" displayName="TRANSHTR8K" ref="R91:X103" totalsRowShown="0" headerRowDxfId="3768" dataDxfId="3767">
  <tableColumns count="7">
    <tableColumn id="1" xr3:uid="{06012490-B548-4B12-B6A9-CA73ACE7AB5C}" name="MOIS" dataDxfId="3766"/>
    <tableColumn id="7" xr3:uid="{63CA480E-8E00-4196-A10E-11E87644D1E3}" name="2025" dataDxfId="3765"/>
    <tableColumn id="2" xr3:uid="{C3B057BC-1DDC-4A55-85FB-AD21286D891B}" name="2024" dataDxfId="3764" dataCellStyle="Milliers"/>
    <tableColumn id="3" xr3:uid="{ABD047A9-99FD-422F-AB50-4C93F9187087}" name="2023" dataDxfId="3763"/>
    <tableColumn id="4" xr3:uid="{61B45D42-6740-40E1-8340-B4F82CA6355F}" name="2022" dataDxfId="3762"/>
    <tableColumn id="5" xr3:uid="{FBFCED9B-0B22-4D5C-8C72-DD7B7FB26768}" name="2021" dataDxfId="3761"/>
    <tableColumn id="6" xr3:uid="{C947B7EE-576D-4BDD-A13C-35FF4A91AC0B}" name="2020" dataDxfId="3760"/>
  </tableColumns>
  <tableStyleInfo name="TableStyleMedium11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FC7DD10D-ED1B-4A22-84BF-FF9004567EC9}" name="TRANSGLR5MC" displayName="TRANSGLR5MC" ref="J75:P87" totalsRowShown="0" headerRowDxfId="3759" dataDxfId="3758">
  <tableColumns count="7">
    <tableColumn id="1" xr3:uid="{093ADB7F-B52F-43DB-B21E-453D7D74DDFE}" name="MOIS" dataDxfId="3757"/>
    <tableColumn id="7" xr3:uid="{D97329F6-C3A1-4BD6-9B43-1987B65B59F4}" name="2025" dataDxfId="3756">
      <calculatedColumnFormula>9713</calculatedColumnFormula>
    </tableColumn>
    <tableColumn id="2" xr3:uid="{A97BF7E1-56CF-4542-8630-C79B64B82CCD}" name="2024" dataDxfId="3755"/>
    <tableColumn id="3" xr3:uid="{7F646A7A-3240-4FC6-B334-C06E057DB7EA}" name="2023" dataDxfId="3754"/>
    <tableColumn id="4" xr3:uid="{35D192F6-5CD3-4818-B6C2-2651499D57AD}" name="2022" dataDxfId="3753"/>
    <tableColumn id="5" xr3:uid="{74339DC9-89CB-4FC1-8370-876491A0209C}" name="2021" dataDxfId="3752"/>
    <tableColumn id="6" xr3:uid="{35B6FF2C-CFE8-4F75-83EA-7746FEFB8AEE}" name="2020" dataDxfId="3751"/>
  </tableColumns>
  <tableStyleInfo name="TableStyleMedium14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D7D93133-87CE-49CD-A219-7412123C6F32}" name="TRANSVR7MC" displayName="TRANSVR7MC" ref="AH75:AN88" totalsRowShown="0" headerRowDxfId="3750" dataDxfId="3749">
  <tableColumns count="7">
    <tableColumn id="1" xr3:uid="{A148B389-5218-49D1-996E-09A7FA8FFD18}" name="MOIS" dataDxfId="3748"/>
    <tableColumn id="7" xr3:uid="{38834628-50A5-4DB9-B870-088319127D98}" name="2025" dataDxfId="3747"/>
    <tableColumn id="2" xr3:uid="{0AD5D5B5-516E-47D9-9237-E9770EF49851}" name="2024" dataDxfId="3746"/>
    <tableColumn id="3" xr3:uid="{9DE221C2-3EE6-4AFE-AE27-05790A107E73}" name="2023" dataDxfId="3745"/>
    <tableColumn id="4" xr3:uid="{A4C538B5-0104-4E0E-9073-7C602CF0FAD6}" name="2022" dataDxfId="3744"/>
    <tableColumn id="5" xr3:uid="{B2FFC3D7-520C-4088-9AFE-630C6D7ED521}" name="2021" dataDxfId="3743"/>
    <tableColumn id="6" xr3:uid="{09F21697-49A2-4BEA-BAB2-9063E5B308D3}" name="2020" dataDxfId="3742"/>
  </tableColumns>
  <tableStyleInfo name="TableStyleMedium8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8018974C-9BF4-4395-B5BA-3B775F742545}" name="TRANSTIRRMC" displayName="TRANSTIRRMC" ref="Z75:AF87" totalsRowShown="0" headerRowDxfId="3741" dataDxfId="3740">
  <tableColumns count="7">
    <tableColumn id="1" xr3:uid="{586B0A9E-7837-401B-8EC4-968B2FA74486}" name="MOIS" dataDxfId="3739"/>
    <tableColumn id="7" xr3:uid="{D03D0130-1BA6-488B-895F-23FD7CB61B1C}" name="2025" dataDxfId="3738"/>
    <tableColumn id="2" xr3:uid="{2AC9C773-E7B8-4769-B9D5-A3D37E443265}" name="2024" dataDxfId="3737" dataCellStyle="Milliers"/>
    <tableColumn id="3" xr3:uid="{D84AB6AE-640D-4A70-97F0-CB76716FDB60}" name="2023" dataDxfId="3736"/>
    <tableColumn id="4" xr3:uid="{936EA48C-9D35-4A08-BF10-F05E312875DD}" name="2022" dataDxfId="3735"/>
    <tableColumn id="5" xr3:uid="{0D5F9A49-99CB-4B2C-BFA8-F00F9CB3A051}" name="2021" dataDxfId="3734"/>
    <tableColumn id="6" xr3:uid="{F9470CAC-C700-4A1E-A99D-05C8BFACDEF7}" name="2020" dataDxfId="3733"/>
  </tableColumns>
  <tableStyleInfo name="TableStyleMedium10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546F1B62-A861-4A0F-BD81-D2449F201839}" name="TRANSHTR8MC" displayName="TRANSHTR8MC" ref="R75:X87" totalsRowShown="0" headerRowDxfId="3732" dataDxfId="3731">
  <tableColumns count="7">
    <tableColumn id="1" xr3:uid="{734CB70C-36C8-40E1-BC47-1118BBC7AA0B}" name="MOIS" dataDxfId="3730"/>
    <tableColumn id="7" xr3:uid="{34187F67-0E58-4785-B391-DA0A1BBEA97A}" name="2025" dataDxfId="3729"/>
    <tableColumn id="2" xr3:uid="{ECFF0EA0-2328-4AEB-86B2-5FE2FF13828E}" name="2024" dataDxfId="3728" dataCellStyle="Milliers"/>
    <tableColumn id="3" xr3:uid="{8BAEAEEA-76AA-4CC1-938F-82B7EA74E70F}" name="2023" dataDxfId="3727"/>
    <tableColumn id="4" xr3:uid="{6AE8A16C-3CD2-4DE8-AEBA-78D8F60ACF8E}" name="2022" dataDxfId="3726"/>
    <tableColumn id="5" xr3:uid="{0CBFCE4B-F3E9-4321-BAC5-9E303D43FB62}" name="2021" dataDxfId="3725"/>
    <tableColumn id="6" xr3:uid="{28C1B597-A24B-42BA-8600-1E8929554CB2}" name="2020" dataDxfId="3724"/>
  </tableColumns>
  <tableStyleInfo name="TableStyleMedium11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A6E52AFC-3EE0-421A-BD3A-E3F3465C1A63}" name="TRANSGLR5AE" displayName="TRANSGLR5AE" ref="J59:P71" totalsRowShown="0" headerRowDxfId="3723" dataDxfId="3722">
  <tableColumns count="7">
    <tableColumn id="1" xr3:uid="{A498AF57-3F29-423C-89ED-43EAAEE6AEBD}" name="MOIS" dataDxfId="3721"/>
    <tableColumn id="7" xr3:uid="{37A29703-2BA1-4160-BF09-DFE8309FDE51}" name="2025" dataDxfId="3720"/>
    <tableColumn id="2" xr3:uid="{EF08991B-5BF3-4E6B-A7E0-D4E9C936EA39}" name="2024" dataDxfId="3719"/>
    <tableColumn id="3" xr3:uid="{9FF2CBA3-8401-4F1C-B477-9884B5BBFA16}" name="2023" dataDxfId="3718"/>
    <tableColumn id="4" xr3:uid="{FE71B06E-28F1-473A-A907-68894D3F68DD}" name="2022" dataDxfId="3717"/>
    <tableColumn id="5" xr3:uid="{B55EF427-BBBB-4875-8C78-B7D6F5685D42}" name="2021" dataDxfId="3716"/>
    <tableColumn id="6" xr3:uid="{A0FF445A-A20E-4293-90D7-D725B9B28FE4}" name="2020" dataDxfId="3715"/>
  </tableColumns>
  <tableStyleInfo name="TableStyleMedium14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5F2E42F3-823A-40D8-9672-ABA737169807}" name="TRANSVR7AE" displayName="TRANSVR7AE" ref="AH59:AN71" totalsRowShown="0" headerRowDxfId="3714" dataDxfId="3713">
  <tableColumns count="7">
    <tableColumn id="1" xr3:uid="{92FC9368-FBC8-4B9D-9ACA-B122FB0771C5}" name="MOIS" dataDxfId="3712"/>
    <tableColumn id="7" xr3:uid="{B8BDAC78-8DFF-4643-A026-8346A5BCBA08}" name="2025" dataDxfId="3711"/>
    <tableColumn id="2" xr3:uid="{C8396FB1-4AA6-47B8-9B6C-408992148D9E}" name="2024" dataDxfId="3710"/>
    <tableColumn id="3" xr3:uid="{6D21D51E-71F7-4494-9D39-1DD1F740357B}" name="2023" dataDxfId="3709"/>
    <tableColumn id="4" xr3:uid="{435DE838-2605-4914-A37A-07E71B5D8B85}" name="2022" dataDxfId="3708"/>
    <tableColumn id="5" xr3:uid="{28633F8E-82FE-4590-B6B0-28EEFE3FECA0}" name="2021" dataDxfId="3707"/>
    <tableColumn id="6" xr3:uid="{1D0B06D5-D4B9-4D62-8437-1D0C4B1C8F80}" name="2020" dataDxfId="3706"/>
  </tableColumns>
  <tableStyleInfo name="TableStyleMedium8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6116218E-BBA7-4F78-9BE5-A2D9A3480162}" name="TRANSTIRRAE" displayName="TRANSTIRRAE" ref="Z59:AF71" totalsRowShown="0" headerRowDxfId="3705" dataDxfId="3704">
  <tableColumns count="7">
    <tableColumn id="1" xr3:uid="{CD076E96-46C0-4425-A0C5-565D4E2B214B}" name="MOIS" dataDxfId="3703"/>
    <tableColumn id="7" xr3:uid="{76A54C19-0522-40D7-B211-EA9727D8BBDB}" name="2025" dataDxfId="3702"/>
    <tableColumn id="2" xr3:uid="{8260BF63-E03C-4549-AA15-DC3E45A4A33F}" name="2024" dataDxfId="3701" dataCellStyle="Milliers"/>
    <tableColumn id="3" xr3:uid="{F240CBAA-782C-4516-B7F9-896E6BF9B465}" name="2023" dataDxfId="3700"/>
    <tableColumn id="4" xr3:uid="{6A4CF5D8-580C-4005-882C-4788FB294F0E}" name="2022" dataDxfId="3699"/>
    <tableColumn id="5" xr3:uid="{9E836F33-2614-4428-86E2-9282BA5BD972}" name="2021" dataDxfId="3698"/>
    <tableColumn id="6" xr3:uid="{CF7E880A-3202-4A57-9E18-53BF03C0A35B}" name="2020" dataDxfId="3697"/>
  </tableColumns>
  <tableStyleInfo name="TableStyleMedium10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79DC1094-FDCE-40DE-986C-65A70215124A}" name="TRANSHTR8AE" displayName="TRANSHTR8AE" ref="R59:X71" totalsRowShown="0" headerRowDxfId="3696" dataDxfId="3695">
  <tableColumns count="7">
    <tableColumn id="1" xr3:uid="{1A18B2C2-AF56-4EF0-8E95-9F076E4FFDED}" name="MOIS" dataDxfId="3694"/>
    <tableColumn id="7" xr3:uid="{5F522F21-E072-4E60-96AA-049631B6D456}" name="2025" dataDxfId="3693"/>
    <tableColumn id="2" xr3:uid="{EE6B282C-32DC-4490-AB7D-F2805DB276CA}" name="2024" dataDxfId="3692" dataCellStyle="Milliers"/>
    <tableColumn id="3" xr3:uid="{A07F6136-731B-4E84-9973-FE3CC8BF19B9}" name="2023" dataDxfId="3691"/>
    <tableColumn id="4" xr3:uid="{F221CA24-8885-4017-98E0-C87B270CB542}" name="2022" dataDxfId="3690"/>
    <tableColumn id="5" xr3:uid="{B34ACDF1-06EC-4B00-9F05-A06312B795E8}" name="2021" dataDxfId="3689"/>
    <tableColumn id="6" xr3:uid="{A535CFA0-A5AF-4FF5-83EC-20885C87C52F}" name="2020" dataDxfId="3688"/>
  </tableColumns>
  <tableStyleInfo name="TableStyleMedium11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18137A68-A32D-49AB-9FEB-198EC2F00506}" name="TRANSGLR5SP" displayName="TRANSGLR5SP" ref="J43:P55" totalsRowShown="0" headerRowDxfId="3687" dataDxfId="3686">
  <tableColumns count="7">
    <tableColumn id="1" xr3:uid="{1CE41016-4383-4F39-BBCA-D33056A060DD}" name="MOIS" dataDxfId="3685"/>
    <tableColumn id="7" xr3:uid="{EA6965EC-83EB-4E12-81AF-0E44B9C68CC6}" name="2025" dataDxfId="3684"/>
    <tableColumn id="2" xr3:uid="{E0CD6402-795B-4681-8D52-C0BC2211C8C3}" name="2024" dataDxfId="3683"/>
    <tableColumn id="3" xr3:uid="{EB1D3322-BBE9-47A1-AB12-3F2D4CCD797E}" name="2023" dataDxfId="3682"/>
    <tableColumn id="4" xr3:uid="{4F88655B-D058-461E-AF2A-99F064E8C796}" name="2022" dataDxfId="3681"/>
    <tableColumn id="5" xr3:uid="{88C0C825-4A94-4CDC-95F7-057C6F5F5FB8}" name="2021" dataDxfId="3680"/>
    <tableColumn id="6" xr3:uid="{7FE396E6-D45F-48E1-AD6F-DCDCC860805A}" name="2020" dataDxfId="3679"/>
  </tableColumns>
  <tableStyleInfo name="TableStyleMedium14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96EFEA65-AE22-40BB-81D6-69DB89D39730}" name="TRANSVR7SP" displayName="TRANSVR7SP" ref="AH43:AN55" totalsRowShown="0" headerRowDxfId="3678" dataDxfId="3677">
  <tableColumns count="7">
    <tableColumn id="1" xr3:uid="{182851C7-0BE4-40B5-BCB2-FADEC2F05D27}" name="MOIS" dataDxfId="3676"/>
    <tableColumn id="7" xr3:uid="{130E5C09-0F86-4E5E-B410-D61B49CB9351}" name="2025" dataDxfId="3675"/>
    <tableColumn id="2" xr3:uid="{A1A2A7FC-A22A-4786-8330-7053143B5642}" name="2024" dataDxfId="3674"/>
    <tableColumn id="3" xr3:uid="{C17C6776-7A54-435C-ADD4-07D11709D1C0}" name="2023" dataDxfId="3673"/>
    <tableColumn id="4" xr3:uid="{4A1952A8-8A99-40C8-A3A1-71DD235B475D}" name="2022" dataDxfId="3672"/>
    <tableColumn id="5" xr3:uid="{641713E6-A942-4834-BA9F-2F6503131173}" name="2021" dataDxfId="3671"/>
    <tableColumn id="6" xr3:uid="{65D2C428-1B70-40CD-9728-4374A299973C}" name="2020" dataDxfId="3670"/>
  </tableColumns>
  <tableStyleInfo name="TableStyleMedium8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4F7F13E1-0FE7-4778-B577-BA8BD7ADD8BD}" name="TRANSHTR8SP" displayName="TRANSHTR8SP" ref="R43:X55" totalsRowShown="0" headerRowDxfId="3669" dataDxfId="3668">
  <tableColumns count="7">
    <tableColumn id="1" xr3:uid="{38F1CF4D-54E8-475F-BBEE-FC58335D65DE}" name="MOIS" dataDxfId="3667"/>
    <tableColumn id="7" xr3:uid="{D36AE295-EBEA-4EC9-BC43-67997BB22BD5}" name="2025" dataDxfId="3666"/>
    <tableColumn id="2" xr3:uid="{10383C26-17A0-4FA5-80A1-5612FA17D190}" name="2024" dataDxfId="3665" dataCellStyle="Milliers"/>
    <tableColumn id="3" xr3:uid="{41623E1B-DE2A-4E9A-8E45-42BA5105A615}" name="2023" dataDxfId="3664"/>
    <tableColumn id="4" xr3:uid="{B38D1951-03C2-414A-8557-72A08315759D}" name="2022" dataDxfId="3663"/>
    <tableColumn id="5" xr3:uid="{0E776CC6-B6D3-4499-9407-5EF19C235D1B}" name="2021" dataDxfId="3662"/>
    <tableColumn id="6" xr3:uid="{6549D8CF-E8D1-4F20-9883-9502E66FF736}" name="2020" dataDxfId="3661"/>
  </tableColumns>
  <tableStyleInfo name="TableStyleMedium11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AA127FD6-7F88-4636-8B1F-E58FB608A387}" name="TRANSCGLR5K" displayName="TRANSCGLR5K" ref="J171:P183" totalsRowShown="0" headerRowDxfId="3660" dataDxfId="3659">
  <tableColumns count="7">
    <tableColumn id="1" xr3:uid="{8567696B-0AE4-43F3-9B58-C58AFF12DDBA}" name="MOIS" dataDxfId="3658"/>
    <tableColumn id="7" xr3:uid="{551F0B8B-5304-4C18-A91E-4265B83A1697}" name="2025" dataDxfId="3657"/>
    <tableColumn id="2" xr3:uid="{EAA925EA-467E-4550-AAE4-32CF2C8453F1}" name="2024" dataDxfId="3656"/>
    <tableColumn id="3" xr3:uid="{2582D1AB-DBF7-4B56-8F5E-DE00EC8A5618}" name="2023" dataDxfId="3655"/>
    <tableColumn id="4" xr3:uid="{7AFA1F10-8610-4125-AB66-CB2CEA74014A}" name="2022" dataDxfId="3654"/>
    <tableColumn id="5" xr3:uid="{8F9E72D0-8962-4C99-A7DD-F90E97E11A9D}" name="2021" dataDxfId="3653"/>
    <tableColumn id="6" xr3:uid="{6FF04F1E-0411-4CBE-AC8C-7ABB9474E1FD}" name="2020" dataDxfId="3652"/>
  </tableColumns>
  <tableStyleInfo name="TableStyleMedium14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6E1524A5-6102-49BE-A2B7-CBC3C4973BCB}" name="TRANSCVR7K" displayName="TRANSCVR7K" ref="AH171:AN183" totalsRowShown="0" headerRowDxfId="3651" dataDxfId="3650">
  <tableColumns count="7">
    <tableColumn id="1" xr3:uid="{4AEA8F99-8CA4-4A6E-A809-1846749A55EE}" name="MOIS" dataDxfId="3649"/>
    <tableColumn id="7" xr3:uid="{6596DEC7-426E-4A28-A6AE-C475E3FD63A9}" name="2025" dataDxfId="3648"/>
    <tableColumn id="2" xr3:uid="{9640F1D6-6573-43A8-B2E7-D88EFF4F10E1}" name="2024" dataDxfId="3647"/>
    <tableColumn id="3" xr3:uid="{8D125857-733B-451B-87F0-F6A4959104AC}" name="2023" dataDxfId="3646"/>
    <tableColumn id="4" xr3:uid="{C2AC94EC-D1D1-47CA-B668-7608CD05B626}" name="2022" dataDxfId="3645"/>
    <tableColumn id="5" xr3:uid="{B41B58B7-F35F-48DD-81D3-9C155E16AC3D}" name="2021" dataDxfId="3644"/>
    <tableColumn id="6" xr3:uid="{F8B609F0-039C-4F6C-98D5-A7472B92AEDE}" name="2020" dataDxfId="3643"/>
  </tableColumns>
  <tableStyleInfo name="TableStyleMedium8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07FFB83A-5286-42E2-9ABB-BF40E432DFFD}" name="TRANSCTIRRK" displayName="TRANSCTIRRK" ref="Z171:AF183" totalsRowShown="0" headerRowDxfId="3642" dataDxfId="3641">
  <tableColumns count="7">
    <tableColumn id="1" xr3:uid="{296432D4-6C7A-459A-93A9-FA61E2789885}" name="MOIS" dataDxfId="3640"/>
    <tableColumn id="7" xr3:uid="{F915588D-F8CA-46F8-AA83-F1F284893BF6}" name="2025" dataDxfId="3639"/>
    <tableColumn id="2" xr3:uid="{E6AEB96B-85C1-46F5-9DDA-38F14D5182BA}" name="2024" dataDxfId="3638"/>
    <tableColumn id="3" xr3:uid="{7E5518E8-13BA-4EFA-9A2A-40AB7656B115}" name="2023" dataDxfId="3637"/>
    <tableColumn id="4" xr3:uid="{01781538-969E-481F-BEF7-94A2BD36D3B0}" name="2022" dataDxfId="3636"/>
    <tableColumn id="5" xr3:uid="{925A3285-8DA5-4F65-A282-C1D5A2EEE82D}" name="2021" dataDxfId="3635"/>
    <tableColumn id="6" xr3:uid="{187F637F-A9E4-4DD9-B513-72C930F8792A}" name="2020" dataDxfId="3634"/>
  </tableColumns>
  <tableStyleInfo name="TableStyleMedium10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1D46AE95-F3B3-4AF2-96F1-5F5E7FAD47BC}" name="TRANSCHTR8K" displayName="TRANSCHTR8K" ref="R171:X183" totalsRowShown="0" headerRowDxfId="3633" dataDxfId="3632">
  <tableColumns count="7">
    <tableColumn id="1" xr3:uid="{0FDFD03D-9412-40C9-8A4A-F49E7C119EE4}" name="MOIS" dataDxfId="3631"/>
    <tableColumn id="7" xr3:uid="{43A6F4BA-59C4-4744-AED5-CF7FF1BAA016}" name="2025" dataDxfId="3630" dataCellStyle="Milliers"/>
    <tableColumn id="2" xr3:uid="{02689ECC-F9D3-444E-80B9-4C9446132046}" name="2024" dataDxfId="3629"/>
    <tableColumn id="3" xr3:uid="{F625DA59-B997-4F48-9905-276E2AF9C03A}" name="2023" dataDxfId="3628"/>
    <tableColumn id="4" xr3:uid="{BA2BAF0A-147E-4172-B0AD-FD491C3A0C62}" name="2022" dataDxfId="3627"/>
    <tableColumn id="5" xr3:uid="{6A75293E-731D-4681-9416-A1B3C642A637}" name="2021" dataDxfId="3626"/>
    <tableColumn id="6" xr3:uid="{FC9BC36E-1E60-4EE9-8556-A5090F819A95}" name="2020" dataDxfId="3625"/>
  </tableColumns>
  <tableStyleInfo name="TableStyleMedium11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7C186910-5A86-4157-8686-51C1217D137E}" name="TRANSCGLR5MC" displayName="TRANSCGLR5MC" ref="J155:P167" totalsRowShown="0" headerRowDxfId="3624" dataDxfId="3623">
  <tableColumns count="7">
    <tableColumn id="1" xr3:uid="{591336FF-5E3B-47B2-9591-AB7F91287F41}" name="MOIS" dataDxfId="3622"/>
    <tableColumn id="7" xr3:uid="{28F08988-5739-41E9-89B8-76A23596D945}" name="2025" dataDxfId="3621"/>
    <tableColumn id="2" xr3:uid="{ADF83FD3-8873-485E-9413-2700D85E2501}" name="2024" dataDxfId="3620"/>
    <tableColumn id="3" xr3:uid="{DAC6AFB1-3DE2-4252-92BC-7EAB0F9E2BB3}" name="2023" dataDxfId="3619"/>
    <tableColumn id="4" xr3:uid="{ED9CBE0B-3046-41B1-AE18-ACF624EF2687}" name="2022" dataDxfId="3618"/>
    <tableColumn id="5" xr3:uid="{82BB3AF7-267B-4AE8-B289-1C6D53CA4429}" name="2021" dataDxfId="3617"/>
    <tableColumn id="6" xr3:uid="{B55B3387-B566-4EF7-8F67-50B93177EE14}" name="2020" dataDxfId="3616"/>
  </tableColumns>
  <tableStyleInfo name="TableStyleMedium14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ECC167C9-297C-46DB-A758-D70D7F246431}" name="TRANSCVR7MC" displayName="TRANSCVR7MC" ref="AH155:AN167" totalsRowShown="0" headerRowDxfId="3615" dataDxfId="3614">
  <tableColumns count="7">
    <tableColumn id="1" xr3:uid="{22277CFB-18EA-4B93-B949-D2F5CAB45B7A}" name="MOIS" dataDxfId="3613"/>
    <tableColumn id="7" xr3:uid="{67E950BE-E59B-4BB6-9076-CFFA7F77CDEC}" name="2025" dataDxfId="3612"/>
    <tableColumn id="2" xr3:uid="{F4E3B967-CAAD-4CD7-968E-A871C61997BF}" name="2024" dataDxfId="3611"/>
    <tableColumn id="3" xr3:uid="{5ACD5445-6DA1-42F1-83F6-4E1255700F91}" name="2023" dataDxfId="3610"/>
    <tableColumn id="4" xr3:uid="{EF08AC45-695B-4743-9D4E-2EDEB90E5C8E}" name="2022" dataDxfId="3609"/>
    <tableColumn id="5" xr3:uid="{8A6976A2-769A-42CB-BE63-CCE7352F2872}" name="2021" dataDxfId="3608"/>
    <tableColumn id="6" xr3:uid="{0A8977ED-D09E-448C-B7E2-33C7E21633BE}" name="2020" dataDxfId="3607"/>
  </tableColumns>
  <tableStyleInfo name="TableStyleMedium8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8DC11EB6-BC22-487F-B197-89230525A070}" name="TRANSCTIRRMC" displayName="TRANSCTIRRMC" ref="Z155:AF167" totalsRowShown="0" headerRowDxfId="3606" dataDxfId="3605">
  <tableColumns count="7">
    <tableColumn id="1" xr3:uid="{697A211E-7879-4D15-A5E3-1CC631922C33}" name="MOIS" dataDxfId="3604"/>
    <tableColumn id="7" xr3:uid="{9E589E23-C7CF-468B-93D2-3E4AF551D43B}" name="2025" dataDxfId="3603"/>
    <tableColumn id="2" xr3:uid="{96734667-3A30-4914-95BF-A14A6D1E095B}" name="2024" dataDxfId="3602"/>
    <tableColumn id="3" xr3:uid="{B40F3960-3B2C-4DCF-B1B8-4F8A1E46A4FB}" name="2023" dataDxfId="3601"/>
    <tableColumn id="4" xr3:uid="{6C31425A-BE44-42DB-84AC-93ADBAC3BAB0}" name="2022" dataDxfId="3600"/>
    <tableColumn id="5" xr3:uid="{F83018EC-23B3-46C3-A859-965CE74E9200}" name="2021" dataDxfId="3599"/>
    <tableColumn id="6" xr3:uid="{41332A7B-F9A8-412E-9DB8-F3287F929257}" name="2020" dataDxfId="3598"/>
  </tableColumns>
  <tableStyleInfo name="TableStyleMedium10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DDE8C085-AF54-47D1-AB93-00FC64B17C16}" name="TRANSCHTR8MC" displayName="TRANSCHTR8MC" ref="R155:X167" totalsRowShown="0" headerRowDxfId="3597" dataDxfId="3596">
  <tableColumns count="7">
    <tableColumn id="1" xr3:uid="{E39F7DD2-77DE-4F1B-85F4-8701DDAE8E42}" name="MOIS" dataDxfId="3595"/>
    <tableColumn id="7" xr3:uid="{38BB263D-1B34-40A0-A4B1-045F81CC5441}" name="2025" dataDxfId="3594" dataCellStyle="Milliers"/>
    <tableColumn id="2" xr3:uid="{CE5204B1-7EAD-4DEC-8A4C-FC58C4770D65}" name="2024" dataDxfId="3593"/>
    <tableColumn id="3" xr3:uid="{2F173D08-8F08-4699-B6A5-B59BCE029CFA}" name="2023" dataDxfId="3592"/>
    <tableColumn id="4" xr3:uid="{8161D1A7-2C36-4B2F-9C55-1FF891DA54A5}" name="2022" dataDxfId="3591"/>
    <tableColumn id="5" xr3:uid="{71913C33-93A0-4924-A2B7-307BA84480FA}" name="2021" dataDxfId="3590"/>
    <tableColumn id="6" xr3:uid="{976FC428-B40D-4121-BB4A-D39CC854EA83}" name="2020" dataDxfId="3589"/>
  </tableColumns>
  <tableStyleInfo name="TableStyleMedium11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CD7C3A78-2DB2-4EBD-8FEE-724D872F0A4B}" name="TRANSCGLR5AE" displayName="TRANSCGLR5AE" ref="J139:P151" totalsRowShown="0" headerRowDxfId="3588" dataDxfId="3587">
  <tableColumns count="7">
    <tableColumn id="1" xr3:uid="{9744EDD4-AACF-44A7-B42D-0A5F8355A47C}" name="MOIS" dataDxfId="3586"/>
    <tableColumn id="7" xr3:uid="{580C6269-5FCD-4359-A6EB-6496105C5DCF}" name="2025" dataDxfId="3585"/>
    <tableColumn id="2" xr3:uid="{0E6E9892-C7BB-443D-91FB-FC82B4E35AD5}" name="2024" dataDxfId="3584"/>
    <tableColumn id="3" xr3:uid="{B84550DD-5E49-4E60-A60A-E02F8387B3F5}" name="2023" dataDxfId="3583"/>
    <tableColumn id="4" xr3:uid="{AF11E292-32EB-490D-9C03-947CBB419A38}" name="2022" dataDxfId="3582"/>
    <tableColumn id="5" xr3:uid="{5DF930D1-BF31-4BC5-8E59-D553C8B1426B}" name="2021" dataDxfId="3581"/>
    <tableColumn id="6" xr3:uid="{1A0AE964-E69E-4243-8488-8754B7B9DB12}" name="2020" dataDxfId="3580"/>
  </tableColumns>
  <tableStyleInfo name="TableStyleMedium14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592DB8D3-6848-45A3-AD0F-EA40E14934C4}" name="TRANSCVR7AE" displayName="TRANSCVR7AE" ref="AH139:AN151" totalsRowShown="0" headerRowDxfId="3579" dataDxfId="3578">
  <tableColumns count="7">
    <tableColumn id="1" xr3:uid="{79842F8F-8591-453B-A613-760F265AE130}" name="MOIS" dataDxfId="3577"/>
    <tableColumn id="7" xr3:uid="{904F7E80-B616-42B6-A8F4-C9C34BD60CC6}" name="2025" dataDxfId="3576"/>
    <tableColumn id="2" xr3:uid="{BEF745B6-13FF-407A-BB61-9E9CD8A62FEE}" name="2024" dataDxfId="3575"/>
    <tableColumn id="3" xr3:uid="{5B09D53C-BF9E-40CC-B9BC-D000EE4C1311}" name="2023" dataDxfId="3574"/>
    <tableColumn id="4" xr3:uid="{A6B06B25-46AB-4896-BCB9-FEE9AB203639}" name="2022" dataDxfId="3573"/>
    <tableColumn id="5" xr3:uid="{48C24FD4-6585-41DC-985A-FCF20A24E50F}" name="2021" dataDxfId="3572"/>
    <tableColumn id="6" xr3:uid="{43879BA1-4EBC-408D-8C36-880FD96B5476}" name="2020" dataDxfId="3571"/>
  </tableColumns>
  <tableStyleInfo name="TableStyleMedium8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08676F16-47B5-44A1-8C05-942D282D65E7}" name="TRANSCTIRRAE" displayName="TRANSCTIRRAE" ref="Z139:AF151" totalsRowShown="0" headerRowDxfId="3570" dataDxfId="3569">
  <tableColumns count="7">
    <tableColumn id="1" xr3:uid="{72BA55AF-4B77-465E-9074-11F5994879FB}" name="MOIS" dataDxfId="3568"/>
    <tableColumn id="7" xr3:uid="{75CF13C7-2337-4812-A650-23F1BCF4F48F}" name="2025" dataDxfId="3567"/>
    <tableColumn id="2" xr3:uid="{8E2AA69B-9F7B-480C-9E19-42E866D86750}" name="2024" dataDxfId="3566"/>
    <tableColumn id="3" xr3:uid="{032C3835-8A36-4F3B-9C83-8BA75F312B67}" name="2023" dataDxfId="3565"/>
    <tableColumn id="4" xr3:uid="{97E7F01C-F143-4396-A6A7-7AB3DD218BAD}" name="2022" dataDxfId="3564"/>
    <tableColumn id="5" xr3:uid="{3D52AD8F-593B-437F-90DF-06584DB1FE56}" name="2021" dataDxfId="3563"/>
    <tableColumn id="6" xr3:uid="{C7C4C32E-D812-4E2C-9751-BDFCAFF52FA3}" name="2020" dataDxfId="3562"/>
  </tableColumns>
  <tableStyleInfo name="TableStyleMedium10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0E879BD0-D760-4B20-8C2C-A0EA4F1B3D0F}" name="TRANSCHTR8AE" displayName="TRANSCHTR8AE" ref="R139:X151" totalsRowShown="0" headerRowDxfId="3561" dataDxfId="3560">
  <tableColumns count="7">
    <tableColumn id="1" xr3:uid="{4E901AA2-75FB-4AF0-B6C1-EEEE1EBACBEF}" name="MOIS" dataDxfId="3559"/>
    <tableColumn id="7" xr3:uid="{04E64175-E0D4-4F4E-9D0F-58107AFE0F50}" name="2025" dataDxfId="3558" dataCellStyle="Milliers"/>
    <tableColumn id="2" xr3:uid="{5412D5FD-7C0E-4153-AABE-BDDD395C822E}" name="2024" dataDxfId="3557"/>
    <tableColumn id="3" xr3:uid="{A8BB8997-DFF6-4EFC-8D39-A552AF0E6F62}" name="2023" dataDxfId="3556"/>
    <tableColumn id="4" xr3:uid="{E66F9D39-C910-46B7-9EA4-73DFA495147F}" name="2022" dataDxfId="3555"/>
    <tableColumn id="5" xr3:uid="{F2BC1CD1-B81F-4C4F-8FFD-CA7E8EAD9B10}" name="2021" dataDxfId="3554"/>
    <tableColumn id="6" xr3:uid="{04E26AE1-6F0B-45A0-A9DB-BA1E5C5E39CA}" name="2020" dataDxfId="3553"/>
  </tableColumns>
  <tableStyleInfo name="TableStyleMedium11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73FA63CA-EFC2-4099-A7A1-ADDE08AAA1EB}" name="TRANSCGLR5SP" displayName="TRANSCGLR5SP" ref="J123:P135" totalsRowShown="0" headerRowDxfId="3552" dataDxfId="3551">
  <tableColumns count="7">
    <tableColumn id="1" xr3:uid="{B3933596-4EC4-4DC8-9FD6-50376A1F29C4}" name="MOIS" dataDxfId="3550"/>
    <tableColumn id="7" xr3:uid="{5D6B728D-1032-4462-A8ED-30DE4BCD4227}" name="2025" dataDxfId="3549"/>
    <tableColumn id="2" xr3:uid="{E17A6180-7472-4FFD-844F-FDB71AF84C84}" name="2024" dataDxfId="3548"/>
    <tableColumn id="3" xr3:uid="{D751C442-F6EA-4C00-87F1-D987B03AD371}" name="2023" dataDxfId="3547"/>
    <tableColumn id="4" xr3:uid="{6E209B99-00F3-4D90-8C80-797F56E5095A}" name="2022" dataDxfId="3546"/>
    <tableColumn id="5" xr3:uid="{6B4E2EED-FFA8-4841-83AA-F2B09B90E1B6}" name="2021" dataDxfId="3545"/>
    <tableColumn id="6" xr3:uid="{7662F000-55A8-4E2F-BC86-DE67FA9C8350}" name="2020" dataDxfId="3544"/>
  </tableColumns>
  <tableStyleInfo name="TableStyleMedium14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C59F6379-70A8-4301-9629-ADF096CDD2BA}" name="TRANSCVR7SP" displayName="TRANSCVR7SP" ref="AH123:AN135" totalsRowShown="0" headerRowDxfId="3543" dataDxfId="3542">
  <tableColumns count="7">
    <tableColumn id="1" xr3:uid="{FBB0ED44-583C-411D-8187-2D7E7F27D8C2}" name="MOIS" dataDxfId="3541"/>
    <tableColumn id="7" xr3:uid="{A41D9DA5-F5E1-4B6E-A844-1F84C5038CD2}" name="2025" dataDxfId="3540"/>
    <tableColumn id="2" xr3:uid="{2B9B8A88-229D-4D35-A236-8D6F99B8F045}" name="2024" dataDxfId="3539"/>
    <tableColumn id="3" xr3:uid="{B295A58D-4B7F-4427-87A4-FD094F312EEE}" name="2023" dataDxfId="3538"/>
    <tableColumn id="4" xr3:uid="{0B77F2E5-9F08-4D39-B394-02184B0C1A95}" name="2022" dataDxfId="3537"/>
    <tableColumn id="5" xr3:uid="{DD8A565E-7DA7-40F4-8452-8A2C15318ACA}" name="2021" dataDxfId="3536"/>
    <tableColumn id="6" xr3:uid="{731810C4-85B4-4E2E-B7F2-766612DADF8F}" name="2020" dataDxfId="3535"/>
  </tableColumns>
  <tableStyleInfo name="TableStyleMedium8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3ACA291D-63D3-4662-B9D6-6436E3DA462B}" name="TRANSCTIRRSP" displayName="TRANSCTIRRSP" ref="Z123:AF135" totalsRowShown="0" headerRowDxfId="3534" dataDxfId="3533">
  <tableColumns count="7">
    <tableColumn id="1" xr3:uid="{70A198C2-8E19-4D27-B566-598DF2D75D8D}" name="MOIS" dataDxfId="3532"/>
    <tableColumn id="7" xr3:uid="{A8C183FA-F12F-4D9C-8555-FE9BFF290507}" name="2025" dataDxfId="3531"/>
    <tableColumn id="2" xr3:uid="{6CB249F1-897C-457E-A64D-DC5B9A21B224}" name="2024" dataDxfId="3530"/>
    <tableColumn id="3" xr3:uid="{EECE846D-EFB6-4C64-9D58-23DBAEEA6F7D}" name="2023" dataDxfId="3529"/>
    <tableColumn id="4" xr3:uid="{E805CA7D-2E72-48A7-8C14-535C7971B6FD}" name="2022" dataDxfId="3528"/>
    <tableColumn id="5" xr3:uid="{8396A8C5-BFDD-4BE7-A89B-C81E88E73262}" name="2021" dataDxfId="3527"/>
    <tableColumn id="6" xr3:uid="{D23E0DC6-A6FF-450C-AA98-271B872832C6}" name="2020" dataDxfId="3526"/>
  </tableColumns>
  <tableStyleInfo name="TableStyleMedium10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1EDBA5AF-D40D-426A-8150-D072B91ABC24}" name="TRANSCHTR8SP" displayName="TRANSCHTR8SP" ref="R123:X135" totalsRowShown="0" headerRowDxfId="3525" dataDxfId="3524">
  <tableColumns count="7">
    <tableColumn id="1" xr3:uid="{CD5D3377-9D3B-4427-8A4D-F6D817980265}" name="MOIS" dataDxfId="3523"/>
    <tableColumn id="7" xr3:uid="{9FA6F7C7-69AB-403F-AC22-348ECD23BD92}" name="2025" dataDxfId="3522" dataCellStyle="Milliers"/>
    <tableColumn id="2" xr3:uid="{BC4B58AF-9C43-46F4-B227-4EBD4E529D13}" name="2024" dataDxfId="3521"/>
    <tableColumn id="3" xr3:uid="{6E94EA2F-63B8-4F9B-AB3A-1212C966A525}" name="2023" dataDxfId="3520"/>
    <tableColumn id="4" xr3:uid="{877153CD-EB80-4FDA-B509-F22E3D690F42}" name="2022" dataDxfId="3519"/>
    <tableColumn id="5" xr3:uid="{B2267D6E-E00B-43C7-8E92-686D67533722}" name="2021" dataDxfId="3518"/>
    <tableColumn id="6" xr3:uid="{4B19EE21-2F0E-4207-A9AB-0AC71A1D16B0}" name="2020" dataDxfId="3517"/>
  </tableColumns>
  <tableStyleInfo name="TableStyleMedium11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D9C54492-41CB-47E2-9BA9-8541573179A5}" name="PMGLR5AE" displayName="PMGLR5AE" ref="J219:P231" totalsRowShown="0" headerRowDxfId="3516" dataDxfId="3515">
  <tableColumns count="7">
    <tableColumn id="1" xr3:uid="{04EDADD8-BF5F-49A8-A9BF-6E13CB53BC20}" name="MOIS" dataDxfId="3514"/>
    <tableColumn id="7" xr3:uid="{7EDA9008-1677-4C29-9B46-9386B4B3CD11}" name="2025" dataDxfId="3513"/>
    <tableColumn id="2" xr3:uid="{93AEA2CC-2B4C-4F69-8919-C605E08BEA1D}" name="2024" dataDxfId="3512" dataCellStyle="Milliers"/>
    <tableColumn id="3" xr3:uid="{DFCDE86A-6519-4823-9BE0-E2A9E3F72EED}" name="2023" dataDxfId="3511"/>
    <tableColumn id="4" xr3:uid="{185B87D1-5020-4E23-809A-9CF18CC0D4CE}" name="2022" dataDxfId="3510"/>
    <tableColumn id="5" xr3:uid="{4BA7EE27-4832-44A9-BD4B-6CC0F84CC6C1}" name="2021" dataDxfId="3509"/>
    <tableColumn id="6" xr3:uid="{A1FFD40D-5FA6-4E53-B0DD-D731C27E284D}" name="2020" dataDxfId="3508"/>
  </tableColumns>
  <tableStyleInfo name="TableStyleMedium14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F673BB46-5E56-4BD2-A963-D930094255AE}" name="PMVR7AE" displayName="PMVR7AE" ref="AH219:AN231" totalsRowShown="0" headerRowDxfId="3507" dataDxfId="3506">
  <tableColumns count="7">
    <tableColumn id="1" xr3:uid="{D0C7EC75-E958-4A28-A74B-6B3A14E0E260}" name="MOIS" dataDxfId="3505"/>
    <tableColumn id="7" xr3:uid="{A0A48016-E075-44C0-9F9D-39341C767C3B}" name="2025" dataDxfId="3504"/>
    <tableColumn id="2" xr3:uid="{BC43D6A7-E8D2-4A24-9B19-D60C9B5DBBF4}" name="2024" dataDxfId="3503"/>
    <tableColumn id="3" xr3:uid="{3D8DBD34-D928-4DC5-B30B-874943B1A761}" name="2023" dataDxfId="3502"/>
    <tableColumn id="4" xr3:uid="{DBFB5F86-6CD0-4C95-9C2D-DAE73A25982E}" name="2022" dataDxfId="3501"/>
    <tableColumn id="5" xr3:uid="{70FD2110-9C4F-4B91-89EA-0D03814A8454}" name="2021" dataDxfId="3500"/>
    <tableColumn id="6" xr3:uid="{F3E3D31F-081C-4187-9BA8-A6DBAE90515C}" name="2020" dataDxfId="3499"/>
  </tableColumns>
  <tableStyleInfo name="TableStyleMedium8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A4C83198-D120-413F-A32B-1809EA9B5E01}" name="PMTIRRAE" displayName="PMTIRRAE" ref="Z219:AF231" totalsRowShown="0" headerRowDxfId="3498" dataDxfId="3497">
  <tableColumns count="7">
    <tableColumn id="1" xr3:uid="{6D45328D-B573-44F0-92B1-2B792BDF3420}" name="MOIS" dataDxfId="3496"/>
    <tableColumn id="7" xr3:uid="{3DEF2B8D-3ABE-4E6B-AB0B-A511B17DF28B}" name="2025" dataDxfId="3495"/>
    <tableColumn id="2" xr3:uid="{365B64B6-F1F9-4227-8B37-2FE752D997DC}" name="2024" dataDxfId="3494" dataCellStyle="Milliers"/>
    <tableColumn id="3" xr3:uid="{441ECE6E-1BA6-4227-92EC-06BB6965A9DF}" name="2023" dataDxfId="3493"/>
    <tableColumn id="4" xr3:uid="{E7E83D06-E5B5-411A-AB8F-BB7AE3D1C328}" name="2022" dataDxfId="3492"/>
    <tableColumn id="5" xr3:uid="{42AFAC06-E2E7-4C98-9C97-2C7248DE202D}" name="2021" dataDxfId="3491"/>
    <tableColumn id="6" xr3:uid="{783E957E-45FE-47E6-8718-ABE83F61DB62}" name="2020" dataDxfId="3490"/>
  </tableColumns>
  <tableStyleInfo name="TableStyleMedium10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E7C362D0-34A8-442B-9032-CD3AA1398412}" name="PMHTR8AE" displayName="PMHTR8AE" ref="R219:X231" totalsRowShown="0" headerRowDxfId="3489" dataDxfId="3488">
  <tableColumns count="7">
    <tableColumn id="1" xr3:uid="{0CFED056-C092-4724-98FC-E0416C8B79B9}" name="MOIS" dataDxfId="3487"/>
    <tableColumn id="7" xr3:uid="{CC38FDAE-EB06-4860-8046-E19C19013E8A}" name="2025" dataDxfId="3486"/>
    <tableColumn id="2" xr3:uid="{F9EB3DCB-65CB-4B3A-B518-61CD94C41157}" name="2024" dataDxfId="3485" dataCellStyle="Milliers"/>
    <tableColumn id="3" xr3:uid="{A5987C9F-F4AE-4B54-A620-A8AE28DA9A3A}" name="2023" dataDxfId="3484"/>
    <tableColumn id="4" xr3:uid="{554C6EEE-BC5B-4A71-A08E-212E32818407}" name="2022" dataDxfId="3483"/>
    <tableColumn id="5" xr3:uid="{E709E33B-C1A3-48FF-AC1B-BDD5FC46510F}" name="2021" dataDxfId="3482"/>
    <tableColumn id="6" xr3:uid="{274A852D-8EE2-4EA9-8DE3-F8604E7C4CC3}" name="2020" dataDxfId="3481"/>
  </tableColumns>
  <tableStyleInfo name="TableStyleMedium11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F1F8EE38-3B47-4078-BCC9-9EE3079D3EC2}" name="PMGLR5SP" displayName="PMGLR5SP" ref="J203:P215" totalsRowShown="0" headerRowDxfId="3480" dataDxfId="3479">
  <tableColumns count="7">
    <tableColumn id="1" xr3:uid="{8C0531EA-7B62-450C-8A34-4C888A382469}" name="MOIS" dataDxfId="3478"/>
    <tableColumn id="7" xr3:uid="{88B47A1E-C8F0-44BA-B01C-B54C937768EA}" name="2025" dataDxfId="3477"/>
    <tableColumn id="2" xr3:uid="{63F10826-8A2A-4400-AFD2-2A177F7E155A}" name="2024" dataDxfId="3476" dataCellStyle="Milliers"/>
    <tableColumn id="3" xr3:uid="{E94282AF-E4CF-4EA5-8F7F-11FC24B11C20}" name="2023" dataDxfId="3475"/>
    <tableColumn id="4" xr3:uid="{B16962C7-1CB9-4418-95DD-EDF318960369}" name="2022" dataDxfId="3474"/>
    <tableColumn id="5" xr3:uid="{14E13372-C72D-471F-9C5E-5CC7B4E522AE}" name="2021" dataDxfId="3473"/>
    <tableColumn id="6" xr3:uid="{31F0A00E-C8B3-4BBB-B18D-BA4DD317C0BF}" name="2020" dataDxfId="3472"/>
  </tableColumns>
  <tableStyleInfo name="TableStyleMedium14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EB22583E-766F-4367-80E8-4F41C74E0D92}" name="PMVR7SP" displayName="PMVR7SP" ref="AH203:AN215" totalsRowShown="0" headerRowDxfId="3471" dataDxfId="3470">
  <tableColumns count="7">
    <tableColumn id="1" xr3:uid="{3CEFBB76-7284-4541-9F65-77CFBC479C4E}" name="MOIS" dataDxfId="3469"/>
    <tableColumn id="7" xr3:uid="{FC701409-886C-4126-897F-798CE408C5D5}" name="2025" dataDxfId="3468"/>
    <tableColumn id="2" xr3:uid="{8E010891-C980-448F-A953-C14906E6BE54}" name="2024" dataDxfId="3467"/>
    <tableColumn id="3" xr3:uid="{4E98E8A0-E28A-4622-A181-B39FC13665AC}" name="2023" dataDxfId="3466"/>
    <tableColumn id="4" xr3:uid="{92951396-EA4A-4FA7-93BB-2019AD2EC236}" name="2022" dataDxfId="3465"/>
    <tableColumn id="5" xr3:uid="{5DDA87F1-7B96-4CD7-878A-F006A1AC356D}" name="2021" dataDxfId="3464"/>
    <tableColumn id="6" xr3:uid="{F4BF80CB-6352-4145-8C25-301551B3B348}" name="2020" dataDxfId="3463"/>
  </tableColumns>
  <tableStyleInfo name="TableStyleMedium8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D08404E2-9F2F-4210-B548-A8722B89B1E3}" name="PMTIRRSP" displayName="PMTIRRSP" ref="Z203:AF215" totalsRowShown="0" headerRowDxfId="3462" dataDxfId="3461">
  <tableColumns count="7">
    <tableColumn id="1" xr3:uid="{EF1E8332-61BF-404D-AD8E-B1D32515ECBA}" name="MOIS" dataDxfId="3460"/>
    <tableColumn id="7" xr3:uid="{82DA0CAB-A681-42FF-840E-690E99034BA4}" name="2025" dataDxfId="3459"/>
    <tableColumn id="2" xr3:uid="{508CCA9B-AFD6-43E2-A316-D27C55CF4F69}" name="2024" dataDxfId="3458" dataCellStyle="Milliers"/>
    <tableColumn id="3" xr3:uid="{3302F3D6-5CCF-4DD8-8FF0-A0F9FC908ACF}" name="2023" dataDxfId="3457"/>
    <tableColumn id="4" xr3:uid="{1BD60CC5-F313-4DD4-8A4A-EEFB90349B12}" name="2022" dataDxfId="3456"/>
    <tableColumn id="5" xr3:uid="{157EF6D0-BB0C-47A9-A63C-E0B521D7826A}" name="2021" dataDxfId="3455"/>
    <tableColumn id="6" xr3:uid="{C038F83E-D816-4184-9A9F-800EC21B580E}" name="2020" dataDxfId="3454"/>
  </tableColumns>
  <tableStyleInfo name="TableStyleMedium10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A7174CB0-8C6D-4A05-97D6-6DDB131200AD}" name="PMHTR8SP" displayName="PMHTR8SP" ref="R203:X215" totalsRowShown="0" headerRowDxfId="3453" dataDxfId="3452">
  <tableColumns count="7">
    <tableColumn id="1" xr3:uid="{DA348C23-0C2B-4E73-9AA3-A5E438C0AE0D}" name="MOIS" dataDxfId="3451"/>
    <tableColumn id="7" xr3:uid="{4EF9A1E6-E4A2-4BE7-837D-892428199B7D}" name="2025" dataDxfId="3450"/>
    <tableColumn id="2" xr3:uid="{1DD9A85A-8C8D-4401-B95B-C8E8D799CC8B}" name="2024" dataDxfId="3449" dataCellStyle="Milliers"/>
    <tableColumn id="3" xr3:uid="{1EB22FE8-F8CB-42A7-B2B3-6351713F432B}" name="2023" dataDxfId="3448"/>
    <tableColumn id="4" xr3:uid="{AC247043-054C-4196-8CFE-609CBC6597CE}" name="2022" dataDxfId="3447"/>
    <tableColumn id="5" xr3:uid="{0E02C4E9-BA8C-40AD-92AC-621AED2088EF}" name="2021" dataDxfId="3446"/>
    <tableColumn id="6" xr3:uid="{C7456E07-E73A-4126-B6E8-FD8C1D320CC7}" name="2020" dataDxfId="3445"/>
  </tableColumns>
  <tableStyleInfo name="TableStyleMedium11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9030FB76-01C6-4D60-9519-A504209CE28F}" name="PMCGLR5AE" displayName="PMCGLR5AE" ref="J267:P279" totalsRowShown="0" headerRowDxfId="3444" dataDxfId="3443">
  <tableColumns count="7">
    <tableColumn id="1" xr3:uid="{6B43631A-34DA-44FA-86AB-2E41BC1F3E97}" name="MOIS" dataDxfId="3442"/>
    <tableColumn id="7" xr3:uid="{EFEBF435-290C-43DA-91EA-474B4DAEB0C5}" name="2025" dataDxfId="3441">
      <calculatedColumnFormula>AVERAGE(K220:K$220)</calculatedColumnFormula>
    </tableColumn>
    <tableColumn id="2" xr3:uid="{88A501A2-9283-4921-87F7-DD48380CECAF}" name="2024" dataDxfId="3440"/>
    <tableColumn id="3" xr3:uid="{36CA0CFC-12D0-416A-A2B1-914BD8D4441F}" name="2023" dataDxfId="3439"/>
    <tableColumn id="4" xr3:uid="{9779F6EF-D3B4-4070-915C-4C494EEBDE83}" name="2022" dataDxfId="3438"/>
    <tableColumn id="5" xr3:uid="{4C69BF35-F920-40D8-B018-568427F78ACA}" name="2021" dataDxfId="3437"/>
    <tableColumn id="6" xr3:uid="{594E6DBC-CDAD-4892-8935-630A3F161D5E}" name="2020" dataDxfId="3436"/>
  </tableColumns>
  <tableStyleInfo name="TableStyleMedium14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8BC5E0BD-08B1-4904-AD36-0DDDFDA38876}" name="PMCVR7AE" displayName="PMCVR7AE" ref="AH267:AN279" totalsRowShown="0" headerRowDxfId="3435" dataDxfId="3434">
  <tableColumns count="7">
    <tableColumn id="1" xr3:uid="{D6EE4341-978F-4625-8E25-5748FDB7BCA7}" name="MOIS" dataDxfId="3433"/>
    <tableColumn id="7" xr3:uid="{EDDDBCE3-01DA-4A34-99B8-364A5D943A6E}" name="2025" dataDxfId="3432"/>
    <tableColumn id="2" xr3:uid="{09321580-BC88-4D0A-BC3B-09FDF543B376}" name="2024" dataDxfId="3431"/>
    <tableColumn id="3" xr3:uid="{775980BE-385C-4801-81EB-E8B5E5C92EFB}" name="2023" dataDxfId="3430"/>
    <tableColumn id="4" xr3:uid="{3C18C9A8-C232-4988-B2FF-79FA1A77F646}" name="2022" dataDxfId="3429"/>
    <tableColumn id="5" xr3:uid="{78D9796E-AEE3-4DA6-9AA1-814D27490A6A}" name="2021" dataDxfId="3428"/>
    <tableColumn id="6" xr3:uid="{DA41D27C-80F1-4F1F-AD81-B691E2ECF50D}" name="2020" dataDxfId="3427"/>
  </tableColumns>
  <tableStyleInfo name="TableStyleMedium8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D3465989-86F1-48D7-9EF8-20B7FDE5B7A8}" name="PMCTIRRAE" displayName="PMCTIRRAE" ref="Z267:AF279" totalsRowShown="0" headerRowDxfId="3426" dataDxfId="3425">
  <tableColumns count="7">
    <tableColumn id="1" xr3:uid="{5DCB63FA-5592-47C6-B4B0-5D739BC4C7EA}" name="MOIS" dataDxfId="3424"/>
    <tableColumn id="7" xr3:uid="{D092F784-89BF-4027-B61B-BE1F5EDC7AE7}" name="2025" dataDxfId="3423"/>
    <tableColumn id="2" xr3:uid="{E984EF66-AB3D-4C81-BDD7-8D2B071C2226}" name="2024" dataDxfId="3422"/>
    <tableColumn id="3" xr3:uid="{633C1D80-DC02-4DE3-A64A-5AB4DE027793}" name="2023" dataDxfId="3421"/>
    <tableColumn id="4" xr3:uid="{DEEC7F50-9539-4CF7-879A-B4BC0FD122F3}" name="2022" dataDxfId="3420"/>
    <tableColumn id="5" xr3:uid="{809A8973-6142-4D2C-91E2-38BD29DB20CE}" name="2021" dataDxfId="3419"/>
    <tableColumn id="6" xr3:uid="{534509B8-52D7-4B57-9F1C-BEC477FC4198}" name="2020" dataDxfId="3418"/>
  </tableColumns>
  <tableStyleInfo name="TableStyleMedium10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E1063FF0-CA2D-434A-88B2-221916AF220B}" name="PMCHTR8AE" displayName="PMCHTR8AE" ref="R267:X279" totalsRowShown="0" headerRowDxfId="3417" dataDxfId="3416">
  <tableColumns count="7">
    <tableColumn id="1" xr3:uid="{7F4FDB43-26A0-4402-92A1-CD849646D8D3}" name="MOIS" dataDxfId="3415"/>
    <tableColumn id="7" xr3:uid="{CF3D59ED-FBC4-46AE-8216-691724362893}" name="2025" dataDxfId="3414"/>
    <tableColumn id="2" xr3:uid="{7A628A3F-F259-4CB2-BE2A-BD8031C85D05}" name="2024" dataDxfId="3413"/>
    <tableColumn id="3" xr3:uid="{201341D0-8127-4CBF-AE41-77CA384E509F}" name="2023" dataDxfId="3412"/>
    <tableColumn id="4" xr3:uid="{F93A5E19-BF51-4658-98B7-2936BCB129DF}" name="2022" dataDxfId="3411"/>
    <tableColumn id="5" xr3:uid="{2E945297-5BD1-44E9-8132-3298CB85F033}" name="2021" dataDxfId="3410"/>
    <tableColumn id="6" xr3:uid="{BC31FDEE-59DE-4C3B-8B39-3EAA1B92D7C9}" name="2020" dataDxfId="3409"/>
  </tableColumns>
  <tableStyleInfo name="TableStyleMedium11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BB196295-B243-44B2-8439-C1B1F0691683}" name="PMCGLR5SP" displayName="PMCGLR5SP" ref="J251:P263" totalsRowShown="0" headerRowDxfId="3408" dataDxfId="3407">
  <tableColumns count="7">
    <tableColumn id="1" xr3:uid="{94CC57D1-F49E-4EA0-9F79-B4843FC650EE}" name="MOIS" dataDxfId="3406"/>
    <tableColumn id="7" xr3:uid="{FED003A0-F20A-4B8A-B94C-4DD2D6163A0C}" name="2025" dataDxfId="3405">
      <calculatedColumnFormula>AVERAGE(K204:K$204)</calculatedColumnFormula>
    </tableColumn>
    <tableColumn id="2" xr3:uid="{1A62D224-6957-452C-B416-93AD9DAA6BF0}" name="2024" dataDxfId="3404"/>
    <tableColumn id="3" xr3:uid="{3811B393-708A-4B16-8213-CCAEEA787C97}" name="2023" dataDxfId="3403"/>
    <tableColumn id="4" xr3:uid="{3467D37B-38B1-45C7-A04D-63FD33D105BF}" name="2022" dataDxfId="3402"/>
    <tableColumn id="5" xr3:uid="{615617F9-0E29-45E0-BDEF-7380BF4008FC}" name="2021" dataDxfId="3401"/>
    <tableColumn id="6" xr3:uid="{8A314ADC-78F4-495F-8C83-9DAD709C88CE}" name="2020" dataDxfId="3400"/>
  </tableColumns>
  <tableStyleInfo name="TableStyleMedium14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DE332131-3D32-44A8-A0F5-1E435E8F3315}" name="PMCVR7SP" displayName="PMCVR7SP" ref="AH251:AN263" totalsRowShown="0" headerRowDxfId="3399" dataDxfId="3398">
  <tableColumns count="7">
    <tableColumn id="1" xr3:uid="{D980D22E-9149-4EE5-A12F-1757EC2A1D7A}" name="MOIS" dataDxfId="3397"/>
    <tableColumn id="7" xr3:uid="{50EA81D4-EDA2-4340-A383-FC9250784092}" name="2025" dataDxfId="3396"/>
    <tableColumn id="2" xr3:uid="{0E2EA682-061A-4F29-BCC7-4654D6D6F7E6}" name="2024" dataDxfId="3395"/>
    <tableColumn id="3" xr3:uid="{3EE38D92-705E-42F2-98D2-1F198568BBF3}" name="2023" dataDxfId="3394"/>
    <tableColumn id="4" xr3:uid="{FD558985-4AFA-44F6-A93F-29E54EDA2397}" name="2022" dataDxfId="3393"/>
    <tableColumn id="5" xr3:uid="{17C0D8F1-CB5F-4757-8552-DFF87C546931}" name="2021" dataDxfId="3392"/>
    <tableColumn id="6" xr3:uid="{701E1578-B1D9-4D21-8C41-8BE82D0423E0}" name="2020" dataDxfId="3391"/>
  </tableColumns>
  <tableStyleInfo name="TableStyleMedium8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B98C0018-BFB3-4E21-91A3-7318E8AB6824}" name="PMCTIRRSP" displayName="PMCTIRRSP" ref="Z251:AF263" totalsRowShown="0" headerRowDxfId="3390" dataDxfId="3389">
  <tableColumns count="7">
    <tableColumn id="1" xr3:uid="{8916D3CC-078D-41BB-B2F4-E36DB3A0C8D2}" name="MOIS" dataDxfId="3388"/>
    <tableColumn id="7" xr3:uid="{88786EFF-12F7-4083-9FEF-9D1A11C7E95A}" name="2025" dataDxfId="3387"/>
    <tableColumn id="2" xr3:uid="{AFECFF3D-BF8D-48DC-A599-98F90225DC23}" name="2024" dataDxfId="3386"/>
    <tableColumn id="3" xr3:uid="{2374CC7E-055A-4D1C-A40F-30B26920D4E4}" name="2023" dataDxfId="3385"/>
    <tableColumn id="4" xr3:uid="{268F057B-62BC-47A2-A4E0-1D4587831473}" name="2022" dataDxfId="3384"/>
    <tableColumn id="5" xr3:uid="{E8372145-F2AA-4C7A-8006-52F20BACE76C}" name="2021" dataDxfId="3383"/>
    <tableColumn id="6" xr3:uid="{4BFAE801-EDE6-4FD6-A0ED-C704AD236DBA}" name="2020" dataDxfId="3382"/>
  </tableColumns>
  <tableStyleInfo name="TableStyleMedium10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9AA2214-72A6-4CFB-921E-4058FCC9C75D}" name="PMCHTR8SP" displayName="PMCHTR8SP" ref="R251:X263" totalsRowShown="0" headerRowDxfId="3381" dataDxfId="3380">
  <tableColumns count="7">
    <tableColumn id="1" xr3:uid="{92A78F4A-3C13-4F10-9784-62F038ED7534}" name="MOIS" dataDxfId="3379"/>
    <tableColumn id="7" xr3:uid="{E1BBC150-1768-4EBF-8E57-4053A97061C7}" name="2025" dataDxfId="3378"/>
    <tableColumn id="2" xr3:uid="{622E359E-18F3-4A2D-BD67-FED4458A1C8C}" name="2024" dataDxfId="3377"/>
    <tableColumn id="3" xr3:uid="{BF7C837F-53DF-47EA-BE20-C9EAD77149C0}" name="2023" dataDxfId="3376"/>
    <tableColumn id="4" xr3:uid="{7AE5BA77-8632-4A1D-BFA7-32C6C2F0703F}" name="2022" dataDxfId="3375"/>
    <tableColumn id="5" xr3:uid="{309FA8BC-3BEF-4A38-ADDC-11D23D900468}" name="2021" dataDxfId="3374"/>
    <tableColumn id="6" xr3:uid="{C04F2234-7516-4700-912F-68D210128510}" name="2020" dataDxfId="3373"/>
  </tableColumns>
  <tableStyleInfo name="TableStyleMedium11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DAE2CB70-046E-4477-B7A5-1C76B6F0FA22}" name="CATURV" displayName="CATURV" ref="AP11:AV23" totalsRowShown="0" headerRowDxfId="3372" dataDxfId="3371">
  <tableColumns count="7">
    <tableColumn id="1" xr3:uid="{A253D5D0-4B50-40D2-99BC-E83EE5AFA653}" name="MOIS" dataDxfId="3370"/>
    <tableColumn id="7" xr3:uid="{7D98E263-BCB5-463B-8FEF-9DFE54F8CB96}" name="2025" dataDxfId="3369"/>
    <tableColumn id="2" xr3:uid="{3C82C21D-51A9-40FA-92C7-DD38997EFC16}" name="2024" dataDxfId="3368"/>
    <tableColumn id="3" xr3:uid="{60DBEB69-E06D-4206-AA29-8183222BDE89}" name="2023" dataDxfId="3367"/>
    <tableColumn id="4" xr3:uid="{70845D0B-B480-4B71-AEE4-11E4C64DABB6}" name="2022" dataDxfId="3366"/>
    <tableColumn id="5" xr3:uid="{8F15E8FC-7D39-4A9B-8E93-B5A2D7F63911}" name="2021" dataDxfId="3365"/>
    <tableColumn id="6" xr3:uid="{727CFE03-41E1-4FA0-B746-2DA57A0D5086}" name="2020" dataDxfId="3364"/>
  </tableColumns>
  <tableStyleInfo name="TableStyleMedium1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82D74D06-0AF7-4B9C-9C59-F0F020CAD3FE}" name="PLTURV" displayName="PLTURV" ref="AP27:AV39" totalsRowShown="0" headerRowDxfId="3363" dataDxfId="3362">
  <tableColumns count="7">
    <tableColumn id="1" xr3:uid="{22075127-2152-4D6F-B400-298513373BFB}" name="MOIS" dataDxfId="3361"/>
    <tableColumn id="7" xr3:uid="{62D7E1F4-3592-492A-820F-379CE8008540}" name="2025" dataDxfId="3360"/>
    <tableColumn id="2" xr3:uid="{8A42C257-5685-4C69-B51E-75F4A254500A}" name="2024" dataDxfId="3359"/>
    <tableColumn id="3" xr3:uid="{BA04D79F-D71A-4432-A6B0-6B0F392BFA28}" name="2023" dataDxfId="3358"/>
    <tableColumn id="4" xr3:uid="{BD1D8301-4446-4E26-BB1D-D65927F1091C}" name="2022" dataDxfId="3357"/>
    <tableColumn id="5" xr3:uid="{7EC62D18-610F-4E1B-BB3E-05151818CAF0}" name="2021" dataDxfId="3356"/>
    <tableColumn id="6" xr3:uid="{7C188ADD-ADE6-4D82-A544-8955F4469199}" name="2020" dataDxfId="3355"/>
  </tableColumns>
  <tableStyleInfo name="TableStyleMedium1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61029DCC-4AAB-45CC-BF27-08896FAA1691}" name="TRANSTURV" displayName="TRANSTURV" ref="AP107:AV119" totalsRowShown="0" headerRowDxfId="3354" dataDxfId="3353">
  <tableColumns count="7">
    <tableColumn id="1" xr3:uid="{FC19082F-C9F0-4C53-8B6D-7ACFCCF9D828}" name="MOIS" dataDxfId="3352"/>
    <tableColumn id="7" xr3:uid="{923B45B9-DE09-4B36-98E6-789607908522}" name="2025" dataDxfId="3351">
      <calculatedColumnFormula>+AQ92+AQ76+AQ60+AQ44</calculatedColumnFormula>
    </tableColumn>
    <tableColumn id="2" xr3:uid="{8C73198F-BA90-498E-A699-033DCB5079BB}" name="2024" dataDxfId="3350"/>
    <tableColumn id="3" xr3:uid="{9E971322-8C15-447C-BB04-E3DE1E8CEE1D}" name="2023" dataDxfId="3349"/>
    <tableColumn id="4" xr3:uid="{B61A8275-42DB-4F00-AF8E-6ACC0B61A23B}" name="2022" dataDxfId="3348"/>
    <tableColumn id="5" xr3:uid="{43DBAEB9-024E-40AC-A263-731797B9829A}" name="2021" dataDxfId="3347"/>
    <tableColumn id="6" xr3:uid="{FED2589B-D0D2-4E3D-87CA-0AB615386613}" name="2020" dataDxfId="3346"/>
  </tableColumns>
  <tableStyleInfo name="TableStyleMedium1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C04F0692-3F42-4D3E-A0A8-69A55F47C4C0}" name="PMTURV" displayName="PMTURV" ref="AP235:AV247" totalsRowShown="0" headerRowDxfId="3345" dataDxfId="3344">
  <tableColumns count="7">
    <tableColumn id="1" xr3:uid="{D652FCF0-0D1F-403B-83B9-76694E3613D5}" name="MOIS" dataDxfId="3343"/>
    <tableColumn id="7" xr3:uid="{25261D99-93CC-415F-B32E-49B31974427D}" name="2025" dataDxfId="3342"/>
    <tableColumn id="2" xr3:uid="{570BFD04-2BF5-4B92-982C-3643EEBB5253}" name="2024" dataDxfId="3341"/>
    <tableColumn id="3" xr3:uid="{C0E712E3-B664-4FB7-8D14-C53A5A9060E5}" name="2023" dataDxfId="3340"/>
    <tableColumn id="4" xr3:uid="{2DBA38AA-12D8-4F62-8508-2F8237819DC6}" name="2022" dataDxfId="3339"/>
    <tableColumn id="5" xr3:uid="{D439D5A5-F460-4BB0-910E-70105497F7BF}" name="2021" dataDxfId="3338"/>
    <tableColumn id="6" xr3:uid="{12F7CA88-B52A-4A09-A489-6C1D61720300}" name="2020" dataDxfId="3337"/>
  </tableColumns>
  <tableStyleInfo name="TableStyleMedium1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A1645E73-88A0-4B26-86F3-3BA4D4264763}" name="TRESOTURV" displayName="TRESOTURV" ref="AP299:AV311" totalsRowShown="0" headerRowDxfId="3336" dataDxfId="3335">
  <tableColumns count="7">
    <tableColumn id="1" xr3:uid="{788AC28B-CEFD-4391-ABAB-110248CE6C6D}" name="MOIS" dataDxfId="3334"/>
    <tableColumn id="7" xr3:uid="{2CA1EF5B-D04F-42D2-8851-97E305A8AC8F}" name="2025" dataDxfId="10">
      <calculatedColumnFormula>391.21271-8.50526</calculatedColumnFormula>
    </tableColumn>
    <tableColumn id="2" xr3:uid="{C93AA541-0233-4D08-A03C-04816B5C2868}" name="2024" dataDxfId="3333"/>
    <tableColumn id="3" xr3:uid="{A884FD0F-AD72-4C7E-8D82-487FB7B3AE86}" name="2023" dataDxfId="3332"/>
    <tableColumn id="4" xr3:uid="{12AF8185-2133-4679-BF44-6659E132BF42}" name="2022" dataDxfId="3331"/>
    <tableColumn id="5" xr3:uid="{356B5E08-77AF-4992-9F36-54808ACB3679}" name="2021" dataDxfId="3330"/>
    <tableColumn id="6" xr3:uid="{ED972CCF-2FD9-4C71-8DAF-1120DDB54DB6}" name="2020" dataDxfId="3329"/>
  </tableColumns>
  <tableStyleInfo name="TableStyleMedium1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2D4ADDA0-E61B-4D76-B4EE-0F6E42F7CC36}" name="TRANSCTURV" displayName="TRANSCTURV" ref="AP187:AV199" totalsRowShown="0" headerRowDxfId="3328" dataDxfId="3327">
  <tableColumns count="7">
    <tableColumn id="1" xr3:uid="{D82BCA8E-3D80-41E5-A5E7-D9BA88470AE5}" name="MOIS" dataDxfId="3326"/>
    <tableColumn id="7" xr3:uid="{351424D0-F3AF-47CF-9445-81E82FC4D8E3}" name="2025" dataDxfId="3325"/>
    <tableColumn id="2" xr3:uid="{88580658-D4F8-4613-92BD-BD384B32C478}" name="2024" dataDxfId="3324"/>
    <tableColumn id="3" xr3:uid="{DEAF5F04-7141-4A68-B8D5-A76C189CF75B}" name="2023" dataDxfId="3323"/>
    <tableColumn id="4" xr3:uid="{3E22F44B-A0DB-4200-B08B-EEF062B81D37}" name="2022" dataDxfId="3322"/>
    <tableColumn id="5" xr3:uid="{070B13FA-083D-488B-B1F5-6D3E88C8A044}" name="2021" dataDxfId="3321"/>
    <tableColumn id="6" xr3:uid="{FCA58CBE-94C9-47F3-97B2-588F0C222986}" name="2020" dataDxfId="3320"/>
  </tableColumns>
  <tableStyleInfo name="TableStyleMedium1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8BF710B2-2D40-4794-B0D2-A0031603062A}" name="PMCTURV" displayName="PMCTURV" ref="AP283:AV295" totalsRowShown="0" headerRowDxfId="3319" dataDxfId="3318">
  <tableColumns count="7">
    <tableColumn id="1" xr3:uid="{FF718AD1-AE19-4518-8E2A-20FBBD80FAA8}" name="MOIS" dataDxfId="3317"/>
    <tableColumn id="7" xr3:uid="{96F0FBB3-6263-4B67-8856-D7A1262B90D8}" name="2025" dataDxfId="3316">
      <calculatedColumnFormula>AVERAGE(AQ$236:AQ236)</calculatedColumnFormula>
    </tableColumn>
    <tableColumn id="2" xr3:uid="{CC8CA5C1-8B05-4589-96AE-B47E1B2365A5}" name="2024" dataDxfId="3315"/>
    <tableColumn id="3" xr3:uid="{0C089791-537E-4343-B94F-E95B42446A4B}" name="2023" dataDxfId="3314"/>
    <tableColumn id="4" xr3:uid="{88B19385-9E18-43C5-921B-8B18B1AF9155}" name="2022" dataDxfId="3313"/>
    <tableColumn id="5" xr3:uid="{EEE91C87-5486-4965-932B-C463B5E90F73}" name="2021" dataDxfId="3312"/>
    <tableColumn id="6" xr3:uid="{CF13DBBC-8043-4C49-9705-289D4317866D}" name="2020" dataDxfId="3311"/>
  </tableColumns>
  <tableStyleInfo name="TableStyleMedium1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D89F264-417B-422E-AC6C-29C0FAB3F271}" name="TRANSTURVK" displayName="TRANSTURVK" ref="AP91:AV103" totalsRowShown="0" headerRowDxfId="3310" dataDxfId="3309">
  <tableColumns count="7">
    <tableColumn id="1" xr3:uid="{E77866DC-EAE0-4113-890E-97F019C754EB}" name="MOIS" dataDxfId="3308"/>
    <tableColumn id="7" xr3:uid="{8B595ADF-4267-42EE-9F0C-15C8CAECC196}" name="2025" dataDxfId="3307"/>
    <tableColumn id="2" xr3:uid="{D5CB09D1-36E1-4BA8-956B-A3B4E59BB98B}" name="2024" dataDxfId="3306"/>
    <tableColumn id="3" xr3:uid="{FA98C0E0-F542-45C7-87B6-50B46CD1A137}" name="2023" dataDxfId="3305"/>
    <tableColumn id="4" xr3:uid="{B3E687B3-F197-4AEA-A57F-FEAB63402787}" name="2022" dataDxfId="3304"/>
    <tableColumn id="5" xr3:uid="{1C848C2F-AC17-495A-B4EB-7456097B9EA1}" name="2021" dataDxfId="3303"/>
    <tableColumn id="6" xr3:uid="{60101BE5-D6F1-4C48-AD88-BAB88512AA0F}" name="2020" dataDxfId="3302"/>
  </tableColumns>
  <tableStyleInfo name="TableStyleMedium1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D686B455-867F-426C-B595-5514CB0CED52}" name="TRANSTURVMC" displayName="TRANSTURVMC" ref="AP75:AV87" totalsRowShown="0" headerRowDxfId="3301" dataDxfId="3300">
  <tableColumns count="7">
    <tableColumn id="1" xr3:uid="{F084F872-E94E-411E-83E8-AADC18730AE0}" name="MOIS" dataDxfId="3299"/>
    <tableColumn id="7" xr3:uid="{4D766FBE-5A80-42DD-AFEC-52D0D83AB73E}" name="2025" dataDxfId="3298"/>
    <tableColumn id="2" xr3:uid="{E69CD945-217E-436B-822E-A2469AEB799B}" name="2024" dataDxfId="3297"/>
    <tableColumn id="3" xr3:uid="{8F45FF88-0130-4106-83C3-D9B1382D59A3}" name="2023" dataDxfId="3296"/>
    <tableColumn id="4" xr3:uid="{9A701177-A701-44EB-9E24-F231E6E23DA3}" name="2022" dataDxfId="3295"/>
    <tableColumn id="5" xr3:uid="{3B2BF9AA-91D0-4226-AE2A-30F298B656EF}" name="2021" dataDxfId="3294"/>
    <tableColumn id="6" xr3:uid="{8313361A-F7A7-4D39-9AE0-C3938FCA523B}" name="2020" dataDxfId="3293"/>
  </tableColumns>
  <tableStyleInfo name="TableStyleMedium1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E5AA1C8D-CF6E-4450-BBE5-DCCF1F2278BA}" name="TRANSTURVAE" displayName="TRANSTURVAE" ref="AP59:AV71" totalsRowShown="0" headerRowDxfId="3292" dataDxfId="3291">
  <tableColumns count="7">
    <tableColumn id="1" xr3:uid="{0AA398E3-F7E6-43E8-AD78-24FB3CBC188F}" name="MOIS" dataDxfId="3290"/>
    <tableColumn id="7" xr3:uid="{DD04E92C-7D05-4D2A-BCA4-F794006FD4E3}" name="2025" dataDxfId="3289"/>
    <tableColumn id="2" xr3:uid="{EF18EF3A-0ABF-4A58-A1BE-CEEDEEE32D03}" name="2024" dataDxfId="3288"/>
    <tableColumn id="3" xr3:uid="{BBD33C3B-0525-463E-8CBA-3947AB14D988}" name="2023" dataDxfId="3287"/>
    <tableColumn id="4" xr3:uid="{603A7EFA-BB97-4DCB-B441-568655C7B29F}" name="2022" dataDxfId="3286"/>
    <tableColumn id="5" xr3:uid="{B227F571-5580-44C4-8026-3CFD7E963A59}" name="2021" dataDxfId="3285"/>
    <tableColumn id="6" xr3:uid="{5C255A1C-7DDB-4C44-8925-5BD46ED7A95F}" name="2020" dataDxfId="3284"/>
  </tableColumns>
  <tableStyleInfo name="TableStyleMedium1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B0B04639-7FA0-4A85-A45E-BC1FFCD28E2D}" name="TRANSTURVSP" displayName="TRANSTURVSP" ref="AP43:AV55" totalsRowShown="0" headerRowDxfId="3283" dataDxfId="3282">
  <tableColumns count="7">
    <tableColumn id="1" xr3:uid="{9BCF9CFE-2650-40BA-9FF7-EDF62AAEC1C6}" name="MOIS" dataDxfId="3281"/>
    <tableColumn id="7" xr3:uid="{33495E55-3C77-4C88-A56B-EAE5A0621921}" name="2025" dataDxfId="3280"/>
    <tableColumn id="2" xr3:uid="{AFDD8036-0685-45A5-A8DF-98969FEA47AD}" name="2024" dataDxfId="3279"/>
    <tableColumn id="3" xr3:uid="{AED3D726-33D4-426D-8D62-E831AA54ED45}" name="2023" dataDxfId="3278"/>
    <tableColumn id="4" xr3:uid="{8C842511-80CF-410B-BA73-2E8622194603}" name="2022" dataDxfId="3277"/>
    <tableColumn id="5" xr3:uid="{95AB449C-5E5B-4C2D-A66B-B98F336DEFD1}" name="2021" dataDxfId="3276"/>
    <tableColumn id="6" xr3:uid="{BC9BE8E0-1B0F-45EB-8705-5407B555A6ED}" name="2020" dataDxfId="3275"/>
  </tableColumns>
  <tableStyleInfo name="TableStyleMedium1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6161088F-325C-40BA-A397-B0FD740101B6}" name="TRANSCTURVK" displayName="TRANSCTURVK" ref="AP171:AV183" totalsRowShown="0" headerRowDxfId="3274" dataDxfId="3273">
  <tableColumns count="7">
    <tableColumn id="1" xr3:uid="{EE13C762-FA13-483C-B313-5CB2002803BA}" name="MOIS" dataDxfId="3272"/>
    <tableColumn id="7" xr3:uid="{00FA467B-6270-4E2E-8AA3-F152492E8C89}" name="2025" dataDxfId="3271"/>
    <tableColumn id="2" xr3:uid="{DE25A355-8A78-4CDE-98D6-5A447EFA08A2}" name="2024" dataDxfId="3270"/>
    <tableColumn id="3" xr3:uid="{E3685E1A-8BFF-4C4C-9ECB-5A27F05967BF}" name="2023" dataDxfId="3269"/>
    <tableColumn id="4" xr3:uid="{26459900-9FD8-4D94-90DA-1B91511C1059}" name="2022" dataDxfId="3268"/>
    <tableColumn id="5" xr3:uid="{998D79C1-F7A3-4B45-9524-AA38FD1ED404}" name="2021" dataDxfId="3267"/>
    <tableColumn id="6" xr3:uid="{29A255CC-58FF-4D09-9E01-13CCDFD3346A}" name="2020" dataDxfId="3266"/>
  </tableColumns>
  <tableStyleInfo name="TableStyleMedium1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379E2468-CB87-4034-A1D5-77C0E04CB5D2}" name="TRANSCTURVMC" displayName="TRANSCTURVMC" ref="AP155:AV167" totalsRowShown="0" headerRowDxfId="3265" dataDxfId="3264">
  <tableColumns count="7">
    <tableColumn id="1" xr3:uid="{E04A7610-FDE3-490F-B9C2-3B20B9CA2AED}" name="MOIS" dataDxfId="3263"/>
    <tableColumn id="7" xr3:uid="{958A7918-6678-4EF1-AAD4-6EB5FEAFC5A7}" name="2025" dataDxfId="3262"/>
    <tableColumn id="2" xr3:uid="{96E49442-64E7-4345-B63C-88E2B36D9E8C}" name="2024" dataDxfId="3261"/>
    <tableColumn id="3" xr3:uid="{23CF3187-E529-42FD-93D4-9008E11EDA6E}" name="2023" dataDxfId="3260"/>
    <tableColumn id="4" xr3:uid="{E059D19A-C59E-46E1-A2B8-4477DB488FF7}" name="2022" dataDxfId="3259"/>
    <tableColumn id="5" xr3:uid="{9A3119F7-0120-4B30-B03E-507302F29F2E}" name="2021" dataDxfId="3258"/>
    <tableColumn id="6" xr3:uid="{6BB4F731-2B0F-4345-8C63-7380F7D2767B}" name="2020" dataDxfId="3257"/>
  </tableColumns>
  <tableStyleInfo name="TableStyleMedium1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202CFC96-595E-4683-A50E-6ABCE7DEED0D}" name="TRANSCTURVAE" displayName="TRANSCTURVAE" ref="AP139:AV151" totalsRowShown="0" headerRowDxfId="3256" dataDxfId="3255">
  <tableColumns count="7">
    <tableColumn id="1" xr3:uid="{644C8298-C551-4F98-B9EF-40F7F7293C05}" name="MOIS" dataDxfId="3254"/>
    <tableColumn id="7" xr3:uid="{9F5DBCA3-CBA1-4EE9-B836-478F47CE0FD2}" name="2025" dataDxfId="3253"/>
    <tableColumn id="2" xr3:uid="{8A7B5752-7F51-4275-BEDA-FAA962C19C18}" name="2024" dataDxfId="3252"/>
    <tableColumn id="3" xr3:uid="{66564EA5-BAF1-4514-9BC1-97A004208BD6}" name="2023" dataDxfId="3251"/>
    <tableColumn id="4" xr3:uid="{A951F6DA-44AD-4666-828B-0D87590BAB8F}" name="2022" dataDxfId="3250"/>
    <tableColumn id="5" xr3:uid="{5B4ADA70-AD3C-4B14-9AA8-0B6507FD8D69}" name="2021" dataDxfId="3249"/>
    <tableColumn id="6" xr3:uid="{5EF5762D-7AEF-4010-BDB2-06C0F15EA1D5}" name="2020" dataDxfId="3248"/>
  </tableColumns>
  <tableStyleInfo name="TableStyleMedium1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A461D888-47B3-45BC-AC58-3B268D76A49C}" name="TRANSCTURVSP" displayName="TRANSCTURVSP" ref="AP123:AV135" totalsRowShown="0" headerRowDxfId="3247" dataDxfId="3246">
  <tableColumns count="7">
    <tableColumn id="1" xr3:uid="{95FCBB4D-B31C-4138-AE66-7CCD7EDDD728}" name="MOIS" dataDxfId="3245"/>
    <tableColumn id="7" xr3:uid="{F0F77CA4-71B7-4DAD-AEE8-F30D4A387B49}" name="2025" dataDxfId="3244"/>
    <tableColumn id="2" xr3:uid="{D12EE4FB-0E03-4ECB-B8CA-37F03F1DFA97}" name="2024" dataDxfId="3243"/>
    <tableColumn id="3" xr3:uid="{9375BC1B-3467-4A86-B748-910B7B018E83}" name="2023" dataDxfId="3242"/>
    <tableColumn id="4" xr3:uid="{FDBA32E6-7394-4E1B-AA12-F5F0047D3E13}" name="2022" dataDxfId="3241"/>
    <tableColumn id="5" xr3:uid="{77CCD4C1-8BF9-43A9-A030-371941E09F59}" name="2021" dataDxfId="3240"/>
    <tableColumn id="6" xr3:uid="{54C7B5F4-DF0A-425D-93B3-487E364FB9E9}" name="2020" dataDxfId="3239"/>
  </tableColumns>
  <tableStyleInfo name="TableStyleMedium1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DC608077-529B-4EB6-B379-E3FBFC7F81ED}" name="PMTURVAE" displayName="PMTURVAE" ref="AP219:AV231" totalsRowShown="0" headerRowDxfId="3238" dataDxfId="3237">
  <tableColumns count="7">
    <tableColumn id="1" xr3:uid="{ABFDFF08-FD0A-4240-ABD9-89D1211F20B6}" name="MOIS" dataDxfId="3236"/>
    <tableColumn id="7" xr3:uid="{DC66B975-3AAA-485B-8CFC-FD121A63175B}" name="2025" dataDxfId="3235"/>
    <tableColumn id="2" xr3:uid="{1BDEF2ED-6184-4AE8-A66F-9623FD31E6C9}" name="2024" dataDxfId="3234"/>
    <tableColumn id="3" xr3:uid="{30D5BC37-234D-4AC3-8567-318EC67B3F44}" name="2023" dataDxfId="3233"/>
    <tableColumn id="4" xr3:uid="{47861BE0-F269-4EA9-BFF9-D2743253A2C9}" name="2022" dataDxfId="3232"/>
    <tableColumn id="5" xr3:uid="{9F0F6420-3EDA-4F22-A9C0-E32DC62894B6}" name="2021" dataDxfId="3231"/>
    <tableColumn id="6" xr3:uid="{9BDA335A-D25A-481A-8EC8-7B030A49055A}" name="2020" dataDxfId="3230"/>
  </tableColumns>
  <tableStyleInfo name="TableStyleMedium1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855DCA96-C4AF-4627-B143-544F4DF143FB}" name="PMTURVSP" displayName="PMTURVSP" ref="AP203:AV215" totalsRowShown="0" headerRowDxfId="3229" dataDxfId="3228">
  <tableColumns count="7">
    <tableColumn id="1" xr3:uid="{B921D227-E267-46CD-8727-5A1E2BC86D97}" name="MOIS" dataDxfId="3227"/>
    <tableColumn id="7" xr3:uid="{17B11838-4FC7-454B-A522-C94FD8339A67}" name="2025" dataDxfId="3226"/>
    <tableColumn id="2" xr3:uid="{D766ED0C-63EE-4ACC-92B8-D904B17A4680}" name="2024" dataDxfId="3225"/>
    <tableColumn id="3" xr3:uid="{B1B1A75B-71F6-4AA0-9C45-232E4CD3E259}" name="2023" dataDxfId="3224"/>
    <tableColumn id="4" xr3:uid="{403AF7CA-C3BB-4FDB-980F-25091A4EE4D0}" name="2022" dataDxfId="3223"/>
    <tableColumn id="5" xr3:uid="{2F1407FF-D47A-4C32-9860-387954AEDFBD}" name="2021" dataDxfId="3222"/>
    <tableColumn id="6" xr3:uid="{656A3F27-828B-4FFB-AE89-0AAC9C4B77ED}" name="2020" dataDxfId="3221"/>
  </tableColumns>
  <tableStyleInfo name="TableStyleMedium1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8E54B97F-EFFB-422B-9F82-7ECCB8476601}" name="PMCTURVAE" displayName="PMCTURVAE" ref="AP267:AV279" totalsRowShown="0" headerRowDxfId="3220" dataDxfId="3219">
  <tableColumns count="7">
    <tableColumn id="1" xr3:uid="{641B22C6-46D2-4C5F-A7F1-68364122C7FF}" name="MOIS" dataDxfId="3218"/>
    <tableColumn id="7" xr3:uid="{6A5054E7-4D41-4C66-B4C1-132DA8ECC331}" name="2025" dataDxfId="3217"/>
    <tableColumn id="2" xr3:uid="{CD6D6385-426E-4CE1-8862-6CEA46AAFBAD}" name="2024" dataDxfId="3216"/>
    <tableColumn id="3" xr3:uid="{095C7144-6B1F-4C5A-8A0E-BD484A25E5F7}" name="2023" dataDxfId="3215"/>
    <tableColumn id="4" xr3:uid="{28912B91-79E0-4994-82EF-00674B72B5D1}" name="2022" dataDxfId="3214"/>
    <tableColumn id="5" xr3:uid="{897D507A-20BB-4F75-9FAC-997DBDCFF59C}" name="2021" dataDxfId="3213"/>
    <tableColumn id="6" xr3:uid="{3CF184D3-E80D-4ABF-8931-B205B4C82116}" name="2020" dataDxfId="3212"/>
  </tableColumns>
  <tableStyleInfo name="TableStyleMedium1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9B2A8431-6684-4CE3-9535-7BB1547B31CA}" name="PMCTURVSP" displayName="PMCTURVSP" ref="AP251:AV263" totalsRowShown="0" headerRowDxfId="3211" dataDxfId="3210">
  <tableColumns count="7">
    <tableColumn id="1" xr3:uid="{F63A6E05-19D5-4CC8-A27F-8C5AB711FD2D}" name="MOIS" dataDxfId="3209"/>
    <tableColumn id="7" xr3:uid="{51AE1A05-AC63-4EBC-B782-DFF4BCCEDB4A}" name="2025" dataDxfId="3208"/>
    <tableColumn id="2" xr3:uid="{2C00D9EA-CE26-4616-BDA5-76C6D86E1836}" name="2024" dataDxfId="3207"/>
    <tableColumn id="3" xr3:uid="{6AFA0730-3A88-4833-9260-9211DBC39980}" name="2023" dataDxfId="3206"/>
    <tableColumn id="4" xr3:uid="{65976969-509F-4553-90E4-CAA5B73A4BE4}" name="2022" dataDxfId="3205"/>
    <tableColumn id="5" xr3:uid="{8AC139FB-1B76-40A2-BEDC-D8799A49C59D}" name="2021" dataDxfId="3204"/>
    <tableColumn id="6" xr3:uid="{0973335B-BA58-4E96-B982-B788B18CF4EC}" name="2020" dataDxfId="3203"/>
  </tableColumns>
  <tableStyleInfo name="TableStyleMedium1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5A979E31-81E2-41F3-9FE2-55B3989DA9C1}" name="CAHART" displayName="CAHART" ref="AX11:BD23" totalsRowShown="0" headerRowDxfId="3202" dataDxfId="3201">
  <tableColumns count="7">
    <tableColumn id="1" xr3:uid="{0286815E-2BB9-428C-96BF-B511C8068C2C}" name="MOIS" dataDxfId="3200"/>
    <tableColumn id="7" xr3:uid="{27135D18-FABA-418D-95D9-D932E472BC91}" name="2025" dataDxfId="3199"/>
    <tableColumn id="2" xr3:uid="{75C7B80C-F4F3-4396-891B-FE7FFF6B9426}" name="2024" dataDxfId="3198" dataCellStyle="Milliers"/>
    <tableColumn id="3" xr3:uid="{33C52331-EB32-4CB5-8B74-8EF8D9EEAB54}" name="2023" dataDxfId="3197"/>
    <tableColumn id="4" xr3:uid="{7DB5AD03-18F5-4FFE-91C6-EC997CBF2DF9}" name="2022" dataDxfId="3196"/>
    <tableColumn id="5" xr3:uid="{0ABE960F-F616-4051-8827-E70A89B97AB2}" name="2021" dataDxfId="3195"/>
    <tableColumn id="6" xr3:uid="{6A07F5F6-BF90-437B-A657-EF14922F1CEE}" name="2020" dataDxfId="3194"/>
  </tableColumns>
  <tableStyleInfo name="TableStyleMedium13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1340667D-F03D-4E8E-B2B9-A8CCF859C781}" name="PLHART" displayName="PLHART" ref="AX27:BD39" totalsRowShown="0" headerRowDxfId="3193" dataDxfId="3192">
  <tableColumns count="7">
    <tableColumn id="1" xr3:uid="{61434807-C18A-4BDD-9572-C2C8533A4AC5}" name="MOIS" dataDxfId="3191"/>
    <tableColumn id="7" xr3:uid="{FACF6D0F-A6FF-4E6B-BAB2-9EBBCA9C3F60}" name="2025" dataDxfId="3190"/>
    <tableColumn id="2" xr3:uid="{ED43AF90-7589-4E5A-B5D6-8980262C58DD}" name="2024" dataDxfId="3189" dataCellStyle="Milliers"/>
    <tableColumn id="3" xr3:uid="{006C90C0-320E-4B39-9037-F70AAA05E555}" name="2023" dataDxfId="3188"/>
    <tableColumn id="4" xr3:uid="{18652988-35B0-461C-85E5-56F6D8CAA63E}" name="2022" dataDxfId="3187"/>
    <tableColumn id="5" xr3:uid="{A17249BA-8618-4455-B434-B8167CA9FDD0}" name="2021" dataDxfId="3186"/>
    <tableColumn id="6" xr3:uid="{8C972DE2-79C6-418D-82A9-8D4D578E132B}" name="2020" dataDxfId="3185"/>
  </tableColumns>
  <tableStyleInfo name="TableStyleMedium13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51572BF9-5496-441C-91AB-9279D125016E}" name="TRANSHART" displayName="TRANSHART" ref="AX107:BD119" totalsRowShown="0" headerRowDxfId="3184" dataDxfId="3183">
  <tableColumns count="7">
    <tableColumn id="1" xr3:uid="{9F470848-CCAA-4D00-9456-E3AEE8D84539}" name="MOIS" dataDxfId="3182"/>
    <tableColumn id="7" xr3:uid="{F9D5C306-5DF0-4E77-8A1E-00C94ADEDBFC}" name="2025" dataDxfId="3181">
      <calculatedColumnFormula>+AY92+AY76+AY60+AY44</calculatedColumnFormula>
    </tableColumn>
    <tableColumn id="2" xr3:uid="{E3E491C9-7AD2-48BB-8343-8B17359CE09F}" name="2024" dataDxfId="3180" dataCellStyle="Milliers"/>
    <tableColumn id="3" xr3:uid="{9CE24E92-AB5F-4AAA-909B-5AEBBF6C3E13}" name="2023" dataDxfId="3179"/>
    <tableColumn id="4" xr3:uid="{F2A3EE00-1437-4EAD-95AE-F6DD33C770A4}" name="2022" dataDxfId="3178"/>
    <tableColumn id="5" xr3:uid="{FB9515F7-9222-4CCD-AA1B-48E9C0341B2A}" name="2021" dataDxfId="3177"/>
    <tableColumn id="6" xr3:uid="{5B1E1D6B-929B-488B-B021-D0DD5556AC7B}" name="2020" dataDxfId="3176"/>
  </tableColumns>
  <tableStyleInfo name="TableStyleMedium13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6527079C-2558-4C0E-A204-D3EE8681E538}" name="PMHART" displayName="PMHART" ref="AX235:BD247" totalsRowShown="0" headerRowDxfId="3175" dataDxfId="3174">
  <tableColumns count="7">
    <tableColumn id="1" xr3:uid="{7DFA56A5-2A40-4FAE-8042-37A54DBECF65}" name="MOIS" dataDxfId="3173"/>
    <tableColumn id="7" xr3:uid="{326C15BD-269F-49D2-88DC-A8B70E557818}" name="2025" dataDxfId="3172"/>
    <tableColumn id="2" xr3:uid="{30401F69-1ECA-453A-BD37-92EF1D27B57E}" name="2024" dataDxfId="3171"/>
    <tableColumn id="3" xr3:uid="{DB259C83-C0A6-4A37-A389-C8EAB5B8B0F4}" name="2023" dataDxfId="3170"/>
    <tableColumn id="4" xr3:uid="{C92EB830-4B49-4B7E-B546-28B96D969E6D}" name="2022" dataDxfId="3169"/>
    <tableColumn id="5" xr3:uid="{58B831FE-7FDD-42E0-BC3F-40C9E08752F9}" name="2021" dataDxfId="3168"/>
    <tableColumn id="6" xr3:uid="{C0E8A0C5-BE5F-4CB6-8A82-81C3AD4CFA0E}" name="2020" dataDxfId="3167"/>
  </tableColumns>
  <tableStyleInfo name="TableStyleMedium13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D3147F26-7991-4781-BE43-16AD60E17CA8}" name="TRESOHART" displayName="TRESOHART" ref="AX299:BD311" totalsRowShown="0" headerRowDxfId="3166" dataDxfId="3165">
  <tableColumns count="7">
    <tableColumn id="1" xr3:uid="{8F2CBF2C-7E6F-492F-A528-DB7E89715BC8}" name="MOIS" dataDxfId="3164"/>
    <tableColumn id="7" xr3:uid="{4EA11C51-D18E-46F5-8F33-DC3CD2B56513}" name="2025" dataDxfId="3163"/>
    <tableColumn id="2" xr3:uid="{6CE87F9D-F6C7-4F59-A12D-AAFA463D0D43}" name="2024" dataDxfId="3162"/>
    <tableColumn id="3" xr3:uid="{75A4FADC-82C3-4133-A66B-DD8173934EEF}" name="2023" dataDxfId="3161"/>
    <tableColumn id="4" xr3:uid="{C858F1E9-A279-486D-A165-04DCDD98249D}" name="2022" dataDxfId="3160"/>
    <tableColumn id="5" xr3:uid="{42AAF37B-3E10-4E58-B8B5-644EF43819D0}" name="2021" dataDxfId="3159"/>
    <tableColumn id="6" xr3:uid="{CF41BB3D-E059-4B66-8EC0-4A9E37732411}" name="2020" dataDxfId="3158"/>
  </tableColumns>
  <tableStyleInfo name="TableStyleMedium13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8B196957-A638-4E12-AB6D-1709CA37008A}" name="TRANSCHART" displayName="TRANSCHART" ref="AX187:BD199" totalsRowShown="0" headerRowDxfId="3157" dataDxfId="3156">
  <tableColumns count="7">
    <tableColumn id="1" xr3:uid="{ECAE7CFE-0423-49C1-BAB5-1EDC86DCA81E}" name="MOIS" dataDxfId="3155"/>
    <tableColumn id="7" xr3:uid="{9336E75E-CF23-499E-B644-56A575A41D89}" name="2025" dataDxfId="3154"/>
    <tableColumn id="2" xr3:uid="{0E27DF23-C969-4D49-8CED-3CF7500558DF}" name="2024" dataDxfId="3153" dataCellStyle="Milliers"/>
    <tableColumn id="3" xr3:uid="{F9C30D2F-D39E-4169-A57F-EA9BD1C8B153}" name="2023" dataDxfId="3152"/>
    <tableColumn id="4" xr3:uid="{69429D11-707B-4FC7-AA22-0F59C7053257}" name="2022" dataDxfId="3151"/>
    <tableColumn id="5" xr3:uid="{5C8B010E-7745-4EA4-8F1E-365DA7A9BB4E}" name="2021" dataDxfId="3150"/>
    <tableColumn id="6" xr3:uid="{58F738A0-A19B-4F7F-993D-44D4FDF2938F}" name="2020" dataDxfId="3149"/>
  </tableColumns>
  <tableStyleInfo name="TableStyleMedium13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367FF63E-5FBA-4A5A-8802-D239C50F8150}" name="PMCHART" displayName="PMCHART" ref="AX283:BD295" totalsRowShown="0" headerRowDxfId="3148" dataDxfId="3147">
  <tableColumns count="7">
    <tableColumn id="1" xr3:uid="{E6F38B28-2D85-4301-B6BB-B783ED4D2F8B}" name="MOIS" dataDxfId="3146"/>
    <tableColumn id="7" xr3:uid="{7F4734E2-4D98-4E85-AE5F-6D1C1A261FD5}" name="2025" dataDxfId="3145">
      <calculatedColumnFormula>AVERAGE(AY$236:AY236)</calculatedColumnFormula>
    </tableColumn>
    <tableColumn id="2" xr3:uid="{4F9EAE3A-0A2E-4DDD-9120-AB4F42DC688D}" name="2024" dataDxfId="3144"/>
    <tableColumn id="3" xr3:uid="{9523506A-9672-4528-AAE9-F564811649A3}" name="2023" dataDxfId="3143"/>
    <tableColumn id="4" xr3:uid="{CFF2AFC4-ADEA-4C36-9572-538D0036B175}" name="2022" dataDxfId="3142"/>
    <tableColumn id="5" xr3:uid="{1D071FE5-6882-494F-AF5C-8B4896214727}" name="2021" dataDxfId="3141"/>
    <tableColumn id="6" xr3:uid="{4550457B-0905-4309-9859-C3B4C4C6F7B4}" name="2020" dataDxfId="3140"/>
  </tableColumns>
  <tableStyleInfo name="TableStyleMedium13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B9792D6D-DA6B-42C4-9F5B-79DC3EA17354}" name="TRANSHARTK" displayName="TRANSHARTK" ref="AX91:BD103" totalsRowShown="0" headerRowDxfId="3139" dataDxfId="3138">
  <tableColumns count="7">
    <tableColumn id="1" xr3:uid="{A84D69B5-E5A2-40AD-AB3E-B9E1F1C49464}" name="MOIS" dataDxfId="3137"/>
    <tableColumn id="7" xr3:uid="{AD656B0C-0802-45EC-92D0-40EE3F854034}" name="2025" dataDxfId="3136"/>
    <tableColumn id="2" xr3:uid="{82F23C9F-190C-4CE3-867E-D6EEB368DB8A}" name="2024" dataDxfId="3135" dataCellStyle="Milliers"/>
    <tableColumn id="3" xr3:uid="{58B45203-9579-4D1B-9346-87AEF1639A4F}" name="2023" dataDxfId="3134"/>
    <tableColumn id="4" xr3:uid="{814A4F4A-DB48-450B-9E02-FC3B4265DC99}" name="2022" dataDxfId="3133"/>
    <tableColumn id="5" xr3:uid="{93CDC7A6-E742-4C06-BDA7-3C3DA34EEEAB}" name="2021" dataDxfId="3132"/>
    <tableColumn id="6" xr3:uid="{155FBC11-1A12-4B16-8AC6-342E475F5BDC}" name="2020" dataDxfId="3131"/>
  </tableColumns>
  <tableStyleInfo name="TableStyleMedium13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1D0A856D-7753-41A5-B81E-7BD81F9C7F73}" name="TRANSHARTMC" displayName="TRANSHARTMC" ref="AX75:BD87" totalsRowShown="0" headerRowDxfId="3130" dataDxfId="3129">
  <tableColumns count="7">
    <tableColumn id="1" xr3:uid="{5C263309-28A0-4E31-94B8-AC7CCBE41D5B}" name="MOIS" dataDxfId="3128"/>
    <tableColumn id="7" xr3:uid="{39BAE299-5615-46DE-83F7-8ED555323E37}" name="2025" dataDxfId="3127"/>
    <tableColumn id="2" xr3:uid="{EE56853D-A4F9-4420-BE6C-527C4B5A16A1}" name="2024" dataDxfId="3126" dataCellStyle="Milliers"/>
    <tableColumn id="3" xr3:uid="{EC71A62D-4585-4592-A39D-EF736C492589}" name="2023" dataDxfId="3125"/>
    <tableColumn id="4" xr3:uid="{EEF1284C-482D-427F-98DC-18CBC6E8F140}" name="2022" dataDxfId="3124"/>
    <tableColumn id="5" xr3:uid="{8B096B61-A0C5-4384-A632-FA5B6A38E457}" name="2021" dataDxfId="3123"/>
    <tableColumn id="6" xr3:uid="{0C990CA7-C236-491C-B642-1F25A3255ABD}" name="2020" dataDxfId="3122"/>
  </tableColumns>
  <tableStyleInfo name="TableStyleMedium13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4B74BE1-D933-4616-A432-546D8F8CC072}" name="TRANSHARTAE" displayName="TRANSHARTAE" ref="AX59:BD71" totalsRowShown="0" headerRowDxfId="3121" dataDxfId="3120">
  <tableColumns count="7">
    <tableColumn id="1" xr3:uid="{8481A4AB-6FE7-4347-8BCF-A17FF8042497}" name="MOIS" dataDxfId="3119"/>
    <tableColumn id="7" xr3:uid="{502AD439-3D78-4161-834E-7600A3BF804F}" name="2025" dataDxfId="3118"/>
    <tableColumn id="2" xr3:uid="{6132C6FA-8925-440F-BA1E-133F3301AA5C}" name="2024" dataDxfId="3117" dataCellStyle="Milliers"/>
    <tableColumn id="3" xr3:uid="{90BB6296-9107-4ACE-934B-BAA51661B461}" name="2023" dataDxfId="3116"/>
    <tableColumn id="4" xr3:uid="{1959BFEE-CD52-49C4-BB11-217157B6A0DC}" name="2022" dataDxfId="3115"/>
    <tableColumn id="5" xr3:uid="{20677F11-434C-4787-BF41-3D68D77B04F6}" name="2021" dataDxfId="3114"/>
    <tableColumn id="6" xr3:uid="{474476D6-6E77-4B3E-A549-1B1EF2B14CD7}" name="2020" dataDxfId="3113"/>
  </tableColumns>
  <tableStyleInfo name="TableStyleMedium13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164BB7D0-6F6B-4556-B7EB-31A80258814E}" name="TRANSHARTSP" displayName="TRANSHARTSP" ref="AX43:BD55" totalsRowShown="0" headerRowDxfId="3112" dataDxfId="3111">
  <tableColumns count="7">
    <tableColumn id="1" xr3:uid="{2F52396E-BD8F-4E99-B076-3C0346839883}" name="MOIS" dataDxfId="3110"/>
    <tableColumn id="7" xr3:uid="{A6ADAB0F-5908-4540-9479-2394BF62F4AD}" name="2025" dataDxfId="3109"/>
    <tableColumn id="2" xr3:uid="{1CF2B34B-1E11-40E6-8145-222AA41FE4A6}" name="2024" dataDxfId="3108" dataCellStyle="Milliers"/>
    <tableColumn id="3" xr3:uid="{7F81C88B-CD2E-49CA-B394-7E4A1A03D615}" name="2023" dataDxfId="3107"/>
    <tableColumn id="4" xr3:uid="{BD9DA33A-BB10-4A11-8DB8-6FCA8F5077BE}" name="2022" dataDxfId="3106"/>
    <tableColumn id="5" xr3:uid="{1C35B658-ACA0-4151-BF25-FCBAE0BB11D8}" name="2021" dataDxfId="3105"/>
    <tableColumn id="6" xr3:uid="{C6063B41-F1EC-41BE-9671-769F468139D9}" name="2020" dataDxfId="3104"/>
  </tableColumns>
  <tableStyleInfo name="TableStyleMedium13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F130BBE4-05FE-4590-AC11-6F2A0216BD07}" name="TRANSCHARTK" displayName="TRANSCHARTK" ref="AX171:BD183" totalsRowShown="0" headerRowDxfId="3103" dataDxfId="3102">
  <tableColumns count="7">
    <tableColumn id="1" xr3:uid="{563711DB-7352-46A7-BCF3-6EEA5F3D8B7F}" name="MOIS" dataDxfId="3101"/>
    <tableColumn id="7" xr3:uid="{7A6F50BD-B6A7-4F94-B1AD-40DB0457712F}" name="2025" dataDxfId="3100"/>
    <tableColumn id="2" xr3:uid="{AA5AC037-65DA-4F7F-AC63-61223AFFFECA}" name="2024" dataDxfId="3099" dataCellStyle="Milliers"/>
    <tableColumn id="3" xr3:uid="{F79FE622-0746-49BD-8239-AF9FE815292C}" name="2023" dataDxfId="3098"/>
    <tableColumn id="4" xr3:uid="{20B3F89A-D6CC-4FF0-A437-C35677B000B6}" name="2022" dataDxfId="3097"/>
    <tableColumn id="5" xr3:uid="{333EFADF-B589-4CBA-8BDC-DC302C06DE4D}" name="2021" dataDxfId="3096"/>
    <tableColumn id="6" xr3:uid="{3D67E29D-B73F-4687-AF67-E7D2568344CE}" name="2020" dataDxfId="3095"/>
  </tableColumns>
  <tableStyleInfo name="TableStyleMedium13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C72032A3-4A8E-4917-B716-6EFB710347FB}" name="TRANSCHARTMC" displayName="TRANSCHARTMC" ref="AX155:BD167" totalsRowShown="0" headerRowDxfId="3094" dataDxfId="3093">
  <tableColumns count="7">
    <tableColumn id="1" xr3:uid="{0A74FB7B-5DD2-4756-B6B5-17665E31A2CE}" name="MOIS" dataDxfId="3092"/>
    <tableColumn id="7" xr3:uid="{901839D9-74E9-4BA8-B2B4-F85616F2210D}" name="2025" dataDxfId="3091"/>
    <tableColumn id="2" xr3:uid="{71091AAF-8321-41E9-ACE9-57EF4D07C69C}" name="2024" dataDxfId="3090" dataCellStyle="Milliers"/>
    <tableColumn id="3" xr3:uid="{46065410-D727-4734-B21D-5B74D3D8C4CD}" name="2023" dataDxfId="3089"/>
    <tableColumn id="4" xr3:uid="{04DA4098-AA5F-49EE-8759-1FAAC7A5780F}" name="2022" dataDxfId="3088"/>
    <tableColumn id="5" xr3:uid="{D5EEFD78-F393-47AC-8320-09187E98769E}" name="2021" dataDxfId="3087"/>
    <tableColumn id="6" xr3:uid="{B2DCC463-BC13-41EB-A1AE-C188BB438CF5}" name="2020" dataDxfId="3086"/>
  </tableColumns>
  <tableStyleInfo name="TableStyleMedium13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6256DA5B-E0F8-4BE0-8EF6-D42A08BC74CB}" name="TRANSCHARTAE" displayName="TRANSCHARTAE" ref="AX139:BD151" totalsRowShown="0" headerRowDxfId="3085" dataDxfId="3084">
  <tableColumns count="7">
    <tableColumn id="1" xr3:uid="{23C40F4C-9F96-4DB0-8A3D-22B0FC2D2524}" name="MOIS" dataDxfId="3083"/>
    <tableColumn id="7" xr3:uid="{F132F83F-5C8B-4D67-AE9F-0894412C8C10}" name="2025" dataDxfId="3082"/>
    <tableColumn id="2" xr3:uid="{100C1705-8A79-42FA-8E8D-F51089FF982E}" name="2024" dataDxfId="3081" dataCellStyle="Milliers"/>
    <tableColumn id="3" xr3:uid="{A617A533-9956-4605-B818-B7B711E71347}" name="2023" dataDxfId="3080"/>
    <tableColumn id="4" xr3:uid="{AC588BE7-3871-46D9-8FC8-77AFF6727710}" name="2022" dataDxfId="3079"/>
    <tableColumn id="5" xr3:uid="{1C5B3E2D-22F0-46EA-8BB9-F8DCB9CED5D9}" name="2021" dataDxfId="3078"/>
    <tableColumn id="6" xr3:uid="{DDE730F6-8E50-4504-AD23-6AAE0C65C2EC}" name="2020" dataDxfId="3077"/>
  </tableColumns>
  <tableStyleInfo name="TableStyleMedium13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16C406D2-15E2-4F50-B5C9-AAFE0EAC73F8}" name="TRANSCHARTSP" displayName="TRANSCHARTSP" ref="AX123:BD135" totalsRowShown="0" headerRowDxfId="3076" dataDxfId="3075">
  <tableColumns count="7">
    <tableColumn id="1" xr3:uid="{3ED342E1-8FEF-40B4-9D2A-8C4CBED48239}" name="MOIS" dataDxfId="3074"/>
    <tableColumn id="7" xr3:uid="{F364D240-616F-46E9-8121-ACD5F7BE529A}" name="2025" dataDxfId="3073"/>
    <tableColumn id="2" xr3:uid="{8A8C31DD-E5CB-4670-A6B1-AC97F4C2BDA7}" name="2024" dataDxfId="3072" dataCellStyle="Milliers"/>
    <tableColumn id="3" xr3:uid="{0D5106DB-2405-4895-8255-BF4A5F0CD45F}" name="2023" dataDxfId="3071"/>
    <tableColumn id="4" xr3:uid="{BD989CCB-5035-4D9C-8E98-357879CEE7AD}" name="2022" dataDxfId="3070"/>
    <tableColumn id="5" xr3:uid="{9970E252-D77B-4E47-B531-1B646F9B6824}" name="2021" dataDxfId="3069"/>
    <tableColumn id="6" xr3:uid="{C7ABA04A-81A0-4781-A9C5-F5D4908A615E}" name="2020" dataDxfId="3068"/>
  </tableColumns>
  <tableStyleInfo name="TableStyleMedium13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A22221BE-02E3-47E3-8298-922A53D28430}" name="PMHARTAE" displayName="PMHARTAE" ref="AX219:BD231" totalsRowShown="0" headerRowDxfId="3067" dataDxfId="3066">
  <tableColumns count="7">
    <tableColumn id="1" xr3:uid="{51EFA9FD-7B18-4FF7-8C56-05A4BE89711F}" name="MOIS" dataDxfId="3065"/>
    <tableColumn id="7" xr3:uid="{E46ABA57-7972-42B3-A3BC-BA9ED95F1A08}" name="2025" dataDxfId="3064"/>
    <tableColumn id="2" xr3:uid="{896DF803-1125-49B0-9557-C2FEE4B7F0A1}" name="2024" dataDxfId="3063"/>
    <tableColumn id="3" xr3:uid="{C1EB58DC-05E3-4CEF-B69F-BFB2AED62BD4}" name="2023" dataDxfId="3062"/>
    <tableColumn id="4" xr3:uid="{B84FF155-AC77-48D6-91EF-C2C965361C7E}" name="2022" dataDxfId="3061"/>
    <tableColumn id="5" xr3:uid="{11725E95-D8DD-45D6-85B7-7859FE2EAB1A}" name="2021" dataDxfId="3060"/>
    <tableColumn id="6" xr3:uid="{849E2116-0A45-450E-8AD3-A4796F16174E}" name="2020" dataDxfId="3059"/>
  </tableColumns>
  <tableStyleInfo name="TableStyleMedium13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DBFA3F89-5800-4E44-8C36-A5A6B19AD5A0}" name="PMHARTSP" displayName="PMHARTSP" ref="AX203:BD215" totalsRowShown="0" headerRowDxfId="3058" dataDxfId="3057">
  <tableColumns count="7">
    <tableColumn id="1" xr3:uid="{5E1CA1C6-C5C9-4568-BDB0-75B842BFAB20}" name="MOIS" dataDxfId="3056"/>
    <tableColumn id="7" xr3:uid="{3E2D799B-9761-423E-824C-CF8D40BD3FA6}" name="2025" dataDxfId="3055"/>
    <tableColumn id="2" xr3:uid="{C7271A9C-FD2C-4EBE-8A83-71BD6759DC15}" name="2024" dataDxfId="3054"/>
    <tableColumn id="3" xr3:uid="{0BD06859-6914-402D-8A79-24DDD8B34974}" name="2023" dataDxfId="3053"/>
    <tableColumn id="4" xr3:uid="{B2761E00-BAAE-4B0C-A837-D1C65C65C33C}" name="2022" dataDxfId="3052"/>
    <tableColumn id="5" xr3:uid="{C82ECE68-0CD0-473D-A9DA-68D057AF2828}" name="2021" dataDxfId="3051"/>
    <tableColumn id="6" xr3:uid="{ED4847D0-AA68-4FE9-9A46-9443E4C447C7}" name="2020" dataDxfId="3050"/>
  </tableColumns>
  <tableStyleInfo name="TableStyleMedium13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85D4F8C3-B99D-40F4-A10C-E2119FC50B37}" name="PMCHARTAE" displayName="PMCHARTAE" ref="AX267:BD279" totalsRowShown="0" headerRowDxfId="3049" dataDxfId="3048">
  <tableColumns count="7">
    <tableColumn id="1" xr3:uid="{9DC8C432-7936-4384-9076-6DEC27DF989B}" name="MOIS" dataDxfId="3047"/>
    <tableColumn id="7" xr3:uid="{9168D642-FA2D-4303-AC18-48AADA09DF5C}" name="2025" dataDxfId="3046"/>
    <tableColumn id="2" xr3:uid="{90974882-048E-432C-BFAE-1A81FCE98936}" name="2024" dataDxfId="3045"/>
    <tableColumn id="3" xr3:uid="{717A70EC-5600-465A-ABAD-81AEDFE3298D}" name="2023" dataDxfId="3044"/>
    <tableColumn id="4" xr3:uid="{FA995068-8164-4876-80EF-0CFD062976E2}" name="2022" dataDxfId="3043"/>
    <tableColumn id="5" xr3:uid="{6499CA13-0E4C-45BE-BD57-F8D9CCABBBFC}" name="2021" dataDxfId="3042"/>
    <tableColumn id="6" xr3:uid="{CB198A7F-760F-439E-9FC6-3EDA41A54AB8}" name="2020" dataDxfId="3041"/>
  </tableColumns>
  <tableStyleInfo name="TableStyleMedium13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ED08ACD9-A785-4CEC-BED6-E4F4C3663649}" name="PMCHARTSP" displayName="PMCHARTSP" ref="AX251:BD263" totalsRowShown="0" headerRowDxfId="3040" dataDxfId="3039">
  <tableColumns count="7">
    <tableColumn id="1" xr3:uid="{3805A4DA-E2A0-40FB-849A-205E4B6A5D3D}" name="MOIS" dataDxfId="3038"/>
    <tableColumn id="7" xr3:uid="{F2589821-770D-434C-A604-B6196AFCCA1D}" name="2025" dataDxfId="3037"/>
    <tableColumn id="2" xr3:uid="{9D88F3BB-4FE3-47A3-AA7D-5CE1FE96B278}" name="2024" dataDxfId="3036"/>
    <tableColumn id="3" xr3:uid="{71958BB6-9DC3-45A7-ABBA-8142132A6AAE}" name="2023" dataDxfId="3035"/>
    <tableColumn id="4" xr3:uid="{78D68103-7560-4465-8482-6009D5FC3C6B}" name="2022" dataDxfId="3034"/>
    <tableColumn id="5" xr3:uid="{AD6A3266-AAE6-4696-978C-07488779D96D}" name="2021" dataDxfId="3033"/>
    <tableColumn id="6" xr3:uid="{F10B08D8-AB93-4306-8547-500DE5C6275A}" name="2020" dataDxfId="3032"/>
  </tableColumns>
  <tableStyleInfo name="TableStyleMedium13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FBD65800-481B-4089-A541-50E1DAFE1DD3}" name="CAVICT" displayName="CAVICT" ref="BF11:BL23" totalsRowShown="0" headerRowDxfId="3031" dataDxfId="3030">
  <tableColumns count="7">
    <tableColumn id="1" xr3:uid="{01D55D42-E9E4-4FF6-B08C-E115F763EBBC}" name="MOIS" dataDxfId="3029"/>
    <tableColumn id="7" xr3:uid="{7AC52757-A7BB-4258-AA94-99543FF08D13}" name="2025" dataDxfId="3028"/>
    <tableColumn id="2" xr3:uid="{26513D98-707A-49CE-8B13-F930DF30690C}" name="2024" dataDxfId="3027" dataCellStyle="Milliers"/>
    <tableColumn id="3" xr3:uid="{44B9A176-3DF7-4816-91F7-1040031EB07E}" name="2023" dataDxfId="3026"/>
    <tableColumn id="4" xr3:uid="{9CFEB175-3A54-4D60-901F-B6BCA950035C}" name="2022" dataDxfId="3025"/>
    <tableColumn id="5" xr3:uid="{596EA264-E4CB-45F9-B514-97A9EA65AF1C}" name="2021" dataDxfId="3024"/>
    <tableColumn id="6" xr3:uid="{175F9DB5-3722-4574-B50E-61C6B2CE5C01}" name="2020" dataDxfId="3023"/>
  </tableColumns>
  <tableStyleInfo name="TableStyleMedium13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9EE5C7AE-A4CD-417E-A7EF-F529B68151FC}" name="PLVICT" displayName="PLVICT" ref="BF27:BL39" totalsRowShown="0" headerRowDxfId="3022" dataDxfId="3021">
  <tableColumns count="7">
    <tableColumn id="1" xr3:uid="{8B13E713-E7E8-40E5-84E6-3167BE5CC810}" name="MOIS" dataDxfId="3020"/>
    <tableColumn id="7" xr3:uid="{4D18378F-6B1E-4FF1-88B1-43CF54AEA9AF}" name="2025" dataDxfId="3019"/>
    <tableColumn id="2" xr3:uid="{76A70964-2D56-4C09-BCF7-6161825256C8}" name="2024" dataDxfId="3018" dataCellStyle="Milliers"/>
    <tableColumn id="3" xr3:uid="{CAD3B357-7127-4A3E-A14B-F5C78344774B}" name="2023" dataDxfId="3017"/>
    <tableColumn id="4" xr3:uid="{F56057CA-656A-4499-8FAE-8A2779329B3D}" name="2022" dataDxfId="3016"/>
    <tableColumn id="5" xr3:uid="{7038A1A4-CE7A-496A-AD4B-F73D9930636C}" name="2021" dataDxfId="3015"/>
    <tableColumn id="6" xr3:uid="{F6BA277B-00DB-4BAA-9F7A-C224086EF339}" name="2020" dataDxfId="3014"/>
  </tableColumns>
  <tableStyleInfo name="TableStyleMedium13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51817F52-42AE-49FA-B2E7-4A49022E8D41}" name="TRANSVICT" displayName="TRANSVICT" ref="BF107:BL119" totalsRowShown="0" headerRowDxfId="3013" dataDxfId="3012">
  <tableColumns count="7">
    <tableColumn id="1" xr3:uid="{8391A3C2-BBAE-42F8-B817-05EF057DC29B}" name="MOIS" dataDxfId="3011"/>
    <tableColumn id="7" xr3:uid="{20800680-D31F-4571-88D1-86E053074AC2}" name="2025" dataDxfId="3010">
      <calculatedColumnFormula>+BG92+BG76+BG60+BG44</calculatedColumnFormula>
    </tableColumn>
    <tableColumn id="2" xr3:uid="{2991C06D-A741-41A3-904D-19A90F6BE569}" name="2024" dataDxfId="3009" dataCellStyle="Milliers"/>
    <tableColumn id="3" xr3:uid="{834EC2AA-FCEB-43A0-B053-F559B4F6824A}" name="2023" dataDxfId="3008"/>
    <tableColumn id="4" xr3:uid="{DF34A5D9-325D-41C0-AA7A-930285FCD0B8}" name="2022" dataDxfId="3007"/>
    <tableColumn id="5" xr3:uid="{372D9E37-6E74-490F-85FF-F9B2C853D7A5}" name="2021" dataDxfId="3006"/>
    <tableColumn id="6" xr3:uid="{94B1A284-7735-4D72-B622-4A57087C52C3}" name="2020" dataDxfId="3005"/>
  </tableColumns>
  <tableStyleInfo name="TableStyleMedium13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33B19A7-C34E-4791-A452-1CC9A8C895BA}" name="PMVICT" displayName="PMVICT" ref="BF235:BL247" totalsRowShown="0" headerRowDxfId="3004" dataDxfId="3003">
  <tableColumns count="7">
    <tableColumn id="1" xr3:uid="{B2CF480D-5113-4A8F-813D-A326D9EA6239}" name="MOIS" dataDxfId="3002"/>
    <tableColumn id="7" xr3:uid="{42EC6795-00B2-43D1-BB44-838E99932603}" name="2025" dataDxfId="3001"/>
    <tableColumn id="2" xr3:uid="{A197A64D-CABC-4748-8326-835B065DB800}" name="2024" dataDxfId="3000" dataCellStyle="Milliers"/>
    <tableColumn id="3" xr3:uid="{856C4AF3-DC48-41FA-98CF-14D3BE7A4921}" name="2023" dataDxfId="2999"/>
    <tableColumn id="4" xr3:uid="{7ABEDAF1-0EF5-4DC6-9ADE-331E34BA8E72}" name="2022" dataDxfId="2998"/>
    <tableColumn id="5" xr3:uid="{88A5DE54-F4B1-430A-8A5F-830F2BCA3C4C}" name="2021" dataDxfId="2997"/>
    <tableColumn id="6" xr3:uid="{26EA39E2-FF0F-4085-8F6D-4850DBE70EA1}" name="2020" dataDxfId="2996"/>
  </tableColumns>
  <tableStyleInfo name="TableStyleMedium13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3CA9F0D1-92F8-43CE-BCC9-A3FEEE57DD25}" name="TRESOVICT" displayName="TRESOVICT" ref="BF299:BL311" totalsRowShown="0" headerRowDxfId="2995" dataDxfId="2994">
  <tableColumns count="7">
    <tableColumn id="1" xr3:uid="{126D128C-2C96-4769-9F36-A602F37CB638}" name="MOIS" dataDxfId="2993"/>
    <tableColumn id="7" xr3:uid="{0426BE1A-81D8-48CD-929A-7B3CD278D6BB}" name="2025" dataDxfId="9">
      <calculatedColumnFormula>263.37156-5.554885</calculatedColumnFormula>
    </tableColumn>
    <tableColumn id="2" xr3:uid="{3C5613CC-C208-4AF1-A980-7F5915CBE898}" name="2024" dataDxfId="2992" dataCellStyle="Milliers"/>
    <tableColumn id="3" xr3:uid="{BA7B8FA6-ECF6-4709-9CB9-9117DC5344ED}" name="2023" dataDxfId="2991"/>
    <tableColumn id="4" xr3:uid="{36604B2F-FE62-4A76-BD53-3CAF6AB05EEA}" name="2022" dataDxfId="2990"/>
    <tableColumn id="5" xr3:uid="{33546464-9896-4CC6-B5C7-39CF30646856}" name="2021" dataDxfId="2989"/>
    <tableColumn id="6" xr3:uid="{90847A75-D7A0-45D2-AB9A-B2620C51A903}" name="2020" dataDxfId="2988"/>
  </tableColumns>
  <tableStyleInfo name="TableStyleMedium13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08E3D73D-E241-4FFC-82DF-938AE2041031}" name="TRANSCVICT" displayName="TRANSCVICT" ref="BF187:BL199" totalsRowShown="0" headerRowDxfId="2987" dataDxfId="2986">
  <tableColumns count="7">
    <tableColumn id="1" xr3:uid="{72D7B9DC-92D2-4AEE-93DE-056A6F230064}" name="MOIS" dataDxfId="2985"/>
    <tableColumn id="7" xr3:uid="{380F7C49-9987-4E2B-AD8B-9AB5F7FF9F15}" name="2025" dataDxfId="2984"/>
    <tableColumn id="2" xr3:uid="{93623AD3-8849-492A-8D81-8E47BB178B5B}" name="2024" dataDxfId="2983" dataCellStyle="Milliers"/>
    <tableColumn id="3" xr3:uid="{A4C1089B-39F0-4B5F-A37C-01A3D389F5A8}" name="2023" dataDxfId="2982"/>
    <tableColumn id="4" xr3:uid="{00B85AC1-9134-453C-BAFC-AE7FEC38CBFA}" name="2022" dataDxfId="2981"/>
    <tableColumn id="5" xr3:uid="{23767F4E-7B3B-4891-83F0-2E0547DB5B59}" name="2021" dataDxfId="2980"/>
    <tableColumn id="6" xr3:uid="{613A1327-9CF9-4474-8E1B-F7282372A03F}" name="2020" dataDxfId="2979"/>
  </tableColumns>
  <tableStyleInfo name="TableStyleMedium13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028FD836-725A-40AD-BD32-E5C6F8F9AABF}" name="PMCVICT" displayName="PMCVICT" ref="BF283:BL295" totalsRowShown="0" headerRowDxfId="2978" dataDxfId="2977">
  <tableColumns count="7">
    <tableColumn id="1" xr3:uid="{1ACBC6A4-51F7-491B-81CA-576FEF0E8900}" name="MOIS" dataDxfId="2976"/>
    <tableColumn id="7" xr3:uid="{EF9D7156-AAA5-4C94-AE12-A7DEFF7C0962}" name="2025" dataDxfId="2975">
      <calculatedColumnFormula>AVERAGE(BG$236:BG236)</calculatedColumnFormula>
    </tableColumn>
    <tableColumn id="2" xr3:uid="{02E56DF3-9E2E-44BD-9569-2879F68AC865}" name="2024" dataDxfId="2974" dataCellStyle="Milliers"/>
    <tableColumn id="3" xr3:uid="{A557568D-9409-4180-80A9-73F0D929AAA3}" name="2023" dataDxfId="2973"/>
    <tableColumn id="4" xr3:uid="{63811E41-B478-4CF0-9CFE-93A679A2D6CF}" name="2022" dataDxfId="2972"/>
    <tableColumn id="5" xr3:uid="{72C4FF85-DCBB-4539-813B-6BB9A6A38EE2}" name="2021" dataDxfId="2971"/>
    <tableColumn id="6" xr3:uid="{1BA5EE8B-E2FC-40DA-A3D6-3F991EE68ED7}" name="2020" dataDxfId="2970"/>
  </tableColumns>
  <tableStyleInfo name="TableStyleMedium13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D81F07E1-CD8C-498B-9006-36D78C7AACC5}" name="TRANSVICTK" displayName="TRANSVICTK" ref="BF91:BL103" totalsRowShown="0" headerRowDxfId="2969" dataDxfId="2968">
  <tableColumns count="7">
    <tableColumn id="1" xr3:uid="{DF0998D3-2C77-40C6-86FB-83B5E80B3D33}" name="MOIS" dataDxfId="2967"/>
    <tableColumn id="7" xr3:uid="{C28F919B-1B7C-49C5-8F04-E862FF358901}" name="2025" dataDxfId="2966"/>
    <tableColumn id="2" xr3:uid="{1833177F-A0D0-460B-AF4C-228588056370}" name="2024" dataDxfId="2965" dataCellStyle="Milliers"/>
    <tableColumn id="3" xr3:uid="{7FAE37B6-7B7A-40F1-B025-00013E869F69}" name="2023" dataDxfId="2964"/>
    <tableColumn id="4" xr3:uid="{5F73E9EE-3D33-48E5-9FED-274A413B043F}" name="2022" dataDxfId="2963"/>
    <tableColumn id="5" xr3:uid="{30F302B6-D7C3-4078-AFA6-4E57C0919C0B}" name="2021" dataDxfId="2962"/>
    <tableColumn id="6" xr3:uid="{CC13F225-9D76-4454-9BDF-DDB093538692}" name="2020" dataDxfId="2961"/>
  </tableColumns>
  <tableStyleInfo name="TableStyleMedium13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29C792F2-8800-489A-AF1B-F4C9A7A4A4BB}" name="TRANSVICTMC" displayName="TRANSVICTMC" ref="BF75:BL87" totalsRowShown="0" headerRowDxfId="2960" dataDxfId="2959">
  <tableColumns count="7">
    <tableColumn id="1" xr3:uid="{12507618-9DB6-4F4F-8D78-A1F793EDC0B5}" name="MOIS" dataDxfId="2958"/>
    <tableColumn id="7" xr3:uid="{FA392905-E3FD-45B9-B1BD-EE8E8F44757C}" name="2025" dataDxfId="2957"/>
    <tableColumn id="2" xr3:uid="{A5F8B048-1EFE-4A84-8B16-FD6277AA3CDA}" name="2024" dataDxfId="2956" dataCellStyle="Milliers"/>
    <tableColumn id="3" xr3:uid="{6ACA8DE4-76AB-453D-A699-8FBE22C3C440}" name="2023" dataDxfId="2955"/>
    <tableColumn id="4" xr3:uid="{213813E0-105F-4782-BADD-D7BAE1276918}" name="2022" dataDxfId="2954"/>
    <tableColumn id="5" xr3:uid="{1E22C076-4CDE-4AA4-9B15-6479C81452AD}" name="2021" dataDxfId="2953"/>
    <tableColumn id="6" xr3:uid="{BFF89EDB-7538-4D75-B123-0C5C3A05DB4D}" name="2020" dataDxfId="2952"/>
  </tableColumns>
  <tableStyleInfo name="TableStyleMedium13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B30142D8-A25C-4BB7-9B96-61EC55B3DE59}" name="TRANSVICTAE" displayName="TRANSVICTAE" ref="BF59:BL71" totalsRowShown="0" headerRowDxfId="2951" dataDxfId="2950">
  <tableColumns count="7">
    <tableColumn id="1" xr3:uid="{75B5D1CF-DD00-4E61-A52C-BBDA1E1A8F1B}" name="MOIS" dataDxfId="2949"/>
    <tableColumn id="7" xr3:uid="{1A7C4371-2DE7-476B-910C-BB09FBE56733}" name="2025" dataDxfId="2948"/>
    <tableColumn id="2" xr3:uid="{BBE10BAD-0566-4937-9EB2-32A0BE728BE5}" name="2024" dataDxfId="2947" dataCellStyle="Milliers"/>
    <tableColumn id="3" xr3:uid="{9561ACDE-0B25-4FE1-8493-6A5A3A2E5F70}" name="2023" dataDxfId="2946"/>
    <tableColumn id="4" xr3:uid="{CFDF6E96-F861-4DA8-B462-3B76268BF669}" name="2022" dataDxfId="2945"/>
    <tableColumn id="5" xr3:uid="{C7D15ED6-B277-419E-9078-A6BB8B2444F4}" name="2021" dataDxfId="2944"/>
    <tableColumn id="6" xr3:uid="{9583AEDC-002B-4414-8C31-3912ABF1895E}" name="2020" dataDxfId="2943"/>
  </tableColumns>
  <tableStyleInfo name="TableStyleMedium13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EAC7A898-4A9A-4493-A8B5-C67E38E45CE4}" name="TRANSVICTSP" displayName="TRANSVICTSP" ref="BF43:BL55" totalsRowShown="0" headerRowDxfId="2942" dataDxfId="2941">
  <tableColumns count="7">
    <tableColumn id="1" xr3:uid="{C2B526E4-ACD3-46FB-A396-26142A4059DF}" name="MOIS" dataDxfId="2940"/>
    <tableColumn id="7" xr3:uid="{D5A4D671-B71C-4C4C-9E4A-C4F2D66FEA46}" name="2025" dataDxfId="2939"/>
    <tableColumn id="2" xr3:uid="{8E2F344E-7D66-4CD2-AB9E-8D70692572FE}" name="2024" dataDxfId="2938" dataCellStyle="Milliers"/>
    <tableColumn id="3" xr3:uid="{5C528A50-4017-4442-8D92-508DE8D5A3D5}" name="2023" dataDxfId="2937"/>
    <tableColumn id="4" xr3:uid="{8F4183C5-D681-464C-803D-318C83B5595C}" name="2022" dataDxfId="2936"/>
    <tableColumn id="5" xr3:uid="{EC712248-BCD4-4BE8-90CA-4450B5F7C61A}" name="2021" dataDxfId="2935"/>
    <tableColumn id="6" xr3:uid="{CDCCCE96-795D-47BD-93CD-E9E20E2EAB69}" name="2020" dataDxfId="2934"/>
  </tableColumns>
  <tableStyleInfo name="TableStyleMedium13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D11FED79-7E3C-482B-8D3E-38D83CCB582B}" name="TRANSCVICTK" displayName="TRANSCVICTK" ref="BF171:BL183" totalsRowShown="0" headerRowDxfId="2933" dataDxfId="2932">
  <tableColumns count="7">
    <tableColumn id="1" xr3:uid="{1667D89B-23F6-4A85-957F-DD9C9E914835}" name="MOIS" dataDxfId="2931"/>
    <tableColumn id="7" xr3:uid="{3BE4FE78-7F9C-4E82-8F30-2ED98D5E082B}" name="2025" dataDxfId="2930"/>
    <tableColumn id="2" xr3:uid="{D877D138-43AB-47DD-B772-0B66CB0378BD}" name="2024" dataDxfId="2929" dataCellStyle="Milliers"/>
    <tableColumn id="3" xr3:uid="{7039A18C-483F-4E4E-B8DC-CD6BD146B35A}" name="2023" dataDxfId="2928"/>
    <tableColumn id="4" xr3:uid="{E2535075-C2A7-40F4-A385-C180093C6A4E}" name="2022" dataDxfId="2927"/>
    <tableColumn id="5" xr3:uid="{7A82CCED-F1B7-42A2-874D-F81DD5CB32C1}" name="2021" dataDxfId="2926"/>
    <tableColumn id="6" xr3:uid="{3A33C584-A980-4543-B8D9-62B1AAC82040}" name="2020" dataDxfId="2925"/>
  </tableColumns>
  <tableStyleInfo name="TableStyleMedium13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2FDB576E-E25B-43E1-B9A5-B2D6E1E5EED2}" name="TRANSCVICTMC" displayName="TRANSCVICTMC" ref="BF155:BL167" totalsRowShown="0" headerRowDxfId="2924" dataDxfId="2923">
  <tableColumns count="7">
    <tableColumn id="1" xr3:uid="{9C372BA1-CB05-43EF-A886-7F484B3EC3BB}" name="MOIS" dataDxfId="2922"/>
    <tableColumn id="7" xr3:uid="{37FA6094-441C-4CAD-A153-253EE8FA9A18}" name="2025" dataDxfId="2921"/>
    <tableColumn id="2" xr3:uid="{A67EF02C-2D6C-4EB7-BFE8-CBFB7A1A0A43}" name="2024" dataDxfId="2920" dataCellStyle="Milliers"/>
    <tableColumn id="3" xr3:uid="{F3C138E6-2F9D-4774-A405-F0A2D54AF30D}" name="2023" dataDxfId="2919"/>
    <tableColumn id="4" xr3:uid="{2DE6D0FC-F272-4167-A5E3-0D5A736CAC64}" name="2022" dataDxfId="2918"/>
    <tableColumn id="5" xr3:uid="{0D30C5BC-63EB-4414-9F49-4F3C1D5FA66D}" name="2021" dataDxfId="2917"/>
    <tableColumn id="6" xr3:uid="{BF189F03-14FF-496E-A8A6-8A3AA67BE5C2}" name="2020" dataDxfId="2916"/>
  </tableColumns>
  <tableStyleInfo name="TableStyleMedium13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07DA003B-32E7-4A07-8D4A-7E0829FB8F3F}" name="TRANSCVICTAE" displayName="TRANSCVICTAE" ref="BF139:BL151" totalsRowShown="0" headerRowDxfId="2915" dataDxfId="2914">
  <tableColumns count="7">
    <tableColumn id="1" xr3:uid="{5AA775B0-6CEC-4D2D-92CE-297CA51F7882}" name="MOIS" dataDxfId="2913"/>
    <tableColumn id="7" xr3:uid="{EEFD9674-63F2-411E-93A3-1919C1F3FA43}" name="2025" dataDxfId="2912"/>
    <tableColumn id="2" xr3:uid="{650C6C4F-F041-4F6A-95A4-3E5A1CB12FB3}" name="2024" dataDxfId="2911" dataCellStyle="Milliers"/>
    <tableColumn id="3" xr3:uid="{480E1D6B-C0DE-4BE6-9601-BA77C4ACA099}" name="2023" dataDxfId="2910"/>
    <tableColumn id="4" xr3:uid="{52874AD6-0BE1-473A-A407-890D34F49D63}" name="2022" dataDxfId="2909"/>
    <tableColumn id="5" xr3:uid="{5ECDB9BA-573B-4EE9-81DB-A74F7A9B0AF9}" name="2021" dataDxfId="2908"/>
    <tableColumn id="6" xr3:uid="{5BE7C522-2B66-459D-9D88-9199877087F6}" name="2020" dataDxfId="2907"/>
  </tableColumns>
  <tableStyleInfo name="TableStyleMedium13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192FDE20-F0C2-47D1-AE30-F7E91A93FBB4}" name="TRANSCVICTSP" displayName="TRANSCVICTSP" ref="BF123:BL135" totalsRowShown="0" headerRowDxfId="2906" dataDxfId="2905">
  <tableColumns count="7">
    <tableColumn id="1" xr3:uid="{AD80CA74-B4B4-4327-A4E5-8A05DD6A4D43}" name="MOIS" dataDxfId="2904"/>
    <tableColumn id="7" xr3:uid="{8BBC6BC0-F345-4E00-9736-78D42B837940}" name="2025" dataDxfId="2903"/>
    <tableColumn id="2" xr3:uid="{B2B61353-7A8C-47E9-B858-DC20006643A0}" name="2024" dataDxfId="2902" dataCellStyle="Milliers"/>
    <tableColumn id="3" xr3:uid="{16223938-9FDB-47C4-9BBA-DC03A76948EA}" name="2023" dataDxfId="2901"/>
    <tableColumn id="4" xr3:uid="{5730750E-34D7-4104-8351-AB7D0DC7A390}" name="2022" dataDxfId="2900"/>
    <tableColumn id="5" xr3:uid="{ECF40CFA-C5F9-4BB4-9C73-119B97AFC938}" name="2021" dataDxfId="2899"/>
    <tableColumn id="6" xr3:uid="{DEA27ECD-3240-4D44-B3DC-0583B47BB1C4}" name="2020" dataDxfId="2898"/>
  </tableColumns>
  <tableStyleInfo name="TableStyleMedium13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C8B80586-3C7C-476B-9FC7-F629FCBB05C3}" name="PMVICTAE" displayName="PMVICTAE" ref="BF219:BL231" totalsRowShown="0" headerRowDxfId="2897" dataDxfId="2896">
  <tableColumns count="7">
    <tableColumn id="1" xr3:uid="{3FBC9011-A7B1-4068-B689-E9FC284C5E05}" name="MOIS" dataDxfId="2895"/>
    <tableColumn id="7" xr3:uid="{08A3388B-7EA1-43A0-85F8-05C162332D85}" name="2025" dataDxfId="2894"/>
    <tableColumn id="2" xr3:uid="{4DE98E8C-E568-4B6F-BEED-440342F32475}" name="2024" dataDxfId="2893" dataCellStyle="Milliers"/>
    <tableColumn id="3" xr3:uid="{6DFD5443-54BF-4FAA-B4FF-F86D70882087}" name="2023" dataDxfId="2892"/>
    <tableColumn id="4" xr3:uid="{FC259BA1-447F-4DB6-A63A-75F08B84CBEC}" name="2022" dataDxfId="2891"/>
    <tableColumn id="5" xr3:uid="{B520D193-9D3A-453E-ADA0-00ABDC3FA323}" name="2021" dataDxfId="2890"/>
    <tableColumn id="6" xr3:uid="{5646B2A6-60FD-4FF7-AF20-8ABE2C5F076C}" name="2020" dataDxfId="2889"/>
  </tableColumns>
  <tableStyleInfo name="TableStyleMedium13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39BB4062-C521-4C58-A1BB-A840E468BDA9}" name="PMVICTSP" displayName="PMVICTSP" ref="BF203:BL215" totalsRowShown="0" headerRowDxfId="2888" dataDxfId="2887">
  <tableColumns count="7">
    <tableColumn id="1" xr3:uid="{2A3D141B-22F8-4EEF-9D39-3C87CDD54E24}" name="MOIS" dataDxfId="2886"/>
    <tableColumn id="7" xr3:uid="{C600EE03-AAF4-47B7-B00F-F2A3550ADE6D}" name="2025" dataDxfId="2885"/>
    <tableColumn id="2" xr3:uid="{9FCB2650-B60C-42E2-9EBC-DE307C375B9A}" name="2024" dataDxfId="2884" dataCellStyle="Milliers"/>
    <tableColumn id="3" xr3:uid="{DEF87258-8D32-42A4-AB85-D498A9D9D2EB}" name="2023" dataDxfId="2883"/>
    <tableColumn id="4" xr3:uid="{746626B0-7B2E-4099-9399-48C8891F022B}" name="2022" dataDxfId="2882"/>
    <tableColumn id="5" xr3:uid="{5D00BE5B-C2B0-4271-AFAD-D844886FDF0D}" name="2021" dataDxfId="2881"/>
    <tableColumn id="6" xr3:uid="{113E7A2C-D928-4751-84F3-B901B0EF9339}" name="2020" dataDxfId="2880"/>
  </tableColumns>
  <tableStyleInfo name="TableStyleMedium13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59C3D789-6347-4DBF-9BF6-9EA6B2F06671}" name="PMCVICTAE" displayName="PMCVICTAE" ref="BF267:BL279" totalsRowShown="0" headerRowDxfId="2879" dataDxfId="2878">
  <tableColumns count="7">
    <tableColumn id="1" xr3:uid="{8C43D1FE-F9B6-46BB-9FF5-AE1037FD383C}" name="MOIS" dataDxfId="2877"/>
    <tableColumn id="7" xr3:uid="{27C31462-3E14-4A11-8CF7-97E79C1FC9F9}" name="2025" dataDxfId="2876"/>
    <tableColumn id="2" xr3:uid="{24C53897-9A39-442D-BBD5-04DECA87EE35}" name="2024" dataDxfId="2875" dataCellStyle="Milliers"/>
    <tableColumn id="3" xr3:uid="{1FFE5AEB-B7AB-480A-9C72-73368021FC16}" name="2023" dataDxfId="2874"/>
    <tableColumn id="4" xr3:uid="{FC2A3F21-F827-4FAF-ADF0-B5F36539B46B}" name="2022" dataDxfId="2873"/>
    <tableColumn id="5" xr3:uid="{C7D683CE-A03A-4FEB-B1B3-FD5E5C2F15FB}" name="2021" dataDxfId="2872"/>
    <tableColumn id="6" xr3:uid="{57F4BB80-C8B5-4B92-941D-14392C5CF1E7}" name="2020" dataDxfId="2871"/>
  </tableColumns>
  <tableStyleInfo name="TableStyleMedium13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39D0EC40-B875-4B1A-8557-B439CE58298D}" name="PMCVICTSP" displayName="PMCVICTSP" ref="BF251:BL263" totalsRowShown="0" headerRowDxfId="2870" dataDxfId="2869">
  <tableColumns count="7">
    <tableColumn id="1" xr3:uid="{721A7F0D-C467-4825-9D5D-53E50A4EDD1D}" name="MOIS" dataDxfId="2868"/>
    <tableColumn id="7" xr3:uid="{BF163812-1D26-4B35-9F4E-DC9A1A6BCC49}" name="2025" dataDxfId="2867"/>
    <tableColumn id="2" xr3:uid="{B32AFB9F-4885-4B15-BA06-F8DF755B9444}" name="2024" dataDxfId="2866" dataCellStyle="Milliers"/>
    <tableColumn id="3" xr3:uid="{F2B0331E-4ACF-4278-AAF6-9290617A13A5}" name="2023" dataDxfId="2865"/>
    <tableColumn id="4" xr3:uid="{D245D10C-9764-427F-AC70-612F9A3C8DB2}" name="2022" dataDxfId="2864"/>
    <tableColumn id="5" xr3:uid="{1611E7B5-602A-4531-B4AE-2EEA950DB45E}" name="2021" dataDxfId="2863"/>
    <tableColumn id="6" xr3:uid="{E24566F2-9BE0-452A-9BA3-8F32CAA31946}" name="2020" dataDxfId="2862"/>
  </tableColumns>
  <tableStyleInfo name="TableStyleMedium13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7014076E-29F1-4BE0-9377-2850F417F743}" name="TRANSTIRRSP" displayName="TRANSTIRRSP" ref="Z43:AF55" totalsRowShown="0" headerRowDxfId="2861" dataDxfId="2860">
  <tableColumns count="7">
    <tableColumn id="1" xr3:uid="{FB3E2C8D-91EE-4030-84CD-38E090BF8542}" name="MOIS" dataDxfId="2859"/>
    <tableColumn id="7" xr3:uid="{2EB986F4-9913-4060-B2AF-F7F0C6E1CB8C}" name="2025" dataDxfId="2858"/>
    <tableColumn id="2" xr3:uid="{DDD8B5D5-4BE2-4C01-9FFC-FD63DCD123FA}" name="2024" dataDxfId="2857" dataCellStyle="Milliers"/>
    <tableColumn id="3" xr3:uid="{77DA6D16-E2AA-45B9-A905-BE9A3DBC50B4}" name="2023" dataDxfId="2856"/>
    <tableColumn id="4" xr3:uid="{92DA2749-C035-4A14-A9B1-F20DB0981EF7}" name="2022" dataDxfId="2855"/>
    <tableColumn id="5" xr3:uid="{5A82F85D-7942-4299-8D42-318D7FB56663}" name="2021" dataDxfId="2854"/>
    <tableColumn id="6" xr3:uid="{A5F8CF5E-7D6D-4B50-AE78-3563D00CBD6E}" name="2020" dataDxfId="2853"/>
  </tableColumns>
  <tableStyleInfo name="TableStyleMedium10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83BD149-B9E3-4F42-AF5F-6BC7AE5622F6}" name="CAJEANCLO" displayName="CAJEANCLO" ref="DJ11:DP23" totalsRowShown="0" headerRowDxfId="2852" dataDxfId="2851">
  <tableColumns count="7">
    <tableColumn id="1" xr3:uid="{58C4E4EF-5EE9-47DA-A5EE-35478581F9C0}" name="MOIS" dataDxfId="2850"/>
    <tableColumn id="7" xr3:uid="{F01FB18B-F24C-457F-A976-6FE05935C8D0}" name="2025" dataDxfId="2849"/>
    <tableColumn id="2" xr3:uid="{80BF8FA1-1D1D-446D-A2C9-2AB633FBA815}" name="2024" dataDxfId="2848"/>
    <tableColumn id="3" xr3:uid="{3E83F6A0-7FD2-4EF5-B09B-E504E34794AE}" name="2023" dataDxfId="2847"/>
    <tableColumn id="4" xr3:uid="{95B4603A-F1AA-4259-9E4E-2CD00443C72F}" name="2022" dataDxfId="2846"/>
    <tableColumn id="5" xr3:uid="{218D563B-7040-448D-BB92-4392ECD0F843}" name="2021" dataDxfId="2845"/>
    <tableColumn id="6" xr3:uid="{20F6D05E-659C-4C93-B0BA-7F974C9DC57A}" name="2020" dataDxfId="2844"/>
  </tableColumns>
  <tableStyleInfo name="TableStyleMedium14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C3D7F09-10BE-43D3-867E-CA25D9CEF4FE}" name="CATHOM" displayName="CATHOM" ref="DR11:DX23" totalsRowShown="0" headerRowDxfId="2843" dataDxfId="2842">
  <tableColumns count="7">
    <tableColumn id="1" xr3:uid="{9624277A-C6D5-42A9-AD7B-C411072FACA6}" name="MOIS" dataDxfId="2841"/>
    <tableColumn id="7" xr3:uid="{9C9129E9-E554-433F-A172-0AC478760B28}" name="2025" dataDxfId="2840"/>
    <tableColumn id="2" xr3:uid="{0374BEB7-0E38-48FA-8DBD-E0874AF85556}" name="2024" dataDxfId="2839"/>
    <tableColumn id="3" xr3:uid="{99A8A345-3ECB-4AD1-B1A5-3703099CEA41}" name="2023" dataDxfId="2838"/>
    <tableColumn id="4" xr3:uid="{31F1B92F-3E2D-43EA-A062-5409DE9B0D53}" name="2022" dataDxfId="2837"/>
    <tableColumn id="5" xr3:uid="{E521C3D6-5FF8-4F9B-B626-C5EF8896CA9D}" name="2021" dataDxfId="2836"/>
    <tableColumn id="6" xr3:uid="{AB6EC99F-46C0-4960-9BED-982143CF7690}" name="2020" dataDxfId="2835"/>
  </tableColumns>
  <tableStyleInfo name="TableStyleMedium8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745B3936-FF47-46A9-BBCC-BD7F31F01F8B}" name="CAHUGO" displayName="CAHUGO" ref="DB11:DH23" totalsRowShown="0" headerRowDxfId="2834" dataDxfId="2833">
  <tableColumns count="7">
    <tableColumn id="1" xr3:uid="{40DBAB0D-0F76-4C52-AC02-52C66CB8DEA6}" name="MOIS" dataDxfId="2832"/>
    <tableColumn id="7" xr3:uid="{253628C9-0B1A-4D5C-8EC1-2F3237F64358}" name="2025" dataDxfId="2831"/>
    <tableColumn id="2" xr3:uid="{698ED99B-75F0-427A-B567-CC40E1C5FC3D}" name="2024" dataDxfId="2830"/>
    <tableColumn id="3" xr3:uid="{4358128F-EED4-4EAB-B478-3609B29623C5}" name="2023" dataDxfId="2829"/>
    <tableColumn id="4" xr3:uid="{330B0A64-AA25-4914-B366-7F6FF2514652}" name="2022" dataDxfId="2828"/>
    <tableColumn id="5" xr3:uid="{16C9BD52-D552-4FD8-9D27-A4942765040B}" name="2021" dataDxfId="2827"/>
    <tableColumn id="6" xr3:uid="{82FAFB13-0404-4CCB-A10C-7D1E5CBD63BC}" name="2020" dataDxfId="2826"/>
  </tableColumns>
  <tableStyleInfo name="TableStyleMedium10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99241DFA-1516-4588-BE5D-D7C938B14DE8}" name="CAARTH" displayName="CAARTH" ref="CT11:CZ23" totalsRowShown="0" headerRowDxfId="2825" dataDxfId="2824">
  <tableColumns count="7">
    <tableColumn id="1" xr3:uid="{DCBD1A7C-304A-421D-A75B-5B1C7BDF1FDC}" name="MOIS" dataDxfId="2823"/>
    <tableColumn id="7" xr3:uid="{3390B2F8-CB8E-4B58-87DA-7F8300943DC2}" name="2025" dataDxfId="2822"/>
    <tableColumn id="2" xr3:uid="{218F686B-60BE-41C3-BD9F-63956FB3D321}" name="2024" dataDxfId="2821"/>
    <tableColumn id="3" xr3:uid="{496E7B13-FAFA-455C-9682-9FF90C80D6EC}" name="2023" dataDxfId="2820"/>
    <tableColumn id="4" xr3:uid="{F71391FB-327D-4888-B761-4F0336B423E1}" name="2022" dataDxfId="2819"/>
    <tableColumn id="5" xr3:uid="{AAAED4FC-3298-4E10-83F6-28D20F34F015}" name="2021" dataDxfId="2818"/>
    <tableColumn id="6" xr3:uid="{6F692A83-6AD6-4965-9E6D-BFB382706BF3}" name="2020" dataDxfId="2817"/>
  </tableColumns>
  <tableStyleInfo name="TableStyleMedium11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D16C40F9-0D46-45E9-8B56-1440EC0468A5}" name="PLCJEANCLO" displayName="PLCJEANCLO" ref="DJ27:DP39" totalsRowShown="0" headerRowDxfId="2816" dataDxfId="2815">
  <tableColumns count="7">
    <tableColumn id="1" xr3:uid="{7499A28A-8373-4561-B4FB-876B2B3AA413}" name="MOIS" dataDxfId="2814"/>
    <tableColumn id="7" xr3:uid="{F6A0BECA-977C-466C-A143-7D07D71A3FC8}" name="2025" dataDxfId="2813"/>
    <tableColumn id="2" xr3:uid="{DB465E90-C49E-4147-9A5A-1B49D4C8F6D8}" name="2024" dataDxfId="2812"/>
    <tableColumn id="3" xr3:uid="{09D0E413-1885-4BF9-8411-41223DC53363}" name="2023" dataDxfId="2811"/>
    <tableColumn id="4" xr3:uid="{EDB21638-B16F-446D-AABC-52C8BDF0E561}" name="2022" dataDxfId="2810"/>
    <tableColumn id="5" xr3:uid="{9C84091A-8907-4A4F-9ACC-B0F61E6D14A7}" name="2021" dataDxfId="2809"/>
    <tableColumn id="6" xr3:uid="{5BAEBBD3-7E92-4472-AF7A-2B5606C30D88}" name="2020" dataDxfId="2808"/>
  </tableColumns>
  <tableStyleInfo name="TableStyleMedium14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8B86E8BF-FA08-43BE-A837-726B7770F30F}" name="PLTHOM" displayName="PLTHOM" ref="DR27:DX39" totalsRowShown="0" headerRowDxfId="2807" dataDxfId="2806">
  <tableColumns count="7">
    <tableColumn id="1" xr3:uid="{431781EC-1254-461A-ACF2-7B967BCDE938}" name="MOIS" dataDxfId="2805"/>
    <tableColumn id="7" xr3:uid="{68502FD9-C026-4CE5-B108-CA4CB63CCECE}" name="2025" dataDxfId="2804"/>
    <tableColumn id="2" xr3:uid="{0C599CFB-FD66-4053-9C76-2CFFF461473A}" name="2024" dataDxfId="2803"/>
    <tableColumn id="3" xr3:uid="{5539E831-BAE1-43A6-8D66-D6531AB0A4A1}" name="2023" dataDxfId="2802"/>
    <tableColumn id="4" xr3:uid="{A674BAF9-7B0B-4330-952E-43D5E065FF40}" name="2022" dataDxfId="2801"/>
    <tableColumn id="5" xr3:uid="{629261D6-F0B8-4197-A509-50609C565C28}" name="2021" dataDxfId="2800"/>
    <tableColumn id="6" xr3:uid="{319301DD-6CC9-4C1A-A5A1-BEDF1B03F6D5}" name="2020" dataDxfId="2799"/>
  </tableColumns>
  <tableStyleInfo name="TableStyleMedium8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DD1A778A-7770-44F5-95F0-26780E4FD32F}" name="PLHUGO" displayName="PLHUGO" ref="DB27:DH39" totalsRowShown="0" headerRowDxfId="2798" dataDxfId="2797">
  <tableColumns count="7">
    <tableColumn id="1" xr3:uid="{2C5AEB13-2602-4129-B60B-BC1D4AC020C5}" name="MOIS" dataDxfId="2796"/>
    <tableColumn id="7" xr3:uid="{FDB41944-74FD-4501-8726-D6AEB430CB3B}" name="2025" dataDxfId="2795"/>
    <tableColumn id="2" xr3:uid="{49567706-7140-4387-A03C-F672416356E7}" name="2024" dataDxfId="2794"/>
    <tableColumn id="3" xr3:uid="{4F2F79A4-15F0-4771-8F93-611F44599905}" name="2023" dataDxfId="2793"/>
    <tableColumn id="4" xr3:uid="{9D9B38B7-0552-4B9A-AA69-3F06455DC1F4}" name="2022" dataDxfId="2792"/>
    <tableColumn id="5" xr3:uid="{85BBF3AD-32DF-4638-92EC-5A4CA6ED615B}" name="2021" dataDxfId="2791"/>
    <tableColumn id="6" xr3:uid="{0A85DD05-64CA-4CA1-8755-A54D8D703F2D}" name="2020" dataDxfId="2790"/>
  </tableColumns>
  <tableStyleInfo name="TableStyleMedium10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2D8B1FE7-BFDE-4F3B-B58E-8D87C74BBD77}" name="PLARTH" displayName="PLARTH" ref="CT27:CZ39" totalsRowShown="0" headerRowDxfId="2789" dataDxfId="2788">
  <tableColumns count="7">
    <tableColumn id="1" xr3:uid="{51183C74-6E7B-48A9-8614-3C539D66C4F2}" name="MOIS" dataDxfId="2787"/>
    <tableColumn id="7" xr3:uid="{350EE256-B419-43A7-85BC-F285C806EE5A}" name="2025" dataDxfId="2786"/>
    <tableColumn id="2" xr3:uid="{3F528EAF-8B32-4CE4-AC81-585A4B26632D}" name="2024" dataDxfId="2785" dataCellStyle="Milliers"/>
    <tableColumn id="3" xr3:uid="{6E403AF5-2C55-4B76-9ED7-F0B92660EAA1}" name="2023" dataDxfId="2784"/>
    <tableColumn id="4" xr3:uid="{4C742BF4-C7A5-49A6-B315-2C8400C4AB9D}" name="2022" dataDxfId="2783"/>
    <tableColumn id="5" xr3:uid="{C3359CBE-8E4B-4638-BCB6-50951A2E1952}" name="2021" dataDxfId="2782"/>
    <tableColumn id="6" xr3:uid="{4022ECE1-3611-42E7-8103-EF76EEDB000A}" name="2020" dataDxfId="2781"/>
  </tableColumns>
  <tableStyleInfo name="TableStyleMedium11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F25628FB-5071-4EA0-AA4F-045BA663C6F0}" name="TRANSJEANCLO" displayName="TRANSJEANCLO" ref="DJ107:DP119" totalsRowShown="0" headerRowDxfId="2780" dataDxfId="2779">
  <tableColumns count="7">
    <tableColumn id="1" xr3:uid="{FAE63085-6FBC-4A4F-854F-84793E75F330}" name="MOIS" dataDxfId="2778"/>
    <tableColumn id="7" xr3:uid="{B9125401-44C8-4725-A383-BDC784A86C9E}" name="2025" dataDxfId="2777">
      <calculatedColumnFormula>+DK92+DK76+DK60+DK44</calculatedColumnFormula>
    </tableColumn>
    <tableColumn id="2" xr3:uid="{C5F9E9B1-A8D8-4B5A-97FF-C5925C045996}" name="2024" dataDxfId="2776"/>
    <tableColumn id="3" xr3:uid="{458E8104-D442-456E-B916-B06AB90B1A64}" name="2023" dataDxfId="2775"/>
    <tableColumn id="4" xr3:uid="{5573F7D6-8E93-47FA-9E45-C0EB6F082BA5}" name="2022" dataDxfId="2774"/>
    <tableColumn id="5" xr3:uid="{18FA0023-8161-4270-9B8E-975313840D1F}" name="2021" dataDxfId="2773"/>
    <tableColumn id="6" xr3:uid="{2BA4B6C1-0500-4F0A-950C-2DF0F24D1A19}" name="2020" dataDxfId="2772"/>
  </tableColumns>
  <tableStyleInfo name="TableStyleMedium14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3CA3308A-01F9-4BA0-B9BB-0FB820A77586}" name="TRANSTHOM" displayName="TRANSTHOM" ref="DR107:DX119" totalsRowShown="0" headerRowDxfId="2771" dataDxfId="2770">
  <tableColumns count="7">
    <tableColumn id="1" xr3:uid="{B176EE47-368D-4D20-8B49-B30699996DDE}" name="MOIS" dataDxfId="2769"/>
    <tableColumn id="7" xr3:uid="{254C7A1D-8D0F-4DF9-8B61-B752E06E10EE}" name="2025" dataDxfId="2768">
      <calculatedColumnFormula>+DS92+DS76+DS60+DS44</calculatedColumnFormula>
    </tableColumn>
    <tableColumn id="2" xr3:uid="{071749EB-2D2F-484A-B1D7-B833F07D4091}" name="2024" dataDxfId="2767"/>
    <tableColumn id="3" xr3:uid="{77E98B71-6329-4CCF-9B04-9B636490E8D7}" name="2023" dataDxfId="2766"/>
    <tableColumn id="4" xr3:uid="{04B4D4AE-0E4D-4C99-9EC9-D9141E00977C}" name="2022" dataDxfId="2765"/>
    <tableColumn id="5" xr3:uid="{4A2308E5-DEF8-4387-A88D-CE984874C4D3}" name="2021" dataDxfId="2764"/>
    <tableColumn id="6" xr3:uid="{0327670A-82A1-4F74-9478-0B7EDA007C78}" name="2020" dataDxfId="2763"/>
  </tableColumns>
  <tableStyleInfo name="TableStyleMedium8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AD799F5-C78F-4825-B958-1F07F61D8080}" name="TRANSHUGO" displayName="TRANSHUGO" ref="DB107:DH119" totalsRowShown="0" headerRowDxfId="2762" dataDxfId="2761">
  <tableColumns count="7">
    <tableColumn id="1" xr3:uid="{E8DA25C8-61D0-430E-A64A-4DFF0579C72F}" name="MOIS" dataDxfId="2760"/>
    <tableColumn id="7" xr3:uid="{8F6F8807-2E29-45F4-B38B-169A8D063541}" name="2025" dataDxfId="2759">
      <calculatedColumnFormula>+DC92+DC76+DC60+DC44</calculatedColumnFormula>
    </tableColumn>
    <tableColumn id="2" xr3:uid="{0DDD9857-4252-4EFC-8334-F5DD6D5A744A}" name="2024" dataDxfId="2758"/>
    <tableColumn id="3" xr3:uid="{4B11A038-171B-431B-ACAF-57766F67B8CD}" name="2023" dataDxfId="2757"/>
    <tableColumn id="4" xr3:uid="{C05758CE-909B-417F-9574-A3922869DCD0}" name="2022" dataDxfId="2756"/>
    <tableColumn id="5" xr3:uid="{9A6050CD-2E79-436A-AA27-08DC9D397C42}" name="2021" dataDxfId="2755"/>
    <tableColumn id="6" xr3:uid="{97A66FAB-9F32-407A-8D8B-58A35EBF968C}" name="2020" dataDxfId="2754"/>
  </tableColumns>
  <tableStyleInfo name="TableStyleMedium10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F3B011E1-2840-489D-A2CE-DF758D528751}" name="TRANSARTH" displayName="TRANSARTH" ref="CT107:CZ119" totalsRowShown="0" headerRowDxfId="2753" dataDxfId="2752">
  <tableColumns count="7">
    <tableColumn id="1" xr3:uid="{003BE5F9-74D4-4FC7-B325-FBE19F8D8735}" name="MOIS" dataDxfId="2751"/>
    <tableColumn id="7" xr3:uid="{6AE62CBC-33A1-45C2-9289-15AA9C590887}" name="2025" dataDxfId="2750">
      <calculatedColumnFormula>+CU92+CU76+CU60+CU44</calculatedColumnFormula>
    </tableColumn>
    <tableColumn id="2" xr3:uid="{099051CB-D83C-4DC0-A538-52770EB2039F}" name="2024" dataDxfId="2749" dataCellStyle="Milliers"/>
    <tableColumn id="3" xr3:uid="{532A1F9F-D2B7-4243-8EF2-63996BC182CE}" name="2023" dataDxfId="2748"/>
    <tableColumn id="4" xr3:uid="{AB4B8675-B100-43B5-B784-B6333FFDE4EF}" name="2022" dataDxfId="2747"/>
    <tableColumn id="5" xr3:uid="{857A83B0-5664-4D9E-935B-4DE960E8BBAF}" name="2021" dataDxfId="2746"/>
    <tableColumn id="6" xr3:uid="{3CC5C794-2141-41F9-925F-9378913A9D56}" name="2020" dataDxfId="2745"/>
  </tableColumns>
  <tableStyleInfo name="TableStyleMedium11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24A5D055-9D5A-41D1-B95B-91C15987C6C3}" name="PMTJEANCLO" displayName="PMTJEANCLO" ref="DJ235:DP247" totalsRowShown="0" headerRowDxfId="2744" dataDxfId="2743">
  <tableColumns count="7">
    <tableColumn id="1" xr3:uid="{49F1378F-3DE4-4270-B87C-9B8A7E43984F}" name="MOIS" dataDxfId="2742"/>
    <tableColumn id="7" xr3:uid="{4E89024A-9254-4C6E-A28D-F4EB30817C7A}" name="2025" dataDxfId="2741"/>
    <tableColumn id="2" xr3:uid="{F41F1C89-4B6B-4318-83C9-45FF0EFFDA96}" name="2024" dataDxfId="2740"/>
    <tableColumn id="3" xr3:uid="{BBAD73F1-D950-4E58-B129-6624531AD49B}" name="2023" dataDxfId="2739"/>
    <tableColumn id="4" xr3:uid="{11546CE7-BEBD-413B-AE57-552A128681D7}" name="2022" dataDxfId="2738"/>
    <tableColumn id="5" xr3:uid="{A938A55E-8EE3-496B-9141-5F361AEB3AC8}" name="2021" dataDxfId="2737"/>
    <tableColumn id="6" xr3:uid="{F57A1FC6-5CE3-41EE-BC35-9D054DE8CB85}" name="2020" dataDxfId="2736"/>
  </tableColumns>
  <tableStyleInfo name="TableStyleMedium14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A8EC9FC8-C52A-40D1-A136-9BDE1BB03FF8}" name="PMTHOM" displayName="PMTHOM" ref="DR235:DX247" totalsRowShown="0" headerRowDxfId="2735" dataDxfId="2734">
  <tableColumns count="7">
    <tableColumn id="1" xr3:uid="{9A2A9C9A-09A9-4FB9-9655-773F20F2784C}" name="MOIS" dataDxfId="2733"/>
    <tableColumn id="7" xr3:uid="{717CFCC8-8BD2-4B19-A222-45542ABAF091}" name="2025" dataDxfId="2732"/>
    <tableColumn id="2" xr3:uid="{9BB6B515-0F53-46A2-B53E-18300DC42FD3}" name="2024" dataDxfId="2731"/>
    <tableColumn id="3" xr3:uid="{710FA153-CDE7-41FB-932B-1BF07A5E4249}" name="2023" dataDxfId="2730"/>
    <tableColumn id="4" xr3:uid="{64B8CF43-BCE5-4BAD-8B51-7BBBD9B23684}" name="2022" dataDxfId="2729"/>
    <tableColumn id="5" xr3:uid="{95DD41E0-6B6E-44BB-A748-8101C4B7D76F}" name="2021" dataDxfId="2728"/>
    <tableColumn id="6" xr3:uid="{56432883-E164-4D38-8821-7A32D72AD2F9}" name="2020" dataDxfId="2727"/>
  </tableColumns>
  <tableStyleInfo name="TableStyleMedium8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374BAE99-A3B4-465B-982E-7D59D2481525}" name="PMHUGO" displayName="PMHUGO" ref="DB235:DH247" totalsRowShown="0" headerRowDxfId="2726" dataDxfId="2725">
  <tableColumns count="7">
    <tableColumn id="1" xr3:uid="{946EE02F-E46A-4D9C-BFA2-42AD08A2D839}" name="MOIS" dataDxfId="2724"/>
    <tableColumn id="7" xr3:uid="{475110BC-D2E5-4C0C-B9C2-90B975A139E6}" name="2025" dataDxfId="2723"/>
    <tableColumn id="2" xr3:uid="{AF75847E-9D95-4ED2-B737-BD3705EF1CE6}" name="2024" dataDxfId="2722"/>
    <tableColumn id="3" xr3:uid="{41D11B84-7BAD-461F-B83A-B8B0BC119874}" name="2023" dataDxfId="2721"/>
    <tableColumn id="4" xr3:uid="{82C9979E-9A2A-4FB9-B606-6C693350DA1D}" name="2022" dataDxfId="2720"/>
    <tableColumn id="5" xr3:uid="{62CAB6C9-B4D2-41A2-9C25-589A34247E5B}" name="2021" dataDxfId="2719"/>
    <tableColumn id="6" xr3:uid="{261B742D-088F-492B-B462-254655361BA1}" name="2020" dataDxfId="2718"/>
  </tableColumns>
  <tableStyleInfo name="TableStyleMedium10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F02BAA77-251E-42F0-A5A7-B1B0F1588971}" name="PMARTH" displayName="PMARTH" ref="CT235:CZ247" totalsRowShown="0" headerRowDxfId="2717" dataDxfId="2716">
  <tableColumns count="7">
    <tableColumn id="1" xr3:uid="{055228EA-D426-47BD-9D8B-D1391FDEC93F}" name="MOIS" dataDxfId="2715"/>
    <tableColumn id="7" xr3:uid="{90D01FE6-8C39-44B0-AEB5-249A5BDEAB5C}" name="2025" dataDxfId="2714"/>
    <tableColumn id="2" xr3:uid="{C2AA88F7-DD45-4FE2-8A5E-26AF91E64BCD}" name="2024" dataDxfId="2713"/>
    <tableColumn id="3" xr3:uid="{54FC9B54-348F-4687-BCC6-3259ECAEFB66}" name="2023" dataDxfId="2712"/>
    <tableColumn id="4" xr3:uid="{964FAB28-F2B7-4CCD-A446-F970D5BADBBD}" name="2022" dataDxfId="2711"/>
    <tableColumn id="5" xr3:uid="{CC3D2AF1-664C-4D29-A74A-C15A125996C7}" name="2021" dataDxfId="2710"/>
    <tableColumn id="6" xr3:uid="{6633466D-DEFE-4D23-8D48-F4093DE1CD12}" name="2020" dataDxfId="2709"/>
  </tableColumns>
  <tableStyleInfo name="TableStyleMedium11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AEF6940C-11B1-4961-B87D-D6360D9376E7}" name="TRESOJEANCLO" displayName="TRESOJEANCLO" ref="DJ299:DP311" totalsRowShown="0" headerRowDxfId="2708" dataDxfId="2707">
  <tableColumns count="7">
    <tableColumn id="1" xr3:uid="{9DB49CCF-5375-49C4-9C78-D87CFE0B8C6A}" name="MOIS" dataDxfId="2706"/>
    <tableColumn id="7" xr3:uid="{88109D5C-AED3-4DDE-AC68-037BEDEC5A63}" name="2025" dataDxfId="8">
      <calculatedColumnFormula>315.29603-1.03849</calculatedColumnFormula>
    </tableColumn>
    <tableColumn id="2" xr3:uid="{E28A4169-6B87-4464-B74D-1D68F7605612}" name="2024" dataDxfId="2705"/>
    <tableColumn id="3" xr3:uid="{18E57A49-D0D9-4C2A-932E-EA5070E8AC1B}" name="2023" dataDxfId="2704"/>
    <tableColumn id="4" xr3:uid="{57791311-1EF6-40A5-B404-F322483AF0D8}" name="2022" dataDxfId="2703"/>
    <tableColumn id="5" xr3:uid="{710280EB-F0AC-40B6-941C-83C2B386CA8B}" name="2021" dataDxfId="2702"/>
    <tableColumn id="6" xr3:uid="{23DBB85A-8012-4048-B13E-6102BAE03A2B}" name="2020" dataDxfId="2701"/>
  </tableColumns>
  <tableStyleInfo name="TableStyleMedium14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BEE91C5-BE61-40FE-A9CD-BF492F757BF5}" name="TRESOTHOM" displayName="TRESOTHOM" ref="DR299:DX311" totalsRowShown="0" headerRowDxfId="2700" dataDxfId="2699">
  <tableColumns count="7">
    <tableColumn id="1" xr3:uid="{09BAD8AE-C8CD-4497-8DB9-8171C54C3BA1}" name="MOIS" dataDxfId="2698"/>
    <tableColumn id="7" xr3:uid="{8DB2EAB2-3211-4C55-B179-E348DB091D4C}" name="2025" dataDxfId="7">
      <calculatedColumnFormula>350.8575-1.42167</calculatedColumnFormula>
    </tableColumn>
    <tableColumn id="2" xr3:uid="{0B0E8A02-7076-4BBE-83E5-BD55C22EE235}" name="2024" dataDxfId="2697"/>
    <tableColumn id="3" xr3:uid="{862FC3EC-8E5B-4193-BE42-7DB88AE2299A}" name="2023" dataDxfId="2696"/>
    <tableColumn id="4" xr3:uid="{B3BDB037-1623-4398-81A0-153B1837248F}" name="2022" dataDxfId="2695"/>
    <tableColumn id="5" xr3:uid="{30F8088F-35CA-4E6F-A8DE-A1BD7EC8C3FF}" name="2021" dataDxfId="2694"/>
    <tableColumn id="6" xr3:uid="{C4D773B2-2012-4462-81A4-4FAE26205619}" name="2020" dataDxfId="2693"/>
  </tableColumns>
  <tableStyleInfo name="TableStyleMedium8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635C7203-40ED-44D9-BA8E-4A51E21AEB92}" name="TRESOHUGO" displayName="TRESOHUGO" ref="DB299:DH311" totalsRowShown="0" headerRowDxfId="2692" dataDxfId="2691">
  <tableColumns count="7">
    <tableColumn id="1" xr3:uid="{4A4C9903-6867-48F4-91FD-256F81335F04}" name="MOIS" dataDxfId="2690"/>
    <tableColumn id="7" xr3:uid="{CE9D143E-3650-40B7-8222-AB49567F8384}" name="2025" dataDxfId="6">
      <calculatedColumnFormula>1006.09507-8.46206</calculatedColumnFormula>
    </tableColumn>
    <tableColumn id="2" xr3:uid="{E088876E-7B1D-4677-842B-C7C908B89B4B}" name="2024" dataDxfId="2689"/>
    <tableColumn id="3" xr3:uid="{69D1ECB5-89F7-4159-9A40-47307B28D76E}" name="2023" dataDxfId="2688"/>
    <tableColumn id="4" xr3:uid="{0C4D6D59-39A5-401A-9A73-84F08C76DD61}" name="2022" dataDxfId="2687"/>
    <tableColumn id="5" xr3:uid="{9F98387C-51EB-457B-8DFF-6ECA468D0673}" name="2021" dataDxfId="2686"/>
    <tableColumn id="6" xr3:uid="{9D15F18C-AE6B-40F8-868E-A89FD8DF6F8A}" name="2020" dataDxfId="2685"/>
  </tableColumns>
  <tableStyleInfo name="TableStyleMedium10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B71713E7-266F-45A5-8C4C-CC2F92E588AA}" name="TRESOARTH" displayName="TRESOARTH" ref="CT299:CZ311" totalsRowShown="0" headerRowDxfId="2684" dataDxfId="2683">
  <tableColumns count="7">
    <tableColumn id="1" xr3:uid="{10705775-BFFE-42F2-978F-353BE611625F}" name="MOIS" dataDxfId="2682"/>
    <tableColumn id="7" xr3:uid="{6C072076-86FF-4304-9280-24664B12CAFE}" name="2025" dataDxfId="5">
      <calculatedColumnFormula>725.65431-3.69679</calculatedColumnFormula>
    </tableColumn>
    <tableColumn id="2" xr3:uid="{F4339497-530E-45B7-A968-43EB9E1564E6}" name="2024" dataDxfId="2681"/>
    <tableColumn id="3" xr3:uid="{F33EDF08-FF40-43B2-94B2-5EE82B0020C9}" name="2023" dataDxfId="2680"/>
    <tableColumn id="4" xr3:uid="{C5632A41-456E-4E2C-B6CB-017DEF06A4E0}" name="2022" dataDxfId="2679"/>
    <tableColumn id="5" xr3:uid="{AE6BAC9E-47FE-4D9C-8C25-AABFCA6A28DF}" name="2021" dataDxfId="2678"/>
    <tableColumn id="6" xr3:uid="{A0A763A9-78FA-4324-AD16-79622E70CB15}" name="2020" dataDxfId="2677"/>
  </tableColumns>
  <tableStyleInfo name="TableStyleMedium11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9AFDA4C4-41A9-4A4C-8DFC-28A645B46831}" name="TRANSCJEANCLO" displayName="TRANSCJEANCLO" ref="DJ187:DP199" totalsRowShown="0" headerRowDxfId="2676" dataDxfId="2675">
  <tableColumns count="7">
    <tableColumn id="1" xr3:uid="{C5493788-5D2F-46EE-A3EB-DC18C04417D8}" name="MOIS" dataDxfId="2674"/>
    <tableColumn id="7" xr3:uid="{A755E0F1-BD8F-4934-B98A-4BE5AB703CC3}" name="2025" dataDxfId="2673"/>
    <tableColumn id="2" xr3:uid="{E8A75FE4-0DA9-4692-91E7-075D585F6DCD}" name="2024" dataDxfId="2672"/>
    <tableColumn id="3" xr3:uid="{CFD2E430-9E00-4100-8E94-136FC58DFFFF}" name="2023" dataDxfId="2671"/>
    <tableColumn id="4" xr3:uid="{41B9B05A-EA13-4755-BDF8-A81314DADDDA}" name="2022" dataDxfId="2670"/>
    <tableColumn id="5" xr3:uid="{C9D52599-E368-42DC-9C8F-2D2587361149}" name="2021" dataDxfId="2669"/>
    <tableColumn id="6" xr3:uid="{BA529D65-19DA-4BB7-99F8-33DEA4B06262}" name="2020" dataDxfId="2668"/>
  </tableColumns>
  <tableStyleInfo name="TableStyleMedium14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021AD118-53D0-4F25-A3F2-CF5EE9D5927E}" name="TRANSCTHOM" displayName="TRANSCTHOM" ref="DR187:DX199" totalsRowShown="0" headerRowDxfId="2667" dataDxfId="2666">
  <tableColumns count="7">
    <tableColumn id="1" xr3:uid="{8CEE5EB2-5D49-412C-BE58-5EB989CD7F30}" name="MOIS" dataDxfId="2665"/>
    <tableColumn id="7" xr3:uid="{FB4BC419-A353-4960-B3DD-190CCAE6DE49}" name="2025" dataDxfId="2664"/>
    <tableColumn id="2" xr3:uid="{2B0AD60D-E3D0-494B-B4D6-9E0B19000C8C}" name="2024" dataDxfId="2663"/>
    <tableColumn id="3" xr3:uid="{DE0FAB63-768D-408E-899B-BC6F133BED55}" name="2023" dataDxfId="2662"/>
    <tableColumn id="4" xr3:uid="{1C9C9D7D-50EC-45EC-B0D4-8457D9870D1F}" name="2022" dataDxfId="2661"/>
    <tableColumn id="5" xr3:uid="{D8E55777-F4A4-4C87-951D-33A27EF2F427}" name="2021" dataDxfId="2660"/>
    <tableColumn id="6" xr3:uid="{2046D4F0-4C2C-423B-AF0D-BFCC8CCE236F}" name="2020" dataDxfId="2659"/>
  </tableColumns>
  <tableStyleInfo name="TableStyleMedium8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86DF8B8-443B-4E28-96B0-3E2234B9E15D}" name="TRANSCHUGO" displayName="TRANSCHUGO" ref="DB187:DH199" totalsRowShown="0" headerRowDxfId="2658" dataDxfId="2657">
  <tableColumns count="7">
    <tableColumn id="1" xr3:uid="{CFF42F72-2BB7-4A73-9579-C5A36719D6CF}" name="MOIS" dataDxfId="2656"/>
    <tableColumn id="7" xr3:uid="{F8EF82C4-D449-4348-B19D-7C5B400CE50E}" name="2025" dataDxfId="2655"/>
    <tableColumn id="2" xr3:uid="{B9040A17-DD72-4F9C-8AB4-C16483FC3454}" name="2024" dataDxfId="2654"/>
    <tableColumn id="3" xr3:uid="{6420B44C-3671-4EC8-AAED-C1C86D81B409}" name="2023" dataDxfId="2653"/>
    <tableColumn id="4" xr3:uid="{A8690965-1D8F-4F67-93FB-5B46EAA3BB30}" name="2022" dataDxfId="2652"/>
    <tableColumn id="5" xr3:uid="{1AE8B4DE-2041-4F8D-B10F-307427A734C3}" name="2021" dataDxfId="2651"/>
    <tableColumn id="6" xr3:uid="{A8FC2020-52BF-4946-8E3D-9B9B42BDE02C}" name="2020" dataDxfId="2650"/>
  </tableColumns>
  <tableStyleInfo name="TableStyleMedium10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30D68D1C-A8C7-4EE9-BCB4-1FA81140C27D}" name="TRANSCARTH" displayName="TRANSCARTH" ref="CT187:CZ199" totalsRowShown="0" headerRowDxfId="2649" dataDxfId="2648">
  <tableColumns count="7">
    <tableColumn id="1" xr3:uid="{2BF19BE3-38A0-4A0A-9F24-C2EB40D0E82E}" name="MOIS" dataDxfId="2647"/>
    <tableColumn id="7" xr3:uid="{2BF8E9B2-29FC-455D-9138-6B2D3F946F14}" name="2025" dataDxfId="2646"/>
    <tableColumn id="2" xr3:uid="{2AA4A8D7-B481-467D-8797-E03DF09F0299}" name="2024" dataDxfId="2645" dataCellStyle="Milliers"/>
    <tableColumn id="3" xr3:uid="{F1716E3F-CDCE-4DE5-8D74-AC46CAF694C9}" name="2023" dataDxfId="2644"/>
    <tableColumn id="4" xr3:uid="{1A98F102-B28D-42CA-AF1E-405BDA8EF61B}" name="2022" dataDxfId="2643"/>
    <tableColumn id="5" xr3:uid="{06DB7309-C744-4013-B898-73BB242FA35D}" name="2021" dataDxfId="2642"/>
    <tableColumn id="6" xr3:uid="{FA3EB4EE-DF62-40D1-8E08-A24759FEFB70}" name="2020" dataDxfId="2641"/>
  </tableColumns>
  <tableStyleInfo name="TableStyleMedium11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9C53C48D-0E9B-42E4-95CC-5A5FBCD8EB3C}" name="PMCJEANCLO" displayName="PMCJEANCLO" ref="DJ283:DP295" totalsRowShown="0" headerRowDxfId="2640" dataDxfId="2639">
  <tableColumns count="7">
    <tableColumn id="1" xr3:uid="{DEB862AD-863A-45BB-A9BC-796FEAD77D35}" name="MOIS" dataDxfId="2638"/>
    <tableColumn id="7" xr3:uid="{1418E1E1-5B06-4565-9700-7BF5F8DA7D85}" name="2025" dataDxfId="2637">
      <calculatedColumnFormula>AVERAGE(DK$236:DK236)</calculatedColumnFormula>
    </tableColumn>
    <tableColumn id="2" xr3:uid="{3954D060-7802-443C-9F67-EB1C9846F1B5}" name="2024" dataDxfId="2636"/>
    <tableColumn id="3" xr3:uid="{AA4B4717-0D5C-4F65-86B0-4D44D9564BFB}" name="2023" dataDxfId="2635"/>
    <tableColumn id="4" xr3:uid="{448AC71F-DADB-432C-BEFD-53B7ABFDB969}" name="2022" dataDxfId="2634"/>
    <tableColumn id="5" xr3:uid="{C3F9A489-43C4-43E9-9E1F-9B4F3F797E53}" name="2021" dataDxfId="2633"/>
    <tableColumn id="6" xr3:uid="{83BE83E9-837A-4A8A-AB3E-278D258F6581}" name="2020" dataDxfId="2632"/>
  </tableColumns>
  <tableStyleInfo name="TableStyleMedium14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890ECB58-6EEF-48E9-BE0C-DC05CF131313}" name="PMCTHOM" displayName="PMCTHOM" ref="DR283:DX295" totalsRowShown="0" headerRowDxfId="2631" dataDxfId="2630">
  <tableColumns count="7">
    <tableColumn id="1" xr3:uid="{CC7E5A4C-CA7F-44B6-82EB-A90B3F3EF8F2}" name="MOIS" dataDxfId="2629"/>
    <tableColumn id="7" xr3:uid="{0D814964-1C52-406F-A52E-7B2E5EE400DE}" name="2025" dataDxfId="2628">
      <calculatedColumnFormula>AVERAGE(DS$236:DS236)</calculatedColumnFormula>
    </tableColumn>
    <tableColumn id="2" xr3:uid="{CDB473A1-F779-4298-9E09-0647B89D1E34}" name="2024" dataDxfId="2627"/>
    <tableColumn id="3" xr3:uid="{9A73694A-E28D-40E5-BC41-F921C70A946F}" name="2023" dataDxfId="2626"/>
    <tableColumn id="4" xr3:uid="{F330E8FC-770F-470B-81CE-33083C85AD7C}" name="2022" dataDxfId="2625"/>
    <tableColumn id="5" xr3:uid="{1F1411B5-C4D3-4881-A539-44248C9BBB70}" name="2021" dataDxfId="2624"/>
    <tableColumn id="6" xr3:uid="{F53A6BEB-D194-4A26-A9AF-CF95A70B5D52}" name="2020" dataDxfId="2623"/>
  </tableColumns>
  <tableStyleInfo name="TableStyleMedium8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76DFFC49-5B0A-410F-85C9-17285228B35C}" name="PMCHUGO" displayName="PMCHUGO" ref="DB283:DH295" totalsRowShown="0" headerRowDxfId="2622" dataDxfId="2621">
  <tableColumns count="7">
    <tableColumn id="1" xr3:uid="{5C068C7D-E975-454D-891F-B7E733A2D9AA}" name="MOIS" dataDxfId="2620"/>
    <tableColumn id="7" xr3:uid="{63F3237C-7526-4E1C-B94C-2092C9FE74E5}" name="2025" dataDxfId="2619">
      <calculatedColumnFormula>AVERAGE(DC$236:DC236)</calculatedColumnFormula>
    </tableColumn>
    <tableColumn id="2" xr3:uid="{EB6A15EE-850B-4176-8E6B-21DB45A66706}" name="2024" dataDxfId="2618"/>
    <tableColumn id="3" xr3:uid="{2C6E33A6-C4CE-4CA9-BE31-322540A0E269}" name="2023" dataDxfId="2617"/>
    <tableColumn id="4" xr3:uid="{43D9B449-148D-4A87-81F1-E731CEE0BB09}" name="2022" dataDxfId="2616"/>
    <tableColumn id="5" xr3:uid="{7803434F-E114-45E2-8354-4BE124CC2FCE}" name="2021" dataDxfId="2615"/>
    <tableColumn id="6" xr3:uid="{A04E6B9E-7190-4874-BB8E-D35C6FDDC63C}" name="2020" dataDxfId="2614"/>
  </tableColumns>
  <tableStyleInfo name="TableStyleMedium10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31DBD779-38AC-411B-B4FD-07554EF76A91}" name="PMCARTH" displayName="PMCARTH" ref="CT283:CZ295" totalsRowShown="0" headerRowDxfId="2613" dataDxfId="2612">
  <tableColumns count="7">
    <tableColumn id="1" xr3:uid="{009065F8-B385-4BF2-8C68-D0B35E3D3838}" name="MOIS" dataDxfId="2611"/>
    <tableColumn id="7" xr3:uid="{A8FFF752-9538-473C-A376-C941DCE4740B}" name="2025" dataDxfId="2610">
      <calculatedColumnFormula>AVERAGE(CU$236:CU236)</calculatedColumnFormula>
    </tableColumn>
    <tableColumn id="2" xr3:uid="{B082A8FB-CF18-482E-A00F-19C61B6D5E3C}" name="2024" dataDxfId="2609"/>
    <tableColumn id="3" xr3:uid="{12734538-B1C3-44EB-BAC5-3D5B84BAE96C}" name="2023" dataDxfId="2608"/>
    <tableColumn id="4" xr3:uid="{77AD9622-4A57-4A9F-8DD1-D41CE0E1631D}" name="2022" dataDxfId="2607"/>
    <tableColumn id="5" xr3:uid="{C42C029E-269C-481A-B064-F5938399AFDC}" name="2021" dataDxfId="2606"/>
    <tableColumn id="6" xr3:uid="{93665459-83BE-403D-9026-4E71C637B944}" name="2020" dataDxfId="2605"/>
  </tableColumns>
  <tableStyleInfo name="TableStyleMedium11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DBE722FD-74E7-4210-B4DD-CC2D3BA15A0C}" name="TRANSJEANCLOK" displayName="TRANSJEANCLOK" ref="DJ91:DP103" totalsRowShown="0" headerRowDxfId="2604" dataDxfId="2603">
  <tableColumns count="7">
    <tableColumn id="1" xr3:uid="{CFF51FFD-D50D-4679-99BE-69E72140B0B5}" name="MOIS" dataDxfId="2602"/>
    <tableColumn id="7" xr3:uid="{187CF0B1-CAB8-4973-AB13-DD2A15A0FCA2}" name="2025" dataDxfId="2601"/>
    <tableColumn id="2" xr3:uid="{036BFAC4-8966-4BCF-A65D-19F5514D0B01}" name="2024" dataDxfId="2600"/>
    <tableColumn id="3" xr3:uid="{0055D32E-1D4F-4BE0-8162-93F0E9574214}" name="2023" dataDxfId="2599"/>
    <tableColumn id="4" xr3:uid="{E39F8764-1257-4B89-A968-DE31481C4F27}" name="2022" dataDxfId="2598"/>
    <tableColumn id="5" xr3:uid="{AE3DD11D-85EF-4B15-8B1A-A653BB3ADAAA}" name="2021" dataDxfId="2597"/>
    <tableColumn id="6" xr3:uid="{C4537B74-2530-45B3-9627-02D5AD87988C}" name="2020" dataDxfId="2596"/>
  </tableColumns>
  <tableStyleInfo name="TableStyleMedium14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CC45A28F-93AA-4106-BC1E-F2AC96D0415C}" name="TRANSTHOMK" displayName="TRANSTHOMK" ref="DR91:DX103" totalsRowShown="0" headerRowDxfId="2595" dataDxfId="2594">
  <tableColumns count="7">
    <tableColumn id="1" xr3:uid="{A0F851E3-354C-4D5F-8409-CEA0B2E6A9FA}" name="MOIS" dataDxfId="2593"/>
    <tableColumn id="7" xr3:uid="{2F5A9C3C-DB95-4111-A11E-E95F49DBE373}" name="2025" dataDxfId="2592"/>
    <tableColumn id="2" xr3:uid="{F9237F70-1BA3-4E42-AFE0-6A8975278FA2}" name="2024" dataDxfId="2591"/>
    <tableColumn id="3" xr3:uid="{FD5D6AF6-EDA7-49C4-9A45-1A6B32FC2AA4}" name="2023" dataDxfId="2590"/>
    <tableColumn id="4" xr3:uid="{DC8F07F6-364F-4C1F-ADCE-71913FE9DFA6}" name="2022" dataDxfId="2589"/>
    <tableColumn id="5" xr3:uid="{D34AFC3C-898C-42DE-B14F-95D4E05B0131}" name="2021" dataDxfId="2588"/>
    <tableColumn id="6" xr3:uid="{2ED9C8A1-40B6-424A-AB6C-B18F80EFA6A9}" name="2020" dataDxfId="2587"/>
  </tableColumns>
  <tableStyleInfo name="TableStyleMedium8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C5690DFF-C063-4CFE-885D-A6F866062AD8}" name="TRANSHUGOK" displayName="TRANSHUGOK" ref="DB91:DH103" totalsRowShown="0" headerRowDxfId="2586" dataDxfId="2585">
  <tableColumns count="7">
    <tableColumn id="1" xr3:uid="{D97110A1-A044-44CB-9F3B-1A7FD0F3E6A1}" name="MOIS" dataDxfId="2584"/>
    <tableColumn id="7" xr3:uid="{229FEA25-521F-4F4C-B49B-96B27E17FAAD}" name="2025" dataDxfId="2583"/>
    <tableColumn id="2" xr3:uid="{124A15E5-AA60-4F05-AB3A-B338CEAB7387}" name="2024" dataDxfId="2582"/>
    <tableColumn id="3" xr3:uid="{634646A7-B12D-4E2D-A4F9-2195DD17DBE9}" name="2023" dataDxfId="2581"/>
    <tableColumn id="4" xr3:uid="{8690A79A-6090-4F86-8662-F362AD1E3CC2}" name="2022" dataDxfId="2580"/>
    <tableColumn id="5" xr3:uid="{63FBD28D-FFCE-4C45-9BCF-839E20390979}" name="2021" dataDxfId="2579"/>
    <tableColumn id="6" xr3:uid="{053BE528-7345-49C1-A5F4-F8D82BB9B774}" name="2020" dataDxfId="2578"/>
  </tableColumns>
  <tableStyleInfo name="TableStyleMedium10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DC2FDDD0-7B3C-4EE0-9340-D0AD8DF5ECF7}" name="TRANSARTHK" displayName="TRANSARTHK" ref="CT91:CZ103" totalsRowShown="0" headerRowDxfId="2577" dataDxfId="2576">
  <tableColumns count="7">
    <tableColumn id="1" xr3:uid="{99CEEF05-77CA-4C51-A14D-E0CBB8869FEA}" name="MOIS" dataDxfId="2575"/>
    <tableColumn id="7" xr3:uid="{E9D0ABD0-FE24-4C90-9AEB-5FB98D454DB3}" name="2025" dataDxfId="2574"/>
    <tableColumn id="2" xr3:uid="{A0D2ED99-30DA-4695-B666-F0E02F55865D}" name="2024" dataDxfId="2573"/>
    <tableColumn id="3" xr3:uid="{99536C02-95A8-4966-9B5A-89B908A3B0DB}" name="2023" dataDxfId="2572"/>
    <tableColumn id="4" xr3:uid="{E3671D51-B442-4E28-BBF4-54872D74F271}" name="2022" dataDxfId="2571"/>
    <tableColumn id="5" xr3:uid="{8C8930CC-F786-4541-A93A-3F61509C0BEA}" name="2021" dataDxfId="2570"/>
    <tableColumn id="6" xr3:uid="{05C01850-B5DA-4F9C-8566-B531F8625651}" name="2020" dataDxfId="2569"/>
  </tableColumns>
  <tableStyleInfo name="TableStyleMedium11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61FD80B8-D916-441E-B6B1-BD8CC12E6072}" name="TRANSJEANCLOMC" displayName="TRANSJEANCLOMC" ref="DJ75:DP87" totalsRowShown="0" headerRowDxfId="2568" dataDxfId="2567">
  <tableColumns count="7">
    <tableColumn id="1" xr3:uid="{A7B201D7-28D5-4665-B852-052919DFBC63}" name="MOIS" dataDxfId="2566"/>
    <tableColumn id="7" xr3:uid="{65A5A4B3-518D-4780-917C-D1B93D741684}" name="2025" dataDxfId="2565"/>
    <tableColumn id="2" xr3:uid="{4EA7783E-7DE8-4789-BDE4-64294D9C1B90}" name="2024" dataDxfId="2564"/>
    <tableColumn id="3" xr3:uid="{9E15A2F6-9D3E-4C42-8521-85A20A394730}" name="2023" dataDxfId="2563"/>
    <tableColumn id="4" xr3:uid="{671D6E5A-501C-419E-B3A2-C95EC8D2BFE2}" name="2022" dataDxfId="2562"/>
    <tableColumn id="5" xr3:uid="{F92602AD-F474-4CC1-9AC4-8D7299DEC907}" name="2021" dataDxfId="2561"/>
    <tableColumn id="6" xr3:uid="{1007633D-E0B2-46F7-920D-80386047909A}" name="2020" dataDxfId="2560"/>
  </tableColumns>
  <tableStyleInfo name="TableStyleMedium14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E873B45-2096-4E6B-9DF7-D44371A8A98B}" name="TRANSTHOMMC" displayName="TRANSTHOMMC" ref="DR75:DX87" totalsRowShown="0" headerRowDxfId="2559" dataDxfId="2558">
  <tableColumns count="7">
    <tableColumn id="1" xr3:uid="{630E5CDC-4F48-4A72-9261-487BFD4B511B}" name="MOIS" dataDxfId="2557"/>
    <tableColumn id="7" xr3:uid="{422C505B-ABE3-422C-83BF-F81293ED31B1}" name="2025" dataDxfId="2556"/>
    <tableColumn id="2" xr3:uid="{1C2850EC-DD5D-4ED5-BD17-E6A86D3A4053}" name="2024" dataDxfId="2555"/>
    <tableColumn id="3" xr3:uid="{752C7F4F-2A3A-4F8D-A860-5C2A541B12E3}" name="2023" dataDxfId="2554"/>
    <tableColumn id="4" xr3:uid="{44FEFD2F-C8B4-49AD-A235-A0078D424869}" name="2022" dataDxfId="2553"/>
    <tableColumn id="5" xr3:uid="{14B11178-224E-4314-9A64-03E2F470653B}" name="2021" dataDxfId="2552"/>
    <tableColumn id="6" xr3:uid="{0AD09037-F5D2-4D81-A7BB-3AF05696ACE3}" name="2020" dataDxfId="2551"/>
  </tableColumns>
  <tableStyleInfo name="TableStyleMedium8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519BA48A-F4C0-45B6-B701-EDB3D6CAE9A4}" name="TRANSHUGOMC" displayName="TRANSHUGOMC" ref="DB75:DH87" totalsRowShown="0" headerRowDxfId="2550" dataDxfId="2549">
  <tableColumns count="7">
    <tableColumn id="1" xr3:uid="{F804E81A-FBB7-40A9-85B5-37DF03FC087D}" name="MOIS" dataDxfId="2548"/>
    <tableColumn id="7" xr3:uid="{F18D5B9F-3B73-4F9E-892A-721571B02C53}" name="2025" dataDxfId="2547"/>
    <tableColumn id="2" xr3:uid="{72454E34-7BD3-4F99-8E34-C6523FCF127D}" name="2024" dataDxfId="2546"/>
    <tableColumn id="3" xr3:uid="{1A5E0335-5114-40E6-AC4F-59A82B1CBF1D}" name="2023" dataDxfId="2545"/>
    <tableColumn id="4" xr3:uid="{E07EACF0-5861-4B0A-A7D0-3D7F1C315985}" name="2022" dataDxfId="2544"/>
    <tableColumn id="5" xr3:uid="{D2B92BE3-3090-432E-A39F-00A0C67F4AE5}" name="2021" dataDxfId="2543"/>
    <tableColumn id="6" xr3:uid="{F1A44EC4-49E5-4412-96B7-C0847CACA852}" name="2020" dataDxfId="2542"/>
  </tableColumns>
  <tableStyleInfo name="TableStyleMedium10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5B10832F-47B2-43A7-B5B9-BCAE372BD6E6}" name="TRANSARTHMC" displayName="TRANSARTHMC" ref="CT75:CZ87" totalsRowShown="0" headerRowDxfId="2541" dataDxfId="2540">
  <tableColumns count="7">
    <tableColumn id="1" xr3:uid="{0A1C8A2D-4034-445D-9382-95A717A0B2D5}" name="MOIS" dataDxfId="2539"/>
    <tableColumn id="7" xr3:uid="{D43B7D61-4A37-4350-9A01-56FFC2F2BA6B}" name="2025" dataDxfId="2538"/>
    <tableColumn id="2" xr3:uid="{61AB574E-65E8-41E9-926D-636E1EFEAFCA}" name="2024" dataDxfId="2537"/>
    <tableColumn id="3" xr3:uid="{DE84B570-70E2-4A74-AC28-C440C5E8CF91}" name="2023" dataDxfId="2536"/>
    <tableColumn id="4" xr3:uid="{A11850ED-1127-40A7-8DD3-A429332EB9E0}" name="2022" dataDxfId="2535"/>
    <tableColumn id="5" xr3:uid="{EEDC0F7B-DC96-4ACE-84CC-87794787F3DF}" name="2021" dataDxfId="2534"/>
    <tableColumn id="6" xr3:uid="{8B5F9889-C02F-4635-8BEA-BA302C66EF88}" name="2020" dataDxfId="2533"/>
  </tableColumns>
  <tableStyleInfo name="TableStyleMedium11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97DA8537-9B66-4830-98C8-1BAEA0C155D5}" name="TRANSJEANCLOAE" displayName="TRANSJEANCLOAE" ref="DJ59:DP71" totalsRowShown="0" headerRowDxfId="2532" dataDxfId="2531">
  <tableColumns count="7">
    <tableColumn id="1" xr3:uid="{F824E9B4-6347-41EB-AE3B-65C26ABA954E}" name="MOIS" dataDxfId="2530"/>
    <tableColumn id="7" xr3:uid="{04103D41-997E-4EEE-ADD0-2D98BB7FB46C}" name="2025" dataDxfId="2529"/>
    <tableColumn id="2" xr3:uid="{4C6DB94D-7EDB-4C91-BF24-9174E182C5F8}" name="2024" dataDxfId="2528"/>
    <tableColumn id="3" xr3:uid="{C33E5371-4482-449C-AC3F-A0CE9D242D22}" name="2023" dataDxfId="2527"/>
    <tableColumn id="4" xr3:uid="{7FE28D8A-5784-4676-A938-66DBE43F8713}" name="2022" dataDxfId="2526"/>
    <tableColumn id="5" xr3:uid="{8E290E79-674E-4DEB-9FB3-EE6043CD5BDB}" name="2021" dataDxfId="2525"/>
    <tableColumn id="6" xr3:uid="{CFA827C8-4FA7-4E26-8E51-7D674ED00657}" name="2020" dataDxfId="2524"/>
  </tableColumns>
  <tableStyleInfo name="TableStyleMedium14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94C66ACC-2464-431E-AA99-5D2414F48A95}" name="TRANSTHOMAE" displayName="TRANSTHOMAE" ref="DR59:DX71" totalsRowShown="0" headerRowDxfId="2523" dataDxfId="2522">
  <tableColumns count="7">
    <tableColumn id="1" xr3:uid="{F0BA1FA9-D823-427D-9F12-9A310EF891F3}" name="MOIS" dataDxfId="2521"/>
    <tableColumn id="7" xr3:uid="{33D7CFEE-3A3E-4F17-A88E-EC94CD957AC7}" name="2025" dataDxfId="2520"/>
    <tableColumn id="2" xr3:uid="{275DB3A2-625D-4A56-A6F2-402E8C6BA6A2}" name="2024" dataDxfId="2519"/>
    <tableColumn id="3" xr3:uid="{DFFCFFE2-EC77-409D-9FA9-8262997BC9BF}" name="2023" dataDxfId="2518"/>
    <tableColumn id="4" xr3:uid="{FEE29D4F-B325-416A-B2EF-3D0F92B19F23}" name="2022" dataDxfId="2517"/>
    <tableColumn id="5" xr3:uid="{A368578A-C3A6-49FB-AACE-51B9F8E82008}" name="2021" dataDxfId="2516"/>
    <tableColumn id="6" xr3:uid="{ABEACC28-AF9F-4CEE-A953-DCC140AE828F}" name="2020" dataDxfId="2515"/>
  </tableColumns>
  <tableStyleInfo name="TableStyleMedium8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C14BB7D-C7F3-4267-BAC2-CF0EE56420BA}" name="TRANSHUGOAE" displayName="TRANSHUGOAE" ref="DB59:DH71" totalsRowShown="0" headerRowDxfId="2514" dataDxfId="2513">
  <tableColumns count="7">
    <tableColumn id="1" xr3:uid="{0BC8967E-AFDA-4724-9541-DF756F8BCA9D}" name="MOIS" dataDxfId="2512"/>
    <tableColumn id="7" xr3:uid="{95B40069-5CF2-40F3-9190-5A3EA48370CE}" name="2025" dataDxfId="2511"/>
    <tableColumn id="2" xr3:uid="{7F322C5F-7A76-40C2-ABE1-A311620F0341}" name="2024" dataDxfId="2510"/>
    <tableColumn id="3" xr3:uid="{67C2D30E-9EC5-4D21-AF56-3EE291B74784}" name="2023" dataDxfId="2509"/>
    <tableColumn id="4" xr3:uid="{64491548-DCD3-49F4-BD11-F7974A958773}" name="2022" dataDxfId="2508"/>
    <tableColumn id="5" xr3:uid="{01B1EB6E-8550-4398-AAE7-087CF9C9D683}" name="2021" dataDxfId="2507"/>
    <tableColumn id="6" xr3:uid="{62C234D0-2A1A-4D82-AF1C-9FCB2DD9B70A}" name="2020" dataDxfId="2506"/>
  </tableColumns>
  <tableStyleInfo name="TableStyleMedium10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C23AB96E-65D3-4567-B9FE-310127AEB3D7}" name="TRANSARTHAE" displayName="TRANSARTHAE" ref="CT59:CZ71" totalsRowShown="0" headerRowDxfId="2505" dataDxfId="2504">
  <tableColumns count="7">
    <tableColumn id="1" xr3:uid="{A60CA69C-1578-41E1-BC81-E5F13398845F}" name="MOIS" dataDxfId="2503"/>
    <tableColumn id="7" xr3:uid="{99058981-5462-4260-8137-5B105A156D44}" name="2025" dataDxfId="2502"/>
    <tableColumn id="2" xr3:uid="{556C826A-3746-449A-BC95-FC75DE5D7C55}" name="2024" dataDxfId="2501"/>
    <tableColumn id="3" xr3:uid="{05BC7D03-C78D-41F0-97BC-DD96DABF6C5B}" name="2023" dataDxfId="2500"/>
    <tableColumn id="4" xr3:uid="{009E2ADB-D230-4FA7-A09F-310A13D88879}" name="2022" dataDxfId="2499"/>
    <tableColumn id="5" xr3:uid="{22DE7C37-C7FC-4695-8265-A89280750C1D}" name="2021" dataDxfId="2498"/>
    <tableColumn id="6" xr3:uid="{24808A08-4E79-492F-A347-305A474DB629}" name="2020" dataDxfId="2497"/>
  </tableColumns>
  <tableStyleInfo name="TableStyleMedium11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01D7CA5F-4357-4B2F-895B-9B890C3A03B6}" name="TRANSJEANCLOSP" displayName="TRANSJEANCLOSP" ref="DJ43:DP55" totalsRowShown="0" headerRowDxfId="2496" dataDxfId="2495">
  <tableColumns count="7">
    <tableColumn id="1" xr3:uid="{371E2C54-DB6D-4DBD-BA43-41F2C4F918BB}" name="MOIS" dataDxfId="2494"/>
    <tableColumn id="7" xr3:uid="{D0460F3C-FE03-4D94-BE81-4DB741E62124}" name="2025" dataDxfId="2493"/>
    <tableColumn id="2" xr3:uid="{8F3B94AA-ECB7-44FA-99C3-27EFB7410E84}" name="2024" dataDxfId="2492"/>
    <tableColumn id="3" xr3:uid="{83E020BB-8374-4803-B18E-C4270C8EB2AF}" name="2023" dataDxfId="2491"/>
    <tableColumn id="4" xr3:uid="{EDBBFDD4-FAB8-4337-8923-E01F8CA3A65F}" name="2022" dataDxfId="2490"/>
    <tableColumn id="5" xr3:uid="{2FBE8B80-A4BF-42F2-B5DF-7EC2004BDE08}" name="2021" dataDxfId="2489"/>
    <tableColumn id="6" xr3:uid="{CEB6756F-A71D-4DDF-A140-B7838D4372C7}" name="2020" dataDxfId="2488"/>
  </tableColumns>
  <tableStyleInfo name="TableStyleMedium14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93F245E1-263F-4770-9FD2-5652975984C9}" name="TRANSTHOMP" displayName="TRANSTHOMP" ref="DR43:DX55" totalsRowShown="0" headerRowDxfId="2487" dataDxfId="2486">
  <tableColumns count="7">
    <tableColumn id="1" xr3:uid="{446040B1-601A-4A75-A36E-DDD995690953}" name="MOIS" dataDxfId="2485"/>
    <tableColumn id="7" xr3:uid="{FA0E7D39-93CB-43F9-87C4-AB0144740D1D}" name="2025" dataDxfId="2484"/>
    <tableColumn id="2" xr3:uid="{0B51CAA7-92B9-49E1-BA33-CAAF46806A2A}" name="2024" dataDxfId="2483"/>
    <tableColumn id="3" xr3:uid="{4E063678-2758-44B0-A4EA-08EDEF8D4F43}" name="2023" dataDxfId="2482"/>
    <tableColumn id="4" xr3:uid="{0972D523-4B53-45F2-B442-521E493A2CA3}" name="2022" dataDxfId="2481"/>
    <tableColumn id="5" xr3:uid="{9D721BB6-69B9-4DA1-A088-46E8F6A39DFB}" name="2021" dataDxfId="2480"/>
    <tableColumn id="6" xr3:uid="{CDF06E74-05E8-4BD9-B7F9-665E247A25C2}" name="2020" dataDxfId="2479"/>
  </tableColumns>
  <tableStyleInfo name="TableStyleMedium8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AF73AD6A-3FE4-4337-9B9A-55521171366F}" name="TRANSHUGOSP" displayName="TRANSHUGOSP" ref="DB43:DH55" totalsRowShown="0" headerRowDxfId="2478" dataDxfId="2477">
  <tableColumns count="7">
    <tableColumn id="1" xr3:uid="{3CC07343-2F70-448C-8537-7719C9069BF9}" name="MOIS" dataDxfId="2476"/>
    <tableColumn id="7" xr3:uid="{6896C089-8886-4DC6-87DF-468AEF66A13B}" name="2025" dataDxfId="2475"/>
    <tableColumn id="2" xr3:uid="{A9BF814C-1BC6-4EDA-8B0E-12FF085B0B2A}" name="2024" dataDxfId="2474"/>
    <tableColumn id="3" xr3:uid="{7B0E351F-EBDB-459E-A306-D9ACB23BEB4B}" name="2023" dataDxfId="2473"/>
    <tableColumn id="4" xr3:uid="{87E0577E-26E6-4BFA-9B97-20AB03EAFBB0}" name="2022" dataDxfId="2472"/>
    <tableColumn id="5" xr3:uid="{033CB1DF-7D99-43E6-A113-39A0D219E4EE}" name="2021" dataDxfId="2471"/>
    <tableColumn id="6" xr3:uid="{B0FFC272-D2F5-4314-92A4-5A4F0DE6517D}" name="2020" dataDxfId="2470"/>
  </tableColumns>
  <tableStyleInfo name="TableStyleMedium10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27F7E525-2503-4B89-BB51-B6A1FA6C2BF9}" name="TRANSARTHSP" displayName="TRANSARTHSP" ref="CT43:CZ55" totalsRowShown="0" headerRowDxfId="2469" dataDxfId="2468">
  <tableColumns count="7">
    <tableColumn id="1" xr3:uid="{E02A3093-30B1-4762-BE40-59FBF8B040DC}" name="MOIS" dataDxfId="2467"/>
    <tableColumn id="7" xr3:uid="{2ED2C56E-5B87-437F-8429-47347A57923E}" name="2025" dataDxfId="2466"/>
    <tableColumn id="2" xr3:uid="{1C4B9E0E-C780-4678-A171-E6B0AACC00DD}" name="2024" dataDxfId="2465"/>
    <tableColumn id="3" xr3:uid="{FDDDB9B4-2FEF-445C-BD53-EED15040F78F}" name="2023" dataDxfId="2464"/>
    <tableColumn id="4" xr3:uid="{86A46247-3088-4563-BB51-C8745C16BE45}" name="2022" dataDxfId="2463"/>
    <tableColumn id="5" xr3:uid="{EF633D5B-BD29-451D-8C1F-B4EC5535ECC8}" name="2021" dataDxfId="2462"/>
    <tableColumn id="6" xr3:uid="{8CEF47F6-3AE7-4682-B52B-177657D2D8B7}" name="2020" dataDxfId="2461"/>
  </tableColumns>
  <tableStyleInfo name="TableStyleMedium11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F9A18E3F-80F7-4279-B931-E4779550BFF1}" name="TRANSCJEANCLOK" displayName="TRANSCJEANCLOK" ref="DJ171:DP183" totalsRowShown="0" headerRowDxfId="2460" dataDxfId="2459">
  <tableColumns count="7">
    <tableColumn id="1" xr3:uid="{A772406B-BFA2-424A-BB64-158327B458B9}" name="MOIS" dataDxfId="2458"/>
    <tableColumn id="7" xr3:uid="{6B5238BE-0713-41BA-896B-D97F2D60AED6}" name="2025" dataDxfId="2457"/>
    <tableColumn id="2" xr3:uid="{47E8B145-F815-4A21-BE11-988BDB0ED8A6}" name="2024" dataDxfId="2456"/>
    <tableColumn id="3" xr3:uid="{147F3F5F-3CB5-483A-B138-DDF067578B78}" name="2023" dataDxfId="2455"/>
    <tableColumn id="4" xr3:uid="{ACCB4AE5-E031-423C-9DA5-F9FFB6103105}" name="2022" dataDxfId="2454"/>
    <tableColumn id="5" xr3:uid="{3AEA2C6D-D57D-421C-BA35-E354E22CF146}" name="2021" dataDxfId="2453"/>
    <tableColumn id="6" xr3:uid="{CB333B38-FC8D-4AF6-A717-217A36F3A72B}" name="2020" dataDxfId="2452"/>
  </tableColumns>
  <tableStyleInfo name="TableStyleMedium14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0555DBF3-4C61-49DB-BFDC-D4FEC09210B3}" name="TRANSCTHOMK" displayName="TRANSCTHOMK" ref="DR171:DX183" totalsRowShown="0" headerRowDxfId="2451" dataDxfId="2450">
  <tableColumns count="7">
    <tableColumn id="1" xr3:uid="{5FA22E2A-ACE9-471D-BB4E-234D39CE0472}" name="MOIS" dataDxfId="2449"/>
    <tableColumn id="7" xr3:uid="{264B0696-06C8-4649-B4C2-9E5E4B0DCE6D}" name="2025" dataDxfId="2448"/>
    <tableColumn id="2" xr3:uid="{E8FCA7CC-AB79-4B6D-99FE-3A63D9E13093}" name="2024" dataDxfId="2447"/>
    <tableColumn id="3" xr3:uid="{E1AB175A-2FB4-4A36-AD60-55631DC5717A}" name="2023" dataDxfId="2446"/>
    <tableColumn id="4" xr3:uid="{4D487409-9EF3-4347-8380-817136C9FFA8}" name="2022" dataDxfId="2445"/>
    <tableColumn id="5" xr3:uid="{4E53322C-F311-4ABF-8E9C-3E6C86F4707C}" name="2021" dataDxfId="2444"/>
    <tableColumn id="6" xr3:uid="{38F5425C-5172-4536-96EE-EA386A9E8E31}" name="2020" dataDxfId="2443"/>
  </tableColumns>
  <tableStyleInfo name="TableStyleMedium8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1CF1C1C4-7C5A-4040-A7B4-97054936AAA3}" name="TRANSCHUGOK" displayName="TRANSCHUGOK" ref="DB171:DH183" totalsRowShown="0" headerRowDxfId="2442" dataDxfId="2441">
  <tableColumns count="7">
    <tableColumn id="1" xr3:uid="{B8221E7D-8839-4B77-863E-4768983C8691}" name="MOIS" dataDxfId="2440"/>
    <tableColumn id="7" xr3:uid="{11304447-2FF2-4F72-8625-A28B8CC0C345}" name="2025" dataDxfId="2439"/>
    <tableColumn id="2" xr3:uid="{7C7D4BCD-E470-4F11-854A-5645C2B60B1D}" name="2024" dataDxfId="2438"/>
    <tableColumn id="3" xr3:uid="{AEC9DD0E-CA7B-4BED-9F88-9F58292FDECF}" name="2023" dataDxfId="2437"/>
    <tableColumn id="4" xr3:uid="{784C1FF0-C758-4A09-AB05-07CFCD59458B}" name="2022" dataDxfId="2436"/>
    <tableColumn id="5" xr3:uid="{319C6670-6A25-456E-8E9C-A172BA5B59DB}" name="2021" dataDxfId="2435"/>
    <tableColumn id="6" xr3:uid="{A9731E64-37DB-4E32-9013-567C5D1CBB9F}" name="2020" dataDxfId="2434"/>
  </tableColumns>
  <tableStyleInfo name="TableStyleMedium10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44D5FD43-416C-4356-85EB-6B1037B82B9F}" name="TRANSCARTHK" displayName="TRANSCARTHK" ref="CT171:CZ183" totalsRowShown="0" headerRowDxfId="2433" dataDxfId="2432">
  <tableColumns count="7">
    <tableColumn id="1" xr3:uid="{D21FB2D4-FEFC-40D0-BE33-10C9F0637E05}" name="MOIS" dataDxfId="2431"/>
    <tableColumn id="7" xr3:uid="{4EB0BC08-57DF-4B4B-9D9C-32BF26463441}" name="2025" dataDxfId="2430"/>
    <tableColumn id="2" xr3:uid="{06197678-A2B1-4B03-8531-964E1F54CBC6}" name="2024" dataDxfId="2429" dataCellStyle="Milliers"/>
    <tableColumn id="3" xr3:uid="{12361AB6-0672-4B4F-989D-6E0D5E429C79}" name="2023" dataDxfId="2428"/>
    <tableColumn id="4" xr3:uid="{A06017D3-EB20-4507-AF47-4E6E2E725792}" name="2022" dataDxfId="2427"/>
    <tableColumn id="5" xr3:uid="{A5BFF8A0-6B30-4572-9B5F-31A04B8E0F88}" name="2021" dataDxfId="2426"/>
    <tableColumn id="6" xr3:uid="{7A8A5086-7C65-4EA4-9E50-067D9B29307F}" name="2020" dataDxfId="2425"/>
  </tableColumns>
  <tableStyleInfo name="TableStyleMedium11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2EF271F0-5FE8-4E91-991B-7A14DF2C8971}" name="TRANSCJEANCLOMC" displayName="TRANSCJEANCLOMC" ref="DJ155:DP167" totalsRowShown="0" headerRowDxfId="2424" dataDxfId="2423">
  <tableColumns count="7">
    <tableColumn id="1" xr3:uid="{FCBA4D89-A9DF-46A4-BD8D-4E6DB611AE57}" name="MOIS" dataDxfId="2422"/>
    <tableColumn id="7" xr3:uid="{36752EA9-659C-4626-86A3-8024D2480412}" name="2025" dataDxfId="2421"/>
    <tableColumn id="2" xr3:uid="{096B2B85-2EC7-4D10-B8F9-C3E57AA8E3E1}" name="2024" dataDxfId="2420"/>
    <tableColumn id="3" xr3:uid="{B3B31CF4-4567-42E7-95FF-E73E32CE6A41}" name="2023" dataDxfId="2419"/>
    <tableColumn id="4" xr3:uid="{C6CC0775-09D0-4653-B446-3728C8107B62}" name="2022" dataDxfId="2418"/>
    <tableColumn id="5" xr3:uid="{0D390AA0-6D32-4C19-AA15-96B659355FE0}" name="2021" dataDxfId="2417"/>
    <tableColumn id="6" xr3:uid="{1B8A90A6-18A9-4932-8086-DB2FB8DC05AD}" name="2020" dataDxfId="2416"/>
  </tableColumns>
  <tableStyleInfo name="TableStyleMedium14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99EA8098-7B97-4D40-B302-339F0C3B6E69}" name="TRANSCTHOMMC" displayName="TRANSCTHOMMC" ref="DR155:DX167" totalsRowShown="0" headerRowDxfId="2415" dataDxfId="2414">
  <tableColumns count="7">
    <tableColumn id="1" xr3:uid="{9A6501C1-9B00-42D2-84EC-F82801F88344}" name="MOIS" dataDxfId="2413"/>
    <tableColumn id="7" xr3:uid="{BE0ECEB1-17E6-4901-8DAD-DF9739923CC5}" name="2025" dataDxfId="2412"/>
    <tableColumn id="2" xr3:uid="{233C00C4-B9FD-407A-AF5F-0D7BFF74CB7A}" name="2024" dataDxfId="2411"/>
    <tableColumn id="3" xr3:uid="{89B9A0BA-3A2C-4F28-813F-A2C62E018581}" name="2023" dataDxfId="2410"/>
    <tableColumn id="4" xr3:uid="{B2C9F943-E6F9-44D3-BEA3-5C21FCB5B031}" name="2022" dataDxfId="2409"/>
    <tableColumn id="5" xr3:uid="{01515894-315F-4E09-90FD-937D6F3CC304}" name="2021" dataDxfId="2408"/>
    <tableColumn id="6" xr3:uid="{96696859-186E-4245-8BCA-F24CC6AC48B9}" name="2020" dataDxfId="2407"/>
  </tableColumns>
  <tableStyleInfo name="TableStyleMedium8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4AE60AB5-0F71-47EB-8E67-A851128EF028}" name="TRANSCHUGOMC" displayName="TRANSCHUGOMC" ref="DB155:DH167" totalsRowShown="0" headerRowDxfId="2406" dataDxfId="2405">
  <tableColumns count="7">
    <tableColumn id="1" xr3:uid="{2F05B35F-1EA1-4A7C-93BF-021AC67F600B}" name="MOIS" dataDxfId="2404"/>
    <tableColumn id="7" xr3:uid="{23AC3461-A56F-4191-9186-54602F876AAD}" name="2025" dataDxfId="2403"/>
    <tableColumn id="2" xr3:uid="{CED31517-7D20-48A1-91A9-87396B2707FA}" name="2024" dataDxfId="2402"/>
    <tableColumn id="3" xr3:uid="{9C034588-157C-489E-879A-6FD1A8952B94}" name="2023" dataDxfId="2401"/>
    <tableColumn id="4" xr3:uid="{CECCD904-7587-43C9-8A85-B9F435096907}" name="2022" dataDxfId="2400"/>
    <tableColumn id="5" xr3:uid="{F0E92F0B-AFF7-43F7-8841-50E287C564B8}" name="2021" dataDxfId="2399"/>
    <tableColumn id="6" xr3:uid="{3F448582-CEC0-43ED-8CCD-C0243B88507A}" name="2020" dataDxfId="2398"/>
  </tableColumns>
  <tableStyleInfo name="TableStyleMedium10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C32103DF-135F-4553-8C3C-1285E3439129}" name="TRANSCARTHMC" displayName="TRANSCARTHMC" ref="CT155:CZ167" totalsRowShown="0" headerRowDxfId="2397" dataDxfId="2396">
  <tableColumns count="7">
    <tableColumn id="1" xr3:uid="{56799697-D587-4D62-AF24-9092C8ACB9BB}" name="MOIS" dataDxfId="2395"/>
    <tableColumn id="7" xr3:uid="{448B659C-085D-4813-BCA2-4C6D868C3EE0}" name="2025" dataDxfId="2394"/>
    <tableColumn id="2" xr3:uid="{11C4B909-D140-4B40-BEE6-7EEB1C34D063}" name="2024" dataDxfId="2393" dataCellStyle="Milliers"/>
    <tableColumn id="3" xr3:uid="{ED8452A2-4B70-4DCE-B8B0-6AB1D39A2D56}" name="2023" dataDxfId="2392"/>
    <tableColumn id="4" xr3:uid="{10473FA5-DF02-4C45-80B0-57189DEE6596}" name="2022" dataDxfId="2391"/>
    <tableColumn id="5" xr3:uid="{1356B7B6-5B69-4ECA-AFD1-5EC2AD5ABCE6}" name="2021" dataDxfId="2390"/>
    <tableColumn id="6" xr3:uid="{78403014-0CB3-4DA4-AC41-C6F31AA29A95}" name="2020" dataDxfId="2389"/>
  </tableColumns>
  <tableStyleInfo name="TableStyleMedium11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941D3DB9-E081-4998-8EF7-8E3C9911FB80}" name="TRANSCJEANCLOAE" displayName="TRANSCJEANCLOAE" ref="DJ139:DP151" totalsRowShown="0" headerRowDxfId="2388" dataDxfId="2387">
  <tableColumns count="7">
    <tableColumn id="1" xr3:uid="{E64F7FD2-B0D9-468E-A80C-941FBB2F51C2}" name="MOIS" dataDxfId="2386"/>
    <tableColumn id="7" xr3:uid="{E3076876-41F9-431F-A749-06638DF520E9}" name="2025" dataDxfId="2385"/>
    <tableColumn id="2" xr3:uid="{75C01201-47F1-4933-80E0-11189575FC0C}" name="2024" dataDxfId="2384"/>
    <tableColumn id="3" xr3:uid="{FDCC2F30-5A63-45A4-BD03-AE7C46C3153F}" name="2023" dataDxfId="2383"/>
    <tableColumn id="4" xr3:uid="{8C6BE8FD-88C9-4CAC-8A38-C0ABAE0427A6}" name="2022" dataDxfId="2382"/>
    <tableColumn id="5" xr3:uid="{DE5C612D-5D29-480A-BF4D-1B0B2ADE76B5}" name="2021" dataDxfId="2381"/>
    <tableColumn id="6" xr3:uid="{15AC386F-7DDB-4668-9196-DE8E40AE00AA}" name="2020" dataDxfId="2380"/>
  </tableColumns>
  <tableStyleInfo name="TableStyleMedium14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E22F65AE-838C-412D-ACAC-1EB37D087716}" name="TRANSCTHOMAE" displayName="TRANSCTHOMAE" ref="DR139:DX151" totalsRowShown="0" headerRowDxfId="2379" dataDxfId="2378">
  <tableColumns count="7">
    <tableColumn id="1" xr3:uid="{CD6F4DEE-E799-48EB-9CD1-9DCAFC5F5A98}" name="MOIS" dataDxfId="2377"/>
    <tableColumn id="7" xr3:uid="{67DF8C17-DA84-48B6-9DFC-A4C78C783E2F}" name="2025" dataDxfId="2376"/>
    <tableColumn id="2" xr3:uid="{1043ED72-1D21-4652-9F5C-652DAB886ED6}" name="2024" dataDxfId="2375"/>
    <tableColumn id="3" xr3:uid="{F3FF7B7E-E6C5-4AED-9321-8CE8A4640F7C}" name="2023" dataDxfId="2374"/>
    <tableColumn id="4" xr3:uid="{0F029D65-7CA6-4D3D-AE03-68C8E02146B2}" name="2022" dataDxfId="2373"/>
    <tableColumn id="5" xr3:uid="{FB33C37A-E9A2-4C99-A5FA-146713D64322}" name="2021" dataDxfId="2372"/>
    <tableColumn id="6" xr3:uid="{BD960B2D-6C47-4C8C-8900-5BEA8B43D130}" name="2020" dataDxfId="2371"/>
  </tableColumns>
  <tableStyleInfo name="TableStyleMedium8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F827499-3D1E-4816-ADB7-6956924E2599}" name="TRANSCHUGOAE" displayName="TRANSCHUGOAE" ref="DB139:DH151" totalsRowShown="0" headerRowDxfId="2370" dataDxfId="2369">
  <tableColumns count="7">
    <tableColumn id="1" xr3:uid="{3D7B708C-B56D-43B6-9ED8-7301D1F22FDD}" name="MOIS" dataDxfId="2368"/>
    <tableColumn id="7" xr3:uid="{3A7DEF1D-39DC-45FA-9511-72B1984837BB}" name="2025" dataDxfId="2367"/>
    <tableColumn id="2" xr3:uid="{7990242B-5ED2-4234-B697-D079D976BF72}" name="2024" dataDxfId="2366"/>
    <tableColumn id="3" xr3:uid="{D98F009B-9D7A-4849-AB5B-F39CE55B502E}" name="2023" dataDxfId="2365"/>
    <tableColumn id="4" xr3:uid="{CE022D72-CF83-4FB9-9D18-08DF8CD32FD6}" name="2022" dataDxfId="2364"/>
    <tableColumn id="5" xr3:uid="{DD81202B-C448-4187-B366-66AC26C74787}" name="2021" dataDxfId="2363"/>
    <tableColumn id="6" xr3:uid="{DCB64929-4369-4102-B4F2-65568FC65511}" name="2020" dataDxfId="2362"/>
  </tableColumns>
  <tableStyleInfo name="TableStyleMedium10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FF3EF8D9-B3BD-480B-8239-C1C536C0F62B}" name="TRANSCARTHAE" displayName="TRANSCARTHAE" ref="CT139:CZ151" totalsRowShown="0" headerRowDxfId="2361" dataDxfId="2360">
  <tableColumns count="7">
    <tableColumn id="1" xr3:uid="{4A3D0653-A821-4205-99CB-BCEC059E02FE}" name="MOIS" dataDxfId="2359"/>
    <tableColumn id="7" xr3:uid="{C5EC4C41-D63C-4020-9436-2A68D40888F2}" name="2025" dataDxfId="2358"/>
    <tableColumn id="2" xr3:uid="{EFE62217-9FA0-44B7-A674-F1D32B393E0D}" name="2024" dataDxfId="2357" dataCellStyle="Milliers"/>
    <tableColumn id="3" xr3:uid="{8D30FDEB-85D2-47B4-9369-57E280462BB0}" name="2023" dataDxfId="2356"/>
    <tableColumn id="4" xr3:uid="{E497F128-B134-4E47-A3F1-47D4B25AFB8B}" name="2022" dataDxfId="2355"/>
    <tableColumn id="5" xr3:uid="{2869893B-9BF7-4F0C-937D-AAEC26F2B097}" name="2021" dataDxfId="2354"/>
    <tableColumn id="6" xr3:uid="{1D7F96AC-8EAF-420A-9C25-4A6B722BB5A8}" name="2020" dataDxfId="2353"/>
  </tableColumns>
  <tableStyleInfo name="TableStyleMedium11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4DF2138F-EAE6-43A0-B955-CD9FCA1BDD1A}" name="TRANSCJEANCLOSP" displayName="TRANSCJEANCLOSP" ref="DJ123:DP135" totalsRowShown="0" headerRowDxfId="2352" dataDxfId="2351">
  <tableColumns count="7">
    <tableColumn id="1" xr3:uid="{8EEFABD3-983B-4675-A4ED-DA89DBBC96E5}" name="MOIS" dataDxfId="2350"/>
    <tableColumn id="7" xr3:uid="{3A4ECE30-0309-4F7C-B8FF-FCC7CDF2BAC3}" name="2025" dataDxfId="2349"/>
    <tableColumn id="2" xr3:uid="{F4A1A046-5EB5-4577-AF95-647A4C61DEC4}" name="2024" dataDxfId="2348"/>
    <tableColumn id="3" xr3:uid="{C9A3FDD9-9D35-4E5C-92AB-7BF5CD7D9B2A}" name="2023" dataDxfId="2347"/>
    <tableColumn id="4" xr3:uid="{4DC6A0BF-B141-4FF4-83CC-6BA34D3D97B9}" name="2022" dataDxfId="2346"/>
    <tableColumn id="5" xr3:uid="{26348DA0-0FC3-4566-98A6-242A60D7C542}" name="2021" dataDxfId="2345"/>
    <tableColumn id="6" xr3:uid="{A8E67CD5-AB57-4451-B268-B338A4AEE4E6}" name="2020" dataDxfId="2344"/>
  </tableColumns>
  <tableStyleInfo name="TableStyleMedium14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869BC54A-9F83-4C8B-9E0E-B29F7937FF16}" name="TRANSCTHOMSP" displayName="TRANSCTHOMSP" ref="DR123:DX135" totalsRowShown="0" headerRowDxfId="2343" dataDxfId="2342">
  <tableColumns count="7">
    <tableColumn id="1" xr3:uid="{81AEC061-0758-4DC4-ACBF-95CFF2FDF28F}" name="MOIS" dataDxfId="2341"/>
    <tableColumn id="7" xr3:uid="{95F98A8C-A960-48B2-A22E-8123A1D87C2C}" name="2025" dataDxfId="2340"/>
    <tableColumn id="2" xr3:uid="{A1F74E22-6C74-48F3-A33D-AE2BC6F2F9F7}" name="2024" dataDxfId="2339"/>
    <tableColumn id="3" xr3:uid="{00F18F13-3F4A-4462-AC47-EB6520BA669D}" name="2023" dataDxfId="2338"/>
    <tableColumn id="4" xr3:uid="{84A958F5-AAD1-4962-B97F-177DE1711D70}" name="2022" dataDxfId="2337"/>
    <tableColumn id="5" xr3:uid="{CEC5CB0D-8769-40B0-96E2-805B3FFB5EB0}" name="2021" dataDxfId="2336"/>
    <tableColumn id="6" xr3:uid="{D4E4F822-BD16-41AC-96A8-049824F94423}" name="2020" dataDxfId="2335"/>
  </tableColumns>
  <tableStyleInfo name="TableStyleMedium8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A79A3DB1-5CDE-4590-A465-F3A21074DDBE}" name="TRANSCHUGOSP" displayName="TRANSCHUGOSP" ref="DB123:DH135" totalsRowShown="0" headerRowDxfId="2334" dataDxfId="2333">
  <tableColumns count="7">
    <tableColumn id="1" xr3:uid="{200D67DB-99F1-4B41-B4BF-06E4E089D812}" name="MOIS" dataDxfId="2332"/>
    <tableColumn id="7" xr3:uid="{F6E070A5-35C5-4FD6-888A-B2FC9A4A974C}" name="2025" dataDxfId="2331"/>
    <tableColumn id="2" xr3:uid="{BB57C3CD-FDE4-4618-98FF-FA339C25ACCC}" name="2024" dataDxfId="2330"/>
    <tableColumn id="3" xr3:uid="{B0682BF0-4FB1-4AE8-95C1-3A00250982A4}" name="2023" dataDxfId="2329"/>
    <tableColumn id="4" xr3:uid="{D10580FF-B9F2-4171-8F67-164B899621DE}" name="2022" dataDxfId="2328"/>
    <tableColumn id="5" xr3:uid="{9ACB02E1-2316-4BC2-8826-2E8C9AEFF284}" name="2021" dataDxfId="2327"/>
    <tableColumn id="6" xr3:uid="{EBA980B4-8771-4B54-A80E-C9B4124C388A}" name="2020" dataDxfId="2326"/>
  </tableColumns>
  <tableStyleInfo name="TableStyleMedium10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19CC1CE8-8B42-4FE3-98D3-12B5F2B84F7C}" name="TRANSCARTHSP" displayName="TRANSCARTHSP" ref="CT123:CZ135" totalsRowShown="0" headerRowDxfId="2325" dataDxfId="2324">
  <tableColumns count="7">
    <tableColumn id="1" xr3:uid="{59E93AE2-D6B8-42E1-A763-C58AC3826E96}" name="MOIS" dataDxfId="2323"/>
    <tableColumn id="7" xr3:uid="{75EC4311-6863-4D71-8810-44A99D69B6C9}" name="2025" dataDxfId="2322"/>
    <tableColumn id="2" xr3:uid="{17A6CC2F-8DCC-46CD-88CB-8DB351283EBA}" name="2024" dataDxfId="2321" dataCellStyle="Milliers"/>
    <tableColumn id="3" xr3:uid="{52EDA57A-69CC-420D-972F-803278D1CBFA}" name="2023" dataDxfId="2320"/>
    <tableColumn id="4" xr3:uid="{3A2025DA-35A1-44B1-A6AE-B28775F03555}" name="2022" dataDxfId="2319"/>
    <tableColumn id="5" xr3:uid="{2595AF63-CD92-42CF-9569-9BE652D85F5C}" name="2021" dataDxfId="2318"/>
    <tableColumn id="6" xr3:uid="{3B71AB3A-3468-4DB1-A59C-4B5AA83AED66}" name="2020" dataDxfId="2317"/>
  </tableColumns>
  <tableStyleInfo name="TableStyleMedium11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10A19C88-1186-4B0A-B3B1-B05A75BDC92E}" name="PMJEANCLOAE" displayName="PMJEANCLOAE" ref="DJ219:DP231" totalsRowShown="0" headerRowDxfId="2316" dataDxfId="2315">
  <tableColumns count="7">
    <tableColumn id="1" xr3:uid="{E7B429B6-375A-4D85-AA79-C759A4B80B67}" name="MOIS" dataDxfId="2314"/>
    <tableColumn id="7" xr3:uid="{1F3985A0-37B6-44CA-9452-5D5D5BA1EEEA}" name="2025" dataDxfId="2313"/>
    <tableColumn id="2" xr3:uid="{21F602C7-CD39-45FE-9730-4F4692674929}" name="2024" dataDxfId="2312"/>
    <tableColumn id="3" xr3:uid="{1F38DD01-1735-45CC-ABC3-60C2F57973FE}" name="2023" dataDxfId="2311"/>
    <tableColumn id="4" xr3:uid="{0475A08A-9785-49BB-8FC5-FCF5F2E12C6A}" name="2022" dataDxfId="2310"/>
    <tableColumn id="5" xr3:uid="{F3326EE2-6381-4186-BD58-CE91F9C048D5}" name="2021" dataDxfId="2309"/>
    <tableColumn id="6" xr3:uid="{9E61AC68-4B7D-4470-A730-6C7B2DA8773F}" name="2020" dataDxfId="2308"/>
  </tableColumns>
  <tableStyleInfo name="TableStyleMedium14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1EAA585A-367F-494B-913E-CBA6EFD39B8D}" name="PMTHOMAE" displayName="PMTHOMAE" ref="DR219:DX231" totalsRowShown="0" headerRowDxfId="2307" dataDxfId="2306">
  <tableColumns count="7">
    <tableColumn id="1" xr3:uid="{18C05908-5257-402C-82FB-2DA26ED1441D}" name="MOIS" dataDxfId="2305"/>
    <tableColumn id="7" xr3:uid="{4C36E04B-B861-414F-AD8E-875AF5E0E976}" name="2025" dataDxfId="2304"/>
    <tableColumn id="2" xr3:uid="{E00BB448-3AE9-445F-96E4-E717F48176E9}" name="2024" dataDxfId="2303"/>
    <tableColumn id="3" xr3:uid="{0BA352BE-D041-4061-A2C6-9CCD48A97BF9}" name="2023" dataDxfId="2302"/>
    <tableColumn id="4" xr3:uid="{FD657E82-F5DC-431D-A269-C3CD0EC70346}" name="2022" dataDxfId="2301"/>
    <tableColumn id="5" xr3:uid="{5B59F9E9-3CD1-4FFD-BD25-008982761C9E}" name="2021" dataDxfId="2300"/>
    <tableColumn id="6" xr3:uid="{F6011DC3-ACDE-45C5-ACF6-101CCBF6E7D0}" name="2020" dataDxfId="2299"/>
  </tableColumns>
  <tableStyleInfo name="TableStyleMedium8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66E0633-CF62-43C3-AA6B-33AD531CB6D9}" name="PMHUGOAE" displayName="PMHUGOAE" ref="DB219:DH231" totalsRowShown="0" headerRowDxfId="2298" dataDxfId="2297">
  <tableColumns count="7">
    <tableColumn id="1" xr3:uid="{14482931-8F5C-4E60-A870-B8B120185840}" name="MOIS" dataDxfId="2296"/>
    <tableColumn id="7" xr3:uid="{76A205D1-1A6C-43B0-A658-5F48B3FDC8A7}" name="2025" dataDxfId="2295"/>
    <tableColumn id="2" xr3:uid="{30CAE725-34EC-45B9-BECE-9193CAC703BE}" name="2024" dataDxfId="2294"/>
    <tableColumn id="3" xr3:uid="{A422726C-E597-42EB-8D47-10A0D243752A}" name="2023" dataDxfId="2293"/>
    <tableColumn id="4" xr3:uid="{2C7A04B6-DC5A-4396-87D3-77E842D09D24}" name="2022" dataDxfId="2292"/>
    <tableColumn id="5" xr3:uid="{437BEF1F-234A-4075-8A3F-D27324300FB4}" name="2021" dataDxfId="2291"/>
    <tableColumn id="6" xr3:uid="{14D254C6-2053-4FBA-B2DE-A70E045DEFD4}" name="2020" dataDxfId="2290"/>
  </tableColumns>
  <tableStyleInfo name="TableStyleMedium10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B02620F1-C66B-47F8-87CB-9AD5CDFE9DA1}" name="PMARTHAE" displayName="PMARTHAE" ref="CT219:CZ231" totalsRowShown="0" headerRowDxfId="2289" dataDxfId="2288">
  <tableColumns count="7">
    <tableColumn id="1" xr3:uid="{28DA3FF1-6E1F-4DCB-A59A-DCBE5A74933E}" name="MOIS" dataDxfId="2287"/>
    <tableColumn id="7" xr3:uid="{CB930ED1-2829-492C-BAB5-1F1B2ECCC203}" name="2025" dataDxfId="2286"/>
    <tableColumn id="2" xr3:uid="{CA7C163F-5842-4AE0-A49A-3BBF959A40F4}" name="2024" dataDxfId="2285"/>
    <tableColumn id="3" xr3:uid="{62E65BBC-8B81-47CD-9303-57A5DA4A0347}" name="2023" dataDxfId="2284"/>
    <tableColumn id="4" xr3:uid="{911EF754-0F42-4741-99C6-AE9DAB270B3F}" name="2022" dataDxfId="2283"/>
    <tableColumn id="5" xr3:uid="{E84256BF-FBDD-4EB2-9B79-C908C2B1BC7B}" name="2021" dataDxfId="2282"/>
    <tableColumn id="6" xr3:uid="{5FFEEA67-24F4-4782-AEC3-806CF7A5CA27}" name="2020" dataDxfId="2281"/>
  </tableColumns>
  <tableStyleInfo name="TableStyleMedium11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D95F922-E642-4D2D-A9AC-FA0638CB2200}" name="PMJEANCLOSP" displayName="PMJEANCLOSP" ref="DJ203:DP215" totalsRowShown="0" headerRowDxfId="2280" dataDxfId="2279">
  <tableColumns count="7">
    <tableColumn id="1" xr3:uid="{BDE82F8D-BA08-44C1-9F7C-C1C0B4806CBF}" name="MOIS" dataDxfId="2278"/>
    <tableColumn id="7" xr3:uid="{2224B6FA-E403-4611-A830-7E0ADB95BA15}" name="2025" dataDxfId="2277"/>
    <tableColumn id="2" xr3:uid="{B059A335-09E8-41E2-BAC4-8098AFD7E86F}" name="2024" dataDxfId="2276"/>
    <tableColumn id="3" xr3:uid="{1A6EE888-0D35-4A9E-8961-95878C670017}" name="2023" dataDxfId="2275"/>
    <tableColumn id="4" xr3:uid="{A013C260-1F7C-4965-928A-7380D24D99C6}" name="2022" dataDxfId="2274"/>
    <tableColumn id="5" xr3:uid="{1E158199-03F6-4912-8460-8BA2BE4CD58F}" name="2021" dataDxfId="2273"/>
    <tableColumn id="6" xr3:uid="{A33A2234-DED6-4CC1-BE66-DC85D3B9E50F}" name="2020" dataDxfId="2272"/>
  </tableColumns>
  <tableStyleInfo name="TableStyleMedium14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908D3E26-5A7C-4116-B2F1-DE6182032FED}" name="PMTHOMSP" displayName="PMTHOMSP" ref="DR203:DX215" totalsRowShown="0" headerRowDxfId="2271" dataDxfId="2270">
  <tableColumns count="7">
    <tableColumn id="1" xr3:uid="{7C369149-5FFD-4237-A4B4-FCF54596CEB9}" name="MOIS" dataDxfId="2269"/>
    <tableColumn id="7" xr3:uid="{D6E709E7-6784-4A4D-B86D-B31F89969B85}" name="2025" dataDxfId="2268"/>
    <tableColumn id="2" xr3:uid="{C2F6950A-A64C-4F02-85BA-0D01C7D7769F}" name="2024" dataDxfId="2267"/>
    <tableColumn id="3" xr3:uid="{62DA5193-E3B8-41EA-8CEA-6EDFF9951092}" name="2023" dataDxfId="2266"/>
    <tableColumn id="4" xr3:uid="{227390ED-1885-48EB-B87B-F3FF0EEAB8D6}" name="2022" dataDxfId="2265"/>
    <tableColumn id="5" xr3:uid="{6D66C722-1213-479F-8AE2-153A2BBB3B19}" name="2021" dataDxfId="2264"/>
    <tableColumn id="6" xr3:uid="{E5FF46C7-48FA-456C-9EBF-A0D764B7FC22}" name="2020" dataDxfId="2263"/>
  </tableColumns>
  <tableStyleInfo name="TableStyleMedium8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932EC3F3-B4CB-479B-9A0C-748169328257}" name="PMHUGOSP" displayName="PMHUGOSP" ref="DB203:DH215" totalsRowShown="0" headerRowDxfId="2262" dataDxfId="2261">
  <tableColumns count="7">
    <tableColumn id="1" xr3:uid="{3D34DB72-35F1-45D2-ACC1-A5D9AFBD418C}" name="MOIS" dataDxfId="2260"/>
    <tableColumn id="7" xr3:uid="{1F40D466-DA2C-4690-9142-16643C4C5367}" name="2025" dataDxfId="2259"/>
    <tableColumn id="2" xr3:uid="{B0D2C0B8-B554-4BD0-B36A-5A8D1FE0DCA3}" name="2024" dataDxfId="2258"/>
    <tableColumn id="3" xr3:uid="{32967190-F9C7-440F-9E11-74D5C6A2BD26}" name="2023" dataDxfId="2257"/>
    <tableColumn id="4" xr3:uid="{A00DCE48-E897-4624-BEBD-CA94715C2B7E}" name="2022" dataDxfId="2256"/>
    <tableColumn id="5" xr3:uid="{2E124792-A8A7-4A98-A5CC-2BC8B7D83524}" name="2021" dataDxfId="2255"/>
    <tableColumn id="6" xr3:uid="{9B6D72DE-3E46-4406-8925-1F9A47A96EC1}" name="2020" dataDxfId="2254"/>
  </tableColumns>
  <tableStyleInfo name="TableStyleMedium10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370A3C1E-910A-4D1D-A6DC-5473C294D48F}" name="PMARTHSP" displayName="PMARTHSP" ref="CT203:CZ215" totalsRowShown="0" headerRowDxfId="2253" dataDxfId="2252">
  <tableColumns count="7">
    <tableColumn id="1" xr3:uid="{F394B64E-7364-4DEE-9425-8F181C55C5F9}" name="MOIS" dataDxfId="2251"/>
    <tableColumn id="7" xr3:uid="{3C42DA4B-610C-4E3F-922C-8B643B91FFA7}" name="2025" dataDxfId="2250"/>
    <tableColumn id="2" xr3:uid="{1710501C-4D49-4B85-BD02-23FBE4EE1447}" name="2024" dataDxfId="2249"/>
    <tableColumn id="3" xr3:uid="{72929425-007E-424E-AA32-8D1304391EF2}" name="2023" dataDxfId="2248"/>
    <tableColumn id="4" xr3:uid="{F1D0DE91-5FE8-4853-A381-07A7065475C7}" name="2022" dataDxfId="2247"/>
    <tableColumn id="5" xr3:uid="{4FC6A16F-745F-483A-9E95-0C87C1055090}" name="2021" dataDxfId="2246"/>
    <tableColumn id="6" xr3:uid="{FD024603-15BB-4CDB-AC4F-1D6FA5F78566}" name="2020" dataDxfId="2245"/>
  </tableColumns>
  <tableStyleInfo name="TableStyleMedium11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5CB544F9-7767-425A-8F12-B2C72865B066}" name="PMCRJEANCLOAE" displayName="PMCRJEANCLOAE" ref="DJ267:DP279" totalsRowShown="0" headerRowDxfId="2244" dataDxfId="2243">
  <tableColumns count="7">
    <tableColumn id="1" xr3:uid="{2765124D-E490-424A-A6CD-4BBFBF31F074}" name="MOIS" dataDxfId="2242"/>
    <tableColumn id="7" xr3:uid="{D63B2E37-FDAD-4389-B9E9-6566F3E2D75C}" name="2025" dataDxfId="2241">
      <calculatedColumnFormula>AVERAGE(DK220:DK$220)</calculatedColumnFormula>
    </tableColumn>
    <tableColumn id="2" xr3:uid="{3377E262-E0A9-4025-B1CC-7CDAD87AA5DF}" name="2024" dataDxfId="2240"/>
    <tableColumn id="3" xr3:uid="{17F20395-E6C2-4AF1-A870-9368D4C46575}" name="2023" dataDxfId="2239"/>
    <tableColumn id="4" xr3:uid="{54D6BB76-B805-47B3-8DBD-2984734ED5A6}" name="2022" dataDxfId="2238"/>
    <tableColumn id="5" xr3:uid="{9ADB198C-BBAD-44F0-924C-6BB39C5B4973}" name="2021" dataDxfId="2237"/>
    <tableColumn id="6" xr3:uid="{199845D5-FCEA-4A3D-85A7-4D67140919D9}" name="2020" dataDxfId="2236"/>
  </tableColumns>
  <tableStyleInfo name="TableStyleMedium14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F81702B2-B9CD-466A-A3E5-D7B9F8FC39A9}" name="PMCTHOMAE" displayName="PMCTHOMAE" ref="DR267:DX279" totalsRowShown="0" headerRowDxfId="2235" dataDxfId="2234">
  <tableColumns count="7">
    <tableColumn id="1" xr3:uid="{A95ED710-2DF6-44D8-BCF7-915962303FA4}" name="MOIS" dataDxfId="2233"/>
    <tableColumn id="7" xr3:uid="{B5B6DD1A-F75B-443D-80E7-74C86EDEEC6F}" name="2025" dataDxfId="2232">
      <calculatedColumnFormula>AVERAGE(DS220:DS$220)</calculatedColumnFormula>
    </tableColumn>
    <tableColumn id="2" xr3:uid="{20150792-8C2F-495D-9FAF-9080FEFF3483}" name="2024" dataDxfId="2231"/>
    <tableColumn id="3" xr3:uid="{A0FEDF66-FAB6-4E50-9191-F95BA01460E5}" name="2023" dataDxfId="2230"/>
    <tableColumn id="4" xr3:uid="{B56E6CD9-CB44-4A93-9A60-C75DBBDCDAC8}" name="2022" dataDxfId="2229"/>
    <tableColumn id="5" xr3:uid="{065CD371-AC26-4C40-8117-F2B93A7DFD82}" name="2021" dataDxfId="2228"/>
    <tableColumn id="6" xr3:uid="{465DE55F-3AA4-4202-A058-95417E13AA1C}" name="2020" dataDxfId="2227"/>
  </tableColumns>
  <tableStyleInfo name="TableStyleMedium8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113B992A-E329-4B4E-B845-EDC00836B317}" name="PMCHUGOAE" displayName="PMCHUGOAE" ref="DB267:DH279" totalsRowShown="0" headerRowDxfId="2226" dataDxfId="2225">
  <tableColumns count="7">
    <tableColumn id="1" xr3:uid="{477972BC-F45C-4551-ADA1-41B0F052174C}" name="MOIS" dataDxfId="2224"/>
    <tableColumn id="7" xr3:uid="{1F83E966-4EAF-474F-8F7C-D1622DE5EAD9}" name="2025" dataDxfId="2223">
      <calculatedColumnFormula>AVERAGE(DC220:DC$220)</calculatedColumnFormula>
    </tableColumn>
    <tableColumn id="2" xr3:uid="{766814D7-D7AA-4F3C-9A2D-048C5C7EF74C}" name="2024" dataDxfId="2222"/>
    <tableColumn id="3" xr3:uid="{3AE6D5A2-0830-4201-8115-37F39CA18E9B}" name="2023" dataDxfId="2221"/>
    <tableColumn id="4" xr3:uid="{A3CC8B44-1B9A-4493-9E1C-F258CD63D8E3}" name="2022" dataDxfId="2220"/>
    <tableColumn id="5" xr3:uid="{60BD5BA3-8161-42FE-BCEA-E4F00633B87E}" name="2021" dataDxfId="2219"/>
    <tableColumn id="6" xr3:uid="{8EB9537A-68B1-4CC1-911E-ED65A45B1145}" name="2020" dataDxfId="2218"/>
  </tableColumns>
  <tableStyleInfo name="TableStyleMedium10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3D898D79-3A06-4030-A7DF-13C82009353E}" name="PMCARTHAE" displayName="PMCARTHAE" ref="CT267:CZ279" totalsRowShown="0" headerRowDxfId="2217" dataDxfId="2216">
  <tableColumns count="7">
    <tableColumn id="1" xr3:uid="{9BB0029A-7C19-4A2B-95A4-05E6C44CD57F}" name="MOIS" dataDxfId="2215"/>
    <tableColumn id="7" xr3:uid="{E1F8CD86-8937-4DCE-BF5B-9F4A67944289}" name="2025" dataDxfId="2214">
      <calculatedColumnFormula>AVERAGE(CU220:CU$220)</calculatedColumnFormula>
    </tableColumn>
    <tableColumn id="2" xr3:uid="{278FA5CE-C857-4D06-B93D-1CD59025AC4F}" name="2024" dataDxfId="2213"/>
    <tableColumn id="3" xr3:uid="{E022DC87-804B-4FDA-9209-75C8FD5ADA41}" name="2023" dataDxfId="2212"/>
    <tableColumn id="4" xr3:uid="{6DF638FD-D9F1-4D1C-92C8-D72557247EE6}" name="2022" dataDxfId="2211"/>
    <tableColumn id="5" xr3:uid="{0B93C67B-9C17-4AAD-9446-B6ECE1A8FCA9}" name="2021" dataDxfId="2210"/>
    <tableColumn id="6" xr3:uid="{A1430DCC-EA36-49DC-BC25-61EAFD137160}" name="2020" dataDxfId="2209"/>
  </tableColumns>
  <tableStyleInfo name="TableStyleMedium11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FDE4E56F-9B76-46B8-A9AF-C48E84A7BAA7}" name="PMCJEANCLOSP" displayName="PMCJEANCLOSP" ref="DJ251:DP263" totalsRowShown="0" headerRowDxfId="2208" dataDxfId="2207">
  <tableColumns count="7">
    <tableColumn id="1" xr3:uid="{430C4368-0D57-4DA8-93E3-4E39643C8157}" name="MOIS" dataDxfId="2206"/>
    <tableColumn id="7" xr3:uid="{0DE94D95-1D1F-4793-B9B1-045F698C3401}" name="2025" dataDxfId="2205">
      <calculatedColumnFormula>AVERAGE(DK204:DK$204)</calculatedColumnFormula>
    </tableColumn>
    <tableColumn id="2" xr3:uid="{690ED89C-1254-42DB-80FF-7E28C0E8A5B4}" name="2024" dataDxfId="2204"/>
    <tableColumn id="3" xr3:uid="{0C4A58DD-7498-4835-B1E0-F40B209862F8}" name="2023" dataDxfId="2203"/>
    <tableColumn id="4" xr3:uid="{11B3B145-15BD-43B9-880A-6A0D74916DFA}" name="2022" dataDxfId="2202"/>
    <tableColumn id="5" xr3:uid="{0CA8ABD6-3EC6-4D10-9DBA-B70B616DB8F8}" name="2021" dataDxfId="2201"/>
    <tableColumn id="6" xr3:uid="{6027968D-ADA4-49CE-9AAF-A6F9F5A78ED0}" name="2020" dataDxfId="2200"/>
  </tableColumns>
  <tableStyleInfo name="TableStyleMedium14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D6C7FE63-8691-4A0E-BF58-ADC5E6F9EF6A}" name="PMCTHOMSP" displayName="PMCTHOMSP" ref="DR251:DX263" totalsRowShown="0" headerRowDxfId="2199" dataDxfId="2198">
  <tableColumns count="7">
    <tableColumn id="1" xr3:uid="{7B092DC0-AE76-45BB-8392-6B42E28F28F1}" name="MOIS" dataDxfId="2197"/>
    <tableColumn id="7" xr3:uid="{F2C0BAF4-8484-4A2C-B490-D5768A326C06}" name="2025" dataDxfId="2196">
      <calculatedColumnFormula>AVERAGE(DS204:DS$204)</calculatedColumnFormula>
    </tableColumn>
    <tableColumn id="2" xr3:uid="{707DC2D0-4E87-4FBB-8710-1F4F5F402D1C}" name="2024" dataDxfId="2195"/>
    <tableColumn id="3" xr3:uid="{17E4C2D8-AC89-4919-BA84-AE07144BE3B2}" name="2023" dataDxfId="2194"/>
    <tableColumn id="4" xr3:uid="{8D77AB3E-CBDC-4ADC-B594-1E426442790E}" name="2022" dataDxfId="2193"/>
    <tableColumn id="5" xr3:uid="{52CF375E-CDE0-4098-B979-7030B497E57A}" name="2021" dataDxfId="2192"/>
    <tableColumn id="6" xr3:uid="{336A945C-DB00-468D-8A97-1712B7DD9035}" name="2020" dataDxfId="2191"/>
  </tableColumns>
  <tableStyleInfo name="TableStyleMedium8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398BE9C1-3870-402C-BA1D-9D816ABD3EB9}" name="PMCHUGOSP" displayName="PMCHUGOSP" ref="DB251:DH263" totalsRowShown="0" headerRowDxfId="2190" dataDxfId="2189">
  <tableColumns count="7">
    <tableColumn id="1" xr3:uid="{3D6881A8-69E6-47DD-99F3-A59E076344C6}" name="MOIS" dataDxfId="2188"/>
    <tableColumn id="7" xr3:uid="{2CFFB38B-4805-4ED4-9404-6EF8ECC13167}" name="2025" dataDxfId="2187">
      <calculatedColumnFormula>AVERAGE(DC204:DC$204)</calculatedColumnFormula>
    </tableColumn>
    <tableColumn id="2" xr3:uid="{77FA47BB-FAB7-4C8A-B012-BEDD62BC134B}" name="2024" dataDxfId="2186"/>
    <tableColumn id="3" xr3:uid="{1F6DF51E-26D2-4124-BA11-4B5F00531EA9}" name="2023" dataDxfId="2185"/>
    <tableColumn id="4" xr3:uid="{70F09DF6-FF94-4E6C-BBD4-BA4FC962AB65}" name="2022" dataDxfId="2184"/>
    <tableColumn id="5" xr3:uid="{67B3B409-B6A4-4C03-BCCF-E84A3C40D12F}" name="2021" dataDxfId="2183"/>
    <tableColumn id="6" xr3:uid="{1B0F6117-9BC3-44F5-8B68-24712611AD58}" name="2020" dataDxfId="2182"/>
  </tableColumns>
  <tableStyleInfo name="TableStyleMedium10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294DADA9-D12A-452C-B50A-1855456B1B91}" name="PMCARTHMP" displayName="PMCARTHMP" ref="CT251:CZ263" totalsRowShown="0" headerRowDxfId="2181" dataDxfId="2180">
  <tableColumns count="7">
    <tableColumn id="1" xr3:uid="{A021A899-D269-44DC-91AB-2AF507002C36}" name="MOIS" dataDxfId="2179"/>
    <tableColumn id="7" xr3:uid="{E463194B-DA61-4A9A-830D-D8025839C75F}" name="2025" dataDxfId="2178">
      <calculatedColumnFormula>AVERAGE(CU204:CU$204)</calculatedColumnFormula>
    </tableColumn>
    <tableColumn id="2" xr3:uid="{32C8F939-E7D1-4703-9E63-F5D5213C49D0}" name="2024" dataDxfId="2177"/>
    <tableColumn id="3" xr3:uid="{4262875A-1237-41FF-9A2F-EA93EBD95A4A}" name="2023" dataDxfId="2176"/>
    <tableColumn id="4" xr3:uid="{AFAE847D-3314-46B4-B5AB-9A03409C8EE8}" name="2022" dataDxfId="2175"/>
    <tableColumn id="5" xr3:uid="{9F46E17B-5D83-44AD-8ED4-A49147541F01}" name="2021" dataDxfId="2174"/>
    <tableColumn id="6" xr3:uid="{70E4CA3C-83A3-47FF-8569-866171836E9E}" name="2020" dataDxfId="2173"/>
  </tableColumns>
  <tableStyleInfo name="TableStyleMedium11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BE63A467-4371-4374-9D49-EE974D81BC6F}" name="CACAT" displayName="CACAT" ref="DZ11:EF23" totalsRowShown="0" headerRowDxfId="2172" dataDxfId="2171">
  <tableColumns count="7">
    <tableColumn id="1" xr3:uid="{88C933FD-949E-4AEA-BFFB-143B44558E35}" name="MOIS" dataDxfId="2170"/>
    <tableColumn id="7" xr3:uid="{29F91DE5-A08E-49D7-912C-D75B03E145E9}" name="2025" dataDxfId="2169"/>
    <tableColumn id="2" xr3:uid="{282E61BD-7892-4E5E-B691-D927BA6C6F14}" name="2024" dataDxfId="2168"/>
    <tableColumn id="3" xr3:uid="{39493A9B-528D-4F33-B91A-1E97AB6BA1E6}" name="2023" dataDxfId="2167"/>
    <tableColumn id="4" xr3:uid="{3B115406-36F0-4922-95C2-56E17EF44627}" name="2022" dataDxfId="2166"/>
    <tableColumn id="5" xr3:uid="{AC10BA74-E96A-4300-8FBF-C5596CD5BE3C}" name="2021" dataDxfId="2165"/>
    <tableColumn id="6" xr3:uid="{EAB9EF46-67DC-4960-8D5F-020E01CF6D10}" name="2020" dataDxfId="2164"/>
  </tableColumns>
  <tableStyleInfo name="TableStyleMedium8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DEA09A9B-9A11-4EAD-ABC4-2384D66ACEAE}" name="PLCAT" displayName="PLCAT" ref="DZ27:EF39" totalsRowShown="0" headerRowDxfId="2163" dataDxfId="2162">
  <tableColumns count="7">
    <tableColumn id="1" xr3:uid="{9FC7DA6A-4355-4E3F-9D2A-69D139B18FC0}" name="MOIS" dataDxfId="2161"/>
    <tableColumn id="7" xr3:uid="{4CCFA199-B7A5-4F53-A6CE-A7DF176AFC6B}" name="2025" dataDxfId="2160">
      <calculatedColumnFormula>EA12</calculatedColumnFormula>
    </tableColumn>
    <tableColumn id="2" xr3:uid="{CE74B414-17FE-406A-8141-18C11E5AB5A3}" name="2024" dataDxfId="2159"/>
    <tableColumn id="3" xr3:uid="{0AD3507B-8556-4B94-9647-DD6EE2AD0B6D}" name="2023" dataDxfId="2158"/>
    <tableColumn id="4" xr3:uid="{BC784C86-9FAA-4EFC-B546-DE6A30C937D5}" name="2022" dataDxfId="2157"/>
    <tableColumn id="5" xr3:uid="{7C1738B9-689D-4547-91B5-E0FD2D8E8B78}" name="2021" dataDxfId="2156"/>
    <tableColumn id="6" xr3:uid="{EBD2E492-1CC7-460D-8494-DC109425E33D}" name="2020" dataDxfId="2155"/>
  </tableColumns>
  <tableStyleInfo name="TableStyleMedium8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AE0FDD64-135F-41AD-843A-87144A97FA06}" name="TRANSCAT" displayName="TRANSCAT" ref="DZ107:EF119" totalsRowShown="0" headerRowDxfId="2154" dataDxfId="2153">
  <tableColumns count="7">
    <tableColumn id="1" xr3:uid="{953F57D5-123B-4DAC-8FE3-948142A1D616}" name="MOIS" dataDxfId="2152"/>
    <tableColumn id="7" xr3:uid="{4D8AC359-C315-4788-BA59-66C96F7E2661}" name="2025" dataDxfId="2151">
      <calculatedColumnFormula>+EA92+EA76+EA60+EA44</calculatedColumnFormula>
    </tableColumn>
    <tableColumn id="2" xr3:uid="{DC4EF6F1-9A71-4D37-8527-B50CD66BFBC6}" name="2024" dataDxfId="2150"/>
    <tableColumn id="3" xr3:uid="{EBFA47A6-6358-498A-BF4E-D69680E6F4A1}" name="2023" dataDxfId="2149"/>
    <tableColumn id="4" xr3:uid="{58BA1AF2-A88A-404E-B9B9-F5233ACAD411}" name="2022" dataDxfId="2148"/>
    <tableColumn id="5" xr3:uid="{1CDA109C-ED92-4C2C-B339-04A7BFF2A195}" name="2021" dataDxfId="2147"/>
    <tableColumn id="6" xr3:uid="{A83DD104-729D-4E8D-9FC0-32593959DFA4}" name="2020" dataDxfId="2146"/>
  </tableColumns>
  <tableStyleInfo name="TableStyleMedium8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E195304-4BD1-4ACB-8C0D-6F6A8B0F12D3}" name="PMCAT" displayName="PMCAT" ref="DZ235:EF247" totalsRowShown="0" headerRowDxfId="2145" dataDxfId="2144">
  <tableColumns count="7">
    <tableColumn id="1" xr3:uid="{803CC239-25CB-4CCB-AD08-359C51F32ED7}" name="MOIS" dataDxfId="2143"/>
    <tableColumn id="7" xr3:uid="{1D56E92E-66ED-4B00-A0F0-3F261CF76C60}" name="2025" dataDxfId="2142"/>
    <tableColumn id="2" xr3:uid="{DC2E9A5B-51A2-49A4-9DCE-B58E7D779890}" name="2024" dataDxfId="2141"/>
    <tableColumn id="3" xr3:uid="{94614BBC-551D-4D73-AE61-5A51B1AF114A}" name="2023" dataDxfId="2140"/>
    <tableColumn id="4" xr3:uid="{5F98F28A-AD37-4CDE-BEA7-434D84F1DCFA}" name="2022" dataDxfId="2139"/>
    <tableColumn id="5" xr3:uid="{06A342AB-AEE4-4ED5-8856-F2353ECE2EB9}" name="2021" dataDxfId="2138"/>
    <tableColumn id="6" xr3:uid="{1AE57305-047E-4068-A483-5329A895EAD7}" name="2020" dataDxfId="2137"/>
  </tableColumns>
  <tableStyleInfo name="TableStyleMedium8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D08D7DDD-2562-4352-AF7A-EFFCB354A83B}" name="TRESOCAT" displayName="TRESOCAT" ref="DZ299:EF311" totalsRowShown="0" headerRowDxfId="2136" dataDxfId="2135">
  <tableColumns count="7">
    <tableColumn id="1" xr3:uid="{E5EEE607-B415-432F-8A77-FE8FE31CA44A}" name="MOIS" dataDxfId="2134"/>
    <tableColumn id="7" xr3:uid="{F59931F3-0724-4588-AE00-C9D5AE9A5BDB}" name="2025" dataDxfId="4">
      <calculatedColumnFormula>73.55233-2.70641</calculatedColumnFormula>
    </tableColumn>
    <tableColumn id="2" xr3:uid="{D3184015-BA8F-4E33-8A91-7EADFA7F6650}" name="2024" dataDxfId="2133"/>
    <tableColumn id="3" xr3:uid="{0D552166-4C8D-45F2-A676-9FFEFCC5141C}" name="2023" dataDxfId="2132"/>
    <tableColumn id="4" xr3:uid="{2A8B26C6-5F45-4C9D-B9D2-3610B55792C4}" name="2022" dataDxfId="2131"/>
    <tableColumn id="5" xr3:uid="{4DE746FC-02F1-46D5-83F3-C9C99FA7097E}" name="2021" dataDxfId="2130"/>
    <tableColumn id="6" xr3:uid="{F5B0F773-269E-42C4-8E79-B88EFF6882AE}" name="2020" dataDxfId="2129"/>
  </tableColumns>
  <tableStyleInfo name="TableStyleMedium8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DB27A72E-AD31-440E-9A24-A07F6B99E3EA}" name="TRANSCCAT" displayName="TRANSCCAT" ref="DZ187:EF199" totalsRowShown="0" headerRowDxfId="2128" dataDxfId="2127">
  <tableColumns count="7">
    <tableColumn id="1" xr3:uid="{E81D512D-7619-44E2-8DB4-8E24905ED803}" name="MOIS" dataDxfId="2126"/>
    <tableColumn id="7" xr3:uid="{32175B9C-741B-4EF7-BCF9-31FD8DD72CEF}" name="2025" dataDxfId="2125"/>
    <tableColumn id="2" xr3:uid="{3FA739E6-6650-4E2F-B553-59DD2A660924}" name="2024" dataDxfId="2124"/>
    <tableColumn id="3" xr3:uid="{04E0DEBD-C8CE-4BA8-8837-D640B5F58995}" name="2023" dataDxfId="2123"/>
    <tableColumn id="4" xr3:uid="{F2AB1D66-EDB1-4E07-B4B6-F0C0E9B09618}" name="2022" dataDxfId="2122"/>
    <tableColumn id="5" xr3:uid="{89338C9D-44D7-4B29-9A60-E172562D1236}" name="2021" dataDxfId="2121"/>
    <tableColumn id="6" xr3:uid="{FB74EF14-6170-42D8-9DD4-76552B747944}" name="2020" dataDxfId="2120"/>
  </tableColumns>
  <tableStyleInfo name="TableStyleMedium8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5D26CBB1-C02A-4262-BCC3-9BD84A682B94}" name="PMCCAT" displayName="PMCCAT" ref="DZ283:EF295" totalsRowShown="0" headerRowDxfId="2119" dataDxfId="2118">
  <tableColumns count="7">
    <tableColumn id="1" xr3:uid="{0E63E3B6-B520-44E5-AE47-3994F655EF47}" name="MOIS" dataDxfId="2117"/>
    <tableColumn id="7" xr3:uid="{AED9C7BC-43C0-446F-93EA-1BADC545C990}" name="2025" dataDxfId="2116">
      <calculatedColumnFormula>AVERAGE(EA$236:EA236)</calculatedColumnFormula>
    </tableColumn>
    <tableColumn id="2" xr3:uid="{D274E09C-D98D-4F6F-9448-7F2BC27D17F8}" name="2024" dataDxfId="2115"/>
    <tableColumn id="3" xr3:uid="{6A1266B1-885B-440E-95E7-ECF7EEF191E4}" name="2023" dataDxfId="2114"/>
    <tableColumn id="4" xr3:uid="{023EBDD9-0FE7-4092-80F0-2563AF8D8A7F}" name="2022" dataDxfId="2113"/>
    <tableColumn id="5" xr3:uid="{513DCA8C-24F5-4377-8A62-D59993A9526D}" name="2021" dataDxfId="2112"/>
    <tableColumn id="6" xr3:uid="{1CA39B25-7090-4B39-A3B4-E845D056E7E8}" name="2020" dataDxfId="2111"/>
  </tableColumns>
  <tableStyleInfo name="TableStyleMedium8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57595D8F-AF64-490E-B2B7-6767D119167D}" name="TRANSCATK" displayName="TRANSCATK" ref="DZ91:EF103" totalsRowShown="0" headerRowDxfId="2110" dataDxfId="2109">
  <tableColumns count="7">
    <tableColumn id="1" xr3:uid="{63BF9DA4-49FE-48E1-85B6-1B6156061809}" name="MOIS" dataDxfId="2108"/>
    <tableColumn id="7" xr3:uid="{1DC3A686-C228-4B52-9631-BA09FCE10A67}" name="2025" dataDxfId="2107"/>
    <tableColumn id="2" xr3:uid="{5AB70A51-05FE-4CB6-8227-6421AC4FB671}" name="2024" dataDxfId="2106"/>
    <tableColumn id="3" xr3:uid="{B78D3B0D-298F-4E79-AEFA-8EBE114B2498}" name="2023" dataDxfId="2105"/>
    <tableColumn id="4" xr3:uid="{AC3EA0D1-270C-4E48-809D-473E4F04F58C}" name="2022" dataDxfId="2104"/>
    <tableColumn id="5" xr3:uid="{5C7CE6CF-0739-48E3-8B24-E92BDC17580C}" name="2021" dataDxfId="2103"/>
    <tableColumn id="6" xr3:uid="{DD080676-4CF5-443C-81B5-6BE05CAF7D96}" name="2020" dataDxfId="2102"/>
  </tableColumns>
  <tableStyleInfo name="TableStyleMedium8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36EFFF8-DB37-4F54-9F6A-6989BE5684EB}" name="TRANSCATMC" displayName="TRANSCATMC" ref="DZ75:EF87" totalsRowShown="0" headerRowDxfId="2101" dataDxfId="2100">
  <tableColumns count="7">
    <tableColumn id="1" xr3:uid="{BA1E01D7-97D4-408D-B860-4230A0E4079C}" name="MOIS" dataDxfId="2099"/>
    <tableColumn id="7" xr3:uid="{7ACBC75F-ED69-4E8A-9A5A-929D893BB35E}" name="2025" dataDxfId="2098"/>
    <tableColumn id="2" xr3:uid="{8EC46C85-4B81-4B1D-949E-035A999AD9B7}" name="2024" dataDxfId="2097"/>
    <tableColumn id="3" xr3:uid="{DF8BF6C0-56B1-4AD6-8169-310D3147A30C}" name="2023" dataDxfId="2096"/>
    <tableColumn id="4" xr3:uid="{0FCB52CD-EC74-4E8A-8026-19DDBDC9A421}" name="2022" dataDxfId="2095"/>
    <tableColumn id="5" xr3:uid="{371A1E2D-8B33-431F-AD35-E5F909F3DB32}" name="2021" dataDxfId="2094"/>
    <tableColumn id="6" xr3:uid="{D79F2F29-C81E-49A2-94B4-334CC930B54B}" name="2020" dataDxfId="2093"/>
  </tableColumns>
  <tableStyleInfo name="TableStyleMedium8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57D98371-513B-461B-A009-9E429506B91A}" name="TRANSCATE" displayName="TRANSCATE" ref="DZ59:EF71" totalsRowShown="0" headerRowDxfId="2092" dataDxfId="2091">
  <tableColumns count="7">
    <tableColumn id="1" xr3:uid="{E9786908-7DF5-49F4-96D4-78BE0C7D155F}" name="MOIS" dataDxfId="2090"/>
    <tableColumn id="7" xr3:uid="{35A5A8EE-232A-414E-ADA3-43A739B0F8DA}" name="2025" dataDxfId="2089">
      <calculatedColumnFormula>5571-2547</calculatedColumnFormula>
    </tableColumn>
    <tableColumn id="2" xr3:uid="{FDD4E616-A2BD-4779-8B57-D2C8E34D81A1}" name="2024" dataDxfId="2088"/>
    <tableColumn id="3" xr3:uid="{4E2FC4D4-270E-42BE-9D14-BD0FF8B2EFFB}" name="2023" dataDxfId="2087"/>
    <tableColumn id="4" xr3:uid="{B188D49F-49C1-4B12-A391-E4ED580F16F7}" name="2022" dataDxfId="2086"/>
    <tableColumn id="5" xr3:uid="{036DD5AA-6F92-4B84-98D1-8719150504F7}" name="2021" dataDxfId="2085"/>
    <tableColumn id="6" xr3:uid="{775388E6-0513-4665-BE8D-EF1CEE9B0815}" name="2020" dataDxfId="2084"/>
  </tableColumns>
  <tableStyleInfo name="TableStyleMedium8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62F75EE0-247B-4E99-B36D-6472C552505B}" name="TRANSCATP" displayName="TRANSCATP" ref="DZ43:EF55" totalsRowShown="0" headerRowDxfId="2083" dataDxfId="2082">
  <tableColumns count="7">
    <tableColumn id="1" xr3:uid="{807767A8-425D-4889-9D7D-5AE0F1311809}" name="MOIS" dataDxfId="2081"/>
    <tableColumn id="7" xr3:uid="{F7D46D72-C748-4424-812F-FD03CD23ECF2}" name="2025" dataDxfId="2080">
      <calculatedColumnFormula>1826-3060</calculatedColumnFormula>
    </tableColumn>
    <tableColumn id="2" xr3:uid="{97C816F0-18BC-42EC-8335-B0E15AF4FE06}" name="2024" dataDxfId="2079"/>
    <tableColumn id="3" xr3:uid="{450810D9-BFEE-4723-9F24-88C7007C01F4}" name="2023" dataDxfId="2078"/>
    <tableColumn id="4" xr3:uid="{BCB175B5-52C6-40C5-BDAD-E0819D27E8D3}" name="2022" dataDxfId="2077"/>
    <tableColumn id="5" xr3:uid="{D1CC7301-DE68-469B-9583-EF6BC3ACCAFF}" name="2021" dataDxfId="2076"/>
    <tableColumn id="6" xr3:uid="{8E642BA7-6C04-49B2-B424-F2FED1F9C024}" name="2020" dataDxfId="2075"/>
  </tableColumns>
  <tableStyleInfo name="TableStyleMedium8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03E9E6EC-5EBD-46BF-9719-7CD79156911D}" name="TRANSCCATK" displayName="TRANSCCATK" ref="DZ171:EF183" totalsRowShown="0" headerRowDxfId="2074" dataDxfId="2073">
  <tableColumns count="7">
    <tableColumn id="1" xr3:uid="{9752BD4A-C504-48E0-BBCC-39C770D924D8}" name="MOIS" dataDxfId="2072"/>
    <tableColumn id="7" xr3:uid="{2617F0F8-A1A9-478D-A123-6818297E95AA}" name="2025" dataDxfId="2071" dataCellStyle="Milliers">
      <calculatedColumnFormula>EA171+EA92</calculatedColumnFormula>
    </tableColumn>
    <tableColumn id="2" xr3:uid="{4F96063B-255B-4278-99C1-0037CC31B654}" name="2024" dataDxfId="2070"/>
    <tableColumn id="3" xr3:uid="{41608092-EA05-4B43-9A55-3BC4D63FDCCA}" name="2023" dataDxfId="2069"/>
    <tableColumn id="4" xr3:uid="{D88A04CA-38FB-43D9-863E-DA1DE937FDA2}" name="2022" dataDxfId="2068"/>
    <tableColumn id="5" xr3:uid="{C4A01095-8290-4693-8DA9-83F7D00397AA}" name="2021" dataDxfId="2067"/>
    <tableColumn id="6" xr3:uid="{06BE853A-42C9-42F9-8A34-12CB7DADE119}" name="2020" dataDxfId="2066"/>
  </tableColumns>
  <tableStyleInfo name="TableStyleMedium8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7F185D95-1484-460A-8BF9-4A46D4C8EB47}" name="TRANSCCATMC" displayName="TRANSCCATMC" ref="DZ155:EF167" totalsRowShown="0" headerRowDxfId="2065" dataDxfId="2064">
  <tableColumns count="7">
    <tableColumn id="1" xr3:uid="{496EB1DA-8889-485C-BF45-F49F17FEA80D}" name="MOIS" dataDxfId="2063"/>
    <tableColumn id="7" xr3:uid="{FB67515B-FD29-4A73-8297-B2ABA4ED64D0}" name="2025" dataDxfId="2062"/>
    <tableColumn id="2" xr3:uid="{C774A569-0FB3-48A9-95C5-6B0F4A05F064}" name="2024" dataDxfId="2061"/>
    <tableColumn id="3" xr3:uid="{D7D667F7-B844-4C3C-89A3-E02EDCCBD092}" name="2023" dataDxfId="2060"/>
    <tableColumn id="4" xr3:uid="{113540A8-AAD5-435A-97A3-ECB7A0D40E76}" name="2022" dataDxfId="2059"/>
    <tableColumn id="5" xr3:uid="{0D3A9924-6CC3-40CD-A91B-1E9A93589005}" name="2021" dataDxfId="2058"/>
    <tableColumn id="6" xr3:uid="{ACF9F117-D62D-44E8-98AA-C6D676AB85EE}" name="2020" dataDxfId="2057"/>
  </tableColumns>
  <tableStyleInfo name="TableStyleMedium8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F0DB1309-EE57-4D0A-9E59-BDCAB655CE7F}" name="TRANSCCATE" displayName="TRANSCCATE" ref="DZ139:EF151" totalsRowShown="0" headerRowDxfId="2056" dataDxfId="2055">
  <tableColumns count="7">
    <tableColumn id="1" xr3:uid="{67A0945A-EF6F-42CA-AF93-99E95E7F08A6}" name="MOIS" dataDxfId="2054"/>
    <tableColumn id="7" xr3:uid="{58D20BA0-D68E-4F1A-B8EC-DAC437DA1609}" name="2025" dataDxfId="2053">
      <calculatedColumnFormula>EA60</calculatedColumnFormula>
    </tableColumn>
    <tableColumn id="2" xr3:uid="{8D2BAEEE-2FE5-4A1F-A473-9B08893C241B}" name="2024" dataDxfId="2052"/>
    <tableColumn id="3" xr3:uid="{4CE9C439-64DC-41C8-B1D2-49A65BF8502F}" name="2023" dataDxfId="2051"/>
    <tableColumn id="4" xr3:uid="{5EC21F73-6D43-498F-B852-8A1DD9B9A569}" name="2022" dataDxfId="2050"/>
    <tableColumn id="5" xr3:uid="{B9F8BB6D-EBD4-4577-BDEB-858D9FA9949B}" name="2021" dataDxfId="2049"/>
    <tableColumn id="6" xr3:uid="{D0AEFC0F-8ED3-42DE-8FE1-622B1352CE25}" name="2020" dataDxfId="2048"/>
  </tableColumns>
  <tableStyleInfo name="TableStyleMedium8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122966B1-1E97-4D89-833A-B1FDF4E1C639}" name="TRANSCCATSP" displayName="TRANSCCATSP" ref="DZ123:EF135" totalsRowShown="0" headerRowDxfId="2047" dataDxfId="2046">
  <tableColumns count="7">
    <tableColumn id="1" xr3:uid="{EDDAE253-0DD9-471B-8B0C-2C913C8D1ADE}" name="MOIS" dataDxfId="2045"/>
    <tableColumn id="7" xr3:uid="{B1F2FC3A-5BF9-4F3D-B35D-47AC6B9596A8}" name="2025" dataDxfId="2044"/>
    <tableColumn id="2" xr3:uid="{074A1BD4-9223-4F48-B351-D91A6C46B4B4}" name="2024" dataDxfId="2043"/>
    <tableColumn id="3" xr3:uid="{560895C3-662A-4F22-8FB2-8D42E9A98161}" name="2023" dataDxfId="2042"/>
    <tableColumn id="4" xr3:uid="{4F0E37EB-607D-49D3-A1CD-819BB35C494F}" name="2022" dataDxfId="2041"/>
    <tableColumn id="5" xr3:uid="{F932A8A8-71C0-465A-9F78-985DFB438B81}" name="2021" dataDxfId="2040"/>
    <tableColumn id="6" xr3:uid="{AD07F12F-683F-40C2-9BAF-C2FB6E535324}" name="2020" dataDxfId="2039"/>
  </tableColumns>
  <tableStyleInfo name="TableStyleMedium8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E8737315-CD05-4341-81B1-B36E4B732E50}" name="PMCATE" displayName="PMCATE" ref="DZ219:EF231" totalsRowShown="0" headerRowDxfId="2038" dataDxfId="2037">
  <tableColumns count="7">
    <tableColumn id="1" xr3:uid="{80C7A25C-F8A2-47DE-9D8A-44E3CE05F5DB}" name="MOIS" dataDxfId="2036"/>
    <tableColumn id="7" xr3:uid="{580F7148-0328-49A8-AEB3-19F843747D4D}" name="2025" dataDxfId="2035"/>
    <tableColumn id="2" xr3:uid="{0109E2DC-9ABF-4B64-8A0A-63DF219A9297}" name="2024" dataDxfId="2034"/>
    <tableColumn id="3" xr3:uid="{975715DB-A773-48D4-B012-1203865FBBB5}" name="2023" dataDxfId="2033"/>
    <tableColumn id="4" xr3:uid="{18AD1ED7-A4C1-4FFB-B7BF-06F21BC52338}" name="2022" dataDxfId="2032"/>
    <tableColumn id="5" xr3:uid="{01DB4C68-C7B8-4125-9B84-7DC229BBD260}" name="2021" dataDxfId="2031"/>
    <tableColumn id="6" xr3:uid="{59987638-3333-4572-A248-B02071CD2747}" name="2020" dataDxfId="2030"/>
  </tableColumns>
  <tableStyleInfo name="TableStyleMedium8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589CBCC2-3F80-40D8-9800-ED4E4AB953B4}" name="PMCATSP" displayName="PMCATSP" ref="DZ203:EF215" totalsRowShown="0" headerRowDxfId="2029" dataDxfId="2028">
  <tableColumns count="7">
    <tableColumn id="1" xr3:uid="{2385D714-F74F-4ADA-BD2B-EBF74C4DAA96}" name="MOIS" dataDxfId="2027"/>
    <tableColumn id="7" xr3:uid="{954290ED-F46C-4D0F-8B42-DFDA7F08FF25}" name="2025" dataDxfId="2026"/>
    <tableColumn id="2" xr3:uid="{E45FDA66-3A70-429D-A8A2-A01E28A16BD7}" name="2024" dataDxfId="2025"/>
    <tableColumn id="3" xr3:uid="{8F60AEAD-1038-4348-BE83-418CC999AA97}" name="2023" dataDxfId="2024"/>
    <tableColumn id="4" xr3:uid="{AE284812-82F3-4917-8E71-C7B672406DB2}" name="2022" dataDxfId="2023"/>
    <tableColumn id="5" xr3:uid="{85160BDD-F59C-4147-A13E-2409913B900F}" name="2021" dataDxfId="2022"/>
    <tableColumn id="6" xr3:uid="{504B7A8D-8B35-4166-9DBD-2622CA204960}" name="2020" dataDxfId="2021"/>
  </tableColumns>
  <tableStyleInfo name="TableStyleMedium8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9895443C-DC6C-4711-8F2E-F5684689DB0A}" name="PMCCATE" displayName="PMCCATE" ref="DZ267:EF279" totalsRowShown="0" headerRowDxfId="2020" dataDxfId="2019">
  <tableColumns count="7">
    <tableColumn id="1" xr3:uid="{F728E682-A223-4C5C-AA80-542DBD686093}" name="MOIS" dataDxfId="2018"/>
    <tableColumn id="7" xr3:uid="{C0CECE80-7097-4E4F-834C-75125F719957}" name="2025" dataDxfId="2017">
      <calculatedColumnFormula>AVERAGE(EA220:EA$220)</calculatedColumnFormula>
    </tableColumn>
    <tableColumn id="2" xr3:uid="{C6D0C140-A3F5-4C06-88C9-83170E009671}" name="2024" dataDxfId="2016"/>
    <tableColumn id="3" xr3:uid="{5BA39C29-D69C-42C6-9EDB-9FEDB295845D}" name="2023" dataDxfId="2015"/>
    <tableColumn id="4" xr3:uid="{19218667-808E-4888-8806-7BB536B573A0}" name="2022" dataDxfId="2014"/>
    <tableColumn id="5" xr3:uid="{CE88B031-8946-4220-99B0-0E5DDC8E907E}" name="2021" dataDxfId="2013"/>
    <tableColumn id="6" xr3:uid="{FF0CC59B-E472-4D49-8F33-4E250A256EFE}" name="2020" dataDxfId="2012"/>
  </tableColumns>
  <tableStyleInfo name="TableStyleMedium8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48765F4E-8973-4221-98E9-65CBE7781D64}" name="PMCCATSP" displayName="PMCCATSP" ref="DZ251:EF263" totalsRowShown="0" headerRowDxfId="2011" dataDxfId="2010">
  <tableColumns count="7">
    <tableColumn id="1" xr3:uid="{E5AE5A23-B46C-469D-9D4A-0E2A2340D031}" name="MOIS" dataDxfId="2009"/>
    <tableColumn id="7" xr3:uid="{8249DE48-1D8C-4CF8-B8DD-7CD8F4FD65EA}" name="2025" dataDxfId="2008">
      <calculatedColumnFormula>AVERAGE(EA204:EA$204)</calculatedColumnFormula>
    </tableColumn>
    <tableColumn id="2" xr3:uid="{1E0D88FE-ADD5-44DE-95AD-1121754F286D}" name="2024" dataDxfId="2007"/>
    <tableColumn id="3" xr3:uid="{686A23A4-BBBD-489E-A1E8-11608C1CAB6A}" name="2023" dataDxfId="2006"/>
    <tableColumn id="4" xr3:uid="{CD825B8D-81F9-4305-8FC9-B659484104A5}" name="2022" dataDxfId="2005"/>
    <tableColumn id="5" xr3:uid="{1AE578ED-6AA7-41FB-83E9-BE6195FFE65B}" name="2021" dataDxfId="2004"/>
    <tableColumn id="6" xr3:uid="{C1466119-750C-421D-9161-7A94CF8313D5}" name="2020" dataDxfId="2003"/>
  </tableColumns>
  <tableStyleInfo name="TableStyleMedium8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35ADDE4-132A-4973-9FF2-3E6A27C377F2}" name="SOMMAIRE" displayName="SOMMAIRE" ref="B19:D35" totalsRowShown="0" headerRowDxfId="2002" dataDxfId="2001">
  <tableColumns count="3">
    <tableColumn id="1" xr3:uid="{36D79211-9793-4E05-AA85-135081146243}" name="Restaurant" dataDxfId="2000"/>
    <tableColumn id="3" xr3:uid="{CE6582FB-2AD6-40B8-AEE7-266D106396C1}" name="P&amp;L mensuels" dataDxfId="1999"/>
    <tableColumn id="5" xr3:uid="{77ACC42C-D2AA-48FE-9F86-AA871544131E}" name="P&amp;L cumulés" dataDxfId="1998"/>
  </tableColumns>
  <tableStyleInfo name="TableStyleMedium13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C9D50E7B-DDF5-4A36-BF14-D169709E2620}" name="SOMMAIRE2" displayName="SOMMAIRE2" ref="B39:D43" totalsRowShown="0" headerRowDxfId="1997" dataDxfId="1996">
  <tableColumns count="3">
    <tableColumn id="1" xr3:uid="{5289197B-863D-4280-B082-78422EB117E7}" name="Restaurant" dataDxfId="1995"/>
    <tableColumn id="3" xr3:uid="{0C8E4CBA-CC12-4D72-96EA-53F6B60C1A7B}" name="Prévisions mensuelles" dataDxfId="1994"/>
    <tableColumn id="5" xr3:uid="{83893DEB-6885-4C89-AE2F-5140899C16DB}" name="Prévisions annuelles" dataDxfId="1993"/>
  </tableColumns>
  <tableStyleInfo name="TableStyleMedium13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D4173E-4DED-4077-99BC-9BF1AD3A43CF}" name="TRESON" displayName="TRESON" ref="A5:M23" totalsRowCount="1" headerRowDxfId="1992" dataDxfId="1991" totalsRowDxfId="1990">
  <tableColumns count="13">
    <tableColumn id="1" xr3:uid="{AF32E8C6-0C30-4DCE-8357-631C51D36119}" name="TRÉSORERIE 2024 (EN K€)" totalsRowLabel="       GLOBAL 2024        " dataDxfId="1989" totalsRowDxfId="1988"/>
    <tableColumn id="2" xr3:uid="{6C9F85CD-D3CD-4E85-93A8-9D623464315A}" name="JANV." totalsRowFunction="custom" dataDxfId="1987" totalsRowDxfId="1986">
      <totalsRowFormula>+SUM(B17:B22)</totalsRowFormula>
    </tableColumn>
    <tableColumn id="3" xr3:uid="{BA9CEB54-0B2A-4237-A839-2AE4B4E96DD3}" name="FÉV." totalsRowFunction="custom" dataDxfId="1985" totalsRowDxfId="1984">
      <totalsRowFormula>+SUM(C17:C22)</totalsRowFormula>
    </tableColumn>
    <tableColumn id="4" xr3:uid="{7063E578-C957-46D4-9AD7-C8C8FB3C8928}" name="MARS" totalsRowFunction="custom" dataDxfId="1983" totalsRowDxfId="1982">
      <totalsRowFormula>+SUM(D17:D22)</totalsRowFormula>
    </tableColumn>
    <tableColumn id="5" xr3:uid="{B2FD60E3-92AA-4988-8F8A-84B342C2101C}" name="AVRIL" totalsRowFunction="custom" dataDxfId="1981" totalsRowDxfId="1980">
      <totalsRowFormula>+SUM(E17:E22)</totalsRowFormula>
    </tableColumn>
    <tableColumn id="6" xr3:uid="{F1806EEF-F550-4039-800C-5D9922D8AFFE}" name="MAI" totalsRowFunction="custom" dataDxfId="1979" totalsRowDxfId="1978">
      <totalsRowFormula>+SUM(F17:F22)</totalsRowFormula>
    </tableColumn>
    <tableColumn id="7" xr3:uid="{8172476C-E6E1-42CA-B163-78160A671A15}" name="JUIN" totalsRowFunction="custom" dataDxfId="1977" totalsRowDxfId="1976">
      <totalsRowFormula>+SUM(G17:G22)</totalsRowFormula>
    </tableColumn>
    <tableColumn id="8" xr3:uid="{7AE4A0A9-CC34-4369-91E0-46E715189D95}" name="JUILL." totalsRowFunction="custom" dataDxfId="1975" totalsRowDxfId="1974">
      <totalsRowFormula>+SUM(H17:H22)</totalsRowFormula>
    </tableColumn>
    <tableColumn id="9" xr3:uid="{88F83D2F-A7C7-4C11-B30C-48E375F403EE}" name="AOÛT" totalsRowFunction="custom" dataDxfId="1973" totalsRowDxfId="1972">
      <totalsRowFormula>+SUM(I17:I22)</totalsRowFormula>
    </tableColumn>
    <tableColumn id="10" xr3:uid="{2BF4490D-3741-47B3-A888-352D67827F07}" name="SEPT." totalsRowFunction="custom" dataDxfId="1971" totalsRowDxfId="1970">
      <totalsRowFormula>+SUM(J17:J22)</totalsRowFormula>
    </tableColumn>
    <tableColumn id="11" xr3:uid="{6350F3B6-E9FC-497C-A042-897C578CCBF8}" name="OCT." totalsRowFunction="custom" dataDxfId="1969" totalsRowDxfId="1968">
      <totalsRowFormula>+SUM(K17:K22)</totalsRowFormula>
    </tableColumn>
    <tableColumn id="12" xr3:uid="{A19139A7-0B21-487F-A1F2-E8202DF81B99}" name="NOV." totalsRowFunction="custom" dataDxfId="1967" totalsRowDxfId="1966">
      <totalsRowFormula>+SUM(L17:L22)</totalsRowFormula>
    </tableColumn>
    <tableColumn id="13" xr3:uid="{69A6DB2C-CC71-431F-B0A9-C6D11B736638}" name="DÉC." totalsRowFunction="custom" dataDxfId="1965" totalsRowDxfId="1964">
      <totalsRowFormula>+SUM(M17:M22)</totalsRowFormula>
    </tableColumn>
  </tableColumns>
  <tableStyleInfo name="TableStyleMedium10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3E2A5F2-0851-4057-BC9E-6ED64DF1F8C0}" name="TRESON1" displayName="TRESON1" ref="A26:M38" totalsRowCount="1" headerRowDxfId="1963" dataDxfId="1962" totalsRowDxfId="1961">
  <tableColumns count="13">
    <tableColumn id="1" xr3:uid="{56F5A281-3617-4F30-9D1D-85BCB902F22E}" name="TRÉSORERIE 2023 (EN K€)" totalsRowLabel="         GLOBAL 2023         " dataDxfId="1960" totalsRowDxfId="1959"/>
    <tableColumn id="2" xr3:uid="{D59D821D-DD15-4398-8584-C24DB2FB0796}" name="JANV." totalsRowFunction="sum" dataDxfId="1958" totalsRowDxfId="1957"/>
    <tableColumn id="3" xr3:uid="{2C37CF09-9996-4502-94FC-416C2966BC56}" name="FÉV." totalsRowFunction="sum" dataDxfId="1956" totalsRowDxfId="1955"/>
    <tableColumn id="4" xr3:uid="{B5F0F07F-94E3-4FF0-99D2-B8A9539F3987}" name="MARS" totalsRowFunction="sum" dataDxfId="1954" totalsRowDxfId="1953"/>
    <tableColumn id="5" xr3:uid="{2F8D16A9-2225-4B5E-82FA-CEC6DFABE36E}" name="AVRIL" totalsRowFunction="sum" dataDxfId="1952" totalsRowDxfId="1951"/>
    <tableColumn id="6" xr3:uid="{78A4391B-A090-4680-B935-D36C27C09021}" name="MAI" totalsRowFunction="sum" dataDxfId="1950" totalsRowDxfId="1949"/>
    <tableColumn id="7" xr3:uid="{10975570-F941-4A3A-99B0-14BE726740B3}" name="JUIN" totalsRowFunction="sum" dataDxfId="1948" totalsRowDxfId="1947"/>
    <tableColumn id="8" xr3:uid="{8A168633-4D5B-4C9E-978E-A1C4264AC045}" name="JUILL." totalsRowFunction="sum" dataDxfId="1946" totalsRowDxfId="1945"/>
    <tableColumn id="9" xr3:uid="{0DB9F30A-C300-4A6A-A5B3-1DAA4BFD0369}" name="AOÛT" totalsRowFunction="sum" dataDxfId="1944" totalsRowDxfId="1943"/>
    <tableColumn id="10" xr3:uid="{4A303FB3-8506-4FD5-BFDB-FE4BA9357A90}" name="SEPT." totalsRowFunction="sum" dataDxfId="1942" totalsRowDxfId="1941"/>
    <tableColumn id="11" xr3:uid="{F424F1D4-8B43-4589-9E47-A3318076153C}" name="OCT." totalsRowFunction="sum" dataDxfId="1940" totalsRowDxfId="1939"/>
    <tableColumn id="12" xr3:uid="{EF20036D-10C0-49A1-B94D-EB45B199C347}" name="NOV." totalsRowFunction="sum" dataDxfId="1938" totalsRowDxfId="1937"/>
    <tableColumn id="13" xr3:uid="{DE1D0FEC-9B0C-48BC-A037-8C3EA45BEDE0}" name="DÉC." totalsRowFunction="sum" dataDxfId="1936" totalsRowDxfId="1935"/>
  </tableColumns>
  <tableStyleInfo name="TableStyleMedium13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1BA5C9B-CAB5-492B-8E31-8D3D3F70A9A3}" name="TRESON2" displayName="TRESON2" ref="A41:M53" totalsRowCount="1" headerRowDxfId="1934" dataDxfId="1933" totalsRowDxfId="1932">
  <tableColumns count="13">
    <tableColumn id="1" xr3:uid="{555E461A-12EE-47B4-AECB-A6AA905E9C34}" name="TRÉSORERIE 2022 (EN K€)" totalsRowLabel="       GLOBAL 2022       " dataDxfId="1931" totalsRowDxfId="1930"/>
    <tableColumn id="2" xr3:uid="{A0A04E68-A797-4D01-A6EB-80076F1DEB5A}" name="JANV." totalsRowFunction="sum" dataDxfId="1929" totalsRowDxfId="1928"/>
    <tableColumn id="3" xr3:uid="{6ACFA670-FF66-4578-9F92-69163008078A}" name="FÉV." totalsRowFunction="sum" dataDxfId="1927" totalsRowDxfId="1926"/>
    <tableColumn id="4" xr3:uid="{B7B8D1D1-BF4B-428A-9829-CFCB506EE4A0}" name="MARS" totalsRowFunction="sum" dataDxfId="1925" totalsRowDxfId="1924"/>
    <tableColumn id="5" xr3:uid="{146E767C-FAD7-4C81-B210-3DCAFC7B7908}" name="AVRIL" totalsRowFunction="sum" dataDxfId="1923" totalsRowDxfId="1922"/>
    <tableColumn id="6" xr3:uid="{BEB9A22A-15AC-4E22-A28E-95CA6CCD91FA}" name="MAI" totalsRowFunction="sum" dataDxfId="1921" totalsRowDxfId="1920"/>
    <tableColumn id="7" xr3:uid="{BD836C61-0306-4AE8-B646-1D3892DC966F}" name="JUIN" totalsRowFunction="sum" dataDxfId="1919" totalsRowDxfId="1918"/>
    <tableColumn id="8" xr3:uid="{88EE35C5-250C-4432-BDC3-749513A6D253}" name="JUILL." totalsRowFunction="sum" dataDxfId="1917" totalsRowDxfId="1916"/>
    <tableColumn id="9" xr3:uid="{F86D41A7-40FF-442D-8FE4-443D5A0886EB}" name="AOÛT" totalsRowFunction="sum" dataDxfId="1915" totalsRowDxfId="1914"/>
    <tableColumn id="10" xr3:uid="{962743C3-7C82-47F1-8ED3-ACEF480FDF74}" name="SEPT." totalsRowFunction="sum" dataDxfId="1913" totalsRowDxfId="1912"/>
    <tableColumn id="11" xr3:uid="{9C7E36F9-39C4-4D72-B470-2705D7900767}" name="OCT." totalsRowFunction="sum" dataDxfId="1911" totalsRowDxfId="1910"/>
    <tableColumn id="12" xr3:uid="{7EEB67D7-E1AF-45ED-8E5E-3B2722F631DC}" name="NOV." totalsRowFunction="sum" dataDxfId="1909" totalsRowDxfId="1908"/>
    <tableColumn id="13" xr3:uid="{52B79F25-2110-49CF-AD14-16AB62A21155}" name="DÉC." totalsRowFunction="sum" dataDxfId="1907" totalsRowDxfId="1906"/>
  </tableColumns>
  <tableStyleInfo name="TableStyleMedium11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8F7E1B3E-79EF-47B0-9D30-558638B905F7}" name="TRESON3" displayName="TRESON3" ref="A56:M68" totalsRowCount="1" headerRowDxfId="1905" dataDxfId="1904" totalsRowDxfId="1903">
  <tableColumns count="13">
    <tableColumn id="1" xr3:uid="{9048567B-03C4-4A31-A3AC-AF6EC67766E6}" name="TRÉSORERIE 2021 (EN K€)" totalsRowLabel="        GLOBAL 2021         " dataDxfId="1902" totalsRowDxfId="1901"/>
    <tableColumn id="2" xr3:uid="{DF3165BE-33B3-434C-B5FF-3BF73625CF11}" name="JANV." totalsRowFunction="sum" dataDxfId="1900" totalsRowDxfId="1899"/>
    <tableColumn id="3" xr3:uid="{E3FB6B48-EF26-4E8D-9FEE-69EB862C20F9}" name="FÉV." totalsRowFunction="sum" dataDxfId="1898" totalsRowDxfId="1897"/>
    <tableColumn id="4" xr3:uid="{E34D32E5-AE6B-45EB-84CE-97722C9DB971}" name="MARS" totalsRowFunction="sum" dataDxfId="1896" totalsRowDxfId="1895"/>
    <tableColumn id="5" xr3:uid="{A15859E0-8194-4C51-BE04-F486FE3A5985}" name="AVRIL" totalsRowFunction="sum" dataDxfId="1894" totalsRowDxfId="1893"/>
    <tableColumn id="6" xr3:uid="{462E9E9D-F162-4C11-8BCB-DA4928D6BD90}" name="MAI" totalsRowFunction="sum" dataDxfId="1892" totalsRowDxfId="1891"/>
    <tableColumn id="7" xr3:uid="{4A2C8D30-2A9D-43CA-9144-571859CEDB5A}" name="JUIN" totalsRowFunction="sum" dataDxfId="1890" totalsRowDxfId="1889"/>
    <tableColumn id="8" xr3:uid="{3C8933BD-AB15-471A-B7BD-6A16B23F51C0}" name="JUILL." totalsRowFunction="sum" dataDxfId="1888" totalsRowDxfId="1887"/>
    <tableColumn id="9" xr3:uid="{0B3B70AA-3299-4F6D-9855-7390EBA5E483}" name="AOÛT" totalsRowFunction="sum" dataDxfId="1886" totalsRowDxfId="1885"/>
    <tableColumn id="10" xr3:uid="{4CF81F88-1727-45C9-A7A8-A6ADB742653C}" name="SEPT." totalsRowFunction="sum" dataDxfId="1884" totalsRowDxfId="1883"/>
    <tableColumn id="11" xr3:uid="{069CAFBB-436D-4C8E-B52C-2BFFBB72BBA1}" name="OCT." totalsRowFunction="sum" dataDxfId="1882" totalsRowDxfId="1881"/>
    <tableColumn id="12" xr3:uid="{1083F275-5329-4C28-8153-5576C82DAC8D}" name="NOV." totalsRowFunction="sum" dataDxfId="1880" totalsRowDxfId="1879"/>
    <tableColumn id="13" xr3:uid="{7ED06A20-2E42-46F1-9945-EB1CBB9376F0}" name="DÉC." totalsRowFunction="sum" dataDxfId="1878" totalsRowDxfId="1877"/>
  </tableColumns>
  <tableStyleInfo name="TableStyleMedium8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63BC62EC-E5AA-4C6C-A29C-A6D560230CB9}" name="TRDR314" displayName="TRDR314" ref="A143:Q155" headerRowDxfId="1876" dataDxfId="1875" totalsRowDxfId="1874">
  <tableColumns count="17">
    <tableColumn id="1" xr3:uid="{72D56545-BEF9-470F-86E4-49887F3DF4D4}" name="R3 14" totalsRowLabel=" TOTAL " dataDxfId="1873" totalsRowDxfId="1872"/>
    <tableColumn id="2" xr3:uid="{2714B32A-2CA9-4C05-847F-62AEAE14086C}" name="2024" totalsRowFunction="average" dataDxfId="1871" totalsRowDxfId="1870">
      <calculatedColumnFormula>IF(DONNÉES!CE44="","",DONNÉES!CE44)</calculatedColumnFormula>
    </tableColumn>
    <tableColumn id="3" xr3:uid="{4D19B2BC-EFEC-48AD-98F0-ABC8363EEFBA}" name="2023" totalsRowFunction="average" dataDxfId="1869" totalsRowDxfId="1868">
      <calculatedColumnFormula>IF(TRDR314[[#This Row],[2024]]="","",DONNÉES!CF44)</calculatedColumnFormula>
    </tableColumn>
    <tableColumn id="4" xr3:uid="{EB7205E3-267C-4A1D-B61E-AC04F38E07ED}" name="2024 cumul" totalsRowFunction="average" dataDxfId="1867" totalsRowDxfId="1866">
      <calculatedColumnFormula>IF(TRDR314[[#This Row],[2024]]="","",DONNÉES!CE124)</calculatedColumnFormula>
    </tableColumn>
    <tableColumn id="5" xr3:uid="{2DE0422B-567E-4BD5-84D0-1BFDD2F8144F}" name="2023 cumul" totalsRowFunction="average" dataDxfId="1865" totalsRowDxfId="1864">
      <calculatedColumnFormula>IF(TRDR314[[#This Row],[2024]]="","",DONNÉES!CF124)</calculatedColumnFormula>
    </tableColumn>
    <tableColumn id="8" xr3:uid="{EBC37E7D-9C4C-45FC-AF88-8CBF86033899}" name="2024  " totalsRowFunction="average" dataDxfId="1863" totalsRowDxfId="1862">
      <calculatedColumnFormula>IF(TRDR314[[#This Row],[2024]]="","",DONNÉES!CE60)</calculatedColumnFormula>
    </tableColumn>
    <tableColumn id="9" xr3:uid="{2C499DBA-5B07-4D03-A03C-A86ABDEDCB8D}" name="2023  " totalsRowFunction="average" dataDxfId="1861" totalsRowDxfId="1860">
      <calculatedColumnFormula>IF(TRDR314[[#This Row],[2024]]="","",DONNÉES!CF60)</calculatedColumnFormula>
    </tableColumn>
    <tableColumn id="6" xr3:uid="{3EB72B68-4E75-4472-B76F-A8E5EEA2ED94}" name="2024 cumul " totalsRowFunction="average" dataDxfId="1859" totalsRowDxfId="1858">
      <calculatedColumnFormula>IF(TRDR314[[#This Row],[2024]]="","",DONNÉES!CE140)</calculatedColumnFormula>
    </tableColumn>
    <tableColumn id="7" xr3:uid="{F9928D7A-5755-4937-8480-61F7CCF8D298}" name="2023 cumul " totalsRowFunction="average" dataDxfId="1857" totalsRowDxfId="1856">
      <calculatedColumnFormula>IF(TRDR314[[#This Row],[2024]]="","",DONNÉES!CF140)</calculatedColumnFormula>
    </tableColumn>
    <tableColumn id="17" xr3:uid="{11F5FF12-AC9D-4159-BDEB-601BB78EAF4E}" name="2024   " totalsRowFunction="average" dataDxfId="1855" totalsRowDxfId="1854">
      <calculatedColumnFormula>IF(TRDR314[[#This Row],[2024]]="","",DONNÉES!CE76)</calculatedColumnFormula>
    </tableColumn>
    <tableColumn id="16" xr3:uid="{A86A27ED-B510-4BA5-87AA-823065623B98}" name="2023   " totalsRowFunction="average" dataDxfId="1853" totalsRowDxfId="1852">
      <calculatedColumnFormula>IF(TRDR314[[#This Row],[2024]]="","",DONNÉES!CF76)</calculatedColumnFormula>
    </tableColumn>
    <tableColumn id="15" xr3:uid="{30361D67-CCCF-4AC7-8008-C444B12FB079}" name="2024 cumul   " totalsRowFunction="average" dataDxfId="1851" totalsRowDxfId="1850">
      <calculatedColumnFormula>IF(TRDR314[[#This Row],[2024]]="","",DONNÉES!CE156)</calculatedColumnFormula>
    </tableColumn>
    <tableColumn id="14" xr3:uid="{72C19A85-3F2E-47FE-A6A5-DE14EE4DE61A}" name="2023 cumul   " totalsRowFunction="average" dataDxfId="1849" totalsRowDxfId="1848">
      <calculatedColumnFormula>IF(TRDR314[[#This Row],[2024]]="","",DONNÉES!CF156)</calculatedColumnFormula>
    </tableColumn>
    <tableColumn id="13" xr3:uid="{D4CDA587-610E-4FCE-94A6-0F1B6F16A5EF}" name="2024    " totalsRowFunction="average" dataDxfId="1847" totalsRowDxfId="1846">
      <calculatedColumnFormula>IF(TRDR314[[#This Row],[2024]]="","",DONNÉES!CE92)</calculatedColumnFormula>
    </tableColumn>
    <tableColumn id="12" xr3:uid="{75B48D11-DF38-439A-B23A-87EF1D4B8B5B}" name="2023    " totalsRowFunction="average" dataDxfId="1845" totalsRowDxfId="1844">
      <calculatedColumnFormula>IF(TRDR314[[#This Row],[2024]]="","",DONNÉES!CF92)</calculatedColumnFormula>
    </tableColumn>
    <tableColumn id="11" xr3:uid="{97140CE6-9CB8-4D41-B00C-5A245B32FF6A}" name="2024 cumul    " totalsRowFunction="average" dataDxfId="1843" totalsRowDxfId="1842">
      <calculatedColumnFormula>IF(TRDR314[[#This Row],[2024]]="","",DONNÉES!CE172)</calculatedColumnFormula>
    </tableColumn>
    <tableColumn id="10" xr3:uid="{2ABAC385-AB4B-416D-B06A-752E1930D352}" name="2023 cumul    " totalsRowFunction="average" dataDxfId="1841" totalsRowDxfId="1840">
      <calculatedColumnFormula>IF(TRDR314[[#This Row],[2024]]="","",DONNÉES!CF172)</calculatedColumnFormula>
    </tableColumn>
  </tableColumns>
  <tableStyleInfo name="TableStyleMedium7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7AC2FE11-F2F7-4D4D-915A-3D4E7D4F4459}" name="TRDTR314" displayName="TRDTR314" ref="S143:V155" headerRowDxfId="1839" dataDxfId="1838" totalsRowDxfId="1837" headerRowCellStyle="Normal 5">
  <tableColumns count="4">
    <tableColumn id="2" xr3:uid="{E9CB7EBD-1329-4A1D-BB9F-5C82D5501ADC}" name="2024" totalsRowFunction="average" dataDxfId="1836" totalsRowDxfId="1835">
      <calculatedColumnFormula>IF(TRDR314[[#This Row],[2024]]="","",DONNÉES!CE108)</calculatedColumnFormula>
    </tableColumn>
    <tableColumn id="3" xr3:uid="{60E613DE-E3AB-4CE3-B74B-62539F83EC90}" name="2023" totalsRowFunction="average" dataDxfId="1834" totalsRowDxfId="1833">
      <calculatedColumnFormula>IF(TRDR314[[#This Row],[2024]]="","",DONNÉES!CF108)</calculatedColumnFormula>
    </tableColumn>
    <tableColumn id="4" xr3:uid="{AA333C97-D4A5-4B43-8C76-7C41FEDAF8E4}" name="2024 cumul" totalsRowFunction="average" dataDxfId="1832" totalsRowDxfId="1831">
      <calculatedColumnFormula>IF(TRDR314[[#This Row],[2024]]="","",DONNÉES!CE188)</calculatedColumnFormula>
    </tableColumn>
    <tableColumn id="1" xr3:uid="{94F14227-9D5B-483B-A2A3-3CDA203E6FDC}" name="2023 cumul" totalsRowFunction="average" dataDxfId="1830" totalsRowDxfId="1829">
      <calculatedColumnFormula>IF(TRDR314[[#This Row],[2024]]="","",DONNÉES!CF188)</calculatedColumnFormula>
    </tableColumn>
  </tableColumns>
  <tableStyleInfo name="TableStyleMedium7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A977B7EC-DBE3-4C00-83F1-29C75C0A49A8}" name="TRDLYSE" displayName="TRDLYSE" ref="A158:Q170" headerRowDxfId="1828" dataDxfId="1827" totalsRowDxfId="1826">
  <tableColumns count="17">
    <tableColumn id="1" xr3:uid="{20D2F66E-7366-41FF-88CD-7F237B766DA2}" name="LYSE" totalsRowLabel=" TOTAL " dataDxfId="1825" totalsRowDxfId="1824"/>
    <tableColumn id="2" xr3:uid="{5AD3F6E9-0296-4549-9C1F-C8FBAA27DF10}" name="2024" totalsRowFunction="average" dataDxfId="1823" totalsRowDxfId="1822">
      <calculatedColumnFormula>IF(DONNÉES!CM44="","",DONNÉES!CM44)</calculatedColumnFormula>
    </tableColumn>
    <tableColumn id="3" xr3:uid="{0AC78B42-A578-4AA7-86AF-785F32D93A01}" name="2023" totalsRowFunction="average" dataDxfId="1821" totalsRowDxfId="1820">
      <calculatedColumnFormula>IF(TRDLYSE[[#This Row],[2024]]="","",DONNÉES!CN44)</calculatedColumnFormula>
    </tableColumn>
    <tableColumn id="4" xr3:uid="{E165500C-FA87-4690-BCCB-45D1858D747E}" name="2024 cumul" totalsRowFunction="average" dataDxfId="1819" totalsRowDxfId="1818">
      <calculatedColumnFormula>IF(TRDLYSE[[#This Row],[2024]]="","",DONNÉES!CM124)</calculatedColumnFormula>
    </tableColumn>
    <tableColumn id="5" xr3:uid="{40DEC442-C727-4955-AF88-F0DC60D9A7DA}" name="2023 cumul" totalsRowFunction="average" dataDxfId="1817" totalsRowDxfId="1816">
      <calculatedColumnFormula>IF(TRDLYSE[[#This Row],[2024]]="","",DONNÉES!CN124)</calculatedColumnFormula>
    </tableColumn>
    <tableColumn id="8" xr3:uid="{BDD9320B-215D-4B9C-B063-8C6AD57E2DE5}" name="2024  " totalsRowFunction="average" dataDxfId="1815" totalsRowDxfId="1814">
      <calculatedColumnFormula>IF(TRDLYSE[[#This Row],[2024]]="","",DONNÉES!CM60)</calculatedColumnFormula>
    </tableColumn>
    <tableColumn id="9" xr3:uid="{6218C412-73BD-4377-B0B0-BA7819D4AFA0}" name="2023  " totalsRowFunction="average" dataDxfId="1813" totalsRowDxfId="1812">
      <calculatedColumnFormula>IF(TRDLYSE[[#This Row],[2024]]="","",DONNÉES!CN60)</calculatedColumnFormula>
    </tableColumn>
    <tableColumn id="6" xr3:uid="{521D9490-9EA5-471B-ACE1-825EB0423D05}" name="2024 cumul " totalsRowFunction="average" dataDxfId="1811" totalsRowDxfId="1810">
      <calculatedColumnFormula>IF(TRDLYSE[[#This Row],[2024]]="","",DONNÉES!CM140)</calculatedColumnFormula>
    </tableColumn>
    <tableColumn id="7" xr3:uid="{6F7398AF-1AE9-4634-9CAF-C2EC93D86A74}" name="2023 cumul " totalsRowFunction="average" dataDxfId="1809" totalsRowDxfId="1808">
      <calculatedColumnFormula>IF(TRDLYSE[[#This Row],[2024]]="","",DONNÉES!CN140)</calculatedColumnFormula>
    </tableColumn>
    <tableColumn id="17" xr3:uid="{6E527CC5-49BB-4305-8043-C8B1F3C23FDD}" name="2024   " totalsRowFunction="average" dataDxfId="1807" totalsRowDxfId="1806">
      <calculatedColumnFormula>IF(TRDLYSE[[#This Row],[2024]]="","",DONNÉES!CM76)</calculatedColumnFormula>
    </tableColumn>
    <tableColumn id="16" xr3:uid="{569D8DBE-6C1A-40B0-BD8B-7952460537C1}" name="2023   " totalsRowFunction="average" dataDxfId="1805" totalsRowDxfId="1804">
      <calculatedColumnFormula>IF(TRDLYSE[[#This Row],[2024]]="","",DONNÉES!CN76)</calculatedColumnFormula>
    </tableColumn>
    <tableColumn id="15" xr3:uid="{FBEE1F92-E7DB-4C40-9E7D-97BCC510794C}" name="2024 cumul   " totalsRowFunction="average" dataDxfId="1803" totalsRowDxfId="1802">
      <calculatedColumnFormula>IF(TRDLYSE[[#This Row],[2024]]="","",DONNÉES!CM156)</calculatedColumnFormula>
    </tableColumn>
    <tableColumn id="14" xr3:uid="{20EC7AF9-D275-4941-BAF0-ED1D8D001F66}" name="2023 cumul   " totalsRowFunction="average" dataDxfId="1801" totalsRowDxfId="1800">
      <calculatedColumnFormula>IF(TRDLYSE[[#This Row],[2024]]="","",DONNÉES!CN156)</calculatedColumnFormula>
    </tableColumn>
    <tableColumn id="13" xr3:uid="{83C640F8-DB40-45DB-9201-39417A54A467}" name="2024    " totalsRowFunction="average" dataDxfId="1799" totalsRowDxfId="1798">
      <calculatedColumnFormula>IF(TRDLYSE[[#This Row],[2024]]="","",DONNÉES!CM92)</calculatedColumnFormula>
    </tableColumn>
    <tableColumn id="12" xr3:uid="{4B6F5B5C-1181-4298-9F99-32B2A3087723}" name="2023    " totalsRowFunction="average" dataDxfId="1797" totalsRowDxfId="1796">
      <calculatedColumnFormula>IF(TRDLYSE[[#This Row],[2024]]="","",DONNÉES!CN92)</calculatedColumnFormula>
    </tableColumn>
    <tableColumn id="11" xr3:uid="{0E31A70F-9547-46CE-8777-6A560B1212A5}" name="2024 cumul    " totalsRowFunction="average" dataDxfId="1795" totalsRowDxfId="1794">
      <calculatedColumnFormula>IF(TRDLYSE[[#This Row],[2024]]="","",DONNÉES!CM172)</calculatedColumnFormula>
    </tableColumn>
    <tableColumn id="10" xr3:uid="{446648B4-2749-4874-8FE8-1C4B31FAFD6D}" name="2023 cumul    " totalsRowFunction="average" dataDxfId="1793" totalsRowDxfId="1792">
      <calculatedColumnFormula>IF(TRDLYSE[[#This Row],[2024]]="","",DONNÉES!CN172)</calculatedColumnFormula>
    </tableColumn>
  </tableColumns>
  <tableStyleInfo name="TableStyleMedium8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4D542371-4326-4DD2-950F-F0F8E919A3B1}" name="TRDTLYSE" displayName="TRDTLYSE" ref="S158:V170" headerRowDxfId="1791" dataDxfId="1790" totalsRowDxfId="1789" headerRowCellStyle="Normal 5">
  <tableColumns count="4">
    <tableColumn id="2" xr3:uid="{975516D0-2019-47F6-90F9-0A8D16DB5222}" name="2024" totalsRowFunction="average" dataDxfId="1788" totalsRowDxfId="1787">
      <calculatedColumnFormula>IF(TRDLYSE[[#This Row],[2024]]="","",DONNÉES!CM108)</calculatedColumnFormula>
    </tableColumn>
    <tableColumn id="3" xr3:uid="{CD6BC470-7255-45CD-909E-21EFC45AC98B}" name="2023" totalsRowFunction="average" dataDxfId="1786" totalsRowDxfId="1785">
      <calculatedColumnFormula>IF(TRDLYSE[[#This Row],[2024]]="","",DONNÉES!CN108)</calculatedColumnFormula>
    </tableColumn>
    <tableColumn id="4" xr3:uid="{9A714626-22E3-4758-AFD3-4979B1F61106}" name="2024 cumul" totalsRowFunction="average" dataDxfId="1784" totalsRowDxfId="1783">
      <calculatedColumnFormula>IF(TRDLYSE[[#This Row],[2024]]="","",DONNÉES!CM188)</calculatedColumnFormula>
    </tableColumn>
    <tableColumn id="1" xr3:uid="{3591DCC8-D274-4D0B-B86F-69625E8DECF9}" name="2023 cumul" totalsRowFunction="average" dataDxfId="1782" totalsRowDxfId="1781">
      <calculatedColumnFormula>IF(TRDLYSE[[#This Row],[2024]]="","",DONNÉES!CN188)</calculatedColumnFormula>
    </tableColumn>
  </tableColumns>
  <tableStyleInfo name="TableStyleMedium8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E1273C6C-8E86-480D-B10C-D142D33E0CA0}" name="TRDDIVES" displayName="TRDDIVES" ref="A127:Q139" headerRowDxfId="1780" dataDxfId="1779" totalsRowDxfId="1778">
  <tableColumns count="17">
    <tableColumn id="1" xr3:uid="{E493DEDB-768D-4C58-B64F-B3CC576A3081}" name="TL DIVES" totalsRowLabel=" TOTAL " dataDxfId="1777" totalsRowDxfId="1776"/>
    <tableColumn id="2" xr3:uid="{00CAD6B9-125D-4262-9136-03A14BB15F6A}" name="2024" totalsRowFunction="average" dataDxfId="1775" totalsRowDxfId="1774">
      <calculatedColumnFormula>IF(DONNÉES!BW44="","",DONNÉES!BW44)</calculatedColumnFormula>
    </tableColumn>
    <tableColumn id="3" xr3:uid="{5A840FA8-4C82-4788-9BE8-DEB92307CC3E}" name="2023" totalsRowFunction="average" dataDxfId="1773" totalsRowDxfId="1772">
      <calculatedColumnFormula>IF(TRDDIVES[[#This Row],[2024]]="","",DONNÉES!BX44)</calculatedColumnFormula>
    </tableColumn>
    <tableColumn id="4" xr3:uid="{4DD3F485-D30F-478E-8D78-4430EC76A46B}" name="2024 cumul" totalsRowFunction="average" dataDxfId="1771" totalsRowDxfId="1770">
      <calculatedColumnFormula>IF(TRDDIVES[[#This Row],[2024]]="","",DONNÉES!BW124)</calculatedColumnFormula>
    </tableColumn>
    <tableColumn id="5" xr3:uid="{4A651957-3920-4C0A-9C1E-2995FC29295A}" name="2023 cumul" totalsRowFunction="average" dataDxfId="1769" totalsRowDxfId="1768">
      <calculatedColumnFormula>IF(TRDDIVES[[#This Row],[2024]]="","",DONNÉES!BX124)</calculatedColumnFormula>
    </tableColumn>
    <tableColumn id="8" xr3:uid="{0CB684D8-D3D0-4764-AA19-A83AB675BA7F}" name="2024  " totalsRowFunction="average" dataDxfId="1767" totalsRowDxfId="1766">
      <calculatedColumnFormula>IF(TRDDIVES[[#This Row],[2024]]="","",DONNÉES!BW60)</calculatedColumnFormula>
    </tableColumn>
    <tableColumn id="9" xr3:uid="{7EE823DD-805C-4619-B1FD-E2BFBA4D2D48}" name="2023  " totalsRowFunction="average" dataDxfId="1765" totalsRowDxfId="1764">
      <calculatedColumnFormula>IF(TRDDIVES[[#This Row],[2024]]="","",DONNÉES!BX60)</calculatedColumnFormula>
    </tableColumn>
    <tableColumn id="6" xr3:uid="{6282AB4A-FE11-4BC9-8D0E-8B48F758AEBF}" name="2024 cumul " totalsRowFunction="average" dataDxfId="1763" totalsRowDxfId="1762">
      <calculatedColumnFormula>IF(TRDDIVES[[#This Row],[2024]]="","",DONNÉES!BW140)</calculatedColumnFormula>
    </tableColumn>
    <tableColumn id="17" xr3:uid="{CDFE13A4-73A1-419F-831E-9D0E0D8CE2E9}" name="2023 cumul " totalsRowFunction="average" dataDxfId="1761" totalsRowDxfId="1760">
      <calculatedColumnFormula>IF(TRDDIVES[[#This Row],[2024]]="","",DONNÉES!BX140)</calculatedColumnFormula>
    </tableColumn>
    <tableColumn id="16" xr3:uid="{FDFE7831-EF97-4E6B-B7B6-8486A9FBE803}" name="2024   " totalsRowFunction="average" dataDxfId="1759" totalsRowDxfId="1758">
      <calculatedColumnFormula>IF(TRDDIVES[[#This Row],[2024]]="","",DONNÉES!BW76)</calculatedColumnFormula>
    </tableColumn>
    <tableColumn id="15" xr3:uid="{70F9A210-0884-44FA-A229-249A77300893}" name="2023   " totalsRowFunction="average" dataDxfId="1757" totalsRowDxfId="1756">
      <calculatedColumnFormula>IF(TRDDIVES[[#This Row],[2024]]="","",DONNÉES!BX76)</calculatedColumnFormula>
    </tableColumn>
    <tableColumn id="14" xr3:uid="{C1C303E6-1000-42DE-8456-B0530D05D0E3}" name="2024 cumul   " totalsRowFunction="average" dataDxfId="1755" totalsRowDxfId="1754">
      <calculatedColumnFormula>IF(TRDDIVES[[#This Row],[2024]]="","",DONNÉES!BW156)</calculatedColumnFormula>
    </tableColumn>
    <tableColumn id="13" xr3:uid="{DE715E03-E6CE-49DF-AC16-323F8B4407E2}" name="2023 cumul   " totalsRowFunction="average" dataDxfId="1753" totalsRowDxfId="1752">
      <calculatedColumnFormula>IF(TRDDIVES[[#This Row],[2024]]="","",DONNÉES!BX156)</calculatedColumnFormula>
    </tableColumn>
    <tableColumn id="12" xr3:uid="{C01363E4-E60E-4947-8AD1-5E4CA4EC7972}" name="2024    " totalsRowFunction="average" dataDxfId="1751" totalsRowDxfId="1750">
      <calculatedColumnFormula>IF(TRDDIVES[[#This Row],[2024]]="","",DONNÉES!BW92)</calculatedColumnFormula>
    </tableColumn>
    <tableColumn id="11" xr3:uid="{BDF75D14-8697-4509-961C-37DF79D01D6E}" name="2023    " totalsRowFunction="average" dataDxfId="1749" totalsRowDxfId="1748">
      <calculatedColumnFormula>IF(TRDDIVES[[#This Row],[2024]]="","",DONNÉES!BX92)</calculatedColumnFormula>
    </tableColumn>
    <tableColumn id="10" xr3:uid="{F8BC5303-C687-4C14-B917-571E581DBAF9}" name="2024 cumul    " totalsRowFunction="average" dataDxfId="1747" totalsRowDxfId="1746">
      <calculatedColumnFormula>IF(TRDDIVES[[#This Row],[2024]]="","",DONNÉES!BW172)</calculatedColumnFormula>
    </tableColumn>
    <tableColumn id="7" xr3:uid="{DC88E10A-7EA2-4E7D-8F90-490784187CD6}" name="2023 cumul    " totalsRowFunction="average" dataDxfId="1745" totalsRowDxfId="1744">
      <calculatedColumnFormula>IF(TRDDIVES[[#This Row],[2024]]="","",DONNÉES!BX172)</calculatedColumnFormula>
    </tableColumn>
  </tableColumns>
  <tableStyleInfo name="TableStyleMedium7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A5AB265E-3FFB-41E3-B9F0-0DDE99584D5B}" name="TRDTDIVES" displayName="TRDTDIVES" ref="S127:V139" headerRowDxfId="1743" dataDxfId="1742" totalsRowDxfId="1741" headerRowCellStyle="Normal 5">
  <tableColumns count="4">
    <tableColumn id="2" xr3:uid="{C698589A-2276-484C-8751-B1D6736D3C69}" name="2024" totalsRowFunction="average" dataDxfId="1740" totalsRowDxfId="1739">
      <calculatedColumnFormula>IF(TRDDIVES[[#This Row],[2024]]="","",DONNÉES!BW108)</calculatedColumnFormula>
    </tableColumn>
    <tableColumn id="3" xr3:uid="{07F45B49-8DBE-4D4C-9C94-49D1FBCE3E16}" name="2023" totalsRowFunction="average" dataDxfId="1738" totalsRowDxfId="1737">
      <calculatedColumnFormula>IF(TRDDIVES[[#This Row],[2024]]="","",DONNÉES!BX108)</calculatedColumnFormula>
    </tableColumn>
    <tableColumn id="4" xr3:uid="{A6FCB372-D93F-4374-8DD0-A47A2027133C}" name="2024 cumul" totalsRowFunction="average" dataDxfId="1736" totalsRowDxfId="1735">
      <calculatedColumnFormula>IF(TRDDIVES[[#This Row],[2024]]="","",DONNÉES!BW188)</calculatedColumnFormula>
    </tableColumn>
    <tableColumn id="6" xr3:uid="{4124BC0E-0B7F-4928-B5B7-E666574DC363}" name="2023 cumul" totalsRowFunction="average" dataDxfId="1734" totalsRowDxfId="1733">
      <calculatedColumnFormula>IF(TRDDIVES[[#This Row],[2024]]="","",DONNÉES!BX188)</calculatedColumnFormula>
    </tableColumn>
  </tableColumns>
  <tableStyleInfo name="TableStyleMedium7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C6A594F-8F4C-4455-84D9-CFEB2F546A5E}" name="TRDTH4" displayName="TRDTH4" ref="A112:Q124" headerRowDxfId="1732" dataDxfId="1731" totalsRowDxfId="1730">
  <tableColumns count="17">
    <tableColumn id="1" xr3:uid="{74C9B000-8F94-4244-9CED-79F650AC69F8}" name="TH4" totalsRowLabel=" TOTAL " dataDxfId="1729" totalsRowDxfId="1728"/>
    <tableColumn id="2" xr3:uid="{BE63346D-EACC-4D7F-BB0C-E8D6468BCA55}" name="2024" totalsRowFunction="average" dataDxfId="1727" totalsRowDxfId="1726">
      <calculatedColumnFormula>IF(DONNÉES!BO44="","",DONNÉES!BO44)</calculatedColumnFormula>
    </tableColumn>
    <tableColumn id="3" xr3:uid="{E1D03ABA-2D77-462E-8D82-872EBC50B440}" name="2023" totalsRowFunction="average" dataDxfId="1725" totalsRowDxfId="1724">
      <calculatedColumnFormula>IF(TRDTH4[[#This Row],[2024]]="","",DONNÉES!BP44)</calculatedColumnFormula>
    </tableColumn>
    <tableColumn id="4" xr3:uid="{DE2F6320-AF56-4D3D-8D93-390D6FBEEF02}" name="2024 cumul" totalsRowFunction="average" dataDxfId="1723" totalsRowDxfId="1722">
      <calculatedColumnFormula>IF(TRDTH4[[#This Row],[2024]]="","",DONNÉES!BO124)</calculatedColumnFormula>
    </tableColumn>
    <tableColumn id="5" xr3:uid="{E7DFA948-8014-47E9-BD3D-E5A151F8058F}" name="2023 cumul" totalsRowFunction="average" dataDxfId="1721" totalsRowDxfId="1720">
      <calculatedColumnFormula>IF(TRDTH4[[#This Row],[2024]]="","",DONNÉES!BP124)</calculatedColumnFormula>
    </tableColumn>
    <tableColumn id="8" xr3:uid="{ADD0D319-172D-4B15-9F4F-A65E992425F5}" name="2024  " totalsRowFunction="average" dataDxfId="1719" totalsRowDxfId="1718">
      <calculatedColumnFormula>IF(TRDTH4[[#This Row],[2024]]="","",DONNÉES!BO60)</calculatedColumnFormula>
    </tableColumn>
    <tableColumn id="9" xr3:uid="{2D3F9105-16AF-4A67-8B45-AED3BD3AFFC5}" name="2023  " totalsRowFunction="average" dataDxfId="1717" totalsRowDxfId="1716">
      <calculatedColumnFormula>IF(TRDTH4[[#This Row],[2024]]="","",DONNÉES!BP60)</calculatedColumnFormula>
    </tableColumn>
    <tableColumn id="6" xr3:uid="{3E3FA315-2708-4BAF-BAA7-8DDD9BB6BF64}" name="2024 cumul " totalsRowFunction="average" dataDxfId="1715" totalsRowDxfId="1714">
      <calculatedColumnFormula>IF(TRDTH4[[#This Row],[2024]]="","",DONNÉES!BO140)</calculatedColumnFormula>
    </tableColumn>
    <tableColumn id="17" xr3:uid="{0A21989D-AB86-4141-8F4D-B6BDCBD6280C}" name="2023 cumul " totalsRowFunction="average" dataDxfId="1713" totalsRowDxfId="1712">
      <calculatedColumnFormula>IF(TRDTH4[[#This Row],[2024]]="","",DONNÉES!BP140)</calculatedColumnFormula>
    </tableColumn>
    <tableColumn id="16" xr3:uid="{D30695BD-2E83-4B7A-A45D-849F86C7843C}" name="2024   " totalsRowFunction="average" dataDxfId="1711" totalsRowDxfId="1710">
      <calculatedColumnFormula>IF(TRDTH4[[#This Row],[2024]]="","",DONNÉES!BO76)</calculatedColumnFormula>
    </tableColumn>
    <tableColumn id="15" xr3:uid="{C9AF135A-1C9A-485F-9A85-EDFB4B0EC19D}" name="2023   " totalsRowFunction="average" dataDxfId="1709" totalsRowDxfId="1708">
      <calculatedColumnFormula>IF(TRDTH4[[#This Row],[2024]]="","",DONNÉES!BP76)</calculatedColumnFormula>
    </tableColumn>
    <tableColumn id="14" xr3:uid="{976F9967-82E6-40A3-8C47-C776514B6E5A}" name="2024 cumul   " totalsRowFunction="average" dataDxfId="1707" totalsRowDxfId="1706">
      <calculatedColumnFormula>IF(TRDTH4[[#This Row],[2024]]="","",DONNÉES!BO156)</calculatedColumnFormula>
    </tableColumn>
    <tableColumn id="13" xr3:uid="{FB0FEFE2-8882-415A-927C-FA9722714143}" name="2023 cumul   " totalsRowFunction="average" dataDxfId="1705" totalsRowDxfId="1704">
      <calculatedColumnFormula>IF(TRDTH4[[#This Row],[2024]]="","",DONNÉES!BP156)</calculatedColumnFormula>
    </tableColumn>
    <tableColumn id="12" xr3:uid="{80627E26-3FA1-413A-A393-E515EC19DF5B}" name="2024    " totalsRowFunction="average" dataDxfId="1703" totalsRowDxfId="1702">
      <calculatedColumnFormula>IF(TRDTH4[[#This Row],[2024]]="","",DONNÉES!BO92)</calculatedColumnFormula>
    </tableColumn>
    <tableColumn id="11" xr3:uid="{BCAC1FFA-6600-4D1A-A395-0DF7569FB0E3}" name="2023    " totalsRowFunction="average" dataDxfId="1701" totalsRowDxfId="1700">
      <calculatedColumnFormula>IF(TRDTH4[[#This Row],[2024]]="","",DONNÉES!BP92)</calculatedColumnFormula>
    </tableColumn>
    <tableColumn id="10" xr3:uid="{C3FA5930-FB65-4186-B129-B6EF7380ECBD}" name="2024 cumul    " totalsRowFunction="average" dataDxfId="1699" totalsRowDxfId="1698">
      <calculatedColumnFormula>IF(TRDTH4[[#This Row],[2024]]="","",DONNÉES!BO172)</calculatedColumnFormula>
    </tableColumn>
    <tableColumn id="7" xr3:uid="{73D0362E-DF89-46DE-9FD0-58741CE16854}" name="2023 cumul    " totalsRowFunction="average" dataDxfId="1697" totalsRowDxfId="1696">
      <calculatedColumnFormula>IF(TRDTH4[[#This Row],[2024]]="","",DONNÉES!BP172)</calculatedColumnFormula>
    </tableColumn>
  </tableColumns>
  <tableStyleInfo name="TableStyleMedium1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ACAB6A5-46F6-4B89-AED5-00C91C4A1F79}" name="TRDTTH4" displayName="TRDTTH4" ref="S112:V124" headerRowDxfId="1695" dataDxfId="1694" totalsRowDxfId="1693" headerRowCellStyle="Normal 5">
  <tableColumns count="4">
    <tableColumn id="2" xr3:uid="{6CE502EF-911E-46F3-8202-0AECD1765722}" name="2024" totalsRowFunction="average" dataDxfId="1692" totalsRowDxfId="1691">
      <calculatedColumnFormula>IF(TRDTH4[[#This Row],[2024]]="","",DONNÉES!BO108)</calculatedColumnFormula>
    </tableColumn>
    <tableColumn id="3" xr3:uid="{DB40DD24-F96D-40C4-8676-78785B48A7D4}" name="2023" totalsRowFunction="average" dataDxfId="1690" totalsRowDxfId="1689">
      <calculatedColumnFormula>IF(TRDTH4[[#This Row],[2024]]="","",DONNÉES!BP108)</calculatedColumnFormula>
    </tableColumn>
    <tableColumn id="4" xr3:uid="{148E5387-485A-4F14-90FA-67E20908B72B}" name="2024 cumul" totalsRowFunction="average" dataDxfId="1688" totalsRowDxfId="1687">
      <calculatedColumnFormula>IF(TRDTH4[[#This Row],[2024]]="","",DONNÉES!BO188)</calculatedColumnFormula>
    </tableColumn>
    <tableColumn id="1" xr3:uid="{997CB378-EE5E-43E6-A94B-E3E8CD446801}" name="2023 cumul" totalsRowFunction="average" dataDxfId="1686" totalsRowDxfId="1685">
      <calculatedColumnFormula>IF(TRDTH4[[#This Row],[2024]]="","",DONNÉES!BP188)</calculatedColumnFormula>
    </tableColumn>
  </tableColumns>
  <tableStyleInfo name="TableStyleMedium1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5BAC8255-168C-41BC-9BEB-F37F077E5BB5}" name="TRDGLR5" displayName="TRDGLR5" ref="A5:Q17" headerRowDxfId="1684" dataDxfId="1683" totalsRowDxfId="1682">
  <tableColumns count="17">
    <tableColumn id="1" xr3:uid="{981352E1-8879-49A1-84C7-C566F09FF4E5}" name="GLR5" totalsRowLabel=" TOTAL " dataDxfId="1681" totalsRowDxfId="1680"/>
    <tableColumn id="2" xr3:uid="{C241FD0A-B701-422C-9E7A-5F72C2375F03}" name="2024" totalsRowFunction="average" dataDxfId="1679" totalsRowDxfId="1678">
      <calculatedColumnFormula>IF(DONNÉES!K44="","",DONNÉES!K44)</calculatedColumnFormula>
    </tableColumn>
    <tableColumn id="3" xr3:uid="{34F04F45-EA47-44DF-954D-F6BC0C47D00B}" name="2023" totalsRowFunction="average" dataDxfId="1677" totalsRowDxfId="1676">
      <calculatedColumnFormula>IF(TRDGLR5[[#This Row],[2024]]="","",DONNÉES!L44)</calculatedColumnFormula>
    </tableColumn>
    <tableColumn id="4" xr3:uid="{114A35F8-5181-413F-9E46-1C3B514B43D8}" name="2024 cumul" totalsRowFunction="average" dataDxfId="1675" totalsRowDxfId="1674">
      <calculatedColumnFormula>IF(TRDGLR5[[#This Row],[2024]]="","",DONNÉES!K124)</calculatedColumnFormula>
    </tableColumn>
    <tableColumn id="5" xr3:uid="{7D4059A8-4808-4FEF-B248-441B7952E3A5}" name="2023 cumul" totalsRowFunction="average" dataDxfId="1673" totalsRowDxfId="1672">
      <calculatedColumnFormula>IF(TRDGLR5[[#This Row],[2024]]="","",DONNÉES!L124)</calculatedColumnFormula>
    </tableColumn>
    <tableColumn id="8" xr3:uid="{EB3FD2DA-0858-45CA-98D6-43F26BDFC9AA}" name="2024  " totalsRowFunction="average" dataDxfId="1671" totalsRowDxfId="1670">
      <calculatedColumnFormula>IF(TRDGLR5[[#This Row],[2024]]="","",DONNÉES!K60)</calculatedColumnFormula>
    </tableColumn>
    <tableColumn id="9" xr3:uid="{078A8C16-C571-47E2-84C5-40543898A784}" name="2023  " totalsRowFunction="average" dataDxfId="1669" totalsRowDxfId="1668">
      <calculatedColumnFormula>IF(TRDGLR5[[#This Row],[2024]]="","",DONNÉES!L60)</calculatedColumnFormula>
    </tableColumn>
    <tableColumn id="6" xr3:uid="{BA53C7E7-983F-4B2D-AA3E-649C3145496A}" name="2024 cumul " totalsRowFunction="average" dataDxfId="1667" totalsRowDxfId="1666">
      <calculatedColumnFormula>IF(TRDGLR5[[#This Row],[2024]]="","",DONNÉES!K140)</calculatedColumnFormula>
    </tableColumn>
    <tableColumn id="7" xr3:uid="{17FA3570-B3B3-4A3D-B397-45213DDA2863}" name="2023 cumul " totalsRowFunction="average" dataDxfId="1665" totalsRowDxfId="1664">
      <calculatedColumnFormula>IF(TRDGLR5[[#This Row],[2024]]="","",DONNÉES!L140)</calculatedColumnFormula>
    </tableColumn>
    <tableColumn id="17" xr3:uid="{9DEC14CD-D73A-47A7-8BF6-97F7DF42B2D5}" name="2024   " totalsRowFunction="average" dataDxfId="1663" totalsRowDxfId="1662">
      <calculatedColumnFormula>IF(TRDGLR5[[#This Row],[2024]]="","",DONNÉES!K76)</calculatedColumnFormula>
    </tableColumn>
    <tableColumn id="16" xr3:uid="{8DF1B845-AC24-4587-B492-BCAC45667D4B}" name="2023   " totalsRowFunction="average" dataDxfId="1661" totalsRowDxfId="1660">
      <calculatedColumnFormula>IF(TRDGLR5[[#This Row],[2024]]="","",DONNÉES!L76)</calculatedColumnFormula>
    </tableColumn>
    <tableColumn id="15" xr3:uid="{6BA64111-7F51-4CE1-B850-64274E7D89D1}" name="2024 cumul   " totalsRowFunction="average" dataDxfId="1659" totalsRowDxfId="1658">
      <calculatedColumnFormula>IF(TRDGLR5[[#This Row],[2024]]="","",DONNÉES!K156)</calculatedColumnFormula>
    </tableColumn>
    <tableColumn id="14" xr3:uid="{B067DFA7-4F54-456D-9399-2C6781554E1C}" name="2023 cumul   " totalsRowFunction="average" dataDxfId="1657" totalsRowDxfId="1656">
      <calculatedColumnFormula>IF(TRDGLR5[[#This Row],[2024]]="","",DONNÉES!L156)</calculatedColumnFormula>
    </tableColumn>
    <tableColumn id="13" xr3:uid="{97F13F11-A9AB-41E8-8F7B-399B23F17940}" name="2024    " totalsRowFunction="average" dataDxfId="1655" totalsRowDxfId="1654">
      <calculatedColumnFormula>IF(TRDGLR5[[#This Row],[2024]]="","",DONNÉES!K92)</calculatedColumnFormula>
    </tableColumn>
    <tableColumn id="12" xr3:uid="{8D4DFCBE-2CA9-46EE-B678-46526ABE17F4}" name="2023    " totalsRowFunction="average" dataDxfId="1653" totalsRowDxfId="1652">
      <calculatedColumnFormula>IF(TRDGLR5[[#This Row],[2024]]="","",DONNÉES!L92)</calculatedColumnFormula>
    </tableColumn>
    <tableColumn id="11" xr3:uid="{4DA8F66F-0D64-4329-8F72-74790F073779}" name="2024 cumul    " totalsRowFunction="average" dataDxfId="1651" totalsRowDxfId="1650">
      <calculatedColumnFormula>IF(TRDGLR5[[#This Row],[2024]]="","",DONNÉES!K172)</calculatedColumnFormula>
    </tableColumn>
    <tableColumn id="10" xr3:uid="{63066DC1-96A8-4A14-BF53-2BBCA90F447C}" name="2023 cumul    " totalsRowFunction="average" dataDxfId="1649" totalsRowDxfId="1648">
      <calculatedColumnFormula>IF(TRDGLR5[[#This Row],[2024]]="","",DONNÉES!L172)</calculatedColumnFormula>
    </tableColumn>
  </tableColumns>
  <tableStyleInfo name="TableStyleMedium11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FA5D019-27AB-4A82-9D05-5C3165834DA6}" name="TRDTGLR5" displayName="TRDTGLR5" ref="S5:V17" headerRowDxfId="1647" dataDxfId="1646" totalsRowDxfId="1645">
  <tableColumns count="4">
    <tableColumn id="2" xr3:uid="{E7A22460-B46C-46D9-90A4-C3F50E97F3B2}" name="2024" totalsRowFunction="average" dataDxfId="1644" totalsRowDxfId="1643">
      <calculatedColumnFormula>IF(TRDGLR5[[#This Row],[2024]]="","",DONNÉES!K108)</calculatedColumnFormula>
    </tableColumn>
    <tableColumn id="3" xr3:uid="{C0FFCBD6-9119-4917-BFC8-56068E27FDCB}" name="2023" totalsRowFunction="average" dataDxfId="1642" totalsRowDxfId="1641">
      <calculatedColumnFormula>IF(TRDGLR5[[#This Row],[2024]]="","",DONNÉES!L108)</calculatedColumnFormula>
    </tableColumn>
    <tableColumn id="4" xr3:uid="{0836D14A-D017-4AFA-B264-1705BAA61DAB}" name="2024 cumul" totalsRowFunction="average" dataDxfId="1640" totalsRowDxfId="1639">
      <calculatedColumnFormula>IF(TRDGLR5[[#This Row],[2024]]="","",DONNÉES!K188)</calculatedColumnFormula>
    </tableColumn>
    <tableColumn id="1" xr3:uid="{DCD6982C-B9B6-47E3-9870-3CB1E45AAD3D}" name="2023 cumul" totalsRowFunction="average" dataDxfId="1638" totalsRowDxfId="1637">
      <calculatedColumnFormula>IF(TRDGLR5[[#This Row],[2024]]="","",DONNÉES!L188)</calculatedColumnFormula>
    </tableColumn>
  </tableColumns>
  <tableStyleInfo name="TableStyleMedium11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6324FA2-582B-4E84-A57B-CDABEFCB0036}" name="TRDHTR8" displayName="TRDHTR8" ref="A20:Q32" headerRowDxfId="1636" totalsRowDxfId="1635">
  <tableColumns count="17">
    <tableColumn id="1" xr3:uid="{3796AB39-A6DD-4121-AA03-CE2494481F74}" name="HTR8" totalsRowLabel=" TOTAL " dataDxfId="1634" totalsRowDxfId="1633"/>
    <tableColumn id="2" xr3:uid="{54F44230-12AE-4FE0-8EE6-255034EA0F24}" name="2024" totalsRowFunction="average" dataDxfId="1632" totalsRowDxfId="1631">
      <calculatedColumnFormula>IF(DONNÉES!S44="","",DONNÉES!S44)</calculatedColumnFormula>
    </tableColumn>
    <tableColumn id="3" xr3:uid="{25FFCFBB-F6BB-4B78-BDCE-F391D9402052}" name="2023" totalsRowFunction="average" dataDxfId="1630" totalsRowDxfId="1629">
      <calculatedColumnFormula>IF(TRDHTR8[[#This Row],[2024]]="","",DONNÉES!T44)</calculatedColumnFormula>
    </tableColumn>
    <tableColumn id="4" xr3:uid="{32D84567-D273-40DB-AE31-D223FAB2F31C}" name="2024 cumul" totalsRowFunction="average" dataDxfId="1628" totalsRowDxfId="1627">
      <calculatedColumnFormula>IF(TRDHTR8[[#This Row],[2024]]="","",DONNÉES!S124)</calculatedColumnFormula>
    </tableColumn>
    <tableColumn id="5" xr3:uid="{A2A8BE7D-631A-4A66-93AA-5A9BBCF98C3B}" name="2023 cumul" totalsRowFunction="average" dataDxfId="1626" totalsRowDxfId="1625">
      <calculatedColumnFormula>IF(TRDHTR8[[#This Row],[2024]]="","",DONNÉES!T124)</calculatedColumnFormula>
    </tableColumn>
    <tableColumn id="8" xr3:uid="{5F5A8810-55B4-4DBD-ABCD-E8D0C6EC7F62}" name="2024  " totalsRowFunction="average" dataDxfId="1624" totalsRowDxfId="1623">
      <calculatedColumnFormula>IF(TRDHTR8[[#This Row],[2024]]="","",DONNÉES!S60)</calculatedColumnFormula>
    </tableColumn>
    <tableColumn id="9" xr3:uid="{59E76CFC-3363-4DF5-B93D-ACCF81F30C62}" name="2023  " totalsRowFunction="average" dataDxfId="1622" totalsRowDxfId="1621">
      <calculatedColumnFormula>IF(TRDHTR8[[#This Row],[2024]]="","",DONNÉES!T60)</calculatedColumnFormula>
    </tableColumn>
    <tableColumn id="6" xr3:uid="{72C2F75A-9FDB-48D3-8538-AB451CF3B55C}" name="2024 cumul " totalsRowFunction="average" dataDxfId="1620" totalsRowDxfId="1619">
      <calculatedColumnFormula>IF(TRDHTR8[[#This Row],[2024]]="","",DONNÉES!S140)</calculatedColumnFormula>
    </tableColumn>
    <tableColumn id="7" xr3:uid="{92B25DAF-946A-4CB8-B454-106A5A2ECF3A}" name="2023 cumul " totalsRowFunction="average" dataDxfId="1618" totalsRowDxfId="1617">
      <calculatedColumnFormula>IF(TRDHTR8[[#This Row],[2024]]="","",DONNÉES!T140)</calculatedColumnFormula>
    </tableColumn>
    <tableColumn id="17" xr3:uid="{120457D1-79DB-412A-BC5D-4DCB4AC83B44}" name="2024   " totalsRowFunction="average" dataDxfId="1616" totalsRowDxfId="1615">
      <calculatedColumnFormula>IF(TRDHTR8[[#This Row],[2024]]="","",DONNÉES!S76)</calculatedColumnFormula>
    </tableColumn>
    <tableColumn id="16" xr3:uid="{4E74C590-E482-406F-B586-034BE28C2B5F}" name="2023   " totalsRowFunction="average" dataDxfId="1614" totalsRowDxfId="1613">
      <calculatedColumnFormula>IF(TRDHTR8[[#This Row],[2024]]="","",DONNÉES!T76)</calculatedColumnFormula>
    </tableColumn>
    <tableColumn id="15" xr3:uid="{F807AAA3-721D-4336-BA94-AE80AA1103F4}" name="2024 cumul   " totalsRowFunction="average" dataDxfId="1612" totalsRowDxfId="1611">
      <calculatedColumnFormula>IF(TRDHTR8[[#This Row],[2024]]="","",DONNÉES!S156)</calculatedColumnFormula>
    </tableColumn>
    <tableColumn id="14" xr3:uid="{7577F80C-B43B-4555-B4C5-F76BF4630FEB}" name="2023 cumul   " totalsRowFunction="average" dataDxfId="1610" totalsRowDxfId="1609">
      <calculatedColumnFormula>IF(TRDHTR8[[#This Row],[2024]]="","",DONNÉES!T156)</calculatedColumnFormula>
    </tableColumn>
    <tableColumn id="13" xr3:uid="{B9216861-88F9-49FF-9465-A922DC51411F}" name="2024    " totalsRowFunction="average" dataDxfId="1608" totalsRowDxfId="1607">
      <calculatedColumnFormula>IF(TRDHTR8[[#This Row],[2024]]="","",DONNÉES!S92)</calculatedColumnFormula>
    </tableColumn>
    <tableColumn id="12" xr3:uid="{B12A9D79-8B86-47E9-B5BD-721AE7F7574D}" name="2023    " totalsRowFunction="average" dataDxfId="1606" totalsRowDxfId="1605">
      <calculatedColumnFormula>IF(TRDHTR8[[#This Row],[2024]]="","",DONNÉES!T92)</calculatedColumnFormula>
    </tableColumn>
    <tableColumn id="11" xr3:uid="{1ECDA6BB-CFFD-4A37-AA69-772581B7DFFB}" name="2024 cumul    " totalsRowFunction="average" dataDxfId="1604" totalsRowDxfId="1603">
      <calculatedColumnFormula>IF(TRDHTR8[[#This Row],[2024]]="","",DONNÉES!S172)</calculatedColumnFormula>
    </tableColumn>
    <tableColumn id="10" xr3:uid="{A303B19B-2C46-4D41-96DD-F9FE5D12F237}" name="2023 cumul    " totalsRowFunction="average" dataDxfId="1602" totalsRowDxfId="1601">
      <calculatedColumnFormula>IF(TRDHTR8[[#This Row],[2024]]="","",DONNÉES!T172)</calculatedColumnFormula>
    </tableColumn>
  </tableColumns>
  <tableStyleInfo name="TableStyleMedium11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42C6256E-1011-40AD-9E74-E05283DD9C24}" name="TRDTHTR8" displayName="TRDTHTR8" ref="S20:V32" headerRowDxfId="1600" totalsRowDxfId="1598" tableBorderDxfId="1599" headerRowCellStyle="Normal 5">
  <tableColumns count="4">
    <tableColumn id="2" xr3:uid="{0057AA68-2F68-4816-9590-BE7E8236EF2D}" name="2024" totalsRowFunction="average" dataDxfId="1597" totalsRowDxfId="1596">
      <calculatedColumnFormula>IF(TRDHTR8[[#This Row],[2024]]="","",DONNÉES!S108)</calculatedColumnFormula>
    </tableColumn>
    <tableColumn id="3" xr3:uid="{48B93D7F-8081-4476-B4FA-786280BDE3C8}" name="2023" totalsRowFunction="average" dataDxfId="1595" totalsRowDxfId="1594">
      <calculatedColumnFormula>IF(TRDHTR8[[#This Row],[2024]]="","",DONNÉES!T108)</calculatedColumnFormula>
    </tableColumn>
    <tableColumn id="4" xr3:uid="{4347B7D9-D2B8-4CDE-B96D-5CFC85F8E625}" name="2024 cumul" totalsRowFunction="average" dataDxfId="1593" totalsRowDxfId="1592">
      <calculatedColumnFormula>IF(TRDHTR8[[#This Row],[2024]]="","",DONNÉES!S188)</calculatedColumnFormula>
    </tableColumn>
    <tableColumn id="1" xr3:uid="{08B3DE63-68DD-43AD-B696-082D64E6F2C9}" name="2023 cumul" totalsRowFunction="average" dataDxfId="1591" totalsRowDxfId="1590">
      <calculatedColumnFormula>IF(TRDHTR8[[#This Row],[2024]]="","",DONNÉES!T188)</calculatedColumnFormula>
    </tableColumn>
  </tableColumns>
  <tableStyleInfo name="TableStyleMedium11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ED5C889-F1E4-4AFE-89EC-6EB6731CF4FC}" name="TRDTIRR" displayName="TRDTIRR" ref="A35:Q47" headerRowDxfId="1589" dataDxfId="1588" totalsRowDxfId="1587">
  <tableColumns count="17">
    <tableColumn id="1" xr3:uid="{513B8EE3-59BF-42E6-97D8-92AE01ADED31}" name="TIRR" totalsRowLabel=" TOTAL " dataDxfId="1586" totalsRowDxfId="1585"/>
    <tableColumn id="2" xr3:uid="{F0623DCC-59D3-462B-8A57-44DD21CBA9B3}" name="2024" totalsRowFunction="average" dataDxfId="1584" totalsRowDxfId="1583">
      <calculatedColumnFormula>IF(DONNÉES!AA44="","",DONNÉES!AA44)</calculatedColumnFormula>
    </tableColumn>
    <tableColumn id="3" xr3:uid="{22DACB77-6CFC-4F18-9F93-A894777A3B50}" name="2023" totalsRowFunction="average" dataDxfId="1582" totalsRowDxfId="1581">
      <calculatedColumnFormula>IF(TRDTIRR[[#This Row],[2024]]="","",DONNÉES!AB44)</calculatedColumnFormula>
    </tableColumn>
    <tableColumn id="4" xr3:uid="{03B7F828-D488-4ED2-B3F0-7B90FB549049}" name="2024 cumul" totalsRowFunction="average" dataDxfId="1580" totalsRowDxfId="1579">
      <calculatedColumnFormula>IF(TRDTIRR[[#This Row],[2024]]="","",DONNÉES!AA124)</calculatedColumnFormula>
    </tableColumn>
    <tableColumn id="5" xr3:uid="{D9EE6CDC-53DB-40E9-8A73-6AC65AC7E2AE}" name="2023 cumul" totalsRowFunction="average" dataDxfId="1578" totalsRowDxfId="1577">
      <calculatedColumnFormula>IF(TRDTIRR[[#This Row],[2024]]="","",DONNÉES!AB124)</calculatedColumnFormula>
    </tableColumn>
    <tableColumn id="8" xr3:uid="{F52F6C46-F3C8-4D6D-9979-0C66D475CFDB}" name="2024  " totalsRowFunction="average" dataDxfId="1576" totalsRowDxfId="1575">
      <calculatedColumnFormula>IF(TRDTIRR[[#This Row],[2024]]="","",DONNÉES!AA60)</calculatedColumnFormula>
    </tableColumn>
    <tableColumn id="9" xr3:uid="{D3B236BC-A2B0-41CE-A572-6D76C36FAE3A}" name="2023  " totalsRowFunction="average" dataDxfId="1574" totalsRowDxfId="1573">
      <calculatedColumnFormula>IF(TRDTIRR[[#This Row],[2024]]="","",DONNÉES!AB60)</calculatedColumnFormula>
    </tableColumn>
    <tableColumn id="6" xr3:uid="{FC8DB57F-9F06-4E08-96AA-A2EFE0A3BD94}" name="2024 cumul " totalsRowFunction="average" dataDxfId="1572" totalsRowDxfId="1571">
      <calculatedColumnFormula>IF(TRDTIRR[[#This Row],[2024]]="","",DONNÉES!AA140)</calculatedColumnFormula>
    </tableColumn>
    <tableColumn id="17" xr3:uid="{B4879455-232C-4269-9043-BEAF693ED2EA}" name="2023 cumul " totalsRowFunction="average" dataDxfId="1570" totalsRowDxfId="1569">
      <calculatedColumnFormula>IF(TRDTIRR[[#This Row],[2024]]="","",DONNÉES!AB140)</calculatedColumnFormula>
    </tableColumn>
    <tableColumn id="16" xr3:uid="{DCEE9304-425A-441B-9784-50E60D536257}" name="2024   " totalsRowFunction="average" dataDxfId="1568" totalsRowDxfId="1567">
      <calculatedColumnFormula>IF(TRDTIRR[[#This Row],[2024]]="","",DONNÉES!AA76)</calculatedColumnFormula>
    </tableColumn>
    <tableColumn id="15" xr3:uid="{529BC77F-6165-4ED3-898D-F84E59280363}" name="2023   " totalsRowFunction="average" dataDxfId="1566" totalsRowDxfId="1565">
      <calculatedColumnFormula>IF(TRDTIRR[[#This Row],[2024]]="","",DONNÉES!AB76)</calculatedColumnFormula>
    </tableColumn>
    <tableColumn id="14" xr3:uid="{F79372F3-893D-44A3-8E36-7A865B3FCC2A}" name="2024 cumul   " totalsRowFunction="average" dataDxfId="1564" totalsRowDxfId="1563">
      <calculatedColumnFormula>IF(TRDTIRR[[#This Row],[2024]]="","",DONNÉES!AA156)</calculatedColumnFormula>
    </tableColumn>
    <tableColumn id="13" xr3:uid="{F50ECE3A-03D6-420E-8618-C27B9D958190}" name="2023 cumul   " totalsRowFunction="average" dataDxfId="1562" totalsRowDxfId="1561">
      <calculatedColumnFormula>IF(TRDTIRR[[#This Row],[2024]]="","",DONNÉES!AB156)</calculatedColumnFormula>
    </tableColumn>
    <tableColumn id="12" xr3:uid="{8615AA29-44E3-4342-A237-65E74C722CAB}" name="2024    " totalsRowFunction="average" dataDxfId="1560" totalsRowDxfId="1559">
      <calculatedColumnFormula>IF(TRDTIRR[[#This Row],[2024]]="","",DONNÉES!AA92)</calculatedColumnFormula>
    </tableColumn>
    <tableColumn id="11" xr3:uid="{CA0D7DAB-166E-433C-BD43-60D61B3E1623}" name="2023    " totalsRowFunction="average" dataDxfId="1558" totalsRowDxfId="1557">
      <calculatedColumnFormula>IF(TRDTIRR[[#This Row],[2024]]="","",DONNÉES!AB92)</calculatedColumnFormula>
    </tableColumn>
    <tableColumn id="10" xr3:uid="{E213E57F-A224-4616-9DB0-EDD50739C7F2}" name="2024 cumul    " totalsRowFunction="average" dataDxfId="1556" totalsRowDxfId="1555">
      <calculatedColumnFormula>IF(TRDTIRR[[#This Row],[2024]]="","",DONNÉES!AA172)</calculatedColumnFormula>
    </tableColumn>
    <tableColumn id="7" xr3:uid="{6816EB71-7F7D-472B-8C82-A27F63CF1AE5}" name="2023 cumul    " totalsRowFunction="average" dataDxfId="1554" totalsRowDxfId="1553">
      <calculatedColumnFormula>IF(TRDTIRR[[#This Row],[2024]]="","",DONNÉES!AB172)</calculatedColumnFormula>
    </tableColumn>
  </tableColumns>
  <tableStyleInfo name="TableStyleMedium13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7B7D9A2-C77B-4AB7-A25D-8CE939A74826}" name="TRDTTIRR" displayName="TRDTTIRR" ref="S35:V47" headerRowDxfId="1552" dataDxfId="1551" totalsRowDxfId="1550" headerRowCellStyle="Normal 5">
  <tableColumns count="4">
    <tableColumn id="2" xr3:uid="{CEE071A3-19AF-4F51-A2F5-94B4FA760DB6}" name="2024" totalsRowFunction="average" dataDxfId="1549" totalsRowDxfId="1548">
      <calculatedColumnFormula>IF(TRDTIRR[[#This Row],[2024]]="","",DONNÉES!AA108)</calculatedColumnFormula>
    </tableColumn>
    <tableColumn id="3" xr3:uid="{BE98D783-7434-4438-BF43-6DB9786D1925}" name="2023" totalsRowFunction="average" dataDxfId="1547" totalsRowDxfId="1546">
      <calculatedColumnFormula>IF(TRDTIRR[[#This Row],[2024]]="","",DONNÉES!AB108)</calculatedColumnFormula>
    </tableColumn>
    <tableColumn id="4" xr3:uid="{89392E1D-8E48-4E6E-A71B-A6492EC594B0}" name="2024 cumul" totalsRowFunction="average" dataDxfId="1545" totalsRowDxfId="1544">
      <calculatedColumnFormula>IF(TRDTIRR[[#This Row],[2024]]="","",DONNÉES!AA188)</calculatedColumnFormula>
    </tableColumn>
    <tableColumn id="6" xr3:uid="{EEC9C4E3-1546-420A-9B41-797EB29DEECD}" name="2023 cumul" totalsRowFunction="average" dataDxfId="1543" totalsRowDxfId="1542">
      <calculatedColumnFormula>IF(TRDTIRR[[#This Row],[2024]]="","",DONNÉES!AB188)</calculatedColumnFormula>
    </tableColumn>
  </tableColumns>
  <tableStyleInfo name="TableStyleMedium13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50C990C5-5139-404B-B5D4-AB12522CF932}" name="TRDVR7" displayName="TRDVR7" ref="A52:Q64" headerRowDxfId="1541" dataDxfId="1540" totalsRowDxfId="1539">
  <tableColumns count="17">
    <tableColumn id="1" xr3:uid="{6A3D4FF5-0482-4B82-B99B-5BBB329BD144}" name="VR7" totalsRowLabel=" TOTAL " dataDxfId="1538" totalsRowDxfId="1537"/>
    <tableColumn id="2" xr3:uid="{AC0ED128-618C-4180-AF76-CB27A2A4089F}" name="2024" totalsRowFunction="average" dataDxfId="1536" totalsRowDxfId="1535">
      <calculatedColumnFormula>IF(DONNÉES!AI44="","",DONNÉES!AI44)</calculatedColumnFormula>
    </tableColumn>
    <tableColumn id="3" xr3:uid="{D38394C0-B77A-4782-8E79-F28843C52974}" name="2023" totalsRowFunction="average" dataDxfId="1534" totalsRowDxfId="1533">
      <calculatedColumnFormula>IF(TRDVR7[[#This Row],[2024]]="","",DONNÉES!AJ44)</calculatedColumnFormula>
    </tableColumn>
    <tableColumn id="4" xr3:uid="{7A9935BD-5003-4D45-A1AA-0EBC4D71A3D9}" name="2024 cumul" totalsRowFunction="average" dataDxfId="1532" totalsRowDxfId="1531">
      <calculatedColumnFormula>IF(TRDVR7[[#This Row],[2024]]="","",DONNÉES!AI124)</calculatedColumnFormula>
    </tableColumn>
    <tableColumn id="5" xr3:uid="{62B548CC-0A3C-4FE4-8F4B-475682E46504}" name="2023 cumul" totalsRowFunction="average" dataDxfId="1530" totalsRowDxfId="1529">
      <calculatedColumnFormula>IF(TRDVR7[[#This Row],[2024]]="","",DONNÉES!AJ124)</calculatedColumnFormula>
    </tableColumn>
    <tableColumn id="8" xr3:uid="{F33674AE-E436-46B2-9CD0-358384D233D8}" name="2024  " totalsRowFunction="average" dataDxfId="1528" totalsRowDxfId="1527">
      <calculatedColumnFormula>IF(TRDVR7[[#This Row],[2024]]="","",DONNÉES!AI60)</calculatedColumnFormula>
    </tableColumn>
    <tableColumn id="9" xr3:uid="{C26F2CC9-A36F-4A52-B7CD-0E1362160882}" name="2023  " totalsRowFunction="average" dataDxfId="1526" totalsRowDxfId="1525">
      <calculatedColumnFormula>IF(TRDVR7[[#This Row],[2024]]="","",DONNÉES!AJ60)</calculatedColumnFormula>
    </tableColumn>
    <tableColumn id="6" xr3:uid="{B280FFF7-1563-43EF-AA65-C6A08431A7F9}" name="2024 cumul " totalsRowFunction="average" dataDxfId="1524" totalsRowDxfId="1523">
      <calculatedColumnFormula>IF(TRDVR7[[#This Row],[2024]]="","",DONNÉES!AI140)</calculatedColumnFormula>
    </tableColumn>
    <tableColumn id="17" xr3:uid="{20B48805-7C22-4AEA-B6FE-4A38419D388E}" name="2023 cumul " totalsRowFunction="average" dataDxfId="1522" totalsRowDxfId="1521">
      <calculatedColumnFormula>IF(TRDVR7[[#This Row],[2024]]="","",DONNÉES!AJ140)</calculatedColumnFormula>
    </tableColumn>
    <tableColumn id="16" xr3:uid="{88CDDA98-50E2-429F-8B7A-5FDF1797014F}" name="2024   " totalsRowFunction="average" dataDxfId="1520" totalsRowDxfId="1519">
      <calculatedColumnFormula>IF(TRDVR7[[#This Row],[2024]]="","",DONNÉES!AI76)</calculatedColumnFormula>
    </tableColumn>
    <tableColumn id="15" xr3:uid="{490A3ECF-AD0F-4703-AE91-8171CEB265F6}" name="2023   " totalsRowFunction="average" dataDxfId="1518" totalsRowDxfId="1517">
      <calculatedColumnFormula>IF(TRDVR7[[#This Row],[2024]]="","",DONNÉES!AJ76)</calculatedColumnFormula>
    </tableColumn>
    <tableColumn id="14" xr3:uid="{94385744-6EEC-41CC-8A75-FDE65263D8C9}" name="2024 cumul   " totalsRowFunction="average" dataDxfId="1516" totalsRowDxfId="1515">
      <calculatedColumnFormula>IF(TRDVR7[[#This Row],[2024]]="","",DONNÉES!AI156)</calculatedColumnFormula>
    </tableColumn>
    <tableColumn id="13" xr3:uid="{DE4AE93C-BFAE-4389-B651-3D0FB4708820}" name="2023 cumul   " totalsRowFunction="average" dataDxfId="1514" totalsRowDxfId="1513">
      <calculatedColumnFormula>IF(TRDVR7[[#This Row],[2024]]="","",DONNÉES!AJ156)</calculatedColumnFormula>
    </tableColumn>
    <tableColumn id="12" xr3:uid="{D9865B87-52B7-40F7-80D3-5338EB10CC9A}" name="2024    " totalsRowFunction="average" dataDxfId="1512" totalsRowDxfId="1511">
      <calculatedColumnFormula>IF(TRDVR7[[#This Row],[2024]]="","",DONNÉES!AI92)</calculatedColumnFormula>
    </tableColumn>
    <tableColumn id="11" xr3:uid="{0875C082-D7CA-4D5E-AE8B-9A7ACD67D25B}" name="2023    " totalsRowFunction="average" dataDxfId="1510" totalsRowDxfId="1509">
      <calculatedColumnFormula>IF(TRDVR7[[#This Row],[2024]]="","",DONNÉES!AJ92)</calculatedColumnFormula>
    </tableColumn>
    <tableColumn id="10" xr3:uid="{348407F8-23FF-4957-8729-E7BA0192043B}" name="2024 cumul    " totalsRowFunction="average" dataDxfId="1508" totalsRowDxfId="1507">
      <calculatedColumnFormula>IF(TRDVR7[[#This Row],[2024]]="","",DONNÉES!AI172)</calculatedColumnFormula>
    </tableColumn>
    <tableColumn id="7" xr3:uid="{AFD0CE24-332E-423E-89B2-F9CA4FB19895}" name="2023 cumul    " totalsRowFunction="average" dataDxfId="1506" totalsRowDxfId="1505">
      <calculatedColumnFormula>IF(TRDVR7[[#This Row],[2024]]="","",DONNÉES!AJ172)</calculatedColumnFormula>
    </tableColumn>
  </tableColumns>
  <tableStyleInfo name="TableStyleMedium13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5C1BD68-D8CC-4890-B996-E304133F0CBB}" name="TRDTVR7" displayName="TRDTVR7" ref="S52:V64" headerRowDxfId="1504" dataDxfId="1503" totalsRowDxfId="1502" headerRowCellStyle="Normal 5">
  <tableColumns count="4">
    <tableColumn id="2" xr3:uid="{B2D96730-0730-4162-9F17-BDD0873C2D26}" name="2024" totalsRowFunction="average" dataDxfId="1501" totalsRowDxfId="1500">
      <calculatedColumnFormula>IF(TRDVR7[[#This Row],[2024]]="","",DONNÉES!AI108)</calculatedColumnFormula>
    </tableColumn>
    <tableColumn id="3" xr3:uid="{D26DA15F-6671-45B4-9DB0-29589EEA83D9}" name="2023" totalsRowFunction="average" dataDxfId="1499" totalsRowDxfId="1498">
      <calculatedColumnFormula>IF(TRDVR7[[#This Row],[2024]]="","",DONNÉES!AJ108)</calculatedColumnFormula>
    </tableColumn>
    <tableColumn id="4" xr3:uid="{E8885F89-C1B1-4571-96B0-0FE102148AA1}" name="2024 cumul" totalsRowFunction="average" dataDxfId="1497" totalsRowDxfId="1496">
      <calculatedColumnFormula>IF(TRDVR7[[#This Row],[2024]]="","",DONNÉES!AI188)</calculatedColumnFormula>
    </tableColumn>
    <tableColumn id="1" xr3:uid="{059D574D-294D-40B9-B115-0439CE01878C}" name="2023 cumul" totalsRowFunction="average" dataDxfId="1495" totalsRowDxfId="1494">
      <calculatedColumnFormula>IF(TRDVR7[[#This Row],[2024]]="","",DONNÉES!AJ188)</calculatedColumnFormula>
    </tableColumn>
  </tableColumns>
  <tableStyleInfo name="TableStyleMedium13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EC1485F0-43E7-43FD-A761-73FAF76F7ED8}" name="TRDTURVILLA" displayName="TRDTURVILLA" ref="A67:Q79" headerRowDxfId="1493" dataDxfId="1492" totalsRowDxfId="1491">
  <tableColumns count="17">
    <tableColumn id="1" xr3:uid="{9A928118-3A21-4F48-9766-7E2D06D0E6FE}" name="TURVILLA" totalsRowLabel=" TOTAL " dataDxfId="1490" totalsRowDxfId="1489"/>
    <tableColumn id="2" xr3:uid="{98D6FA75-4127-475D-A949-0F80D6A29EB2}" name="2024" totalsRowFunction="average" dataDxfId="1488" totalsRowDxfId="1487">
      <calculatedColumnFormula>IF(DONNÉES!AQ44="","",DONNÉES!AQ44)</calculatedColumnFormula>
    </tableColumn>
    <tableColumn id="3" xr3:uid="{7614E6AF-35E3-4A18-841C-543ED1D0D7B1}" name="2023" totalsRowFunction="average" dataDxfId="1486" totalsRowDxfId="1485">
      <calculatedColumnFormula>IF(TRDTURVILLA[[#This Row],[2024]]="","",DONNÉES!AR44)</calculatedColumnFormula>
    </tableColumn>
    <tableColumn id="4" xr3:uid="{16449AB4-79F6-4A99-86C6-CF99E9593EB2}" name="2024 cumul" totalsRowFunction="average" dataDxfId="1484" totalsRowDxfId="1483">
      <calculatedColumnFormula>IF(TRDTURVILLA[[#This Row],[2024]]="","",DONNÉES!AQ124)</calculatedColumnFormula>
    </tableColumn>
    <tableColumn id="5" xr3:uid="{F62160A2-61CB-4ACB-B823-F6038E763D4B}" name="2023 cumul" totalsRowFunction="average" dataDxfId="1482" totalsRowDxfId="1481">
      <calculatedColumnFormula>IF(TRDTURVILLA[[#This Row],[2024]]="","",DONNÉES!AR124)</calculatedColumnFormula>
    </tableColumn>
    <tableColumn id="8" xr3:uid="{E61EF8B1-D535-40D5-8D23-D26070BA0BE7}" name="2024  " totalsRowFunction="average" dataDxfId="1480" totalsRowDxfId="1479">
      <calculatedColumnFormula>IF(TRDTURVILLA[[#This Row],[2024]]="","",DONNÉES!AQ60)</calculatedColumnFormula>
    </tableColumn>
    <tableColumn id="9" xr3:uid="{5BD546A0-25F4-4879-8BF5-E05830108352}" name="2023  " totalsRowFunction="average" dataDxfId="1478" totalsRowDxfId="1477">
      <calculatedColumnFormula>IF(TRDTURVILLA[[#This Row],[2024]]="","",DONNÉES!#REF!)</calculatedColumnFormula>
    </tableColumn>
    <tableColumn id="6" xr3:uid="{7F7F3154-297C-49D4-BBAB-EC26096BD2F0}" name="2024 cumul " totalsRowFunction="average" dataDxfId="1476" totalsRowDxfId="1475">
      <calculatedColumnFormula>IF(TRDTURVILLA[[#This Row],[2024]]="","",DONNÉES!AQ140)</calculatedColumnFormula>
    </tableColumn>
    <tableColumn id="7" xr3:uid="{45D96049-180B-40E8-A42D-EDDF456A5DB9}" name="2023 cumul " totalsRowFunction="average" dataDxfId="1474" totalsRowDxfId="1473">
      <calculatedColumnFormula>IF(TRDTURVILLA[[#This Row],[2024]]="","",DONNÉES!AR140)</calculatedColumnFormula>
    </tableColumn>
    <tableColumn id="17" xr3:uid="{3215FFD5-7ED2-44FD-9AE5-944430927596}" name="2024   " totalsRowFunction="average" dataDxfId="1472" totalsRowDxfId="1471">
      <calculatedColumnFormula>IF(TRDTURVILLA[[#This Row],[2024]]="","",DONNÉES!AQ76)</calculatedColumnFormula>
    </tableColumn>
    <tableColumn id="16" xr3:uid="{DF731E79-AD64-4CBF-9FD6-6F1095BE5870}" name="2023   " totalsRowFunction="average" dataDxfId="1470" totalsRowDxfId="1469">
      <calculatedColumnFormula>IF(TRDTURVILLA[[#This Row],[2024]]="","",DONNÉES!AR76)</calculatedColumnFormula>
    </tableColumn>
    <tableColumn id="15" xr3:uid="{CEE8941B-6CEA-4306-AEA2-8EAB7F9728E6}" name="2024 cumul   " totalsRowFunction="average" dataDxfId="1468" totalsRowDxfId="1467">
      <calculatedColumnFormula>IF(TRDTURVILLA[[#This Row],[2024]]="","",DONNÉES!AQ156)</calculatedColumnFormula>
    </tableColumn>
    <tableColumn id="14" xr3:uid="{449F501F-4182-4951-BCC8-DC49E12627A2}" name="2023 cumul   " totalsRowFunction="average" dataDxfId="1466" totalsRowDxfId="1465">
      <calculatedColumnFormula>IF(TRDTURVILLA[[#This Row],[2024]]="","",DONNÉES!AR156)</calculatedColumnFormula>
    </tableColumn>
    <tableColumn id="13" xr3:uid="{19CC6429-8311-4BA0-98E7-8FEF86A657F8}" name="2024    " totalsRowFunction="average" dataDxfId="1464" totalsRowDxfId="1463">
      <calculatedColumnFormula>IF(TRDTURVILLA[[#This Row],[2024]]="","",DONNÉES!AQ92)</calculatedColumnFormula>
    </tableColumn>
    <tableColumn id="12" xr3:uid="{CDED1A58-3E5F-44A1-9321-ACC50B055D8F}" name="2023    " totalsRowFunction="average" dataDxfId="1462" totalsRowDxfId="1461">
      <calculatedColumnFormula>IF(TRDTURVILLA[[#This Row],[2024]]="","",DONNÉES!AR92)</calculatedColumnFormula>
    </tableColumn>
    <tableColumn id="11" xr3:uid="{7447DDC1-2C7D-4983-91B6-208955F4972A}" name="2024 cumul    " totalsRowFunction="average" dataDxfId="1460" totalsRowDxfId="1459">
      <calculatedColumnFormula>IF(TRDTURVILLA[[#This Row],[2024]]="","",DONNÉES!AQ172)</calculatedColumnFormula>
    </tableColumn>
    <tableColumn id="10" xr3:uid="{5B36D2B8-6C7F-4474-A374-C9E7F9AADFD0}" name="2023 cumul    " totalsRowFunction="average" dataDxfId="1458" totalsRowDxfId="1457">
      <calculatedColumnFormula>IF(TRDTURVILLA[[#This Row],[2024]]="","",DONNÉES!AR172)</calculatedColumnFormula>
    </tableColumn>
  </tableColumns>
  <tableStyleInfo name="TableStyleMedium10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1F801429-6629-4793-A522-82DDB0B14232}" name="TRDTTURVILLA" displayName="TRDTTURVILLA" ref="S67:V79" headerRowDxfId="1456" dataDxfId="1455" totalsRowDxfId="1454" headerRowCellStyle="Normal 5">
  <tableColumns count="4">
    <tableColumn id="2" xr3:uid="{5D84510B-ECA5-468A-A2B4-6F5C39F34A78}" name="2024" totalsRowFunction="average" dataDxfId="1453" totalsRowDxfId="1452">
      <calculatedColumnFormula>IF(TRDTURVILLA[[#This Row],[2024]]="","",DONNÉES!AQ108)</calculatedColumnFormula>
    </tableColumn>
    <tableColumn id="3" xr3:uid="{291A0884-407F-4CF6-A9BC-D0EC5B7377E2}" name="2023" totalsRowFunction="average" dataDxfId="1451" totalsRowDxfId="1450">
      <calculatedColumnFormula>IF(TRDTURVILLA[[#This Row],[2024]]="","",DONNÉES!AR108)</calculatedColumnFormula>
    </tableColumn>
    <tableColumn id="4" xr3:uid="{6C308C75-DC19-460A-B571-713019437D3C}" name="2024 cumul" totalsRowFunction="average" dataDxfId="1449" totalsRowDxfId="1448">
      <calculatedColumnFormula>IF(TRDTURVILLA[[#This Row],[2024]]="","",DONNÉES!AQ188)</calculatedColumnFormula>
    </tableColumn>
    <tableColumn id="1" xr3:uid="{ECB68B2A-3C0E-4886-AA57-0ACC83FF8D4A}" name="2023 cumul" totalsRowFunction="average" dataDxfId="1447" totalsRowDxfId="1446">
      <calculatedColumnFormula>IF(TRDTURVILLA[[#This Row],[2024]]="","",DONNÉES!AR188)</calculatedColumnFormula>
    </tableColumn>
  </tableColumns>
  <tableStyleInfo name="TableStyleMedium10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C1DD8A0E-8629-4521-9019-2878376F060A}" name="TRDHART" displayName="TRDHART" ref="A82:Q94" headerRowDxfId="1445" dataDxfId="1444" totalsRowDxfId="1443">
  <tableColumns count="17">
    <tableColumn id="1" xr3:uid="{64C74D9C-80FF-4A68-BA5C-B3B3DF6614E2}" name="HART" totalsRowLabel=" TOTAL " dataDxfId="1442" totalsRowDxfId="1441"/>
    <tableColumn id="2" xr3:uid="{66013452-5166-4C6C-9D62-AFEA083B826D}" name="2024" totalsRowFunction="average" dataDxfId="1440" totalsRowDxfId="1439">
      <calculatedColumnFormula>IF(DONNÉES!AY44="","",DONNÉES!AY44)</calculatedColumnFormula>
    </tableColumn>
    <tableColumn id="3" xr3:uid="{9B830424-0566-4FA6-B6F4-D478D12F7266}" name="2023" totalsRowFunction="average" dataDxfId="1438" totalsRowDxfId="1437">
      <calculatedColumnFormula>IF(TRDHART[[#This Row],[2024]]="","",DONNÉES!AZ44)</calculatedColumnFormula>
    </tableColumn>
    <tableColumn id="4" xr3:uid="{E51FBA64-E94A-408A-86D9-9DA626D547E9}" name="2024 cumul" totalsRowFunction="average" dataDxfId="1436" totalsRowDxfId="1435">
      <calculatedColumnFormula>IF(TRDHART[[#This Row],[2024]]="","",DONNÉES!AY124)</calculatedColumnFormula>
    </tableColumn>
    <tableColumn id="5" xr3:uid="{EF71BEA4-6C8E-4F4F-98F3-BCC619D68BA7}" name="2023 cumul" totalsRowFunction="average" dataDxfId="1434" totalsRowDxfId="1433">
      <calculatedColumnFormula>IF(TRDHART[[#This Row],[2024]]="","",DONNÉES!AZ124)</calculatedColumnFormula>
    </tableColumn>
    <tableColumn id="8" xr3:uid="{161702B9-A17C-46C0-827C-E79FB6166369}" name="2024  " totalsRowFunction="average" dataDxfId="1432" totalsRowDxfId="1431">
      <calculatedColumnFormula>IF(TRDHART[[#This Row],[2024]]="","",DONNÉES!AY60)</calculatedColumnFormula>
    </tableColumn>
    <tableColumn id="9" xr3:uid="{69AC964D-FFFD-4D96-ABD9-F13F715C2985}" name="2023  " totalsRowFunction="average" dataDxfId="1430" totalsRowDxfId="1429">
      <calculatedColumnFormula>IF(TRDHART[[#This Row],[2024]]="","",DONNÉES!AZ60)</calculatedColumnFormula>
    </tableColumn>
    <tableColumn id="6" xr3:uid="{A2663C10-7D11-4B29-A69F-74B47E9C24D0}" name="2024 cumul " totalsRowFunction="average" dataDxfId="1428" totalsRowDxfId="1427">
      <calculatedColumnFormula>IF(TRDHART[[#This Row],[2024]]="","",DONNÉES!AY140)</calculatedColumnFormula>
    </tableColumn>
    <tableColumn id="7" xr3:uid="{13C1CB05-513A-4B33-BA60-96F07B2BA3EC}" name="2023 cumul " totalsRowFunction="average" dataDxfId="1426" totalsRowDxfId="1425">
      <calculatedColumnFormula>IF(TRDHART[[#This Row],[2024]]="","",DONNÉES!AZ140)</calculatedColumnFormula>
    </tableColumn>
    <tableColumn id="17" xr3:uid="{33428C05-0923-4653-A57E-03139CD694D2}" name="2024   " totalsRowFunction="average" dataDxfId="1424" totalsRowDxfId="1423">
      <calculatedColumnFormula>IF(TRDHART[[#This Row],[2024]]="","",DONNÉES!AY76)</calculatedColumnFormula>
    </tableColumn>
    <tableColumn id="16" xr3:uid="{7F298353-658C-454B-9319-1F1A411BF2BC}" name="2023   " totalsRowFunction="average" dataDxfId="1422" totalsRowDxfId="1421">
      <calculatedColumnFormula>IF(TRDHART[[#This Row],[2024]]="","",DONNÉES!AZ76)</calculatedColumnFormula>
    </tableColumn>
    <tableColumn id="15" xr3:uid="{A7A9209C-3001-42E0-A7F2-9724FC692F09}" name="2024 cumul   " totalsRowFunction="average" dataDxfId="1420" totalsRowDxfId="1419">
      <calculatedColumnFormula>IF(TRDHART[[#This Row],[2024]]="","",DONNÉES!AY156)</calculatedColumnFormula>
    </tableColumn>
    <tableColumn id="14" xr3:uid="{4C0B96C0-8368-4E2D-A263-327F8C77DDD4}" name="2023 cumul   " totalsRowFunction="average" dataDxfId="1418" totalsRowDxfId="1417">
      <calculatedColumnFormula>IF(TRDHART[[#This Row],[2024]]="","",DONNÉES!AZ156)</calculatedColumnFormula>
    </tableColumn>
    <tableColumn id="13" xr3:uid="{01B4B5C1-F346-4588-B1D2-D37125F70922}" name="2024    " totalsRowFunction="average" dataDxfId="1416" totalsRowDxfId="1415">
      <calculatedColumnFormula>IF(TRDHART[[#This Row],[2024]]="","",DONNÉES!AY92)</calculatedColumnFormula>
    </tableColumn>
    <tableColumn id="12" xr3:uid="{1F451A1F-32DB-4420-BE27-E42280D6D208}" name="2023    " totalsRowFunction="average" dataDxfId="1414" totalsRowDxfId="1413">
      <calculatedColumnFormula>IF(TRDHART[[#This Row],[2024]]="","",DONNÉES!AZ92)</calculatedColumnFormula>
    </tableColumn>
    <tableColumn id="11" xr3:uid="{04593B7D-6413-4CD7-A25F-4A52E1753BFE}" name="2024 cumul    " totalsRowFunction="average" dataDxfId="1412" totalsRowDxfId="1411">
      <calculatedColumnFormula>IF(TRDHART[[#This Row],[2024]]="","",DONNÉES!AY172)</calculatedColumnFormula>
    </tableColumn>
    <tableColumn id="10" xr3:uid="{CA91DB17-1005-4A5A-9983-7AAAB3DB8DAD}" name="2023 cumul    " totalsRowFunction="average" dataDxfId="1410" totalsRowDxfId="1409">
      <calculatedColumnFormula>IF(TRDHART[[#This Row],[2024]]="","",DONNÉES!AZ172)</calculatedColumnFormula>
    </tableColumn>
  </tableColumns>
  <tableStyleInfo name="TableStyleMedium10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7ED7561B-0732-41D6-9F98-27B525DA5B1F}" name="TRDTHART" displayName="TRDTHART" ref="S82:V94" headerRowDxfId="1408" dataDxfId="1407" totalsRowDxfId="1406" headerRowCellStyle="Normal 5">
  <tableColumns count="4">
    <tableColumn id="2" xr3:uid="{218FE405-D37F-4B1C-814A-4AD8C50F947F}" name="2024" totalsRowFunction="average" dataDxfId="1405" totalsRowDxfId="1404">
      <calculatedColumnFormula>IF(TRDHART[[#This Row],[2024]]="","",DONNÉES!AY108)</calculatedColumnFormula>
    </tableColumn>
    <tableColumn id="3" xr3:uid="{D72DA560-AE1F-48F4-8288-889BA1F44A42}" name="2023" totalsRowFunction="average" dataDxfId="1403" totalsRowDxfId="1402">
      <calculatedColumnFormula>IF(TRDHART[[#This Row],[2024]]="","",DONNÉES!AZ108)</calculatedColumnFormula>
    </tableColumn>
    <tableColumn id="4" xr3:uid="{26EF0BD1-D6C8-4271-98EE-D9B7A2FFA264}" name="2024 cumul" totalsRowFunction="average" dataDxfId="1401" totalsRowDxfId="1400">
      <calculatedColumnFormula>IF(TRDHART[[#This Row],[2024]]="","",DONNÉES!AY188)</calculatedColumnFormula>
    </tableColumn>
    <tableColumn id="1" xr3:uid="{BF7C9C7B-057A-4474-AD5A-08A64BCDA068}" name="2023 cumul" totalsRowFunction="average" dataDxfId="1399" totalsRowDxfId="1398">
      <calculatedColumnFormula>IF(TRDHART[[#This Row],[2024]]="","",DONNÉES!AZ188)</calculatedColumnFormula>
    </tableColumn>
  </tableColumns>
  <tableStyleInfo name="TableStyleMedium10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4194431-2298-4716-9BF6-3F703C80DBEF}" name="TRDVICTOIRE" displayName="TRDVICTOIRE" ref="A97:Q109" headerRowDxfId="1397" dataDxfId="1396" totalsRowDxfId="1395">
  <tableColumns count="17">
    <tableColumn id="1" xr3:uid="{3E73610F-ED22-45A7-A02D-01D09AD45867}" name="VICTOIRE'S" totalsRowLabel=" TOTAL " dataDxfId="1394" totalsRowDxfId="1393"/>
    <tableColumn id="2" xr3:uid="{963E6C1B-D5E9-45DD-BC9E-0D450B1F3555}" name="2024" totalsRowFunction="average" dataDxfId="1392" totalsRowDxfId="1391">
      <calculatedColumnFormula>IF(DONNÉES!BG44="","",DONNÉES!BG44)</calculatedColumnFormula>
    </tableColumn>
    <tableColumn id="3" xr3:uid="{054421C5-9845-46F8-879C-63D46F9EFAA3}" name="2023" totalsRowFunction="average" dataDxfId="1390" totalsRowDxfId="1389">
      <calculatedColumnFormula>IF(TRDVICTOIRE[[#This Row],[2024]]="","",DONNÉES!BH44)</calculatedColumnFormula>
    </tableColumn>
    <tableColumn id="4" xr3:uid="{444501F7-1E02-4376-A08C-542E30062DF3}" name="2024 cumul" totalsRowFunction="average" dataDxfId="1388" totalsRowDxfId="1387">
      <calculatedColumnFormula>IF(TRDVICTOIRE[[#This Row],[2024]]="","",DONNÉES!BG124)</calculatedColumnFormula>
    </tableColumn>
    <tableColumn id="5" xr3:uid="{41226C1A-2A02-45C2-B191-D5385D4D6DDA}" name="2023 cumul" totalsRowFunction="average" dataDxfId="1386" totalsRowDxfId="1385">
      <calculatedColumnFormula>IF(TRDVICTOIRE[[#This Row],[2024]]="","",DONNÉES!BH124)</calculatedColumnFormula>
    </tableColumn>
    <tableColumn id="8" xr3:uid="{240EE52C-018D-4DCA-9765-B0FA6765DA14}" name="2024  " totalsRowFunction="average" dataDxfId="1384" totalsRowDxfId="1383">
      <calculatedColumnFormula>IF(TRDVICTOIRE[[#This Row],[2024]]="","",DONNÉES!#REF!)</calculatedColumnFormula>
    </tableColumn>
    <tableColumn id="9" xr3:uid="{66542823-5B2A-4458-91B9-C84A2BB965C3}" name="2023  " totalsRowFunction="average" dataDxfId="1382" totalsRowDxfId="1381">
      <calculatedColumnFormula>IF(TRDVICTOIRE[[#This Row],[2024]]="","",DONNÉES!BH60)</calculatedColumnFormula>
    </tableColumn>
    <tableColumn id="6" xr3:uid="{9EB15D1D-516D-40B2-A43D-3300C53F8A90}" name="2024 cumul " totalsRowFunction="average" dataDxfId="1380" totalsRowDxfId="1379">
      <calculatedColumnFormula>IF(TRDVICTOIRE[[#This Row],[2024]]="","",DONNÉES!BG140)</calculatedColumnFormula>
    </tableColumn>
    <tableColumn id="17" xr3:uid="{2E853D76-E59F-46F4-A15F-DA977512C1A6}" name="2023 cumul " totalsRowFunction="average" dataDxfId="1378" totalsRowDxfId="1377">
      <calculatedColumnFormula>IF(TRDVICTOIRE[[#This Row],[2024]]="","",DONNÉES!BH140)</calculatedColumnFormula>
    </tableColumn>
    <tableColumn id="16" xr3:uid="{163E171F-627E-4C89-8878-22C85C99A8B0}" name="2024   " totalsRowFunction="average" dataDxfId="1376" totalsRowDxfId="1375">
      <calculatedColumnFormula>IF(TRDVICTOIRE[[#This Row],[2024]]="","",DONNÉES!BG76)</calculatedColumnFormula>
    </tableColumn>
    <tableColumn id="15" xr3:uid="{D28D64EC-5E3E-45B5-A6FF-0B0FB02458FF}" name="2023   " totalsRowFunction="average" dataDxfId="1374" totalsRowDxfId="1373">
      <calculatedColumnFormula>IF(TRDVICTOIRE[[#This Row],[2024]]="","",DONNÉES!BH76)</calculatedColumnFormula>
    </tableColumn>
    <tableColumn id="14" xr3:uid="{1B596B13-F140-47A2-A4DF-B8B4AEA7BF63}" name="2024 cumul   " totalsRowFunction="average" dataDxfId="1372" totalsRowDxfId="1371">
      <calculatedColumnFormula>IF(TRDVICTOIRE[[#This Row],[2024]]="","",DONNÉES!BG156)</calculatedColumnFormula>
    </tableColumn>
    <tableColumn id="13" xr3:uid="{A6FE06E3-D3B7-446B-B6DA-49AD6AD0E590}" name="2023 cumul   " totalsRowFunction="average" dataDxfId="1370" totalsRowDxfId="1369">
      <calculatedColumnFormula>IF(TRDVICTOIRE[[#This Row],[2024]]="","",DONNÉES!BH156)</calculatedColumnFormula>
    </tableColumn>
    <tableColumn id="12" xr3:uid="{BC096B3F-4CDA-49E4-BF01-6CC4E75B7262}" name="2024    " totalsRowFunction="average" dataDxfId="1368" totalsRowDxfId="1367">
      <calculatedColumnFormula>IF(TRDVICTOIRE[[#This Row],[2024]]="","",DONNÉES!BG92)</calculatedColumnFormula>
    </tableColumn>
    <tableColumn id="11" xr3:uid="{860544D7-AD56-4B69-A9E5-62769DA655E7}" name="2023    " totalsRowFunction="average" dataDxfId="1366" totalsRowDxfId="1365">
      <calculatedColumnFormula>IF(TRDVICTOIRE[[#This Row],[2024]]="","",DONNÉES!BH92)</calculatedColumnFormula>
    </tableColumn>
    <tableColumn id="10" xr3:uid="{77C511B0-95C8-470C-B4BC-D7B79BD1CC13}" name="2024 cumul    " totalsRowFunction="average" dataDxfId="1364" totalsRowDxfId="1363">
      <calculatedColumnFormula>IF(TRDVICTOIRE[[#This Row],[2024]]="","",DONNÉES!BG172)</calculatedColumnFormula>
    </tableColumn>
    <tableColumn id="7" xr3:uid="{C512F94A-4DA4-4EA3-AB89-17B67BF4F4DD}" name="2023 cumul    " totalsRowFunction="average" dataDxfId="1362" totalsRowDxfId="1361">
      <calculatedColumnFormula>IF(TRDVICTOIRE[[#This Row],[2024]]="","",DONNÉES!BH172)</calculatedColumnFormula>
    </tableColumn>
  </tableColumns>
  <tableStyleInfo name="TableStyleMedium1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E596D123-9007-4012-A429-024417E55FDB}" name="TRDTVICTOIRE" displayName="TRDTVICTOIRE" ref="S97:V109" headerRowDxfId="1360" dataDxfId="1359" totalsRowDxfId="1358" headerRowCellStyle="Normal 5">
  <tableColumns count="4">
    <tableColumn id="2" xr3:uid="{EF4737A4-F961-463C-91A8-5AE5795B42CF}" name="2024" totalsRowFunction="average" dataDxfId="1357" totalsRowDxfId="1356">
      <calculatedColumnFormula>IF(TRDVICTOIRE[[#This Row],[2024]]="","",DONNÉES!BG108)</calculatedColumnFormula>
    </tableColumn>
    <tableColumn id="3" xr3:uid="{5A6B8914-7C56-4736-94D1-C73D986A0E0E}" name="2023" totalsRowFunction="average" dataDxfId="1355" totalsRowDxfId="1354">
      <calculatedColumnFormula>IF(TRDVICTOIRE[[#This Row],[2024]]="","",DONNÉES!BH108)</calculatedColumnFormula>
    </tableColumn>
    <tableColumn id="4" xr3:uid="{05038377-E8A7-4B65-980A-096BBB0AFB56}" name="2024 cumul" totalsRowFunction="average" dataDxfId="1353" totalsRowDxfId="1352">
      <calculatedColumnFormula>IF(TRDVICTOIRE[[#This Row],[2024]]="","",DONNÉES!BG188)</calculatedColumnFormula>
    </tableColumn>
    <tableColumn id="6" xr3:uid="{010BA947-ED30-40BD-86EF-EB3426EB87DA}" name="2023 cumul" totalsRowFunction="average" dataDxfId="1351" totalsRowDxfId="1350">
      <calculatedColumnFormula>IF(TRDVICTOIRE[[#This Row],[2024]]="","",DONNÉES!BH188)</calculatedColumnFormula>
    </tableColumn>
  </tableColumns>
  <tableStyleInfo name="TableStyleMedium1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B569BE05-4555-44CF-88D6-7378675EE686}" name="TRDARTHUR" displayName="TRDARTHUR" ref="A173:Q185" headerRowDxfId="1349" dataDxfId="1348" totalsRowDxfId="1347">
  <tableColumns count="17">
    <tableColumn id="1" xr3:uid="{F9BAB3CC-E776-4182-9EA6-7A7608EEE5EB}" name="ARTHUR" totalsRowLabel=" TOTAL " dataDxfId="1346" totalsRowDxfId="1345"/>
    <tableColumn id="2" xr3:uid="{E53959E2-4BE5-4A0B-8B7D-8A5B87AC0127}" name="2024" totalsRowFunction="average" dataDxfId="1344" totalsRowDxfId="1343">
      <calculatedColumnFormula>IF(DONNÉES!CU44="","",DONNÉES!CU44)</calculatedColumnFormula>
    </tableColumn>
    <tableColumn id="3" xr3:uid="{C0F7425C-2D55-4874-8DE0-552CB6C9F3EE}" name="2023" totalsRowFunction="average" dataDxfId="1342" totalsRowDxfId="1341">
      <calculatedColumnFormula>IF(TRDARTHUR[[#This Row],[2024]]="","",DONNÉES!CV44)</calculatedColumnFormula>
    </tableColumn>
    <tableColumn id="4" xr3:uid="{CF5482E1-2A9A-47C8-B2CC-210FB4CAA011}" name="2024 cumul" totalsRowFunction="average" dataDxfId="1340" totalsRowDxfId="1339">
      <calculatedColumnFormula>IF(TRDARTHUR[[#This Row],[2024]]="","",DONNÉES!CU124)</calculatedColumnFormula>
    </tableColumn>
    <tableColumn id="5" xr3:uid="{9F045E14-90CA-4D8B-BE45-42BEDEEF5FA4}" name="2023 cumul" totalsRowFunction="average" dataDxfId="1338" totalsRowDxfId="1337">
      <calculatedColumnFormula>IF(TRDARTHUR[[#This Row],[2024]]="","",DONNÉES!CV124)</calculatedColumnFormula>
    </tableColumn>
    <tableColumn id="8" xr3:uid="{85BB1D7D-FE5B-41E6-B6B4-C21221D0C5E7}" name="2024  " totalsRowFunction="average" dataDxfId="1336" totalsRowDxfId="1335">
      <calculatedColumnFormula>IF(TRDARTHUR[[#This Row],[2024]]="","",DONNÉES!CU60)</calculatedColumnFormula>
    </tableColumn>
    <tableColumn id="9" xr3:uid="{91C6B141-0570-45DA-8B85-1615C23A4BB2}" name="2023  " totalsRowFunction="average" dataDxfId="1334" totalsRowDxfId="1333">
      <calculatedColumnFormula>IF(TRDARTHUR[[#This Row],[2024]]="","",DONNÉES!CV60)</calculatedColumnFormula>
    </tableColumn>
    <tableColumn id="6" xr3:uid="{8F29FD37-443B-4A9B-A09E-A003CDA15B17}" name="2024 cumul " totalsRowFunction="average" dataDxfId="1332" totalsRowDxfId="1331">
      <calculatedColumnFormula>IF(TRDARTHUR[[#This Row],[2024]]="","",DONNÉES!CU140)</calculatedColumnFormula>
    </tableColumn>
    <tableColumn id="7" xr3:uid="{8B79EE6A-77ED-4997-B66F-B0AE4A2C3A21}" name="2023 cumul " totalsRowFunction="average" dataDxfId="1330" totalsRowDxfId="1329">
      <calculatedColumnFormula>IF(TRDARTHUR[[#This Row],[2024]]="","",DONNÉES!CV140)</calculatedColumnFormula>
    </tableColumn>
    <tableColumn id="17" xr3:uid="{3931D521-CFA1-4179-8DE9-620CF6894100}" name="2024   " totalsRowFunction="average" dataDxfId="1328" totalsRowDxfId="1327">
      <calculatedColumnFormula>IF(TRDARTHUR[[#This Row],[2024]]="","",DONNÉES!CU76)</calculatedColumnFormula>
    </tableColumn>
    <tableColumn id="16" xr3:uid="{348F1CC2-4C70-4A7E-A3BA-24AD44520802}" name="2023   " totalsRowFunction="average" dataDxfId="1326" totalsRowDxfId="1325">
      <calculatedColumnFormula>IF(TRDARTHUR[[#This Row],[2024]]="","",DONNÉES!CV76)</calculatedColumnFormula>
    </tableColumn>
    <tableColumn id="15" xr3:uid="{B67EA17F-8CDA-4195-9867-E7C823854F38}" name="2024 cumul   " totalsRowFunction="average" dataDxfId="1324" totalsRowDxfId="1323">
      <calculatedColumnFormula>IF(TRDARTHUR[[#This Row],[2024]]="","",DONNÉES!CU156)</calculatedColumnFormula>
    </tableColumn>
    <tableColumn id="14" xr3:uid="{DA1FFBF7-B708-450D-9AEB-7BCE6DDD8B19}" name="2023 cumul   " totalsRowFunction="average" dataDxfId="1322" totalsRowDxfId="1321">
      <calculatedColumnFormula>IF(TRDARTHUR[[#This Row],[2024]]="","",DONNÉES!CV156)</calculatedColumnFormula>
    </tableColumn>
    <tableColumn id="13" xr3:uid="{B462ECC4-5D81-4C33-9FD6-FAEBB3945B99}" name="2024    " totalsRowFunction="average" dataDxfId="1320" totalsRowDxfId="1319">
      <calculatedColumnFormula>IF(TRDARTHUR[[#This Row],[2024]]="","",DONNÉES!CU92)</calculatedColumnFormula>
    </tableColumn>
    <tableColumn id="12" xr3:uid="{01CBC3B7-5206-4BD0-BD6E-90ED213EA1DB}" name="2023    " totalsRowFunction="average" dataDxfId="1318" totalsRowDxfId="1317">
      <calculatedColumnFormula>IF(TRDARTHUR[[#This Row],[2024]]="","",DONNÉES!CV92)</calculatedColumnFormula>
    </tableColumn>
    <tableColumn id="11" xr3:uid="{199DB825-758C-4955-AAEF-4C780FF29A01}" name="2024 cumul    " totalsRowFunction="average" dataDxfId="1316" totalsRowDxfId="1315">
      <calculatedColumnFormula>IF(TRDARTHUR[[#This Row],[2024]]="","",DONNÉES!CU172)</calculatedColumnFormula>
    </tableColumn>
    <tableColumn id="10" xr3:uid="{53056502-8035-4DAE-80F9-90B355199B57}" name="2023 cumul    " totalsRowFunction="average" dataDxfId="1314" totalsRowDxfId="1313">
      <calculatedColumnFormula>IF(TRDARTHUR[[#This Row],[2024]]="","",DONNÉES!CV172)</calculatedColumnFormula>
    </tableColumn>
  </tableColumns>
  <tableStyleInfo name="TableStyleMedium8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B48CD16A-50EB-4C3E-A89D-9B570CB7F034}" name="TRDTARTHUR" displayName="TRDTARTHUR" ref="S173:V185" headerRowDxfId="1312" dataDxfId="1311" totalsRowDxfId="1310" headerRowCellStyle="Normal 5">
  <tableColumns count="4">
    <tableColumn id="2" xr3:uid="{7D716956-2D89-419E-991A-C7259952035D}" name="2024" totalsRowFunction="average" dataDxfId="1309" totalsRowDxfId="1308">
      <calculatedColumnFormula>IF(TRDARTHUR[[#This Row],[2024]]="","",DONNÉES!CU108)</calculatedColumnFormula>
    </tableColumn>
    <tableColumn id="3" xr3:uid="{2F7AD51E-9B1B-4C2A-ABEB-497FAA3703B5}" name="2023" totalsRowFunction="average" dataDxfId="1307" totalsRowDxfId="1306">
      <calculatedColumnFormula>IF(TRDARTHUR[[#This Row],[2024]]="","",DONNÉES!CV108)</calculatedColumnFormula>
    </tableColumn>
    <tableColumn id="4" xr3:uid="{82099AA7-5C7E-432F-A098-4313C9EF771C}" name="2024 cumul" totalsRowFunction="average" dataDxfId="1305" totalsRowDxfId="1304">
      <calculatedColumnFormula>IF(TRDARTHUR[[#This Row],[2024]]="","",DONNÉES!CU188)</calculatedColumnFormula>
    </tableColumn>
    <tableColumn id="1" xr3:uid="{D18DB4E6-DD0E-466B-920D-4AE7A5F08B6F}" name="2023 cumul" totalsRowFunction="average" dataDxfId="1303" totalsRowDxfId="1302">
      <calculatedColumnFormula>IF(TRDARTHUR[[#This Row],[2024]]="","",DONNÉES!CV188)</calculatedColumnFormula>
    </tableColumn>
  </tableColumns>
  <tableStyleInfo name="TableStyleMedium8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4539912-DA43-4707-840F-2FCD29863472}" name="TRDHUGO" displayName="TRDHUGO" ref="A188:Q200" headerRowDxfId="1301" totalsRowDxfId="1300" headerRowCellStyle="Normal 5">
  <tableColumns count="17">
    <tableColumn id="1" xr3:uid="{578034CA-792D-426F-A475-0D5E8AB500AD}" name="HUGO" totalsRowLabel=" TOTAL " dataDxfId="1299" totalsRowDxfId="1298" dataCellStyle="Normal 5"/>
    <tableColumn id="2" xr3:uid="{68668775-6E4A-4E90-813C-0705DA82DB9F}" name="2024" totalsRowFunction="average" dataDxfId="1297" totalsRowDxfId="1296" dataCellStyle="Milliers">
      <calculatedColumnFormula>IF(DONNÉES!CM44="","",DONNÉES!CM44)</calculatedColumnFormula>
    </tableColumn>
    <tableColumn id="3" xr3:uid="{1198FFD5-8EC3-45B1-A1AB-E489301EA807}" name="2023" totalsRowFunction="average" dataDxfId="1295" totalsRowDxfId="1294" dataCellStyle="Milliers">
      <calculatedColumnFormula>IF(TRDHUGO[[#This Row],[2024]]="","",DONNÉES!CN44)</calculatedColumnFormula>
    </tableColumn>
    <tableColumn id="4" xr3:uid="{B68AC361-25B5-45FC-A6AE-5E69E546AD4D}" name="2024 cumul" totalsRowFunction="average" dataDxfId="1293" totalsRowDxfId="1292" dataCellStyle="Milliers">
      <calculatedColumnFormula>IF(TRDHUGO[[#This Row],[2024]]="","",DONNÉES!CM153)</calculatedColumnFormula>
    </tableColumn>
    <tableColumn id="5" xr3:uid="{9BE02CF5-FEA8-4CEB-A719-C2C37FB92B7F}" name="2023 cumul" totalsRowFunction="average" dataDxfId="1291" totalsRowDxfId="1290" dataCellStyle="Milliers">
      <calculatedColumnFormula>IF(TRDHUGO[[#This Row],[2024]]="","",DONNÉES!CN124)</calculatedColumnFormula>
    </tableColumn>
    <tableColumn id="8" xr3:uid="{D614CB14-3BDE-43F4-9BA7-6DFBB4443B54}" name="2024  " totalsRowFunction="average" dataDxfId="1289" totalsRowDxfId="1288" dataCellStyle="Milliers">
      <calculatedColumnFormula>IF(TRDHUGO[[#This Row],[2024]]="","",DONNÉES!CM60)</calculatedColumnFormula>
    </tableColumn>
    <tableColumn id="9" xr3:uid="{F64168D5-08E8-4C97-B0F9-6E6EDE4BC2EA}" name="2023  " totalsRowFunction="average" dataDxfId="1287" totalsRowDxfId="1286" dataCellStyle="Milliers">
      <calculatedColumnFormula>IF(TRDHUGO[[#This Row],[2024]]="","",DONNÉES!CN60)</calculatedColumnFormula>
    </tableColumn>
    <tableColumn id="6" xr3:uid="{C771802F-31F1-4906-BD39-664F79AC0DA7}" name="2024 cumul " totalsRowFunction="average" dataDxfId="1285" totalsRowDxfId="1284" dataCellStyle="Milliers">
      <calculatedColumnFormula>IF(TRDHUGO[[#This Row],[2024]]="","",DONNÉES!CM140)</calculatedColumnFormula>
    </tableColumn>
    <tableColumn id="7" xr3:uid="{5CF8F423-6D23-41A3-A6AD-0F27A400C4FB}" name="2023 cumul " totalsRowFunction="average" dataDxfId="1283" totalsRowDxfId="1282" dataCellStyle="Milliers">
      <calculatedColumnFormula>IF(TRDHUGO[[#This Row],[2024]]="","",DONNÉES!CN140)</calculatedColumnFormula>
    </tableColumn>
    <tableColumn id="17" xr3:uid="{06BFE556-AE50-4EF0-B4EF-A6CCFA783796}" name="2024   " totalsRowFunction="average" dataDxfId="1281" totalsRowDxfId="1280" dataCellStyle="Milliers">
      <calculatedColumnFormula>IF(TRDHUGO[[#This Row],[2024]]="","",DONNÉES!CM76)</calculatedColumnFormula>
    </tableColumn>
    <tableColumn id="16" xr3:uid="{B2761B84-BB4B-4619-B906-D362941F94A7}" name="2023   " totalsRowFunction="average" dataDxfId="1279" totalsRowDxfId="1278" dataCellStyle="Milliers">
      <calculatedColumnFormula>IF(TRDHUGO[[#This Row],[2024]]="","",DONNÉES!CN76)</calculatedColumnFormula>
    </tableColumn>
    <tableColumn id="15" xr3:uid="{0C679441-DD7B-4E14-B564-DA4D88503739}" name="2024 cumul   " totalsRowFunction="average" dataDxfId="1277" totalsRowDxfId="1276" dataCellStyle="Milliers">
      <calculatedColumnFormula>IF(TRDHUGO[[#This Row],[2024]]="","",DONNÉES!CM156)</calculatedColumnFormula>
    </tableColumn>
    <tableColumn id="14" xr3:uid="{D5994685-8800-450D-AEB0-718FC4980EEA}" name="2023 cumul   " totalsRowFunction="average" dataDxfId="1275" totalsRowDxfId="1274" dataCellStyle="Milliers">
      <calculatedColumnFormula>IF(TRDHUGO[[#This Row],[2024]]="","",DONNÉES!CN156)</calculatedColumnFormula>
    </tableColumn>
    <tableColumn id="13" xr3:uid="{97E8DDD3-0978-43C6-BABF-D7833C77D842}" name="2024    " totalsRowFunction="average" dataDxfId="1273" totalsRowDxfId="1272" dataCellStyle="Milliers">
      <calculatedColumnFormula>IF(TRDHUGO[[#This Row],[2024]]="","",DONNÉES!CM92)</calculatedColumnFormula>
    </tableColumn>
    <tableColumn id="12" xr3:uid="{C11484FC-8FE2-44A3-80E6-63A07D6B3294}" name="2023    " totalsRowFunction="average" dataDxfId="1271" totalsRowDxfId="1270" dataCellStyle="Milliers">
      <calculatedColumnFormula>IF(TRDHUGO[[#This Row],[2024]]="","",DONNÉES!CN92)</calculatedColumnFormula>
    </tableColumn>
    <tableColumn id="11" xr3:uid="{FC0480A6-3CF3-461B-B865-5E5FEF30206E}" name="2024 cumul    " totalsRowFunction="average" dataDxfId="1269" totalsRowDxfId="1268" dataCellStyle="Milliers">
      <calculatedColumnFormula>IF(TRDHUGO[[#This Row],[2024]]="","",DONNÉES!CM172)</calculatedColumnFormula>
    </tableColumn>
    <tableColumn id="10" xr3:uid="{49DDFF7E-FD90-4E68-BA07-FE2E75B0C87B}" name="2023 cumul    " totalsRowFunction="average" dataDxfId="1267" totalsRowDxfId="1266" dataCellStyle="Milliers">
      <calculatedColumnFormula>IF(TRDHUGO[[#This Row],[2024]]="","",DONNÉES!CN172)</calculatedColumnFormula>
    </tableColumn>
  </tableColumns>
  <tableStyleInfo name="TableStyleMedium11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9C9B8436-4FFE-4D29-AD90-589D8B490710}" name="TRDTHUGO" displayName="TRDTHUGO" ref="S188:V200" headerRowDxfId="1265" totalsRowDxfId="1263" tableBorderDxfId="1264" headerRowCellStyle="Normal 5">
  <tableColumns count="4">
    <tableColumn id="2" xr3:uid="{9FD2D046-8ECB-46F8-ACAA-81DFD385140E}" name="2024" totalsRowFunction="average" dataDxfId="1262" totalsRowDxfId="1261" dataCellStyle="Milliers">
      <calculatedColumnFormula>IF(TRDHUGO[[#This Row],[2024]]="","",DONNÉES!CM108)</calculatedColumnFormula>
    </tableColumn>
    <tableColumn id="3" xr3:uid="{DB977758-AA25-4CED-8E01-D771548D1316}" name="2023" totalsRowFunction="average" dataDxfId="1260" totalsRowDxfId="1259" dataCellStyle="Milliers">
      <calculatedColumnFormula>IF(TRDHUGO[[#This Row],[2024]]="","",DONNÉES!CN108)</calculatedColumnFormula>
    </tableColumn>
    <tableColumn id="4" xr3:uid="{A1C1C18C-5105-43E7-8FF1-4EF5F975727B}" name="2024 cumul" totalsRowFunction="average" dataDxfId="1258" totalsRowDxfId="1257" dataCellStyle="Milliers">
      <calculatedColumnFormula>IF(TRDHUGO[[#This Row],[2024]]="","",DONNÉES!CM188)</calculatedColumnFormula>
    </tableColumn>
    <tableColumn id="1" xr3:uid="{FEC6CC69-A47C-49D0-A59B-218D83F2CCDC}" name="2023 cumul" totalsRowFunction="average" dataDxfId="1256" totalsRowDxfId="1255" dataCellStyle="Milliers">
      <calculatedColumnFormula>IF(TRDHUGO[[#This Row],[2024]]="","",DONNÉES!CN188)</calculatedColumnFormula>
    </tableColumn>
  </tableColumns>
  <tableStyleInfo name="TableStyleMedium11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9579174-EE0C-4C77-80B8-5C3D2EFB8CAF}" name="TRDJEANCLO" displayName="TRDJEANCLO" ref="A203:Q215" headerRowDxfId="1254" totalsRowDxfId="1253" headerRowCellStyle="Normal 5">
  <tableColumns count="17">
    <tableColumn id="1" xr3:uid="{66DF34B8-EFE7-41A2-9894-80F7941ACB84}" name="JEANCLO" totalsRowLabel=" TOTAL " dataDxfId="1252" totalsRowDxfId="1251" dataCellStyle="Normal 5"/>
    <tableColumn id="2" xr3:uid="{455801F4-1AE1-4197-8D72-3FB14AA3AC0C}" name="2024" totalsRowFunction="average" dataDxfId="1250" totalsRowDxfId="1249" dataCellStyle="Milliers">
      <calculatedColumnFormula>IF(DONNÉES!DK44="","",DONNÉES!DK44)</calculatedColumnFormula>
    </tableColumn>
    <tableColumn id="3" xr3:uid="{032BB856-561A-49CC-842A-230D12AD7975}" name="2023" totalsRowFunction="average" dataDxfId="1248" totalsRowDxfId="1247" dataCellStyle="Milliers">
      <calculatedColumnFormula>IF(TRDJEANCLO[[#This Row],[2024]]="","",DONNÉES!DL44)</calculatedColumnFormula>
    </tableColumn>
    <tableColumn id="4" xr3:uid="{7B978D59-6B10-4B4C-8C6A-91B1E1278923}" name="2024 cumul" totalsRowFunction="average" dataDxfId="1246" totalsRowDxfId="1245" dataCellStyle="Milliers">
      <calculatedColumnFormula>IF(TRDJEANCLO[[#This Row],[2024]]="","",DONNÉES!DK124)</calculatedColumnFormula>
    </tableColumn>
    <tableColumn id="5" xr3:uid="{F23167BE-5F92-42B1-9B2F-638D4D259316}" name="2023 cumul" totalsRowFunction="average" dataDxfId="1244" totalsRowDxfId="1243" dataCellStyle="Milliers">
      <calculatedColumnFormula>IF(TRDJEANCLO[[#This Row],[2024]]="","",DONNÉES!DL124)</calculatedColumnFormula>
    </tableColumn>
    <tableColumn id="8" xr3:uid="{6018B489-22C2-404C-9E33-E459EAB29085}" name="2024  " totalsRowFunction="average" dataDxfId="1242" totalsRowDxfId="1241" dataCellStyle="Milliers">
      <calculatedColumnFormula>IF(TRDJEANCLO[[#This Row],[2024]]="","",DONNÉES!DK60)</calculatedColumnFormula>
    </tableColumn>
    <tableColumn id="9" xr3:uid="{EEDB477B-63B8-4178-BB1E-A88EF194BC74}" name="2023  " totalsRowFunction="average" dataDxfId="1240" totalsRowDxfId="1239" dataCellStyle="Milliers">
      <calculatedColumnFormula>IF(TRDJEANCLO[[#This Row],[2024]]="","",DONNÉES!DL60)</calculatedColumnFormula>
    </tableColumn>
    <tableColumn id="6" xr3:uid="{B562CECA-0FF8-4909-B520-58EC99A7691B}" name="2024 cumul " totalsRowFunction="average" dataDxfId="1238" totalsRowDxfId="1237" dataCellStyle="Milliers">
      <calculatedColumnFormula>IF(TRDJEANCLO[[#This Row],[2024]]="","",DONNÉES!DK140)</calculatedColumnFormula>
    </tableColumn>
    <tableColumn id="7" xr3:uid="{9DF40C04-C7C7-43B5-A6CC-A279DCDE2C60}" name="2023 cumul " totalsRowFunction="average" dataDxfId="1236" totalsRowDxfId="1235" dataCellStyle="Milliers">
      <calculatedColumnFormula>IF(TRDJEANCLO[[#This Row],[2024]]="","",DONNÉES!DL140)</calculatedColumnFormula>
    </tableColumn>
    <tableColumn id="17" xr3:uid="{37C310A5-0205-426A-87E2-EB342E31F2EF}" name="2024   " totalsRowFunction="average" dataDxfId="1234" totalsRowDxfId="1233" dataCellStyle="Milliers">
      <calculatedColumnFormula>IF(TRDJEANCLO[[#This Row],[2024]]="","",DONNÉES!DK76)</calculatedColumnFormula>
    </tableColumn>
    <tableColumn id="16" xr3:uid="{CE390EF9-CB99-43AD-965C-5368D1A5FE82}" name="2023   " totalsRowFunction="average" dataDxfId="1232" totalsRowDxfId="1231" dataCellStyle="Milliers">
      <calculatedColumnFormula>IF(TRDJEANCLO[[#This Row],[2024]]="","",DONNÉES!DL76)</calculatedColumnFormula>
    </tableColumn>
    <tableColumn id="15" xr3:uid="{A081C275-A80C-49B0-A1D1-D4EB226B6442}" name="2024 cumul   " totalsRowFunction="average" dataDxfId="1230" totalsRowDxfId="1229" dataCellStyle="Milliers">
      <calculatedColumnFormula>IF(TRDJEANCLO[[#This Row],[2024]]="","",DONNÉES!DK156)</calculatedColumnFormula>
    </tableColumn>
    <tableColumn id="14" xr3:uid="{D199727C-F8B0-47F9-BF12-38AE5D1F3F74}" name="2023 cumul   " totalsRowFunction="average" dataDxfId="1228" totalsRowDxfId="1227" dataCellStyle="Milliers">
      <calculatedColumnFormula>IF(TRDJEANCLO[[#This Row],[2024]]="","",DONNÉES!DL156)</calculatedColumnFormula>
    </tableColumn>
    <tableColumn id="13" xr3:uid="{03955C07-8CAE-4DDB-A991-F8D5A58FBB83}" name="2024    " totalsRowFunction="average" dataDxfId="1226" totalsRowDxfId="1225" dataCellStyle="Milliers">
      <calculatedColumnFormula>IF(TRDJEANCLO[[#This Row],[2024]]="","",DONNÉES!DK92)</calculatedColumnFormula>
    </tableColumn>
    <tableColumn id="12" xr3:uid="{F4E4BC00-71EB-461E-AD62-3D7AA81B3BFF}" name="2023    " totalsRowFunction="average" dataDxfId="1224" totalsRowDxfId="1223" dataCellStyle="Milliers">
      <calculatedColumnFormula>IF(TRDJEANCLO[[#This Row],[2024]]="","",DONNÉES!DL92)</calculatedColumnFormula>
    </tableColumn>
    <tableColumn id="11" xr3:uid="{1923F70F-5CDB-4C0D-A9FF-EAF02EA641DE}" name="2024 cumul    " totalsRowFunction="average" dataDxfId="1222" totalsRowDxfId="1221" dataCellStyle="Milliers">
      <calculatedColumnFormula>IF(TRDJEANCLO[[#This Row],[2024]]="","",DONNÉES!DK172)</calculatedColumnFormula>
    </tableColumn>
    <tableColumn id="10" xr3:uid="{452DE268-9ED4-4337-A0CA-628E4FA82F74}" name="2023 cumul    " totalsRowFunction="average" dataDxfId="1220" totalsRowDxfId="1219" dataCellStyle="Milliers">
      <calculatedColumnFormula>IF(TRDJEANCLO[[#This Row],[2024]]="","",DONNÉES!DL172)</calculatedColumnFormula>
    </tableColumn>
  </tableColumns>
  <tableStyleInfo name="TableStyleMedium11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857BB1C9-E428-4160-A4AE-8392B3B0EDCE}" name="TRDTJEANCLO" displayName="TRDTJEANCLO" ref="S203:V215" headerRowDxfId="1218" totalsRowDxfId="1217" headerRowCellStyle="Normal 5">
  <tableColumns count="4">
    <tableColumn id="2" xr3:uid="{C223173B-CD57-44D5-9210-95FF62D26630}" name="2024" totalsRowFunction="average" dataDxfId="1216" totalsRowDxfId="1215" dataCellStyle="Milliers">
      <calculatedColumnFormula>IF(TRDJEANCLO[[#This Row],[2024]]="","",DONNÉES!DK108)</calculatedColumnFormula>
    </tableColumn>
    <tableColumn id="3" xr3:uid="{0073CE64-ED1B-40C0-BE73-BB80AAA1DB67}" name="2023" totalsRowFunction="average" dataDxfId="1214" totalsRowDxfId="1213" dataCellStyle="Milliers">
      <calculatedColumnFormula>IF(TRDJEANCLO[[#This Row],[2024]]="","",DONNÉES!DL108)</calculatedColumnFormula>
    </tableColumn>
    <tableColumn id="4" xr3:uid="{4D344D15-9B65-44B4-8BC2-C5BE5DE8BF95}" name="2024 cumul" totalsRowFunction="average" dataDxfId="1212" totalsRowDxfId="1211" dataCellStyle="Milliers">
      <calculatedColumnFormula>IF(TRDJEANCLO[[#This Row],[2024]]="","",DONNÉES!DK188)</calculatedColumnFormula>
    </tableColumn>
    <tableColumn id="1" xr3:uid="{5F3A8D73-CCA5-4019-8337-2B71DD057E1E}" name="2023 cumul" totalsRowFunction="average" dataDxfId="1210" totalsRowDxfId="1209" dataCellStyle="Milliers">
      <calculatedColumnFormula>IF(TRDJEANCLO[[#This Row],[2024]]="","",DONNÉES!DL188)</calculatedColumnFormula>
    </tableColumn>
  </tableColumns>
  <tableStyleInfo name="TableStyleMedium11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26F6F043-E759-4B2B-97F6-FCE7EA2B188D}" name="TRDTHOMAS" displayName="TRDTHOMAS" ref="A218:Q230" headerRowDxfId="1208" dataDxfId="1207" totalsRowDxfId="1206">
  <tableColumns count="17">
    <tableColumn id="1" xr3:uid="{3443BABE-F2CD-43CC-AC40-14F55009D6CB}" name="THOMAS" totalsRowLabel=" TOTAL " dataDxfId="1205" totalsRowDxfId="1204"/>
    <tableColumn id="2" xr3:uid="{0482AF40-3693-4F24-91BF-D15CDE15794F}" name="2024" totalsRowFunction="average" dataDxfId="1203" totalsRowDxfId="1202">
      <calculatedColumnFormula>IF(DONNÉES!DS44="","",DONNÉES!DS44)</calculatedColumnFormula>
    </tableColumn>
    <tableColumn id="3" xr3:uid="{CC1CE5B0-8B33-41C4-9F2A-75FA2BEA8667}" name="2023" totalsRowFunction="average" dataDxfId="1201" totalsRowDxfId="1200">
      <calculatedColumnFormula>IF(TRDTHOMAS[[#This Row],[2024]]="","",DONNÉES!DT44)</calculatedColumnFormula>
    </tableColumn>
    <tableColumn id="4" xr3:uid="{25F2ADC0-FABF-4BFA-AF74-82DF882B839F}" name="2024 cumul" totalsRowFunction="average" dataDxfId="1199" totalsRowDxfId="1198">
      <calculatedColumnFormula>IF(TRDTHOMAS[[#This Row],[2024]]="","",DONNÉES!DS124)</calculatedColumnFormula>
    </tableColumn>
    <tableColumn id="5" xr3:uid="{F2414A3F-3C9A-4C45-887B-8C1499093A7D}" name="2023 cumul" totalsRowFunction="average" dataDxfId="1197" totalsRowDxfId="1196">
      <calculatedColumnFormula>IF(TRDTHOMAS[[#This Row],[2024]]="","",DONNÉES!DT124)</calculatedColumnFormula>
    </tableColumn>
    <tableColumn id="8" xr3:uid="{FA8C5EF5-8A2C-48EA-8EE4-8E0AF6A6A2BF}" name="2024  " totalsRowFunction="average" dataDxfId="1195" totalsRowDxfId="1194">
      <calculatedColumnFormula>IF(TRDTHOMAS[[#This Row],[2024]]="","",DONNÉES!DS60)</calculatedColumnFormula>
    </tableColumn>
    <tableColumn id="9" xr3:uid="{FDFC8A07-1C92-447A-8994-DA72742107C8}" name="2023  " totalsRowFunction="average" dataDxfId="1193" totalsRowDxfId="1192">
      <calculatedColumnFormula>IF(TRDTHOMAS[[#This Row],[2024]]="","",DONNÉES!DT60)</calculatedColumnFormula>
    </tableColumn>
    <tableColumn id="6" xr3:uid="{19B58EA3-B6E8-4227-B3DF-811E29B19CE3}" name="2024 cumul " totalsRowFunction="average" dataDxfId="1191" totalsRowDxfId="1190">
      <calculatedColumnFormula>IF(TRDTHOMAS[[#This Row],[2024]]="","",DONNÉES!DS140)</calculatedColumnFormula>
    </tableColumn>
    <tableColumn id="7" xr3:uid="{BE951EBC-3E72-4A30-8423-0912FAEEF0F8}" name="2023 cumul " totalsRowFunction="average" dataDxfId="1189" totalsRowDxfId="1188">
      <calculatedColumnFormula>IF(TRDTHOMAS[[#This Row],[2024]]="","",DONNÉES!DT140)</calculatedColumnFormula>
    </tableColumn>
    <tableColumn id="17" xr3:uid="{644023BE-F96C-48F1-A07D-E3E8CD2761AB}" name="2024   " totalsRowFunction="average" dataDxfId="1187" totalsRowDxfId="1186">
      <calculatedColumnFormula>IF(TRDTHOMAS[[#This Row],[2024]]="","",DONNÉES!DS76)</calculatedColumnFormula>
    </tableColumn>
    <tableColumn id="16" xr3:uid="{CF2722E4-E582-4826-9D4D-863EFDCC0F9C}" name="2023   " totalsRowFunction="average" dataDxfId="1185" totalsRowDxfId="1184">
      <calculatedColumnFormula>IF(TRDTHOMAS[[#This Row],[2024]]="","",DONNÉES!DT76)</calculatedColumnFormula>
    </tableColumn>
    <tableColumn id="15" xr3:uid="{AF24C0F9-C1FF-44AE-811E-95D90637C0DF}" name="2024 cumul   " totalsRowFunction="average" dataDxfId="1183" totalsRowDxfId="1182">
      <calculatedColumnFormula>IF(TRDTHOMAS[[#This Row],[2024]]="","",DONNÉES!DS156)</calculatedColumnFormula>
    </tableColumn>
    <tableColumn id="14" xr3:uid="{FAD19274-09A9-42DA-9EBC-B5EDC67743CA}" name="2023 cumul   " totalsRowFunction="average" dataDxfId="1181" totalsRowDxfId="1180">
      <calculatedColumnFormula>IF(TRDTHOMAS[[#This Row],[2024]]="","",DONNÉES!DT156)</calculatedColumnFormula>
    </tableColumn>
    <tableColumn id="13" xr3:uid="{DE4188CF-EE99-4D2D-B290-35383318FEA2}" name="2024    " totalsRowFunction="average" dataDxfId="1179" totalsRowDxfId="1178">
      <calculatedColumnFormula>IF(TRDTHOMAS[[#This Row],[2024]]="","",DONNÉES!DS92)</calculatedColumnFormula>
    </tableColumn>
    <tableColumn id="12" xr3:uid="{4645825B-6F8C-4FD0-8979-D641D530018B}" name="2023    " totalsRowFunction="average" dataDxfId="1177" totalsRowDxfId="1176">
      <calculatedColumnFormula>IF(TRDTHOMAS[[#This Row],[2024]]="","",DONNÉES!DT92)</calculatedColumnFormula>
    </tableColumn>
    <tableColumn id="11" xr3:uid="{84F52291-8B88-482E-A589-8417578F03BE}" name="2024 cumul    " totalsRowFunction="average" dataDxfId="1175" totalsRowDxfId="1174">
      <calculatedColumnFormula>IF(TRDTHOMAS[[#This Row],[2024]]="","",DONNÉES!DS172)</calculatedColumnFormula>
    </tableColumn>
    <tableColumn id="10" xr3:uid="{B17344CB-ED84-4C0C-BC51-487EB03F9228}" name="2023 cumul    " totalsRowFunction="average" dataDxfId="1173" totalsRowDxfId="1172">
      <calculatedColumnFormula>IF(TRDTHOMAS[[#This Row],[2024]]="","",DONNÉES!DT172)</calculatedColumnFormula>
    </tableColumn>
  </tableColumns>
  <tableStyleInfo name="TableStyleMedium13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CADA8262-A8E3-41C3-BF18-737B0A88CA86}" name="TRDTTHOMAS" displayName="TRDTTHOMAS" ref="S218:V230" headerRowDxfId="1171" dataDxfId="1170" totalsRowDxfId="1169" headerRowCellStyle="Normal 5">
  <tableColumns count="4">
    <tableColumn id="2" xr3:uid="{C4900502-51A5-49F2-96D5-D97F9B48C431}" name="2024" totalsRowFunction="average" dataDxfId="1168" totalsRowDxfId="1167">
      <calculatedColumnFormula>IF(TRDTHOMAS[[#This Row],[2024]]="","",DONNÉES!DS108)</calculatedColumnFormula>
    </tableColumn>
    <tableColumn id="3" xr3:uid="{BE27BB73-BFB9-4CFD-857E-E4BA52176242}" name="2023" totalsRowFunction="average" dataDxfId="1166" totalsRowDxfId="1165">
      <calculatedColumnFormula>IF(TRDTHOMAS[[#This Row],[2024]]="","",DONNÉES!DT108)</calculatedColumnFormula>
    </tableColumn>
    <tableColumn id="4" xr3:uid="{1E1785B1-EA14-4B38-83E7-AD397ED683F3}" name="2024 cumul" totalsRowFunction="average" dataDxfId="1164" totalsRowDxfId="1163">
      <calculatedColumnFormula>IF(TRDTHOMAS[[#This Row],[2024]]="","",DONNÉES!DS188)</calculatedColumnFormula>
    </tableColumn>
    <tableColumn id="1" xr3:uid="{FEE3E824-04C2-416A-85C5-9D17F1E01789}" name="2023 cumul" totalsRowFunction="average" dataDxfId="1162" totalsRowDxfId="1161">
      <calculatedColumnFormula>IF(TRDTHOMAS[[#This Row],[2024]]="","",DONNÉES!DT188)</calculatedColumnFormula>
    </tableColumn>
  </tableColumns>
  <tableStyleInfo name="TableStyleMedium13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9B9BFB76-3F4F-4DEE-88F0-40B025CD7D53}" name="TRDCAT" displayName="TRDCAT" ref="A233:Q245" headerRowDxfId="1160" dataDxfId="1159" totalsRowDxfId="1158">
  <tableColumns count="17">
    <tableColumn id="1" xr3:uid="{7D84C46A-FA26-4EB5-A7EE-10C791403B37}" name="CATALINA" totalsRowLabel=" TOTAL " dataDxfId="1157" totalsRowDxfId="1156"/>
    <tableColumn id="2" xr3:uid="{0470F297-1E3E-4F57-B35C-592E01297C92}" name="2024" totalsRowFunction="average" dataDxfId="1155" totalsRowDxfId="1154">
      <calculatedColumnFormula>IF(DONNÉES!EA44="","",DONNÉES!EA44)</calculatedColumnFormula>
    </tableColumn>
    <tableColumn id="3" xr3:uid="{B94ED78F-0429-4424-B869-B6CDCA2340C3}" name="2023" totalsRowFunction="average" dataDxfId="1153" totalsRowDxfId="1152">
      <calculatedColumnFormula>IF(TRDCAT[[#This Row],[2024]]="","",DONNÉES!EB44)</calculatedColumnFormula>
    </tableColumn>
    <tableColumn id="4" xr3:uid="{1BA5852D-316A-42B3-A598-836AF3778C84}" name="2024 cumul" totalsRowFunction="average" dataDxfId="1151" totalsRowDxfId="1150">
      <calculatedColumnFormula>IF(TRDCAT[[#This Row],[2024]]="","",DONNÉES!EA124)</calculatedColumnFormula>
    </tableColumn>
    <tableColumn id="5" xr3:uid="{15A03C6D-F009-43AD-A5B0-89A1E1F70403}" name="2023 cumul" totalsRowFunction="average" dataDxfId="1149" totalsRowDxfId="1148">
      <calculatedColumnFormula>IF(TRDCAT[[#This Row],[2024]]="","",DONNÉES!EB124)</calculatedColumnFormula>
    </tableColumn>
    <tableColumn id="8" xr3:uid="{CD3DB488-FFD3-493F-B976-27E511839FAA}" name="2024  " totalsRowFunction="average" dataDxfId="1147" totalsRowDxfId="1146">
      <calculatedColumnFormula>IF(TRDCAT[[#This Row],[2024]]="","",DONNÉES!EA60)</calculatedColumnFormula>
    </tableColumn>
    <tableColumn id="9" xr3:uid="{EFF56682-32D1-4381-965C-379E5FA253CE}" name="2023  " totalsRowFunction="average" dataDxfId="1145" totalsRowDxfId="1144">
      <calculatedColumnFormula>IF(TRDCAT[[#This Row],[2024]]="","",DONNÉES!EB60)</calculatedColumnFormula>
    </tableColumn>
    <tableColumn id="6" xr3:uid="{A657966B-B03B-48E6-9480-F6E680A2706F}" name="2024 cumul " totalsRowFunction="average" dataDxfId="1143" totalsRowDxfId="1142">
      <calculatedColumnFormula>IF(TRDCAT[[#This Row],[2024]]="","",DONNÉES!EA140)</calculatedColumnFormula>
    </tableColumn>
    <tableColumn id="7" xr3:uid="{B276B1EE-00FF-4D19-9268-147E8FB47B20}" name="2023 cumul " totalsRowFunction="average" dataDxfId="1141" totalsRowDxfId="1140">
      <calculatedColumnFormula>IF(TRDCAT[[#This Row],[2024]]="","",DONNÉES!EB140)</calculatedColumnFormula>
    </tableColumn>
    <tableColumn id="17" xr3:uid="{21B7A978-63B0-4A7B-A2A9-70D14D40C112}" name="2024   " totalsRowFunction="average" dataDxfId="1139" totalsRowDxfId="1138">
      <calculatedColumnFormula>IF(TRDCAT[[#This Row],[2024]]="","",DONNÉES!EA76)</calculatedColumnFormula>
    </tableColumn>
    <tableColumn id="16" xr3:uid="{23B9CC6C-5A1D-4545-AF6B-F5AC322A9CF4}" name="2023   " totalsRowFunction="average" dataDxfId="1137" totalsRowDxfId="1136">
      <calculatedColumnFormula>IF(TRDCAT[[#This Row],[2024]]="","",DONNÉES!EB76)</calculatedColumnFormula>
    </tableColumn>
    <tableColumn id="15" xr3:uid="{7A1CC12F-6F6B-4CC3-98EF-000BA825C301}" name="2024 cumul   " totalsRowFunction="average" dataDxfId="1135" totalsRowDxfId="1134">
      <calculatedColumnFormula>IF(TRDCAT[[#This Row],[2024]]="","",DONNÉES!EA156)</calculatedColumnFormula>
    </tableColumn>
    <tableColumn id="14" xr3:uid="{3ACD7F37-66A3-4390-A5C4-BDE7E29395FB}" name="2023 cumul   " totalsRowFunction="average" dataDxfId="1133" totalsRowDxfId="1132">
      <calculatedColumnFormula>IF(TRDCAT[[#This Row],[2024]]="","",DONNÉES!EB156)</calculatedColumnFormula>
    </tableColumn>
    <tableColumn id="13" xr3:uid="{F974C18A-1F9B-4866-BB62-7FD16025D38F}" name="2024    " totalsRowFunction="average" dataDxfId="1131" totalsRowDxfId="1130">
      <calculatedColumnFormula>IF(TRDCAT[[#This Row],[2024]]="","",DONNÉES!EA92)</calculatedColumnFormula>
    </tableColumn>
    <tableColumn id="12" xr3:uid="{99756ACC-E6A5-4D06-9536-EB1734FAE466}" name="2023    " totalsRowFunction="average" dataDxfId="1129" totalsRowDxfId="1128">
      <calculatedColumnFormula>IF(TRDCAT[[#This Row],[2024]]="","",DONNÉES!EB92)</calculatedColumnFormula>
    </tableColumn>
    <tableColumn id="11" xr3:uid="{16610A9A-BF20-4726-88D3-32475502F4C7}" name="2024 cumul    " totalsRowFunction="average" dataDxfId="1127" totalsRowDxfId="1126">
      <calculatedColumnFormula>IF(TRDCAT[[#This Row],[2024]]="","",DONNÉES!EA172)</calculatedColumnFormula>
    </tableColumn>
    <tableColumn id="10" xr3:uid="{E66449B1-C013-4115-B914-C17CC7E26F65}" name="2023 cumul    " totalsRowFunction="average" dataDxfId="1125" totalsRowDxfId="1124">
      <calculatedColumnFormula>IF(TRDCAT[[#This Row],[2024]]="","",DONNÉES!EB172)</calculatedColumnFormula>
    </tableColumn>
  </tableColumns>
  <tableStyleInfo name="TableStyleMedium13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891D3ED2-7463-45A1-95F1-F74C3F187E54}" name="TRDTCAT" displayName="TRDTCAT" ref="S233:V245" headerRowDxfId="1123" dataDxfId="1122" totalsRowDxfId="1121" headerRowCellStyle="Normal 5">
  <tableColumns count="4">
    <tableColumn id="2" xr3:uid="{60276B13-C06A-43A5-85DB-EEDAA3175428}" name="2024" totalsRowFunction="average" dataDxfId="1120" totalsRowDxfId="1119">
      <calculatedColumnFormula>IF(TRDCAT[[#This Row],[2024]]="","",DONNÉES!EA108)</calculatedColumnFormula>
    </tableColumn>
    <tableColumn id="3" xr3:uid="{F87BB445-20E4-4AE6-8E39-B2C16918C059}" name="2023" totalsRowFunction="average" dataDxfId="1118" totalsRowDxfId="1117">
      <calculatedColumnFormula>IF(TRDCAT[[#This Row],[2024]]="","",DONNÉES!EB108)</calculatedColumnFormula>
    </tableColumn>
    <tableColumn id="4" xr3:uid="{D3C2EAFD-22DE-42DC-AD36-A9FF6A33C9FC}" name="2024 cumul" totalsRowFunction="average" dataDxfId="1116" totalsRowDxfId="1115">
      <calculatedColumnFormula>IF(TRDCAT[[#This Row],[2024]]="","",DONNÉES!EA188)</calculatedColumnFormula>
    </tableColumn>
    <tableColumn id="1" xr3:uid="{020242C5-F427-41D9-9D77-81428C7BEA7E}" name="2023 cumul" totalsRowFunction="average" dataDxfId="1114" totalsRowDxfId="1113">
      <calculatedColumnFormula>IF(TRDCAT[[#This Row],[2024]]="","",DONNÉES!EB188)</calculatedColumnFormula>
    </tableColumn>
  </tableColumns>
  <tableStyleInfo name="TableStyleMedium13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AD4765B-38CD-4E37-A6A5-A7F95374BED1}" name="TRBIGNALET" displayName="TRBIGNALET" ref="A65:G78" totalsRowCount="1" headerRowDxfId="1112" dataDxfId="1111" totalsRowDxfId="1110">
  <tableColumns count="7">
    <tableColumn id="1" xr3:uid="{FD2DE22D-A7FB-40C6-9239-4C249160E564}" name="R3 14" totalsRowLabel=" TOTAL " dataDxfId="1109" totalsRowDxfId="1108"/>
    <tableColumn id="2" xr3:uid="{E1924577-A1D0-4273-B4B5-5D43979AABDF}" name="2024" totalsRowFunction="sum" dataDxfId="1107" totalsRowDxfId="1106">
      <calculatedColumnFormula>IF(DONNÉES!CE108="","",DONNÉES!CE108)</calculatedColumnFormula>
    </tableColumn>
    <tableColumn id="3" xr3:uid="{E05C8E4A-3521-4714-9699-82D040EA79E3}" name="2023" totalsRowFunction="sum" dataDxfId="1105" totalsRowDxfId="1104">
      <calculatedColumnFormula>IF(TRBIGNALET[[#This Row],[2024]]="","",DONNÉES!CF108)</calculatedColumnFormula>
    </tableColumn>
    <tableColumn id="4" xr3:uid="{55941267-D499-4FF7-A259-C79AE3BD3320}" name="Variat." dataDxfId="1103" totalsRowDxfId="1102">
      <calculatedColumnFormula>IF(TRBIGNALET[[#This Row],[2024]]="","",(TRBIGNALET[[#This Row],[2024]]-TRBIGNALET[[#This Row],[2023]])/TRBIGNALET[[#This Row],[2023]])</calculatedColumnFormula>
    </tableColumn>
    <tableColumn id="5" xr3:uid="{B769313A-833D-4C34-921C-7579C95517C9}" name="Cumulé 2024" dataDxfId="1101" totalsRowDxfId="1100">
      <calculatedColumnFormula>IF(TRBIGNALET[[#This Row],[2024]]="","",TRBIGNALET[[#This Row],[2024]]+E65)</calculatedColumnFormula>
    </tableColumn>
    <tableColumn id="6" xr3:uid="{D7695EC9-0BFE-40F3-8A6F-CAC1F7D45E66}" name="Cumulé 2023" dataDxfId="1099" totalsRowDxfId="1098">
      <calculatedColumnFormula>IF(TRBIGNALET[[#This Row],[2024]]="","",+TRBIGNALET[[#This Row],[2023]])</calculatedColumnFormula>
    </tableColumn>
    <tableColumn id="7" xr3:uid="{0F2EA47A-4922-47F4-B43F-205ED0D11524}" name="Cumulé variat." dataDxfId="1097" totalsRowDxfId="1096">
      <calculatedColumnFormula>IF(TRBIGNALET[[#This Row],[Cumulé 2024]]="","",+(TRBIGNALET[[#This Row],[Cumulé 2024]]-TRBIGNALET[[#This Row],[Cumulé 2023]])/TRBIGNALET[[#This Row],[Cumulé 2023]])</calculatedColumnFormula>
    </tableColumn>
  </tableColumns>
  <tableStyleInfo name="TableStyleMedium10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7ADA8CB-A39B-474A-94AC-810B6944602A}" name="TRDIVES" displayName="TRDIVES" ref="A80:G93" totalsRowCount="1" headerRowDxfId="1095" dataDxfId="1094" totalsRowDxfId="1093">
  <tableColumns count="7">
    <tableColumn id="1" xr3:uid="{CC155187-8233-41FF-8E53-E412CE5DBB4D}" name="TL DIVES" totalsRowLabel="  TOTAL  " dataDxfId="1092" totalsRowDxfId="1091"/>
    <tableColumn id="2" xr3:uid="{2D94DA7A-EA85-49C7-87FD-B7138B0C2277}" name="2024" totalsRowFunction="sum" dataDxfId="1090" totalsRowDxfId="1089">
      <calculatedColumnFormula>IF(DONNÉES!BW108="","",DONNÉES!BW108)</calculatedColumnFormula>
    </tableColumn>
    <tableColumn id="3" xr3:uid="{78F1A303-9F63-421D-A97D-6EB38BCD1F8E}" name="2023" totalsRowFunction="sum" dataDxfId="1088" totalsRowDxfId="1087">
      <calculatedColumnFormula>IF(TRDIVES[[#This Row],[2024]]="","",DONNÉES!BX108)</calculatedColumnFormula>
    </tableColumn>
    <tableColumn id="4" xr3:uid="{FAD3C5D6-5499-436E-B6C9-191F066B1847}" name="Variat." dataDxfId="1086" totalsRowDxfId="1085">
      <calculatedColumnFormula>IF(TRDIVES[[#This Row],[2024]]="","",(TRDIVES[[#This Row],[2024]]-TRDIVES[[#This Row],[2023]])/TRDIVES[[#This Row],[2023]])</calculatedColumnFormula>
    </tableColumn>
    <tableColumn id="5" xr3:uid="{59672FF9-9169-4DFF-89AC-CC5413549151}" name="Cumulé 2024" dataDxfId="1084" totalsRowDxfId="1083">
      <calculatedColumnFormula>IF(TRDIVES[[#This Row],[2024]]="","",TRDIVES[[#This Row],[2024]]+E80)</calculatedColumnFormula>
    </tableColumn>
    <tableColumn id="6" xr3:uid="{AD14EFA5-40D7-459C-AD2D-6A9C81EBA985}" name="Cumulé 2023" dataDxfId="1082" totalsRowDxfId="1081"/>
    <tableColumn id="7" xr3:uid="{F84BD7AB-3C70-4B49-94E6-5CD12E34F39C}" name="Cumulé variat." dataDxfId="1080" totalsRowDxfId="1079">
      <calculatedColumnFormula>IF(TRDIVES[[#This Row],[Cumulé 2024]]="","",+(TRDIVES[[#This Row],[Cumulé 2024]]-TRDIVES[[#This Row],[Cumulé 2023]])/TRDIVES[[#This Row],[Cumulé 2023]])</calculatedColumnFormula>
    </tableColumn>
  </tableColumns>
  <tableStyleInfo name="TableStyleMedium13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B27DDEF-A841-43F6-A99A-85D3C7A5E836}" name="TRLYSE" displayName="TRLYSE" ref="I65:O78" totalsRowCount="1" headerRowDxfId="1078" dataDxfId="1077" totalsRowDxfId="1076">
  <tableColumns count="7">
    <tableColumn id="1" xr3:uid="{1A30C329-1105-45E2-AB31-63453BEA59FA}" name="LYSE" totalsRowLabel="  TOTAL  " dataDxfId="1075" totalsRowDxfId="1074"/>
    <tableColumn id="2" xr3:uid="{F9E92DB6-62A6-4B6C-8479-0C70BF713E5A}" name="2024" totalsRowFunction="sum" dataDxfId="1073" totalsRowDxfId="1072">
      <calculatedColumnFormula>IF(DONNÉES!CM108="","",DONNÉES!CM108)</calculatedColumnFormula>
    </tableColumn>
    <tableColumn id="3" xr3:uid="{2347227C-BE05-41BF-9BEC-8C6DEFFE6DA7}" name="2023" totalsRowFunction="sum" dataDxfId="1071" totalsRowDxfId="1070">
      <calculatedColumnFormula>IF(TRLYSE[[#This Row],[2024]]="","",DONNÉES!CN108)</calculatedColumnFormula>
    </tableColumn>
    <tableColumn id="4" xr3:uid="{4C34510B-CAD0-42D8-9218-298C4FEC59E0}" name="Variat." dataDxfId="1069" totalsRowDxfId="1068">
      <calculatedColumnFormula>IF(TRLYSE[[#This Row],[2024]]="","",(TRLYSE[[#This Row],[2024]]-TRLYSE[[#This Row],[2023]])/TRLYSE[[#This Row],[2023]])</calculatedColumnFormula>
    </tableColumn>
    <tableColumn id="5" xr3:uid="{8440385B-8E59-431A-A8DB-04389BC9B107}" name="Cumulé 2024" dataDxfId="1067" totalsRowDxfId="1066">
      <calculatedColumnFormula>IF(TRLYSE[[#This Row],[2024]]="","",TRLYSE[[#This Row],[2024]]+M65)</calculatedColumnFormula>
    </tableColumn>
    <tableColumn id="6" xr3:uid="{E93CA3CB-051B-4736-A35C-1AF27FC4F1AB}" name="Cumulé 2023" dataDxfId="1065" totalsRowDxfId="1064"/>
    <tableColumn id="7" xr3:uid="{2EDEE6AC-3CF8-4B85-BB68-7D746F984D06}" name="Cumulé variat." dataDxfId="1063" totalsRowDxfId="1062">
      <calculatedColumnFormula>IF(TRLYSE[[#This Row],[Cumulé 2024]]="","",+(TRLYSE[[#This Row],[Cumulé 2024]]-TRLYSE[[#This Row],[Cumulé 2023]])/TRLYSE[[#This Row],[Cumulé 2023]])</calculatedColumnFormula>
    </tableColumn>
  </tableColumns>
  <tableStyleInfo name="TableStyleMedium10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83056B9-AE06-47FB-BB2B-2735DB411C86}" name="TRTH4" displayName="TRTH4" ref="I80:O93" totalsRowCount="1" headerRowDxfId="1061" dataDxfId="1060" totalsRowDxfId="1059">
  <tableColumns count="7">
    <tableColumn id="1" xr3:uid="{5D917908-56C6-4F92-B47E-E64519E82ED0}" name="TH4" totalsRowLabel="  TOTAL  " dataDxfId="1058" totalsRowDxfId="1057"/>
    <tableColumn id="2" xr3:uid="{DE02CD8D-F6C0-49ED-92C0-EC774256D61F}" name="2024" totalsRowFunction="sum" dataDxfId="1056" totalsRowDxfId="1055">
      <calculatedColumnFormula>IF(DONNÉES!BO108="","",DONNÉES!BO108)</calculatedColumnFormula>
    </tableColumn>
    <tableColumn id="3" xr3:uid="{C4B5F3D2-94FD-46BB-9982-9855BD1BA90C}" name="2023" totalsRowFunction="sum" dataDxfId="1054" totalsRowDxfId="1053">
      <calculatedColumnFormula>IF(TRTH4[[#This Row],[2024]]="","",DONNÉES!BP108)</calculatedColumnFormula>
    </tableColumn>
    <tableColumn id="4" xr3:uid="{2DE6233C-60CD-4DF5-9555-0BAC53C7C768}" name="Variat." dataDxfId="1052" totalsRowDxfId="1051">
      <calculatedColumnFormula>IF(TRTH4[[#This Row],[2024]]="","",(TRTH4[[#This Row],[2024]]-TRTH4[[#This Row],[2023]])/TRTH4[[#This Row],[2023]])</calculatedColumnFormula>
    </tableColumn>
    <tableColumn id="5" xr3:uid="{FBB84B46-728D-4569-9B3B-EB6E82E89AFB}" name="Cumulé 2024" dataDxfId="1050" totalsRowDxfId="1049">
      <calculatedColumnFormula>IF(TRTH4[[#This Row],[2024]]="","",TRTH4[[#This Row],[2024]]+M80)</calculatedColumnFormula>
    </tableColumn>
    <tableColumn id="6" xr3:uid="{FF7CF622-38D5-42D0-B0CD-D04740237477}" name="Cumulé 2023" dataDxfId="1048" totalsRowDxfId="1047"/>
    <tableColumn id="7" xr3:uid="{55D9ACDB-9D8E-4656-8DDA-B606BC7BBA9F}" name="Cumulé variat." dataDxfId="1046" totalsRowDxfId="1045">
      <calculatedColumnFormula>IF(TRTH4[[#This Row],[Cumulé 2024]]="","",+(TRTH4[[#This Row],[Cumulé 2024]]-TRTH4[[#This Row],[Cumulé 2023]])/TRTH4[[#This Row],[Cumulé 2023]])</calculatedColumnFormula>
    </tableColumn>
  </tableColumns>
  <tableStyleInfo name="TableStyleMedium13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D42EA96-8F90-44B1-9E16-17C79B0EC61E}" name="TRGLOBAL" displayName="TRGLOBAL" ref="A125:G138" totalsRowCount="1" headerRowDxfId="1044" dataDxfId="1043" totalsRowDxfId="1042">
  <tableColumns count="7">
    <tableColumn id="1" xr3:uid="{85EAC041-9AAA-441C-A70C-465718DC5BF7}" name="GLOBAL" totalsRowLabel="  TOTAL  " dataDxfId="1041" totalsRowDxfId="1040"/>
    <tableColumn id="2" xr3:uid="{00681336-A694-4258-A268-1FEFFF2EB566}" name="2024" totalsRowFunction="sum" dataDxfId="1039" totalsRowDxfId="1038">
      <calculatedColumnFormula>IF(DONNÉES!C108="","",DONNÉES!C108)</calculatedColumnFormula>
    </tableColumn>
    <tableColumn id="3" xr3:uid="{0BBF2790-C4EA-404A-892E-8F9A81836CFD}" name="2023" totalsRowFunction="sum" dataDxfId="1037" totalsRowDxfId="1036">
      <calculatedColumnFormula>IF(TRGLOBAL[[#This Row],[2024]]="","",DONNÉES!D108)</calculatedColumnFormula>
    </tableColumn>
    <tableColumn id="4" xr3:uid="{129C1053-27C7-47D9-8B59-9C1EC2E9C0DA}" name="Variat." dataDxfId="1035" totalsRowDxfId="1034">
      <calculatedColumnFormula>IF(TRGLOBAL[[#This Row],[2024]]="","",(TRGLOBAL[[#This Row],[2024]]-TRGLOBAL[[#This Row],[2023]])/TRGLOBAL[[#This Row],[2023]])</calculatedColumnFormula>
    </tableColumn>
    <tableColumn id="5" xr3:uid="{6EC7386B-4295-448B-8B4B-AC54C8215434}" name="Cumulé 2024" dataDxfId="1033" totalsRowDxfId="1032">
      <calculatedColumnFormula>IF(TRGLOBAL[[#This Row],[2024]]="","",TRGLOBAL[[#This Row],[2024]]+E125)</calculatedColumnFormula>
    </tableColumn>
    <tableColumn id="6" xr3:uid="{DB83859D-786E-4A44-98B5-44F384EB7B61}" name="Cumulé 2023" dataDxfId="1031" totalsRowDxfId="1030"/>
    <tableColumn id="7" xr3:uid="{32B33C1E-9033-450E-859B-D5CFAB522EAD}" name="Cumulé variat." dataDxfId="1029" totalsRowDxfId="1028">
      <calculatedColumnFormula>IF(TRGLOBAL[[#This Row],[Cumulé 2024]]="","",+(TRGLOBAL[[#This Row],[Cumulé 2024]]-TRGLOBAL[[#This Row],[Cumulé 2023]])/TRGLOBAL[[#This Row],[Cumulé 2023]])</calculatedColumnFormula>
    </tableColumn>
  </tableColumns>
  <tableStyleInfo name="TableStyleMedium8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D19F37F-A6BA-4EBD-A282-F6E0711E598F}" name="TRARTHUR" displayName="TRARTHUR" ref="A95:G108" totalsRowCount="1" headerRowDxfId="1027" dataDxfId="1026" totalsRowDxfId="1025">
  <tableColumns count="7">
    <tableColumn id="1" xr3:uid="{075D1244-34E4-41C7-BAC7-46E421E442D1}" name="ARTHUR" totalsRowLabel="  TOTAL  " dataDxfId="1024" totalsRowDxfId="1023"/>
    <tableColumn id="2" xr3:uid="{63D089D7-0AE9-4B0D-BE6A-E0369B9BC585}" name="2024" totalsRowFunction="sum" dataDxfId="1022" totalsRowDxfId="1021">
      <calculatedColumnFormula>IF(DONNÉES!CU108="","",DONNÉES!CU108)</calculatedColumnFormula>
    </tableColumn>
    <tableColumn id="3" xr3:uid="{8952DAB9-CBF7-4826-A07C-E50B05376E9F}" name="2023" totalsRowFunction="sum" dataDxfId="1020" totalsRowDxfId="1019">
      <calculatedColumnFormula>IF(TRARTHUR[[#This Row],[2024]]="","",DONNÉES!CV108)</calculatedColumnFormula>
    </tableColumn>
    <tableColumn id="4" xr3:uid="{E23E9579-92FF-4AB1-8829-612EC05D4AA6}" name="Variat." dataDxfId="1018" totalsRowDxfId="1017">
      <calculatedColumnFormula>IF(TRARTHUR[[#This Row],[2024]]="","",(TRARTHUR[[#This Row],[2024]]-TRARTHUR[[#This Row],[2023]])/TRARTHUR[[#This Row],[2023]])</calculatedColumnFormula>
    </tableColumn>
    <tableColumn id="5" xr3:uid="{6F92F706-19EE-4400-ACF8-C5D62DA55D78}" name="Cumulé 2024" dataDxfId="1016" totalsRowDxfId="1015">
      <calculatedColumnFormula>IF(TRARTHUR[[#This Row],[2024]]="","",TRARTHUR[[#This Row],[2024]]+E95)</calculatedColumnFormula>
    </tableColumn>
    <tableColumn id="6" xr3:uid="{1000F6C8-E5DF-4A2A-9AAC-22855CCFF346}" name="Cumulé 2023" dataDxfId="1014" totalsRowDxfId="1013"/>
    <tableColumn id="7" xr3:uid="{15A99E49-E012-4891-ACB2-79E3F31F8B57}" name="Cumulé variat." dataDxfId="1012" totalsRowDxfId="1011">
      <calculatedColumnFormula>IF(TRARTHUR[[#This Row],[Cumulé 2024]]="","",+(TRARTHUR[[#This Row],[Cumulé 2024]]-TRARTHUR[[#This Row],[Cumulé 2023]])/TRARTHUR[[#This Row],[Cumulé 2023]])</calculatedColumnFormula>
    </tableColumn>
  </tableColumns>
  <tableStyleInfo name="TableStyleMedium11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62E5C46-AF35-427B-9160-228AD7C0C6D5}" name="TRHUGO" displayName="TRHUGO" ref="I95:O108" totalsRowCount="1" headerRowDxfId="1010" dataDxfId="1009" totalsRowDxfId="1008">
  <tableColumns count="7">
    <tableColumn id="1" xr3:uid="{925458BF-211F-48A4-978F-032FDF3ABAE2}" name="HUGO" totalsRowLabel="  TOTAL  " dataDxfId="1007" totalsRowDxfId="1006" dataCellStyle="Normal 5"/>
    <tableColumn id="2" xr3:uid="{1F72A005-E40D-4323-AC0E-DACEFD4F1AD9}" name="2024" totalsRowFunction="sum" dataDxfId="1005" totalsRowDxfId="1004">
      <calculatedColumnFormula>IF(DONNÉES!DC108="","",DONNÉES!DC108)</calculatedColumnFormula>
    </tableColumn>
    <tableColumn id="3" xr3:uid="{070793E8-EC79-4EE7-B89D-06B830B1272F}" name="2023" totalsRowFunction="sum" dataDxfId="1003" totalsRowDxfId="1002">
      <calculatedColumnFormula>IF(TRHUGO[[#This Row],[2024]]="","",DONNÉES!DD108)</calculatedColumnFormula>
    </tableColumn>
    <tableColumn id="4" xr3:uid="{5DE9DF8E-E858-4AAB-AEF4-933127EAF383}" name="Variat." dataDxfId="1001" totalsRowDxfId="1000">
      <calculatedColumnFormula>IF(TRHUGO[[#This Row],[2024]]="","",(TRHUGO[[#This Row],[2024]]-TRHUGO[[#This Row],[2023]])/TRHUGO[[#This Row],[2023]])</calculatedColumnFormula>
    </tableColumn>
    <tableColumn id="5" xr3:uid="{993250B3-760B-4CA8-8167-8DEB69A26D75}" name="Cumulé 2024" dataDxfId="999" totalsRowDxfId="998">
      <calculatedColumnFormula>IF(TRHUGO[[#This Row],[2024]]="","",TRHUGO[[#This Row],[2024]]+M95)</calculatedColumnFormula>
    </tableColumn>
    <tableColumn id="6" xr3:uid="{9F4D95A1-070F-44CE-AB41-C0113AC4DE7B}" name="Cumulé 2023" dataDxfId="997" totalsRowDxfId="996"/>
    <tableColumn id="7" xr3:uid="{9FF600F7-3873-4101-B1A2-8EF3C5F9EF92}" name="Cumulé variat." dataDxfId="995" totalsRowDxfId="994">
      <calculatedColumnFormula>IF(TRHUGO[[#This Row],[Cumulé 2024]]="","",+(TRHUGO[[#This Row],[Cumulé 2024]]-TRHUGO[[#This Row],[Cumulé 2023]])/TRHUGO[[#This Row],[Cumulé 2023]])</calculatedColumnFormula>
    </tableColumn>
  </tableColumns>
  <tableStyleInfo name="TableStyleMedium11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AF1F1DDF-1D5A-40AD-96AE-AA1E089C8B6B}" name="TRTURVILLA" displayName="TRTURVILLA" ref="A35:G48" totalsRowCount="1" headerRowDxfId="993" dataDxfId="992" totalsRowDxfId="991">
  <tableColumns count="7">
    <tableColumn id="1" xr3:uid="{D89CBE48-0F15-4D58-8CE8-558C2EE542EC}" name="TURVILLA" totalsRowLabel=" TOTAL " dataDxfId="990" totalsRowDxfId="989"/>
    <tableColumn id="2" xr3:uid="{FA76DDE9-A69D-42FC-B3EC-BF8E33848EB4}" name="2024" totalsRowFunction="sum" dataDxfId="988" totalsRowDxfId="987">
      <calculatedColumnFormula>IF(DONNÉES!AQ108="","",DONNÉES!AQ108)</calculatedColumnFormula>
    </tableColumn>
    <tableColumn id="3" xr3:uid="{799D9DE8-CA13-4F10-B21E-CB72FE74A94A}" name="2023" totalsRowFunction="sum" dataDxfId="986" totalsRowDxfId="985">
      <calculatedColumnFormula>IF(TRTURVILLA[[#This Row],[2024]]="","",DONNÉES!AR108)</calculatedColumnFormula>
    </tableColumn>
    <tableColumn id="4" xr3:uid="{B79F6845-2396-4A36-8233-10F7518AB274}" name="Variat." dataDxfId="984" totalsRowDxfId="983">
      <calculatedColumnFormula>IF(TRTURVILLA[[#This Row],[2024]]="","",(TRTURVILLA[[#This Row],[2024]]-TRTURVILLA[[#This Row],[2023]])/TRTURVILLA[[#This Row],[2023]])</calculatedColumnFormula>
    </tableColumn>
    <tableColumn id="5" xr3:uid="{14A0C510-8EFC-4E1A-B3A0-056F07F3440C}" name="Cumulé 2024" dataDxfId="982" totalsRowDxfId="981">
      <calculatedColumnFormula>IF(TRTURVILLA[[#This Row],[2024]]="","",TRTURVILLA[[#This Row],[2024]]+E35)</calculatedColumnFormula>
    </tableColumn>
    <tableColumn id="6" xr3:uid="{281FC1B3-D559-47A6-8D89-9334E0679F6E}" name="Cumulé 2023" dataDxfId="980" totalsRowDxfId="979">
      <calculatedColumnFormula>IF(TRTURVILLA[[#This Row],[2024]]="","",+TRTURVILLA[[#This Row],[2023]])</calculatedColumnFormula>
    </tableColumn>
    <tableColumn id="7" xr3:uid="{B583EA5C-51CD-44C5-93E5-95BC84713828}" name="Cumulé variat." dataDxfId="978" totalsRowDxfId="977">
      <calculatedColumnFormula>IF(TRTURVILLA[[#This Row],[Cumulé 2024]]="","",+(TRTURVILLA[[#This Row],[Cumulé 2024]]-TRTURVILLA[[#This Row],[Cumulé 2023]])/TRTURVILLA[[#This Row],[Cumulé 2023]])</calculatedColumnFormula>
    </tableColumn>
  </tableColumns>
  <tableStyleInfo name="TableStyleMedium10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B21428B-CD8F-4EE5-8602-476B6C8E47FF}" name="TRVICTOIRE" displayName="TRVICTOIRE" ref="A50:G63" totalsRowCount="1" headerRowDxfId="976" dataDxfId="975" totalsRowDxfId="974">
  <tableColumns count="7">
    <tableColumn id="1" xr3:uid="{4B20AB2B-A4D5-4680-8888-3190A6C28E50}" name="VICTOIRE" totalsRowLabel="  TOTAL  " dataDxfId="973" totalsRowDxfId="972"/>
    <tableColumn id="2" xr3:uid="{0EDFF756-2447-45D4-8833-D648196C6C40}" name="2024" totalsRowFunction="sum" dataDxfId="971" totalsRowDxfId="970">
      <calculatedColumnFormula>IF(DONNÉES!BG108="","",DONNÉES!BG108)</calculatedColumnFormula>
    </tableColumn>
    <tableColumn id="3" xr3:uid="{0A1DBE76-08AB-432A-8F8B-E22D403C45F3}" name="2023" totalsRowFunction="sum" dataDxfId="969" totalsRowDxfId="968">
      <calculatedColumnFormula>IF(TRVICTOIRE[[#This Row],[2024]]="","",DONNÉES!BH108)</calculatedColumnFormula>
    </tableColumn>
    <tableColumn id="4" xr3:uid="{F97C8D62-41E4-4893-B8C6-062E7C1C6967}" name="Variat." dataDxfId="967" totalsRowDxfId="966">
      <calculatedColumnFormula>IF(TRVICTOIRE[[#This Row],[2024]]="","",(TRVICTOIRE[[#This Row],[2024]]-TRVICTOIRE[[#This Row],[2023]])/TRVICTOIRE[[#This Row],[2023]])</calculatedColumnFormula>
    </tableColumn>
    <tableColumn id="5" xr3:uid="{7E9CDDD5-7B40-446C-B17A-3F89CCAE773F}" name="Cumulé 2024" dataDxfId="965" totalsRowDxfId="964">
      <calculatedColumnFormula>IF(TRVICTOIRE[[#This Row],[2024]]="","",TRVICTOIRE[[#This Row],[2024]]+E50)</calculatedColumnFormula>
    </tableColumn>
    <tableColumn id="6" xr3:uid="{D66257C7-FBB5-4E9C-BB80-6DBBBD7E37BF}" name="Cumulé 2023" dataDxfId="963" totalsRowDxfId="962"/>
    <tableColumn id="7" xr3:uid="{7092D3A8-4C1B-4C46-839A-C9C613D157B9}" name="Cumulé variat." dataDxfId="961" totalsRowDxfId="960">
      <calculatedColumnFormula>IF(TRVICTOIRE[[#This Row],[Cumulé 2024]]="","",+(TRVICTOIRE[[#This Row],[Cumulé 2024]]-TRVICTOIRE[[#This Row],[Cumulé 2023]])/TRVICTOIRE[[#This Row],[Cumulé 2023]])</calculatedColumnFormula>
    </tableColumn>
  </tableColumns>
  <tableStyleInfo name="TableStyleMedium13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C0ACAC40-80E6-42AE-928B-458818C07CCD}" name="TRHART" displayName="TRHART" ref="I35:O48" totalsRowCount="1" headerRowDxfId="959" dataDxfId="958" totalsRowDxfId="957">
  <tableColumns count="7">
    <tableColumn id="1" xr3:uid="{7EBB6BF3-1CA9-4C05-A46B-81A7153FAF05}" name="HART" totalsRowLabel="  TOTAL  " dataDxfId="956" totalsRowDxfId="955"/>
    <tableColumn id="2" xr3:uid="{A9768655-23BD-48A0-865C-E6F5868B1971}" name="2024" totalsRowFunction="sum" dataDxfId="954" totalsRowDxfId="953">
      <calculatedColumnFormula>IF(DONNÉES!AY108="","",DONNÉES!AY108)</calculatedColumnFormula>
    </tableColumn>
    <tableColumn id="3" xr3:uid="{0078A341-6044-4D01-BF0C-1A005DBBEBFA}" name="2023" totalsRowFunction="sum" dataDxfId="952" totalsRowDxfId="951">
      <calculatedColumnFormula>IF(TRHART[[#This Row],[2024]]="","",DONNÉES!AZ108)</calculatedColumnFormula>
    </tableColumn>
    <tableColumn id="4" xr3:uid="{7E34B804-C876-44F0-BEB6-9CFCD4B91209}" name="Variat." dataDxfId="950" totalsRowDxfId="949">
      <calculatedColumnFormula>IF(TRHART[[#This Row],[2024]]="","",(TRHART[[#This Row],[2024]]-TRHART[[#This Row],[2023]])/TRHART[[#This Row],[2023]])</calculatedColumnFormula>
    </tableColumn>
    <tableColumn id="5" xr3:uid="{FEEDA23E-5358-45DD-B998-B53914250D6F}" name="Cumulé 2024" dataDxfId="948" totalsRowDxfId="947">
      <calculatedColumnFormula>IF(TRHART[[#This Row],[2024]]="","",TRHART[[#This Row],[2024]]+M35)</calculatedColumnFormula>
    </tableColumn>
    <tableColumn id="6" xr3:uid="{7A0227F7-1F40-46E2-8985-322995F28672}" name="Cumulé 2023" dataDxfId="946" totalsRowDxfId="945"/>
    <tableColumn id="7" xr3:uid="{3D00B81A-08FB-40B3-A5AF-3CA5616CB685}" name="Cumulé variat." dataDxfId="944" totalsRowDxfId="943">
      <calculatedColumnFormula>IF(TRHART[[#This Row],[Cumulé 2024]]="","",+(TRHART[[#This Row],[Cumulé 2024]]-TRHART[[#This Row],[Cumulé 2023]])/TRHART[[#This Row],[Cumulé 2023]])</calculatedColumnFormula>
    </tableColumn>
  </tableColumns>
  <tableStyleInfo name="TableStyleMedium10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9D2996C-1059-4E5B-9625-971CC0D1FE7E}" name="TRGLR5" displayName="TRGLR5" ref="A5:G18" totalsRowCount="1" headerRowDxfId="942" dataDxfId="941" totalsRowDxfId="940">
  <tableColumns count="7">
    <tableColumn id="1" xr3:uid="{D6ED5FCE-E426-4CBD-8D30-B483C978F7CD}" name="GLR5" totalsRowLabel=" TOTAL " dataDxfId="939" totalsRowDxfId="938"/>
    <tableColumn id="2" xr3:uid="{C479810E-4D45-437F-AE4C-E1837E6D2FC2}" name="2024" totalsRowFunction="sum" dataDxfId="937" totalsRowDxfId="936">
      <calculatedColumnFormula>IF(DONNÉES!K108="","",DONNÉES!K108)</calculatedColumnFormula>
    </tableColumn>
    <tableColumn id="3" xr3:uid="{DB61925B-892B-4405-80EB-1DA54DB0EAAF}" name="2023" totalsRowFunction="sum" dataDxfId="935" totalsRowDxfId="934">
      <calculatedColumnFormula>IF(TRGLR5[[#This Row],[2024]]="","",DONNÉES!L108)</calculatedColumnFormula>
    </tableColumn>
    <tableColumn id="4" xr3:uid="{2A35672E-BF27-4C91-8251-B2775A3D4B49}" name="Variat." dataDxfId="933" totalsRowDxfId="932">
      <calculatedColumnFormula>IF(TRGLR5[[#This Row],[2024]]="","",(TRGLR5[[#This Row],[2024]]-TRGLR5[[#This Row],[2023]])/TRGLR5[[#This Row],[2023]])</calculatedColumnFormula>
    </tableColumn>
    <tableColumn id="5" xr3:uid="{FBAA43A2-FBB4-40EA-B3EF-6214A6D0D3A3}" name="Cumulé 2024" dataDxfId="931" totalsRowDxfId="930">
      <calculatedColumnFormula>IF(TRGLR5[[#This Row],[2024]]="","",TRGLR5[[#This Row],[2024]]+E5)</calculatedColumnFormula>
    </tableColumn>
    <tableColumn id="6" xr3:uid="{875C7EE9-E954-4670-B7A7-658D814C249F}" name="Cumulé 2023" dataDxfId="929" totalsRowDxfId="928">
      <calculatedColumnFormula>IF(TRGLR5[[#This Row],[2024]]="","",+TRGLR5[[#This Row],[2023]])</calculatedColumnFormula>
    </tableColumn>
    <tableColumn id="7" xr3:uid="{1CAC9730-25EE-4851-88C0-94394D69B056}" name="Cumulé variat." dataDxfId="927" totalsRowDxfId="926">
      <calculatedColumnFormula>IF(TRGLR5[[#This Row],[Cumulé 2024]]="","",+(TRGLR5[[#This Row],[Cumulé 2024]]-TRGLR5[[#This Row],[Cumulé 2023]])/TRGLR5[[#This Row],[Cumulé 2023]])</calculatedColumnFormula>
    </tableColumn>
  </tableColumns>
  <tableStyleInfo name="TableStyleMedium10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4648E27D-3801-4930-A2F7-1587C80D4698}" name="TRTIRR" displayName="TRTIRR" ref="A20:G33" totalsRowCount="1" headerRowDxfId="925" dataDxfId="924" totalsRowDxfId="923">
  <tableColumns count="7">
    <tableColumn id="1" xr3:uid="{DAB824BA-7028-4EE3-BA22-0F02E09E7110}" name="TIRR" totalsRowLabel="  TOTAL  " dataDxfId="922" totalsRowDxfId="921"/>
    <tableColumn id="2" xr3:uid="{73A93E76-48FB-48EB-9012-7775ABF484B5}" name="2024" totalsRowFunction="sum" dataDxfId="920" totalsRowDxfId="919">
      <calculatedColumnFormula>IF(DONNÉES!AA108="","",DONNÉES!AA108)</calculatedColumnFormula>
    </tableColumn>
    <tableColumn id="3" xr3:uid="{D2AF5A2A-5434-43E1-9BAC-00497E15C73D}" name="2023" totalsRowFunction="sum" dataDxfId="918" totalsRowDxfId="917">
      <calculatedColumnFormula>IF(TRTIRR[[#This Row],[2024]]="","",DONNÉES!AB108)</calculatedColumnFormula>
    </tableColumn>
    <tableColumn id="4" xr3:uid="{3050266C-AD21-4840-9B78-01E56457A37B}" name="Variat." dataDxfId="916" totalsRowDxfId="915">
      <calculatedColumnFormula>IF(TRTIRR[[#This Row],[2024]]="","",(TRTIRR[[#This Row],[2024]]-TRTIRR[[#This Row],[2023]])/TRTIRR[[#This Row],[2023]])</calculatedColumnFormula>
    </tableColumn>
    <tableColumn id="5" xr3:uid="{2979037D-0148-4AAA-9448-A7DE9367C64A}" name="Cumulé 2024" dataDxfId="914" totalsRowDxfId="913">
      <calculatedColumnFormula>IF(TRTIRR[[#This Row],[2024]]="","",TRTIRR[[#This Row],[2024]]+E20)</calculatedColumnFormula>
    </tableColumn>
    <tableColumn id="6" xr3:uid="{35B1C595-6667-4458-839D-F15A317F29CA}" name="Cumulé 2023" dataDxfId="912" totalsRowDxfId="911"/>
    <tableColumn id="7" xr3:uid="{0A9D3605-6D28-446D-8FC0-1F81FB2D68DA}" name="Cumulé variat." dataDxfId="910" totalsRowDxfId="909">
      <calculatedColumnFormula>IF(TRTIRR[[#This Row],[Cumulé 2024]]="","",+(TRTIRR[[#This Row],[Cumulé 2024]]-TRTIRR[[#This Row],[Cumulé 2023]])/TRTIRR[[#This Row],[Cumulé 2023]])</calculatedColumnFormula>
    </tableColumn>
  </tableColumns>
  <tableStyleInfo name="TableStyleMedium13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1001B5C4-CC25-434B-9EB4-2DF3DCE31397}" name="TRHTR8" displayName="TRHTR8" ref="I5:O18" totalsRowCount="1" headerRowDxfId="908" dataDxfId="907" totalsRowDxfId="906">
  <tableColumns count="7">
    <tableColumn id="1" xr3:uid="{CEFA6A23-F848-45AB-A63C-89959FA6F3ED}" name="HTR8" totalsRowLabel="  TOTAL  " dataDxfId="905" totalsRowDxfId="904"/>
    <tableColumn id="2" xr3:uid="{0C38C3B6-1632-4FFA-B46E-9F6F3074301D}" name="2024" totalsRowFunction="sum" dataDxfId="903" totalsRowDxfId="902">
      <calculatedColumnFormula>IF(DONNÉES!S108="","",DONNÉES!S108)</calculatedColumnFormula>
    </tableColumn>
    <tableColumn id="3" xr3:uid="{CC277841-B856-4C46-86BE-9CAB5DBD2CBA}" name="2023" totalsRowFunction="sum" dataDxfId="901" totalsRowDxfId="900">
      <calculatedColumnFormula>IF(TRHTR8[[#This Row],[2024]]="","",DONNÉES!T108)</calculatedColumnFormula>
    </tableColumn>
    <tableColumn id="4" xr3:uid="{50715F89-603F-49C4-93E0-E39BFE8E5484}" name="Variat." dataDxfId="899" totalsRowDxfId="898">
      <calculatedColumnFormula>IF(TRHTR8[[#This Row],[2024]]="","",(TRHTR8[[#This Row],[2024]]-TRHTR8[[#This Row],[2023]])/TRHTR8[[#This Row],[2023]])</calculatedColumnFormula>
    </tableColumn>
    <tableColumn id="5" xr3:uid="{41A5A065-DF33-48EB-AFAF-379E09924BAA}" name="Cumulé 2024" dataDxfId="897" totalsRowDxfId="896">
      <calculatedColumnFormula>IF(TRHTR8[[#This Row],[2024]]="","",TRHTR8[[#This Row],[2024]]+M5)</calculatedColumnFormula>
    </tableColumn>
    <tableColumn id="6" xr3:uid="{4212E43B-6207-4A08-9C14-F85514AB9EBE}" name="Cumulé 2023" dataDxfId="895" totalsRowDxfId="894"/>
    <tableColumn id="7" xr3:uid="{3CF5F1A1-95AA-4E26-B7A0-45E1A24C9249}" name="Cumulé variat." dataDxfId="893" totalsRowDxfId="892">
      <calculatedColumnFormula>IF(TRHTR8[[#This Row],[Cumulé 2024]]="","",+(TRHTR8[[#This Row],[Cumulé 2024]]-TRHTR8[[#This Row],[Cumulé 2023]])/TRHTR8[[#This Row],[Cumulé 2023]])</calculatedColumnFormula>
    </tableColumn>
  </tableColumns>
  <tableStyleInfo name="TableStyleMedium10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A9A42D2A-559A-478D-9161-94E1B8304BAC}" name="TRVR7" displayName="TRVR7" ref="I20:O33" totalsRowCount="1" headerRowDxfId="891" dataDxfId="890" totalsRowDxfId="889">
  <tableColumns count="7">
    <tableColumn id="1" xr3:uid="{869CB7E3-C4FB-4883-BBA8-4C4E01024D68}" name="VR7" totalsRowLabel="  TOTAL  " dataDxfId="888" totalsRowDxfId="887"/>
    <tableColumn id="2" xr3:uid="{D01D0271-6D3F-4812-BF25-98E129D3E706}" name="2024" totalsRowFunction="sum" dataDxfId="886" totalsRowDxfId="885">
      <calculatedColumnFormula>IF(DONNÉES!AI108="","",DONNÉES!AI108)</calculatedColumnFormula>
    </tableColumn>
    <tableColumn id="3" xr3:uid="{5A3565DF-0185-4156-8ABE-740CD2BCCB00}" name="2023" totalsRowFunction="sum" dataDxfId="884" totalsRowDxfId="883">
      <calculatedColumnFormula>IF(TRVR7[[#This Row],[2024]]="","",DONNÉES!AJ108)</calculatedColumnFormula>
    </tableColumn>
    <tableColumn id="4" xr3:uid="{BB8A0652-6411-471F-92F4-5E2ED0664AB4}" name="Variat." dataDxfId="882" totalsRowDxfId="881">
      <calculatedColumnFormula>IF(TRVR7[[#This Row],[2024]]="","",(TRVR7[[#This Row],[2024]]-TRVR7[[#This Row],[2023]])/TRVR7[[#This Row],[2023]])</calculatedColumnFormula>
    </tableColumn>
    <tableColumn id="5" xr3:uid="{B077183B-967D-4D0F-9784-FDE081181AC1}" name="Cumulé 2024" dataDxfId="880" totalsRowDxfId="879">
      <calculatedColumnFormula>IF(TRVR7[[#This Row],[2024]]="","",TRVR7[[#This Row],[2024]]+M20)</calculatedColumnFormula>
    </tableColumn>
    <tableColumn id="6" xr3:uid="{822FF6BA-6048-4F39-9737-56344A46D7FE}" name="Cumulé 2023" dataDxfId="878" totalsRowDxfId="877"/>
    <tableColumn id="7" xr3:uid="{1471BA42-D128-4CAA-AF4B-F0C77FDD8AFB}" name="Cumulé variat." dataDxfId="876" totalsRowDxfId="875">
      <calculatedColumnFormula>IF(TRVR7[[#This Row],[Cumulé 2024]]="","",+(TRVR7[[#This Row],[Cumulé 2024]]-TRVR7[[#This Row],[Cumulé 2023]])/TRVR7[[#This Row],[Cumulé 2023]])</calculatedColumnFormula>
    </tableColumn>
  </tableColumns>
  <tableStyleInfo name="TableStyleMedium13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D2EDFED9-D860-404B-8E61-EBB796F93F7F}" name="TRJEANCLO" displayName="TRJEANCLO" ref="A110:G123" totalsRowCount="1" headerRowDxfId="874" dataDxfId="873" totalsRowDxfId="872">
  <tableColumns count="7">
    <tableColumn id="1" xr3:uid="{4E7F8315-1950-46A9-B62A-AF06F9452658}" name="JEANCLO" totalsRowLabel="  TOTAL  " dataDxfId="871" totalsRowDxfId="870"/>
    <tableColumn id="2" xr3:uid="{D52BC620-D9B5-43EA-AF04-4B313E79D0E2}" name="2024" totalsRowFunction="sum" dataDxfId="869" totalsRowDxfId="868">
      <calculatedColumnFormula>IF(DONNÉES!DK108="","",DONNÉES!DK108)</calculatedColumnFormula>
    </tableColumn>
    <tableColumn id="3" xr3:uid="{658C3BD7-B68A-435F-8616-498CB1C11CAB}" name="2023" totalsRowFunction="sum" dataDxfId="867" totalsRowDxfId="866">
      <calculatedColumnFormula>IF(TRJEANCLO[[#This Row],[2024]]="","",DONNÉES!DL108)</calculatedColumnFormula>
    </tableColumn>
    <tableColumn id="4" xr3:uid="{6D4FB716-0BBF-4ADF-9B6A-96715630BFB4}" name="Variat." dataDxfId="865" totalsRowDxfId="864">
      <calculatedColumnFormula>IF(TRJEANCLO[[#This Row],[2024]]="","",(TRJEANCLO[[#This Row],[2024]]-TRJEANCLO[[#This Row],[2023]])/TRJEANCLO[[#This Row],[2023]])</calculatedColumnFormula>
    </tableColumn>
    <tableColumn id="5" xr3:uid="{1B5C5E81-2520-4034-9282-A603F1EE4439}" name="Cumulé 2024" dataDxfId="863" totalsRowDxfId="862">
      <calculatedColumnFormula>IF(TRJEANCLO[[#This Row],[2024]]="","",TRJEANCLO[[#This Row],[2024]]+E110)</calculatedColumnFormula>
    </tableColumn>
    <tableColumn id="6" xr3:uid="{7C1E6418-471A-4131-B7E8-984E66E777AC}" name="Cumulé 2023" dataDxfId="861" totalsRowDxfId="860"/>
    <tableColumn id="7" xr3:uid="{8348516A-10AB-493F-8545-E633289EB374}" name="Cumulé variat." dataDxfId="859" totalsRowDxfId="858">
      <calculatedColumnFormula>IF(TRJEANCLO[[#This Row],[Cumulé 2024]]="","",+(TRJEANCLO[[#This Row],[Cumulé 2024]]-TRJEANCLO[[#This Row],[Cumulé 2023]])/TRJEANCLO[[#This Row],[Cumulé 2023]])</calculatedColumnFormula>
    </tableColumn>
  </tableColumns>
  <tableStyleInfo name="TableStyleMedium11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282DF807-EFBB-4EB2-BDD7-044BB3B032F5}" name="TRTHOMAS" displayName="TRTHOMAS" ref="I110:O123" totalsRowCount="1" headerRowDxfId="857" dataDxfId="856" totalsRowDxfId="855">
  <tableColumns count="7">
    <tableColumn id="1" xr3:uid="{225CACE0-8008-419B-B1BD-4684EC597BA0}" name="THOMAS" totalsRowLabel="  TOTAL  " dataDxfId="854" totalsRowDxfId="853"/>
    <tableColumn id="2" xr3:uid="{0EA043C7-F233-4EBA-8CC4-D9D8C576475D}" name="2024" totalsRowFunction="sum" dataDxfId="852" totalsRowDxfId="851">
      <calculatedColumnFormula>IF(DONNÉES!DS108="","",DONNÉES!DS108)</calculatedColumnFormula>
    </tableColumn>
    <tableColumn id="3" xr3:uid="{C357A4C7-2BAF-4D21-8137-61C4154B69D2}" name="2023" totalsRowFunction="sum" dataDxfId="850" totalsRowDxfId="849">
      <calculatedColumnFormula>IF(TRTHOMAS[[#This Row],[2024]]="","",DONNÉES!DT108)</calculatedColumnFormula>
    </tableColumn>
    <tableColumn id="4" xr3:uid="{C4D0F345-50AF-4054-AAD3-BB940061B697}" name="Variat." dataDxfId="848" totalsRowDxfId="847">
      <calculatedColumnFormula>IF(TRTHOMAS[[#This Row],[2024]]="","",(TRTHOMAS[[#This Row],[2024]]-TRTHOMAS[[#This Row],[2023]])/TRTHOMAS[[#This Row],[2023]])</calculatedColumnFormula>
    </tableColumn>
    <tableColumn id="5" xr3:uid="{41E93DE7-2B04-4969-9EC9-12E8D1075E11}" name="Cumulé 2024" dataDxfId="846" totalsRowDxfId="845">
      <calculatedColumnFormula>IF(TRTHOMAS[[#This Row],[2024]]="","",TRTHOMAS[[#This Row],[2024]]+M110)</calculatedColumnFormula>
    </tableColumn>
    <tableColumn id="6" xr3:uid="{2A5CA080-EF63-416C-89D9-8AA45A39A3B2}" name="Cumulé 2023" dataDxfId="844" totalsRowDxfId="843"/>
    <tableColumn id="7" xr3:uid="{61BBAAB0-4914-4890-9960-DF643CA76AC9}" name="Cumulé variat." dataDxfId="842" totalsRowDxfId="841">
      <calculatedColumnFormula>IF(TRTHOMAS[[#This Row],[Cumulé 2024]]="","",+(TRTHOMAS[[#This Row],[Cumulé 2024]]-TRTHOMAS[[#This Row],[Cumulé 2023]])/TRTHOMAS[[#This Row],[Cumulé 2023]])</calculatedColumnFormula>
    </tableColumn>
  </tableColumns>
  <tableStyleInfo name="TableStyleMedium11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A2EADEF2-E2D5-4181-935F-1657072B060B}" name="TRCAT" displayName="TRCAT" ref="I50:O63" totalsRowCount="1" headerRowDxfId="840" dataDxfId="839" totalsRowDxfId="838">
  <tableColumns count="7">
    <tableColumn id="1" xr3:uid="{B0D995AE-8A52-46D9-B242-1583BEE95B4D}" name="THOMAS" totalsRowLabel="  TOTAL  " dataDxfId="837" totalsRowDxfId="836"/>
    <tableColumn id="2" xr3:uid="{BBA89A22-181E-47E2-B1F3-75E4278E6EDD}" name="2024" totalsRowFunction="sum" dataDxfId="835" totalsRowDxfId="834">
      <calculatedColumnFormula>IF(DONNÉES!DS108="","",DONNÉES!DS108)</calculatedColumnFormula>
    </tableColumn>
    <tableColumn id="3" xr3:uid="{A602C591-4EAD-4032-88F9-5547755BD5A0}" name="2023" totalsRowFunction="sum" dataDxfId="833" totalsRowDxfId="832">
      <calculatedColumnFormula>IF(TRCAT[[#This Row],[2024]]="","",DONNÉES!EB108)</calculatedColumnFormula>
    </tableColumn>
    <tableColumn id="4" xr3:uid="{F4BAB381-AD21-4D7E-8CA8-9CA0375E44FB}" name="Variat." dataDxfId="831" totalsRowDxfId="830">
      <calculatedColumnFormula>IF(TRCAT[[#This Row],[2024]]="","",(TRCAT[[#This Row],[2024]]-TRCAT[[#This Row],[2023]])/TRCAT[[#This Row],[2023]])</calculatedColumnFormula>
    </tableColumn>
    <tableColumn id="5" xr3:uid="{543D4843-1393-4904-BFA2-57616EB98FB8}" name="Cumulé 2024" dataDxfId="829" totalsRowDxfId="828">
      <calculatedColumnFormula>IF(TRCAT[[#This Row],[2024]]="","",TRCAT[[#This Row],[2024]])</calculatedColumnFormula>
    </tableColumn>
    <tableColumn id="6" xr3:uid="{FE24A418-5326-44E4-B189-F428CBD5BDD0}" name="Cumulé 2023" dataDxfId="827" totalsRowDxfId="826">
      <calculatedColumnFormula>IF(TRCAT[[#This Row],[2024]]="","",+TRCAT[[#This Row],[2023]])</calculatedColumnFormula>
    </tableColumn>
    <tableColumn id="7" xr3:uid="{4A135743-5D3E-43AD-B9B2-1DC3078DE780}" name="Cumulé variat." dataDxfId="825" totalsRowDxfId="824">
      <calculatedColumnFormula>IF(TRCAT[[#This Row],[Cumulé 2024]]="","",+(TRCAT[[#This Row],[Cumulé 2024]]-TRCAT[[#This Row],[Cumulé 2023]])/TRCAT[[#This Row],[Cumulé 2023]])</calculatedColumnFormula>
    </tableColumn>
  </tableColumns>
  <tableStyleInfo name="TableStyleMedium11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AD2D885E-1DEB-43B8-83DA-C1434FCCEFEF}" name="PMDBIGNALET" displayName="PMDBIGNALET" ref="A118:I131" totalsRowCount="1" headerRowDxfId="823" dataDxfId="822" totalsRowDxfId="821">
  <tableColumns count="9">
    <tableColumn id="1" xr3:uid="{FB1F0B31-EE5A-4172-ADF5-4837F24BCB3E}" name="R3 14" totalsRowLabel=" TOTAL " dataDxfId="820" totalsRowDxfId="819"/>
    <tableColumn id="2" xr3:uid="{193DD1DB-90D8-45D1-BBC3-AF5B5E60A63A}" name="2024" totalsRowFunction="average" dataDxfId="818" totalsRowDxfId="817">
      <calculatedColumnFormula>IF(DONNÉES!CE204="","",DONNÉES!CE204)</calculatedColumnFormula>
    </tableColumn>
    <tableColumn id="3" xr3:uid="{A1C93DDA-9994-4B9E-8B72-856AEA484998}" name="2023" totalsRowFunction="average" dataDxfId="816" totalsRowDxfId="815">
      <calculatedColumnFormula>IF(PMDBIGNALET[[#This Row],[2024]]="","",DONNÉES!CF204)</calculatedColumnFormula>
    </tableColumn>
    <tableColumn id="4" xr3:uid="{5593B41B-322E-4437-97E1-3253528A6544}" name="2024 cumul" totalsRowFunction="average" dataDxfId="814" totalsRowDxfId="813">
      <calculatedColumnFormula>IF(PMDBIGNALET[[#This Row],[2024]]="","",DONNÉES!CE252)</calculatedColumnFormula>
    </tableColumn>
    <tableColumn id="5" xr3:uid="{8FB0366C-38A8-489D-983B-2F1FC690869C}" name="2023 cumul" totalsRowFunction="average" dataDxfId="812" totalsRowDxfId="811">
      <calculatedColumnFormula>IF(PMDBIGNALET[[#This Row],[2024]]="","",DONNÉES!CF252)</calculatedColumnFormula>
    </tableColumn>
    <tableColumn id="8" xr3:uid="{294B0477-0BA2-4339-8549-E1A9FD56A379}" name="2024  " totalsRowFunction="average" dataDxfId="810" totalsRowDxfId="809">
      <calculatedColumnFormula>IF(PMDBIGNALET[[#This Row],[2024]]="","",DONNÉES!CE220)</calculatedColumnFormula>
    </tableColumn>
    <tableColumn id="9" xr3:uid="{FFCC5A71-5402-43A4-98CB-0A93E402E47D}" name="2023  " totalsRowFunction="average" dataDxfId="808" totalsRowDxfId="807">
      <calculatedColumnFormula>IF(PMDBIGNALET[[#This Row],[2024]]="","",DONNÉES!CF220)</calculatedColumnFormula>
    </tableColumn>
    <tableColumn id="6" xr3:uid="{936FA8A1-5131-492C-8373-0CB3B664674D}" name="2024 cumul " totalsRowFunction="average" dataDxfId="806" totalsRowDxfId="805">
      <calculatedColumnFormula>IF(PMDBIGNALET[[#This Row],[2024]]="","",DONNÉES!CE268)</calculatedColumnFormula>
    </tableColumn>
    <tableColumn id="7" xr3:uid="{94D74AE5-36BB-410A-8004-4A905487C769}" name="2023 cumul " totalsRowFunction="average" dataDxfId="804" totalsRowDxfId="803">
      <calculatedColumnFormula>IF(PMDBIGNALET[[#This Row],[2024]]="","",DONNÉES!CF268)</calculatedColumnFormula>
    </tableColumn>
  </tableColumns>
  <tableStyleInfo name="TableStyleMedium7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D3AD1AE6-EFBC-4C1A-B8F9-EC677CBBC934}" name="PMDR314" displayName="PMDR314" ref="K118:N131" totalsRowCount="1" headerRowDxfId="802" dataDxfId="801" totalsRowDxfId="800">
  <tableColumns count="4">
    <tableColumn id="2" xr3:uid="{053114E3-B4FA-4590-AA69-39E817BBD328}" name="2024  " totalsRowFunction="average" dataDxfId="799" totalsRowDxfId="798">
      <calculatedColumnFormula>IF(PMDBIGNALET[[#This Row],[2024]]="","",DONNÉES!CE236)</calculatedColumnFormula>
    </tableColumn>
    <tableColumn id="3" xr3:uid="{07A806F0-49C2-4B36-A2BE-CD7FC566A11A}" name="2023  " totalsRowFunction="average" dataDxfId="797" totalsRowDxfId="796">
      <calculatedColumnFormula>IF(PMDBIGNALET[[#This Row],[2024]]="","",DONNÉES!CF236)</calculatedColumnFormula>
    </tableColumn>
    <tableColumn id="4" xr3:uid="{C2A14A34-27FE-4061-929E-493A1D27FE55}" name="2024 cumul " totalsRowFunction="average" dataDxfId="795" totalsRowDxfId="794">
      <calculatedColumnFormula>IF(PMDBIGNALET[[#This Row],[2024]]="","",DONNÉES!CE284)</calculatedColumnFormula>
    </tableColumn>
    <tableColumn id="1" xr3:uid="{9DB65270-D5A9-40EC-AFEF-D5CDB07580F8}" name="2023 cumul " totalsRowFunction="average" dataDxfId="793" totalsRowDxfId="792">
      <calculatedColumnFormula>IF(PMDBIGNALET[[#This Row],[2024]]="","",DONNÉES!CF284)</calculatedColumnFormula>
    </tableColumn>
  </tableColumns>
  <tableStyleInfo name="TableStyleMedium7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FCC6F274-ECFB-45A3-AEBC-B9091EE9A161}" name="PMDCINE" displayName="PMDCINE" ref="A134:I147" totalsRowCount="1" headerRowDxfId="791" dataDxfId="790" totalsRowDxfId="789">
  <tableColumns count="9">
    <tableColumn id="1" xr3:uid="{B7626267-BF32-4F86-8143-C58392DCC8AD}" name="LYSE" totalsRowLabel=" TOTAL " dataDxfId="788" totalsRowDxfId="787"/>
    <tableColumn id="2" xr3:uid="{54DC34CD-1373-48B4-8C95-76F635D5E98D}" name="2024" totalsRowFunction="average" dataDxfId="786" totalsRowDxfId="785">
      <calculatedColumnFormula>IF(DONNÉES!CM204="","",DONNÉES!CM204)</calculatedColumnFormula>
    </tableColumn>
    <tableColumn id="3" xr3:uid="{D0F1480A-1B08-45FA-82F7-1419EF0AEE66}" name="2023" totalsRowFunction="average" dataDxfId="784" totalsRowDxfId="783">
      <calculatedColumnFormula>IF(PMDCINE[[#This Row],[2024]]="","",DONNÉES!CN204)</calculatedColumnFormula>
    </tableColumn>
    <tableColumn id="4" xr3:uid="{3FE20468-E51D-415B-BFEC-8A1CFBDC9F3B}" name="2024 cumul" totalsRowFunction="average" dataDxfId="782" totalsRowDxfId="781">
      <calculatedColumnFormula>IF(PMDCINE[[#This Row],[2024]]="","",DONNÉES!CM252)</calculatedColumnFormula>
    </tableColumn>
    <tableColumn id="5" xr3:uid="{53BEE573-B257-4A6A-BFA7-C3092C8B4D6F}" name="2023 cumul" totalsRowFunction="average" dataDxfId="780" totalsRowDxfId="779">
      <calculatedColumnFormula>IF(PMDCINE[[#This Row],[2024]]="","",DONNÉES!CN252)</calculatedColumnFormula>
    </tableColumn>
    <tableColumn id="8" xr3:uid="{AAF79A2A-B69F-4C6A-AE84-006DF8E086DC}" name="2024  " totalsRowFunction="average" dataDxfId="778" totalsRowDxfId="777">
      <calculatedColumnFormula>IF(PMDCINE[[#This Row],[2024]]="","",DONNÉES!CM220)</calculatedColumnFormula>
    </tableColumn>
    <tableColumn id="9" xr3:uid="{C4056808-F178-4B7E-9B9C-716DA5E78331}" name="2023  " totalsRowFunction="average" dataDxfId="776" totalsRowDxfId="775">
      <calculatedColumnFormula>IF(PMDCINE[[#This Row],[2024]]="","",DONNÉES!CN220)</calculatedColumnFormula>
    </tableColumn>
    <tableColumn id="6" xr3:uid="{DEA9FBD7-CA5D-424B-AC3A-E7514A4305B3}" name="2024 cumul " totalsRowFunction="average" dataDxfId="774" totalsRowDxfId="773">
      <calculatedColumnFormula>IF(PMDCINE[[#This Row],[2024]]="","",DONNÉES!CM268)</calculatedColumnFormula>
    </tableColumn>
    <tableColumn id="7" xr3:uid="{656C9467-5E95-426A-8051-D7AF11F4D91B}" name="2023 cumul " totalsRowFunction="average" dataDxfId="772" totalsRowDxfId="771">
      <calculatedColumnFormula>IF(PMDCINE[[#This Row],[2024]]="","",DONNÉES!CN268)</calculatedColumnFormula>
    </tableColumn>
  </tableColumns>
  <tableStyleInfo name="TableStyleMedium7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B3A4CA31-343D-4692-8D64-18AB8110EE08}" name="PMDLYSE" displayName="PMDLYSE" ref="K134:N147" totalsRowCount="1" headerRowDxfId="770" dataDxfId="769" totalsRowDxfId="768">
  <tableColumns count="4">
    <tableColumn id="2" xr3:uid="{420DE0F5-1870-4E28-9EA2-CB2727614AAE}" name="2024  " totalsRowFunction="average" dataDxfId="767" totalsRowDxfId="766">
      <calculatedColumnFormula>IF(PMDCINE[[#This Row],[2024]]="","",DONNÉES!CM236)</calculatedColumnFormula>
    </tableColumn>
    <tableColumn id="3" xr3:uid="{BF59F122-7254-435B-97BA-E5021BF3DA82}" name="2023  " totalsRowFunction="average" dataDxfId="765" totalsRowDxfId="764">
      <calculatedColumnFormula>IF(PMDCINE[[#This Row],[2024]]="","",DONNÉES!CN236)</calculatedColumnFormula>
    </tableColumn>
    <tableColumn id="4" xr3:uid="{015E0E94-D41C-4558-9CD3-E9E35DFB1E8C}" name="2024 cumul " totalsRowFunction="average" dataDxfId="763" totalsRowDxfId="762">
      <calculatedColumnFormula>IF(PMDCINE[[#This Row],[2024]]="","",DONNÉES!CM284)</calculatedColumnFormula>
    </tableColumn>
    <tableColumn id="1" xr3:uid="{3FDE1231-8DB8-49E5-8AC4-D69EE8A113D2}" name="2023 cumul " totalsRowFunction="average" dataDxfId="761" totalsRowDxfId="760">
      <calculatedColumnFormula>IF(PMDCINE[[#This Row],[2024]]="","",DONNÉES!CN284)</calculatedColumnFormula>
    </tableColumn>
  </tableColumns>
  <tableStyleInfo name="TableStyleMedium7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88C711E0-20A0-4B96-AC9B-C3CB6761ED62}" name="PMDLN" displayName="PMDLN" ref="A150:I163" totalsRowCount="1" headerRowDxfId="759" dataDxfId="758" totalsRowDxfId="757">
  <tableColumns count="9">
    <tableColumn id="1" xr3:uid="{C8FCA3E3-0D96-486D-95AB-189E7708F592}" name="TL DIVES" totalsRowLabel=" TOTAL " dataDxfId="756" totalsRowDxfId="755"/>
    <tableColumn id="2" xr3:uid="{FB27FB2A-AD37-448A-8028-7658797913E8}" name="2024" totalsRowFunction="average" dataDxfId="754" totalsRowDxfId="753">
      <calculatedColumnFormula>IF(DONNÉES!BW204="","",DONNÉES!BW204)</calculatedColumnFormula>
    </tableColumn>
    <tableColumn id="3" xr3:uid="{99A67985-7D42-4FFD-9171-1E63334DB0C8}" name="2023" totalsRowFunction="average" dataDxfId="752" totalsRowDxfId="751">
      <calculatedColumnFormula>IF(PMDLN[[#This Row],[2024]]="","",DONNÉES!BX204)</calculatedColumnFormula>
    </tableColumn>
    <tableColumn id="4" xr3:uid="{F9AE738E-D0B0-4FC7-B877-9518B1E06A8C}" name="2024 cumul" totalsRowFunction="average" dataDxfId="750" totalsRowDxfId="749">
      <calculatedColumnFormula>IF(PMDLN[[#This Row],[2024]]="","",DONNÉES!BW252)</calculatedColumnFormula>
    </tableColumn>
    <tableColumn id="5" xr3:uid="{9B2726CF-A760-45AD-BB25-12CCF7D1C951}" name="2023 cumul" totalsRowFunction="average" dataDxfId="748" totalsRowDxfId="747">
      <calculatedColumnFormula>IF(PMDLN[[#This Row],[2024]]="","",DONNÉES!BX252)</calculatedColumnFormula>
    </tableColumn>
    <tableColumn id="8" xr3:uid="{8788FA6E-FF37-40BB-A527-315205C7876E}" name="2024  " totalsRowFunction="average" dataDxfId="746" totalsRowDxfId="745">
      <calculatedColumnFormula>IF(PMDLN[[#This Row],[2024]]="","",DONNÉES!BW220)</calculatedColumnFormula>
    </tableColumn>
    <tableColumn id="9" xr3:uid="{A400D74F-90A2-4073-8965-066C702385DB}" name="2023  " totalsRowFunction="average" dataDxfId="744" totalsRowDxfId="743">
      <calculatedColumnFormula>IF(PMDLN[[#This Row],[2024]]="","",DONNÉES!BX220)</calculatedColumnFormula>
    </tableColumn>
    <tableColumn id="6" xr3:uid="{8AC651C4-A69B-481F-81B7-2334B6388F17}" name="2024 cumul " totalsRowFunction="average" dataDxfId="742" totalsRowDxfId="741">
      <calculatedColumnFormula>IF(PMDLN[[#This Row],[2024]]="","",DONNÉES!BW268)</calculatedColumnFormula>
    </tableColumn>
    <tableColumn id="7" xr3:uid="{5FD20841-3323-40E9-89C4-D0582DAFB473}" name="2023 cumul " totalsRowFunction="average" dataDxfId="740" totalsRowDxfId="739">
      <calculatedColumnFormula>IF(PMDLN[[#This Row],[2024]]="","",DONNÉES!BX268)</calculatedColumnFormula>
    </tableColumn>
  </tableColumns>
  <tableStyleInfo name="TableStyleMedium13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90C7C3A-D6BD-42D5-8C31-60975F294882}" name="PMDDIVES" displayName="PMDDIVES" ref="K150:N163" totalsRowCount="1" headerRowDxfId="738" dataDxfId="737" totalsRowDxfId="736">
  <tableColumns count="4">
    <tableColumn id="2" xr3:uid="{0AD58A72-9503-4980-8201-2D934D5F651B}" name="2024  " totalsRowFunction="average" dataDxfId="735" totalsRowDxfId="734">
      <calculatedColumnFormula>IF(PMDLN[[#This Row],[2024]]="","",DONNÉES!BW236)</calculatedColumnFormula>
    </tableColumn>
    <tableColumn id="3" xr3:uid="{EB79AF43-ED45-4AAB-AAA5-67019FBBAA4D}" name="2023  " totalsRowFunction="average" dataDxfId="733" totalsRowDxfId="732">
      <calculatedColumnFormula>IF(PMDLN[[#This Row],[2024]]="","",DONNÉES!BX236)</calculatedColumnFormula>
    </tableColumn>
    <tableColumn id="4" xr3:uid="{829F19DC-2677-45BD-A10B-E64CDB2FF584}" name="2024 cumul " totalsRowFunction="average" dataDxfId="731" totalsRowDxfId="730">
      <calculatedColumnFormula>IF(PMDLN[[#This Row],[2024]]="","",DONNÉES!BW284)</calculatedColumnFormula>
    </tableColumn>
    <tableColumn id="6" xr3:uid="{9AA0C313-DA08-4E84-812A-B6722BBEE135}" name="2023 cumul " totalsRowFunction="average" dataDxfId="729" totalsRowDxfId="728">
      <calculatedColumnFormula>IF(PMDLN[[#This Row],[2024]]="","",DONNÉES!BX284)</calculatedColumnFormula>
    </tableColumn>
  </tableColumns>
  <tableStyleInfo name="TableStyleMedium13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6B7889EF-723D-4426-8FC7-FE4515289695}" name="PMDVERNON" displayName="PMDVERNON" ref="A166:I179" totalsRowCount="1" headerRowDxfId="727" dataDxfId="726" totalsRowDxfId="725">
  <tableColumns count="9">
    <tableColumn id="1" xr3:uid="{32B82AE6-EDDD-481C-8EDF-09F030E43886}" name="TH4" totalsRowLabel=" TOTAL " dataDxfId="724" totalsRowDxfId="723"/>
    <tableColumn id="2" xr3:uid="{D060C642-3AEA-44EE-A8D3-B0EE1EE716E7}" name="2024" totalsRowFunction="average" dataDxfId="722" totalsRowDxfId="721">
      <calculatedColumnFormula>IF(DONNÉES!BO204="","",DONNÉES!BO204)</calculatedColumnFormula>
    </tableColumn>
    <tableColumn id="3" xr3:uid="{A6C9A402-8ED8-4B9A-8B5F-36D16AFBA684}" name="2023" totalsRowFunction="average" dataDxfId="720" totalsRowDxfId="719">
      <calculatedColumnFormula>IF(PMDVERNON[[#This Row],[2024]]="","",DONNÉES!BP204)</calculatedColumnFormula>
    </tableColumn>
    <tableColumn id="4" xr3:uid="{869E3E5E-060A-476F-893C-75B6B3A90EAF}" name="2024 cumul" totalsRowFunction="average" dataDxfId="718" totalsRowDxfId="717">
      <calculatedColumnFormula>IF(PMDVERNON[[#This Row],[2024]]="","",DONNÉES!BO252)</calculatedColumnFormula>
    </tableColumn>
    <tableColumn id="5" xr3:uid="{6076CDED-597D-4888-A753-FE91990A9527}" name="2023 cumul" totalsRowFunction="average" dataDxfId="716" totalsRowDxfId="715">
      <calculatedColumnFormula>IF(PMDVERNON[[#This Row],[2024]]="","",DONNÉES!BP252)</calculatedColumnFormula>
    </tableColumn>
    <tableColumn id="8" xr3:uid="{EA435C94-E96B-47C5-B6C4-5D934DA92305}" name="2024  " totalsRowFunction="average" dataDxfId="714" totalsRowDxfId="713">
      <calculatedColumnFormula>IF(PMDVERNON[[#This Row],[2024]]="","",DONNÉES!BO220)</calculatedColumnFormula>
    </tableColumn>
    <tableColumn id="9" xr3:uid="{6899473D-AB87-4D64-81BC-CDAF27D0AEC0}" name="2023  " totalsRowFunction="average" dataDxfId="712" totalsRowDxfId="711">
      <calculatedColumnFormula>IF(PMDVERNON[[#This Row],[2024]]="","",DONNÉES!BP220)</calculatedColumnFormula>
    </tableColumn>
    <tableColumn id="6" xr3:uid="{B65BAD57-FE22-4187-8630-E925FB23FBEA}" name="2024 cumul " totalsRowFunction="average" dataDxfId="710" totalsRowDxfId="709">
      <calculatedColumnFormula>IF(PMDVERNON[[#This Row],[2024]]="","",DONNÉES!BO268)</calculatedColumnFormula>
    </tableColumn>
    <tableColumn id="7" xr3:uid="{9B62C045-7824-4C52-BDBE-8BCB42433B67}" name="2023 cumul " totalsRowFunction="average" dataDxfId="708" totalsRowDxfId="707">
      <calculatedColumnFormula>IF(PMDVERNON[[#This Row],[2024]]="","",DONNÉES!BP268)</calculatedColumnFormula>
    </tableColumn>
  </tableColumns>
  <tableStyleInfo name="TableStyleMedium8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6B11D7DD-6871-42F5-9DEF-5CA92EFAB9CE}" name="PMDTH4" displayName="PMDTH4" ref="K166:N179" totalsRowCount="1" headerRowDxfId="706" dataDxfId="705" totalsRowDxfId="704">
  <tableColumns count="4">
    <tableColumn id="2" xr3:uid="{63150995-3122-4AB1-9E9D-61D8CE21A358}" name="2024  " totalsRowFunction="average" dataDxfId="703" totalsRowDxfId="702">
      <calculatedColumnFormula>IF(PMDVERNON[[#This Row],[2024]]="","",DONNÉES!BO236)</calculatedColumnFormula>
    </tableColumn>
    <tableColumn id="3" xr3:uid="{C2616C7D-4AB3-4DD5-8A9C-C8DB3157CBDB}" name="2023  " totalsRowFunction="average" dataDxfId="701" totalsRowDxfId="700">
      <calculatedColumnFormula>IF(PMDVERNON[[#This Row],[2024]]="","",DONNÉES!BP236)</calculatedColumnFormula>
    </tableColumn>
    <tableColumn id="4" xr3:uid="{3AA4A089-BF1F-426C-9D38-B6CD7169BB91}" name="2024 cumul " totalsRowFunction="average" dataDxfId="699" totalsRowDxfId="698">
      <calculatedColumnFormula>IF(PMDVERNON[[#This Row],[2024]]="","",DONNÉES!BO284)</calculatedColumnFormula>
    </tableColumn>
    <tableColumn id="1" xr3:uid="{7760B21A-6201-4CA8-A94A-18BC81F95FD4}" name="2023 cumul " totalsRowFunction="average" dataDxfId="697" totalsRowDxfId="696">
      <calculatedColumnFormula>IF(PMDVERNON[[#This Row],[2024]]="","",DONNÉES!BP284)</calculatedColumnFormula>
    </tableColumn>
  </tableColumns>
  <tableStyleInfo name="TableStyleMedium8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A3B10E26-1140-486F-A67F-BAA1E9AABBB0}" name="PMDBIGNALET117" displayName="PMDBIGNALET117" ref="A54:I67" totalsRowCount="1" headerRowDxfId="695" dataDxfId="694" totalsRowDxfId="693">
  <tableColumns count="9">
    <tableColumn id="1" xr3:uid="{A8BA359D-EA9B-4BD0-A790-DCC46BECA364}" name="VR7" totalsRowLabel=" TOTAL " dataDxfId="692" totalsRowDxfId="691"/>
    <tableColumn id="2" xr3:uid="{97DFE590-E8C6-435C-86CD-B7AF8E2D9C13}" name="2024" totalsRowFunction="average" dataDxfId="690" totalsRowDxfId="689">
      <calculatedColumnFormula>IF(DONNÉES!AI204="","",DONNÉES!AI204)</calculatedColumnFormula>
    </tableColumn>
    <tableColumn id="3" xr3:uid="{5A6674B0-1652-4338-B36F-7E5F65522027}" name="2023" totalsRowFunction="average" dataDxfId="688" totalsRowDxfId="687">
      <calculatedColumnFormula>IF(PMDBIGNALET117[[#This Row],[2024]]="","",DONNÉES!AJ204)</calculatedColumnFormula>
    </tableColumn>
    <tableColumn id="4" xr3:uid="{1D267174-5895-416C-909F-403E3A82A4BB}" name="2024 cumul" totalsRowFunction="average" dataDxfId="686" totalsRowDxfId="685">
      <calculatedColumnFormula>IF(PMDBIGNALET117[[#This Row],[2024]]="","",DONNÉES!AI252)</calculatedColumnFormula>
    </tableColumn>
    <tableColumn id="5" xr3:uid="{027FE49D-20FF-4B75-87A6-0987A5635883}" name="2023 cumul" totalsRowFunction="average" dataDxfId="684" totalsRowDxfId="683">
      <calculatedColumnFormula>IF(PMDBIGNALET117[[#This Row],[2024]]="","",DONNÉES!AJ252)</calculatedColumnFormula>
    </tableColumn>
    <tableColumn id="8" xr3:uid="{397A32F2-80E8-4267-A89B-AA303257F09F}" name="2024  " totalsRowFunction="average" dataDxfId="682" totalsRowDxfId="681">
      <calculatedColumnFormula>IF(PMDBIGNALET117[[#This Row],[2024]]="","",DONNÉES!AI220)</calculatedColumnFormula>
    </tableColumn>
    <tableColumn id="9" xr3:uid="{EA616046-04E7-447E-8592-CEC991690979}" name="2023  " totalsRowFunction="average" dataDxfId="680" totalsRowDxfId="679">
      <calculatedColumnFormula>IF(PMDBIGNALET117[[#This Row],[2024]]="","",DONNÉES!AJ220)</calculatedColumnFormula>
    </tableColumn>
    <tableColumn id="6" xr3:uid="{F35E12F3-CFD9-4EBC-961E-3094894DFBDB}" name="2024 cumul " totalsRowFunction="average" dataDxfId="678" totalsRowDxfId="677">
      <calculatedColumnFormula>IF(PMDBIGNALET117[[#This Row],[2024]]="","",DONNÉES!AI268)</calculatedColumnFormula>
    </tableColumn>
    <tableColumn id="7" xr3:uid="{B2866F1C-9938-4211-8FCA-A742E5ADB121}" name="2023 cumul " totalsRowFunction="average" dataDxfId="676" totalsRowDxfId="675">
      <calculatedColumnFormula>IF(PMDBIGNALET117[[#This Row],[2024]]="","",DONNÉES!AJ268)</calculatedColumnFormula>
    </tableColumn>
  </tableColumns>
  <tableStyleInfo name="TableStyleMedium10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F17D636D-4B3A-41CA-BF0C-E4DD39C9E680}" name="PMDVR7" displayName="PMDVR7" ref="K54:N67" totalsRowCount="1" headerRowDxfId="674" dataDxfId="673" totalsRowDxfId="672">
  <tableColumns count="4">
    <tableColumn id="2" xr3:uid="{2C81EDAE-CE9D-4B9F-947E-9D7814785A86}" name="2024  " totalsRowFunction="average" dataDxfId="671" totalsRowDxfId="670">
      <calculatedColumnFormula>IF(PMDBIGNALET117[[#This Row],[2024]]="","",DONNÉES!AI236)</calculatedColumnFormula>
    </tableColumn>
    <tableColumn id="3" xr3:uid="{28C358F0-8C7F-45EF-9CB4-165CDD84A45D}" name="2023  " totalsRowFunction="average" dataDxfId="669" totalsRowDxfId="668">
      <calculatedColumnFormula>IF(PMDBIGNALET117[[#This Row],[2024]]="","",DONNÉES!AJ236)</calculatedColumnFormula>
    </tableColumn>
    <tableColumn id="4" xr3:uid="{32B87F31-0A5B-4BC4-B29A-BF7ACAE25E75}" name="2024 cumul " totalsRowFunction="average" dataDxfId="667" totalsRowDxfId="666">
      <calculatedColumnFormula>IF(PMDBIGNALET117[[#This Row],[2024]]="","",DONNÉES!AI284)</calculatedColumnFormula>
    </tableColumn>
    <tableColumn id="1" xr3:uid="{D3DE2352-2F25-4558-B5D8-03E5E3E66050}" name="2023 cumul " totalsRowFunction="average" dataDxfId="665" totalsRowDxfId="664">
      <calculatedColumnFormula>IF(PMDBIGNALET117[[#This Row],[2024]]="","",DONNÉES!AJ284)</calculatedColumnFormula>
    </tableColumn>
  </tableColumns>
  <tableStyleInfo name="TableStyleMedium10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4DEBD41F-CD7D-427B-8BD8-89A04F7101C7}" name="PMDCINE124" displayName="PMDCINE124" ref="A70:I83" totalsRowCount="1" headerRowDxfId="663" dataDxfId="662" totalsRowDxfId="661">
  <tableColumns count="9">
    <tableColumn id="1" xr3:uid="{A4CBCE5A-8A5F-4C5F-BD0A-96C67BA8C8EE}" name="TURVILLA" totalsRowLabel=" TOTAL " dataDxfId="660" totalsRowDxfId="659"/>
    <tableColumn id="2" xr3:uid="{87CA23EC-3295-41DE-87B1-40B3B341CD91}" name="2024" totalsRowFunction="average" dataDxfId="658" totalsRowDxfId="657">
      <calculatedColumnFormula>IF(DONNÉES!AQ204="","",DONNÉES!AQ204)</calculatedColumnFormula>
    </tableColumn>
    <tableColumn id="3" xr3:uid="{DF609F1F-0E45-4B6E-8185-95C653E61575}" name="2023" totalsRowFunction="average" dataDxfId="656" totalsRowDxfId="655">
      <calculatedColumnFormula>IF(PMDCINE124[[#This Row],[2024]]="","",DONNÉES!AR204)</calculatedColumnFormula>
    </tableColumn>
    <tableColumn id="4" xr3:uid="{551FFB0B-4846-4E5D-A767-1B74307CD69D}" name="2024 cumul" totalsRowFunction="average" dataDxfId="654" totalsRowDxfId="653">
      <calculatedColumnFormula>IF(PMDCINE124[[#This Row],[2024]]="","",DONNÉES!AQ252)</calculatedColumnFormula>
    </tableColumn>
    <tableColumn id="5" xr3:uid="{EAB6C414-33FB-4114-BD8F-7AF5754970A5}" name="2023 cumul" totalsRowFunction="average" dataDxfId="652" totalsRowDxfId="651">
      <calculatedColumnFormula>IF(PMDCINE124[[#This Row],[2024]]="","",DONNÉES!AR252)</calculatedColumnFormula>
    </tableColumn>
    <tableColumn id="8" xr3:uid="{6421DAA5-EFA5-4770-BE02-10AB9EC46D76}" name="2024  " totalsRowFunction="average" dataDxfId="650" totalsRowDxfId="649">
      <calculatedColumnFormula>IF(PMDCINE124[[#This Row],[2024]]="","",DONNÉES!AQ220)</calculatedColumnFormula>
    </tableColumn>
    <tableColumn id="9" xr3:uid="{E4C8FB3B-56EA-4BF7-9A63-905C1012D8CF}" name="2023  " totalsRowFunction="average" dataDxfId="648" totalsRowDxfId="647">
      <calculatedColumnFormula>IF(PMDCINE124[[#This Row],[2024]]="","",DONNÉES!AR220)</calculatedColumnFormula>
    </tableColumn>
    <tableColumn id="6" xr3:uid="{759F1CCE-9F01-424B-809B-C75791DBA883}" name="2024 cumul " totalsRowFunction="average" dataDxfId="646" totalsRowDxfId="645">
      <calculatedColumnFormula>IF(PMDCINE124[[#This Row],[2024]]="","",DONNÉES!AQ268)</calculatedColumnFormula>
    </tableColumn>
    <tableColumn id="7" xr3:uid="{CFE029B3-D6F3-4E1D-8119-AAB9BF44BC7D}" name="2023 cumul " totalsRowFunction="average" dataDxfId="644" totalsRowDxfId="643">
      <calculatedColumnFormula>IF(PMDCINE124[[#This Row],[2024]]="","",DONNÉES!AR268)</calculatedColumnFormula>
    </tableColumn>
  </tableColumns>
  <tableStyleInfo name="TableStyleMedium10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D50D280-380E-45C5-B4EA-4C7920E8EC32}" name="PMDTURVILLA" displayName="PMDTURVILLA" ref="K70:N83" totalsRowCount="1" headerRowDxfId="642" dataDxfId="641" totalsRowDxfId="640">
  <tableColumns count="4">
    <tableColumn id="2" xr3:uid="{93B8E3CC-3E3A-478D-ACBD-1A5B297AF0BF}" name="2024  " totalsRowFunction="average" dataDxfId="639" totalsRowDxfId="638">
      <calculatedColumnFormula>IF(PMDCINE124[[#This Row],[2024]]="","",DONNÉES!AQ236)</calculatedColumnFormula>
    </tableColumn>
    <tableColumn id="3" xr3:uid="{C7FDCE45-DB4E-48BC-BDAC-7E745459C18C}" name="2023  " totalsRowFunction="average" dataDxfId="637" totalsRowDxfId="636">
      <calculatedColumnFormula>IF(PMDCINE124[[#This Row],[2024]]="","",DONNÉES!AR236)</calculatedColumnFormula>
    </tableColumn>
    <tableColumn id="4" xr3:uid="{200158B3-5872-4AD0-A63F-2AAA3920C080}" name="2024 cumul " totalsRowFunction="average" dataDxfId="635" totalsRowDxfId="634">
      <calculatedColumnFormula>IF(PMDCINE124[[#This Row],[2024]]="","",DONNÉES!AQ284)</calculatedColumnFormula>
    </tableColumn>
    <tableColumn id="1" xr3:uid="{7355F845-E894-4EBA-89E5-7FC1ED683A6C}" name="2023 cumul " totalsRowFunction="average" dataDxfId="633" totalsRowDxfId="632">
      <calculatedColumnFormula>IF(PMDCINE124[[#This Row],[2024]]="","",DONNÉES!AR284)</calculatedColumnFormula>
    </tableColumn>
  </tableColumns>
  <tableStyleInfo name="TableStyleMedium10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C65E51B9-7BEE-4985-9C8A-9CB4DA004441}" name="PMDLN131" displayName="PMDLN131" ref="A86:I99" totalsRowCount="1" headerRowDxfId="631" dataDxfId="630" totalsRowDxfId="629">
  <tableColumns count="9">
    <tableColumn id="1" xr3:uid="{55525DEF-6D65-4119-B028-C070794D02BC}" name="HART" totalsRowLabel=" TOTAL " dataDxfId="628" totalsRowDxfId="627"/>
    <tableColumn id="2" xr3:uid="{D1650710-2C91-47F3-B831-B9E05787B407}" name="2024" totalsRowFunction="average" dataDxfId="626" totalsRowDxfId="625">
      <calculatedColumnFormula>IF(DONNÉES!AY204="","",DONNÉES!AY204)</calculatedColumnFormula>
    </tableColumn>
    <tableColumn id="3" xr3:uid="{F6B14C71-4D1D-402F-BD0A-FFBDE0EE719B}" name="2023" totalsRowFunction="average" dataDxfId="624" totalsRowDxfId="623">
      <calculatedColumnFormula>IF(PMDLN131[[#This Row],[2024]]="","",DONNÉES!AZ204)</calculatedColumnFormula>
    </tableColumn>
    <tableColumn id="4" xr3:uid="{9B25A60F-A779-4274-9B18-2F97411DF322}" name="2024 cumul" totalsRowFunction="average" dataDxfId="622" totalsRowDxfId="621">
      <calculatedColumnFormula>IF(PMDLN131[[#This Row],[2024]]="","",DONNÉES!AY252)</calculatedColumnFormula>
    </tableColumn>
    <tableColumn id="5" xr3:uid="{CB0838BE-01C2-4FDA-BADF-0C497A604818}" name="2023 cumul" totalsRowFunction="average" dataDxfId="620" totalsRowDxfId="619">
      <calculatedColumnFormula>IF(PMDLN131[[#This Row],[2024]]="","",DONNÉES!AZ252)</calculatedColumnFormula>
    </tableColumn>
    <tableColumn id="8" xr3:uid="{3643DE68-3E4D-4C54-B5D0-51163C833EED}" name="2024  " totalsRowFunction="average" dataDxfId="618" totalsRowDxfId="617">
      <calculatedColumnFormula>IF(PMDLN131[[#This Row],[2024]]="","",DONNÉES!AY220)</calculatedColumnFormula>
    </tableColumn>
    <tableColumn id="9" xr3:uid="{D4CB7526-6954-4E29-9636-16ECA2443A1C}" name="2023  " totalsRowFunction="average" dataDxfId="616" totalsRowDxfId="615">
      <calculatedColumnFormula>IF(PMDLN131[[#This Row],[2024]]="","",DONNÉES!AZ220)</calculatedColumnFormula>
    </tableColumn>
    <tableColumn id="6" xr3:uid="{89E9C273-F0C7-43CA-BC40-EB02E3F76A2E}" name="2024 cumul " totalsRowFunction="average" dataDxfId="614" totalsRowDxfId="613">
      <calculatedColumnFormula>IF(PMDLN131[[#This Row],[2024]]="","",DONNÉES!AY268)</calculatedColumnFormula>
    </tableColumn>
    <tableColumn id="7" xr3:uid="{F4341CF8-A218-4BCD-9B41-28F8185D3BD1}" name="2023 cumul " totalsRowFunction="average" dataDxfId="612" totalsRowDxfId="611">
      <calculatedColumnFormula>IF(PMDLN131[[#This Row],[2024]]="","",DONNÉES!AZ268)</calculatedColumnFormula>
    </tableColumn>
  </tableColumns>
  <tableStyleInfo name="TableStyleMedium1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08674ABB-CD26-4C84-A4F1-97A831174B03}" name="PMDHART" displayName="PMDHART" ref="K86:N99" totalsRowCount="1" headerRowDxfId="610" dataDxfId="609" totalsRowDxfId="608">
  <tableColumns count="4">
    <tableColumn id="2" xr3:uid="{7821B528-9CEE-4535-B614-4B348697F304}" name="2024  " totalsRowFunction="average" dataDxfId="607" totalsRowDxfId="606">
      <calculatedColumnFormula>IF(PMDLN131[[#This Row],[2024]]="","",DONNÉES!AY236)</calculatedColumnFormula>
    </tableColumn>
    <tableColumn id="3" xr3:uid="{0BB894F8-0FC0-4578-88FE-A9BE03D1F2C6}" name="2023  " totalsRowFunction="average" dataDxfId="605" totalsRowDxfId="604">
      <calculatedColumnFormula>IF(PMDLN131[[#This Row],[2024]]="","",DONNÉES!AZ236)</calculatedColumnFormula>
    </tableColumn>
    <tableColumn id="4" xr3:uid="{94528539-3F59-4A85-9FD9-83E7C4679266}" name="2024 cumul " totalsRowFunction="average" dataDxfId="603" totalsRowDxfId="602">
      <calculatedColumnFormula>IF(PMDLN131[[#This Row],[2024]]="","",DONNÉES!AY284)</calculatedColumnFormula>
    </tableColumn>
    <tableColumn id="6" xr3:uid="{6FEF150A-C9B9-4870-B2CF-76430A883676}" name="2023 cumul " totalsRowFunction="average" dataDxfId="601" totalsRowDxfId="600">
      <calculatedColumnFormula>IF(PMDLN131[[#This Row],[2024]]="","",DONNÉES!AZ284)</calculatedColumnFormula>
    </tableColumn>
  </tableColumns>
  <tableStyleInfo name="TableStyleMedium1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E868BF3A-D282-44C7-B257-74988DB61684}" name="PMDVERNON138" displayName="PMDVERNON138" ref="A102:I115" totalsRowCount="1" headerRowDxfId="599" dataDxfId="598" totalsRowDxfId="597">
  <tableColumns count="9">
    <tableColumn id="1" xr3:uid="{36484C3F-60DB-4C83-BE3B-A7C41EE8FC6D}" name="VICTOIRE" totalsRowLabel=" TOTAL " dataDxfId="596" totalsRowDxfId="595"/>
    <tableColumn id="2" xr3:uid="{9C438156-DC8C-4217-9065-45BD53AFF609}" name="2024" totalsRowFunction="average" dataDxfId="594" totalsRowDxfId="593">
      <calculatedColumnFormula>IF(DONNÉES!BG204="","",DONNÉES!BG204)</calculatedColumnFormula>
    </tableColumn>
    <tableColumn id="3" xr3:uid="{7312BF80-AEDA-420A-B89B-4D026626CF3F}" name="2023" totalsRowFunction="average" dataDxfId="592" totalsRowDxfId="591">
      <calculatedColumnFormula>IF(PMDVERNON138[[#This Row],[2024]]="","",DONNÉES!BH204)</calculatedColumnFormula>
    </tableColumn>
    <tableColumn id="4" xr3:uid="{2AF65A3F-8B06-4C13-A3F1-5A877F9CDF31}" name="2024 cumul" totalsRowFunction="average" dataDxfId="590" totalsRowDxfId="589">
      <calculatedColumnFormula>IF(PMDVERNON138[[#This Row],[2024]]="","",DONNÉES!BG252)</calculatedColumnFormula>
    </tableColumn>
    <tableColumn id="5" xr3:uid="{953E3804-3BAF-4D7D-872B-AD97B3377780}" name="2023 cumul" totalsRowFunction="average" dataDxfId="588" totalsRowDxfId="587">
      <calculatedColumnFormula>IF(PMDVERNON138[[#This Row],[2024]]="","",DONNÉES!BH252)</calculatedColumnFormula>
    </tableColumn>
    <tableColumn id="8" xr3:uid="{F07F1B1F-822A-4FCA-B8A7-B828FF375FE1}" name="2024  " totalsRowFunction="average" dataDxfId="586" totalsRowDxfId="585">
      <calculatedColumnFormula>IF(PMDVERNON138[[#This Row],[2024]]="","",DONNÉES!BG220)</calculatedColumnFormula>
    </tableColumn>
    <tableColumn id="9" xr3:uid="{F1E494F8-B98E-44C4-A5BF-CEDEE8140284}" name="2023  " totalsRowFunction="average" dataDxfId="584" totalsRowDxfId="583">
      <calculatedColumnFormula>IF(PMDVERNON138[[#This Row],[2024]]="","",DONNÉES!BH220)</calculatedColumnFormula>
    </tableColumn>
    <tableColumn id="6" xr3:uid="{D54F6979-39E4-499B-B857-EC423DA3D45D}" name="2024 cumul " totalsRowFunction="average" dataDxfId="582" totalsRowDxfId="581">
      <calculatedColumnFormula>IF(PMDVERNON138[[#This Row],[2024]]="","",DONNÉES!BG268)</calculatedColumnFormula>
    </tableColumn>
    <tableColumn id="7" xr3:uid="{E7C36361-19B2-46DB-A434-CE9E054E5D64}" name="2023 cumul " totalsRowFunction="average" dataDxfId="580" totalsRowDxfId="579">
      <calculatedColumnFormula>IF(PMDVERNON138[[#This Row],[2024]]="","",DONNÉES!BH268)</calculatedColumnFormula>
    </tableColumn>
  </tableColumns>
  <tableStyleInfo name="TableStyleMedium1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454E3944-B9A1-4297-9853-411FDAF9C27F}" name="PMDVICTOIRE" displayName="PMDVICTOIRE" ref="K102:N115" totalsRowCount="1" headerRowDxfId="578" dataDxfId="577" totalsRowDxfId="576">
  <tableColumns count="4">
    <tableColumn id="2" xr3:uid="{EC348CEB-24A1-4674-801E-F2821509C7A8}" name="2024  " totalsRowFunction="average" dataDxfId="575" totalsRowDxfId="574">
      <calculatedColumnFormula>IF(PMDVERNON138[[#This Row],[2024]]="","",DONNÉES!BG236)</calculatedColumnFormula>
    </tableColumn>
    <tableColumn id="3" xr3:uid="{A3C65DF7-331A-4F2D-BE74-67644810F6CD}" name="2023  " totalsRowFunction="average" dataDxfId="573" totalsRowDxfId="572">
      <calculatedColumnFormula>IF(PMDVERNON138[[#This Row],[2024]]="","",DONNÉES!BH236)</calculatedColumnFormula>
    </tableColumn>
    <tableColumn id="4" xr3:uid="{6930DD20-0C75-473F-A649-BF8DB935BF7E}" name="2024 cumul " totalsRowFunction="average" dataDxfId="571" totalsRowDxfId="570">
      <calculatedColumnFormula>IF(PMDVERNON138[[#This Row],[2024]]="","",DONNÉES!BG284)</calculatedColumnFormula>
    </tableColumn>
    <tableColumn id="1" xr3:uid="{D1B4A76A-B42A-4A36-B278-D14DBD3958B4}" name="2023 cumul " totalsRowFunction="average" dataDxfId="569" totalsRowDxfId="568">
      <calculatedColumnFormula>IF(PMDVERNON138[[#This Row],[2024]]="","",DONNÉES!BH284)</calculatedColumnFormula>
    </tableColumn>
  </tableColumns>
  <tableStyleInfo name="TableStyleMedium1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4907534A-ACF9-4FD5-B5F9-72A46E36BB16}" name="PMDBIGNALET117145" displayName="PMDBIGNALET117145" ref="A6:I19" totalsRowCount="1" headerRowDxfId="567" dataDxfId="566" totalsRowDxfId="565">
  <tableColumns count="9">
    <tableColumn id="1" xr3:uid="{F67DCB80-A241-477B-BB84-4EC83A60627D}" name="GLR5" totalsRowLabel=" TOTAL " dataDxfId="564" totalsRowDxfId="563"/>
    <tableColumn id="2" xr3:uid="{642709AE-4AC5-412D-9AD3-DCD9D64BE7EE}" name="2024" totalsRowFunction="average" dataDxfId="562" totalsRowDxfId="561">
      <calculatedColumnFormula>IF(DONNÉES!K204="","",DONNÉES!K204)</calculatedColumnFormula>
    </tableColumn>
    <tableColumn id="3" xr3:uid="{47A8FA24-1BB7-4972-B589-CB7DE46E5C58}" name="2023" totalsRowFunction="average" dataDxfId="560" totalsRowDxfId="559">
      <calculatedColumnFormula>IF(PMDBIGNALET117145[[#This Row],[2024]]="","",DONNÉES!L204)</calculatedColumnFormula>
    </tableColumn>
    <tableColumn id="4" xr3:uid="{CDF242F8-1DE5-4663-A2A3-C50D8C1EA20E}" name="2024 cumul" totalsRowFunction="average" dataDxfId="558" totalsRowDxfId="557">
      <calculatedColumnFormula>IF(PMDBIGNALET117145[[#This Row],[2024]]="","",DONNÉES!K252)</calculatedColumnFormula>
    </tableColumn>
    <tableColumn id="5" xr3:uid="{ED4372B8-3A2B-4192-B1FC-43BC35F3F634}" name="2023 cumul" totalsRowFunction="average" dataDxfId="556" totalsRowDxfId="555">
      <calculatedColumnFormula>IF(PMDBIGNALET117145[[#This Row],[2024]]="","",DONNÉES!L252)</calculatedColumnFormula>
    </tableColumn>
    <tableColumn id="8" xr3:uid="{42B57526-5FDB-40E2-AFA7-8712708B55B7}" name="2024  " totalsRowFunction="average" dataDxfId="554" totalsRowDxfId="553">
      <calculatedColumnFormula>IF(PMDBIGNALET117145[[#This Row],[2024]]="","",DONNÉES!K220)</calculatedColumnFormula>
    </tableColumn>
    <tableColumn id="9" xr3:uid="{F4220A8E-2A57-4BA9-969E-183207CAE5E6}" name="2023  " totalsRowFunction="average" dataDxfId="552" totalsRowDxfId="551">
      <calculatedColumnFormula>IF(PMDBIGNALET117145[[#This Row],[2024]]="","",DONNÉES!L220)</calculatedColumnFormula>
    </tableColumn>
    <tableColumn id="6" xr3:uid="{20CAEDC5-339D-4EDF-9E79-0A2B10BF0297}" name="2024 cumul " totalsRowFunction="average" dataDxfId="550" totalsRowDxfId="549">
      <calculatedColumnFormula>IF(PMDBIGNALET117145[[#This Row],[2024]]="","",DONNÉES!K268)</calculatedColumnFormula>
    </tableColumn>
    <tableColumn id="7" xr3:uid="{CE526117-D3A4-44E5-AAA1-BFECAC1937EC}" name="2023 cumul " totalsRowFunction="average" dataDxfId="548" totalsRowDxfId="547">
      <calculatedColumnFormula>IF(PMDBIGNALET117145[[#This Row],[2024]]="","",DONNÉES!L268)</calculatedColumnFormula>
    </tableColumn>
  </tableColumns>
  <tableStyleInfo name="TableStyleMedium11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AE5F3AFB-0618-412C-9CF0-E32E9A58F77F}" name="PMDGLR5" displayName="PMDGLR5" ref="K6:N19" totalsRowCount="1" headerRowDxfId="546" dataDxfId="545" totalsRowDxfId="544">
  <tableColumns count="4">
    <tableColumn id="2" xr3:uid="{AC32F261-378E-43F2-816F-4CED55297ED8}" name="2024  " totalsRowFunction="average" dataDxfId="543" totalsRowDxfId="542">
      <calculatedColumnFormula>IF(PMDBIGNALET117145[[#This Row],[2024]]="","",DONNÉES!K236)</calculatedColumnFormula>
    </tableColumn>
    <tableColumn id="3" xr3:uid="{5F267460-7E49-45D9-9700-0D1026A02FFA}" name="2023  " totalsRowFunction="average" dataDxfId="541" totalsRowDxfId="540">
      <calculatedColumnFormula>IF(PMDBIGNALET117145[[#This Row],[2024]]="","",DONNÉES!L236)</calculatedColumnFormula>
    </tableColumn>
    <tableColumn id="4" xr3:uid="{C2192263-E0CF-47A5-BEDE-0995311F14E7}" name="2024 cumul " totalsRowFunction="average" dataDxfId="539" totalsRowDxfId="538">
      <calculatedColumnFormula>IF(PMDBIGNALET117145[[#This Row],[2024]]="","",DONNÉES!K284)</calculatedColumnFormula>
    </tableColumn>
    <tableColumn id="1" xr3:uid="{27947842-024C-4BC8-95F9-FAF1FD8384C6}" name="2023 cumul " totalsRowFunction="average" dataDxfId="537" totalsRowDxfId="536">
      <calculatedColumnFormula>IF(PMDBIGNALET117145[[#This Row],[2024]]="","",DONNÉES!L284)</calculatedColumnFormula>
    </tableColumn>
  </tableColumns>
  <tableStyleInfo name="TableStyleMedium11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3B165340-9C76-4C55-A40A-F59B8EBE6373}" name="PMDCINE124152" displayName="PMDCINE124152" ref="A22:I35" totalsRowCount="1" headerRowDxfId="535" dataDxfId="534" totalsRowDxfId="533">
  <tableColumns count="9">
    <tableColumn id="1" xr3:uid="{40110148-B80D-45FA-A1C5-42AEA96190F4}" name="HTR8" totalsRowLabel=" TOTAL " dataDxfId="532" totalsRowDxfId="531"/>
    <tableColumn id="2" xr3:uid="{A84B536D-52CF-4FA6-9E76-A55932B5A693}" name="2024" totalsRowFunction="average" dataDxfId="530" totalsRowDxfId="529">
      <calculatedColumnFormula>IF(DONNÉES!S204="","",DONNÉES!S204)</calculatedColumnFormula>
    </tableColumn>
    <tableColumn id="3" xr3:uid="{7EFA2122-8EEC-4305-AE74-4B1F7535DD33}" name="2023" totalsRowFunction="average" dataDxfId="528" totalsRowDxfId="527">
      <calculatedColumnFormula>IF(PMDCINE124152[[#This Row],[2024]]="","",DONNÉES!T204)</calculatedColumnFormula>
    </tableColumn>
    <tableColumn id="4" xr3:uid="{3C84AE55-3E78-4BAA-BF58-675947A35901}" name="2024 cumul" totalsRowFunction="average" dataDxfId="526" totalsRowDxfId="525">
      <calculatedColumnFormula>IF(PMDCINE124152[[#This Row],[2024]]="","",DONNÉES!S252)</calculatedColumnFormula>
    </tableColumn>
    <tableColumn id="5" xr3:uid="{2129860B-1801-4C3B-8B52-D4D6028AFA14}" name="2023 cumul" totalsRowFunction="average" dataDxfId="524" totalsRowDxfId="523">
      <calculatedColumnFormula>IF(PMDCINE124152[[#This Row],[2024]]="","",DONNÉES!T252)</calculatedColumnFormula>
    </tableColumn>
    <tableColumn id="8" xr3:uid="{15472EB1-AF64-40C1-A36B-946B1B9083C8}" name="2024  " totalsRowFunction="average" dataDxfId="522" totalsRowDxfId="521">
      <calculatedColumnFormula>IF(PMDCINE124152[[#This Row],[2024]]="","",DONNÉES!S220)</calculatedColumnFormula>
    </tableColumn>
    <tableColumn id="9" xr3:uid="{A401C3C9-C3E3-4191-B3F9-AE29F31B9193}" name="2023  " totalsRowFunction="average" dataDxfId="520" totalsRowDxfId="519">
      <calculatedColumnFormula>IF(PMDCINE124152[[#This Row],[2024]]="","",DONNÉES!T220)</calculatedColumnFormula>
    </tableColumn>
    <tableColumn id="6" xr3:uid="{01395785-B06A-48CA-8E47-FE59B6FC6913}" name="2024 cumul " totalsRowFunction="average" dataDxfId="518" totalsRowDxfId="517">
      <calculatedColumnFormula>IF(PMDCINE124152[[#This Row],[2024]]="","",DONNÉES!S268)</calculatedColumnFormula>
    </tableColumn>
    <tableColumn id="7" xr3:uid="{3DF89CFA-64AC-4EF8-87C5-FB1D4C8B4399}" name="2023 cumul " totalsRowFunction="average" dataDxfId="516" totalsRowDxfId="515">
      <calculatedColumnFormula>IF(PMDCINE124152[[#This Row],[2024]]="","",DONNÉES!T268)</calculatedColumnFormula>
    </tableColumn>
  </tableColumns>
  <tableStyleInfo name="TableStyleMedium13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47A92D8-9368-4048-937C-E8D221F06485}" name="PMDHTR8" displayName="PMDHTR8" ref="K22:N35" totalsRowCount="1" headerRowDxfId="514" dataDxfId="513" totalsRowDxfId="512">
  <tableColumns count="4">
    <tableColumn id="2" xr3:uid="{2F9FA824-3CEA-4EDC-AE65-EAABB21F07D5}" name="2024  " totalsRowFunction="average" dataDxfId="511" totalsRowDxfId="510">
      <calculatedColumnFormula>IF(PMDCINE124152[[#This Row],[2024]]="","",DONNÉES!S236)</calculatedColumnFormula>
    </tableColumn>
    <tableColumn id="3" xr3:uid="{E1C0342A-7A87-49A3-84E1-990D69419367}" name="2023  " totalsRowFunction="average" dataDxfId="509" totalsRowDxfId="508">
      <calculatedColumnFormula>IF(PMDCINE124152[[#This Row],[2024]]="","",DONNÉES!T236)</calculatedColumnFormula>
    </tableColumn>
    <tableColumn id="4" xr3:uid="{2DC839A4-F2F8-4D07-A360-1B0DC286EF95}" name="2024 cumul " totalsRowFunction="average" dataDxfId="507" totalsRowDxfId="506">
      <calculatedColumnFormula>IF(PMDCINE124152[[#This Row],[2024]]="","",DONNÉES!S284)</calculatedColumnFormula>
    </tableColumn>
    <tableColumn id="1" xr3:uid="{20CDE132-0DED-4655-B7B0-D9EEED395370}" name="2023 cumul " totalsRowFunction="average" dataDxfId="505" totalsRowDxfId="504">
      <calculatedColumnFormula>IF(PMDCINE124152[[#This Row],[2024]]="","",DONNÉES!T284)</calculatedColumnFormula>
    </tableColumn>
  </tableColumns>
  <tableStyleInfo name="TableStyleMedium13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5CCEC350-BCBA-445C-8173-04EE400B6107}" name="PMDLN131159" displayName="PMDLN131159" ref="A38:I51" totalsRowCount="1" headerRowDxfId="503" dataDxfId="502" totalsRowDxfId="501">
  <tableColumns count="9">
    <tableColumn id="1" xr3:uid="{167E6B66-3D62-4449-8A40-F205A7652ECB}" name="TIRR" totalsRowLabel=" TOTAL " dataDxfId="500" totalsRowDxfId="499"/>
    <tableColumn id="2" xr3:uid="{D490C83D-1225-43F4-9749-7C1B853E7513}" name="2024" totalsRowFunction="average" dataDxfId="498" totalsRowDxfId="497">
      <calculatedColumnFormula>IF(DONNÉES!AA204="","",DONNÉES!AA204)</calculatedColumnFormula>
    </tableColumn>
    <tableColumn id="3" xr3:uid="{A0CFFAB8-E6B7-418A-8561-21380793A7C7}" name="2023" totalsRowFunction="average" dataDxfId="496" totalsRowDxfId="495">
      <calculatedColumnFormula>IF(PMDLN131159[[#This Row],[2024]]="","",DONNÉES!AB204)</calculatedColumnFormula>
    </tableColumn>
    <tableColumn id="4" xr3:uid="{3483565E-F336-4262-A12D-316B7A45BE3D}" name="2024 cumul" totalsRowFunction="average" dataDxfId="494" totalsRowDxfId="493">
      <calculatedColumnFormula>IF(PMDLN131159[[#This Row],[2024]]="","",DONNÉES!AA252)</calculatedColumnFormula>
    </tableColumn>
    <tableColumn id="5" xr3:uid="{F923871A-48D0-4AEF-AEF5-7C59ABADFC41}" name="2023 cumul" totalsRowFunction="average" dataDxfId="492" totalsRowDxfId="491">
      <calculatedColumnFormula>IF(PMDLN131159[[#This Row],[2024]]="","",DONNÉES!AB252)</calculatedColumnFormula>
    </tableColumn>
    <tableColumn id="8" xr3:uid="{5290494F-8CE8-4FC4-9189-C2B7B4742813}" name="2024  " totalsRowFunction="average" dataDxfId="490" totalsRowDxfId="489">
      <calculatedColumnFormula>IF(PMDLN131159[[#This Row],[2024]]="","",DONNÉES!AA220)</calculatedColumnFormula>
    </tableColumn>
    <tableColumn id="9" xr3:uid="{D9DA1245-A984-4332-AFB6-7F3BD16C5DDC}" name="2023  " totalsRowFunction="average" dataDxfId="488" totalsRowDxfId="487">
      <calculatedColumnFormula>IF(PMDLN131159[[#This Row],[2024]]="","",DONNÉES!AB220)</calculatedColumnFormula>
    </tableColumn>
    <tableColumn id="6" xr3:uid="{62B943EE-96F6-4670-BAD9-EE9661754862}" name="2024 cumul " totalsRowFunction="average" dataDxfId="486" totalsRowDxfId="485">
      <calculatedColumnFormula>IF(PMDLN131159[[#This Row],[2024]]="","",DONNÉES!AA268)</calculatedColumnFormula>
    </tableColumn>
    <tableColumn id="7" xr3:uid="{11CFAC8D-900F-4671-8EFE-53202CB340CB}" name="2023 cumul " totalsRowFunction="average" dataDxfId="484" totalsRowDxfId="483">
      <calculatedColumnFormula>IF(PMDLN131159[[#This Row],[2024]]="","",DONNÉES!AB268)</calculatedColumnFormula>
    </tableColumn>
  </tableColumns>
  <tableStyleInfo name="TableStyleMedium13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4B8DD45C-2A87-4B61-92C8-785B5B659571}" name="PMDTIRR" displayName="PMDTIRR" ref="K38:N51" totalsRowCount="1" headerRowDxfId="482" dataDxfId="481" totalsRowDxfId="480">
  <tableColumns count="4">
    <tableColumn id="2" xr3:uid="{69E3F106-98D6-4F6E-979B-084CD586FA0E}" name="2024  " totalsRowFunction="average" dataDxfId="479" totalsRowDxfId="478">
      <calculatedColumnFormula>IF(PMDLN131159[[#This Row],[2024]]="","",DONNÉES!AA236)</calculatedColumnFormula>
    </tableColumn>
    <tableColumn id="3" xr3:uid="{DFB54EBF-CE40-4EAC-A6B4-AE2D4484CCD5}" name="2023  " totalsRowFunction="average" dataDxfId="477" totalsRowDxfId="476">
      <calculatedColumnFormula>IF(PMDLN131159[[#This Row],[2024]]="","",DONNÉES!AB236)</calculatedColumnFormula>
    </tableColumn>
    <tableColumn id="4" xr3:uid="{81228B16-00DB-4E48-B488-ABD860F44544}" name="2024 cumul " totalsRowFunction="average" dataDxfId="475" totalsRowDxfId="474">
      <calculatedColumnFormula>IF(PMDLN131159[[#This Row],[2024]]="","",DONNÉES!AA284)</calculatedColumnFormula>
    </tableColumn>
    <tableColumn id="6" xr3:uid="{2DCF1972-3E3B-46D1-8626-69302E1F769A}" name="2023 cumul " totalsRowFunction="average" dataDxfId="473" totalsRowDxfId="472">
      <calculatedColumnFormula>IF(PMDLN131159[[#This Row],[2024]]="","",DONNÉES!AB284)</calculatedColumnFormula>
    </tableColumn>
  </tableColumns>
  <tableStyleInfo name="TableStyleMedium13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C94B8D12-58D6-436C-ACF8-16E030AD0184}" name="PMDVERNON401" displayName="PMDVERNON401" ref="A182:I195" totalsRowCount="1" headerRowDxfId="471" dataDxfId="470" totalsRowDxfId="469">
  <tableColumns count="9">
    <tableColumn id="1" xr3:uid="{240ABAC5-FFCF-431E-9035-18A81AD19DBC}" name="ARTHUR" totalsRowLabel=" TOTAL " dataDxfId="468" totalsRowDxfId="467"/>
    <tableColumn id="2" xr3:uid="{5798D198-CD80-4520-9568-95A132FB99D1}" name="2024" totalsRowFunction="average" dataDxfId="466" totalsRowDxfId="465">
      <calculatedColumnFormula>IF(DONNÉES!CU204="","",DONNÉES!CU204)</calculatedColumnFormula>
    </tableColumn>
    <tableColumn id="3" xr3:uid="{F236E838-B585-4B31-BAB0-5A5BC9C2D098}" name="2023" totalsRowFunction="average" dataDxfId="464" totalsRowDxfId="463">
      <calculatedColumnFormula>IF(PMDVERNON401[[#This Row],[2024]]="","",DONNÉES!CV204)</calculatedColumnFormula>
    </tableColumn>
    <tableColumn id="4" xr3:uid="{3075488E-132A-4702-BC6A-F4ED6FECBCAC}" name="2024 cumul" totalsRowFunction="average" dataDxfId="462" totalsRowDxfId="461">
      <calculatedColumnFormula>IF(PMDVERNON401[[#This Row],[2024]]="","",DONNÉES!CU252)</calculatedColumnFormula>
    </tableColumn>
    <tableColumn id="5" xr3:uid="{70E8DF7E-4CA7-47DE-BAD1-98D35FD6CEF9}" name="2023 cumul" totalsRowFunction="average" dataDxfId="460" totalsRowDxfId="459">
      <calculatedColumnFormula>IF(PMDVERNON401[[#This Row],[2024]]="","",DONNÉES!CV252)</calculatedColumnFormula>
    </tableColumn>
    <tableColumn id="8" xr3:uid="{72731DCA-9DC8-48C9-B730-9790317A7689}" name="2024  " totalsRowFunction="average" dataDxfId="458" totalsRowDxfId="457">
      <calculatedColumnFormula>IF(PMDVERNON401[[#This Row],[2024]]="","",DONNÉES!CU220)</calculatedColumnFormula>
    </tableColumn>
    <tableColumn id="9" xr3:uid="{8C0007D8-AAD3-4E9D-B9D0-C835F6B21C21}" name="2023  " totalsRowFunction="average" dataDxfId="456" totalsRowDxfId="455">
      <calculatedColumnFormula>IF(PMDVERNON401[[#This Row],[2024]]="","",DONNÉES!CV220)</calculatedColumnFormula>
    </tableColumn>
    <tableColumn id="6" xr3:uid="{7A8EBAA5-9073-4B32-9EC2-2A35173CC2ED}" name="2024 cumul " totalsRowFunction="average" dataDxfId="454" totalsRowDxfId="453">
      <calculatedColumnFormula>IF(PMDVERNON401[[#This Row],[2024]]="","",DONNÉES!CU268)</calculatedColumnFormula>
    </tableColumn>
    <tableColumn id="7" xr3:uid="{861AD89F-6FD4-4E27-8A92-0E02DDD926ED}" name="2023 cumul " totalsRowFunction="average" dataDxfId="452" totalsRowDxfId="451">
      <calculatedColumnFormula>IF(PMDVERNON401[[#This Row],[2024]]="","",DONNÉES!CV268)</calculatedColumnFormula>
    </tableColumn>
  </tableColumns>
  <tableStyleInfo name="TableStyleMedium8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4B7D5591-0BC1-453B-B88E-FF587CB1F729}" name="PMDARTHUR" displayName="PMDARTHUR" ref="K182:N195" totalsRowCount="1" headerRowDxfId="450" dataDxfId="449" totalsRowDxfId="448">
  <tableColumns count="4">
    <tableColumn id="2" xr3:uid="{F4C4B7D8-8172-451A-AEF5-B3AA18ABB2E4}" name="2024  " totalsRowFunction="average" dataDxfId="447" totalsRowDxfId="446">
      <calculatedColumnFormula>IF(PMDVERNON401[[#This Row],[2024]]="","",DONNÉES!CU236)</calculatedColumnFormula>
    </tableColumn>
    <tableColumn id="3" xr3:uid="{213E61AC-B596-44B2-8FBE-E411C42D9025}" name="2023  " totalsRowFunction="average" dataDxfId="445" totalsRowDxfId="444">
      <calculatedColumnFormula>IF(PMDVERNON401[[#This Row],[2024]]="","",DONNÉES!CV236)</calculatedColumnFormula>
    </tableColumn>
    <tableColumn id="4" xr3:uid="{348389FA-E6D6-496F-ADCA-831A9E499727}" name="2024 cumul " totalsRowFunction="average" dataDxfId="443" totalsRowDxfId="442">
      <calculatedColumnFormula>IF(PMDVERNON401[[#This Row],[2024]]="","",DONNÉES!CU284)</calculatedColumnFormula>
    </tableColumn>
    <tableColumn id="1" xr3:uid="{08CE5DBA-B02D-4764-8476-35088892B3C7}" name="2023 cumul " totalsRowFunction="average" dataDxfId="441" totalsRowDxfId="440">
      <calculatedColumnFormula>IF(PMDVERNON401[[#This Row],[2024]]="","",DONNÉES!CV284)</calculatedColumnFormula>
    </tableColumn>
  </tableColumns>
  <tableStyleInfo name="TableStyleMedium8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D216FE12-4B54-4A12-A7EA-0917057A472A}" name="PMDVERNON401403" displayName="PMDVERNON401403" ref="A198:I211" totalsRowCount="1" headerRowDxfId="439" dataDxfId="438" totalsRowDxfId="437">
  <tableColumns count="9">
    <tableColumn id="1" xr3:uid="{43328F71-0C93-4E34-97A7-E691640B953F}" name="HUGO" totalsRowLabel=" TOTAL " dataDxfId="436" totalsRowDxfId="435"/>
    <tableColumn id="2" xr3:uid="{63F7E0A7-4809-421A-8EEE-8291A2F5A228}" name="2024" totalsRowFunction="average" dataDxfId="434" totalsRowDxfId="433">
      <calculatedColumnFormula>IF(DONNÉES!DC204="","",DONNÉES!DC204)</calculatedColumnFormula>
    </tableColumn>
    <tableColumn id="3" xr3:uid="{61647A46-868D-420E-9EA1-4D0D56751080}" name="2023" totalsRowFunction="average" dataDxfId="432" totalsRowDxfId="431">
      <calculatedColumnFormula>IF(PMDVERNON401403[[#This Row],[2024]]="","",DONNÉES!DD204)</calculatedColumnFormula>
    </tableColumn>
    <tableColumn id="4" xr3:uid="{71AEB83A-A9F8-4747-AC9B-6900A461D218}" name="2024 cumul" totalsRowFunction="average" dataDxfId="430" totalsRowDxfId="429">
      <calculatedColumnFormula>IF(PMDVERNON401403[[#This Row],[2024]]="","",DONNÉES!DC252)</calculatedColumnFormula>
    </tableColumn>
    <tableColumn id="5" xr3:uid="{5CC421B8-EC60-46CA-A536-3FBF1A002294}" name="2023 cumul" totalsRowFunction="average" dataDxfId="428" totalsRowDxfId="427">
      <calculatedColumnFormula>IF(PMDVERNON401403[[#This Row],[2024]]="","",DONNÉES!DD252)</calculatedColumnFormula>
    </tableColumn>
    <tableColumn id="8" xr3:uid="{9444D0A5-5E48-4A44-BB9D-72CE95A66818}" name="2024  " totalsRowFunction="average" dataDxfId="426" totalsRowDxfId="425">
      <calculatedColumnFormula>IF(PMDVERNON401403[[#This Row],[2024]]="","",DONNÉES!DC220)</calculatedColumnFormula>
    </tableColumn>
    <tableColumn id="9" xr3:uid="{CCE68488-1937-4EE1-B5DF-463C71CF6AF5}" name="2023  " totalsRowFunction="average" dataDxfId="424" totalsRowDxfId="423">
      <calculatedColumnFormula>IF(PMDVERNON401403[[#This Row],[2024]]="","",DONNÉES!DD220)</calculatedColumnFormula>
    </tableColumn>
    <tableColumn id="6" xr3:uid="{EA5F6A43-A6FC-4AF3-B3C1-FF9AD7B97B63}" name="2024 cumul " totalsRowFunction="average" dataDxfId="422" totalsRowDxfId="421">
      <calculatedColumnFormula>IF(PMDVERNON401403[[#This Row],[2024]]="","",DONNÉES!DC268)</calculatedColumnFormula>
    </tableColumn>
    <tableColumn id="7" xr3:uid="{B37B70E0-7B41-49D5-ACBA-83E06744C4E8}" name="2023 cumul " totalsRowFunction="average" dataDxfId="420" totalsRowDxfId="419">
      <calculatedColumnFormula>IF(PMDVERNON401403[[#This Row],[2024]]="","",DONNÉES!DD268)</calculatedColumnFormula>
    </tableColumn>
  </tableColumns>
  <tableStyleInfo name="TableStyleMedium11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66DFC57D-8000-470F-8C43-F1755F35CAF1}" name="PMDHUGO" displayName="PMDHUGO" ref="K198:N211" totalsRowCount="1" headerRowDxfId="418" dataDxfId="417" totalsRowDxfId="416">
  <tableColumns count="4">
    <tableColumn id="2" xr3:uid="{4E17C189-5FFA-4BE6-A04B-D4AC3FC0C4AF}" name="2024  " totalsRowFunction="average" dataDxfId="415" totalsRowDxfId="414">
      <calculatedColumnFormula>IF(PMDVERNON401403[[#This Row],[2024]]="","",DONNÉES!DC236)</calculatedColumnFormula>
    </tableColumn>
    <tableColumn id="3" xr3:uid="{756D9F56-4B88-43B3-9A83-CD45E4268B4D}" name="2023  " totalsRowFunction="average" dataDxfId="413" totalsRowDxfId="412">
      <calculatedColumnFormula>IF(PMDVERNON401403[[#This Row],[2024]]="","",DONNÉES!DD236)</calculatedColumnFormula>
    </tableColumn>
    <tableColumn id="4" xr3:uid="{541C2F65-7C95-4F14-A0D2-892BB77029DD}" name="2024 cumul " totalsRowFunction="average" dataDxfId="411" totalsRowDxfId="410">
      <calculatedColumnFormula>IF(PMDVERNON401403[[#This Row],[2024]]="","",DONNÉES!DC284)</calculatedColumnFormula>
    </tableColumn>
    <tableColumn id="1" xr3:uid="{627555D1-538B-4920-9452-87D78947232C}" name="2023 cumul " totalsRowFunction="average" dataDxfId="409" totalsRowDxfId="408">
      <calculatedColumnFormula>IF(PMDVERNON401403[[#This Row],[2024]]="","",DONNÉES!DD284)</calculatedColumnFormula>
    </tableColumn>
  </tableColumns>
  <tableStyleInfo name="TableStyleMedium11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9ECE9959-75F1-4F03-AC69-ED6D9AC89C88}" name="PMDVERNON401403405" displayName="PMDVERNON401403405" ref="A214:I227" totalsRowCount="1" headerRowDxfId="407" totalsRowDxfId="406" headerRowCellStyle="Normal 5">
  <tableColumns count="9">
    <tableColumn id="1" xr3:uid="{7547199D-A509-4972-8776-35949FB41E1A}" name="JEANCLO" totalsRowLabel=" TOTAL " dataDxfId="405" totalsRowDxfId="404" dataCellStyle="Normal 5"/>
    <tableColumn id="2" xr3:uid="{F981F23A-A8C0-4F69-A085-1063C2F064ED}" name="2024" totalsRowFunction="average" dataDxfId="403" totalsRowDxfId="402" dataCellStyle="Milliers">
      <calculatedColumnFormula>IF(DONNÉES!DK204="","",DONNÉES!DK204)</calculatedColumnFormula>
    </tableColumn>
    <tableColumn id="3" xr3:uid="{414FEA31-8DA1-41C8-92EF-633B1EF6064F}" name="2023" totalsRowFunction="average" dataDxfId="401" totalsRowDxfId="400" dataCellStyle="Milliers">
      <calculatedColumnFormula>IF(PMDVERNON401403405[[#This Row],[2024]]="","",DONNÉES!DL204)</calculatedColumnFormula>
    </tableColumn>
    <tableColumn id="4" xr3:uid="{93EF14E1-029D-4172-BCDD-2A093C932098}" name="2024 cumul" totalsRowFunction="average" dataDxfId="399" totalsRowDxfId="398" dataCellStyle="Milliers">
      <calculatedColumnFormula>IF(PMDVERNON401403405[[#This Row],[2024]]="","",DONNÉES!DK252)</calculatedColumnFormula>
    </tableColumn>
    <tableColumn id="5" xr3:uid="{AE92547D-9706-4539-BE4C-EFA978BB3568}" name="2023 cumul" totalsRowFunction="average" dataDxfId="397" totalsRowDxfId="396" dataCellStyle="Milliers">
      <calculatedColumnFormula>IF(PMDVERNON401403405[[#This Row],[2024]]="","",DONNÉES!DL252)</calculatedColumnFormula>
    </tableColumn>
    <tableColumn id="8" xr3:uid="{41607783-C989-456C-ABFA-3B8EE96CA1B8}" name="2024  " totalsRowFunction="average" dataDxfId="395" totalsRowDxfId="394" dataCellStyle="Milliers">
      <calculatedColumnFormula>IF(PMDVERNON401403405[[#This Row],[2024]]="","",DONNÉES!DK220)</calculatedColumnFormula>
    </tableColumn>
    <tableColumn id="9" xr3:uid="{37FB3C5D-1E65-434B-81AA-A79B3F6CC254}" name="2023  " totalsRowFunction="average" dataDxfId="393" totalsRowDxfId="392" dataCellStyle="Milliers">
      <calculatedColumnFormula>IF(PMDVERNON401403405[[#This Row],[2024]]="","",DONNÉES!DL220)</calculatedColumnFormula>
    </tableColumn>
    <tableColumn id="6" xr3:uid="{A4C22BFA-5425-44AF-B15F-B3C9ADF795E7}" name="2024 cumul " totalsRowFunction="average" dataDxfId="391" totalsRowDxfId="390" dataCellStyle="Milliers">
      <calculatedColumnFormula>IF(PMDVERNON401403405[[#This Row],[2024]]="","",DONNÉES!DK268)</calculatedColumnFormula>
    </tableColumn>
    <tableColumn id="7" xr3:uid="{D9EB84F6-F95E-4ACA-956A-D557B1AD4C01}" name="2023 cumul " totalsRowFunction="average" dataDxfId="389" totalsRowDxfId="388" dataCellStyle="Milliers">
      <calculatedColumnFormula>IF(PMDVERNON401403405[[#This Row],[2024]]="","",DONNÉES!DL268)</calculatedColumnFormula>
    </tableColumn>
  </tableColumns>
  <tableStyleInfo name="TableStyleMedium11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0AA3F1CF-2DC6-4DD2-BF38-2BE51CD65488}" name="PMDJEANCLO" displayName="PMDJEANCLO" ref="K214:N227" totalsRowCount="1" headerRowDxfId="387" totalsRowDxfId="385" tableBorderDxfId="386" headerRowCellStyle="Normal 5">
  <tableColumns count="4">
    <tableColumn id="2" xr3:uid="{9BA5614F-E123-4821-8AF0-87211071E7A9}" name="2024  " totalsRowFunction="average" dataDxfId="384" totalsRowDxfId="383" dataCellStyle="Milliers">
      <calculatedColumnFormula>IF(PMDVERNON401403405[[#This Row],[2024]]="","",DONNÉES!DK236)</calculatedColumnFormula>
    </tableColumn>
    <tableColumn id="3" xr3:uid="{E3F0AF07-148F-4BA0-AF6A-1A601708FD5E}" name="2023  " totalsRowFunction="average" dataDxfId="382" totalsRowDxfId="381" dataCellStyle="Milliers">
      <calculatedColumnFormula>IF(PMDVERNON401403405[[#This Row],[2024]]="","",DONNÉES!DL236)</calculatedColumnFormula>
    </tableColumn>
    <tableColumn id="4" xr3:uid="{AFF24DAD-AE6D-4A7A-ADE8-DD9CC8C6FE85}" name="2024 cumul " totalsRowFunction="average" dataDxfId="380" totalsRowDxfId="379" dataCellStyle="Milliers">
      <calculatedColumnFormula>IF(PMDVERNON401403405[[#This Row],[2024]]="","",DONNÉES!DK284)</calculatedColumnFormula>
    </tableColumn>
    <tableColumn id="1" xr3:uid="{272E83D5-808D-4AE8-BB94-4D912CA4CFE4}" name="2023 cumul " totalsRowFunction="average" dataDxfId="378" totalsRowDxfId="377" dataCellStyle="Milliers">
      <calculatedColumnFormula>IF(PMDVERNON401403405[[#This Row],[2024]]="","",DONNÉES!DL284)</calculatedColumnFormula>
    </tableColumn>
  </tableColumns>
  <tableStyleInfo name="TableStyleMedium11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404EDB89-A57B-4EF0-9EC4-B49ABC35E91E}" name="PMDVERNON401403405407" displayName="PMDVERNON401403405407" ref="A230:I243" totalsRowCount="1" headerRowDxfId="376" dataDxfId="375" totalsRowDxfId="374">
  <tableColumns count="9">
    <tableColumn id="1" xr3:uid="{230D3B32-5A8A-40F5-A58B-D56A812D6914}" name="THOMAS" totalsRowLabel=" TOTAL " dataDxfId="373" totalsRowDxfId="372"/>
    <tableColumn id="2" xr3:uid="{848D7468-D317-44E4-A2AC-81EE9E2D5602}" name="2024" totalsRowFunction="average" dataDxfId="371" totalsRowDxfId="370">
      <calculatedColumnFormula>IF(DONNÉES!DS204="","",DONNÉES!DS204)</calculatedColumnFormula>
    </tableColumn>
    <tableColumn id="3" xr3:uid="{7EC9D5BF-CE9E-4090-959E-9D31CDAFC5FB}" name="2023" totalsRowFunction="average" dataDxfId="369" totalsRowDxfId="368">
      <calculatedColumnFormula>IF(PMDVERNON401403405407[[#This Row],[2024]]="","",DONNÉES!DT204)</calculatedColumnFormula>
    </tableColumn>
    <tableColumn id="4" xr3:uid="{EED3DAC1-558D-4AC0-AF81-FCF31E849F4C}" name="2024 cumul" totalsRowFunction="average" dataDxfId="367" totalsRowDxfId="366">
      <calculatedColumnFormula>IF(PMDVERNON401403405407[[#This Row],[2024]]="","",DONNÉES!DS252)</calculatedColumnFormula>
    </tableColumn>
    <tableColumn id="5" xr3:uid="{EE0503BD-B947-46FC-AFBF-ED08E49C42A6}" name="2023 cumul" totalsRowFunction="average" dataDxfId="365" totalsRowDxfId="364">
      <calculatedColumnFormula>IF(PMDVERNON401403405407[[#This Row],[2024]]="","",DONNÉES!DT252)</calculatedColumnFormula>
    </tableColumn>
    <tableColumn id="8" xr3:uid="{DDA8499A-8B18-4EBB-9A9E-AF55EDA2E1AE}" name="2024  " totalsRowFunction="average" dataDxfId="363" totalsRowDxfId="362">
      <calculatedColumnFormula>IF(PMDVERNON401403405407[[#This Row],[2024]]="","",DONNÉES!DS220)</calculatedColumnFormula>
    </tableColumn>
    <tableColumn id="9" xr3:uid="{1805DF6B-5104-4B2F-AAD6-820E3D21D22B}" name="2023  " totalsRowFunction="average" dataDxfId="361" totalsRowDxfId="360">
      <calculatedColumnFormula>IF(PMDVERNON401403405407[[#This Row],[2024]]="","",DONNÉES!DT220)</calculatedColumnFormula>
    </tableColumn>
    <tableColumn id="6" xr3:uid="{B1090AFF-2C8D-4965-B3AF-A2926AEA671B}" name="2024 cumul " totalsRowFunction="average" dataDxfId="359" totalsRowDxfId="358">
      <calculatedColumnFormula>IF(PMDVERNON401403405407[[#This Row],[2024]]="","",DONNÉES!DS268)</calculatedColumnFormula>
    </tableColumn>
    <tableColumn id="7" xr3:uid="{1DCC2E1D-BB7C-4F21-B1D1-E067C0A6D63C}" name="2023 cumul " totalsRowFunction="average" dataDxfId="357" totalsRowDxfId="356">
      <calculatedColumnFormula>IF(PMDVERNON401403405407[[#This Row],[2024]]="","",DONNÉES!DT268)</calculatedColumnFormula>
    </tableColumn>
  </tableColumns>
  <tableStyleInfo name="TableStyleMedium13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B776882B-1728-4578-937A-B57B595BB6A0}" name="PMDTHOMAS" displayName="PMDTHOMAS" ref="K230:N243" totalsRowCount="1" headerRowDxfId="355" dataDxfId="354" totalsRowDxfId="353">
  <tableColumns count="4">
    <tableColumn id="2" xr3:uid="{C6C9CAFD-66FD-46F7-A77A-822273F9AA22}" name="2024  " totalsRowFunction="average" dataDxfId="352" totalsRowDxfId="351">
      <calculatedColumnFormula>IF(PMDVERNON401403405407[[#This Row],[2024]]="","",DONNÉES!DS236)</calculatedColumnFormula>
    </tableColumn>
    <tableColumn id="3" xr3:uid="{0C254151-23BB-4763-98BA-4CB36F35A1BC}" name="2023  " totalsRowFunction="average" dataDxfId="350" totalsRowDxfId="349">
      <calculatedColumnFormula>IF(PMDVERNON401403405407[[#This Row],[2024]]="","",DONNÉES!DT236)</calculatedColumnFormula>
    </tableColumn>
    <tableColumn id="4" xr3:uid="{EBF76095-AE53-4324-8DEE-BF57C417DC32}" name="2024 cumul " totalsRowFunction="average" dataDxfId="348" totalsRowDxfId="347">
      <calculatedColumnFormula>IF(PMDVERNON401403405407[[#This Row],[2024]]="","",DONNÉES!DS284)</calculatedColumnFormula>
    </tableColumn>
    <tableColumn id="1" xr3:uid="{57D7AE95-71CE-4ED7-8AB7-FF75DB1BC5AF}" name="2023 cumul " totalsRowFunction="average" dataDxfId="346" totalsRowDxfId="345">
      <calculatedColumnFormula>IF(PMDVERNON401403405407[[#This Row],[2024]]="","",DONNÉES!DT284)</calculatedColumnFormula>
    </tableColumn>
  </tableColumns>
  <tableStyleInfo name="TableStyleMedium13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F4FB084C-CF54-4D6E-8448-65882FE5BE46}" name="PMDCAT" displayName="PMDCAT" ref="A246:I259" totalsRowCount="1" headerRowDxfId="344" dataDxfId="343" totalsRowDxfId="342">
  <tableColumns count="9">
    <tableColumn id="1" xr3:uid="{6EFD7223-C3B2-40F6-B9D5-8ADE1576ED49}" name="CATALINA" totalsRowLabel=" TOTAL " dataDxfId="341" totalsRowDxfId="340"/>
    <tableColumn id="2" xr3:uid="{E08ABC0B-0E05-4E45-88FB-0268555B89F2}" name="2024" totalsRowFunction="average" dataDxfId="339" totalsRowDxfId="338">
      <calculatedColumnFormula>IF(DONNÉES!EA204="","",DONNÉES!EA204)</calculatedColumnFormula>
    </tableColumn>
    <tableColumn id="3" xr3:uid="{D9282DC0-169A-43DB-9A91-759DB6993881}" name="2023" totalsRowFunction="average" dataDxfId="337" totalsRowDxfId="336">
      <calculatedColumnFormula>IF(PMDCAT[[#This Row],[2024]]="","",DONNÉES!EB204)</calculatedColumnFormula>
    </tableColumn>
    <tableColumn id="4" xr3:uid="{2AA979E0-E955-48F0-AE89-FE06F2E778B5}" name="2024 cumul" totalsRowFunction="average" dataDxfId="335" totalsRowDxfId="334">
      <calculatedColumnFormula>IF(PMDCAT[[#This Row],[2024]]="","",DONNÉES!EA252)</calculatedColumnFormula>
    </tableColumn>
    <tableColumn id="5" xr3:uid="{9DF76B17-8C48-4508-BEEA-A002986573DF}" name="2023 cumul" totalsRowFunction="average" dataDxfId="333" totalsRowDxfId="332">
      <calculatedColumnFormula>IF(PMDCAT[[#This Row],[2024]]="","",DONNÉES!EB252)</calculatedColumnFormula>
    </tableColumn>
    <tableColumn id="8" xr3:uid="{51A50088-3756-47E6-AAAB-B6D847605326}" name="2024  " totalsRowFunction="average" dataDxfId="331" totalsRowDxfId="330">
      <calculatedColumnFormula>IF(PMDCAT[[#This Row],[2024]]="","",DONNÉES!EA220)</calculatedColumnFormula>
    </tableColumn>
    <tableColumn id="9" xr3:uid="{750BAE99-52E4-4A1F-914D-2EAE11983030}" name="2023  " totalsRowFunction="average" dataDxfId="329" totalsRowDxfId="328">
      <calculatedColumnFormula>IF(PMDCAT[[#This Row],[2024]]="","",DONNÉES!EB220)</calculatedColumnFormula>
    </tableColumn>
    <tableColumn id="6" xr3:uid="{0D524753-6714-4CC1-AA05-06E194F9B9B6}" name="2024 cumul " totalsRowFunction="average" dataDxfId="327" totalsRowDxfId="326">
      <calculatedColumnFormula>IF(PMDCAT[[#This Row],[2024]]="","",DONNÉES!EA268)</calculatedColumnFormula>
    </tableColumn>
    <tableColumn id="7" xr3:uid="{FD7FB5F8-1B20-408E-A759-AA8F204DEB0A}" name="2023 cumul " totalsRowFunction="average" dataDxfId="325" totalsRowDxfId="324">
      <calculatedColumnFormula>IF(PMDCAT[[#This Row],[2024]]="","",DONNÉES!EB268)</calculatedColumnFormula>
    </tableColumn>
  </tableColumns>
  <tableStyleInfo name="TableStyleMedium13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0B65DB-5281-4BB1-A677-334126F48611}" name="PMDTHOMAS433" displayName="PMDTHOMAS433" ref="K246:N259" totalsRowCount="1" headerRowDxfId="323" dataDxfId="322" totalsRowDxfId="321">
  <tableColumns count="4">
    <tableColumn id="2" xr3:uid="{5052685B-E19E-4A7F-8F0F-988129972E95}" name="2024  " totalsRowFunction="average" dataDxfId="320" totalsRowDxfId="319">
      <calculatedColumnFormula>IF(PMDCAT[[#This Row],[2024]]="","",DONNÉES!EA236)</calculatedColumnFormula>
    </tableColumn>
    <tableColumn id="3" xr3:uid="{1AD665F6-D34D-413F-BA24-DFFCD8FDC249}" name="2023  " totalsRowFunction="average" dataDxfId="318" totalsRowDxfId="317">
      <calculatedColumnFormula>IF(PMDCAT[[#This Row],[2024]]="","",DONNÉES!EB236)</calculatedColumnFormula>
    </tableColumn>
    <tableColumn id="4" xr3:uid="{302630AE-F730-4D76-ACE4-0CB7C8428977}" name="2024 cumul " totalsRowFunction="average" dataDxfId="316" totalsRowDxfId="315">
      <calculatedColumnFormula>IF(PMDCAT[[#This Row],[2024]]="","",DONNÉES!EA284)</calculatedColumnFormula>
    </tableColumn>
    <tableColumn id="1" xr3:uid="{CB0B4BF9-C1A3-4A4E-8CD9-D2E3F7668D88}" name="2023 cumul " totalsRowFunction="average" dataDxfId="314" totalsRowDxfId="313">
      <calculatedColumnFormula>IF(PMDCAT[[#This Row],[2024]]="","",DONNÉES!EB284)</calculatedColumnFormula>
    </tableColumn>
  </tableColumns>
  <tableStyleInfo name="TableStyleMedium13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DF1069B-CADB-48A9-83DD-97CE24F1B981}" name="PMTTR314" displayName="PMTTR314" ref="A65:G78" totalsRowCount="1" headerRowDxfId="312" dataDxfId="311" totalsRowDxfId="310">
  <tableColumns count="7">
    <tableColumn id="1" xr3:uid="{4F4CCFBB-BBF9-4C46-A786-D39DDF911B08}" name="R3 14" totalsRowLabel=" TOTAL " dataDxfId="309" totalsRowDxfId="308"/>
    <tableColumn id="2" xr3:uid="{3A588364-9DED-44CE-966B-58BB11CE65A3}" name="2024" totalsRowFunction="average" dataDxfId="307" totalsRowDxfId="306">
      <calculatedColumnFormula>IF(DONNÉES!CE236="","",DONNÉES!CE236)</calculatedColumnFormula>
    </tableColumn>
    <tableColumn id="3" xr3:uid="{FEAE5358-B3FB-47F8-9288-EDCB48781736}" name="2023" totalsRowFunction="average" dataDxfId="305" totalsRowDxfId="304">
      <calculatedColumnFormula>IF(PMTTR314[[#This Row],[2024]]="","",DONNÉES!CF236)</calculatedColumnFormula>
    </tableColumn>
    <tableColumn id="4" xr3:uid="{A75868A3-114A-47E0-BFB7-9A6B0225F387}" name="Variat." totalsRowFunction="custom" dataDxfId="303" totalsRowDxfId="302">
      <calculatedColumnFormula>IF(PMTTR314[[#This Row],[2024]]="","",(PMTTR314[[#This Row],[2024]]-PMTTR314[[#This Row],[2023]])/PMTTR314[[#This Row],[2023]])</calculatedColumnFormula>
      <totalsRowFormula>(PMTTR314[[#Totals],[2024]]-PMTTR314[[#Totals],[2023]])/PMTTR314[[#Totals],[2023]]</totalsRowFormula>
    </tableColumn>
    <tableColumn id="5" xr3:uid="{33252CAA-67A6-4EA7-8E1B-091B1188B0FE}" name="2022" totalsRowFunction="average" dataDxfId="301" totalsRowDxfId="300">
      <calculatedColumnFormula>IF(PMTTR314[[#This Row],[2024]]="","",DONNÉES!CG236)</calculatedColumnFormula>
    </tableColumn>
    <tableColumn id="6" xr3:uid="{9EA68E46-D3A2-4B9A-98DE-18256F39AF77}" name="2021" totalsRowFunction="average" dataDxfId="299" totalsRowDxfId="298">
      <calculatedColumnFormula>IF(PMTTR314[[#This Row],[2024]]="","",DONNÉES!CH236)</calculatedColumnFormula>
    </tableColumn>
    <tableColumn id="7" xr3:uid="{09764CF2-28BB-4E2D-8408-5F88D35D2E73}" name="2020" totalsRowFunction="average" dataDxfId="297" totalsRowDxfId="296">
      <calculatedColumnFormula>IF(PMTTR314[[#This Row],[2024]]="","",DONNÉES!CI236)</calculatedColumnFormula>
    </tableColumn>
  </tableColumns>
  <tableStyleInfo name="TableStyleMedium10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7690821E-8D41-4B8D-918A-23428B96B01B}" name="PMTDIVES" displayName="PMTDIVES" ref="A80:G93" totalsRowCount="1" headerRowDxfId="295" dataDxfId="294" totalsRowDxfId="293">
  <tableColumns count="7">
    <tableColumn id="1" xr3:uid="{C1D133AF-4447-4C85-A65E-0CE31994D104}" name="TL DIVES" totalsRowLabel="  TOTAL  " dataDxfId="292" totalsRowDxfId="291"/>
    <tableColumn id="2" xr3:uid="{972CA640-3417-4C50-B83D-AF0333DD14F1}" name="2024" totalsRowFunction="average" dataDxfId="290" totalsRowDxfId="289">
      <calculatedColumnFormula>IF(DONNÉES!BW236="","",DONNÉES!BW236)</calculatedColumnFormula>
    </tableColumn>
    <tableColumn id="3" xr3:uid="{FC23C97E-3496-4994-8B22-AFD96DEA00F6}" name="2023" totalsRowFunction="average" dataDxfId="288" totalsRowDxfId="287">
      <calculatedColumnFormula>IF(PMTDIVES[[#This Row],[2024]]="","",DONNÉES!BX236)</calculatedColumnFormula>
    </tableColumn>
    <tableColumn id="4" xr3:uid="{BAC7CD9E-D8A3-48A6-BDB5-3CF729D73215}" name="Variat." totalsRowFunction="custom" dataDxfId="286" totalsRowDxfId="285">
      <calculatedColumnFormula>IF(PMTDIVES[[#This Row],[2024]]="","",(PMTDIVES[[#This Row],[2024]]-PMTDIVES[[#This Row],[2023]])/PMTDIVES[[#This Row],[2023]])</calculatedColumnFormula>
      <totalsRowFormula>(PMTDIVES[[#Totals],[2024]]-PMTDIVES[[#Totals],[2023]])/PMTDIVES[[#Totals],[2023]]</totalsRowFormula>
    </tableColumn>
    <tableColumn id="5" xr3:uid="{7EE4530A-C264-4C84-84A3-9460292D7709}" name="2022" totalsRowFunction="average" dataDxfId="284" totalsRowDxfId="283">
      <calculatedColumnFormula>IF(PMTDIVES[[#This Row],[2024]]="","",DONNÉES!BY236)</calculatedColumnFormula>
    </tableColumn>
    <tableColumn id="6" xr3:uid="{D48602E5-1065-48B3-8ED0-3927A5C6FDBA}" name="2021" totalsRowFunction="average" dataDxfId="282" totalsRowDxfId="281">
      <calculatedColumnFormula>IF(PMTDIVES[[#This Row],[2024]]="","",DONNÉES!BZ236)</calculatedColumnFormula>
    </tableColumn>
    <tableColumn id="7" xr3:uid="{16C390B7-903F-4506-AE74-56ABF33C83F1}" name="2020" dataDxfId="280" totalsRowDxfId="279">
      <calculatedColumnFormula>IF(PMTDIVES[[#This Row],[2024]]="","",DONNÉES!CA236)</calculatedColumnFormula>
    </tableColumn>
  </tableColumns>
  <tableStyleInfo name="TableStyleMedium13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5ECE55E-8E94-4B38-AF09-72BB79E953F5}" name="PMTARTHUR" displayName="PMTARTHUR" ref="A95:G108" totalsRowCount="1" headerRowDxfId="278" dataDxfId="277" totalsRowDxfId="276">
  <tableColumns count="7">
    <tableColumn id="1" xr3:uid="{51875D0B-FE8C-4531-A731-6058DB2A8AAF}" name="ARTHUR" totalsRowLabel="  TOTAL  " dataDxfId="275" totalsRowDxfId="274"/>
    <tableColumn id="2" xr3:uid="{C7CC09A2-C0EB-4F7E-87CF-EB557CA97B0E}" name="2024" totalsRowFunction="average" dataDxfId="273" totalsRowDxfId="272">
      <calculatedColumnFormula>IF(DONNÉES!CU236="","",DONNÉES!CU236)</calculatedColumnFormula>
    </tableColumn>
    <tableColumn id="3" xr3:uid="{E84ADBF2-1B8B-4EAE-9051-4CDC8DFE5E1F}" name="2023" totalsRowFunction="average" dataDxfId="271" totalsRowDxfId="270">
      <calculatedColumnFormula>IF(PMTARTHUR[[#This Row],[2024]]="","",DONNÉES!CV236)</calculatedColumnFormula>
    </tableColumn>
    <tableColumn id="4" xr3:uid="{A18F6E5C-1AED-45EC-A4C2-F0F0250FBD6F}" name="Variat." totalsRowFunction="custom" dataDxfId="269" totalsRowDxfId="268">
      <calculatedColumnFormula>IF(PMTARTHUR[[#This Row],[2024]]="","",(PMTARTHUR[[#This Row],[2024]]-PMTARTHUR[[#This Row],[2023]])/PMTARTHUR[[#This Row],[2023]])</calculatedColumnFormula>
      <totalsRowFormula>(PMTARTHUR[[#Totals],[2024]]-PMTARTHUR[[#Totals],[2023]])/PMTARTHUR[[#Totals],[2023]]</totalsRowFormula>
    </tableColumn>
    <tableColumn id="5" xr3:uid="{57EC1EAC-3BD3-49D3-91C1-DAE9B6F4E01C}" name="2022" totalsRowFunction="average" dataDxfId="267" totalsRowDxfId="266">
      <calculatedColumnFormula>IF(PMTARTHUR[[#This Row],[2024]]="","",DONNÉES!CW236)</calculatedColumnFormula>
    </tableColumn>
    <tableColumn id="6" xr3:uid="{9036262D-1ADA-4DEA-B46A-0DBE97F65E78}" name="2021" totalsRowFunction="average" dataDxfId="265" totalsRowDxfId="264">
      <calculatedColumnFormula>IF(PMTARTHUR[[#This Row],[2024]]="","",DONNÉES!CX236)</calculatedColumnFormula>
    </tableColumn>
    <tableColumn id="7" xr3:uid="{C45B0F6B-8C02-412F-AAA2-A55D34BFB385}" name="2020" totalsRowFunction="average" dataDxfId="263" totalsRowDxfId="262">
      <calculatedColumnFormula>IF(PMTARTHUR[[#This Row],[2024]]="","",DONNÉES!CZ236)</calculatedColumnFormula>
    </tableColumn>
  </tableColumns>
  <tableStyleInfo name="TableStyleMedium11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656134F-6A8C-4BD2-9DC1-92E72A109E64}" name="PMTLYSE" displayName="PMTLYSE" ref="I65:O78" totalsRowCount="1" headerRowDxfId="261" dataDxfId="260" totalsRowDxfId="259">
  <tableColumns count="7">
    <tableColumn id="1" xr3:uid="{38878BBD-8277-46C6-839F-E7D8A4C05B7E}" name="LYSE" totalsRowLabel="  TOTAL  " dataDxfId="258" totalsRowDxfId="257"/>
    <tableColumn id="2" xr3:uid="{BB213E88-A03A-4A98-9660-82A7F169E610}" name="2024" totalsRowFunction="average" dataDxfId="256" totalsRowDxfId="255">
      <calculatedColumnFormula>IF(DONNÉES!CM236="","",DONNÉES!CM236)</calculatedColumnFormula>
    </tableColumn>
    <tableColumn id="3" xr3:uid="{634C1DC2-5CB7-4594-BE8E-D43331EC8654}" name="2023" totalsRowFunction="average" dataDxfId="254" totalsRowDxfId="253">
      <calculatedColumnFormula>IF(PMTLYSE[[#This Row],[2024]]="","",DONNÉES!CN236)</calculatedColumnFormula>
    </tableColumn>
    <tableColumn id="4" xr3:uid="{576EC97A-8D75-4D6E-9535-10B5F488AF3D}" name="Variat." totalsRowFunction="custom" dataDxfId="252" totalsRowDxfId="251">
      <calculatedColumnFormula>IF(PMTLYSE[[#This Row],[2024]]="","",(PMTLYSE[[#This Row],[2024]]-PMTLYSE[[#This Row],[2023]])/PMTLYSE[[#This Row],[2023]])</calculatedColumnFormula>
      <totalsRowFormula>(PMTLYSE[[#Totals],[2024]]-PMTLYSE[[#Totals],[2023]])/PMTLYSE[[#Totals],[2023]]</totalsRowFormula>
    </tableColumn>
    <tableColumn id="5" xr3:uid="{FB67D410-83BC-47D3-ADF6-E58676331EC5}" name="2022" totalsRowFunction="average" dataDxfId="250" totalsRowDxfId="249">
      <calculatedColumnFormula>IF(PMTLYSE[[#This Row],[2024]]="","",DONNÉES!CO236)</calculatedColumnFormula>
    </tableColumn>
    <tableColumn id="6" xr3:uid="{691269F6-9AA5-4083-A43A-C078CAB756F7}" name="2021" totalsRowFunction="average" dataDxfId="248" totalsRowDxfId="247">
      <calculatedColumnFormula>IF(PMTLYSE[[#This Row],[2024]]="","",DONNÉES!CP236)</calculatedColumnFormula>
    </tableColumn>
    <tableColumn id="7" xr3:uid="{882D8505-E3AE-4C67-AA29-4949EE979BA7}" name="2020" totalsRowFunction="average" dataDxfId="246" totalsRowDxfId="245">
      <calculatedColumnFormula>IF(PMTLYSE[[#This Row],[2024]]="","",DONNÉES!CQ236)</calculatedColumnFormula>
    </tableColumn>
  </tableColumns>
  <tableStyleInfo name="TableStyleMedium10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B303E2FF-7DAB-4E67-A46E-7D6779906E2A}" name="PMTTH4" displayName="PMTTH4" ref="I80:O93" totalsRowCount="1" headerRowDxfId="244" dataDxfId="243" totalsRowDxfId="242">
  <tableColumns count="7">
    <tableColumn id="1" xr3:uid="{153946F3-6220-4786-95FA-0EA8ED5C73AF}" name="TH4" totalsRowLabel="  TOTAL  " dataDxfId="241" totalsRowDxfId="240"/>
    <tableColumn id="2" xr3:uid="{B4A9A407-2556-4B20-BCB6-16F5E73DBBE5}" name="2024" totalsRowFunction="average" dataDxfId="239" totalsRowDxfId="238">
      <calculatedColumnFormula>IF(DONNÉES!BO236="","",DONNÉES!BO236)</calculatedColumnFormula>
    </tableColumn>
    <tableColumn id="3" xr3:uid="{D14BC96B-3BE7-4BE5-8722-02EBADB455C3}" name="2023" totalsRowFunction="average" dataDxfId="237" totalsRowDxfId="236">
      <calculatedColumnFormula>IF(PMTTH4[[#This Row],[2024]]="","",DONNÉES!BP236)</calculatedColumnFormula>
    </tableColumn>
    <tableColumn id="4" xr3:uid="{1A9F6498-42C5-4866-8D31-8290F9F483AB}" name="Variat." totalsRowFunction="custom" dataDxfId="235" totalsRowDxfId="234">
      <calculatedColumnFormula>IF(PMTTH4[[#This Row],[2024]]="","",(PMTTH4[[#This Row],[2024]]-PMTTH4[[#This Row],[2023]])/PMTTH4[[#This Row],[2023]])</calculatedColumnFormula>
      <totalsRowFormula>(PMTTH4[[#Totals],[2024]]-PMTTH4[[#Totals],[2023]])/PMTTH4[[#Totals],[2023]]</totalsRowFormula>
    </tableColumn>
    <tableColumn id="5" xr3:uid="{DC169E94-7A7B-4182-B131-83912CAB6107}" name="2022" totalsRowFunction="average" dataDxfId="233" totalsRowDxfId="232">
      <calculatedColumnFormula>IF(PMTTH4[[#This Row],[2024]]="","",DONNÉES!BQ236)</calculatedColumnFormula>
    </tableColumn>
    <tableColumn id="6" xr3:uid="{9ED9ADF4-5BF8-4604-AA3B-EF7C00169A15}" name="2021" totalsRowFunction="average" dataDxfId="231" totalsRowDxfId="230">
      <calculatedColumnFormula>IF(PMTTH4[[#This Row],[2024]]="","",DONNÉES!BR236)</calculatedColumnFormula>
    </tableColumn>
    <tableColumn id="7" xr3:uid="{3994A507-7943-415E-9E04-EE272FA3E556}" name="2020" totalsRowFunction="average" dataDxfId="229" totalsRowDxfId="228">
      <calculatedColumnFormula>IF(PMTTH4[[#This Row],[2024]]="","",DONNÉES!BS236)</calculatedColumnFormula>
    </tableColumn>
  </tableColumns>
  <tableStyleInfo name="TableStyleMedium13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A05D7AF-D537-4596-BF7B-A9E2D12C457C}" name="PMTHUGO" displayName="PMTHUGO" ref="I95:O108" totalsRowCount="1" headerRowDxfId="227" dataDxfId="226" totalsRowDxfId="225">
  <tableColumns count="7">
    <tableColumn id="1" xr3:uid="{03C96B73-11BF-4A91-976B-EB3407BA1DB6}" name="HUGO" totalsRowLabel="  TOTAL  " dataDxfId="224" totalsRowDxfId="223"/>
    <tableColumn id="2" xr3:uid="{BCA632E2-730A-4324-8C6E-443FF258D071}" name="2024" totalsRowFunction="average" dataDxfId="222" totalsRowDxfId="221">
      <calculatedColumnFormula>IF(DONNÉES!DC236="","",DONNÉES!DC236)</calculatedColumnFormula>
    </tableColumn>
    <tableColumn id="3" xr3:uid="{5CAD9BA0-F9FE-420D-8E57-ED3389FD6337}" name="2023" totalsRowFunction="average" dataDxfId="220" totalsRowDxfId="219">
      <calculatedColumnFormula>IF(PMTHUGO[[#This Row],[2024]]="","",DONNÉES!DD236)</calculatedColumnFormula>
    </tableColumn>
    <tableColumn id="4" xr3:uid="{6FEE442F-7E16-4F98-87CD-2618813F25D6}" name="Variat." totalsRowFunction="custom" dataDxfId="218" totalsRowDxfId="217">
      <calculatedColumnFormula>IF(PMTHUGO[[#This Row],[2024]]="","",(PMTHUGO[[#This Row],[2024]]-PMTHUGO[[#This Row],[2023]])/PMTHUGO[[#This Row],[2023]])</calculatedColumnFormula>
      <totalsRowFormula>(PMTHUGO[[#Totals],[2024]]-PMTHUGO[[#Totals],[2023]])/PMTHUGO[[#Totals],[2023]]</totalsRowFormula>
    </tableColumn>
    <tableColumn id="5" xr3:uid="{593A8EE2-8A4C-4515-B6F7-139D469E7B30}" name="2022" totalsRowFunction="average" dataDxfId="216" totalsRowDxfId="215">
      <calculatedColumnFormula>IF(PMTHUGO[[#This Row],[2024]]="","",DONNÉES!DE236)</calculatedColumnFormula>
    </tableColumn>
    <tableColumn id="6" xr3:uid="{8266AE91-9568-4AC1-9E83-3AC9A1737AA2}" name="2021" totalsRowFunction="average" dataDxfId="214" totalsRowDxfId="213">
      <calculatedColumnFormula>IF(PMTHUGO[[#This Row],[2024]]="","",DONNÉES!DF236)</calculatedColumnFormula>
    </tableColumn>
    <tableColumn id="7" xr3:uid="{80AF0D9B-1B94-4A6E-96C8-93A7B6B8CD84}" name="2020" totalsRowFunction="average" dataDxfId="212" totalsRowDxfId="211">
      <calculatedColumnFormula>IF(PMTHUGO[[#This Row],[2024]]="","",DONNÉES!DG236)</calculatedColumnFormula>
    </tableColumn>
  </tableColumns>
  <tableStyleInfo name="TableStyleMedium11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6803697-4F23-4A8B-A241-C4BFF210D916}" name="PMGLOBAL2" displayName="PMGLOBAL2" ref="A125:G138" totalsRowCount="1" headerRowDxfId="210" dataDxfId="209" totalsRowDxfId="208">
  <tableColumns count="7">
    <tableColumn id="1" xr3:uid="{FBB3945E-98A8-43F3-A7FD-D83CC9D8A2B3}" name="GLOBAL" totalsRowLabel="  TOTAL  " dataDxfId="207" totalsRowDxfId="206"/>
    <tableColumn id="2" xr3:uid="{1A42E04F-D56F-4603-B2A7-BB38E80A83F2}" name="2024" totalsRowFunction="average" dataDxfId="205" totalsRowDxfId="204">
      <calculatedColumnFormula>IF(DONNÉES!C236="","",DONNÉES!C236)</calculatedColumnFormula>
    </tableColumn>
    <tableColumn id="3" xr3:uid="{6CA3D3C1-DA0B-4CED-98C2-07AD891D2398}" name="2023" totalsRowFunction="average" dataDxfId="203" totalsRowDxfId="202">
      <calculatedColumnFormula>IF(PMGLOBAL2[[#This Row],[2024]]="","",DONNÉES!D236)</calculatedColumnFormula>
    </tableColumn>
    <tableColumn id="4" xr3:uid="{11E45AA6-800F-4353-B32A-A4D2C0B119A3}" name="Variat." totalsRowFunction="custom" dataDxfId="201" totalsRowDxfId="200">
      <calculatedColumnFormula>IF(PMGLOBAL2[[#This Row],[2024]]="","",(PMGLOBAL2[[#This Row],[2024]]-PMGLOBAL2[[#This Row],[2023]])/PMGLOBAL2[[#This Row],[2023]])</calculatedColumnFormula>
      <totalsRowFormula>(PMGLOBAL2[[#Totals],[2024]]-PMGLOBAL2[[#Totals],[2023]])/PMGLOBAL2[[#Totals],[2023]]</totalsRowFormula>
    </tableColumn>
    <tableColumn id="5" xr3:uid="{95EE11B8-4B46-4EC4-B2B6-C0053F6435A9}" name="2022" totalsRowFunction="average" dataDxfId="199" totalsRowDxfId="198">
      <calculatedColumnFormula>IF(PMGLOBAL2[[#This Row],[2024]]="","",DONNÉES!E236)</calculatedColumnFormula>
    </tableColumn>
    <tableColumn id="6" xr3:uid="{D0C71546-0E23-44FC-BF3B-18C699AE16F4}" name="2021" totalsRowFunction="average" dataDxfId="197" totalsRowDxfId="196">
      <calculatedColumnFormula>IF(PMGLOBAL2[[#This Row],[2024]]="","",DONNÉES!F236)</calculatedColumnFormula>
    </tableColumn>
    <tableColumn id="7" xr3:uid="{B1B1991F-67FF-4831-96EA-6208FE920E46}" name="2020" totalsRowFunction="average" dataDxfId="195" totalsRowDxfId="194">
      <calculatedColumnFormula>IF(PMGLOBAL2[[#This Row],[2024]]="","",DONNÉES!G236)</calculatedColumnFormula>
    </tableColumn>
  </tableColumns>
  <tableStyleInfo name="TableStyleMedium8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B23859C1-CA34-4B1D-86AB-391567EFC03C}" name="PMTGLR5" displayName="PMTGLR5" ref="A5:G18" totalsRowCount="1" headerRowDxfId="193" dataDxfId="192" totalsRowDxfId="191">
  <tableColumns count="7">
    <tableColumn id="1" xr3:uid="{E332BFCC-C5AF-4A43-9E47-1D7D52D1E1C4}" name="GLR5" totalsRowLabel=" TOTAL " dataDxfId="190" totalsRowDxfId="189"/>
    <tableColumn id="2" xr3:uid="{EDB6F87C-E94B-4327-AE06-E796B1D204E1}" name="2024" totalsRowFunction="average" dataDxfId="188" totalsRowDxfId="187">
      <calculatedColumnFormula>IF(DONNÉES!K236="","",DONNÉES!K236)</calculatedColumnFormula>
    </tableColumn>
    <tableColumn id="3" xr3:uid="{D655B420-8277-496D-B581-B03BC98EEA93}" name="2023" totalsRowFunction="average" dataDxfId="186" totalsRowDxfId="185">
      <calculatedColumnFormula>IF(PMTGLR5[[#This Row],[2024]]="","",DONNÉES!L236)</calculatedColumnFormula>
    </tableColumn>
    <tableColumn id="4" xr3:uid="{4C0652C2-C3DF-45A0-87FD-EDB72363ED3E}" name="Variat." totalsRowFunction="custom" dataDxfId="184" totalsRowDxfId="183">
      <calculatedColumnFormula>IF(PMTGLR5[[#This Row],[2024]]="","",(PMTGLR5[[#This Row],[2024]]-PMTGLR5[[#This Row],[2023]])/PMTGLR5[[#This Row],[2023]])</calculatedColumnFormula>
      <totalsRowFormula>(PMTGLR5[[#Totals],[2024]]-PMTGLR5[[#Totals],[2023]])/PMTGLR5[[#Totals],[2023]]</totalsRowFormula>
    </tableColumn>
    <tableColumn id="5" xr3:uid="{8BB76412-D22B-42A1-BB35-A547C760814B}" name="2022" totalsRowFunction="average" dataDxfId="182" totalsRowDxfId="181">
      <calculatedColumnFormula>IF(PMTGLR5[[#This Row],[2024]]="","",DONNÉES!M236)</calculatedColumnFormula>
    </tableColumn>
    <tableColumn id="6" xr3:uid="{80CF55AF-679A-4C3D-85FD-22273E038308}" name="2021" totalsRowFunction="average" dataDxfId="180" totalsRowDxfId="179">
      <calculatedColumnFormula>IF(PMTGLR5[[#This Row],[2024]]="","",DONNÉES!N236)</calculatedColumnFormula>
    </tableColumn>
    <tableColumn id="7" xr3:uid="{CB40A8D1-03AE-4727-B0C3-0BE1F29D5A61}" name="2020" totalsRowFunction="average" dataDxfId="178" totalsRowDxfId="177">
      <calculatedColumnFormula>IF(PMTGLR5[[#This Row],[2024]]="","",DONNÉES!O236)</calculatedColumnFormula>
    </tableColumn>
  </tableColumns>
  <tableStyleInfo name="TableStyleMedium10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46BF630B-3283-42A7-894C-27B7633A5565}" name="PMTTIRR" displayName="PMTTIRR" ref="A20:G33" totalsRowCount="1" headerRowDxfId="176" dataDxfId="175" totalsRowDxfId="174">
  <tableColumns count="7">
    <tableColumn id="1" xr3:uid="{F64606C3-3CC7-42C5-AE5B-CF6D871772D8}" name="TIRR" totalsRowLabel="  TOTAL  " dataDxfId="173" totalsRowDxfId="172"/>
    <tableColumn id="2" xr3:uid="{76553CDF-5D88-4FEC-A678-0D64C40CBCA1}" name="2024" totalsRowFunction="average" dataDxfId="171" totalsRowDxfId="170">
      <calculatedColumnFormula>IF(DONNÉES!AA236="","",DONNÉES!AA236)</calculatedColumnFormula>
    </tableColumn>
    <tableColumn id="3" xr3:uid="{E7C1FF7F-19F5-4B59-B5B1-BE7689981E9C}" name="2023" totalsRowFunction="average" dataDxfId="169" totalsRowDxfId="168">
      <calculatedColumnFormula>IF(PMTTIRR[[#This Row],[2024]]="","",DONNÉES!AB236)</calculatedColumnFormula>
    </tableColumn>
    <tableColumn id="4" xr3:uid="{BB661C9C-A9A1-47BD-AC63-9428D7F5F126}" name="Variat." totalsRowFunction="custom" dataDxfId="167" totalsRowDxfId="166">
      <calculatedColumnFormula>IF(PMTTIRR[[#This Row],[2024]]="","",(PMTTIRR[[#This Row],[2024]]-PMTTIRR[[#This Row],[2023]])/PMTTIRR[[#This Row],[2023]])</calculatedColumnFormula>
      <totalsRowFormula>(PMTTIRR[[#Totals],[2024]]-PMTTIRR[[#Totals],[2023]])/PMTTIRR[[#Totals],[2023]]</totalsRowFormula>
    </tableColumn>
    <tableColumn id="5" xr3:uid="{C101941A-E95C-4871-9AC7-9E1BCA55C7ED}" name="2022" totalsRowFunction="average" dataDxfId="165" totalsRowDxfId="164">
      <calculatedColumnFormula>IF(PMTTIRR[[#This Row],[2024]]="","",DONNÉES!AC236)</calculatedColumnFormula>
    </tableColumn>
    <tableColumn id="6" xr3:uid="{23007A8E-9826-4CE1-99A5-8E443DD94A5B}" name="2021" totalsRowFunction="average" dataDxfId="163" totalsRowDxfId="162">
      <calculatedColumnFormula>IF(PMTTIRR[[#This Row],[2024]]="","",DONNÉES!AD236)</calculatedColumnFormula>
    </tableColumn>
    <tableColumn id="7" xr3:uid="{CBC02666-1BE6-4F9B-B058-2341DE4D49CF}" name="2020" totalsRowFunction="average" dataDxfId="161" totalsRowDxfId="160">
      <calculatedColumnFormula>IF(PMTTIRR[[#This Row],[2024]]="","",DONNÉES!AE236)</calculatedColumnFormula>
    </tableColumn>
  </tableColumns>
  <tableStyleInfo name="TableStyleMedium13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D236D05B-BCCC-4370-89AF-FA39136ECC07}" name="PMTHTR8" displayName="PMTHTR8" ref="I5:O18" totalsRowCount="1" headerRowDxfId="159" dataDxfId="158" totalsRowDxfId="157">
  <tableColumns count="7">
    <tableColumn id="1" xr3:uid="{C99962BD-FC89-4842-AB3F-1EA8858A3385}" name="HTR8" totalsRowLabel="  TOTAL  " dataDxfId="156" totalsRowDxfId="155"/>
    <tableColumn id="2" xr3:uid="{33FED3DF-DE44-40FB-B3CB-1266788230DA}" name="2024" totalsRowFunction="average" dataDxfId="154" totalsRowDxfId="153">
      <calculatedColumnFormula>IF(DONNÉES!S236="","",DONNÉES!S236)</calculatedColumnFormula>
    </tableColumn>
    <tableColumn id="3" xr3:uid="{F8B95907-3717-49EC-BB34-33B058C7BB73}" name="2023" totalsRowFunction="average" dataDxfId="152" totalsRowDxfId="151">
      <calculatedColumnFormula>IF(PMTHTR8[[#This Row],[2024]]="","",DONNÉES!T236)</calculatedColumnFormula>
    </tableColumn>
    <tableColumn id="4" xr3:uid="{B9FC710B-F62A-41B2-AD14-F821CD3CAA7A}" name="Variat." totalsRowFunction="custom" dataDxfId="150" totalsRowDxfId="149">
      <calculatedColumnFormula>IF(PMTHTR8[[#This Row],[2024]]="","",(PMTHTR8[[#This Row],[2024]]-PMTHTR8[[#This Row],[2023]])/PMTHTR8[[#This Row],[2023]])</calculatedColumnFormula>
      <totalsRowFormula>(PMTHTR8[[#Totals],[2024]]-PMTHTR8[[#Totals],[2023]])/PMTHTR8[[#Totals],[2023]]</totalsRowFormula>
    </tableColumn>
    <tableColumn id="5" xr3:uid="{379B36FF-70E3-4D39-97FF-A892779037CC}" name="2022" totalsRowFunction="average" dataDxfId="148" totalsRowDxfId="147">
      <calculatedColumnFormula>IF(PMTHTR8[[#This Row],[2024]]="","",DONNÉES!U236)</calculatedColumnFormula>
    </tableColumn>
    <tableColumn id="6" xr3:uid="{9C973301-E9FB-493C-AF31-11DC7844045D}" name="2021" totalsRowFunction="average" dataDxfId="146" totalsRowDxfId="145">
      <calculatedColumnFormula>IF(PMTHTR8[[#This Row],[2024]]="","",DONNÉES!V236)</calculatedColumnFormula>
    </tableColumn>
    <tableColumn id="7" xr3:uid="{1D9A5CCA-CBE5-49A2-89DE-D9AD027096F1}" name="2020" totalsRowFunction="average" dataDxfId="144" totalsRowDxfId="143">
      <calculatedColumnFormula>IF(PMTHTR8[[#This Row],[2024]]="","",DONNÉES!W236)</calculatedColumnFormula>
    </tableColumn>
  </tableColumns>
  <tableStyleInfo name="TableStyleMedium10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A2F2B18F-90D2-4F06-95F8-114027A3B242}" name="PMTVR7" displayName="PMTVR7" ref="I20:O33" totalsRowCount="1" headerRowDxfId="142" dataDxfId="141" totalsRowDxfId="140">
  <tableColumns count="7">
    <tableColumn id="1" xr3:uid="{596DEF7C-131B-43F7-973C-C02B9A017309}" name="VR7" totalsRowLabel="  TOTAL  " dataDxfId="139" totalsRowDxfId="138"/>
    <tableColumn id="2" xr3:uid="{5AE2AE2F-3D30-4C2E-B1AD-9F09F9DEC6F0}" name="2024" totalsRowFunction="average" dataDxfId="137" totalsRowDxfId="136">
      <calculatedColumnFormula>IF(DONNÉES!AI236="","",DONNÉES!AI236)</calculatedColumnFormula>
    </tableColumn>
    <tableColumn id="3" xr3:uid="{4371E922-1D40-43B4-A7A9-406FA98FDF5D}" name="2023" totalsRowFunction="average" dataDxfId="135" totalsRowDxfId="134">
      <calculatedColumnFormula>IF(PMTVR7[[#This Row],[2024]]="","",DONNÉES!AJ236)</calculatedColumnFormula>
    </tableColumn>
    <tableColumn id="4" xr3:uid="{3CCB32C4-EA5E-4E29-8320-30313592547D}" name="Variat." totalsRowFunction="custom" dataDxfId="133" totalsRowDxfId="132">
      <calculatedColumnFormula>IF(PMTVR7[[#This Row],[2024]]="","",(PMTVR7[[#This Row],[2024]]-PMTVR7[[#This Row],[2023]])/PMTVR7[[#This Row],[2023]])</calculatedColumnFormula>
      <totalsRowFormula>(PMTVR7[[#Totals],[2024]]-PMTVR7[[#Totals],[2023]])/PMTVR7[[#Totals],[2023]]</totalsRowFormula>
    </tableColumn>
    <tableColumn id="5" xr3:uid="{0D7CEE22-C0D1-4B09-A30D-08450DC52AA3}" name="2022" totalsRowFunction="average" dataDxfId="131" totalsRowDxfId="130">
      <calculatedColumnFormula>IF(PMTVR7[[#This Row],[2024]]="","",DONNÉES!AK236)</calculatedColumnFormula>
    </tableColumn>
    <tableColumn id="6" xr3:uid="{2DBF5B68-258B-4C02-807C-20ED1309CC34}" name="2021" totalsRowFunction="average" dataDxfId="129" totalsRowDxfId="128">
      <calculatedColumnFormula>IF(PMTVR7[[#This Row],[2024]]="","",DONNÉES!AL236)</calculatedColumnFormula>
    </tableColumn>
    <tableColumn id="7" xr3:uid="{A70BE103-E8A0-44E5-93CB-4716164C68BA}" name="2020" totalsRowFunction="average" dataDxfId="127" totalsRowDxfId="126">
      <calculatedColumnFormula>IF(PMTVR7[[#This Row],[2024]]="","",DONNÉES!AM236)</calculatedColumnFormula>
    </tableColumn>
  </tableColumns>
  <tableStyleInfo name="TableStyleMedium13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51DF2FFB-F809-45B7-AB75-A8D8257A594C}" name="PMTTURVILLA" displayName="PMTTURVILLA" ref="A35:G48" totalsRowCount="1" headerRowDxfId="125" dataDxfId="124" totalsRowDxfId="123">
  <tableColumns count="7">
    <tableColumn id="1" xr3:uid="{5EBF7E8A-35A2-4F47-A853-714E9D64BA58}" name="TURVILLA" totalsRowLabel=" TOTAL " dataDxfId="122" totalsRowDxfId="121"/>
    <tableColumn id="2" xr3:uid="{09B5FE74-FF77-46E5-9F1D-CF1F6FBFDE61}" name="2024" totalsRowFunction="average" dataDxfId="120" totalsRowDxfId="119">
      <calculatedColumnFormula>IF(DONNÉES!AQ236="","",DONNÉES!AQ236)</calculatedColumnFormula>
    </tableColumn>
    <tableColumn id="3" xr3:uid="{475A4953-03CA-4BBC-BF6A-0BC7BD5812D8}" name="2023" totalsRowFunction="average" dataDxfId="118" totalsRowDxfId="117">
      <calculatedColumnFormula>IF(PMTTURVILLA[[#This Row],[2024]]="","",DONNÉES!AR236)</calculatedColumnFormula>
    </tableColumn>
    <tableColumn id="4" xr3:uid="{7015C51D-92CB-4C2D-A8AD-6E9306A13BD2}" name="Variat." totalsRowFunction="custom" dataDxfId="116" totalsRowDxfId="115">
      <calculatedColumnFormula>IF(PMTTURVILLA[[#This Row],[2024]]="","",(PMTTURVILLA[[#This Row],[2024]]-PMTTURVILLA[[#This Row],[2023]])/PMTTURVILLA[[#This Row],[2023]])</calculatedColumnFormula>
      <totalsRowFormula>(PMTTURVILLA[[#Totals],[2024]]-PMTTURVILLA[[#Totals],[2023]])/PMTTURVILLA[[#Totals],[2023]]</totalsRowFormula>
    </tableColumn>
    <tableColumn id="5" xr3:uid="{60EEE150-C3B3-4C1A-895F-FE2DC85887FA}" name="2022" totalsRowFunction="average" dataDxfId="114" totalsRowDxfId="113">
      <calculatedColumnFormula>IF(PMTTURVILLA[[#This Row],[2024]]="","",DONNÉES!AS236)</calculatedColumnFormula>
    </tableColumn>
    <tableColumn id="6" xr3:uid="{60BBDD63-F2C2-4843-BE73-9724E8C88A0F}" name="2021" totalsRowFunction="average" dataDxfId="112" totalsRowDxfId="111">
      <calculatedColumnFormula>IF(PMTTURVILLA[[#This Row],[2024]]="","",DONNÉES!AT236)</calculatedColumnFormula>
    </tableColumn>
    <tableColumn id="7" xr3:uid="{60DB0B2D-ACE2-48AC-B3B0-57CD82128D53}" name="2020" totalsRowFunction="average" dataDxfId="110" totalsRowDxfId="109">
      <calculatedColumnFormula>IF(PMTTURVILLA[[#This Row],[2024]]="","",DONNÉES!AU236)</calculatedColumnFormula>
    </tableColumn>
  </tableColumns>
  <tableStyleInfo name="TableStyleMedium10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B429EA99-C619-4808-AB3D-77A38C0ED083}" name="PMTVICTOIRE" displayName="PMTVICTOIRE" ref="A50:G63" totalsRowCount="1" headerRowDxfId="108" dataDxfId="107" totalsRowDxfId="106">
  <tableColumns count="7">
    <tableColumn id="1" xr3:uid="{605964DD-E54F-4CF9-8331-EF04349372B0}" name="VICTOIRE" totalsRowLabel="  TOTAL  " dataDxfId="105" totalsRowDxfId="104"/>
    <tableColumn id="2" xr3:uid="{6759EA52-1227-471A-BE81-604706408761}" name="2024" totalsRowFunction="average" dataDxfId="103" totalsRowDxfId="102">
      <calculatedColumnFormula>IF(DONNÉES!BG236="","",DONNÉES!BG236)</calculatedColumnFormula>
    </tableColumn>
    <tableColumn id="3" xr3:uid="{8275D22F-CA78-45DF-BDDB-DD0580C0A5B5}" name="2023" totalsRowFunction="average" dataDxfId="101" totalsRowDxfId="100">
      <calculatedColumnFormula>IF(PMTVICTOIRE[[#This Row],[2024]]="","",DONNÉES!BH236)</calculatedColumnFormula>
    </tableColumn>
    <tableColumn id="4" xr3:uid="{EB636A3E-F2E4-41FA-910E-9C741D847AF8}" name="Variat." totalsRowFunction="custom" dataDxfId="99" totalsRowDxfId="98">
      <calculatedColumnFormula>IF(PMTVICTOIRE[[#This Row],[2024]]="","",(PMTVICTOIRE[[#This Row],[2024]]-PMTVICTOIRE[[#This Row],[2023]])/PMTVICTOIRE[[#This Row],[2023]])</calculatedColumnFormula>
      <totalsRowFormula>(PMTVICTOIRE[[#Totals],[2024]]-PMTVICTOIRE[[#Totals],[2023]])/PMTVICTOIRE[[#Totals],[2023]]</totalsRowFormula>
    </tableColumn>
    <tableColumn id="5" xr3:uid="{8A9328BC-725C-4652-AFE1-04A1581AF597}" name="2022" totalsRowFunction="average" dataDxfId="97" totalsRowDxfId="96">
      <calculatedColumnFormula>IF(PMTVICTOIRE[[#This Row],[2024]]="","",DONNÉES!BI236)</calculatedColumnFormula>
    </tableColumn>
    <tableColumn id="6" xr3:uid="{17AF4657-3764-45AA-91E8-74E996E10A92}" name="2021" totalsRowFunction="average" dataDxfId="95" totalsRowDxfId="94">
      <calculatedColumnFormula>IF(PMTVICTOIRE[[#This Row],[2024]]="","",DONNÉES!BJ236)</calculatedColumnFormula>
    </tableColumn>
    <tableColumn id="7" xr3:uid="{6F31793A-5AAF-40D6-896F-C62CD346AEB6}" name="2020" dataDxfId="93" totalsRowDxfId="92">
      <calculatedColumnFormula>IF(PMTVICTOIRE[[#This Row],[2024]]="","",DONNÉES!BK236)</calculatedColumnFormula>
    </tableColumn>
  </tableColumns>
  <tableStyleInfo name="TableStyleMedium13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C3C69FCA-61DB-41A7-8C24-BF6E6B32AA51}" name="PMTHART" displayName="PMTHART" ref="I35:O48" totalsRowCount="1" headerRowDxfId="91" dataDxfId="90" totalsRowDxfId="89">
  <tableColumns count="7">
    <tableColumn id="1" xr3:uid="{40C6D18C-6F06-4870-9083-5585AA4CE011}" name="HART" totalsRowLabel="  TOTAL  " dataDxfId="88" totalsRowDxfId="87"/>
    <tableColumn id="2" xr3:uid="{C826C713-9A6E-48BF-BF7F-2FCE5D9FC42C}" name="2024" totalsRowFunction="average" dataDxfId="86" totalsRowDxfId="85">
      <calculatedColumnFormula>IF(DONNÉES!AY236="","",DONNÉES!AY236)</calculatedColumnFormula>
    </tableColumn>
    <tableColumn id="3" xr3:uid="{51EE1310-F1AA-4D14-9709-9A0BC6DBB4CC}" name="2023" totalsRowFunction="average" dataDxfId="84" totalsRowDxfId="83">
      <calculatedColumnFormula>IF(PMTHART[[#This Row],[2024]]="","",DONNÉES!AZ236)</calculatedColumnFormula>
    </tableColumn>
    <tableColumn id="4" xr3:uid="{155699ED-9B60-410A-B8D2-C7DDFEE913FF}" name="Variat." totalsRowFunction="custom" dataDxfId="82" totalsRowDxfId="81">
      <calculatedColumnFormula>IF(PMTHART[[#This Row],[2024]]="","",(PMTHART[[#This Row],[2024]]-PMTHART[[#This Row],[2023]])/PMTHART[[#This Row],[2023]])</calculatedColumnFormula>
      <totalsRowFormula>(PMTHART[[#Totals],[2024]]-PMTHART[[#Totals],[2023]])/PMTHART[[#Totals],[2023]]</totalsRowFormula>
    </tableColumn>
    <tableColumn id="5" xr3:uid="{7D546E01-25E8-459F-9D07-AA555F7D8F6F}" name="2022" totalsRowFunction="custom" dataDxfId="80" totalsRowDxfId="79">
      <calculatedColumnFormula>IF(PMTHART[[#This Row],[2024]]="","",DONNÉES!BA236)</calculatedColumnFormula>
      <totalsRowFormula>SUBTOTAL(101,M42:M47)</totalsRowFormula>
    </tableColumn>
    <tableColumn id="6" xr3:uid="{87354CEE-8A39-45A3-877B-815A46A1C612}" name="2021" totalsRowFunction="average" dataDxfId="78" totalsRowDxfId="77">
      <calculatedColumnFormula>IF(PMTHART[[#This Row],[2024]]="","",DONNÉES!BB236)</calculatedColumnFormula>
    </tableColumn>
    <tableColumn id="7" xr3:uid="{3703AC4D-878C-40F9-873F-ACAFE4A88507}" name="2020" totalsRowFunction="average" dataDxfId="76" totalsRowDxfId="75">
      <calculatedColumnFormula>IF(PMTHART[[#This Row],[2024]]="","",DONNÉES!BC236)</calculatedColumnFormula>
    </tableColumn>
  </tableColumns>
  <tableStyleInfo name="TableStyleMedium10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29D2CAF7-2A20-44F1-9532-8F48A0B351C4}" name="PMTTJEANCLO" displayName="PMTTJEANCLO" ref="A110:G123" totalsRowCount="1" headerRowDxfId="74" dataDxfId="73" totalsRowDxfId="72">
  <tableColumns count="7">
    <tableColumn id="1" xr3:uid="{1835906D-D72B-4016-BF11-3AF874B1F068}" name="JEANCLO" totalsRowLabel="  TOTAL  " dataDxfId="71" totalsRowDxfId="70"/>
    <tableColumn id="2" xr3:uid="{6F68AC43-FF45-493C-B269-9BC13E91BDBA}" name="2024" totalsRowFunction="average" dataDxfId="69" totalsRowDxfId="68">
      <calculatedColumnFormula>IF(DONNÉES!DK236="","",DONNÉES!DK236)</calculatedColumnFormula>
    </tableColumn>
    <tableColumn id="3" xr3:uid="{71300D8E-A854-4E51-8370-2B1E87D874E4}" name="2023" totalsRowFunction="average" dataDxfId="67" totalsRowDxfId="66">
      <calculatedColumnFormula>IF(PMTTJEANCLO[[#This Row],[2024]]="","",DONNÉES!DL236)</calculatedColumnFormula>
    </tableColumn>
    <tableColumn id="4" xr3:uid="{71B247E7-4BB7-4E8E-AD57-391D401650A9}" name="Variat." totalsRowFunction="custom" dataDxfId="65" totalsRowDxfId="64">
      <calculatedColumnFormula>IF(PMTTJEANCLO[[#This Row],[2024]]="","",(PMTTJEANCLO[[#This Row],[2024]]-PMTTJEANCLO[[#This Row],[2023]])/PMTTJEANCLO[[#This Row],[2023]])</calculatedColumnFormula>
      <totalsRowFormula>(PMTTJEANCLO[[#Totals],[2024]]-PMTTJEANCLO[[#Totals],[2023]])/PMTTJEANCLO[[#Totals],[2023]]</totalsRowFormula>
    </tableColumn>
    <tableColumn id="5" xr3:uid="{8BD0E55D-1282-4286-9F57-64F55BCC1138}" name="2022" totalsRowFunction="average" dataDxfId="63" totalsRowDxfId="62">
      <calculatedColumnFormula>IF(PMTTJEANCLO[[#This Row],[2024]]="","",DONNÉES!DM236)</calculatedColumnFormula>
    </tableColumn>
    <tableColumn id="6" xr3:uid="{6E4A1B5B-C6F1-4ACD-B06E-82001659AD45}" name="2021" totalsRowFunction="average" dataDxfId="61" totalsRowDxfId="60">
      <calculatedColumnFormula>IF(PMTTJEANCLO[[#This Row],[2024]]="","",DONNÉES!DN236)</calculatedColumnFormula>
    </tableColumn>
    <tableColumn id="7" xr3:uid="{14030A77-3247-4DE8-881B-476312FE97DA}" name="2020" totalsRowFunction="average" dataDxfId="59" totalsRowDxfId="58">
      <calculatedColumnFormula>IF(PMTTJEANCLO[[#This Row],[2024]]="","",DONNÉES!DO236)</calculatedColumnFormula>
    </tableColumn>
  </tableColumns>
  <tableStyleInfo name="TableStyleMedium11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EC6DF44E-7A89-4453-8CC4-A6F4BDDA76DB}" name="PMTTHOMAS" displayName="PMTTHOMAS" ref="I110:O123" totalsRowCount="1" headerRowDxfId="57" dataDxfId="56" totalsRowDxfId="55">
  <tableColumns count="7">
    <tableColumn id="1" xr3:uid="{991DED58-E5AE-4DE1-9EF8-26FB77C75320}" name="THOMAS" totalsRowLabel="  TOTAL  " dataDxfId="54" totalsRowDxfId="53"/>
    <tableColumn id="2" xr3:uid="{0CC35B1B-0DEC-4C35-932A-D8E174B5F8CD}" name="2024" totalsRowFunction="average" dataDxfId="52" totalsRowDxfId="51">
      <calculatedColumnFormula>IF(DONNÉES!DS236="","",DONNÉES!DS236)</calculatedColumnFormula>
    </tableColumn>
    <tableColumn id="3" xr3:uid="{1284B160-3425-411B-AF7E-E225423661C9}" name="2023" totalsRowFunction="average" dataDxfId="50" totalsRowDxfId="49">
      <calculatedColumnFormula>IF(PMTTHOMAS[[#This Row],[2024]]="","",DONNÉES!DT236)</calculatedColumnFormula>
    </tableColumn>
    <tableColumn id="4" xr3:uid="{2C13157F-9C9B-4793-91AD-C98B6E433F8E}" name="Variat." totalsRowFunction="custom" dataDxfId="48" totalsRowDxfId="47">
      <calculatedColumnFormula>IF(PMTTHOMAS[[#This Row],[2024]]="","",(PMTTHOMAS[[#This Row],[2024]]-PMTTHOMAS[[#This Row],[2023]])/PMTTHOMAS[[#This Row],[2023]])</calculatedColumnFormula>
      <totalsRowFormula>(PMTTHOMAS[[#Totals],[2024]]-PMTTHOMAS[[#Totals],[2023]])/PMTTHOMAS[[#Totals],[2023]]</totalsRowFormula>
    </tableColumn>
    <tableColumn id="5" xr3:uid="{128443A6-8250-4789-81DE-C0E592A58260}" name="2022" totalsRowFunction="average" dataDxfId="46" totalsRowDxfId="45">
      <calculatedColumnFormula>IF(PMTTHOMAS[[#This Row],[2024]]="","",DONNÉES!DU236)</calculatedColumnFormula>
    </tableColumn>
    <tableColumn id="6" xr3:uid="{3CF6451E-0E20-41D7-9870-DFC873DECFDD}" name="2021" totalsRowFunction="average" dataDxfId="44" totalsRowDxfId="43">
      <calculatedColumnFormula>IF(PMTTHOMAS[[#This Row],[2024]]="","",DONNÉES!DV236)</calculatedColumnFormula>
    </tableColumn>
    <tableColumn id="7" xr3:uid="{7D71EDF8-9925-451B-BD8B-6279F2A58486}" name="2020" totalsRowFunction="average" dataDxfId="42" totalsRowDxfId="41">
      <calculatedColumnFormula>IF(PMTTHOMAS[[#This Row],[2024]]="","",DONNÉES!DW236)</calculatedColumnFormula>
    </tableColumn>
  </tableColumns>
  <tableStyleInfo name="TableStyleMedium11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8F9ACF84-4D74-4762-B346-91BD822DECA8}" name="PMTCAT" displayName="PMTCAT" ref="I50:O63" totalsRowCount="1" headerRowDxfId="40" dataDxfId="39" totalsRowDxfId="38" headerRowCellStyle="Normal 5" dataCellStyle="Milliers">
  <tableColumns count="7">
    <tableColumn id="1" xr3:uid="{7147BD33-951D-4CBF-8DDA-30E9D1385403}" name="CATALINA" totalsRowLabel="  TOTAL  " dataDxfId="37" totalsRowDxfId="36" dataCellStyle="Normal 5"/>
    <tableColumn id="2" xr3:uid="{7C2A4C74-3B3E-43FE-A63D-1B599D478E36}" name="2024" totalsRowFunction="average" dataDxfId="35" totalsRowDxfId="34" dataCellStyle="Milliers">
      <calculatedColumnFormula>IF(DONNÉES!EA236="","",DONNÉES!EA236)</calculatedColumnFormula>
    </tableColumn>
    <tableColumn id="3" xr3:uid="{B871CC63-6ABF-4CEA-A07F-D640404E152B}" name="2023" totalsRowFunction="average" dataDxfId="33" totalsRowDxfId="32" dataCellStyle="Milliers">
      <calculatedColumnFormula>IF(PMTCAT[[#This Row],[2024]]="","",DONNÉES!EB236)</calculatedColumnFormula>
    </tableColumn>
    <tableColumn id="4" xr3:uid="{FBEAF638-80FB-4BE8-8C9C-09EF66A0B6F1}" name="Variat." totalsRowFunction="custom" dataDxfId="31" totalsRowDxfId="30" dataCellStyle="Pourcentage">
      <calculatedColumnFormula>IF(PMTCAT[[#This Row],[2024]]="","",(PMTCAT[[#This Row],[2024]]-PMTCAT[[#This Row],[2023]])/PMTCAT[[#This Row],[2023]])</calculatedColumnFormula>
      <totalsRowFormula>(PMTCAT[[#Totals],[2024]]-PMTCAT[[#Totals],[2023]])/PMTCAT[[#Totals],[2023]]</totalsRowFormula>
    </tableColumn>
    <tableColumn id="5" xr3:uid="{15CEEA6B-8791-40A9-AC98-6FD0AE54B685}" name="2022" totalsRowFunction="average" dataDxfId="29" totalsRowDxfId="28" dataCellStyle="Milliers">
      <calculatedColumnFormula>IF(PMTCAT[[#This Row],[2024]]="","",DONNÉES!EC236)</calculatedColumnFormula>
    </tableColumn>
    <tableColumn id="6" xr3:uid="{482B7A42-8AED-4D23-AC97-DF035B66FD44}" name="2021" totalsRowFunction="average" dataDxfId="27" totalsRowDxfId="26" dataCellStyle="Milliers">
      <calculatedColumnFormula>IF(PMTCAT[[#This Row],[2024]]="","",DONNÉES!ED236)</calculatedColumnFormula>
    </tableColumn>
    <tableColumn id="7" xr3:uid="{252D30A0-9186-48B3-A34C-C02C4724CA02}" name="2020" totalsRowFunction="average" dataDxfId="25" totalsRowDxfId="24" dataCellStyle="Milliers">
      <calculatedColumnFormula>IF(PMTCAT[[#This Row],[2024]]="","",DONNÉES!EE236)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20.xml"/><Relationship Id="rId299" Type="http://schemas.openxmlformats.org/officeDocument/2006/relationships/table" Target="../tables/table302.xml"/><Relationship Id="rId21" Type="http://schemas.openxmlformats.org/officeDocument/2006/relationships/table" Target="../tables/table24.xml"/><Relationship Id="rId63" Type="http://schemas.openxmlformats.org/officeDocument/2006/relationships/table" Target="../tables/table66.xml"/><Relationship Id="rId159" Type="http://schemas.openxmlformats.org/officeDocument/2006/relationships/table" Target="../tables/table162.xml"/><Relationship Id="rId324" Type="http://schemas.openxmlformats.org/officeDocument/2006/relationships/table" Target="../tables/table327.xml"/><Relationship Id="rId170" Type="http://schemas.openxmlformats.org/officeDocument/2006/relationships/table" Target="../tables/table173.xml"/><Relationship Id="rId226" Type="http://schemas.openxmlformats.org/officeDocument/2006/relationships/table" Target="../tables/table229.xml"/><Relationship Id="rId268" Type="http://schemas.openxmlformats.org/officeDocument/2006/relationships/table" Target="../tables/table271.xml"/><Relationship Id="rId32" Type="http://schemas.openxmlformats.org/officeDocument/2006/relationships/table" Target="../tables/table35.xml"/><Relationship Id="rId74" Type="http://schemas.openxmlformats.org/officeDocument/2006/relationships/table" Target="../tables/table77.xml"/><Relationship Id="rId128" Type="http://schemas.openxmlformats.org/officeDocument/2006/relationships/table" Target="../tables/table131.xml"/><Relationship Id="rId5" Type="http://schemas.openxmlformats.org/officeDocument/2006/relationships/table" Target="../tables/table8.xml"/><Relationship Id="rId181" Type="http://schemas.openxmlformats.org/officeDocument/2006/relationships/table" Target="../tables/table184.xml"/><Relationship Id="rId237" Type="http://schemas.openxmlformats.org/officeDocument/2006/relationships/table" Target="../tables/table240.xml"/><Relationship Id="rId279" Type="http://schemas.openxmlformats.org/officeDocument/2006/relationships/table" Target="../tables/table282.xml"/><Relationship Id="rId43" Type="http://schemas.openxmlformats.org/officeDocument/2006/relationships/table" Target="../tables/table46.xml"/><Relationship Id="rId139" Type="http://schemas.openxmlformats.org/officeDocument/2006/relationships/table" Target="../tables/table142.xml"/><Relationship Id="rId290" Type="http://schemas.openxmlformats.org/officeDocument/2006/relationships/table" Target="../tables/table293.xml"/><Relationship Id="rId304" Type="http://schemas.openxmlformats.org/officeDocument/2006/relationships/table" Target="../tables/table307.xml"/><Relationship Id="rId85" Type="http://schemas.openxmlformats.org/officeDocument/2006/relationships/table" Target="../tables/table88.xml"/><Relationship Id="rId150" Type="http://schemas.openxmlformats.org/officeDocument/2006/relationships/table" Target="../tables/table153.xml"/><Relationship Id="rId192" Type="http://schemas.openxmlformats.org/officeDocument/2006/relationships/table" Target="../tables/table195.xml"/><Relationship Id="rId206" Type="http://schemas.openxmlformats.org/officeDocument/2006/relationships/table" Target="../tables/table209.xml"/><Relationship Id="rId248" Type="http://schemas.openxmlformats.org/officeDocument/2006/relationships/table" Target="../tables/table251.xml"/><Relationship Id="rId12" Type="http://schemas.openxmlformats.org/officeDocument/2006/relationships/table" Target="../tables/table15.xml"/><Relationship Id="rId108" Type="http://schemas.openxmlformats.org/officeDocument/2006/relationships/table" Target="../tables/table111.xml"/><Relationship Id="rId315" Type="http://schemas.openxmlformats.org/officeDocument/2006/relationships/table" Target="../tables/table318.xml"/><Relationship Id="rId54" Type="http://schemas.openxmlformats.org/officeDocument/2006/relationships/table" Target="../tables/table57.xml"/><Relationship Id="rId96" Type="http://schemas.openxmlformats.org/officeDocument/2006/relationships/table" Target="../tables/table99.xml"/><Relationship Id="rId161" Type="http://schemas.openxmlformats.org/officeDocument/2006/relationships/table" Target="../tables/table164.xml"/><Relationship Id="rId217" Type="http://schemas.openxmlformats.org/officeDocument/2006/relationships/table" Target="../tables/table220.xml"/><Relationship Id="rId259" Type="http://schemas.openxmlformats.org/officeDocument/2006/relationships/table" Target="../tables/table262.xml"/><Relationship Id="rId23" Type="http://schemas.openxmlformats.org/officeDocument/2006/relationships/table" Target="../tables/table26.xml"/><Relationship Id="rId119" Type="http://schemas.openxmlformats.org/officeDocument/2006/relationships/table" Target="../tables/table122.xml"/><Relationship Id="rId270" Type="http://schemas.openxmlformats.org/officeDocument/2006/relationships/table" Target="../tables/table273.xml"/><Relationship Id="rId65" Type="http://schemas.openxmlformats.org/officeDocument/2006/relationships/table" Target="../tables/table68.xml"/><Relationship Id="rId130" Type="http://schemas.openxmlformats.org/officeDocument/2006/relationships/table" Target="../tables/table133.xml"/><Relationship Id="rId172" Type="http://schemas.openxmlformats.org/officeDocument/2006/relationships/table" Target="../tables/table175.xml"/><Relationship Id="rId228" Type="http://schemas.openxmlformats.org/officeDocument/2006/relationships/table" Target="../tables/table231.xml"/><Relationship Id="rId281" Type="http://schemas.openxmlformats.org/officeDocument/2006/relationships/table" Target="../tables/table284.xml"/><Relationship Id="rId34" Type="http://schemas.openxmlformats.org/officeDocument/2006/relationships/table" Target="../tables/table37.xml"/><Relationship Id="rId76" Type="http://schemas.openxmlformats.org/officeDocument/2006/relationships/table" Target="../tables/table79.xml"/><Relationship Id="rId141" Type="http://schemas.openxmlformats.org/officeDocument/2006/relationships/table" Target="../tables/table144.xml"/><Relationship Id="rId7" Type="http://schemas.openxmlformats.org/officeDocument/2006/relationships/table" Target="../tables/table10.xml"/><Relationship Id="rId162" Type="http://schemas.openxmlformats.org/officeDocument/2006/relationships/table" Target="../tables/table165.xml"/><Relationship Id="rId183" Type="http://schemas.openxmlformats.org/officeDocument/2006/relationships/table" Target="../tables/table186.xml"/><Relationship Id="rId218" Type="http://schemas.openxmlformats.org/officeDocument/2006/relationships/table" Target="../tables/table221.xml"/><Relationship Id="rId239" Type="http://schemas.openxmlformats.org/officeDocument/2006/relationships/table" Target="../tables/table242.xml"/><Relationship Id="rId250" Type="http://schemas.openxmlformats.org/officeDocument/2006/relationships/table" Target="../tables/table253.xml"/><Relationship Id="rId271" Type="http://schemas.openxmlformats.org/officeDocument/2006/relationships/table" Target="../tables/table274.xml"/><Relationship Id="rId292" Type="http://schemas.openxmlformats.org/officeDocument/2006/relationships/table" Target="../tables/table295.xml"/><Relationship Id="rId306" Type="http://schemas.openxmlformats.org/officeDocument/2006/relationships/table" Target="../tables/table309.xml"/><Relationship Id="rId24" Type="http://schemas.openxmlformats.org/officeDocument/2006/relationships/table" Target="../tables/table27.xml"/><Relationship Id="rId45" Type="http://schemas.openxmlformats.org/officeDocument/2006/relationships/table" Target="../tables/table48.xml"/><Relationship Id="rId66" Type="http://schemas.openxmlformats.org/officeDocument/2006/relationships/table" Target="../tables/table69.xml"/><Relationship Id="rId87" Type="http://schemas.openxmlformats.org/officeDocument/2006/relationships/table" Target="../tables/table90.xml"/><Relationship Id="rId110" Type="http://schemas.openxmlformats.org/officeDocument/2006/relationships/table" Target="../tables/table113.xml"/><Relationship Id="rId131" Type="http://schemas.openxmlformats.org/officeDocument/2006/relationships/table" Target="../tables/table134.xml"/><Relationship Id="rId152" Type="http://schemas.openxmlformats.org/officeDocument/2006/relationships/table" Target="../tables/table155.xml"/><Relationship Id="rId173" Type="http://schemas.openxmlformats.org/officeDocument/2006/relationships/table" Target="../tables/table176.xml"/><Relationship Id="rId194" Type="http://schemas.openxmlformats.org/officeDocument/2006/relationships/table" Target="../tables/table197.xml"/><Relationship Id="rId208" Type="http://schemas.openxmlformats.org/officeDocument/2006/relationships/table" Target="../tables/table211.xml"/><Relationship Id="rId229" Type="http://schemas.openxmlformats.org/officeDocument/2006/relationships/table" Target="../tables/table232.xml"/><Relationship Id="rId240" Type="http://schemas.openxmlformats.org/officeDocument/2006/relationships/table" Target="../tables/table243.xml"/><Relationship Id="rId261" Type="http://schemas.openxmlformats.org/officeDocument/2006/relationships/table" Target="../tables/table264.xml"/><Relationship Id="rId14" Type="http://schemas.openxmlformats.org/officeDocument/2006/relationships/table" Target="../tables/table17.xml"/><Relationship Id="rId35" Type="http://schemas.openxmlformats.org/officeDocument/2006/relationships/table" Target="../tables/table38.xml"/><Relationship Id="rId56" Type="http://schemas.openxmlformats.org/officeDocument/2006/relationships/table" Target="../tables/table59.xml"/><Relationship Id="rId77" Type="http://schemas.openxmlformats.org/officeDocument/2006/relationships/table" Target="../tables/table80.xml"/><Relationship Id="rId100" Type="http://schemas.openxmlformats.org/officeDocument/2006/relationships/table" Target="../tables/table103.xml"/><Relationship Id="rId282" Type="http://schemas.openxmlformats.org/officeDocument/2006/relationships/table" Target="../tables/table285.xml"/><Relationship Id="rId317" Type="http://schemas.openxmlformats.org/officeDocument/2006/relationships/table" Target="../tables/table320.xml"/><Relationship Id="rId8" Type="http://schemas.openxmlformats.org/officeDocument/2006/relationships/table" Target="../tables/table11.xml"/><Relationship Id="rId98" Type="http://schemas.openxmlformats.org/officeDocument/2006/relationships/table" Target="../tables/table101.xml"/><Relationship Id="rId121" Type="http://schemas.openxmlformats.org/officeDocument/2006/relationships/table" Target="../tables/table124.xml"/><Relationship Id="rId142" Type="http://schemas.openxmlformats.org/officeDocument/2006/relationships/table" Target="../tables/table145.xml"/><Relationship Id="rId163" Type="http://schemas.openxmlformats.org/officeDocument/2006/relationships/table" Target="../tables/table166.xml"/><Relationship Id="rId184" Type="http://schemas.openxmlformats.org/officeDocument/2006/relationships/table" Target="../tables/table187.xml"/><Relationship Id="rId219" Type="http://schemas.openxmlformats.org/officeDocument/2006/relationships/table" Target="../tables/table222.xml"/><Relationship Id="rId230" Type="http://schemas.openxmlformats.org/officeDocument/2006/relationships/table" Target="../tables/table233.xml"/><Relationship Id="rId251" Type="http://schemas.openxmlformats.org/officeDocument/2006/relationships/table" Target="../tables/table254.xml"/><Relationship Id="rId25" Type="http://schemas.openxmlformats.org/officeDocument/2006/relationships/table" Target="../tables/table28.xml"/><Relationship Id="rId46" Type="http://schemas.openxmlformats.org/officeDocument/2006/relationships/table" Target="../tables/table49.xml"/><Relationship Id="rId67" Type="http://schemas.openxmlformats.org/officeDocument/2006/relationships/table" Target="../tables/table70.xml"/><Relationship Id="rId272" Type="http://schemas.openxmlformats.org/officeDocument/2006/relationships/table" Target="../tables/table275.xml"/><Relationship Id="rId293" Type="http://schemas.openxmlformats.org/officeDocument/2006/relationships/table" Target="../tables/table296.xml"/><Relationship Id="rId307" Type="http://schemas.openxmlformats.org/officeDocument/2006/relationships/table" Target="../tables/table310.xml"/><Relationship Id="rId88" Type="http://schemas.openxmlformats.org/officeDocument/2006/relationships/table" Target="../tables/table91.xml"/><Relationship Id="rId111" Type="http://schemas.openxmlformats.org/officeDocument/2006/relationships/table" Target="../tables/table114.xml"/><Relationship Id="rId132" Type="http://schemas.openxmlformats.org/officeDocument/2006/relationships/table" Target="../tables/table135.xml"/><Relationship Id="rId153" Type="http://schemas.openxmlformats.org/officeDocument/2006/relationships/table" Target="../tables/table156.xml"/><Relationship Id="rId174" Type="http://schemas.openxmlformats.org/officeDocument/2006/relationships/table" Target="../tables/table177.xml"/><Relationship Id="rId195" Type="http://schemas.openxmlformats.org/officeDocument/2006/relationships/table" Target="../tables/table198.xml"/><Relationship Id="rId209" Type="http://schemas.openxmlformats.org/officeDocument/2006/relationships/table" Target="../tables/table212.xml"/><Relationship Id="rId220" Type="http://schemas.openxmlformats.org/officeDocument/2006/relationships/table" Target="../tables/table223.xml"/><Relationship Id="rId241" Type="http://schemas.openxmlformats.org/officeDocument/2006/relationships/table" Target="../tables/table244.xml"/><Relationship Id="rId15" Type="http://schemas.openxmlformats.org/officeDocument/2006/relationships/table" Target="../tables/table18.xml"/><Relationship Id="rId36" Type="http://schemas.openxmlformats.org/officeDocument/2006/relationships/table" Target="../tables/table39.xml"/><Relationship Id="rId57" Type="http://schemas.openxmlformats.org/officeDocument/2006/relationships/table" Target="../tables/table60.xml"/><Relationship Id="rId262" Type="http://schemas.openxmlformats.org/officeDocument/2006/relationships/table" Target="../tables/table265.xml"/><Relationship Id="rId283" Type="http://schemas.openxmlformats.org/officeDocument/2006/relationships/table" Target="../tables/table286.xml"/><Relationship Id="rId318" Type="http://schemas.openxmlformats.org/officeDocument/2006/relationships/table" Target="../tables/table321.xml"/><Relationship Id="rId78" Type="http://schemas.openxmlformats.org/officeDocument/2006/relationships/table" Target="../tables/table81.xml"/><Relationship Id="rId99" Type="http://schemas.openxmlformats.org/officeDocument/2006/relationships/table" Target="../tables/table102.xml"/><Relationship Id="rId101" Type="http://schemas.openxmlformats.org/officeDocument/2006/relationships/table" Target="../tables/table104.xml"/><Relationship Id="rId122" Type="http://schemas.openxmlformats.org/officeDocument/2006/relationships/table" Target="../tables/table125.xml"/><Relationship Id="rId143" Type="http://schemas.openxmlformats.org/officeDocument/2006/relationships/table" Target="../tables/table146.xml"/><Relationship Id="rId164" Type="http://schemas.openxmlformats.org/officeDocument/2006/relationships/table" Target="../tables/table167.xml"/><Relationship Id="rId185" Type="http://schemas.openxmlformats.org/officeDocument/2006/relationships/table" Target="../tables/table188.xml"/><Relationship Id="rId9" Type="http://schemas.openxmlformats.org/officeDocument/2006/relationships/table" Target="../tables/table12.xml"/><Relationship Id="rId210" Type="http://schemas.openxmlformats.org/officeDocument/2006/relationships/table" Target="../tables/table213.xml"/><Relationship Id="rId26" Type="http://schemas.openxmlformats.org/officeDocument/2006/relationships/table" Target="../tables/table29.xml"/><Relationship Id="rId231" Type="http://schemas.openxmlformats.org/officeDocument/2006/relationships/table" Target="../tables/table234.xml"/><Relationship Id="rId252" Type="http://schemas.openxmlformats.org/officeDocument/2006/relationships/table" Target="../tables/table255.xml"/><Relationship Id="rId273" Type="http://schemas.openxmlformats.org/officeDocument/2006/relationships/table" Target="../tables/table276.xml"/><Relationship Id="rId294" Type="http://schemas.openxmlformats.org/officeDocument/2006/relationships/table" Target="../tables/table297.xml"/><Relationship Id="rId308" Type="http://schemas.openxmlformats.org/officeDocument/2006/relationships/table" Target="../tables/table311.xml"/><Relationship Id="rId47" Type="http://schemas.openxmlformats.org/officeDocument/2006/relationships/table" Target="../tables/table50.xml"/><Relationship Id="rId68" Type="http://schemas.openxmlformats.org/officeDocument/2006/relationships/table" Target="../tables/table71.xml"/><Relationship Id="rId89" Type="http://schemas.openxmlformats.org/officeDocument/2006/relationships/table" Target="../tables/table92.xml"/><Relationship Id="rId112" Type="http://schemas.openxmlformats.org/officeDocument/2006/relationships/table" Target="../tables/table115.xml"/><Relationship Id="rId133" Type="http://schemas.openxmlformats.org/officeDocument/2006/relationships/table" Target="../tables/table136.xml"/><Relationship Id="rId154" Type="http://schemas.openxmlformats.org/officeDocument/2006/relationships/table" Target="../tables/table157.xml"/><Relationship Id="rId175" Type="http://schemas.openxmlformats.org/officeDocument/2006/relationships/table" Target="../tables/table178.xml"/><Relationship Id="rId196" Type="http://schemas.openxmlformats.org/officeDocument/2006/relationships/table" Target="../tables/table199.xml"/><Relationship Id="rId200" Type="http://schemas.openxmlformats.org/officeDocument/2006/relationships/table" Target="../tables/table203.xml"/><Relationship Id="rId16" Type="http://schemas.openxmlformats.org/officeDocument/2006/relationships/table" Target="../tables/table19.xml"/><Relationship Id="rId221" Type="http://schemas.openxmlformats.org/officeDocument/2006/relationships/table" Target="../tables/table224.xml"/><Relationship Id="rId242" Type="http://schemas.openxmlformats.org/officeDocument/2006/relationships/table" Target="../tables/table245.xml"/><Relationship Id="rId263" Type="http://schemas.openxmlformats.org/officeDocument/2006/relationships/table" Target="../tables/table266.xml"/><Relationship Id="rId284" Type="http://schemas.openxmlformats.org/officeDocument/2006/relationships/table" Target="../tables/table287.xml"/><Relationship Id="rId319" Type="http://schemas.openxmlformats.org/officeDocument/2006/relationships/table" Target="../tables/table322.xml"/><Relationship Id="rId37" Type="http://schemas.openxmlformats.org/officeDocument/2006/relationships/table" Target="../tables/table40.xml"/><Relationship Id="rId58" Type="http://schemas.openxmlformats.org/officeDocument/2006/relationships/table" Target="../tables/table61.xml"/><Relationship Id="rId79" Type="http://schemas.openxmlformats.org/officeDocument/2006/relationships/table" Target="../tables/table82.xml"/><Relationship Id="rId102" Type="http://schemas.openxmlformats.org/officeDocument/2006/relationships/table" Target="../tables/table105.xml"/><Relationship Id="rId123" Type="http://schemas.openxmlformats.org/officeDocument/2006/relationships/table" Target="../tables/table126.xml"/><Relationship Id="rId144" Type="http://schemas.openxmlformats.org/officeDocument/2006/relationships/table" Target="../tables/table147.xml"/><Relationship Id="rId90" Type="http://schemas.openxmlformats.org/officeDocument/2006/relationships/table" Target="../tables/table93.xml"/><Relationship Id="rId165" Type="http://schemas.openxmlformats.org/officeDocument/2006/relationships/table" Target="../tables/table168.xml"/><Relationship Id="rId186" Type="http://schemas.openxmlformats.org/officeDocument/2006/relationships/table" Target="../tables/table189.xml"/><Relationship Id="rId211" Type="http://schemas.openxmlformats.org/officeDocument/2006/relationships/table" Target="../tables/table214.xml"/><Relationship Id="rId232" Type="http://schemas.openxmlformats.org/officeDocument/2006/relationships/table" Target="../tables/table235.xml"/><Relationship Id="rId253" Type="http://schemas.openxmlformats.org/officeDocument/2006/relationships/table" Target="../tables/table256.xml"/><Relationship Id="rId274" Type="http://schemas.openxmlformats.org/officeDocument/2006/relationships/table" Target="../tables/table277.xml"/><Relationship Id="rId295" Type="http://schemas.openxmlformats.org/officeDocument/2006/relationships/table" Target="../tables/table298.xml"/><Relationship Id="rId309" Type="http://schemas.openxmlformats.org/officeDocument/2006/relationships/table" Target="../tables/table312.xml"/><Relationship Id="rId27" Type="http://schemas.openxmlformats.org/officeDocument/2006/relationships/table" Target="../tables/table30.xml"/><Relationship Id="rId48" Type="http://schemas.openxmlformats.org/officeDocument/2006/relationships/table" Target="../tables/table51.xml"/><Relationship Id="rId69" Type="http://schemas.openxmlformats.org/officeDocument/2006/relationships/table" Target="../tables/table72.xml"/><Relationship Id="rId113" Type="http://schemas.openxmlformats.org/officeDocument/2006/relationships/table" Target="../tables/table116.xml"/><Relationship Id="rId134" Type="http://schemas.openxmlformats.org/officeDocument/2006/relationships/table" Target="../tables/table137.xml"/><Relationship Id="rId320" Type="http://schemas.openxmlformats.org/officeDocument/2006/relationships/table" Target="../tables/table323.xml"/><Relationship Id="rId80" Type="http://schemas.openxmlformats.org/officeDocument/2006/relationships/table" Target="../tables/table83.xml"/><Relationship Id="rId155" Type="http://schemas.openxmlformats.org/officeDocument/2006/relationships/table" Target="../tables/table158.xml"/><Relationship Id="rId176" Type="http://schemas.openxmlformats.org/officeDocument/2006/relationships/table" Target="../tables/table179.xml"/><Relationship Id="rId197" Type="http://schemas.openxmlformats.org/officeDocument/2006/relationships/table" Target="../tables/table200.xml"/><Relationship Id="rId201" Type="http://schemas.openxmlformats.org/officeDocument/2006/relationships/table" Target="../tables/table204.xml"/><Relationship Id="rId222" Type="http://schemas.openxmlformats.org/officeDocument/2006/relationships/table" Target="../tables/table225.xml"/><Relationship Id="rId243" Type="http://schemas.openxmlformats.org/officeDocument/2006/relationships/table" Target="../tables/table246.xml"/><Relationship Id="rId264" Type="http://schemas.openxmlformats.org/officeDocument/2006/relationships/table" Target="../tables/table267.xml"/><Relationship Id="rId285" Type="http://schemas.openxmlformats.org/officeDocument/2006/relationships/table" Target="../tables/table288.xml"/><Relationship Id="rId17" Type="http://schemas.openxmlformats.org/officeDocument/2006/relationships/table" Target="../tables/table20.xml"/><Relationship Id="rId38" Type="http://schemas.openxmlformats.org/officeDocument/2006/relationships/table" Target="../tables/table41.xml"/><Relationship Id="rId59" Type="http://schemas.openxmlformats.org/officeDocument/2006/relationships/table" Target="../tables/table62.xml"/><Relationship Id="rId103" Type="http://schemas.openxmlformats.org/officeDocument/2006/relationships/table" Target="../tables/table106.xml"/><Relationship Id="rId124" Type="http://schemas.openxmlformats.org/officeDocument/2006/relationships/table" Target="../tables/table127.xml"/><Relationship Id="rId310" Type="http://schemas.openxmlformats.org/officeDocument/2006/relationships/table" Target="../tables/table313.xml"/><Relationship Id="rId70" Type="http://schemas.openxmlformats.org/officeDocument/2006/relationships/table" Target="../tables/table73.xml"/><Relationship Id="rId91" Type="http://schemas.openxmlformats.org/officeDocument/2006/relationships/table" Target="../tables/table94.xml"/><Relationship Id="rId145" Type="http://schemas.openxmlformats.org/officeDocument/2006/relationships/table" Target="../tables/table148.xml"/><Relationship Id="rId166" Type="http://schemas.openxmlformats.org/officeDocument/2006/relationships/table" Target="../tables/table169.xml"/><Relationship Id="rId187" Type="http://schemas.openxmlformats.org/officeDocument/2006/relationships/table" Target="../tables/table190.xml"/><Relationship Id="rId1" Type="http://schemas.openxmlformats.org/officeDocument/2006/relationships/printerSettings" Target="../printerSettings/printerSettings3.bin"/><Relationship Id="rId212" Type="http://schemas.openxmlformats.org/officeDocument/2006/relationships/table" Target="../tables/table215.xml"/><Relationship Id="rId233" Type="http://schemas.openxmlformats.org/officeDocument/2006/relationships/table" Target="../tables/table236.xml"/><Relationship Id="rId254" Type="http://schemas.openxmlformats.org/officeDocument/2006/relationships/table" Target="../tables/table257.xml"/><Relationship Id="rId28" Type="http://schemas.openxmlformats.org/officeDocument/2006/relationships/table" Target="../tables/table31.xml"/><Relationship Id="rId49" Type="http://schemas.openxmlformats.org/officeDocument/2006/relationships/table" Target="../tables/table52.xml"/><Relationship Id="rId114" Type="http://schemas.openxmlformats.org/officeDocument/2006/relationships/table" Target="../tables/table117.xml"/><Relationship Id="rId275" Type="http://schemas.openxmlformats.org/officeDocument/2006/relationships/table" Target="../tables/table278.xml"/><Relationship Id="rId296" Type="http://schemas.openxmlformats.org/officeDocument/2006/relationships/table" Target="../tables/table299.xml"/><Relationship Id="rId300" Type="http://schemas.openxmlformats.org/officeDocument/2006/relationships/table" Target="../tables/table303.xml"/><Relationship Id="rId60" Type="http://schemas.openxmlformats.org/officeDocument/2006/relationships/table" Target="../tables/table63.xml"/><Relationship Id="rId81" Type="http://schemas.openxmlformats.org/officeDocument/2006/relationships/table" Target="../tables/table84.xml"/><Relationship Id="rId135" Type="http://schemas.openxmlformats.org/officeDocument/2006/relationships/table" Target="../tables/table138.xml"/><Relationship Id="rId156" Type="http://schemas.openxmlformats.org/officeDocument/2006/relationships/table" Target="../tables/table159.xml"/><Relationship Id="rId177" Type="http://schemas.openxmlformats.org/officeDocument/2006/relationships/table" Target="../tables/table180.xml"/><Relationship Id="rId198" Type="http://schemas.openxmlformats.org/officeDocument/2006/relationships/table" Target="../tables/table201.xml"/><Relationship Id="rId321" Type="http://schemas.openxmlformats.org/officeDocument/2006/relationships/table" Target="../tables/table324.xml"/><Relationship Id="rId202" Type="http://schemas.openxmlformats.org/officeDocument/2006/relationships/table" Target="../tables/table205.xml"/><Relationship Id="rId223" Type="http://schemas.openxmlformats.org/officeDocument/2006/relationships/table" Target="../tables/table226.xml"/><Relationship Id="rId244" Type="http://schemas.openxmlformats.org/officeDocument/2006/relationships/table" Target="../tables/table247.xml"/><Relationship Id="rId18" Type="http://schemas.openxmlformats.org/officeDocument/2006/relationships/table" Target="../tables/table21.xml"/><Relationship Id="rId39" Type="http://schemas.openxmlformats.org/officeDocument/2006/relationships/table" Target="../tables/table42.xml"/><Relationship Id="rId265" Type="http://schemas.openxmlformats.org/officeDocument/2006/relationships/table" Target="../tables/table268.xml"/><Relationship Id="rId286" Type="http://schemas.openxmlformats.org/officeDocument/2006/relationships/table" Target="../tables/table289.xml"/><Relationship Id="rId50" Type="http://schemas.openxmlformats.org/officeDocument/2006/relationships/table" Target="../tables/table53.xml"/><Relationship Id="rId104" Type="http://schemas.openxmlformats.org/officeDocument/2006/relationships/table" Target="../tables/table107.xml"/><Relationship Id="rId125" Type="http://schemas.openxmlformats.org/officeDocument/2006/relationships/table" Target="../tables/table128.xml"/><Relationship Id="rId146" Type="http://schemas.openxmlformats.org/officeDocument/2006/relationships/table" Target="../tables/table149.xml"/><Relationship Id="rId167" Type="http://schemas.openxmlformats.org/officeDocument/2006/relationships/table" Target="../tables/table170.xml"/><Relationship Id="rId188" Type="http://schemas.openxmlformats.org/officeDocument/2006/relationships/table" Target="../tables/table191.xml"/><Relationship Id="rId311" Type="http://schemas.openxmlformats.org/officeDocument/2006/relationships/table" Target="../tables/table314.xml"/><Relationship Id="rId71" Type="http://schemas.openxmlformats.org/officeDocument/2006/relationships/table" Target="../tables/table74.xml"/><Relationship Id="rId92" Type="http://schemas.openxmlformats.org/officeDocument/2006/relationships/table" Target="../tables/table95.xml"/><Relationship Id="rId213" Type="http://schemas.openxmlformats.org/officeDocument/2006/relationships/table" Target="../tables/table216.xml"/><Relationship Id="rId234" Type="http://schemas.openxmlformats.org/officeDocument/2006/relationships/table" Target="../tables/table237.xml"/><Relationship Id="rId2" Type="http://schemas.openxmlformats.org/officeDocument/2006/relationships/drawing" Target="../drawings/drawing1.xml"/><Relationship Id="rId29" Type="http://schemas.openxmlformats.org/officeDocument/2006/relationships/table" Target="../tables/table32.xml"/><Relationship Id="rId255" Type="http://schemas.openxmlformats.org/officeDocument/2006/relationships/table" Target="../tables/table258.xml"/><Relationship Id="rId276" Type="http://schemas.openxmlformats.org/officeDocument/2006/relationships/table" Target="../tables/table279.xml"/><Relationship Id="rId297" Type="http://schemas.openxmlformats.org/officeDocument/2006/relationships/table" Target="../tables/table300.xml"/><Relationship Id="rId40" Type="http://schemas.openxmlformats.org/officeDocument/2006/relationships/table" Target="../tables/table43.xml"/><Relationship Id="rId115" Type="http://schemas.openxmlformats.org/officeDocument/2006/relationships/table" Target="../tables/table118.xml"/><Relationship Id="rId136" Type="http://schemas.openxmlformats.org/officeDocument/2006/relationships/table" Target="../tables/table139.xml"/><Relationship Id="rId157" Type="http://schemas.openxmlformats.org/officeDocument/2006/relationships/table" Target="../tables/table160.xml"/><Relationship Id="rId178" Type="http://schemas.openxmlformats.org/officeDocument/2006/relationships/table" Target="../tables/table181.xml"/><Relationship Id="rId301" Type="http://schemas.openxmlformats.org/officeDocument/2006/relationships/table" Target="../tables/table304.xml"/><Relationship Id="rId322" Type="http://schemas.openxmlformats.org/officeDocument/2006/relationships/table" Target="../tables/table325.xml"/><Relationship Id="rId61" Type="http://schemas.openxmlformats.org/officeDocument/2006/relationships/table" Target="../tables/table64.xml"/><Relationship Id="rId82" Type="http://schemas.openxmlformats.org/officeDocument/2006/relationships/table" Target="../tables/table85.xml"/><Relationship Id="rId199" Type="http://schemas.openxmlformats.org/officeDocument/2006/relationships/table" Target="../tables/table202.xml"/><Relationship Id="rId203" Type="http://schemas.openxmlformats.org/officeDocument/2006/relationships/table" Target="../tables/table206.xml"/><Relationship Id="rId19" Type="http://schemas.openxmlformats.org/officeDocument/2006/relationships/table" Target="../tables/table22.xml"/><Relationship Id="rId224" Type="http://schemas.openxmlformats.org/officeDocument/2006/relationships/table" Target="../tables/table227.xml"/><Relationship Id="rId245" Type="http://schemas.openxmlformats.org/officeDocument/2006/relationships/table" Target="../tables/table248.xml"/><Relationship Id="rId266" Type="http://schemas.openxmlformats.org/officeDocument/2006/relationships/table" Target="../tables/table269.xml"/><Relationship Id="rId287" Type="http://schemas.openxmlformats.org/officeDocument/2006/relationships/table" Target="../tables/table290.xml"/><Relationship Id="rId30" Type="http://schemas.openxmlformats.org/officeDocument/2006/relationships/table" Target="../tables/table33.xml"/><Relationship Id="rId105" Type="http://schemas.openxmlformats.org/officeDocument/2006/relationships/table" Target="../tables/table108.xml"/><Relationship Id="rId126" Type="http://schemas.openxmlformats.org/officeDocument/2006/relationships/table" Target="../tables/table129.xml"/><Relationship Id="rId147" Type="http://schemas.openxmlformats.org/officeDocument/2006/relationships/table" Target="../tables/table150.xml"/><Relationship Id="rId168" Type="http://schemas.openxmlformats.org/officeDocument/2006/relationships/table" Target="../tables/table171.xml"/><Relationship Id="rId312" Type="http://schemas.openxmlformats.org/officeDocument/2006/relationships/table" Target="../tables/table315.xml"/><Relationship Id="rId51" Type="http://schemas.openxmlformats.org/officeDocument/2006/relationships/table" Target="../tables/table54.xml"/><Relationship Id="rId72" Type="http://schemas.openxmlformats.org/officeDocument/2006/relationships/table" Target="../tables/table75.xml"/><Relationship Id="rId93" Type="http://schemas.openxmlformats.org/officeDocument/2006/relationships/table" Target="../tables/table96.xml"/><Relationship Id="rId189" Type="http://schemas.openxmlformats.org/officeDocument/2006/relationships/table" Target="../tables/table192.xml"/><Relationship Id="rId3" Type="http://schemas.openxmlformats.org/officeDocument/2006/relationships/table" Target="../tables/table6.xml"/><Relationship Id="rId214" Type="http://schemas.openxmlformats.org/officeDocument/2006/relationships/table" Target="../tables/table217.xml"/><Relationship Id="rId235" Type="http://schemas.openxmlformats.org/officeDocument/2006/relationships/table" Target="../tables/table238.xml"/><Relationship Id="rId256" Type="http://schemas.openxmlformats.org/officeDocument/2006/relationships/table" Target="../tables/table259.xml"/><Relationship Id="rId277" Type="http://schemas.openxmlformats.org/officeDocument/2006/relationships/table" Target="../tables/table280.xml"/><Relationship Id="rId298" Type="http://schemas.openxmlformats.org/officeDocument/2006/relationships/table" Target="../tables/table301.xml"/><Relationship Id="rId116" Type="http://schemas.openxmlformats.org/officeDocument/2006/relationships/table" Target="../tables/table119.xml"/><Relationship Id="rId137" Type="http://schemas.openxmlformats.org/officeDocument/2006/relationships/table" Target="../tables/table140.xml"/><Relationship Id="rId158" Type="http://schemas.openxmlformats.org/officeDocument/2006/relationships/table" Target="../tables/table161.xml"/><Relationship Id="rId302" Type="http://schemas.openxmlformats.org/officeDocument/2006/relationships/table" Target="../tables/table305.xml"/><Relationship Id="rId323" Type="http://schemas.openxmlformats.org/officeDocument/2006/relationships/table" Target="../tables/table326.xml"/><Relationship Id="rId20" Type="http://schemas.openxmlformats.org/officeDocument/2006/relationships/table" Target="../tables/table23.xml"/><Relationship Id="rId41" Type="http://schemas.openxmlformats.org/officeDocument/2006/relationships/table" Target="../tables/table44.xml"/><Relationship Id="rId62" Type="http://schemas.openxmlformats.org/officeDocument/2006/relationships/table" Target="../tables/table65.xml"/><Relationship Id="rId83" Type="http://schemas.openxmlformats.org/officeDocument/2006/relationships/table" Target="../tables/table86.xml"/><Relationship Id="rId179" Type="http://schemas.openxmlformats.org/officeDocument/2006/relationships/table" Target="../tables/table182.xml"/><Relationship Id="rId190" Type="http://schemas.openxmlformats.org/officeDocument/2006/relationships/table" Target="../tables/table193.xml"/><Relationship Id="rId204" Type="http://schemas.openxmlformats.org/officeDocument/2006/relationships/table" Target="../tables/table207.xml"/><Relationship Id="rId225" Type="http://schemas.openxmlformats.org/officeDocument/2006/relationships/table" Target="../tables/table228.xml"/><Relationship Id="rId246" Type="http://schemas.openxmlformats.org/officeDocument/2006/relationships/table" Target="../tables/table249.xml"/><Relationship Id="rId267" Type="http://schemas.openxmlformats.org/officeDocument/2006/relationships/table" Target="../tables/table270.xml"/><Relationship Id="rId288" Type="http://schemas.openxmlformats.org/officeDocument/2006/relationships/table" Target="../tables/table291.xml"/><Relationship Id="rId106" Type="http://schemas.openxmlformats.org/officeDocument/2006/relationships/table" Target="../tables/table109.xml"/><Relationship Id="rId127" Type="http://schemas.openxmlformats.org/officeDocument/2006/relationships/table" Target="../tables/table130.xml"/><Relationship Id="rId313" Type="http://schemas.openxmlformats.org/officeDocument/2006/relationships/table" Target="../tables/table316.xml"/><Relationship Id="rId10" Type="http://schemas.openxmlformats.org/officeDocument/2006/relationships/table" Target="../tables/table13.xml"/><Relationship Id="rId31" Type="http://schemas.openxmlformats.org/officeDocument/2006/relationships/table" Target="../tables/table34.xml"/><Relationship Id="rId52" Type="http://schemas.openxmlformats.org/officeDocument/2006/relationships/table" Target="../tables/table55.xml"/><Relationship Id="rId73" Type="http://schemas.openxmlformats.org/officeDocument/2006/relationships/table" Target="../tables/table76.xml"/><Relationship Id="rId94" Type="http://schemas.openxmlformats.org/officeDocument/2006/relationships/table" Target="../tables/table97.xml"/><Relationship Id="rId148" Type="http://schemas.openxmlformats.org/officeDocument/2006/relationships/table" Target="../tables/table151.xml"/><Relationship Id="rId169" Type="http://schemas.openxmlformats.org/officeDocument/2006/relationships/table" Target="../tables/table172.xml"/><Relationship Id="rId4" Type="http://schemas.openxmlformats.org/officeDocument/2006/relationships/table" Target="../tables/table7.xml"/><Relationship Id="rId180" Type="http://schemas.openxmlformats.org/officeDocument/2006/relationships/table" Target="../tables/table183.xml"/><Relationship Id="rId215" Type="http://schemas.openxmlformats.org/officeDocument/2006/relationships/table" Target="../tables/table218.xml"/><Relationship Id="rId236" Type="http://schemas.openxmlformats.org/officeDocument/2006/relationships/table" Target="../tables/table239.xml"/><Relationship Id="rId257" Type="http://schemas.openxmlformats.org/officeDocument/2006/relationships/table" Target="../tables/table260.xml"/><Relationship Id="rId278" Type="http://schemas.openxmlformats.org/officeDocument/2006/relationships/table" Target="../tables/table281.xml"/><Relationship Id="rId303" Type="http://schemas.openxmlformats.org/officeDocument/2006/relationships/table" Target="../tables/table306.xml"/><Relationship Id="rId42" Type="http://schemas.openxmlformats.org/officeDocument/2006/relationships/table" Target="../tables/table45.xml"/><Relationship Id="rId84" Type="http://schemas.openxmlformats.org/officeDocument/2006/relationships/table" Target="../tables/table87.xml"/><Relationship Id="rId138" Type="http://schemas.openxmlformats.org/officeDocument/2006/relationships/table" Target="../tables/table141.xml"/><Relationship Id="rId191" Type="http://schemas.openxmlformats.org/officeDocument/2006/relationships/table" Target="../tables/table194.xml"/><Relationship Id="rId205" Type="http://schemas.openxmlformats.org/officeDocument/2006/relationships/table" Target="../tables/table208.xml"/><Relationship Id="rId247" Type="http://schemas.openxmlformats.org/officeDocument/2006/relationships/table" Target="../tables/table250.xml"/><Relationship Id="rId107" Type="http://schemas.openxmlformats.org/officeDocument/2006/relationships/table" Target="../tables/table110.xml"/><Relationship Id="rId289" Type="http://schemas.openxmlformats.org/officeDocument/2006/relationships/table" Target="../tables/table292.xml"/><Relationship Id="rId11" Type="http://schemas.openxmlformats.org/officeDocument/2006/relationships/table" Target="../tables/table14.xml"/><Relationship Id="rId53" Type="http://schemas.openxmlformats.org/officeDocument/2006/relationships/table" Target="../tables/table56.xml"/><Relationship Id="rId149" Type="http://schemas.openxmlformats.org/officeDocument/2006/relationships/table" Target="../tables/table152.xml"/><Relationship Id="rId314" Type="http://schemas.openxmlformats.org/officeDocument/2006/relationships/table" Target="../tables/table317.xml"/><Relationship Id="rId95" Type="http://schemas.openxmlformats.org/officeDocument/2006/relationships/table" Target="../tables/table98.xml"/><Relationship Id="rId160" Type="http://schemas.openxmlformats.org/officeDocument/2006/relationships/table" Target="../tables/table163.xml"/><Relationship Id="rId216" Type="http://schemas.openxmlformats.org/officeDocument/2006/relationships/table" Target="../tables/table219.xml"/><Relationship Id="rId258" Type="http://schemas.openxmlformats.org/officeDocument/2006/relationships/table" Target="../tables/table261.xml"/><Relationship Id="rId22" Type="http://schemas.openxmlformats.org/officeDocument/2006/relationships/table" Target="../tables/table25.xml"/><Relationship Id="rId64" Type="http://schemas.openxmlformats.org/officeDocument/2006/relationships/table" Target="../tables/table67.xml"/><Relationship Id="rId118" Type="http://schemas.openxmlformats.org/officeDocument/2006/relationships/table" Target="../tables/table121.xml"/><Relationship Id="rId325" Type="http://schemas.openxmlformats.org/officeDocument/2006/relationships/table" Target="../tables/table328.xml"/><Relationship Id="rId171" Type="http://schemas.openxmlformats.org/officeDocument/2006/relationships/table" Target="../tables/table174.xml"/><Relationship Id="rId227" Type="http://schemas.openxmlformats.org/officeDocument/2006/relationships/table" Target="../tables/table230.xml"/><Relationship Id="rId269" Type="http://schemas.openxmlformats.org/officeDocument/2006/relationships/table" Target="../tables/table272.xml"/><Relationship Id="rId33" Type="http://schemas.openxmlformats.org/officeDocument/2006/relationships/table" Target="../tables/table36.xml"/><Relationship Id="rId129" Type="http://schemas.openxmlformats.org/officeDocument/2006/relationships/table" Target="../tables/table132.xml"/><Relationship Id="rId280" Type="http://schemas.openxmlformats.org/officeDocument/2006/relationships/table" Target="../tables/table283.xml"/><Relationship Id="rId75" Type="http://schemas.openxmlformats.org/officeDocument/2006/relationships/table" Target="../tables/table78.xml"/><Relationship Id="rId140" Type="http://schemas.openxmlformats.org/officeDocument/2006/relationships/table" Target="../tables/table143.xml"/><Relationship Id="rId182" Type="http://schemas.openxmlformats.org/officeDocument/2006/relationships/table" Target="../tables/table185.xml"/><Relationship Id="rId6" Type="http://schemas.openxmlformats.org/officeDocument/2006/relationships/table" Target="../tables/table9.xml"/><Relationship Id="rId238" Type="http://schemas.openxmlformats.org/officeDocument/2006/relationships/table" Target="../tables/table241.xml"/><Relationship Id="rId291" Type="http://schemas.openxmlformats.org/officeDocument/2006/relationships/table" Target="../tables/table294.xml"/><Relationship Id="rId305" Type="http://schemas.openxmlformats.org/officeDocument/2006/relationships/table" Target="../tables/table308.xml"/><Relationship Id="rId44" Type="http://schemas.openxmlformats.org/officeDocument/2006/relationships/table" Target="../tables/table47.xml"/><Relationship Id="rId86" Type="http://schemas.openxmlformats.org/officeDocument/2006/relationships/table" Target="../tables/table89.xml"/><Relationship Id="rId151" Type="http://schemas.openxmlformats.org/officeDocument/2006/relationships/table" Target="../tables/table154.xml"/><Relationship Id="rId193" Type="http://schemas.openxmlformats.org/officeDocument/2006/relationships/table" Target="../tables/table196.xml"/><Relationship Id="rId207" Type="http://schemas.openxmlformats.org/officeDocument/2006/relationships/table" Target="../tables/table210.xml"/><Relationship Id="rId249" Type="http://schemas.openxmlformats.org/officeDocument/2006/relationships/table" Target="../tables/table252.xml"/><Relationship Id="rId13" Type="http://schemas.openxmlformats.org/officeDocument/2006/relationships/table" Target="../tables/table16.xml"/><Relationship Id="rId109" Type="http://schemas.openxmlformats.org/officeDocument/2006/relationships/table" Target="../tables/table112.xml"/><Relationship Id="rId260" Type="http://schemas.openxmlformats.org/officeDocument/2006/relationships/table" Target="../tables/table263.xml"/><Relationship Id="rId316" Type="http://schemas.openxmlformats.org/officeDocument/2006/relationships/table" Target="../tables/table319.xml"/><Relationship Id="rId55" Type="http://schemas.openxmlformats.org/officeDocument/2006/relationships/table" Target="../tables/table58.xml"/><Relationship Id="rId97" Type="http://schemas.openxmlformats.org/officeDocument/2006/relationships/table" Target="../tables/table100.xml"/><Relationship Id="rId120" Type="http://schemas.openxmlformats.org/officeDocument/2006/relationships/table" Target="../tables/table1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0.xml"/><Relationship Id="rId2" Type="http://schemas.openxmlformats.org/officeDocument/2006/relationships/table" Target="../tables/table329.x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1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54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56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58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6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62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4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6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68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70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72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74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76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78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8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82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5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6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2.xml"/><Relationship Id="rId2" Type="http://schemas.openxmlformats.org/officeDocument/2006/relationships/table" Target="../tables/table331.xml"/><Relationship Id="rId1" Type="http://schemas.openxmlformats.org/officeDocument/2006/relationships/printerSettings" Target="../printerSettings/printerSettings87.bin"/><Relationship Id="rId5" Type="http://schemas.openxmlformats.org/officeDocument/2006/relationships/table" Target="../tables/table334.xml"/><Relationship Id="rId4" Type="http://schemas.openxmlformats.org/officeDocument/2006/relationships/table" Target="../tables/table333.xml"/></Relationships>
</file>

<file path=xl/worksheets/_rels/sheet106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346.xml"/><Relationship Id="rId18" Type="http://schemas.openxmlformats.org/officeDocument/2006/relationships/table" Target="../tables/table351.xml"/><Relationship Id="rId26" Type="http://schemas.openxmlformats.org/officeDocument/2006/relationships/table" Target="../tables/table359.xml"/><Relationship Id="rId3" Type="http://schemas.openxmlformats.org/officeDocument/2006/relationships/table" Target="../tables/table336.xml"/><Relationship Id="rId21" Type="http://schemas.openxmlformats.org/officeDocument/2006/relationships/table" Target="../tables/table354.xml"/><Relationship Id="rId7" Type="http://schemas.openxmlformats.org/officeDocument/2006/relationships/table" Target="../tables/table340.xml"/><Relationship Id="rId12" Type="http://schemas.openxmlformats.org/officeDocument/2006/relationships/table" Target="../tables/table345.xml"/><Relationship Id="rId17" Type="http://schemas.openxmlformats.org/officeDocument/2006/relationships/table" Target="../tables/table350.xml"/><Relationship Id="rId25" Type="http://schemas.openxmlformats.org/officeDocument/2006/relationships/table" Target="../tables/table358.xml"/><Relationship Id="rId33" Type="http://schemas.openxmlformats.org/officeDocument/2006/relationships/table" Target="../tables/table366.xml"/><Relationship Id="rId2" Type="http://schemas.openxmlformats.org/officeDocument/2006/relationships/table" Target="../tables/table335.xml"/><Relationship Id="rId16" Type="http://schemas.openxmlformats.org/officeDocument/2006/relationships/table" Target="../tables/table349.xml"/><Relationship Id="rId20" Type="http://schemas.openxmlformats.org/officeDocument/2006/relationships/table" Target="../tables/table353.xml"/><Relationship Id="rId29" Type="http://schemas.openxmlformats.org/officeDocument/2006/relationships/table" Target="../tables/table362.xml"/><Relationship Id="rId1" Type="http://schemas.openxmlformats.org/officeDocument/2006/relationships/printerSettings" Target="../printerSettings/printerSettings88.bin"/><Relationship Id="rId6" Type="http://schemas.openxmlformats.org/officeDocument/2006/relationships/table" Target="../tables/table339.xml"/><Relationship Id="rId11" Type="http://schemas.openxmlformats.org/officeDocument/2006/relationships/table" Target="../tables/table344.xml"/><Relationship Id="rId24" Type="http://schemas.openxmlformats.org/officeDocument/2006/relationships/table" Target="../tables/table357.xml"/><Relationship Id="rId32" Type="http://schemas.openxmlformats.org/officeDocument/2006/relationships/table" Target="../tables/table365.xml"/><Relationship Id="rId5" Type="http://schemas.openxmlformats.org/officeDocument/2006/relationships/table" Target="../tables/table338.xml"/><Relationship Id="rId15" Type="http://schemas.openxmlformats.org/officeDocument/2006/relationships/table" Target="../tables/table348.xml"/><Relationship Id="rId23" Type="http://schemas.openxmlformats.org/officeDocument/2006/relationships/table" Target="../tables/table356.xml"/><Relationship Id="rId28" Type="http://schemas.openxmlformats.org/officeDocument/2006/relationships/table" Target="../tables/table361.xml"/><Relationship Id="rId10" Type="http://schemas.openxmlformats.org/officeDocument/2006/relationships/table" Target="../tables/table343.xml"/><Relationship Id="rId19" Type="http://schemas.openxmlformats.org/officeDocument/2006/relationships/table" Target="../tables/table352.xml"/><Relationship Id="rId31" Type="http://schemas.openxmlformats.org/officeDocument/2006/relationships/table" Target="../tables/table364.xml"/><Relationship Id="rId4" Type="http://schemas.openxmlformats.org/officeDocument/2006/relationships/table" Target="../tables/table337.xml"/><Relationship Id="rId9" Type="http://schemas.openxmlformats.org/officeDocument/2006/relationships/table" Target="../tables/table342.xml"/><Relationship Id="rId14" Type="http://schemas.openxmlformats.org/officeDocument/2006/relationships/table" Target="../tables/table347.xml"/><Relationship Id="rId22" Type="http://schemas.openxmlformats.org/officeDocument/2006/relationships/table" Target="../tables/table355.xml"/><Relationship Id="rId27" Type="http://schemas.openxmlformats.org/officeDocument/2006/relationships/table" Target="../tables/table360.xml"/><Relationship Id="rId30" Type="http://schemas.openxmlformats.org/officeDocument/2006/relationships/table" Target="../tables/table363.xml"/><Relationship Id="rId8" Type="http://schemas.openxmlformats.org/officeDocument/2006/relationships/table" Target="../tables/table341.xml"/></Relationships>
</file>

<file path=xl/worksheets/_rels/sheet10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72.xml"/><Relationship Id="rId13" Type="http://schemas.openxmlformats.org/officeDocument/2006/relationships/table" Target="../tables/table377.xml"/><Relationship Id="rId18" Type="http://schemas.openxmlformats.org/officeDocument/2006/relationships/table" Target="../tables/table382.xml"/><Relationship Id="rId3" Type="http://schemas.openxmlformats.org/officeDocument/2006/relationships/table" Target="../tables/table367.xml"/><Relationship Id="rId7" Type="http://schemas.openxmlformats.org/officeDocument/2006/relationships/table" Target="../tables/table371.xml"/><Relationship Id="rId12" Type="http://schemas.openxmlformats.org/officeDocument/2006/relationships/table" Target="../tables/table376.xml"/><Relationship Id="rId17" Type="http://schemas.openxmlformats.org/officeDocument/2006/relationships/table" Target="../tables/table381.xml"/><Relationship Id="rId2" Type="http://schemas.openxmlformats.org/officeDocument/2006/relationships/drawing" Target="../drawings/drawing41.xml"/><Relationship Id="rId16" Type="http://schemas.openxmlformats.org/officeDocument/2006/relationships/table" Target="../tables/table380.xml"/><Relationship Id="rId1" Type="http://schemas.openxmlformats.org/officeDocument/2006/relationships/printerSettings" Target="../printerSettings/printerSettings89.bin"/><Relationship Id="rId6" Type="http://schemas.openxmlformats.org/officeDocument/2006/relationships/table" Target="../tables/table370.xml"/><Relationship Id="rId11" Type="http://schemas.openxmlformats.org/officeDocument/2006/relationships/table" Target="../tables/table375.xml"/><Relationship Id="rId5" Type="http://schemas.openxmlformats.org/officeDocument/2006/relationships/table" Target="../tables/table369.xml"/><Relationship Id="rId15" Type="http://schemas.openxmlformats.org/officeDocument/2006/relationships/table" Target="../tables/table379.xml"/><Relationship Id="rId10" Type="http://schemas.openxmlformats.org/officeDocument/2006/relationships/table" Target="../tables/table374.xml"/><Relationship Id="rId19" Type="http://schemas.openxmlformats.org/officeDocument/2006/relationships/table" Target="../tables/table383.xml"/><Relationship Id="rId4" Type="http://schemas.openxmlformats.org/officeDocument/2006/relationships/table" Target="../tables/table368.xml"/><Relationship Id="rId9" Type="http://schemas.openxmlformats.org/officeDocument/2006/relationships/table" Target="../tables/table373.xml"/><Relationship Id="rId14" Type="http://schemas.openxmlformats.org/officeDocument/2006/relationships/table" Target="../tables/table378.xml"/></Relationships>
</file>

<file path=xl/worksheets/_rels/sheet108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395.xml"/><Relationship Id="rId18" Type="http://schemas.openxmlformats.org/officeDocument/2006/relationships/table" Target="../tables/table400.xml"/><Relationship Id="rId26" Type="http://schemas.openxmlformats.org/officeDocument/2006/relationships/table" Target="../tables/table408.xml"/><Relationship Id="rId3" Type="http://schemas.openxmlformats.org/officeDocument/2006/relationships/table" Target="../tables/table385.xml"/><Relationship Id="rId21" Type="http://schemas.openxmlformats.org/officeDocument/2006/relationships/table" Target="../tables/table403.xml"/><Relationship Id="rId7" Type="http://schemas.openxmlformats.org/officeDocument/2006/relationships/table" Target="../tables/table389.xml"/><Relationship Id="rId12" Type="http://schemas.openxmlformats.org/officeDocument/2006/relationships/table" Target="../tables/table394.xml"/><Relationship Id="rId17" Type="http://schemas.openxmlformats.org/officeDocument/2006/relationships/table" Target="../tables/table399.xml"/><Relationship Id="rId25" Type="http://schemas.openxmlformats.org/officeDocument/2006/relationships/table" Target="../tables/table407.xml"/><Relationship Id="rId33" Type="http://schemas.openxmlformats.org/officeDocument/2006/relationships/table" Target="../tables/table415.xml"/><Relationship Id="rId2" Type="http://schemas.openxmlformats.org/officeDocument/2006/relationships/table" Target="../tables/table384.xml"/><Relationship Id="rId16" Type="http://schemas.openxmlformats.org/officeDocument/2006/relationships/table" Target="../tables/table398.xml"/><Relationship Id="rId20" Type="http://schemas.openxmlformats.org/officeDocument/2006/relationships/table" Target="../tables/table402.xml"/><Relationship Id="rId29" Type="http://schemas.openxmlformats.org/officeDocument/2006/relationships/table" Target="../tables/table411.xml"/><Relationship Id="rId1" Type="http://schemas.openxmlformats.org/officeDocument/2006/relationships/printerSettings" Target="../printerSettings/printerSettings90.bin"/><Relationship Id="rId6" Type="http://schemas.openxmlformats.org/officeDocument/2006/relationships/table" Target="../tables/table388.xml"/><Relationship Id="rId11" Type="http://schemas.openxmlformats.org/officeDocument/2006/relationships/table" Target="../tables/table393.xml"/><Relationship Id="rId24" Type="http://schemas.openxmlformats.org/officeDocument/2006/relationships/table" Target="../tables/table406.xml"/><Relationship Id="rId32" Type="http://schemas.openxmlformats.org/officeDocument/2006/relationships/table" Target="../tables/table414.xml"/><Relationship Id="rId5" Type="http://schemas.openxmlformats.org/officeDocument/2006/relationships/table" Target="../tables/table387.xml"/><Relationship Id="rId15" Type="http://schemas.openxmlformats.org/officeDocument/2006/relationships/table" Target="../tables/table397.xml"/><Relationship Id="rId23" Type="http://schemas.openxmlformats.org/officeDocument/2006/relationships/table" Target="../tables/table405.xml"/><Relationship Id="rId28" Type="http://schemas.openxmlformats.org/officeDocument/2006/relationships/table" Target="../tables/table410.xml"/><Relationship Id="rId10" Type="http://schemas.openxmlformats.org/officeDocument/2006/relationships/table" Target="../tables/table392.xml"/><Relationship Id="rId19" Type="http://schemas.openxmlformats.org/officeDocument/2006/relationships/table" Target="../tables/table401.xml"/><Relationship Id="rId31" Type="http://schemas.openxmlformats.org/officeDocument/2006/relationships/table" Target="../tables/table413.xml"/><Relationship Id="rId4" Type="http://schemas.openxmlformats.org/officeDocument/2006/relationships/table" Target="../tables/table386.xml"/><Relationship Id="rId9" Type="http://schemas.openxmlformats.org/officeDocument/2006/relationships/table" Target="../tables/table391.xml"/><Relationship Id="rId14" Type="http://schemas.openxmlformats.org/officeDocument/2006/relationships/table" Target="../tables/table396.xml"/><Relationship Id="rId22" Type="http://schemas.openxmlformats.org/officeDocument/2006/relationships/table" Target="../tables/table404.xml"/><Relationship Id="rId27" Type="http://schemas.openxmlformats.org/officeDocument/2006/relationships/table" Target="../tables/table409.xml"/><Relationship Id="rId30" Type="http://schemas.openxmlformats.org/officeDocument/2006/relationships/table" Target="../tables/table412.xml"/><Relationship Id="rId8" Type="http://schemas.openxmlformats.org/officeDocument/2006/relationships/table" Target="../tables/table390.xml"/></Relationships>
</file>

<file path=xl/worksheets/_rels/sheet10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21.xml"/><Relationship Id="rId13" Type="http://schemas.openxmlformats.org/officeDocument/2006/relationships/table" Target="../tables/table426.xml"/><Relationship Id="rId18" Type="http://schemas.openxmlformats.org/officeDocument/2006/relationships/table" Target="../tables/table431.xml"/><Relationship Id="rId3" Type="http://schemas.openxmlformats.org/officeDocument/2006/relationships/table" Target="../tables/table416.xml"/><Relationship Id="rId7" Type="http://schemas.openxmlformats.org/officeDocument/2006/relationships/table" Target="../tables/table420.xml"/><Relationship Id="rId12" Type="http://schemas.openxmlformats.org/officeDocument/2006/relationships/table" Target="../tables/table425.xml"/><Relationship Id="rId17" Type="http://schemas.openxmlformats.org/officeDocument/2006/relationships/table" Target="../tables/table430.xml"/><Relationship Id="rId2" Type="http://schemas.openxmlformats.org/officeDocument/2006/relationships/drawing" Target="../drawings/drawing42.xml"/><Relationship Id="rId16" Type="http://schemas.openxmlformats.org/officeDocument/2006/relationships/table" Target="../tables/table429.xml"/><Relationship Id="rId1" Type="http://schemas.openxmlformats.org/officeDocument/2006/relationships/printerSettings" Target="../printerSettings/printerSettings91.bin"/><Relationship Id="rId6" Type="http://schemas.openxmlformats.org/officeDocument/2006/relationships/table" Target="../tables/table419.xml"/><Relationship Id="rId11" Type="http://schemas.openxmlformats.org/officeDocument/2006/relationships/table" Target="../tables/table424.xml"/><Relationship Id="rId5" Type="http://schemas.openxmlformats.org/officeDocument/2006/relationships/table" Target="../tables/table418.xml"/><Relationship Id="rId15" Type="http://schemas.openxmlformats.org/officeDocument/2006/relationships/table" Target="../tables/table428.xml"/><Relationship Id="rId10" Type="http://schemas.openxmlformats.org/officeDocument/2006/relationships/table" Target="../tables/table423.xml"/><Relationship Id="rId19" Type="http://schemas.openxmlformats.org/officeDocument/2006/relationships/table" Target="../tables/table432.xml"/><Relationship Id="rId4" Type="http://schemas.openxmlformats.org/officeDocument/2006/relationships/table" Target="../tables/table417.xml"/><Relationship Id="rId9" Type="http://schemas.openxmlformats.org/officeDocument/2006/relationships/table" Target="../tables/table422.xml"/><Relationship Id="rId14" Type="http://schemas.openxmlformats.org/officeDocument/2006/relationships/table" Target="../tables/table4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AA381-E8F3-43E7-9AF0-F98F793B8952}">
  <sheetPr>
    <tabColor theme="7" tint="0.59999389629810485"/>
  </sheetPr>
  <dimension ref="A1:L307"/>
  <sheetViews>
    <sheetView zoomScale="70" zoomScaleNormal="70" workbookViewId="0">
      <selection activeCell="E234" sqref="E234"/>
    </sheetView>
  </sheetViews>
  <sheetFormatPr baseColWidth="10" defaultColWidth="11.5703125" defaultRowHeight="12.75" x14ac:dyDescent="0.2"/>
  <cols>
    <col min="7" max="8" width="13.28515625" style="223" customWidth="1"/>
    <col min="9" max="9" width="11.5703125" style="224"/>
    <col min="10" max="10" width="11.5703125" style="44"/>
    <col min="11" max="11" width="16.42578125" style="44" bestFit="1" customWidth="1"/>
    <col min="12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1793</v>
      </c>
      <c r="B2" t="s">
        <v>64</v>
      </c>
      <c r="C2">
        <v>9953.01</v>
      </c>
      <c r="D2" t="s">
        <v>6961</v>
      </c>
      <c r="E2">
        <v>9953.01</v>
      </c>
      <c r="F2" t="s">
        <v>6961</v>
      </c>
      <c r="G2" s="220">
        <f>SUM(C2)-SUM(D2)</f>
        <v>9953.01</v>
      </c>
      <c r="H2" s="220">
        <f>SUM(E2)-SUM(F2)</f>
        <v>9953.01</v>
      </c>
      <c r="I2" s="221">
        <f>IF(A2="Total",VLOOKUP(B2,CORRESPONDANCE[#All],2,FALSE),I3)</f>
        <v>2</v>
      </c>
      <c r="J2" s="222" t="str">
        <f t="shared" ref="J2:J65" si="0">LEFT(A2,1)</f>
        <v>7</v>
      </c>
      <c r="K2" s="44" t="str">
        <f t="shared" ref="K2:K65" si="1">"GLR5"&amp;" - "&amp;A2</f>
        <v>GLR5 - 701001</v>
      </c>
      <c r="L2" s="44" t="str">
        <f>+VLOOKUP(K2,TL[],4,FALSE)</f>
        <v>01</v>
      </c>
    </row>
    <row r="3" spans="1:12" x14ac:dyDescent="0.2">
      <c r="A3" t="s">
        <v>2048</v>
      </c>
      <c r="B3" t="s">
        <v>2265</v>
      </c>
      <c r="C3" t="s">
        <v>6961</v>
      </c>
      <c r="D3">
        <v>26.53</v>
      </c>
      <c r="E3" t="s">
        <v>6961</v>
      </c>
      <c r="F3">
        <v>26.53</v>
      </c>
      <c r="G3" s="220">
        <f>SUM(C3)-SUM(D3)</f>
        <v>-26.53</v>
      </c>
      <c r="H3" s="220">
        <f>SUM(E3)-SUM(F3)</f>
        <v>-26.53</v>
      </c>
      <c r="I3" s="221">
        <f>IF(A3="Total",VLOOKUP(B3,CORRESPONDANCE[#All],2,FALSE),I4)</f>
        <v>2</v>
      </c>
      <c r="J3" s="222" t="str">
        <f t="shared" si="0"/>
        <v>7</v>
      </c>
      <c r="K3" s="44" t="str">
        <f t="shared" si="1"/>
        <v>GLR5 - 701011</v>
      </c>
      <c r="L3" s="44" t="str">
        <f>+VLOOKUP(K3,TL[],4,FALSE)</f>
        <v>01</v>
      </c>
    </row>
    <row r="4" spans="1:12" x14ac:dyDescent="0.2">
      <c r="A4" t="s">
        <v>2513</v>
      </c>
      <c r="B4" t="s">
        <v>2266</v>
      </c>
      <c r="C4" t="s">
        <v>6961</v>
      </c>
      <c r="D4">
        <v>423645.67</v>
      </c>
      <c r="E4" t="s">
        <v>6961</v>
      </c>
      <c r="F4">
        <v>423645.67</v>
      </c>
      <c r="G4" s="220">
        <f>SUM(C4)-SUM(D4)</f>
        <v>-423645.67</v>
      </c>
      <c r="H4" s="220">
        <f>SUM(E4)-SUM(F4)</f>
        <v>-423645.67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GLR5 - 701015</v>
      </c>
      <c r="L4" s="44" t="str">
        <f>+VLOOKUP(K4,TL[],4,FALSE)</f>
        <v>01</v>
      </c>
    </row>
    <row r="5" spans="1:12" x14ac:dyDescent="0.2">
      <c r="A5" t="s">
        <v>2049</v>
      </c>
      <c r="B5" t="s">
        <v>2267</v>
      </c>
      <c r="C5" t="s">
        <v>6961</v>
      </c>
      <c r="D5">
        <v>443.51</v>
      </c>
      <c r="E5" t="s">
        <v>6961</v>
      </c>
      <c r="F5">
        <v>443.51</v>
      </c>
      <c r="G5" s="220">
        <f t="shared" ref="G5:G68" si="2">SUM(C5)-SUM(D5)</f>
        <v>-443.51</v>
      </c>
      <c r="H5" s="220">
        <f t="shared" ref="H5:H68" si="3">SUM(E5)-SUM(F5)</f>
        <v>-443.51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GLR5 - 701020</v>
      </c>
      <c r="L5" s="44" t="str">
        <f>+VLOOKUP(K5,TL[],4,FALSE)</f>
        <v>01</v>
      </c>
    </row>
    <row r="6" spans="1:12" x14ac:dyDescent="0.2">
      <c r="A6" t="s">
        <v>2050</v>
      </c>
      <c r="B6" t="s">
        <v>2268</v>
      </c>
      <c r="C6" t="s">
        <v>6961</v>
      </c>
      <c r="D6">
        <v>1692.41</v>
      </c>
      <c r="E6" t="s">
        <v>6961</v>
      </c>
      <c r="F6">
        <v>1692.41</v>
      </c>
      <c r="G6" s="220">
        <f t="shared" si="2"/>
        <v>-1692.41</v>
      </c>
      <c r="H6" s="220">
        <f t="shared" si="3"/>
        <v>-1692.41</v>
      </c>
      <c r="I6" s="221">
        <f>IF(A6="Total",VLOOKUP(B6,CORRESPONDANCE[#All],2,FALSE),I7)</f>
        <v>2</v>
      </c>
      <c r="J6" s="222" t="str">
        <f t="shared" si="0"/>
        <v>7</v>
      </c>
      <c r="K6" s="44" t="str">
        <f t="shared" si="1"/>
        <v>GLR5 - 701100</v>
      </c>
      <c r="L6" s="44" t="str">
        <f>+VLOOKUP(K6,TL[],4,FALSE)</f>
        <v>01</v>
      </c>
    </row>
    <row r="7" spans="1:12" x14ac:dyDescent="0.2">
      <c r="A7" t="s">
        <v>197</v>
      </c>
      <c r="B7" t="s">
        <v>2514</v>
      </c>
      <c r="C7" t="s">
        <v>6961</v>
      </c>
      <c r="D7">
        <v>415855.11</v>
      </c>
      <c r="E7" t="s">
        <v>6961</v>
      </c>
      <c r="F7">
        <v>415855.11</v>
      </c>
      <c r="G7" s="220">
        <f t="shared" si="2"/>
        <v>-415855.11</v>
      </c>
      <c r="H7" s="220">
        <f t="shared" si="3"/>
        <v>-415855.11</v>
      </c>
      <c r="I7" s="221">
        <f>IF(A7="Total",VLOOKUP(B7,CORRESPONDANCE[#All],2,FALSE),I8)</f>
        <v>2</v>
      </c>
      <c r="J7" s="222" t="str">
        <f t="shared" si="0"/>
        <v>T</v>
      </c>
      <c r="K7" s="44" t="str">
        <f t="shared" si="1"/>
        <v>GLR5 - Total</v>
      </c>
      <c r="L7" s="44" t="e">
        <f>+VLOOKUP(K7,TL[],4,FALSE)</f>
        <v>#N/A</v>
      </c>
    </row>
    <row r="8" spans="1:12" x14ac:dyDescent="0.2">
      <c r="A8" t="s">
        <v>1607</v>
      </c>
      <c r="B8" t="s">
        <v>2211</v>
      </c>
      <c r="C8">
        <v>91765.440000000002</v>
      </c>
      <c r="D8" t="s">
        <v>6961</v>
      </c>
      <c r="E8">
        <v>91765.440000000002</v>
      </c>
      <c r="F8" t="s">
        <v>6961</v>
      </c>
      <c r="G8" s="220">
        <f t="shared" si="2"/>
        <v>91765.440000000002</v>
      </c>
      <c r="H8" s="220">
        <f t="shared" si="3"/>
        <v>91765.440000000002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GLR5 - 601100</v>
      </c>
      <c r="L8" s="44" t="str">
        <f>+VLOOKUP(K8,TL[],4,FALSE)</f>
        <v>06</v>
      </c>
    </row>
    <row r="9" spans="1:12" x14ac:dyDescent="0.2">
      <c r="A9" t="s">
        <v>1780</v>
      </c>
      <c r="B9" t="s">
        <v>2214</v>
      </c>
      <c r="C9">
        <v>3246.25</v>
      </c>
      <c r="D9" t="s">
        <v>6961</v>
      </c>
      <c r="E9">
        <v>3246.25</v>
      </c>
      <c r="F9" t="s">
        <v>6961</v>
      </c>
      <c r="G9" s="220">
        <f t="shared" si="2"/>
        <v>3246.25</v>
      </c>
      <c r="H9" s="220">
        <f t="shared" si="3"/>
        <v>3246.25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GLR5 - 603100</v>
      </c>
      <c r="L9" s="44" t="str">
        <f>+VLOOKUP(K9,TL[],4,FALSE)</f>
        <v>06</v>
      </c>
    </row>
    <row r="10" spans="1:12" x14ac:dyDescent="0.2">
      <c r="A10" t="s">
        <v>2515</v>
      </c>
      <c r="B10" t="s">
        <v>2176</v>
      </c>
      <c r="C10">
        <v>1423</v>
      </c>
      <c r="D10" t="s">
        <v>6961</v>
      </c>
      <c r="E10">
        <v>1423</v>
      </c>
      <c r="F10" t="s">
        <v>6961</v>
      </c>
      <c r="G10" s="220">
        <f t="shared" si="2"/>
        <v>1423</v>
      </c>
      <c r="H10" s="220">
        <f t="shared" si="3"/>
        <v>1423</v>
      </c>
      <c r="I10" s="221">
        <f>IF(A10="Total",VLOOKUP(B10,CORRESPONDANCE[#All],2,FALSE),I11)</f>
        <v>3</v>
      </c>
      <c r="J10" s="222" t="str">
        <f t="shared" si="0"/>
        <v>6</v>
      </c>
      <c r="K10" s="44" t="str">
        <f t="shared" si="1"/>
        <v>GLR5 - 637400</v>
      </c>
      <c r="L10" s="44" t="str">
        <f>+VLOOKUP(K10,TL[],4,FALSE)</f>
        <v>09</v>
      </c>
    </row>
    <row r="11" spans="1:12" x14ac:dyDescent="0.2">
      <c r="A11" t="s">
        <v>1735</v>
      </c>
      <c r="B11" t="s">
        <v>6955</v>
      </c>
      <c r="C11" t="s">
        <v>6961</v>
      </c>
      <c r="D11">
        <v>2487.46</v>
      </c>
      <c r="E11" t="s">
        <v>6961</v>
      </c>
      <c r="F11">
        <v>2487.46</v>
      </c>
      <c r="G11" s="220">
        <f t="shared" si="2"/>
        <v>-2487.46</v>
      </c>
      <c r="H11" s="220">
        <f t="shared" si="3"/>
        <v>-2487.46</v>
      </c>
      <c r="I11" s="221">
        <f>IF(A11="Total",VLOOKUP(B11,CORRESPONDANCE[#All],2,FALSE),I12)</f>
        <v>3</v>
      </c>
      <c r="J11" s="222" t="str">
        <f t="shared" si="0"/>
        <v>7</v>
      </c>
      <c r="K11" s="44" t="str">
        <f t="shared" si="1"/>
        <v>GLR5 - 708000</v>
      </c>
      <c r="L11" s="44" t="str">
        <f>+VLOOKUP(K11,TL[],4,FALSE)</f>
        <v>06</v>
      </c>
    </row>
    <row r="12" spans="1:12" x14ac:dyDescent="0.2">
      <c r="A12" t="s">
        <v>6020</v>
      </c>
      <c r="B12" t="s">
        <v>802</v>
      </c>
      <c r="C12" t="s">
        <v>6961</v>
      </c>
      <c r="D12">
        <v>21.28</v>
      </c>
      <c r="E12" t="s">
        <v>6961</v>
      </c>
      <c r="F12">
        <v>21.28</v>
      </c>
      <c r="G12" s="220">
        <f t="shared" si="2"/>
        <v>-21.28</v>
      </c>
      <c r="H12" s="220">
        <f t="shared" si="3"/>
        <v>-21.28</v>
      </c>
      <c r="I12" s="221">
        <f>IF(A12="Total",VLOOKUP(B12,CORRESPONDANCE[#All],2,FALSE),I13)</f>
        <v>3</v>
      </c>
      <c r="J12" s="222" t="str">
        <f t="shared" si="0"/>
        <v>7</v>
      </c>
      <c r="K12" s="44" t="str">
        <f t="shared" si="1"/>
        <v>GLR5 - 708855</v>
      </c>
      <c r="L12" s="44" t="str">
        <f>+VLOOKUP(K12,TL[],4,FALSE)</f>
        <v>06</v>
      </c>
    </row>
    <row r="13" spans="1:12" x14ac:dyDescent="0.2">
      <c r="A13" t="s">
        <v>197</v>
      </c>
      <c r="B13" t="s">
        <v>2516</v>
      </c>
      <c r="C13">
        <v>93925.95</v>
      </c>
      <c r="D13" t="s">
        <v>6961</v>
      </c>
      <c r="E13">
        <v>93925.95</v>
      </c>
      <c r="F13" t="s">
        <v>6961</v>
      </c>
      <c r="G13" s="220">
        <f t="shared" si="2"/>
        <v>93925.95</v>
      </c>
      <c r="H13" s="220">
        <f t="shared" si="3"/>
        <v>93925.95</v>
      </c>
      <c r="I13" s="221">
        <f>IF(A13="Total",VLOOKUP(B13,CORRESPONDANCE[#All],2,FALSE),I14)</f>
        <v>3</v>
      </c>
      <c r="J13" s="222" t="str">
        <f t="shared" si="0"/>
        <v>T</v>
      </c>
      <c r="K13" s="44" t="str">
        <f t="shared" si="1"/>
        <v>GLR5 - Total</v>
      </c>
      <c r="L13" s="44" t="e">
        <f>+VLOOKUP(K13,TL[],4,FALSE)</f>
        <v>#N/A</v>
      </c>
    </row>
    <row r="14" spans="1:12" x14ac:dyDescent="0.2">
      <c r="A14" t="s">
        <v>1789</v>
      </c>
      <c r="B14" t="s">
        <v>160</v>
      </c>
      <c r="C14">
        <v>1729.73</v>
      </c>
      <c r="D14" t="s">
        <v>6961</v>
      </c>
      <c r="E14">
        <v>1729.73</v>
      </c>
      <c r="F14" t="s">
        <v>6961</v>
      </c>
      <c r="G14" s="220">
        <f t="shared" si="2"/>
        <v>1729.73</v>
      </c>
      <c r="H14" s="220">
        <f t="shared" si="3"/>
        <v>1729.73</v>
      </c>
      <c r="I14" s="221">
        <f>IF(A14="Total",VLOOKUP(B14,CORRESPONDANCE[#All],2,FALSE),I15)</f>
        <v>4</v>
      </c>
      <c r="J14" s="222" t="str">
        <f t="shared" si="0"/>
        <v>6</v>
      </c>
      <c r="K14" s="44" t="str">
        <f t="shared" si="1"/>
        <v>GLR5 - 601103</v>
      </c>
      <c r="L14" s="44" t="str">
        <f>+VLOOKUP(K14,TL[],4,FALSE)</f>
        <v>08</v>
      </c>
    </row>
    <row r="15" spans="1:12" x14ac:dyDescent="0.2">
      <c r="A15" t="s">
        <v>197</v>
      </c>
      <c r="B15" t="s">
        <v>2517</v>
      </c>
      <c r="C15">
        <v>1729.73</v>
      </c>
      <c r="D15" t="s">
        <v>6961</v>
      </c>
      <c r="E15">
        <v>1729.73</v>
      </c>
      <c r="F15" t="s">
        <v>6961</v>
      </c>
      <c r="G15" s="220">
        <f t="shared" si="2"/>
        <v>1729.73</v>
      </c>
      <c r="H15" s="220">
        <f t="shared" si="3"/>
        <v>1729.73</v>
      </c>
      <c r="I15" s="221">
        <f>IF(A15="Total",VLOOKUP(B15,CORRESPONDANCE[#All],2,FALSE),I16)</f>
        <v>4</v>
      </c>
      <c r="J15" s="222" t="str">
        <f t="shared" si="0"/>
        <v>T</v>
      </c>
      <c r="K15" s="44" t="str">
        <f t="shared" si="1"/>
        <v>GLR5 - Total</v>
      </c>
      <c r="L15" s="44" t="e">
        <f>+VLOOKUP(K15,TL[],4,FALSE)</f>
        <v>#N/A</v>
      </c>
    </row>
    <row r="16" spans="1:12" x14ac:dyDescent="0.2">
      <c r="A16" t="s">
        <v>1790</v>
      </c>
      <c r="B16" t="s">
        <v>225</v>
      </c>
      <c r="C16">
        <v>2065.16</v>
      </c>
      <c r="D16" t="s">
        <v>6961</v>
      </c>
      <c r="E16">
        <v>2065.16</v>
      </c>
      <c r="F16" t="s">
        <v>6961</v>
      </c>
      <c r="G16" s="220">
        <f t="shared" si="2"/>
        <v>2065.16</v>
      </c>
      <c r="H16" s="220">
        <f t="shared" si="3"/>
        <v>2065.16</v>
      </c>
      <c r="I16" s="221">
        <f>IF(A16="Total",VLOOKUP(B16,CORRESPONDANCE[#All],2,FALSE),I17)</f>
        <v>5</v>
      </c>
      <c r="J16" s="222" t="str">
        <f t="shared" si="0"/>
        <v>6</v>
      </c>
      <c r="K16" s="44" t="str">
        <f t="shared" si="1"/>
        <v>GLR5 - 601102</v>
      </c>
      <c r="L16" s="44" t="str">
        <f>+VLOOKUP(K16,TL[],4,FALSE)</f>
        <v>07</v>
      </c>
    </row>
    <row r="17" spans="1:12" x14ac:dyDescent="0.2">
      <c r="A17" t="s">
        <v>197</v>
      </c>
      <c r="B17" t="s">
        <v>2518</v>
      </c>
      <c r="C17">
        <v>2065.16</v>
      </c>
      <c r="D17" t="s">
        <v>6961</v>
      </c>
      <c r="E17">
        <v>2065.16</v>
      </c>
      <c r="F17" t="s">
        <v>6961</v>
      </c>
      <c r="G17" s="220">
        <f t="shared" si="2"/>
        <v>2065.16</v>
      </c>
      <c r="H17" s="220">
        <f t="shared" si="3"/>
        <v>2065.16</v>
      </c>
      <c r="I17" s="221">
        <f>IF(A17="Total",VLOOKUP(B17,CORRESPONDANCE[#All],2,FALSE),I18)</f>
        <v>5</v>
      </c>
      <c r="J17" s="222" t="str">
        <f t="shared" si="0"/>
        <v>T</v>
      </c>
      <c r="K17" s="44" t="str">
        <f t="shared" si="1"/>
        <v>GLR5 - Total</v>
      </c>
      <c r="L17" s="44" t="e">
        <f>+VLOOKUP(K17,TL[],4,FALSE)</f>
        <v>#N/A</v>
      </c>
    </row>
    <row r="18" spans="1:12" x14ac:dyDescent="0.2">
      <c r="A18" t="s">
        <v>1630</v>
      </c>
      <c r="B18" t="s">
        <v>2212</v>
      </c>
      <c r="C18">
        <v>10554.69</v>
      </c>
      <c r="D18" t="s">
        <v>6961</v>
      </c>
      <c r="E18">
        <v>10554.69</v>
      </c>
      <c r="F18" t="s">
        <v>6961</v>
      </c>
      <c r="G18" s="220">
        <f t="shared" si="2"/>
        <v>10554.69</v>
      </c>
      <c r="H18" s="220">
        <f t="shared" si="3"/>
        <v>10554.69</v>
      </c>
      <c r="I18" s="221">
        <f>IF(A18="Total",VLOOKUP(B18,CORRESPONDANCE[#All],2,FALSE),I19)</f>
        <v>6</v>
      </c>
      <c r="J18" s="222" t="str">
        <f t="shared" si="0"/>
        <v>6</v>
      </c>
      <c r="K18" s="44" t="str">
        <f t="shared" si="1"/>
        <v>GLR5 - 602201</v>
      </c>
      <c r="L18" s="44" t="str">
        <f>+VLOOKUP(K18,TL[],4,FALSE)</f>
        <v>03</v>
      </c>
    </row>
    <row r="19" spans="1:12" x14ac:dyDescent="0.2">
      <c r="A19" t="s">
        <v>1634</v>
      </c>
      <c r="B19" t="s">
        <v>161</v>
      </c>
      <c r="C19">
        <v>109.95</v>
      </c>
      <c r="D19" t="s">
        <v>6961</v>
      </c>
      <c r="E19">
        <v>109.95</v>
      </c>
      <c r="F19" t="s">
        <v>6961</v>
      </c>
      <c r="G19" s="220">
        <f t="shared" si="2"/>
        <v>109.95</v>
      </c>
      <c r="H19" s="220">
        <f t="shared" si="3"/>
        <v>109.95</v>
      </c>
      <c r="I19" s="221">
        <f>IF(A19="Total",VLOOKUP(B19,CORRESPONDANCE[#All],2,FALSE),I20)</f>
        <v>6</v>
      </c>
      <c r="J19" s="222" t="str">
        <f t="shared" si="0"/>
        <v>6</v>
      </c>
      <c r="K19" s="44" t="str">
        <f t="shared" si="1"/>
        <v>GLR5 - 602610</v>
      </c>
      <c r="L19" s="44" t="str">
        <f>+VLOOKUP(K19,TL[],4,FALSE)</f>
        <v>18</v>
      </c>
    </row>
    <row r="20" spans="1:12" x14ac:dyDescent="0.2">
      <c r="A20" t="s">
        <v>1781</v>
      </c>
      <c r="B20" t="s">
        <v>2215</v>
      </c>
      <c r="C20" t="s">
        <v>6961</v>
      </c>
      <c r="D20">
        <v>319.55</v>
      </c>
      <c r="E20" t="s">
        <v>6961</v>
      </c>
      <c r="F20">
        <v>319.55</v>
      </c>
      <c r="G20" s="220">
        <f t="shared" si="2"/>
        <v>-319.55</v>
      </c>
      <c r="H20" s="220">
        <f t="shared" si="3"/>
        <v>-319.55</v>
      </c>
      <c r="I20" s="221">
        <f>IF(A20="Total",VLOOKUP(B20,CORRESPONDANCE[#All],2,FALSE),I21)</f>
        <v>6</v>
      </c>
      <c r="J20" s="222" t="str">
        <f t="shared" si="0"/>
        <v>6</v>
      </c>
      <c r="K20" s="44" t="str">
        <f t="shared" si="1"/>
        <v>GLR5 - 603200</v>
      </c>
      <c r="L20" s="44" t="str">
        <f>+VLOOKUP(K20,TL[],4,FALSE)</f>
        <v>03</v>
      </c>
    </row>
    <row r="21" spans="1:12" x14ac:dyDescent="0.2">
      <c r="A21" t="s">
        <v>197</v>
      </c>
      <c r="B21" t="s">
        <v>2519</v>
      </c>
      <c r="C21">
        <v>10345.09</v>
      </c>
      <c r="D21" t="s">
        <v>6961</v>
      </c>
      <c r="E21">
        <v>10345.09</v>
      </c>
      <c r="F21" t="s">
        <v>6961</v>
      </c>
      <c r="G21" s="220">
        <f t="shared" si="2"/>
        <v>10345.09</v>
      </c>
      <c r="H21" s="220">
        <f t="shared" si="3"/>
        <v>10345.09</v>
      </c>
      <c r="I21" s="221">
        <f>IF(A21="Total",VLOOKUP(B21,CORRESPONDANCE[#All],2,FALSE),I22)</f>
        <v>6</v>
      </c>
      <c r="J21" s="222" t="str">
        <f t="shared" si="0"/>
        <v>T</v>
      </c>
      <c r="K21" s="44" t="str">
        <f t="shared" si="1"/>
        <v>GLR5 - Total</v>
      </c>
      <c r="L21" s="44" t="e">
        <f>+VLOOKUP(K21,TL[],4,FALSE)</f>
        <v>#N/A</v>
      </c>
    </row>
    <row r="22" spans="1:12" x14ac:dyDescent="0.2">
      <c r="A22" t="s">
        <v>6279</v>
      </c>
      <c r="B22" t="s">
        <v>3549</v>
      </c>
      <c r="C22">
        <v>633.09</v>
      </c>
      <c r="D22" t="s">
        <v>6961</v>
      </c>
      <c r="E22">
        <v>633.09</v>
      </c>
      <c r="F22" t="s">
        <v>6961</v>
      </c>
      <c r="G22" s="220">
        <f t="shared" si="2"/>
        <v>633.09</v>
      </c>
      <c r="H22" s="220">
        <f t="shared" si="3"/>
        <v>633.09</v>
      </c>
      <c r="I22" s="221" t="str">
        <f>IF(A22="Total",VLOOKUP(B22,CORRESPONDANCE[#All],2,FALSE),I23)</f>
        <v>6.1</v>
      </c>
      <c r="J22" s="222" t="str">
        <f t="shared" si="0"/>
        <v>6</v>
      </c>
      <c r="K22" s="44" t="str">
        <f t="shared" si="1"/>
        <v>GLR5 - 602612</v>
      </c>
      <c r="L22" s="44" t="str">
        <f>+VLOOKUP(K22,TL[],4,FALSE)</f>
        <v>06</v>
      </c>
    </row>
    <row r="23" spans="1:12" x14ac:dyDescent="0.2">
      <c r="A23" t="s">
        <v>6857</v>
      </c>
      <c r="B23" t="s">
        <v>6858</v>
      </c>
      <c r="C23">
        <v>1615.69</v>
      </c>
      <c r="D23" t="s">
        <v>6961</v>
      </c>
      <c r="E23">
        <v>1615.69</v>
      </c>
      <c r="F23" t="s">
        <v>6961</v>
      </c>
      <c r="G23" s="220">
        <f t="shared" si="2"/>
        <v>1615.69</v>
      </c>
      <c r="H23" s="220">
        <f t="shared" si="3"/>
        <v>1615.69</v>
      </c>
      <c r="I23" s="221" t="str">
        <f>IF(A23="Total",VLOOKUP(B23,CORRESPONDANCE[#All],2,FALSE),I24)</f>
        <v>6.1</v>
      </c>
      <c r="J23" s="222" t="str">
        <f t="shared" si="0"/>
        <v>6</v>
      </c>
      <c r="K23" s="44" t="str">
        <f t="shared" si="1"/>
        <v>GLR5 - 603211</v>
      </c>
      <c r="L23" s="44" t="str">
        <f>+VLOOKUP(K23,TL[],4,FALSE)</f>
        <v>06</v>
      </c>
    </row>
    <row r="24" spans="1:12" x14ac:dyDescent="0.2">
      <c r="A24" t="s">
        <v>197</v>
      </c>
      <c r="B24" t="s">
        <v>3010</v>
      </c>
      <c r="C24">
        <v>2248.7800000000002</v>
      </c>
      <c r="D24" t="s">
        <v>6961</v>
      </c>
      <c r="E24">
        <v>2248.7800000000002</v>
      </c>
      <c r="F24" t="s">
        <v>6961</v>
      </c>
      <c r="G24" s="220">
        <f t="shared" si="2"/>
        <v>2248.7800000000002</v>
      </c>
      <c r="H24" s="220">
        <f t="shared" si="3"/>
        <v>2248.7800000000002</v>
      </c>
      <c r="I24" s="221" t="str">
        <f>IF(A24="Total",VLOOKUP(B24,CORRESPONDANCE[#All],2,FALSE),I25)</f>
        <v>6.1</v>
      </c>
      <c r="J24" s="222" t="str">
        <f t="shared" si="0"/>
        <v>T</v>
      </c>
      <c r="K24" s="44" t="str">
        <f t="shared" si="1"/>
        <v>GLR5 - Total</v>
      </c>
      <c r="L24" s="44" t="e">
        <f>+VLOOKUP(K24,TL[],4,FALSE)</f>
        <v>#N/A</v>
      </c>
    </row>
    <row r="25" spans="1:12" x14ac:dyDescent="0.2">
      <c r="A25" t="s">
        <v>5894</v>
      </c>
      <c r="B25" t="s">
        <v>5895</v>
      </c>
      <c r="C25">
        <v>2691.5</v>
      </c>
      <c r="D25" t="s">
        <v>6961</v>
      </c>
      <c r="E25">
        <v>2691.5</v>
      </c>
      <c r="F25" t="s">
        <v>6961</v>
      </c>
      <c r="G25" s="220">
        <f t="shared" si="2"/>
        <v>2691.5</v>
      </c>
      <c r="H25" s="220">
        <f t="shared" si="3"/>
        <v>2691.5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GLR5 - 621403</v>
      </c>
      <c r="L25" s="44" t="str">
        <f>+VLOOKUP(K25,TL[],4,FALSE)</f>
        <v>10</v>
      </c>
    </row>
    <row r="26" spans="1:12" x14ac:dyDescent="0.2">
      <c r="A26" t="s">
        <v>2520</v>
      </c>
      <c r="B26" t="s">
        <v>2190</v>
      </c>
      <c r="C26">
        <v>61321.2</v>
      </c>
      <c r="D26" t="s">
        <v>6961</v>
      </c>
      <c r="E26">
        <v>61321.2</v>
      </c>
      <c r="F26" t="s">
        <v>6961</v>
      </c>
      <c r="G26" s="220">
        <f t="shared" si="2"/>
        <v>61321.2</v>
      </c>
      <c r="H26" s="220">
        <f t="shared" si="3"/>
        <v>61321.2</v>
      </c>
      <c r="I26" s="221">
        <f>IF(A26="Total",VLOOKUP(B26,CORRESPONDANCE[#All],2,FALSE),I27)</f>
        <v>8</v>
      </c>
      <c r="J26" s="222" t="str">
        <f t="shared" si="0"/>
        <v>6</v>
      </c>
      <c r="K26" s="44" t="str">
        <f t="shared" si="1"/>
        <v>GLR5 - 641030</v>
      </c>
      <c r="L26" s="44" t="str">
        <f>+VLOOKUP(K26,TL[],4,FALSE)</f>
        <v>10</v>
      </c>
    </row>
    <row r="27" spans="1:12" x14ac:dyDescent="0.2">
      <c r="A27" t="s">
        <v>2521</v>
      </c>
      <c r="B27" t="s">
        <v>1295</v>
      </c>
      <c r="C27">
        <v>1823.04</v>
      </c>
      <c r="D27" t="s">
        <v>6961</v>
      </c>
      <c r="E27">
        <v>1823.04</v>
      </c>
      <c r="F27" t="s">
        <v>6961</v>
      </c>
      <c r="G27" s="220">
        <f t="shared" si="2"/>
        <v>1823.04</v>
      </c>
      <c r="H27" s="220">
        <f t="shared" si="3"/>
        <v>1823.04</v>
      </c>
      <c r="I27" s="221">
        <f>IF(A27="Total",VLOOKUP(B27,CORRESPONDANCE[#All],2,FALSE),I28)</f>
        <v>8</v>
      </c>
      <c r="J27" s="222" t="str">
        <f t="shared" si="0"/>
        <v>6</v>
      </c>
      <c r="K27" s="44" t="str">
        <f t="shared" si="1"/>
        <v>GLR5 - 641063</v>
      </c>
      <c r="L27" s="44" t="str">
        <f>+VLOOKUP(K27,TL[],4,FALSE)</f>
        <v>10</v>
      </c>
    </row>
    <row r="28" spans="1:12" x14ac:dyDescent="0.2">
      <c r="A28" t="s">
        <v>1996</v>
      </c>
      <c r="B28" t="s">
        <v>2209</v>
      </c>
      <c r="C28">
        <v>304.93</v>
      </c>
      <c r="D28" t="s">
        <v>6961</v>
      </c>
      <c r="E28">
        <v>304.93</v>
      </c>
      <c r="F28" t="s">
        <v>6961</v>
      </c>
      <c r="G28" s="220">
        <f t="shared" si="2"/>
        <v>304.93</v>
      </c>
      <c r="H28" s="220">
        <f t="shared" si="3"/>
        <v>304.93</v>
      </c>
      <c r="I28" s="221">
        <f>IF(A28="Total",VLOOKUP(B28,CORRESPONDANCE[#All],2,FALSE),I29)</f>
        <v>8</v>
      </c>
      <c r="J28" s="222" t="str">
        <f t="shared" si="0"/>
        <v>6</v>
      </c>
      <c r="K28" s="44" t="str">
        <f t="shared" si="1"/>
        <v>GLR5 - 641230</v>
      </c>
      <c r="L28" s="44" t="str">
        <f>+VLOOKUP(K28,TL[],4,FALSE)</f>
        <v>10</v>
      </c>
    </row>
    <row r="29" spans="1:12" x14ac:dyDescent="0.2">
      <c r="A29" t="s">
        <v>2522</v>
      </c>
      <c r="B29" t="s">
        <v>2182</v>
      </c>
      <c r="C29">
        <v>703.15</v>
      </c>
      <c r="D29" t="s">
        <v>6961</v>
      </c>
      <c r="E29">
        <v>703.15</v>
      </c>
      <c r="F29" t="s">
        <v>6961</v>
      </c>
      <c r="G29" s="220">
        <f t="shared" si="2"/>
        <v>703.15</v>
      </c>
      <c r="H29" s="220">
        <f t="shared" si="3"/>
        <v>703.15</v>
      </c>
      <c r="I29" s="221">
        <f>IF(A29="Total",VLOOKUP(B29,CORRESPONDANCE[#All],2,FALSE),I30)</f>
        <v>8</v>
      </c>
      <c r="J29" s="222" t="str">
        <f t="shared" si="0"/>
        <v>6</v>
      </c>
      <c r="K29" s="44" t="str">
        <f t="shared" si="1"/>
        <v>GLR5 - 641410</v>
      </c>
      <c r="L29" s="44" t="str">
        <f>+VLOOKUP(K29,TL[],4,FALSE)</f>
        <v>10</v>
      </c>
    </row>
    <row r="30" spans="1:12" x14ac:dyDescent="0.2">
      <c r="A30" t="s">
        <v>1746</v>
      </c>
      <c r="B30" t="s">
        <v>2476</v>
      </c>
      <c r="C30" t="s">
        <v>6961</v>
      </c>
      <c r="D30">
        <v>1823.04</v>
      </c>
      <c r="E30" t="s">
        <v>6961</v>
      </c>
      <c r="F30">
        <v>1823.04</v>
      </c>
      <c r="G30" s="220">
        <f t="shared" si="2"/>
        <v>-1823.04</v>
      </c>
      <c r="H30" s="220">
        <f t="shared" si="3"/>
        <v>-1823.04</v>
      </c>
      <c r="I30" s="221">
        <f>IF(A30="Total",VLOOKUP(B30,CORRESPONDANCE[#All],2,FALSE),I31)</f>
        <v>8</v>
      </c>
      <c r="J30" s="222" t="str">
        <f t="shared" si="0"/>
        <v>7</v>
      </c>
      <c r="K30" s="44" t="str">
        <f t="shared" si="1"/>
        <v>GLR5 - 726100</v>
      </c>
      <c r="L30" s="44" t="str">
        <f>+VLOOKUP(K30,TL[],4,FALSE)</f>
        <v>10</v>
      </c>
    </row>
    <row r="31" spans="1:12" x14ac:dyDescent="0.2">
      <c r="A31" t="s">
        <v>197</v>
      </c>
      <c r="B31" t="s">
        <v>2523</v>
      </c>
      <c r="C31">
        <v>65020.78</v>
      </c>
      <c r="D31" t="s">
        <v>6961</v>
      </c>
      <c r="E31">
        <v>65020.78</v>
      </c>
      <c r="F31" t="s">
        <v>6961</v>
      </c>
      <c r="G31" s="220">
        <f t="shared" si="2"/>
        <v>65020.78</v>
      </c>
      <c r="H31" s="220">
        <f t="shared" si="3"/>
        <v>65020.78</v>
      </c>
      <c r="I31" s="221">
        <f>IF(A31="Total",VLOOKUP(B31,CORRESPONDANCE[#All],2,FALSE),I32)</f>
        <v>8</v>
      </c>
      <c r="J31" s="222" t="str">
        <f t="shared" si="0"/>
        <v>T</v>
      </c>
      <c r="K31" s="44" t="str">
        <f t="shared" si="1"/>
        <v>GLR5 - Total</v>
      </c>
      <c r="L31" s="44" t="e">
        <f>+VLOOKUP(K31,TL[],4,FALSE)</f>
        <v>#N/A</v>
      </c>
    </row>
    <row r="32" spans="1:12" x14ac:dyDescent="0.2">
      <c r="A32" t="s">
        <v>7023</v>
      </c>
      <c r="B32" t="s">
        <v>7024</v>
      </c>
      <c r="C32">
        <v>460.42</v>
      </c>
      <c r="D32" t="s">
        <v>6961</v>
      </c>
      <c r="E32">
        <v>460.42</v>
      </c>
      <c r="F32" t="s">
        <v>6961</v>
      </c>
      <c r="G32" s="220">
        <f t="shared" si="2"/>
        <v>460.42</v>
      </c>
      <c r="H32" s="220">
        <f t="shared" si="3"/>
        <v>460.42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GLR5 - 621408</v>
      </c>
      <c r="L32" s="44" t="e">
        <f>+VLOOKUP(K32,TL[],4,FALSE)</f>
        <v>#N/A</v>
      </c>
    </row>
    <row r="33" spans="1:12" x14ac:dyDescent="0.2">
      <c r="A33" t="s">
        <v>2524</v>
      </c>
      <c r="B33" t="s">
        <v>2194</v>
      </c>
      <c r="C33">
        <v>4465.16</v>
      </c>
      <c r="D33" t="s">
        <v>6961</v>
      </c>
      <c r="E33">
        <v>4465.16</v>
      </c>
      <c r="F33" t="s">
        <v>6961</v>
      </c>
      <c r="G33" s="220">
        <f t="shared" si="2"/>
        <v>4465.16</v>
      </c>
      <c r="H33" s="220">
        <f t="shared" si="3"/>
        <v>4465.16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GLR5 - 645130</v>
      </c>
      <c r="L33" s="44" t="str">
        <f>+VLOOKUP(K33,TL[],4,FALSE)</f>
        <v>10</v>
      </c>
    </row>
    <row r="34" spans="1:12" x14ac:dyDescent="0.2">
      <c r="A34" t="s">
        <v>2525</v>
      </c>
      <c r="B34" t="s">
        <v>2193</v>
      </c>
      <c r="C34">
        <v>1281.49</v>
      </c>
      <c r="D34" t="s">
        <v>6961</v>
      </c>
      <c r="E34">
        <v>1281.49</v>
      </c>
      <c r="F34" t="s">
        <v>6961</v>
      </c>
      <c r="G34" s="220">
        <f t="shared" si="2"/>
        <v>1281.49</v>
      </c>
      <c r="H34" s="220">
        <f t="shared" si="3"/>
        <v>1281.49</v>
      </c>
      <c r="I34" s="221">
        <f>IF(A34="Total",VLOOKUP(B34,CORRESPONDANCE[#All],2,FALSE),I35)</f>
        <v>9</v>
      </c>
      <c r="J34" s="222" t="str">
        <f t="shared" si="0"/>
        <v>6</v>
      </c>
      <c r="K34" s="44" t="str">
        <f t="shared" si="1"/>
        <v>GLR5 - 645330</v>
      </c>
      <c r="L34" s="44" t="str">
        <f>+VLOOKUP(K34,TL[],4,FALSE)</f>
        <v>10</v>
      </c>
    </row>
    <row r="35" spans="1:12" x14ac:dyDescent="0.2">
      <c r="A35" t="s">
        <v>2526</v>
      </c>
      <c r="B35" t="s">
        <v>2188</v>
      </c>
      <c r="C35">
        <v>2043.76</v>
      </c>
      <c r="D35" t="s">
        <v>6961</v>
      </c>
      <c r="E35">
        <v>2043.76</v>
      </c>
      <c r="F35" t="s">
        <v>6961</v>
      </c>
      <c r="G35" s="220">
        <f t="shared" si="2"/>
        <v>2043.76</v>
      </c>
      <c r="H35" s="220">
        <f t="shared" si="3"/>
        <v>2043.76</v>
      </c>
      <c r="I35" s="221">
        <f>IF(A35="Total",VLOOKUP(B35,CORRESPONDANCE[#All],2,FALSE),I36)</f>
        <v>9</v>
      </c>
      <c r="J35" s="222" t="str">
        <f t="shared" si="0"/>
        <v>6</v>
      </c>
      <c r="K35" s="44" t="str">
        <f t="shared" si="1"/>
        <v>GLR5 - 645430</v>
      </c>
      <c r="L35" s="44" t="str">
        <f>+VLOOKUP(K35,TL[],4,FALSE)</f>
        <v>10</v>
      </c>
    </row>
    <row r="36" spans="1:12" x14ac:dyDescent="0.2">
      <c r="A36" t="s">
        <v>2527</v>
      </c>
      <c r="B36" t="s">
        <v>231</v>
      </c>
      <c r="C36">
        <v>356.79</v>
      </c>
      <c r="D36" t="s">
        <v>6961</v>
      </c>
      <c r="E36">
        <v>356.79</v>
      </c>
      <c r="F36" t="s">
        <v>6961</v>
      </c>
      <c r="G36" s="220">
        <f t="shared" si="2"/>
        <v>356.79</v>
      </c>
      <c r="H36" s="220">
        <f t="shared" si="3"/>
        <v>356.79</v>
      </c>
      <c r="I36" s="221">
        <f>IF(A36="Total",VLOOKUP(B36,CORRESPONDANCE[#All],2,FALSE),I37)</f>
        <v>9</v>
      </c>
      <c r="J36" s="222" t="str">
        <f t="shared" si="0"/>
        <v>6</v>
      </c>
      <c r="K36" s="44" t="str">
        <f t="shared" si="1"/>
        <v>GLR5 - 645530</v>
      </c>
      <c r="L36" s="44" t="str">
        <f>+VLOOKUP(K36,TL[],4,FALSE)</f>
        <v>10</v>
      </c>
    </row>
    <row r="37" spans="1:12" x14ac:dyDescent="0.2">
      <c r="A37" t="s">
        <v>2009</v>
      </c>
      <c r="B37" t="s">
        <v>2262</v>
      </c>
      <c r="C37">
        <v>193.78</v>
      </c>
      <c r="D37" t="s">
        <v>6961</v>
      </c>
      <c r="E37">
        <v>193.78</v>
      </c>
      <c r="F37" t="s">
        <v>6961</v>
      </c>
      <c r="G37" s="220">
        <f t="shared" si="2"/>
        <v>193.78</v>
      </c>
      <c r="H37" s="220">
        <f t="shared" si="3"/>
        <v>193.78</v>
      </c>
      <c r="I37" s="221">
        <f>IF(A37="Total",VLOOKUP(B37,CORRESPONDANCE[#All],2,FALSE),I38)</f>
        <v>9</v>
      </c>
      <c r="J37" s="222" t="str">
        <f t="shared" si="0"/>
        <v>6</v>
      </c>
      <c r="K37" s="44" t="str">
        <f t="shared" si="1"/>
        <v>GLR5 - 645830</v>
      </c>
      <c r="L37" s="44" t="str">
        <f>+VLOOKUP(K37,TL[],4,FALSE)</f>
        <v>10</v>
      </c>
    </row>
    <row r="38" spans="1:12" x14ac:dyDescent="0.2">
      <c r="A38" t="s">
        <v>2528</v>
      </c>
      <c r="B38" t="s">
        <v>2185</v>
      </c>
      <c r="C38">
        <v>294.89999999999998</v>
      </c>
      <c r="D38" t="s">
        <v>6961</v>
      </c>
      <c r="E38">
        <v>294.89999999999998</v>
      </c>
      <c r="F38" t="s">
        <v>6961</v>
      </c>
      <c r="G38" s="220">
        <f t="shared" si="2"/>
        <v>294.89999999999998</v>
      </c>
      <c r="H38" s="220">
        <f t="shared" si="3"/>
        <v>294.89999999999998</v>
      </c>
      <c r="I38" s="221">
        <f>IF(A38="Total",VLOOKUP(B38,CORRESPONDANCE[#All],2,FALSE),I39)</f>
        <v>9</v>
      </c>
      <c r="J38" s="222" t="str">
        <f t="shared" si="0"/>
        <v>6</v>
      </c>
      <c r="K38" s="44" t="str">
        <f t="shared" si="1"/>
        <v>GLR5 - 645930</v>
      </c>
      <c r="L38" s="44" t="str">
        <f>+VLOOKUP(K38,TL[],4,FALSE)</f>
        <v>10</v>
      </c>
    </row>
    <row r="39" spans="1:12" x14ac:dyDescent="0.2">
      <c r="A39" t="s">
        <v>197</v>
      </c>
      <c r="B39" t="s">
        <v>2529</v>
      </c>
      <c r="C39">
        <v>9096.2999999999993</v>
      </c>
      <c r="D39" t="s">
        <v>6961</v>
      </c>
      <c r="E39">
        <v>9096.2999999999993</v>
      </c>
      <c r="F39" t="s">
        <v>6961</v>
      </c>
      <c r="G39" s="220">
        <f t="shared" si="2"/>
        <v>9096.2999999999993</v>
      </c>
      <c r="H39" s="220">
        <f t="shared" si="3"/>
        <v>9096.2999999999993</v>
      </c>
      <c r="I39" s="221">
        <f>IF(A39="Total",VLOOKUP(B39,CORRESPONDANCE[#All],2,FALSE),I40)</f>
        <v>9</v>
      </c>
      <c r="J39" s="222" t="str">
        <f t="shared" si="0"/>
        <v>T</v>
      </c>
      <c r="K39" s="44" t="str">
        <f t="shared" si="1"/>
        <v>GLR5 - Total</v>
      </c>
      <c r="L39" s="44" t="e">
        <f>+VLOOKUP(K39,TL[],4,FALSE)</f>
        <v>#N/A</v>
      </c>
    </row>
    <row r="40" spans="1:12" x14ac:dyDescent="0.2">
      <c r="A40" t="s">
        <v>1947</v>
      </c>
      <c r="B40" t="s">
        <v>2246</v>
      </c>
      <c r="C40">
        <v>136.79</v>
      </c>
      <c r="D40" t="s">
        <v>6961</v>
      </c>
      <c r="E40">
        <v>136.79</v>
      </c>
      <c r="F40" t="s">
        <v>6961</v>
      </c>
      <c r="G40" s="220">
        <f t="shared" si="2"/>
        <v>136.79</v>
      </c>
      <c r="H40" s="220">
        <f t="shared" si="3"/>
        <v>136.79</v>
      </c>
      <c r="I40" s="221">
        <f>IF(A40="Total",VLOOKUP(B40,CORRESPONDANCE[#All],2,FALSE),I41)</f>
        <v>10</v>
      </c>
      <c r="J40" s="222" t="str">
        <f t="shared" si="0"/>
        <v>6</v>
      </c>
      <c r="K40" s="44" t="str">
        <f t="shared" si="1"/>
        <v>GLR5 - 621402</v>
      </c>
      <c r="L40" s="44" t="str">
        <f>+VLOOKUP(K40,TL[],4,FALSE)</f>
        <v>11</v>
      </c>
    </row>
    <row r="41" spans="1:12" x14ac:dyDescent="0.2">
      <c r="A41" t="s">
        <v>2530</v>
      </c>
      <c r="B41" t="s">
        <v>2184</v>
      </c>
      <c r="C41">
        <v>17859.07</v>
      </c>
      <c r="D41" t="s">
        <v>6961</v>
      </c>
      <c r="E41">
        <v>17859.07</v>
      </c>
      <c r="F41" t="s">
        <v>6961</v>
      </c>
      <c r="G41" s="220">
        <f t="shared" si="2"/>
        <v>17859.07</v>
      </c>
      <c r="H41" s="220">
        <f t="shared" si="3"/>
        <v>17859.07</v>
      </c>
      <c r="I41" s="221">
        <f>IF(A41="Total",VLOOKUP(B41,CORRESPONDANCE[#All],2,FALSE),I42)</f>
        <v>10</v>
      </c>
      <c r="J41" s="222" t="str">
        <f t="shared" si="0"/>
        <v>6</v>
      </c>
      <c r="K41" s="44" t="str">
        <f t="shared" si="1"/>
        <v>GLR5 - 641020</v>
      </c>
      <c r="L41" s="44" t="str">
        <f>+VLOOKUP(K41,TL[],4,FALSE)</f>
        <v>11</v>
      </c>
    </row>
    <row r="42" spans="1:12" x14ac:dyDescent="0.2">
      <c r="A42" t="s">
        <v>2531</v>
      </c>
      <c r="B42" t="s">
        <v>2187</v>
      </c>
      <c r="C42">
        <v>341.82</v>
      </c>
      <c r="D42" t="s">
        <v>6961</v>
      </c>
      <c r="E42">
        <v>341.82</v>
      </c>
      <c r="F42" t="s">
        <v>6961</v>
      </c>
      <c r="G42" s="220">
        <f t="shared" si="2"/>
        <v>341.82</v>
      </c>
      <c r="H42" s="220">
        <f t="shared" si="3"/>
        <v>341.82</v>
      </c>
      <c r="I42" s="221">
        <f>IF(A42="Total",VLOOKUP(B42,CORRESPONDANCE[#All],2,FALSE),I43)</f>
        <v>10</v>
      </c>
      <c r="J42" s="222" t="str">
        <f t="shared" si="0"/>
        <v>6</v>
      </c>
      <c r="K42" s="44" t="str">
        <f t="shared" si="1"/>
        <v>GLR5 - 641064</v>
      </c>
      <c r="L42" s="44" t="str">
        <f>+VLOOKUP(K42,TL[],4,FALSE)</f>
        <v>11</v>
      </c>
    </row>
    <row r="43" spans="1:12" x14ac:dyDescent="0.2">
      <c r="A43" t="s">
        <v>1783</v>
      </c>
      <c r="B43" t="s">
        <v>2260</v>
      </c>
      <c r="C43">
        <v>2240.85</v>
      </c>
      <c r="D43" t="s">
        <v>6961</v>
      </c>
      <c r="E43">
        <v>2240.85</v>
      </c>
      <c r="F43" t="s">
        <v>6961</v>
      </c>
      <c r="G43" s="220">
        <f t="shared" si="2"/>
        <v>2240.85</v>
      </c>
      <c r="H43" s="220">
        <f t="shared" si="3"/>
        <v>2240.85</v>
      </c>
      <c r="I43" s="221">
        <f>IF(A43="Total",VLOOKUP(B43,CORRESPONDANCE[#All],2,FALSE),I44)</f>
        <v>10</v>
      </c>
      <c r="J43" s="222" t="str">
        <f t="shared" si="0"/>
        <v>6</v>
      </c>
      <c r="K43" s="44" t="str">
        <f t="shared" si="1"/>
        <v>GLR5 - 641220</v>
      </c>
      <c r="L43" s="44" t="str">
        <f>+VLOOKUP(K43,TL[],4,FALSE)</f>
        <v>11</v>
      </c>
    </row>
    <row r="44" spans="1:12" x14ac:dyDescent="0.2">
      <c r="A44" t="s">
        <v>1751</v>
      </c>
      <c r="B44" t="s">
        <v>2196</v>
      </c>
      <c r="C44">
        <v>153.31</v>
      </c>
      <c r="D44" t="s">
        <v>6961</v>
      </c>
      <c r="E44">
        <v>153.31</v>
      </c>
      <c r="F44" t="s">
        <v>6961</v>
      </c>
      <c r="G44" s="220">
        <f t="shared" si="2"/>
        <v>153.31</v>
      </c>
      <c r="H44" s="220">
        <f t="shared" si="3"/>
        <v>153.31</v>
      </c>
      <c r="I44" s="221">
        <f>IF(A44="Total",VLOOKUP(B44,CORRESPONDANCE[#All],2,FALSE),I45)</f>
        <v>10</v>
      </c>
      <c r="J44" s="222" t="str">
        <f t="shared" si="0"/>
        <v>6</v>
      </c>
      <c r="K44" s="44" t="str">
        <f t="shared" si="1"/>
        <v>GLR5 - 641411</v>
      </c>
      <c r="L44" s="44" t="str">
        <f>+VLOOKUP(K44,TL[],4,FALSE)</f>
        <v>11</v>
      </c>
    </row>
    <row r="45" spans="1:12" x14ac:dyDescent="0.2">
      <c r="A45" t="s">
        <v>3354</v>
      </c>
      <c r="B45" t="s">
        <v>2271</v>
      </c>
      <c r="C45" t="s">
        <v>6961</v>
      </c>
      <c r="D45">
        <v>38.67</v>
      </c>
      <c r="E45" t="s">
        <v>6961</v>
      </c>
      <c r="F45">
        <v>38.67</v>
      </c>
      <c r="G45" s="220">
        <f t="shared" si="2"/>
        <v>-38.67</v>
      </c>
      <c r="H45" s="220">
        <f t="shared" si="3"/>
        <v>-38.67</v>
      </c>
      <c r="I45" s="221">
        <f>IF(A45="Total",VLOOKUP(B45,CORRESPONDANCE[#All],2,FALSE),I46)</f>
        <v>10</v>
      </c>
      <c r="J45" s="222" t="str">
        <f t="shared" si="0"/>
        <v>7</v>
      </c>
      <c r="K45" s="44" t="str">
        <f t="shared" si="1"/>
        <v>GLR5 - 708840</v>
      </c>
      <c r="L45" s="44" t="str">
        <f>+VLOOKUP(K45,TL[],4,FALSE)</f>
        <v>11</v>
      </c>
    </row>
    <row r="46" spans="1:12" x14ac:dyDescent="0.2">
      <c r="A46" t="s">
        <v>1748</v>
      </c>
      <c r="B46" t="s">
        <v>1066</v>
      </c>
      <c r="C46" t="s">
        <v>6961</v>
      </c>
      <c r="D46">
        <v>341.82</v>
      </c>
      <c r="E46" t="s">
        <v>6961</v>
      </c>
      <c r="F46">
        <v>341.82</v>
      </c>
      <c r="G46" s="220">
        <f t="shared" si="2"/>
        <v>-341.82</v>
      </c>
      <c r="H46" s="220">
        <f t="shared" si="3"/>
        <v>-341.82</v>
      </c>
      <c r="I46" s="221">
        <f>IF(A46="Total",VLOOKUP(B46,CORRESPONDANCE[#All],2,FALSE),I47)</f>
        <v>10</v>
      </c>
      <c r="J46" s="222" t="str">
        <f t="shared" si="0"/>
        <v>7</v>
      </c>
      <c r="K46" s="44" t="str">
        <f t="shared" si="1"/>
        <v>GLR5 - 726110</v>
      </c>
      <c r="L46" s="44" t="str">
        <f>+VLOOKUP(K46,TL[],4,FALSE)</f>
        <v>11</v>
      </c>
    </row>
    <row r="47" spans="1:12" x14ac:dyDescent="0.2">
      <c r="A47" t="s">
        <v>1712</v>
      </c>
      <c r="B47" t="s">
        <v>6048</v>
      </c>
      <c r="C47" t="s">
        <v>6961</v>
      </c>
      <c r="D47">
        <v>500</v>
      </c>
      <c r="E47" t="s">
        <v>6961</v>
      </c>
      <c r="F47">
        <v>500</v>
      </c>
      <c r="G47" s="220">
        <f t="shared" si="2"/>
        <v>-500</v>
      </c>
      <c r="H47" s="220">
        <f t="shared" si="3"/>
        <v>-500</v>
      </c>
      <c r="I47" s="221">
        <f>IF(A47="Total",VLOOKUP(B47,CORRESPONDANCE[#All],2,FALSE),I48)</f>
        <v>10</v>
      </c>
      <c r="J47" s="222" t="str">
        <f t="shared" si="0"/>
        <v>7</v>
      </c>
      <c r="K47" s="44" t="str">
        <f t="shared" si="1"/>
        <v>GLR5 - 740100</v>
      </c>
      <c r="L47" s="44" t="str">
        <f>+VLOOKUP(K47,TL[],4,FALSE)</f>
        <v>10</v>
      </c>
    </row>
    <row r="48" spans="1:12" x14ac:dyDescent="0.2">
      <c r="A48" t="s">
        <v>197</v>
      </c>
      <c r="B48" t="s">
        <v>2532</v>
      </c>
      <c r="C48">
        <v>19851.349999999999</v>
      </c>
      <c r="D48" t="s">
        <v>6961</v>
      </c>
      <c r="E48">
        <v>19851.349999999999</v>
      </c>
      <c r="F48" t="s">
        <v>6961</v>
      </c>
      <c r="G48" s="220">
        <f t="shared" si="2"/>
        <v>19851.349999999999</v>
      </c>
      <c r="H48" s="220">
        <f t="shared" si="3"/>
        <v>19851.349999999999</v>
      </c>
      <c r="I48" s="221">
        <f>IF(A48="Total",VLOOKUP(B48,CORRESPONDANCE[#All],2,FALSE),I49)</f>
        <v>10</v>
      </c>
      <c r="J48" s="222" t="str">
        <f t="shared" si="0"/>
        <v>T</v>
      </c>
      <c r="K48" s="44" t="str">
        <f t="shared" si="1"/>
        <v>GLR5 - Total</v>
      </c>
      <c r="L48" s="44" t="e">
        <f>+VLOOKUP(K48,TL[],4,FALSE)</f>
        <v>#N/A</v>
      </c>
    </row>
    <row r="49" spans="1:12" x14ac:dyDescent="0.2">
      <c r="A49" t="s">
        <v>1948</v>
      </c>
      <c r="B49" t="s">
        <v>7025</v>
      </c>
      <c r="C49">
        <v>37.5</v>
      </c>
      <c r="D49" t="s">
        <v>6961</v>
      </c>
      <c r="E49">
        <v>37.5</v>
      </c>
      <c r="F49" t="s">
        <v>6961</v>
      </c>
      <c r="G49" s="220">
        <f t="shared" si="2"/>
        <v>37.5</v>
      </c>
      <c r="H49" s="220">
        <f t="shared" si="3"/>
        <v>37.5</v>
      </c>
      <c r="I49" s="221">
        <f>IF(A49="Total",VLOOKUP(B49,CORRESPONDANCE[#All],2,FALSE),I50)</f>
        <v>11</v>
      </c>
      <c r="J49" s="222" t="str">
        <f t="shared" si="0"/>
        <v>6</v>
      </c>
      <c r="K49" s="44" t="str">
        <f t="shared" si="1"/>
        <v>GLR5 - 621406</v>
      </c>
      <c r="L49" s="44" t="str">
        <f>+VLOOKUP(K49,TL[],4,FALSE)</f>
        <v>12</v>
      </c>
    </row>
    <row r="50" spans="1:12" x14ac:dyDescent="0.2">
      <c r="A50" t="s">
        <v>2534</v>
      </c>
      <c r="B50" t="s">
        <v>2197</v>
      </c>
      <c r="C50">
        <v>2833.69</v>
      </c>
      <c r="D50" t="s">
        <v>6961</v>
      </c>
      <c r="E50">
        <v>2833.69</v>
      </c>
      <c r="F50" t="s">
        <v>6961</v>
      </c>
      <c r="G50" s="220">
        <f t="shared" si="2"/>
        <v>2833.69</v>
      </c>
      <c r="H50" s="220">
        <f t="shared" si="3"/>
        <v>2833.69</v>
      </c>
      <c r="I50" s="221">
        <f>IF(A50="Total",VLOOKUP(B50,CORRESPONDANCE[#All],2,FALSE),I51)</f>
        <v>11</v>
      </c>
      <c r="J50" s="222" t="str">
        <f t="shared" si="0"/>
        <v>6</v>
      </c>
      <c r="K50" s="44" t="str">
        <f t="shared" si="1"/>
        <v>GLR5 - 645120</v>
      </c>
      <c r="L50" s="44" t="str">
        <f>+VLOOKUP(K50,TL[],4,FALSE)</f>
        <v>12</v>
      </c>
    </row>
    <row r="51" spans="1:12" x14ac:dyDescent="0.2">
      <c r="A51" t="s">
        <v>2535</v>
      </c>
      <c r="B51" t="s">
        <v>2191</v>
      </c>
      <c r="C51">
        <v>894.95</v>
      </c>
      <c r="D51" t="s">
        <v>6961</v>
      </c>
      <c r="E51">
        <v>894.95</v>
      </c>
      <c r="F51" t="s">
        <v>6961</v>
      </c>
      <c r="G51" s="220">
        <f t="shared" si="2"/>
        <v>894.95</v>
      </c>
      <c r="H51" s="220">
        <f t="shared" si="3"/>
        <v>894.95</v>
      </c>
      <c r="I51" s="221">
        <f>IF(A51="Total",VLOOKUP(B51,CORRESPONDANCE[#All],2,FALSE),I52)</f>
        <v>11</v>
      </c>
      <c r="J51" s="222" t="str">
        <f t="shared" si="0"/>
        <v>6</v>
      </c>
      <c r="K51" s="44" t="str">
        <f t="shared" si="1"/>
        <v>GLR5 - 645320</v>
      </c>
      <c r="L51" s="44" t="str">
        <f>+VLOOKUP(K51,TL[],4,FALSE)</f>
        <v>12</v>
      </c>
    </row>
    <row r="52" spans="1:12" x14ac:dyDescent="0.2">
      <c r="A52" t="s">
        <v>2536</v>
      </c>
      <c r="B52" t="s">
        <v>2183</v>
      </c>
      <c r="C52">
        <v>576.22</v>
      </c>
      <c r="D52" t="s">
        <v>6961</v>
      </c>
      <c r="E52">
        <v>576.22</v>
      </c>
      <c r="F52" t="s">
        <v>6961</v>
      </c>
      <c r="G52" s="220">
        <f t="shared" si="2"/>
        <v>576.22</v>
      </c>
      <c r="H52" s="220">
        <f t="shared" si="3"/>
        <v>576.22</v>
      </c>
      <c r="I52" s="221">
        <f>IF(A52="Total",VLOOKUP(B52,CORRESPONDANCE[#All],2,FALSE),I53)</f>
        <v>11</v>
      </c>
      <c r="J52" s="222" t="str">
        <f t="shared" si="0"/>
        <v>6</v>
      </c>
      <c r="K52" s="44" t="str">
        <f t="shared" si="1"/>
        <v>GLR5 - 645420</v>
      </c>
      <c r="L52" s="44" t="str">
        <f>+VLOOKUP(K52,TL[],4,FALSE)</f>
        <v>12</v>
      </c>
    </row>
    <row r="53" spans="1:12" x14ac:dyDescent="0.2">
      <c r="A53" t="s">
        <v>2537</v>
      </c>
      <c r="B53" t="s">
        <v>2192</v>
      </c>
      <c r="C53">
        <v>84.78</v>
      </c>
      <c r="D53" t="s">
        <v>6961</v>
      </c>
      <c r="E53">
        <v>84.78</v>
      </c>
      <c r="F53" t="s">
        <v>6961</v>
      </c>
      <c r="G53" s="220">
        <f t="shared" si="2"/>
        <v>84.78</v>
      </c>
      <c r="H53" s="220">
        <f t="shared" si="3"/>
        <v>84.78</v>
      </c>
      <c r="I53" s="221">
        <f>IF(A53="Total",VLOOKUP(B53,CORRESPONDANCE[#All],2,FALSE),I54)</f>
        <v>11</v>
      </c>
      <c r="J53" s="222" t="str">
        <f t="shared" si="0"/>
        <v>6</v>
      </c>
      <c r="K53" s="44" t="str">
        <f t="shared" si="1"/>
        <v>GLR5 - 645520</v>
      </c>
      <c r="L53" s="44" t="str">
        <f>+VLOOKUP(K53,TL[],4,FALSE)</f>
        <v>12</v>
      </c>
    </row>
    <row r="54" spans="1:12" x14ac:dyDescent="0.2">
      <c r="A54" t="s">
        <v>2008</v>
      </c>
      <c r="B54" t="s">
        <v>2261</v>
      </c>
      <c r="C54">
        <v>578.63</v>
      </c>
      <c r="D54" t="s">
        <v>6961</v>
      </c>
      <c r="E54">
        <v>578.63</v>
      </c>
      <c r="F54" t="s">
        <v>6961</v>
      </c>
      <c r="G54" s="220">
        <f t="shared" si="2"/>
        <v>578.63</v>
      </c>
      <c r="H54" s="220">
        <f t="shared" si="3"/>
        <v>578.63</v>
      </c>
      <c r="I54" s="221">
        <f>IF(A54="Total",VLOOKUP(B54,CORRESPONDANCE[#All],2,FALSE),I55)</f>
        <v>11</v>
      </c>
      <c r="J54" s="222" t="str">
        <f t="shared" si="0"/>
        <v>6</v>
      </c>
      <c r="K54" s="44" t="str">
        <f t="shared" si="1"/>
        <v>GLR5 - 645820</v>
      </c>
      <c r="L54" s="44" t="str">
        <f>+VLOOKUP(K54,TL[],4,FALSE)</f>
        <v>12</v>
      </c>
    </row>
    <row r="55" spans="1:12" x14ac:dyDescent="0.2">
      <c r="A55" t="s">
        <v>2538</v>
      </c>
      <c r="B55" t="s">
        <v>2186</v>
      </c>
      <c r="C55">
        <v>95.27</v>
      </c>
      <c r="D55" t="s">
        <v>6961</v>
      </c>
      <c r="E55">
        <v>95.27</v>
      </c>
      <c r="F55" t="s">
        <v>6961</v>
      </c>
      <c r="G55" s="220">
        <f t="shared" si="2"/>
        <v>95.27</v>
      </c>
      <c r="H55" s="220">
        <f t="shared" si="3"/>
        <v>95.27</v>
      </c>
      <c r="I55" s="221">
        <f>IF(A55="Total",VLOOKUP(B55,CORRESPONDANCE[#All],2,FALSE),I56)</f>
        <v>11</v>
      </c>
      <c r="J55" s="222" t="str">
        <f t="shared" si="0"/>
        <v>6</v>
      </c>
      <c r="K55" s="44" t="str">
        <f t="shared" si="1"/>
        <v>GLR5 - 645920</v>
      </c>
      <c r="L55" s="44" t="str">
        <f>+VLOOKUP(K55,TL[],4,FALSE)</f>
        <v>12</v>
      </c>
    </row>
    <row r="56" spans="1:12" x14ac:dyDescent="0.2">
      <c r="A56" t="s">
        <v>3352</v>
      </c>
      <c r="B56" t="s">
        <v>2270</v>
      </c>
      <c r="C56" t="s">
        <v>6961</v>
      </c>
      <c r="D56">
        <v>10.99</v>
      </c>
      <c r="E56" t="s">
        <v>6961</v>
      </c>
      <c r="F56">
        <v>10.99</v>
      </c>
      <c r="G56" s="220">
        <f t="shared" si="2"/>
        <v>-10.99</v>
      </c>
      <c r="H56" s="220">
        <f t="shared" si="3"/>
        <v>-10.99</v>
      </c>
      <c r="I56" s="221">
        <f>IF(A56="Total",VLOOKUP(B56,CORRESPONDANCE[#All],2,FALSE),I57)</f>
        <v>11</v>
      </c>
      <c r="J56" s="222" t="str">
        <f t="shared" si="0"/>
        <v>7</v>
      </c>
      <c r="K56" s="44" t="str">
        <f t="shared" si="1"/>
        <v>GLR5 - 708830</v>
      </c>
      <c r="L56" s="44" t="str">
        <f>+VLOOKUP(K56,TL[],4,FALSE)</f>
        <v>12</v>
      </c>
    </row>
    <row r="57" spans="1:12" x14ac:dyDescent="0.2">
      <c r="A57" t="s">
        <v>197</v>
      </c>
      <c r="B57" t="s">
        <v>2539</v>
      </c>
      <c r="C57">
        <v>5090.05</v>
      </c>
      <c r="D57" t="s">
        <v>6961</v>
      </c>
      <c r="E57">
        <v>5090.05</v>
      </c>
      <c r="F57" t="s">
        <v>6961</v>
      </c>
      <c r="G57" s="220">
        <f t="shared" si="2"/>
        <v>5090.05</v>
      </c>
      <c r="H57" s="220">
        <f t="shared" si="3"/>
        <v>5090.05</v>
      </c>
      <c r="I57" s="221">
        <f>IF(A57="Total",VLOOKUP(B57,CORRESPONDANCE[#All],2,FALSE),I58)</f>
        <v>11</v>
      </c>
      <c r="J57" s="222" t="str">
        <f t="shared" si="0"/>
        <v>T</v>
      </c>
      <c r="K57" s="44" t="str">
        <f t="shared" si="1"/>
        <v>GLR5 - Total</v>
      </c>
      <c r="L57" s="44" t="e">
        <f>+VLOOKUP(K57,TL[],4,FALSE)</f>
        <v>#N/A</v>
      </c>
    </row>
    <row r="58" spans="1:12" x14ac:dyDescent="0.2">
      <c r="A58" t="s">
        <v>2542</v>
      </c>
      <c r="B58" t="s">
        <v>2543</v>
      </c>
      <c r="C58">
        <v>10700</v>
      </c>
      <c r="D58" t="s">
        <v>6961</v>
      </c>
      <c r="E58">
        <v>10700</v>
      </c>
      <c r="F58" t="s">
        <v>6961</v>
      </c>
      <c r="G58" s="220">
        <f t="shared" si="2"/>
        <v>10700</v>
      </c>
      <c r="H58" s="220">
        <f t="shared" si="3"/>
        <v>10700</v>
      </c>
      <c r="I58" s="221">
        <f>IF(A58="Total",VLOOKUP(B58,CORRESPONDANCE[#All],2,FALSE),I59)</f>
        <v>15</v>
      </c>
      <c r="J58" s="222" t="str">
        <f t="shared" si="0"/>
        <v>6</v>
      </c>
      <c r="K58" s="44" t="str">
        <f t="shared" si="1"/>
        <v>GLR5 - 611013</v>
      </c>
      <c r="L58" s="44" t="str">
        <f>+VLOOKUP(K58,TL[],4,FALSE)</f>
        <v>16</v>
      </c>
    </row>
    <row r="59" spans="1:12" x14ac:dyDescent="0.2">
      <c r="A59" t="s">
        <v>197</v>
      </c>
      <c r="B59" t="s">
        <v>2544</v>
      </c>
      <c r="C59">
        <v>10700</v>
      </c>
      <c r="D59" t="s">
        <v>6961</v>
      </c>
      <c r="E59">
        <v>10700</v>
      </c>
      <c r="F59" t="s">
        <v>6961</v>
      </c>
      <c r="G59" s="220">
        <f t="shared" si="2"/>
        <v>10700</v>
      </c>
      <c r="H59" s="220">
        <f t="shared" si="3"/>
        <v>10700</v>
      </c>
      <c r="I59" s="221">
        <f>IF(A59="Total",VLOOKUP(B59,CORRESPONDANCE[#All],2,FALSE),I60)</f>
        <v>15</v>
      </c>
      <c r="J59" s="222" t="str">
        <f t="shared" si="0"/>
        <v>T</v>
      </c>
      <c r="K59" s="44" t="str">
        <f t="shared" si="1"/>
        <v>GLR5 - Total</v>
      </c>
      <c r="L59" s="44" t="e">
        <f>+VLOOKUP(K59,TL[],4,FALSE)</f>
        <v>#N/A</v>
      </c>
    </row>
    <row r="60" spans="1:12" x14ac:dyDescent="0.2">
      <c r="A60" t="s">
        <v>1939</v>
      </c>
      <c r="B60" t="s">
        <v>2232</v>
      </c>
      <c r="C60">
        <v>46.67</v>
      </c>
      <c r="D60" t="s">
        <v>6961</v>
      </c>
      <c r="E60">
        <v>46.67</v>
      </c>
      <c r="F60" t="s">
        <v>6961</v>
      </c>
      <c r="G60" s="220">
        <f t="shared" si="2"/>
        <v>46.67</v>
      </c>
      <c r="H60" s="220">
        <f t="shared" si="3"/>
        <v>46.67</v>
      </c>
      <c r="I60" s="221">
        <f>IF(A60="Total",VLOOKUP(B60,CORRESPONDANCE[#All],2,FALSE),I61)</f>
        <v>16</v>
      </c>
      <c r="J60" s="222" t="str">
        <f t="shared" si="0"/>
        <v>6</v>
      </c>
      <c r="K60" s="44" t="str">
        <f t="shared" si="1"/>
        <v>GLR5 - 615629</v>
      </c>
      <c r="L60" s="44" t="str">
        <f>+VLOOKUP(K60,TL[],4,FALSE)</f>
        <v>16</v>
      </c>
    </row>
    <row r="61" spans="1:12" x14ac:dyDescent="0.2">
      <c r="A61" t="s">
        <v>1771</v>
      </c>
      <c r="B61" t="s">
        <v>2234</v>
      </c>
      <c r="C61">
        <v>37.93</v>
      </c>
      <c r="D61" t="s">
        <v>6961</v>
      </c>
      <c r="E61">
        <v>37.93</v>
      </c>
      <c r="F61" t="s">
        <v>6961</v>
      </c>
      <c r="G61" s="220">
        <f t="shared" si="2"/>
        <v>37.93</v>
      </c>
      <c r="H61" s="220">
        <f t="shared" si="3"/>
        <v>37.93</v>
      </c>
      <c r="I61" s="221">
        <f>IF(A61="Total",VLOOKUP(B61,CORRESPONDANCE[#All],2,FALSE),I62)</f>
        <v>16</v>
      </c>
      <c r="J61" s="222" t="str">
        <f t="shared" si="0"/>
        <v>6</v>
      </c>
      <c r="K61" s="44" t="str">
        <f t="shared" si="1"/>
        <v>GLR5 - 615633</v>
      </c>
      <c r="L61" s="44" t="str">
        <f>+VLOOKUP(K61,TL[],4,FALSE)</f>
        <v>16</v>
      </c>
    </row>
    <row r="62" spans="1:12" x14ac:dyDescent="0.2">
      <c r="A62" t="s">
        <v>197</v>
      </c>
      <c r="B62" t="s">
        <v>2545</v>
      </c>
      <c r="C62">
        <v>84.6</v>
      </c>
      <c r="D62" t="s">
        <v>6961</v>
      </c>
      <c r="E62">
        <v>84.6</v>
      </c>
      <c r="F62" t="s">
        <v>6961</v>
      </c>
      <c r="G62" s="220">
        <f t="shared" si="2"/>
        <v>84.6</v>
      </c>
      <c r="H62" s="220">
        <f t="shared" si="3"/>
        <v>84.6</v>
      </c>
      <c r="I62" s="221">
        <f>IF(A62="Total",VLOOKUP(B62,CORRESPONDANCE[#All],2,FALSE),I63)</f>
        <v>16</v>
      </c>
      <c r="J62" s="222" t="str">
        <f t="shared" si="0"/>
        <v>T</v>
      </c>
      <c r="K62" s="44" t="str">
        <f t="shared" si="1"/>
        <v>GLR5 - Total</v>
      </c>
      <c r="L62" s="44" t="e">
        <f>+VLOOKUP(K62,TL[],4,FALSE)</f>
        <v>#N/A</v>
      </c>
    </row>
    <row r="63" spans="1:12" x14ac:dyDescent="0.2">
      <c r="A63" t="s">
        <v>1711</v>
      </c>
      <c r="B63" t="s">
        <v>2251</v>
      </c>
      <c r="C63">
        <v>668.32</v>
      </c>
      <c r="D63" t="s">
        <v>6961</v>
      </c>
      <c r="E63">
        <v>668.32</v>
      </c>
      <c r="F63" t="s">
        <v>6961</v>
      </c>
      <c r="G63" s="220">
        <f t="shared" si="2"/>
        <v>668.32</v>
      </c>
      <c r="H63" s="220">
        <f t="shared" si="3"/>
        <v>668.32</v>
      </c>
      <c r="I63" s="221">
        <f>IF(A63="Total",VLOOKUP(B63,CORRESPONDANCE[#All],2,FALSE),I64)</f>
        <v>17</v>
      </c>
      <c r="J63" s="222" t="str">
        <f t="shared" si="0"/>
        <v>6</v>
      </c>
      <c r="K63" s="44" t="str">
        <f t="shared" si="1"/>
        <v>GLR5 - 627801</v>
      </c>
      <c r="L63" s="44" t="str">
        <f>+VLOOKUP(K63,TL[],4,FALSE)</f>
        <v>37</v>
      </c>
    </row>
    <row r="64" spans="1:12" x14ac:dyDescent="0.2">
      <c r="A64" t="s">
        <v>1600</v>
      </c>
      <c r="B64" t="s">
        <v>238</v>
      </c>
      <c r="C64">
        <v>1580.19</v>
      </c>
      <c r="D64" t="s">
        <v>6961</v>
      </c>
      <c r="E64">
        <v>1580.19</v>
      </c>
      <c r="F64" t="s">
        <v>6961</v>
      </c>
      <c r="G64" s="220">
        <f t="shared" si="2"/>
        <v>1580.19</v>
      </c>
      <c r="H64" s="220">
        <f t="shared" si="3"/>
        <v>1580.19</v>
      </c>
      <c r="I64" s="221">
        <f>IF(A64="Total",VLOOKUP(B64,CORRESPONDANCE[#All],2,FALSE),I65)</f>
        <v>17</v>
      </c>
      <c r="J64" s="222" t="str">
        <f t="shared" si="0"/>
        <v>6</v>
      </c>
      <c r="K64" s="44" t="str">
        <f t="shared" si="1"/>
        <v>GLR5 - 627802</v>
      </c>
      <c r="L64" s="44" t="str">
        <f>+VLOOKUP(K64,TL[],4,FALSE)</f>
        <v>37</v>
      </c>
    </row>
    <row r="65" spans="1:12" x14ac:dyDescent="0.2">
      <c r="A65" t="s">
        <v>1716</v>
      </c>
      <c r="B65" t="s">
        <v>263</v>
      </c>
      <c r="C65">
        <v>2039.99</v>
      </c>
      <c r="D65" t="s">
        <v>6961</v>
      </c>
      <c r="E65">
        <v>2039.99</v>
      </c>
      <c r="F65" t="s">
        <v>6961</v>
      </c>
      <c r="G65" s="220">
        <f t="shared" si="2"/>
        <v>2039.99</v>
      </c>
      <c r="H65" s="220">
        <f t="shared" si="3"/>
        <v>2039.99</v>
      </c>
      <c r="I65" s="221">
        <f>IF(A65="Total",VLOOKUP(B65,CORRESPONDANCE[#All],2,FALSE),I66)</f>
        <v>17</v>
      </c>
      <c r="J65" s="222" t="str">
        <f t="shared" si="0"/>
        <v>6</v>
      </c>
      <c r="K65" s="44" t="str">
        <f t="shared" si="1"/>
        <v>GLR5 - 627803</v>
      </c>
      <c r="L65" s="44" t="str">
        <f>+VLOOKUP(K65,TL[],4,FALSE)</f>
        <v>37</v>
      </c>
    </row>
    <row r="66" spans="1:12" x14ac:dyDescent="0.2">
      <c r="A66" t="s">
        <v>1714</v>
      </c>
      <c r="B66" t="s">
        <v>244</v>
      </c>
      <c r="C66">
        <v>317.70999999999998</v>
      </c>
      <c r="D66" t="s">
        <v>6961</v>
      </c>
      <c r="E66">
        <v>317.70999999999998</v>
      </c>
      <c r="F66" t="s">
        <v>6961</v>
      </c>
      <c r="G66" s="220">
        <f t="shared" si="2"/>
        <v>317.70999999999998</v>
      </c>
      <c r="H66" s="220">
        <f t="shared" si="3"/>
        <v>317.70999999999998</v>
      </c>
      <c r="I66" s="221">
        <f>IF(A66="Total",VLOOKUP(B66,CORRESPONDANCE[#All],2,FALSE),I67)</f>
        <v>17</v>
      </c>
      <c r="J66" s="222" t="str">
        <f t="shared" ref="J66:J129" si="4">LEFT(A66,1)</f>
        <v>6</v>
      </c>
      <c r="K66" s="44" t="str">
        <f t="shared" ref="K66:K129" si="5">"GLR5"&amp;" - "&amp;A66</f>
        <v>GLR5 - 627805</v>
      </c>
      <c r="L66" s="44" t="str">
        <f>+VLOOKUP(K66,TL[],4,FALSE)</f>
        <v>37</v>
      </c>
    </row>
    <row r="67" spans="1:12" x14ac:dyDescent="0.2">
      <c r="A67" t="s">
        <v>197</v>
      </c>
      <c r="B67" t="s">
        <v>2546</v>
      </c>
      <c r="C67">
        <v>4606.21</v>
      </c>
      <c r="D67" t="s">
        <v>6961</v>
      </c>
      <c r="E67">
        <v>4606.21</v>
      </c>
      <c r="F67" t="s">
        <v>6961</v>
      </c>
      <c r="G67" s="220">
        <f t="shared" si="2"/>
        <v>4606.21</v>
      </c>
      <c r="H67" s="220">
        <f t="shared" si="3"/>
        <v>4606.21</v>
      </c>
      <c r="I67" s="221">
        <f>IF(A67="Total",VLOOKUP(B67,CORRESPONDANCE[#All],2,FALSE),I68)</f>
        <v>17</v>
      </c>
      <c r="J67" s="222" t="str">
        <f t="shared" si="4"/>
        <v>T</v>
      </c>
      <c r="K67" s="44" t="str">
        <f t="shared" si="5"/>
        <v>GLR5 - Total</v>
      </c>
      <c r="L67" s="44" t="e">
        <f>+VLOOKUP(K67,TL[],4,FALSE)</f>
        <v>#N/A</v>
      </c>
    </row>
    <row r="68" spans="1:12" x14ac:dyDescent="0.2">
      <c r="A68" t="s">
        <v>1586</v>
      </c>
      <c r="B68" t="s">
        <v>1153</v>
      </c>
      <c r="C68">
        <v>4951.13</v>
      </c>
      <c r="D68" t="s">
        <v>6961</v>
      </c>
      <c r="E68">
        <v>4951.13</v>
      </c>
      <c r="F68" t="s">
        <v>6961</v>
      </c>
      <c r="G68" s="220">
        <f t="shared" si="2"/>
        <v>4951.13</v>
      </c>
      <c r="H68" s="220">
        <f t="shared" si="3"/>
        <v>4951.13</v>
      </c>
      <c r="I68" s="221">
        <f>IF(A68="Total",VLOOKUP(B68,CORRESPONDANCE[#All],2,FALSE),I69)</f>
        <v>18</v>
      </c>
      <c r="J68" s="222" t="str">
        <f t="shared" si="4"/>
        <v>6</v>
      </c>
      <c r="K68" s="44" t="str">
        <f t="shared" si="5"/>
        <v>GLR5 - 606300</v>
      </c>
      <c r="L68" s="44" t="str">
        <f>+VLOOKUP(K68,TL[],4,FALSE)</f>
        <v>19</v>
      </c>
    </row>
    <row r="69" spans="1:12" x14ac:dyDescent="0.2">
      <c r="A69" t="s">
        <v>1589</v>
      </c>
      <c r="B69" t="s">
        <v>212</v>
      </c>
      <c r="C69">
        <v>1833.72</v>
      </c>
      <c r="D69" t="s">
        <v>6961</v>
      </c>
      <c r="E69">
        <v>1833.72</v>
      </c>
      <c r="F69" t="s">
        <v>6961</v>
      </c>
      <c r="G69" s="220">
        <f t="shared" ref="G69:G132" si="6">SUM(C69)-SUM(D69)</f>
        <v>1833.72</v>
      </c>
      <c r="H69" s="220">
        <f t="shared" ref="H69:H132" si="7">SUM(E69)-SUM(F69)</f>
        <v>1833.72</v>
      </c>
      <c r="I69" s="221">
        <f>IF(A69="Total",VLOOKUP(B69,CORRESPONDANCE[#All],2,FALSE),I70)</f>
        <v>18</v>
      </c>
      <c r="J69" s="222" t="str">
        <f t="shared" si="4"/>
        <v>6</v>
      </c>
      <c r="K69" s="44" t="str">
        <f t="shared" si="5"/>
        <v>GLR5 - 615500</v>
      </c>
      <c r="L69" s="44" t="str">
        <f>+VLOOKUP(K69,TL[],4,FALSE)</f>
        <v>19</v>
      </c>
    </row>
    <row r="70" spans="1:12" x14ac:dyDescent="0.2">
      <c r="A70" t="s">
        <v>2577</v>
      </c>
      <c r="B70" t="s">
        <v>2272</v>
      </c>
      <c r="C70" t="s">
        <v>6961</v>
      </c>
      <c r="D70">
        <v>3164.42</v>
      </c>
      <c r="E70" t="s">
        <v>6961</v>
      </c>
      <c r="F70">
        <v>3164.42</v>
      </c>
      <c r="G70" s="220">
        <f t="shared" si="6"/>
        <v>-3164.42</v>
      </c>
      <c r="H70" s="220">
        <f t="shared" si="7"/>
        <v>-3164.42</v>
      </c>
      <c r="I70" s="221">
        <f>IF(A70="Total",VLOOKUP(B70,CORRESPONDANCE[#All],2,FALSE),I71)</f>
        <v>18</v>
      </c>
      <c r="J70" s="222" t="str">
        <f t="shared" si="4"/>
        <v>7</v>
      </c>
      <c r="K70" s="44" t="str">
        <f t="shared" si="5"/>
        <v>GLR5 - 708856</v>
      </c>
      <c r="L70" s="44" t="str">
        <f>+VLOOKUP(K70,TL[],4,FALSE)</f>
        <v>19</v>
      </c>
    </row>
    <row r="71" spans="1:12" x14ac:dyDescent="0.2">
      <c r="A71" t="s">
        <v>197</v>
      </c>
      <c r="B71" t="s">
        <v>2547</v>
      </c>
      <c r="C71">
        <v>3620.43</v>
      </c>
      <c r="D71" t="s">
        <v>6961</v>
      </c>
      <c r="E71">
        <v>3620.43</v>
      </c>
      <c r="F71" t="s">
        <v>6961</v>
      </c>
      <c r="G71" s="220">
        <f t="shared" si="6"/>
        <v>3620.43</v>
      </c>
      <c r="H71" s="220">
        <f t="shared" si="7"/>
        <v>3620.43</v>
      </c>
      <c r="I71" s="221">
        <f>IF(A71="Total",VLOOKUP(B71,CORRESPONDANCE[#All],2,FALSE),I72)</f>
        <v>18</v>
      </c>
      <c r="J71" s="222" t="str">
        <f t="shared" si="4"/>
        <v>T</v>
      </c>
      <c r="K71" s="44" t="str">
        <f t="shared" si="5"/>
        <v>GLR5 - Total</v>
      </c>
      <c r="L71" s="44" t="e">
        <f>+VLOOKUP(K71,TL[],4,FALSE)</f>
        <v>#N/A</v>
      </c>
    </row>
    <row r="72" spans="1:12" x14ac:dyDescent="0.2">
      <c r="A72" t="s">
        <v>2548</v>
      </c>
      <c r="B72" t="s">
        <v>2438</v>
      </c>
      <c r="C72">
        <v>225</v>
      </c>
      <c r="D72" t="s">
        <v>6961</v>
      </c>
      <c r="E72">
        <v>225</v>
      </c>
      <c r="F72" t="s">
        <v>6961</v>
      </c>
      <c r="G72" s="220">
        <f t="shared" si="6"/>
        <v>225</v>
      </c>
      <c r="H72" s="220">
        <f t="shared" si="7"/>
        <v>225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GLR5 - 611012</v>
      </c>
      <c r="L72" s="44" t="str">
        <f>+VLOOKUP(K72,TL[],4,FALSE)</f>
        <v>32</v>
      </c>
    </row>
    <row r="73" spans="1:12" x14ac:dyDescent="0.2">
      <c r="A73" t="s">
        <v>2550</v>
      </c>
      <c r="B73" t="s">
        <v>219</v>
      </c>
      <c r="C73">
        <v>194.46</v>
      </c>
      <c r="D73" t="s">
        <v>6961</v>
      </c>
      <c r="E73">
        <v>194.46</v>
      </c>
      <c r="F73" t="s">
        <v>6961</v>
      </c>
      <c r="G73" s="220">
        <f t="shared" si="6"/>
        <v>194.46</v>
      </c>
      <c r="H73" s="220">
        <f t="shared" si="7"/>
        <v>194.46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GLR5 - 613330</v>
      </c>
      <c r="L73" s="44" t="str">
        <f>+VLOOKUP(K73,TL[],4,FALSE)</f>
        <v>16</v>
      </c>
    </row>
    <row r="74" spans="1:12" x14ac:dyDescent="0.2">
      <c r="A74" t="s">
        <v>2551</v>
      </c>
      <c r="B74" t="s">
        <v>2227</v>
      </c>
      <c r="C74">
        <v>112.95</v>
      </c>
      <c r="D74" t="s">
        <v>6961</v>
      </c>
      <c r="E74">
        <v>112.95</v>
      </c>
      <c r="F74" t="s">
        <v>6961</v>
      </c>
      <c r="G74" s="220">
        <f t="shared" si="6"/>
        <v>112.95</v>
      </c>
      <c r="H74" s="220">
        <f t="shared" si="7"/>
        <v>112.95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GLR5 - 613350</v>
      </c>
      <c r="L74" s="44" t="str">
        <f>+VLOOKUP(K74,TL[],4,FALSE)</f>
        <v>16</v>
      </c>
    </row>
    <row r="75" spans="1:12" x14ac:dyDescent="0.2">
      <c r="A75" t="s">
        <v>2552</v>
      </c>
      <c r="B75" t="s">
        <v>1568</v>
      </c>
      <c r="C75">
        <v>46</v>
      </c>
      <c r="D75" t="s">
        <v>6961</v>
      </c>
      <c r="E75">
        <v>46</v>
      </c>
      <c r="F75" t="s">
        <v>6961</v>
      </c>
      <c r="G75" s="220">
        <f t="shared" si="6"/>
        <v>46</v>
      </c>
      <c r="H75" s="220">
        <f t="shared" si="7"/>
        <v>46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GLR5 - 613360</v>
      </c>
      <c r="L75" s="44" t="str">
        <f>+VLOOKUP(K75,TL[],4,FALSE)</f>
        <v>16</v>
      </c>
    </row>
    <row r="76" spans="1:12" x14ac:dyDescent="0.2">
      <c r="A76" t="s">
        <v>1629</v>
      </c>
      <c r="B76" t="s">
        <v>154</v>
      </c>
      <c r="C76">
        <v>499</v>
      </c>
      <c r="D76" t="s">
        <v>6961</v>
      </c>
      <c r="E76">
        <v>499</v>
      </c>
      <c r="F76" t="s">
        <v>6961</v>
      </c>
      <c r="G76" s="220">
        <f t="shared" si="6"/>
        <v>499</v>
      </c>
      <c r="H76" s="220">
        <f t="shared" si="7"/>
        <v>499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GLR5 - 615200</v>
      </c>
      <c r="L76" s="44" t="str">
        <f>+VLOOKUP(K76,TL[],4,FALSE)</f>
        <v>16</v>
      </c>
    </row>
    <row r="77" spans="1:12" x14ac:dyDescent="0.2">
      <c r="A77" t="s">
        <v>1627</v>
      </c>
      <c r="B77" t="s">
        <v>2230</v>
      </c>
      <c r="C77">
        <v>484</v>
      </c>
      <c r="D77" t="s">
        <v>6961</v>
      </c>
      <c r="E77">
        <v>484</v>
      </c>
      <c r="F77" t="s">
        <v>6961</v>
      </c>
      <c r="G77" s="220">
        <f t="shared" si="6"/>
        <v>484</v>
      </c>
      <c r="H77" s="220">
        <f t="shared" si="7"/>
        <v>484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GLR5 - 615600</v>
      </c>
      <c r="L77" s="44" t="str">
        <f>+VLOOKUP(K77,TL[],4,FALSE)</f>
        <v>16</v>
      </c>
    </row>
    <row r="78" spans="1:12" x14ac:dyDescent="0.2">
      <c r="A78" t="s">
        <v>2553</v>
      </c>
      <c r="B78" t="s">
        <v>2175</v>
      </c>
      <c r="C78">
        <v>149</v>
      </c>
      <c r="D78" t="s">
        <v>6961</v>
      </c>
      <c r="E78">
        <v>149</v>
      </c>
      <c r="F78" t="s">
        <v>6961</v>
      </c>
      <c r="G78" s="220">
        <f t="shared" si="6"/>
        <v>149</v>
      </c>
      <c r="H78" s="220">
        <f t="shared" si="7"/>
        <v>149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GLR5 - 615609</v>
      </c>
      <c r="L78" s="44" t="str">
        <f>+VLOOKUP(K78,TL[],4,FALSE)</f>
        <v>16</v>
      </c>
    </row>
    <row r="79" spans="1:12" x14ac:dyDescent="0.2">
      <c r="A79" t="s">
        <v>1779</v>
      </c>
      <c r="B79" t="s">
        <v>234</v>
      </c>
      <c r="C79">
        <v>27.5</v>
      </c>
      <c r="D79" t="s">
        <v>6961</v>
      </c>
      <c r="E79">
        <v>27.5</v>
      </c>
      <c r="F79" t="s">
        <v>6961</v>
      </c>
      <c r="G79" s="220">
        <f t="shared" si="6"/>
        <v>27.5</v>
      </c>
      <c r="H79" s="220">
        <f t="shared" si="7"/>
        <v>27.5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GLR5 - 615610</v>
      </c>
      <c r="L79" s="44" t="str">
        <f>+VLOOKUP(K79,TL[],4,FALSE)</f>
        <v>16</v>
      </c>
    </row>
    <row r="80" spans="1:12" x14ac:dyDescent="0.2">
      <c r="A80" t="s">
        <v>1635</v>
      </c>
      <c r="B80" t="s">
        <v>6975</v>
      </c>
      <c r="C80">
        <v>10</v>
      </c>
      <c r="D80" t="s">
        <v>6961</v>
      </c>
      <c r="E80">
        <v>10</v>
      </c>
      <c r="F80" t="s">
        <v>6961</v>
      </c>
      <c r="G80" s="220">
        <f t="shared" si="6"/>
        <v>10</v>
      </c>
      <c r="H80" s="220">
        <f t="shared" si="7"/>
        <v>10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GLR5 - 615612</v>
      </c>
      <c r="L80" s="44" t="e">
        <f>+VLOOKUP(K80,TL[],4,FALSE)</f>
        <v>#N/A</v>
      </c>
    </row>
    <row r="81" spans="1:12" x14ac:dyDescent="0.2">
      <c r="A81" t="s">
        <v>1598</v>
      </c>
      <c r="B81" t="s">
        <v>240</v>
      </c>
      <c r="C81">
        <v>100</v>
      </c>
      <c r="D81" t="s">
        <v>6961</v>
      </c>
      <c r="E81">
        <v>100</v>
      </c>
      <c r="F81" t="s">
        <v>6961</v>
      </c>
      <c r="G81" s="220">
        <f t="shared" si="6"/>
        <v>100</v>
      </c>
      <c r="H81" s="220">
        <f t="shared" si="7"/>
        <v>100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GLR5 - 615615</v>
      </c>
      <c r="L81" s="44" t="str">
        <f>+VLOOKUP(K81,TL[],4,FALSE)</f>
        <v>16</v>
      </c>
    </row>
    <row r="82" spans="1:12" x14ac:dyDescent="0.2">
      <c r="A82" t="s">
        <v>1625</v>
      </c>
      <c r="B82" t="s">
        <v>229</v>
      </c>
      <c r="C82">
        <v>358.33</v>
      </c>
      <c r="D82" t="s">
        <v>6961</v>
      </c>
      <c r="E82">
        <v>358.33</v>
      </c>
      <c r="F82" t="s">
        <v>6961</v>
      </c>
      <c r="G82" s="220">
        <f t="shared" si="6"/>
        <v>358.33</v>
      </c>
      <c r="H82" s="220">
        <f t="shared" si="7"/>
        <v>358.33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GLR5 - 615616</v>
      </c>
      <c r="L82" s="44" t="str">
        <f>+VLOOKUP(K82,TL[],4,FALSE)</f>
        <v>16</v>
      </c>
    </row>
    <row r="83" spans="1:12" x14ac:dyDescent="0.2">
      <c r="A83" t="s">
        <v>1595</v>
      </c>
      <c r="B83" t="s">
        <v>211</v>
      </c>
      <c r="C83">
        <v>499</v>
      </c>
      <c r="D83" t="s">
        <v>6961</v>
      </c>
      <c r="E83">
        <v>499</v>
      </c>
      <c r="F83" t="s">
        <v>6961</v>
      </c>
      <c r="G83" s="220">
        <f t="shared" si="6"/>
        <v>499</v>
      </c>
      <c r="H83" s="220">
        <f t="shared" si="7"/>
        <v>499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GLR5 - 615621</v>
      </c>
      <c r="L83" s="44" t="str">
        <f>+VLOOKUP(K83,TL[],4,FALSE)</f>
        <v>16</v>
      </c>
    </row>
    <row r="84" spans="1:12" x14ac:dyDescent="0.2">
      <c r="A84" t="s">
        <v>1938</v>
      </c>
      <c r="B84" t="s">
        <v>1401</v>
      </c>
      <c r="C84">
        <v>154</v>
      </c>
      <c r="D84" t="s">
        <v>6961</v>
      </c>
      <c r="E84">
        <v>154</v>
      </c>
      <c r="F84" t="s">
        <v>6961</v>
      </c>
      <c r="G84" s="220">
        <f t="shared" si="6"/>
        <v>154</v>
      </c>
      <c r="H84" s="220">
        <f t="shared" si="7"/>
        <v>154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GLR5 - 615626</v>
      </c>
      <c r="L84" s="44" t="str">
        <f>+VLOOKUP(K84,TL[],4,FALSE)</f>
        <v>16</v>
      </c>
    </row>
    <row r="85" spans="1:12" x14ac:dyDescent="0.2">
      <c r="A85" t="s">
        <v>1613</v>
      </c>
      <c r="B85" t="s">
        <v>2233</v>
      </c>
      <c r="C85">
        <v>61.5</v>
      </c>
      <c r="D85" t="s">
        <v>6961</v>
      </c>
      <c r="E85">
        <v>61.5</v>
      </c>
      <c r="F85" t="s">
        <v>6961</v>
      </c>
      <c r="G85" s="220">
        <f t="shared" si="6"/>
        <v>61.5</v>
      </c>
      <c r="H85" s="220">
        <f t="shared" si="7"/>
        <v>61.5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GLR5 - 615632</v>
      </c>
      <c r="L85" s="44" t="str">
        <f>+VLOOKUP(K85,TL[],4,FALSE)</f>
        <v>16</v>
      </c>
    </row>
    <row r="86" spans="1:12" x14ac:dyDescent="0.2">
      <c r="A86" t="s">
        <v>1795</v>
      </c>
      <c r="B86" t="s">
        <v>233</v>
      </c>
      <c r="C86">
        <v>89.1</v>
      </c>
      <c r="D86" t="s">
        <v>6961</v>
      </c>
      <c r="E86">
        <v>89.1</v>
      </c>
      <c r="F86" t="s">
        <v>6961</v>
      </c>
      <c r="G86" s="220">
        <f t="shared" si="6"/>
        <v>89.1</v>
      </c>
      <c r="H86" s="220">
        <f t="shared" si="7"/>
        <v>89.1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GLR5 - 615634</v>
      </c>
      <c r="L86" s="44" t="str">
        <f>+VLOOKUP(K86,TL[],4,FALSE)</f>
        <v>16</v>
      </c>
    </row>
    <row r="87" spans="1:12" x14ac:dyDescent="0.2">
      <c r="A87" t="s">
        <v>1772</v>
      </c>
      <c r="B87" t="s">
        <v>2235</v>
      </c>
      <c r="C87">
        <v>37</v>
      </c>
      <c r="D87" t="s">
        <v>6961</v>
      </c>
      <c r="E87">
        <v>37</v>
      </c>
      <c r="F87" t="s">
        <v>6961</v>
      </c>
      <c r="G87" s="220">
        <f t="shared" si="6"/>
        <v>37</v>
      </c>
      <c r="H87" s="220">
        <f t="shared" si="7"/>
        <v>37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GLR5 - 615636</v>
      </c>
      <c r="L87" s="44" t="str">
        <f>+VLOOKUP(K87,TL[],4,FALSE)</f>
        <v>16</v>
      </c>
    </row>
    <row r="88" spans="1:12" x14ac:dyDescent="0.2">
      <c r="A88" t="s">
        <v>1628</v>
      </c>
      <c r="B88" t="s">
        <v>7069</v>
      </c>
      <c r="C88">
        <v>668.35</v>
      </c>
      <c r="D88" t="s">
        <v>6961</v>
      </c>
      <c r="E88">
        <v>668.35</v>
      </c>
      <c r="F88" t="s">
        <v>6961</v>
      </c>
      <c r="G88" s="220">
        <f t="shared" si="6"/>
        <v>668.35</v>
      </c>
      <c r="H88" s="220">
        <f t="shared" si="7"/>
        <v>668.35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GLR5 - 615637</v>
      </c>
      <c r="L88" s="44" t="str">
        <f>+VLOOKUP(K88,TL[],4,FALSE)</f>
        <v>16</v>
      </c>
    </row>
    <row r="89" spans="1:12" x14ac:dyDescent="0.2">
      <c r="A89" t="s">
        <v>1592</v>
      </c>
      <c r="B89" t="s">
        <v>7119</v>
      </c>
      <c r="C89">
        <v>162.66999999999999</v>
      </c>
      <c r="D89" t="s">
        <v>6961</v>
      </c>
      <c r="E89">
        <v>162.66999999999999</v>
      </c>
      <c r="F89" t="s">
        <v>6961</v>
      </c>
      <c r="G89" s="220">
        <f t="shared" si="6"/>
        <v>162.66999999999999</v>
      </c>
      <c r="H89" s="220">
        <f t="shared" si="7"/>
        <v>162.66999999999999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GLR5 - 615639</v>
      </c>
      <c r="L89" s="44" t="e">
        <f>+VLOOKUP(K89,TL[],4,FALSE)</f>
        <v>#N/A</v>
      </c>
    </row>
    <row r="90" spans="1:12" x14ac:dyDescent="0.2">
      <c r="A90" t="s">
        <v>2554</v>
      </c>
      <c r="B90" t="s">
        <v>2202</v>
      </c>
      <c r="C90">
        <v>2249</v>
      </c>
      <c r="D90" t="s">
        <v>6961</v>
      </c>
      <c r="E90">
        <v>2249</v>
      </c>
      <c r="F90" t="s">
        <v>6961</v>
      </c>
      <c r="G90" s="220">
        <f t="shared" si="6"/>
        <v>2249</v>
      </c>
      <c r="H90" s="220">
        <f t="shared" si="7"/>
        <v>2249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GLR5 - 615645</v>
      </c>
      <c r="L90" s="44" t="str">
        <f>+VLOOKUP(K90,TL[],4,FALSE)</f>
        <v>16</v>
      </c>
    </row>
    <row r="91" spans="1:12" x14ac:dyDescent="0.2">
      <c r="A91" t="s">
        <v>2555</v>
      </c>
      <c r="B91" t="s">
        <v>2204</v>
      </c>
      <c r="C91">
        <v>180</v>
      </c>
      <c r="D91" t="s">
        <v>6961</v>
      </c>
      <c r="E91">
        <v>180</v>
      </c>
      <c r="F91" t="s">
        <v>6961</v>
      </c>
      <c r="G91" s="220">
        <f t="shared" si="6"/>
        <v>180</v>
      </c>
      <c r="H91" s="220">
        <f t="shared" si="7"/>
        <v>180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GLR5 - 615647</v>
      </c>
      <c r="L91" s="44" t="str">
        <f>+VLOOKUP(K91,TL[],4,FALSE)</f>
        <v>16</v>
      </c>
    </row>
    <row r="92" spans="1:12" x14ac:dyDescent="0.2">
      <c r="A92" t="s">
        <v>2556</v>
      </c>
      <c r="B92" t="s">
        <v>2237</v>
      </c>
      <c r="C92">
        <v>20</v>
      </c>
      <c r="D92" t="s">
        <v>6961</v>
      </c>
      <c r="E92">
        <v>20</v>
      </c>
      <c r="F92" t="s">
        <v>6961</v>
      </c>
      <c r="G92" s="220">
        <f t="shared" si="6"/>
        <v>20</v>
      </c>
      <c r="H92" s="220">
        <f t="shared" si="7"/>
        <v>20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GLR5 - 615651</v>
      </c>
      <c r="L92" s="44" t="str">
        <f>+VLOOKUP(K92,TL[],4,FALSE)</f>
        <v>16</v>
      </c>
    </row>
    <row r="93" spans="1:12" x14ac:dyDescent="0.2">
      <c r="A93" t="s">
        <v>2557</v>
      </c>
      <c r="B93" t="s">
        <v>2238</v>
      </c>
      <c r="C93">
        <v>65</v>
      </c>
      <c r="D93" t="s">
        <v>6961</v>
      </c>
      <c r="E93">
        <v>65</v>
      </c>
      <c r="F93" t="s">
        <v>6961</v>
      </c>
      <c r="G93" s="220">
        <f t="shared" si="6"/>
        <v>65</v>
      </c>
      <c r="H93" s="220">
        <f t="shared" si="7"/>
        <v>65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GLR5 - 615652</v>
      </c>
      <c r="L93" s="44" t="str">
        <f>+VLOOKUP(K93,TL[],4,FALSE)</f>
        <v>16</v>
      </c>
    </row>
    <row r="94" spans="1:12" x14ac:dyDescent="0.2">
      <c r="A94" t="s">
        <v>2558</v>
      </c>
      <c r="B94" t="s">
        <v>2239</v>
      </c>
      <c r="C94">
        <v>349</v>
      </c>
      <c r="D94" t="s">
        <v>6961</v>
      </c>
      <c r="E94">
        <v>349</v>
      </c>
      <c r="F94" t="s">
        <v>6961</v>
      </c>
      <c r="G94" s="220">
        <f t="shared" si="6"/>
        <v>349</v>
      </c>
      <c r="H94" s="220">
        <f t="shared" si="7"/>
        <v>349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GLR5 - 615653</v>
      </c>
      <c r="L94" s="44" t="str">
        <f>+VLOOKUP(K94,TL[],4,FALSE)</f>
        <v>16</v>
      </c>
    </row>
    <row r="95" spans="1:12" x14ac:dyDescent="0.2">
      <c r="A95" t="s">
        <v>2559</v>
      </c>
      <c r="B95" t="s">
        <v>1486</v>
      </c>
      <c r="C95">
        <v>85</v>
      </c>
      <c r="D95" t="s">
        <v>6961</v>
      </c>
      <c r="E95">
        <v>85</v>
      </c>
      <c r="F95" t="s">
        <v>6961</v>
      </c>
      <c r="G95" s="220">
        <f t="shared" si="6"/>
        <v>85</v>
      </c>
      <c r="H95" s="220">
        <f t="shared" si="7"/>
        <v>85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GLR5 - 615654</v>
      </c>
      <c r="L95" s="44" t="str">
        <f>+VLOOKUP(K95,TL[],4,FALSE)</f>
        <v>16</v>
      </c>
    </row>
    <row r="96" spans="1:12" x14ac:dyDescent="0.2">
      <c r="A96" t="s">
        <v>2560</v>
      </c>
      <c r="B96" t="s">
        <v>2240</v>
      </c>
      <c r="C96">
        <v>139</v>
      </c>
      <c r="D96" t="s">
        <v>6961</v>
      </c>
      <c r="E96">
        <v>139</v>
      </c>
      <c r="F96" t="s">
        <v>6961</v>
      </c>
      <c r="G96" s="220">
        <f t="shared" si="6"/>
        <v>139</v>
      </c>
      <c r="H96" s="220">
        <f t="shared" si="7"/>
        <v>139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GLR5 - 615655</v>
      </c>
      <c r="L96" s="44" t="str">
        <f>+VLOOKUP(K96,TL[],4,FALSE)</f>
        <v>16</v>
      </c>
    </row>
    <row r="97" spans="1:12" x14ac:dyDescent="0.2">
      <c r="A97" t="s">
        <v>2561</v>
      </c>
      <c r="B97" t="s">
        <v>2241</v>
      </c>
      <c r="C97">
        <v>66.5</v>
      </c>
      <c r="D97" t="s">
        <v>6961</v>
      </c>
      <c r="E97">
        <v>66.5</v>
      </c>
      <c r="F97" t="s">
        <v>6961</v>
      </c>
      <c r="G97" s="220">
        <f t="shared" si="6"/>
        <v>66.5</v>
      </c>
      <c r="H97" s="220">
        <f t="shared" si="7"/>
        <v>66.5</v>
      </c>
      <c r="I97" s="221">
        <f>IF(A97="Total",VLOOKUP(B97,CORRESPONDANCE[#All],2,FALSE),I98)</f>
        <v>19</v>
      </c>
      <c r="J97" s="222" t="str">
        <f t="shared" si="4"/>
        <v>6</v>
      </c>
      <c r="K97" s="44" t="str">
        <f t="shared" si="5"/>
        <v>GLR5 - 615656</v>
      </c>
      <c r="L97" s="44" t="str">
        <f>+VLOOKUP(K97,TL[],4,FALSE)</f>
        <v>16</v>
      </c>
    </row>
    <row r="98" spans="1:12" x14ac:dyDescent="0.2">
      <c r="A98" t="s">
        <v>2562</v>
      </c>
      <c r="B98" t="s">
        <v>2242</v>
      </c>
      <c r="C98">
        <v>250</v>
      </c>
      <c r="D98" t="s">
        <v>6961</v>
      </c>
      <c r="E98">
        <v>250</v>
      </c>
      <c r="F98" t="s">
        <v>6961</v>
      </c>
      <c r="G98" s="220">
        <f t="shared" si="6"/>
        <v>250</v>
      </c>
      <c r="H98" s="220">
        <f t="shared" si="7"/>
        <v>250</v>
      </c>
      <c r="I98" s="221">
        <f>IF(A98="Total",VLOOKUP(B98,CORRESPONDANCE[#All],2,FALSE),I99)</f>
        <v>19</v>
      </c>
      <c r="J98" s="222" t="str">
        <f t="shared" si="4"/>
        <v>6</v>
      </c>
      <c r="K98" s="44" t="str">
        <f t="shared" si="5"/>
        <v>GLR5 - 615657</v>
      </c>
      <c r="L98" s="44" t="str">
        <f>+VLOOKUP(K98,TL[],4,FALSE)</f>
        <v>16</v>
      </c>
    </row>
    <row r="99" spans="1:12" x14ac:dyDescent="0.2">
      <c r="A99" t="s">
        <v>2563</v>
      </c>
      <c r="B99" t="s">
        <v>1482</v>
      </c>
      <c r="C99">
        <v>15.83</v>
      </c>
      <c r="D99" t="s">
        <v>6961</v>
      </c>
      <c r="E99">
        <v>15.83</v>
      </c>
      <c r="F99" t="s">
        <v>6961</v>
      </c>
      <c r="G99" s="220">
        <f t="shared" si="6"/>
        <v>15.83</v>
      </c>
      <c r="H99" s="220">
        <f t="shared" si="7"/>
        <v>15.83</v>
      </c>
      <c r="I99" s="221">
        <f>IF(A99="Total",VLOOKUP(B99,CORRESPONDANCE[#All],2,FALSE),I100)</f>
        <v>19</v>
      </c>
      <c r="J99" s="222" t="str">
        <f t="shared" si="4"/>
        <v>6</v>
      </c>
      <c r="K99" s="44" t="str">
        <f t="shared" si="5"/>
        <v>GLR5 - 615658</v>
      </c>
      <c r="L99" s="44" t="str">
        <f>+VLOOKUP(K99,TL[],4,FALSE)</f>
        <v>16</v>
      </c>
    </row>
    <row r="100" spans="1:12" x14ac:dyDescent="0.2">
      <c r="A100" t="s">
        <v>2565</v>
      </c>
      <c r="B100" t="s">
        <v>5878</v>
      </c>
      <c r="C100">
        <v>50</v>
      </c>
      <c r="D100" t="s">
        <v>6961</v>
      </c>
      <c r="E100">
        <v>50</v>
      </c>
      <c r="F100" t="s">
        <v>6961</v>
      </c>
      <c r="G100" s="220">
        <f t="shared" si="6"/>
        <v>50</v>
      </c>
      <c r="H100" s="220">
        <f t="shared" si="7"/>
        <v>50</v>
      </c>
      <c r="I100" s="221">
        <f>IF(A100="Total",VLOOKUP(B100,CORRESPONDANCE[#All],2,FALSE),I101)</f>
        <v>19</v>
      </c>
      <c r="J100" s="222" t="str">
        <f t="shared" si="4"/>
        <v>6</v>
      </c>
      <c r="K100" s="44" t="str">
        <f t="shared" si="5"/>
        <v>GLR5 - 615660</v>
      </c>
      <c r="L100" s="44" t="str">
        <f>+VLOOKUP(K100,TL[],4,FALSE)</f>
        <v>16</v>
      </c>
    </row>
    <row r="101" spans="1:12" x14ac:dyDescent="0.2">
      <c r="A101" t="s">
        <v>2752</v>
      </c>
      <c r="B101" t="s">
        <v>6860</v>
      </c>
      <c r="C101">
        <v>73.17</v>
      </c>
      <c r="D101" t="s">
        <v>6961</v>
      </c>
      <c r="E101">
        <v>73.17</v>
      </c>
      <c r="F101" t="s">
        <v>6961</v>
      </c>
      <c r="G101" s="220">
        <f t="shared" si="6"/>
        <v>73.17</v>
      </c>
      <c r="H101" s="220">
        <f t="shared" si="7"/>
        <v>73.17</v>
      </c>
      <c r="I101" s="221">
        <f>IF(A101="Total",VLOOKUP(B101,CORRESPONDANCE[#All],2,FALSE),I102)</f>
        <v>19</v>
      </c>
      <c r="J101" s="222" t="str">
        <f t="shared" si="4"/>
        <v>6</v>
      </c>
      <c r="K101" s="44" t="str">
        <f t="shared" si="5"/>
        <v>GLR5 - 615661</v>
      </c>
      <c r="L101" s="44" t="str">
        <f>+VLOOKUP(K101,TL[],4,FALSE)</f>
        <v>16</v>
      </c>
    </row>
    <row r="102" spans="1:12" x14ac:dyDescent="0.2">
      <c r="A102" t="s">
        <v>2566</v>
      </c>
      <c r="B102" t="s">
        <v>6956</v>
      </c>
      <c r="C102">
        <v>168</v>
      </c>
      <c r="D102" t="s">
        <v>6961</v>
      </c>
      <c r="E102">
        <v>168</v>
      </c>
      <c r="F102" t="s">
        <v>6961</v>
      </c>
      <c r="G102" s="220">
        <f t="shared" si="6"/>
        <v>168</v>
      </c>
      <c r="H102" s="220">
        <f t="shared" si="7"/>
        <v>168</v>
      </c>
      <c r="I102" s="221">
        <f>IF(A102="Total",VLOOKUP(B102,CORRESPONDANCE[#All],2,FALSE),I103)</f>
        <v>19</v>
      </c>
      <c r="J102" s="222" t="str">
        <f t="shared" si="4"/>
        <v>6</v>
      </c>
      <c r="K102" s="44" t="str">
        <f t="shared" si="5"/>
        <v>GLR5 - 615662</v>
      </c>
      <c r="L102" s="44" t="str">
        <f>+VLOOKUP(K102,TL[],4,FALSE)</f>
        <v>16</v>
      </c>
    </row>
    <row r="103" spans="1:12" x14ac:dyDescent="0.2">
      <c r="A103" t="s">
        <v>2753</v>
      </c>
      <c r="B103" t="s">
        <v>7092</v>
      </c>
      <c r="C103">
        <v>76.7</v>
      </c>
      <c r="D103" t="s">
        <v>6961</v>
      </c>
      <c r="E103">
        <v>76.7</v>
      </c>
      <c r="F103" t="s">
        <v>6961</v>
      </c>
      <c r="G103" s="220">
        <f t="shared" si="6"/>
        <v>76.7</v>
      </c>
      <c r="H103" s="220">
        <f t="shared" si="7"/>
        <v>76.7</v>
      </c>
      <c r="I103" s="221">
        <f>IF(A103="Total",VLOOKUP(B103,CORRESPONDANCE[#All],2,FALSE),I104)</f>
        <v>19</v>
      </c>
      <c r="J103" s="222" t="str">
        <f t="shared" si="4"/>
        <v>6</v>
      </c>
      <c r="K103" s="44" t="str">
        <f t="shared" si="5"/>
        <v>GLR5 - 615663</v>
      </c>
      <c r="L103" s="44" t="e">
        <f>+VLOOKUP(K103,TL[],4,FALSE)</f>
        <v>#N/A</v>
      </c>
    </row>
    <row r="104" spans="1:12" x14ac:dyDescent="0.2">
      <c r="A104" t="s">
        <v>7120</v>
      </c>
      <c r="B104" t="s">
        <v>7121</v>
      </c>
      <c r="C104">
        <v>15.89</v>
      </c>
      <c r="D104" t="s">
        <v>6961</v>
      </c>
      <c r="E104">
        <v>15.89</v>
      </c>
      <c r="F104" t="s">
        <v>6961</v>
      </c>
      <c r="G104" s="220">
        <f t="shared" si="6"/>
        <v>15.89</v>
      </c>
      <c r="H104" s="220">
        <f t="shared" si="7"/>
        <v>15.89</v>
      </c>
      <c r="I104" s="221">
        <f>IF(A104="Total",VLOOKUP(B104,CORRESPONDANCE[#All],2,FALSE),I105)</f>
        <v>19</v>
      </c>
      <c r="J104" s="222" t="str">
        <f t="shared" si="4"/>
        <v>6</v>
      </c>
      <c r="K104" s="44" t="str">
        <f t="shared" si="5"/>
        <v>GLR5 - 626300</v>
      </c>
      <c r="L104" s="44" t="e">
        <f>+VLOOKUP(K104,TL[],4,FALSE)</f>
        <v>#N/A</v>
      </c>
    </row>
    <row r="105" spans="1:12" x14ac:dyDescent="0.2">
      <c r="A105" t="s">
        <v>2759</v>
      </c>
      <c r="B105" t="s">
        <v>1253</v>
      </c>
      <c r="C105">
        <v>500</v>
      </c>
      <c r="D105" t="s">
        <v>6961</v>
      </c>
      <c r="E105">
        <v>500</v>
      </c>
      <c r="F105" t="s">
        <v>6961</v>
      </c>
      <c r="G105" s="220">
        <f t="shared" si="6"/>
        <v>500</v>
      </c>
      <c r="H105" s="220">
        <f t="shared" si="7"/>
        <v>500</v>
      </c>
      <c r="I105" s="221">
        <f>IF(A105="Total",VLOOKUP(B105,CORRESPONDANCE[#All],2,FALSE),I106)</f>
        <v>19</v>
      </c>
      <c r="J105" s="222" t="str">
        <f t="shared" si="4"/>
        <v>6</v>
      </c>
      <c r="K105" s="44" t="str">
        <f t="shared" si="5"/>
        <v>GLR5 - 647516</v>
      </c>
      <c r="L105" s="44" t="str">
        <f>+VLOOKUP(K105,TL[],4,FALSE)</f>
        <v>16</v>
      </c>
    </row>
    <row r="106" spans="1:12" x14ac:dyDescent="0.2">
      <c r="A106" t="s">
        <v>5259</v>
      </c>
      <c r="B106" t="s">
        <v>7122</v>
      </c>
      <c r="C106">
        <v>101</v>
      </c>
      <c r="D106" t="s">
        <v>6961</v>
      </c>
      <c r="E106">
        <v>101</v>
      </c>
      <c r="F106" t="s">
        <v>6961</v>
      </c>
      <c r="G106" s="220">
        <f t="shared" si="6"/>
        <v>101</v>
      </c>
      <c r="H106" s="220">
        <f t="shared" si="7"/>
        <v>101</v>
      </c>
      <c r="I106" s="221">
        <f>IF(A106="Total",VLOOKUP(B106,CORRESPONDANCE[#All],2,FALSE),I107)</f>
        <v>19</v>
      </c>
      <c r="J106" s="222" t="str">
        <f t="shared" si="4"/>
        <v>6</v>
      </c>
      <c r="K106" s="44" t="str">
        <f t="shared" si="5"/>
        <v>GLR5 - 651600</v>
      </c>
      <c r="L106" s="44">
        <f>+VLOOKUP(K106,TL[],4,FALSE)</f>
        <v>0</v>
      </c>
    </row>
    <row r="107" spans="1:12" x14ac:dyDescent="0.2">
      <c r="A107" t="s">
        <v>7123</v>
      </c>
      <c r="B107" t="s">
        <v>7124</v>
      </c>
      <c r="C107">
        <v>247.65</v>
      </c>
      <c r="D107" t="s">
        <v>6961</v>
      </c>
      <c r="E107">
        <v>247.65</v>
      </c>
      <c r="F107" t="s">
        <v>6961</v>
      </c>
      <c r="G107" s="220">
        <f t="shared" si="6"/>
        <v>247.65</v>
      </c>
      <c r="H107" s="220">
        <f t="shared" si="7"/>
        <v>247.65</v>
      </c>
      <c r="I107" s="221">
        <f>IF(A107="Total",VLOOKUP(B107,CORRESPONDANCE[#All],2,FALSE),I108)</f>
        <v>19</v>
      </c>
      <c r="J107" s="222" t="str">
        <f t="shared" si="4"/>
        <v>6</v>
      </c>
      <c r="K107" s="44" t="str">
        <f t="shared" si="5"/>
        <v>GLR5 - 651700</v>
      </c>
      <c r="L107" s="44" t="e">
        <f>+VLOOKUP(K107,TL[],4,FALSE)</f>
        <v>#N/A</v>
      </c>
    </row>
    <row r="108" spans="1:12" x14ac:dyDescent="0.2">
      <c r="A108" t="s">
        <v>2053</v>
      </c>
      <c r="B108" t="s">
        <v>7013</v>
      </c>
      <c r="C108">
        <v>1</v>
      </c>
      <c r="D108" t="s">
        <v>6961</v>
      </c>
      <c r="E108">
        <v>1</v>
      </c>
      <c r="F108" t="s">
        <v>6961</v>
      </c>
      <c r="G108" s="220">
        <f t="shared" si="6"/>
        <v>1</v>
      </c>
      <c r="H108" s="220">
        <f t="shared" si="7"/>
        <v>1</v>
      </c>
      <c r="I108" s="221">
        <f>IF(A108="Total",VLOOKUP(B108,CORRESPONDANCE[#All],2,FALSE),I109)</f>
        <v>19</v>
      </c>
      <c r="J108" s="222" t="str">
        <f t="shared" si="4"/>
        <v>7</v>
      </c>
      <c r="K108" s="44" t="str">
        <f t="shared" si="5"/>
        <v>GLR5 - 708100</v>
      </c>
      <c r="L108" s="44" t="str">
        <f>+VLOOKUP(K108,TL[],4,FALSE)</f>
        <v>06</v>
      </c>
    </row>
    <row r="109" spans="1:12" x14ac:dyDescent="0.2">
      <c r="A109" t="s">
        <v>197</v>
      </c>
      <c r="B109" t="s">
        <v>2567</v>
      </c>
      <c r="C109">
        <v>8530.6</v>
      </c>
      <c r="D109" t="s">
        <v>6961</v>
      </c>
      <c r="E109">
        <v>8530.6</v>
      </c>
      <c r="F109" t="s">
        <v>6961</v>
      </c>
      <c r="G109" s="220">
        <f t="shared" si="6"/>
        <v>8530.6</v>
      </c>
      <c r="H109" s="220">
        <f t="shared" si="7"/>
        <v>8530.6</v>
      </c>
      <c r="I109" s="221">
        <f>IF(A109="Total",VLOOKUP(B109,CORRESPONDANCE[#All],2,FALSE),I110)</f>
        <v>19</v>
      </c>
      <c r="J109" s="222" t="str">
        <f t="shared" si="4"/>
        <v>T</v>
      </c>
      <c r="K109" s="44" t="str">
        <f t="shared" si="5"/>
        <v>GLR5 - Total</v>
      </c>
      <c r="L109" s="44" t="e">
        <f>+VLOOKUP(K109,TL[],4,FALSE)</f>
        <v>#N/A</v>
      </c>
    </row>
    <row r="110" spans="1:12" x14ac:dyDescent="0.2">
      <c r="A110" t="s">
        <v>1738</v>
      </c>
      <c r="B110" t="s">
        <v>6957</v>
      </c>
      <c r="C110">
        <v>10807.3</v>
      </c>
      <c r="D110" t="s">
        <v>6961</v>
      </c>
      <c r="E110">
        <v>10807.3</v>
      </c>
      <c r="F110" t="s">
        <v>6961</v>
      </c>
      <c r="G110" s="220">
        <f t="shared" si="6"/>
        <v>10807.3</v>
      </c>
      <c r="H110" s="220">
        <f t="shared" si="7"/>
        <v>10807.3</v>
      </c>
      <c r="I110" s="221">
        <f>IF(A110="Total",VLOOKUP(B110,CORRESPONDANCE[#All],2,FALSE),I111)</f>
        <v>21</v>
      </c>
      <c r="J110" s="222" t="str">
        <f t="shared" si="4"/>
        <v>6</v>
      </c>
      <c r="K110" s="44" t="str">
        <f t="shared" si="5"/>
        <v>GLR5 - 622800</v>
      </c>
      <c r="L110" s="44" t="str">
        <f>+VLOOKUP(K110,TL[],4,FALSE)</f>
        <v>32</v>
      </c>
    </row>
    <row r="111" spans="1:12" x14ac:dyDescent="0.2">
      <c r="A111" t="s">
        <v>2760</v>
      </c>
      <c r="B111" t="s">
        <v>7014</v>
      </c>
      <c r="C111">
        <v>265.98</v>
      </c>
      <c r="D111" t="s">
        <v>6961</v>
      </c>
      <c r="E111">
        <v>265.98</v>
      </c>
      <c r="F111" t="s">
        <v>6961</v>
      </c>
      <c r="G111" s="220">
        <f t="shared" si="6"/>
        <v>265.98</v>
      </c>
      <c r="H111" s="220">
        <f t="shared" si="7"/>
        <v>265.98</v>
      </c>
      <c r="I111" s="221">
        <f>IF(A111="Total",VLOOKUP(B111,CORRESPONDANCE[#All],2,FALSE),I112)</f>
        <v>21</v>
      </c>
      <c r="J111" s="222" t="str">
        <f t="shared" si="4"/>
        <v>6</v>
      </c>
      <c r="K111" s="44" t="str">
        <f t="shared" si="5"/>
        <v>GLR5 - 622810</v>
      </c>
      <c r="L111" s="44" t="str">
        <f>+VLOOKUP(K111,TL[],4,FALSE)</f>
        <v>32</v>
      </c>
    </row>
    <row r="112" spans="1:12" x14ac:dyDescent="0.2">
      <c r="A112" t="s">
        <v>197</v>
      </c>
      <c r="B112" t="s">
        <v>2568</v>
      </c>
      <c r="C112">
        <v>11073.28</v>
      </c>
      <c r="D112" t="s">
        <v>6961</v>
      </c>
      <c r="E112">
        <v>11073.28</v>
      </c>
      <c r="F112" t="s">
        <v>6961</v>
      </c>
      <c r="G112" s="220">
        <f t="shared" si="6"/>
        <v>11073.28</v>
      </c>
      <c r="H112" s="220">
        <f t="shared" si="7"/>
        <v>11073.28</v>
      </c>
      <c r="I112" s="221">
        <f>IF(A112="Total",VLOOKUP(B112,CORRESPONDANCE[#All],2,FALSE),I113)</f>
        <v>21</v>
      </c>
      <c r="J112" s="222" t="str">
        <f t="shared" si="4"/>
        <v>T</v>
      </c>
      <c r="K112" s="44" t="str">
        <f t="shared" si="5"/>
        <v>GLR5 - Total</v>
      </c>
      <c r="L112" s="44" t="e">
        <f>+VLOOKUP(K112,TL[],4,FALSE)</f>
        <v>#N/A</v>
      </c>
    </row>
    <row r="113" spans="1:12" x14ac:dyDescent="0.2">
      <c r="A113" t="s">
        <v>1594</v>
      </c>
      <c r="B113" t="s">
        <v>153</v>
      </c>
      <c r="C113">
        <v>16824.8</v>
      </c>
      <c r="D113" t="s">
        <v>6961</v>
      </c>
      <c r="E113">
        <v>16824.8</v>
      </c>
      <c r="F113" t="s">
        <v>6961</v>
      </c>
      <c r="G113" s="220">
        <f t="shared" si="6"/>
        <v>16824.8</v>
      </c>
      <c r="H113" s="220">
        <f t="shared" si="7"/>
        <v>16824.8</v>
      </c>
      <c r="I113" s="221">
        <f>IF(A113="Total",VLOOKUP(B113,CORRESPONDANCE[#All],2,FALSE),I114)</f>
        <v>22</v>
      </c>
      <c r="J113" s="222" t="str">
        <f t="shared" si="4"/>
        <v>6</v>
      </c>
      <c r="K113" s="44" t="str">
        <f t="shared" si="5"/>
        <v>GLR5 - 623000</v>
      </c>
      <c r="L113" s="44" t="str">
        <f>+VLOOKUP(K113,TL[],4,FALSE)</f>
        <v>14</v>
      </c>
    </row>
    <row r="114" spans="1:12" x14ac:dyDescent="0.2">
      <c r="A114" t="s">
        <v>197</v>
      </c>
      <c r="B114" t="s">
        <v>2569</v>
      </c>
      <c r="C114">
        <v>16824.8</v>
      </c>
      <c r="D114" t="s">
        <v>6961</v>
      </c>
      <c r="E114">
        <v>16824.8</v>
      </c>
      <c r="F114" t="s">
        <v>6961</v>
      </c>
      <c r="G114" s="220">
        <f t="shared" si="6"/>
        <v>16824.8</v>
      </c>
      <c r="H114" s="220">
        <f t="shared" si="7"/>
        <v>16824.8</v>
      </c>
      <c r="I114" s="221">
        <f>IF(A114="Total",VLOOKUP(B114,CORRESPONDANCE[#All],2,FALSE),I115)</f>
        <v>22</v>
      </c>
      <c r="J114" s="222" t="str">
        <f t="shared" si="4"/>
        <v>T</v>
      </c>
      <c r="K114" s="44" t="str">
        <f t="shared" si="5"/>
        <v>GLR5 - Total</v>
      </c>
      <c r="L114" s="44" t="e">
        <f>+VLOOKUP(K114,TL[],4,FALSE)</f>
        <v>#N/A</v>
      </c>
    </row>
    <row r="115" spans="1:12" x14ac:dyDescent="0.2">
      <c r="A115" t="s">
        <v>2570</v>
      </c>
      <c r="B115" t="s">
        <v>7125</v>
      </c>
      <c r="C115">
        <v>2700</v>
      </c>
      <c r="D115" t="s">
        <v>6961</v>
      </c>
      <c r="E115">
        <v>2700</v>
      </c>
      <c r="F115" t="s">
        <v>6961</v>
      </c>
      <c r="G115" s="220">
        <f t="shared" si="6"/>
        <v>2700</v>
      </c>
      <c r="H115" s="220">
        <f t="shared" si="7"/>
        <v>2700</v>
      </c>
      <c r="I115" s="221">
        <f>IF(A115="Total",VLOOKUP(B115,CORRESPONDANCE[#All],2,FALSE),I116)</f>
        <v>23</v>
      </c>
      <c r="J115" s="222" t="str">
        <f t="shared" si="4"/>
        <v>6</v>
      </c>
      <c r="K115" s="44" t="str">
        <f t="shared" si="5"/>
        <v>GLR5 - 623050</v>
      </c>
      <c r="L115" s="44" t="str">
        <f>+VLOOKUP(K115,TL[],4,FALSE)</f>
        <v>15</v>
      </c>
    </row>
    <row r="116" spans="1:12" x14ac:dyDescent="0.2">
      <c r="A116" t="s">
        <v>1788</v>
      </c>
      <c r="B116" t="s">
        <v>226</v>
      </c>
      <c r="C116">
        <v>3864.32</v>
      </c>
      <c r="D116" t="s">
        <v>6961</v>
      </c>
      <c r="E116">
        <v>3864.32</v>
      </c>
      <c r="F116" t="s">
        <v>6961</v>
      </c>
      <c r="G116" s="220">
        <f t="shared" si="6"/>
        <v>3864.32</v>
      </c>
      <c r="H116" s="220">
        <f t="shared" si="7"/>
        <v>3864.32</v>
      </c>
      <c r="I116" s="221">
        <f>IF(A116="Total",VLOOKUP(B116,CORRESPONDANCE[#All],2,FALSE),I117)</f>
        <v>23</v>
      </c>
      <c r="J116" s="222" t="str">
        <f t="shared" si="4"/>
        <v>6</v>
      </c>
      <c r="K116" s="44" t="str">
        <f t="shared" si="5"/>
        <v>GLR5 - 623401</v>
      </c>
      <c r="L116" s="44" t="str">
        <f>+VLOOKUP(K116,TL[],4,FALSE)</f>
        <v>15</v>
      </c>
    </row>
    <row r="117" spans="1:12" x14ac:dyDescent="0.2">
      <c r="A117" t="s">
        <v>1633</v>
      </c>
      <c r="B117" t="s">
        <v>2249</v>
      </c>
      <c r="C117">
        <v>1759.95</v>
      </c>
      <c r="D117" t="s">
        <v>6961</v>
      </c>
      <c r="E117">
        <v>1759.95</v>
      </c>
      <c r="F117" t="s">
        <v>6961</v>
      </c>
      <c r="G117" s="220">
        <f t="shared" si="6"/>
        <v>1759.95</v>
      </c>
      <c r="H117" s="220">
        <f t="shared" si="7"/>
        <v>1759.95</v>
      </c>
      <c r="I117" s="221">
        <f>IF(A117="Total",VLOOKUP(B117,CORRESPONDANCE[#All],2,FALSE),I118)</f>
        <v>23</v>
      </c>
      <c r="J117" s="222" t="str">
        <f t="shared" si="4"/>
        <v>6</v>
      </c>
      <c r="K117" s="44" t="str">
        <f t="shared" si="5"/>
        <v>GLR5 - 623415</v>
      </c>
      <c r="L117" s="44" t="str">
        <f>+VLOOKUP(K117,TL[],4,FALSE)</f>
        <v>15</v>
      </c>
    </row>
    <row r="118" spans="1:12" x14ac:dyDescent="0.2">
      <c r="A118" t="s">
        <v>3360</v>
      </c>
      <c r="B118" t="s">
        <v>3361</v>
      </c>
      <c r="C118">
        <v>1</v>
      </c>
      <c r="D118" t="s">
        <v>6961</v>
      </c>
      <c r="E118">
        <v>1</v>
      </c>
      <c r="F118" t="s">
        <v>6961</v>
      </c>
      <c r="G118" s="220">
        <f t="shared" si="6"/>
        <v>1</v>
      </c>
      <c r="H118" s="220">
        <f t="shared" si="7"/>
        <v>1</v>
      </c>
      <c r="I118" s="221">
        <f>IF(A118="Total",VLOOKUP(B118,CORRESPONDANCE[#All],2,FALSE),I119)</f>
        <v>23</v>
      </c>
      <c r="J118" s="222" t="str">
        <f t="shared" si="4"/>
        <v>7</v>
      </c>
      <c r="K118" s="44" t="str">
        <f t="shared" si="5"/>
        <v>GLR5 - 708890</v>
      </c>
      <c r="L118" s="44" t="str">
        <f>+VLOOKUP(K118,TL[],4,FALSE)</f>
        <v>15</v>
      </c>
    </row>
    <row r="119" spans="1:12" x14ac:dyDescent="0.2">
      <c r="A119" t="s">
        <v>197</v>
      </c>
      <c r="B119" t="s">
        <v>2572</v>
      </c>
      <c r="C119">
        <v>8325.27</v>
      </c>
      <c r="D119" t="s">
        <v>6961</v>
      </c>
      <c r="E119">
        <v>8325.27</v>
      </c>
      <c r="F119" t="s">
        <v>6961</v>
      </c>
      <c r="G119" s="220">
        <f t="shared" si="6"/>
        <v>8325.27</v>
      </c>
      <c r="H119" s="220">
        <f t="shared" si="7"/>
        <v>8325.27</v>
      </c>
      <c r="I119" s="221">
        <f>IF(A119="Total",VLOOKUP(B119,CORRESPONDANCE[#All],2,FALSE),I120)</f>
        <v>23</v>
      </c>
      <c r="J119" s="222" t="str">
        <f t="shared" si="4"/>
        <v>T</v>
      </c>
      <c r="K119" s="44" t="str">
        <f t="shared" si="5"/>
        <v>GLR5 - Total</v>
      </c>
      <c r="L119" s="44" t="e">
        <f>+VLOOKUP(K119,TL[],4,FALSE)</f>
        <v>#N/A</v>
      </c>
    </row>
    <row r="120" spans="1:12" x14ac:dyDescent="0.2">
      <c r="A120" t="s">
        <v>2573</v>
      </c>
      <c r="B120" t="s">
        <v>2217</v>
      </c>
      <c r="C120">
        <v>999</v>
      </c>
      <c r="D120" t="s">
        <v>6961</v>
      </c>
      <c r="E120">
        <v>999</v>
      </c>
      <c r="F120" t="s">
        <v>6961</v>
      </c>
      <c r="G120" s="220">
        <f t="shared" si="6"/>
        <v>999</v>
      </c>
      <c r="H120" s="220">
        <f t="shared" si="7"/>
        <v>999</v>
      </c>
      <c r="I120" s="221">
        <f>IF(A120="Total",VLOOKUP(B120,CORRESPONDANCE[#All],2,FALSE),I121)</f>
        <v>24</v>
      </c>
      <c r="J120" s="222" t="str">
        <f t="shared" si="4"/>
        <v>6</v>
      </c>
      <c r="K120" s="44" t="str">
        <f t="shared" si="5"/>
        <v>GLR5 - 606110</v>
      </c>
      <c r="L120" s="44" t="str">
        <f>+VLOOKUP(K120,TL[],4,FALSE)</f>
        <v>20</v>
      </c>
    </row>
    <row r="121" spans="1:12" x14ac:dyDescent="0.2">
      <c r="A121" t="s">
        <v>2574</v>
      </c>
      <c r="B121" t="s">
        <v>2218</v>
      </c>
      <c r="C121">
        <v>10053</v>
      </c>
      <c r="D121" t="s">
        <v>6961</v>
      </c>
      <c r="E121">
        <v>10053</v>
      </c>
      <c r="F121" t="s">
        <v>6961</v>
      </c>
      <c r="G121" s="220">
        <f t="shared" si="6"/>
        <v>10053</v>
      </c>
      <c r="H121" s="220">
        <f t="shared" si="7"/>
        <v>10053</v>
      </c>
      <c r="I121" s="221">
        <f>IF(A121="Total",VLOOKUP(B121,CORRESPONDANCE[#All],2,FALSE),I122)</f>
        <v>24</v>
      </c>
      <c r="J121" s="222" t="str">
        <f t="shared" si="4"/>
        <v>6</v>
      </c>
      <c r="K121" s="44" t="str">
        <f t="shared" si="5"/>
        <v>GLR5 - 606120</v>
      </c>
      <c r="L121" s="44" t="str">
        <f>+VLOOKUP(K121,TL[],4,FALSE)</f>
        <v>20</v>
      </c>
    </row>
    <row r="122" spans="1:12" x14ac:dyDescent="0.2">
      <c r="A122" t="s">
        <v>2575</v>
      </c>
      <c r="B122" t="s">
        <v>2219</v>
      </c>
      <c r="C122">
        <v>249</v>
      </c>
      <c r="D122" t="s">
        <v>6961</v>
      </c>
      <c r="E122">
        <v>249</v>
      </c>
      <c r="F122" t="s">
        <v>6961</v>
      </c>
      <c r="G122" s="220">
        <f t="shared" si="6"/>
        <v>249</v>
      </c>
      <c r="H122" s="220">
        <f t="shared" si="7"/>
        <v>249</v>
      </c>
      <c r="I122" s="221">
        <f>IF(A122="Total",VLOOKUP(B122,CORRESPONDANCE[#All],2,FALSE),I123)</f>
        <v>24</v>
      </c>
      <c r="J122" s="222" t="str">
        <f t="shared" si="4"/>
        <v>6</v>
      </c>
      <c r="K122" s="44" t="str">
        <f t="shared" si="5"/>
        <v>GLR5 - 606150</v>
      </c>
      <c r="L122" s="44" t="str">
        <f>+VLOOKUP(K122,TL[],4,FALSE)</f>
        <v>20</v>
      </c>
    </row>
    <row r="123" spans="1:12" x14ac:dyDescent="0.2">
      <c r="A123" t="s">
        <v>3277</v>
      </c>
      <c r="B123" t="s">
        <v>5918</v>
      </c>
      <c r="C123">
        <v>21.4</v>
      </c>
      <c r="D123" t="s">
        <v>6961</v>
      </c>
      <c r="E123">
        <v>21.4</v>
      </c>
      <c r="F123" t="s">
        <v>6961</v>
      </c>
      <c r="G123" s="220">
        <f t="shared" si="6"/>
        <v>21.4</v>
      </c>
      <c r="H123" s="220">
        <f t="shared" si="7"/>
        <v>21.4</v>
      </c>
      <c r="I123" s="221">
        <f>IF(A123="Total",VLOOKUP(B123,CORRESPONDANCE[#All],2,FALSE),I124)</f>
        <v>24</v>
      </c>
      <c r="J123" s="222" t="str">
        <f t="shared" si="4"/>
        <v>6</v>
      </c>
      <c r="K123" s="44" t="str">
        <f t="shared" si="5"/>
        <v>GLR5 - 626000</v>
      </c>
      <c r="L123" s="44" t="str">
        <f>+VLOOKUP(K123,TL[],4,FALSE)</f>
        <v>20</v>
      </c>
    </row>
    <row r="124" spans="1:12" x14ac:dyDescent="0.2">
      <c r="A124" t="s">
        <v>1590</v>
      </c>
      <c r="B124" t="s">
        <v>167</v>
      </c>
      <c r="C124">
        <v>724</v>
      </c>
      <c r="D124" t="s">
        <v>6961</v>
      </c>
      <c r="E124">
        <v>724</v>
      </c>
      <c r="F124" t="s">
        <v>6961</v>
      </c>
      <c r="G124" s="220">
        <f t="shared" si="6"/>
        <v>724</v>
      </c>
      <c r="H124" s="220">
        <f t="shared" si="7"/>
        <v>724</v>
      </c>
      <c r="I124" s="221">
        <f>IF(A124="Total",VLOOKUP(B124,CORRESPONDANCE[#All],2,FALSE),I125)</f>
        <v>24</v>
      </c>
      <c r="J124" s="222" t="str">
        <f t="shared" si="4"/>
        <v>6</v>
      </c>
      <c r="K124" s="44" t="str">
        <f t="shared" si="5"/>
        <v>GLR5 - 626200</v>
      </c>
      <c r="L124" s="44" t="str">
        <f>+VLOOKUP(K124,TL[],4,FALSE)</f>
        <v>20</v>
      </c>
    </row>
    <row r="125" spans="1:12" x14ac:dyDescent="0.2">
      <c r="A125" t="s">
        <v>197</v>
      </c>
      <c r="B125" t="s">
        <v>2576</v>
      </c>
      <c r="C125">
        <v>12046.4</v>
      </c>
      <c r="D125" t="s">
        <v>6961</v>
      </c>
      <c r="E125">
        <v>12046.4</v>
      </c>
      <c r="F125" t="s">
        <v>6961</v>
      </c>
      <c r="G125" s="220">
        <f t="shared" si="6"/>
        <v>12046.4</v>
      </c>
      <c r="H125" s="220">
        <f t="shared" si="7"/>
        <v>12046.4</v>
      </c>
      <c r="I125" s="221">
        <f>IF(A125="Total",VLOOKUP(B125,CORRESPONDANCE[#All],2,FALSE),I126)</f>
        <v>24</v>
      </c>
      <c r="J125" s="222" t="str">
        <f t="shared" si="4"/>
        <v>T</v>
      </c>
      <c r="K125" s="44" t="str">
        <f t="shared" si="5"/>
        <v>GLR5 - Total</v>
      </c>
      <c r="L125" s="44" t="e">
        <f>+VLOOKUP(K125,TL[],4,FALSE)</f>
        <v>#N/A</v>
      </c>
    </row>
    <row r="126" spans="1:12" x14ac:dyDescent="0.2">
      <c r="A126" t="s">
        <v>1616</v>
      </c>
      <c r="B126" t="s">
        <v>2220</v>
      </c>
      <c r="C126">
        <v>2647.2</v>
      </c>
      <c r="D126" t="s">
        <v>6961</v>
      </c>
      <c r="E126">
        <v>2647.2</v>
      </c>
      <c r="F126" t="s">
        <v>6961</v>
      </c>
      <c r="G126" s="220">
        <f t="shared" si="6"/>
        <v>2647.2</v>
      </c>
      <c r="H126" s="220">
        <f t="shared" si="7"/>
        <v>2647.2</v>
      </c>
      <c r="I126" s="221">
        <f>IF(A126="Total",VLOOKUP(B126,CORRESPONDANCE[#All],2,FALSE),I127)</f>
        <v>25</v>
      </c>
      <c r="J126" s="222" t="str">
        <f t="shared" si="4"/>
        <v>6</v>
      </c>
      <c r="K126" s="44" t="str">
        <f t="shared" si="5"/>
        <v>GLR5 - 606302</v>
      </c>
      <c r="L126" s="44" t="str">
        <f>+VLOOKUP(K126,TL[],4,FALSE)</f>
        <v>18</v>
      </c>
    </row>
    <row r="127" spans="1:12" x14ac:dyDescent="0.2">
      <c r="A127" t="s">
        <v>1612</v>
      </c>
      <c r="B127" t="s">
        <v>214</v>
      </c>
      <c r="C127">
        <v>97.8</v>
      </c>
      <c r="D127" t="s">
        <v>6961</v>
      </c>
      <c r="E127">
        <v>97.8</v>
      </c>
      <c r="F127" t="s">
        <v>6961</v>
      </c>
      <c r="G127" s="220">
        <f t="shared" si="6"/>
        <v>97.8</v>
      </c>
      <c r="H127" s="220">
        <f t="shared" si="7"/>
        <v>97.8</v>
      </c>
      <c r="I127" s="221">
        <f>IF(A127="Total",VLOOKUP(B127,CORRESPONDANCE[#All],2,FALSE),I128)</f>
        <v>25</v>
      </c>
      <c r="J127" s="222" t="str">
        <f t="shared" si="4"/>
        <v>6</v>
      </c>
      <c r="K127" s="44" t="str">
        <f t="shared" si="5"/>
        <v>GLR5 - 606401</v>
      </c>
      <c r="L127" s="44" t="str">
        <f>+VLOOKUP(K127,TL[],4,FALSE)</f>
        <v>21</v>
      </c>
    </row>
    <row r="128" spans="1:12" x14ac:dyDescent="0.2">
      <c r="A128" t="s">
        <v>197</v>
      </c>
      <c r="B128" t="s">
        <v>2578</v>
      </c>
      <c r="C128">
        <v>2745</v>
      </c>
      <c r="D128" t="s">
        <v>6961</v>
      </c>
      <c r="E128">
        <v>2745</v>
      </c>
      <c r="F128" t="s">
        <v>6961</v>
      </c>
      <c r="G128" s="220">
        <f t="shared" si="6"/>
        <v>2745</v>
      </c>
      <c r="H128" s="220">
        <f t="shared" si="7"/>
        <v>2745</v>
      </c>
      <c r="I128" s="221">
        <f>IF(A128="Total",VLOOKUP(B128,CORRESPONDANCE[#All],2,FALSE),I129)</f>
        <v>25</v>
      </c>
      <c r="J128" s="222" t="str">
        <f t="shared" si="4"/>
        <v>T</v>
      </c>
      <c r="K128" s="44" t="str">
        <f t="shared" si="5"/>
        <v>GLR5 - Total</v>
      </c>
      <c r="L128" s="44" t="e">
        <f>+VLOOKUP(K128,TL[],4,FALSE)</f>
        <v>#N/A</v>
      </c>
    </row>
    <row r="129" spans="1:12" x14ac:dyDescent="0.2">
      <c r="A129" t="s">
        <v>2579</v>
      </c>
      <c r="B129" t="s">
        <v>2250</v>
      </c>
      <c r="C129">
        <v>274.13</v>
      </c>
      <c r="D129" t="s">
        <v>6961</v>
      </c>
      <c r="E129">
        <v>274.13</v>
      </c>
      <c r="F129" t="s">
        <v>6961</v>
      </c>
      <c r="G129" s="220">
        <f t="shared" si="6"/>
        <v>274.13</v>
      </c>
      <c r="H129" s="220">
        <f t="shared" si="7"/>
        <v>274.13</v>
      </c>
      <c r="I129" s="221">
        <f>IF(A129="Total",VLOOKUP(B129,CORRESPONDANCE[#All],2,FALSE),I130)</f>
        <v>26</v>
      </c>
      <c r="J129" s="222" t="str">
        <f t="shared" si="4"/>
        <v>6</v>
      </c>
      <c r="K129" s="44" t="str">
        <f t="shared" si="5"/>
        <v>GLR5 - 625200</v>
      </c>
      <c r="L129" s="44" t="str">
        <f>+VLOOKUP(K129,TL[],4,FALSE)</f>
        <v>13</v>
      </c>
    </row>
    <row r="130" spans="1:12" x14ac:dyDescent="0.2">
      <c r="A130" t="s">
        <v>197</v>
      </c>
      <c r="B130" t="s">
        <v>2580</v>
      </c>
      <c r="C130">
        <v>274.13</v>
      </c>
      <c r="D130" t="s">
        <v>6961</v>
      </c>
      <c r="E130">
        <v>274.13</v>
      </c>
      <c r="F130" t="s">
        <v>6961</v>
      </c>
      <c r="G130" s="220">
        <f t="shared" si="6"/>
        <v>274.13</v>
      </c>
      <c r="H130" s="220">
        <f t="shared" si="7"/>
        <v>274.13</v>
      </c>
      <c r="I130" s="221">
        <f>IF(A130="Total",VLOOKUP(B130,CORRESPONDANCE[#All],2,FALSE),I131)</f>
        <v>26</v>
      </c>
      <c r="J130" s="222" t="str">
        <f t="shared" ref="J130:J172" si="8">LEFT(A130,1)</f>
        <v>T</v>
      </c>
      <c r="K130" s="44" t="str">
        <f t="shared" ref="K130:K172" si="9">"GLR5"&amp;" - "&amp;A130</f>
        <v>GLR5 - Total</v>
      </c>
      <c r="L130" s="44" t="e">
        <f>+VLOOKUP(K130,TL[],4,FALSE)</f>
        <v>#N/A</v>
      </c>
    </row>
    <row r="131" spans="1:12" x14ac:dyDescent="0.2">
      <c r="A131" t="s">
        <v>1609</v>
      </c>
      <c r="B131" t="s">
        <v>146</v>
      </c>
      <c r="C131">
        <v>407.13</v>
      </c>
      <c r="D131" t="s">
        <v>6961</v>
      </c>
      <c r="E131">
        <v>407.13</v>
      </c>
      <c r="F131" t="s">
        <v>6961</v>
      </c>
      <c r="G131" s="220">
        <f t="shared" si="6"/>
        <v>407.13</v>
      </c>
      <c r="H131" s="220">
        <f t="shared" si="7"/>
        <v>407.13</v>
      </c>
      <c r="I131" s="221">
        <f>IF(A131="Total",VLOOKUP(B131,CORRESPONDANCE[#All],2,FALSE),I132)</f>
        <v>27</v>
      </c>
      <c r="J131" s="222" t="str">
        <f t="shared" si="8"/>
        <v>6</v>
      </c>
      <c r="K131" s="44" t="str">
        <f t="shared" si="9"/>
        <v>GLR5 - 606303</v>
      </c>
      <c r="L131" s="44" t="str">
        <f>+VLOOKUP(K131,TL[],4,FALSE)</f>
        <v>17</v>
      </c>
    </row>
    <row r="132" spans="1:12" x14ac:dyDescent="0.2">
      <c r="A132" t="s">
        <v>2581</v>
      </c>
      <c r="B132" t="s">
        <v>2582</v>
      </c>
      <c r="C132">
        <v>410</v>
      </c>
      <c r="D132" t="s">
        <v>6961</v>
      </c>
      <c r="E132">
        <v>410</v>
      </c>
      <c r="F132" t="s">
        <v>6961</v>
      </c>
      <c r="G132" s="220">
        <f t="shared" si="6"/>
        <v>410</v>
      </c>
      <c r="H132" s="220">
        <f t="shared" si="7"/>
        <v>410</v>
      </c>
      <c r="I132" s="221">
        <f>IF(A132="Total",VLOOKUP(B132,CORRESPONDANCE[#All],2,FALSE),I133)</f>
        <v>27</v>
      </c>
      <c r="J132" s="222" t="str">
        <f t="shared" si="8"/>
        <v>6</v>
      </c>
      <c r="K132" s="44" t="str">
        <f t="shared" si="9"/>
        <v>GLR5 - 625300</v>
      </c>
      <c r="L132" s="44" t="str">
        <f>+VLOOKUP(K132,TL[],4,FALSE)</f>
        <v>39</v>
      </c>
    </row>
    <row r="133" spans="1:12" x14ac:dyDescent="0.2">
      <c r="A133" t="s">
        <v>1974</v>
      </c>
      <c r="B133" t="s">
        <v>2252</v>
      </c>
      <c r="C133">
        <v>286</v>
      </c>
      <c r="D133" t="s">
        <v>6961</v>
      </c>
      <c r="E133">
        <v>286</v>
      </c>
      <c r="F133" t="s">
        <v>6961</v>
      </c>
      <c r="G133" s="220">
        <f t="shared" ref="G133:G172" si="10">SUM(C133)-SUM(D133)</f>
        <v>286</v>
      </c>
      <c r="H133" s="220">
        <f t="shared" ref="H133:H172" si="11">SUM(E133)-SUM(F133)</f>
        <v>286</v>
      </c>
      <c r="I133" s="221">
        <f>IF(A133="Total",VLOOKUP(B133,CORRESPONDANCE[#All],2,FALSE),I134)</f>
        <v>27</v>
      </c>
      <c r="J133" s="222" t="str">
        <f t="shared" si="8"/>
        <v>6</v>
      </c>
      <c r="K133" s="44" t="str">
        <f t="shared" si="9"/>
        <v>GLR5 - 628023</v>
      </c>
      <c r="L133" s="44" t="str">
        <f>+VLOOKUP(K133,TL[],4,FALSE)</f>
        <v>23</v>
      </c>
    </row>
    <row r="134" spans="1:12" x14ac:dyDescent="0.2">
      <c r="A134" t="s">
        <v>1801</v>
      </c>
      <c r="B134" t="s">
        <v>31</v>
      </c>
      <c r="C134">
        <v>272.35000000000002</v>
      </c>
      <c r="D134" t="s">
        <v>6961</v>
      </c>
      <c r="E134">
        <v>272.35000000000002</v>
      </c>
      <c r="F134" t="s">
        <v>6961</v>
      </c>
      <c r="G134" s="220">
        <f t="shared" si="10"/>
        <v>272.35000000000002</v>
      </c>
      <c r="H134" s="220">
        <f t="shared" si="11"/>
        <v>272.35000000000002</v>
      </c>
      <c r="I134" s="221">
        <f>IF(A134="Total",VLOOKUP(B134,CORRESPONDANCE[#All],2,FALSE),I135)</f>
        <v>27</v>
      </c>
      <c r="J134" s="222" t="str">
        <f t="shared" si="8"/>
        <v>6</v>
      </c>
      <c r="K134" s="44" t="str">
        <f t="shared" si="9"/>
        <v>GLR5 - 671100</v>
      </c>
      <c r="L134" s="44" t="str">
        <f>+VLOOKUP(K134,TL[],4,FALSE)</f>
        <v>22</v>
      </c>
    </row>
    <row r="135" spans="1:12" x14ac:dyDescent="0.2">
      <c r="A135" t="s">
        <v>1798</v>
      </c>
      <c r="B135" t="s">
        <v>31</v>
      </c>
      <c r="C135" t="s">
        <v>6961</v>
      </c>
      <c r="D135">
        <v>67.349999999999994</v>
      </c>
      <c r="E135" t="s">
        <v>6961</v>
      </c>
      <c r="F135">
        <v>67.349999999999994</v>
      </c>
      <c r="G135" s="220">
        <f t="shared" si="10"/>
        <v>-67.349999999999994</v>
      </c>
      <c r="H135" s="220">
        <f t="shared" si="11"/>
        <v>-67.349999999999994</v>
      </c>
      <c r="I135" s="221">
        <f>IF(A135="Total",VLOOKUP(B135,CORRESPONDANCE[#All],2,FALSE),I136)</f>
        <v>27</v>
      </c>
      <c r="J135" s="222" t="str">
        <f t="shared" si="8"/>
        <v>7</v>
      </c>
      <c r="K135" s="44" t="str">
        <f t="shared" si="9"/>
        <v>GLR5 - 771100</v>
      </c>
      <c r="L135" s="44" t="str">
        <f>+VLOOKUP(K135,TL[],4,FALSE)</f>
        <v>22</v>
      </c>
    </row>
    <row r="136" spans="1:12" x14ac:dyDescent="0.2">
      <c r="A136" t="s">
        <v>197</v>
      </c>
      <c r="B136" t="s">
        <v>2583</v>
      </c>
      <c r="C136">
        <v>1308.1300000000001</v>
      </c>
      <c r="D136" t="s">
        <v>6961</v>
      </c>
      <c r="E136">
        <v>1308.1300000000001</v>
      </c>
      <c r="F136" t="s">
        <v>6961</v>
      </c>
      <c r="G136" s="220">
        <f t="shared" si="10"/>
        <v>1308.1300000000001</v>
      </c>
      <c r="H136" s="220">
        <f t="shared" si="11"/>
        <v>1308.1300000000001</v>
      </c>
      <c r="I136" s="221">
        <f>IF(A136="Total",VLOOKUP(B136,CORRESPONDANCE[#All],2,FALSE),I137)</f>
        <v>27</v>
      </c>
      <c r="J136" s="222" t="str">
        <f t="shared" si="8"/>
        <v>T</v>
      </c>
      <c r="K136" s="44" t="str">
        <f t="shared" si="9"/>
        <v>GLR5 - Total</v>
      </c>
      <c r="L136" s="44" t="e">
        <f>+VLOOKUP(K136,TL[],4,FALSE)</f>
        <v>#N/A</v>
      </c>
    </row>
    <row r="137" spans="1:12" x14ac:dyDescent="0.2">
      <c r="A137" t="s">
        <v>1904</v>
      </c>
      <c r="B137" t="s">
        <v>2207</v>
      </c>
      <c r="C137">
        <v>65999.259999999995</v>
      </c>
      <c r="D137" t="s">
        <v>6961</v>
      </c>
      <c r="E137">
        <v>65999.259999999995</v>
      </c>
      <c r="F137" t="s">
        <v>6961</v>
      </c>
      <c r="G137" s="220">
        <f t="shared" si="10"/>
        <v>65999.259999999995</v>
      </c>
      <c r="H137" s="220">
        <f t="shared" si="11"/>
        <v>65999.259999999995</v>
      </c>
      <c r="I137" s="221">
        <f>IF(A137="Total",VLOOKUP(B137,CORRESPONDANCE[#All],2,FALSE),I138)</f>
        <v>29</v>
      </c>
      <c r="J137" s="222" t="str">
        <f t="shared" si="8"/>
        <v>6</v>
      </c>
      <c r="K137" s="44" t="str">
        <f t="shared" si="9"/>
        <v>GLR5 - 613000</v>
      </c>
      <c r="L137" s="44" t="str">
        <f>+VLOOKUP(K137,TL[],4,FALSE)</f>
        <v>30</v>
      </c>
    </row>
    <row r="138" spans="1:12" x14ac:dyDescent="0.2">
      <c r="A138" t="s">
        <v>197</v>
      </c>
      <c r="B138" t="s">
        <v>2584</v>
      </c>
      <c r="C138">
        <v>65999.259999999995</v>
      </c>
      <c r="D138" t="s">
        <v>6961</v>
      </c>
      <c r="E138">
        <v>65999.259999999995</v>
      </c>
      <c r="F138" t="s">
        <v>6961</v>
      </c>
      <c r="G138" s="220">
        <f t="shared" si="10"/>
        <v>65999.259999999995</v>
      </c>
      <c r="H138" s="220">
        <f t="shared" si="11"/>
        <v>65999.259999999995</v>
      </c>
      <c r="I138" s="221">
        <f>IF(A138="Total",VLOOKUP(B138,CORRESPONDANCE[#All],2,FALSE),I139)</f>
        <v>29</v>
      </c>
      <c r="J138" s="222" t="str">
        <f t="shared" si="8"/>
        <v>T</v>
      </c>
      <c r="K138" s="44" t="str">
        <f t="shared" si="9"/>
        <v>GLR5 - Total</v>
      </c>
      <c r="L138" s="44" t="e">
        <f>+VLOOKUP(K138,TL[],4,FALSE)</f>
        <v>#N/A</v>
      </c>
    </row>
    <row r="139" spans="1:12" x14ac:dyDescent="0.2">
      <c r="A139" t="s">
        <v>1604</v>
      </c>
      <c r="B139" t="s">
        <v>2206</v>
      </c>
      <c r="C139" t="s">
        <v>6961</v>
      </c>
      <c r="D139">
        <v>803.22</v>
      </c>
      <c r="E139" t="s">
        <v>6961</v>
      </c>
      <c r="F139">
        <v>803.22</v>
      </c>
      <c r="G139" s="220">
        <f t="shared" si="10"/>
        <v>-803.22</v>
      </c>
      <c r="H139" s="220">
        <f t="shared" si="11"/>
        <v>-803.22</v>
      </c>
      <c r="I139" s="221">
        <f>IF(A139="Total",VLOOKUP(B139,CORRESPONDANCE[#All],2,FALSE),I140)</f>
        <v>31</v>
      </c>
      <c r="J139" s="222" t="str">
        <f t="shared" si="8"/>
        <v>6</v>
      </c>
      <c r="K139" s="44" t="str">
        <f t="shared" si="9"/>
        <v>GLR5 - 651200</v>
      </c>
      <c r="L139" s="44" t="str">
        <f>+VLOOKUP(K139,TL[],4,FALSE)</f>
        <v>30</v>
      </c>
    </row>
    <row r="140" spans="1:12" x14ac:dyDescent="0.2">
      <c r="A140" t="s">
        <v>1606</v>
      </c>
      <c r="B140" t="s">
        <v>2201</v>
      </c>
      <c r="C140" t="s">
        <v>6961</v>
      </c>
      <c r="D140">
        <v>258.43</v>
      </c>
      <c r="E140" t="s">
        <v>6961</v>
      </c>
      <c r="F140">
        <v>258.43</v>
      </c>
      <c r="G140" s="220">
        <f t="shared" si="10"/>
        <v>-258.43</v>
      </c>
      <c r="H140" s="220">
        <f t="shared" si="11"/>
        <v>-258.43</v>
      </c>
      <c r="I140" s="221">
        <f>IF(A140="Total",VLOOKUP(B140,CORRESPONDANCE[#All],2,FALSE),I141)</f>
        <v>31</v>
      </c>
      <c r="J140" s="222" t="str">
        <f t="shared" si="8"/>
        <v>6</v>
      </c>
      <c r="K140" s="44" t="str">
        <f t="shared" si="9"/>
        <v>GLR5 - 651210</v>
      </c>
      <c r="L140" s="44" t="str">
        <f>+VLOOKUP(K140,TL[],4,FALSE)</f>
        <v>31</v>
      </c>
    </row>
    <row r="141" spans="1:12" x14ac:dyDescent="0.2">
      <c r="A141" t="s">
        <v>197</v>
      </c>
      <c r="B141" t="s">
        <v>2585</v>
      </c>
      <c r="C141" t="s">
        <v>6961</v>
      </c>
      <c r="D141">
        <v>1061.6500000000001</v>
      </c>
      <c r="E141" t="s">
        <v>6961</v>
      </c>
      <c r="F141">
        <v>1061.6500000000001</v>
      </c>
      <c r="G141" s="220">
        <f t="shared" si="10"/>
        <v>-1061.6500000000001</v>
      </c>
      <c r="H141" s="220">
        <f t="shared" si="11"/>
        <v>-1061.6500000000001</v>
      </c>
      <c r="I141" s="221">
        <f>IF(A141="Total",VLOOKUP(B141,CORRESPONDANCE[#All],2,FALSE),I142)</f>
        <v>31</v>
      </c>
      <c r="J141" s="222" t="str">
        <f t="shared" si="8"/>
        <v>T</v>
      </c>
      <c r="K141" s="44" t="str">
        <f t="shared" si="9"/>
        <v>GLR5 - Total</v>
      </c>
      <c r="L141" s="44" t="e">
        <f>+VLOOKUP(K141,TL[],4,FALSE)</f>
        <v>#N/A</v>
      </c>
    </row>
    <row r="142" spans="1:12" x14ac:dyDescent="0.2">
      <c r="A142" t="s">
        <v>1784</v>
      </c>
      <c r="B142" t="s">
        <v>2228</v>
      </c>
      <c r="C142">
        <v>789</v>
      </c>
      <c r="D142" t="s">
        <v>6961</v>
      </c>
      <c r="E142">
        <v>789</v>
      </c>
      <c r="F142" t="s">
        <v>6961</v>
      </c>
      <c r="G142" s="220">
        <f t="shared" si="10"/>
        <v>789</v>
      </c>
      <c r="H142" s="220">
        <f t="shared" si="11"/>
        <v>789</v>
      </c>
      <c r="I142" s="221">
        <f>IF(A142="Total",VLOOKUP(B142,CORRESPONDANCE[#All],2,FALSE),I143)</f>
        <v>33</v>
      </c>
      <c r="J142" s="222" t="str">
        <f t="shared" si="8"/>
        <v>6</v>
      </c>
      <c r="K142" s="44" t="str">
        <f t="shared" si="9"/>
        <v>GLR5 - 614100</v>
      </c>
      <c r="L142" s="44" t="str">
        <f>+VLOOKUP(K142,TL[],4,FALSE)</f>
        <v>34</v>
      </c>
    </row>
    <row r="143" spans="1:12" x14ac:dyDescent="0.2">
      <c r="A143" t="s">
        <v>197</v>
      </c>
      <c r="B143" t="s">
        <v>2586</v>
      </c>
      <c r="C143">
        <v>789</v>
      </c>
      <c r="D143" t="s">
        <v>6961</v>
      </c>
      <c r="E143">
        <v>789</v>
      </c>
      <c r="F143" t="s">
        <v>6961</v>
      </c>
      <c r="G143" s="220">
        <f t="shared" si="10"/>
        <v>789</v>
      </c>
      <c r="H143" s="220">
        <f t="shared" si="11"/>
        <v>789</v>
      </c>
      <c r="I143" s="221">
        <f>IF(A143="Total",VLOOKUP(B143,CORRESPONDANCE[#All],2,FALSE),I144)</f>
        <v>33</v>
      </c>
      <c r="J143" s="222" t="str">
        <f t="shared" si="8"/>
        <v>T</v>
      </c>
      <c r="K143" s="44" t="str">
        <f t="shared" si="9"/>
        <v>GLR5 - Total</v>
      </c>
      <c r="L143" s="44" t="e">
        <f>+VLOOKUP(K143,TL[],4,FALSE)</f>
        <v>#N/A</v>
      </c>
    </row>
    <row r="144" spans="1:12" x14ac:dyDescent="0.2">
      <c r="A144" t="s">
        <v>2587</v>
      </c>
      <c r="B144" t="s">
        <v>2205</v>
      </c>
      <c r="C144">
        <v>21289.41</v>
      </c>
      <c r="D144" t="s">
        <v>6961</v>
      </c>
      <c r="E144">
        <v>21289.41</v>
      </c>
      <c r="F144" t="s">
        <v>6961</v>
      </c>
      <c r="G144" s="220">
        <f t="shared" si="10"/>
        <v>21289.41</v>
      </c>
      <c r="H144" s="220">
        <f t="shared" si="11"/>
        <v>21289.41</v>
      </c>
      <c r="I144" s="221">
        <f>IF(A144="Total",VLOOKUP(B144,CORRESPONDANCE[#All],2,FALSE),I145)</f>
        <v>34</v>
      </c>
      <c r="J144" s="222" t="str">
        <f t="shared" si="8"/>
        <v>6</v>
      </c>
      <c r="K144" s="44" t="str">
        <f t="shared" si="9"/>
        <v>GLR5 - 651110</v>
      </c>
      <c r="L144" s="44" t="str">
        <f>+VLOOKUP(K144,TL[],4,FALSE)</f>
        <v>31</v>
      </c>
    </row>
    <row r="145" spans="1:12" x14ac:dyDescent="0.2">
      <c r="A145" t="s">
        <v>197</v>
      </c>
      <c r="B145" t="s">
        <v>2588</v>
      </c>
      <c r="C145">
        <v>21289.41</v>
      </c>
      <c r="D145" t="s">
        <v>6961</v>
      </c>
      <c r="E145">
        <v>21289.41</v>
      </c>
      <c r="F145" t="s">
        <v>6961</v>
      </c>
      <c r="G145" s="220">
        <f t="shared" si="10"/>
        <v>21289.41</v>
      </c>
      <c r="H145" s="220">
        <f t="shared" si="11"/>
        <v>21289.41</v>
      </c>
      <c r="I145" s="221">
        <f>IF(A145="Total",VLOOKUP(B145,CORRESPONDANCE[#All],2,FALSE),I146)</f>
        <v>34</v>
      </c>
      <c r="J145" s="222" t="str">
        <f t="shared" si="8"/>
        <v>T</v>
      </c>
      <c r="K145" s="44" t="str">
        <f t="shared" si="9"/>
        <v>GLR5 - Total</v>
      </c>
      <c r="L145" s="44" t="e">
        <f>+VLOOKUP(K145,TL[],4,FALSE)</f>
        <v>#N/A</v>
      </c>
    </row>
    <row r="146" spans="1:12" x14ac:dyDescent="0.2">
      <c r="A146" t="s">
        <v>1622</v>
      </c>
      <c r="B146" t="s">
        <v>1203</v>
      </c>
      <c r="C146">
        <v>860</v>
      </c>
      <c r="D146" t="s">
        <v>6961</v>
      </c>
      <c r="E146">
        <v>860</v>
      </c>
      <c r="F146" t="s">
        <v>6961</v>
      </c>
      <c r="G146" s="220">
        <f t="shared" si="10"/>
        <v>860</v>
      </c>
      <c r="H146" s="220">
        <f t="shared" si="11"/>
        <v>860</v>
      </c>
      <c r="I146" s="221">
        <f>IF(A146="Total",VLOOKUP(B146,CORRESPONDANCE[#All],2,FALSE),I147)</f>
        <v>35</v>
      </c>
      <c r="J146" s="222" t="str">
        <f t="shared" si="8"/>
        <v>6</v>
      </c>
      <c r="K146" s="44" t="str">
        <f t="shared" si="9"/>
        <v>GLR5 - 622600</v>
      </c>
      <c r="L146" s="44" t="str">
        <f>+VLOOKUP(K146,TL[],4,FALSE)</f>
        <v>32</v>
      </c>
    </row>
    <row r="147" spans="1:12" x14ac:dyDescent="0.2">
      <c r="A147" t="s">
        <v>1766</v>
      </c>
      <c r="B147" t="s">
        <v>1205</v>
      </c>
      <c r="C147">
        <v>244.96</v>
      </c>
      <c r="D147" t="s">
        <v>6961</v>
      </c>
      <c r="E147">
        <v>244.96</v>
      </c>
      <c r="F147" t="s">
        <v>6961</v>
      </c>
      <c r="G147" s="220">
        <f t="shared" si="10"/>
        <v>244.96</v>
      </c>
      <c r="H147" s="220">
        <f t="shared" si="11"/>
        <v>244.96</v>
      </c>
      <c r="I147" s="221">
        <f>IF(A147="Total",VLOOKUP(B147,CORRESPONDANCE[#All],2,FALSE),I148)</f>
        <v>35</v>
      </c>
      <c r="J147" s="222" t="str">
        <f t="shared" si="8"/>
        <v>6</v>
      </c>
      <c r="K147" s="44" t="str">
        <f t="shared" si="9"/>
        <v>GLR5 - 622620</v>
      </c>
      <c r="L147" s="44" t="str">
        <f>+VLOOKUP(K147,TL[],4,FALSE)</f>
        <v>32</v>
      </c>
    </row>
    <row r="148" spans="1:12" x14ac:dyDescent="0.2">
      <c r="A148" t="s">
        <v>2589</v>
      </c>
      <c r="B148" t="s">
        <v>162</v>
      </c>
      <c r="C148">
        <v>58</v>
      </c>
      <c r="D148" t="s">
        <v>6961</v>
      </c>
      <c r="E148">
        <v>58</v>
      </c>
      <c r="F148" t="s">
        <v>6961</v>
      </c>
      <c r="G148" s="220">
        <f t="shared" si="10"/>
        <v>58</v>
      </c>
      <c r="H148" s="220">
        <f t="shared" si="11"/>
        <v>58</v>
      </c>
      <c r="I148" s="221">
        <f>IF(A148="Total",VLOOKUP(B148,CORRESPONDANCE[#All],2,FALSE),I149)</f>
        <v>35</v>
      </c>
      <c r="J148" s="222" t="str">
        <f t="shared" si="8"/>
        <v>6</v>
      </c>
      <c r="K148" s="44" t="str">
        <f t="shared" si="9"/>
        <v>GLR5 - 622660</v>
      </c>
      <c r="L148" s="44" t="str">
        <f>+VLOOKUP(K148,TL[],4,FALSE)</f>
        <v>32</v>
      </c>
    </row>
    <row r="149" spans="1:12" x14ac:dyDescent="0.2">
      <c r="A149" t="s">
        <v>2590</v>
      </c>
      <c r="B149" t="s">
        <v>227</v>
      </c>
      <c r="C149">
        <v>458.33</v>
      </c>
      <c r="D149" t="s">
        <v>6961</v>
      </c>
      <c r="E149">
        <v>458.33</v>
      </c>
      <c r="F149" t="s">
        <v>6961</v>
      </c>
      <c r="G149" s="220">
        <f t="shared" si="10"/>
        <v>458.33</v>
      </c>
      <c r="H149" s="220">
        <f t="shared" si="11"/>
        <v>458.33</v>
      </c>
      <c r="I149" s="221">
        <f>IF(A149="Total",VLOOKUP(B149,CORRESPONDANCE[#All],2,FALSE),I150)</f>
        <v>35</v>
      </c>
      <c r="J149" s="222" t="str">
        <f t="shared" si="8"/>
        <v>6</v>
      </c>
      <c r="K149" s="44" t="str">
        <f t="shared" si="9"/>
        <v>GLR5 - 622661</v>
      </c>
      <c r="L149" s="44" t="str">
        <f>+VLOOKUP(K149,TL[],4,FALSE)</f>
        <v>32</v>
      </c>
    </row>
    <row r="150" spans="1:12" x14ac:dyDescent="0.2">
      <c r="A150" t="s">
        <v>197</v>
      </c>
      <c r="B150" t="s">
        <v>2591</v>
      </c>
      <c r="C150">
        <v>1621.29</v>
      </c>
      <c r="D150" t="s">
        <v>6961</v>
      </c>
      <c r="E150">
        <v>1621.29</v>
      </c>
      <c r="F150" t="s">
        <v>6961</v>
      </c>
      <c r="G150" s="220">
        <f t="shared" si="10"/>
        <v>1621.29</v>
      </c>
      <c r="H150" s="220">
        <f t="shared" si="11"/>
        <v>1621.29</v>
      </c>
      <c r="I150" s="221">
        <f>IF(A150="Total",VLOOKUP(B150,CORRESPONDANCE[#All],2,FALSE),I151)</f>
        <v>35</v>
      </c>
      <c r="J150" s="222" t="str">
        <f t="shared" si="8"/>
        <v>T</v>
      </c>
      <c r="K150" s="44" t="str">
        <f t="shared" si="9"/>
        <v>GLR5 - Total</v>
      </c>
      <c r="L150" s="44" t="e">
        <f>+VLOOKUP(K150,TL[],4,FALSE)</f>
        <v>#N/A</v>
      </c>
    </row>
    <row r="151" spans="1:12" x14ac:dyDescent="0.2">
      <c r="A151" t="s">
        <v>1720</v>
      </c>
      <c r="B151" t="s">
        <v>2198</v>
      </c>
      <c r="C151">
        <v>1900</v>
      </c>
      <c r="D151" t="s">
        <v>6961</v>
      </c>
      <c r="E151">
        <v>1900</v>
      </c>
      <c r="F151" t="s">
        <v>6961</v>
      </c>
      <c r="G151" s="220">
        <f t="shared" si="10"/>
        <v>1900</v>
      </c>
      <c r="H151" s="220">
        <f t="shared" si="11"/>
        <v>1900</v>
      </c>
      <c r="I151" s="221">
        <f>IF(A151="Total",VLOOKUP(B151,CORRESPONDANCE[#All],2,FALSE),I152)</f>
        <v>36</v>
      </c>
      <c r="J151" s="222" t="str">
        <f t="shared" si="8"/>
        <v>6</v>
      </c>
      <c r="K151" s="44" t="str">
        <f t="shared" si="9"/>
        <v>GLR5 - 616001</v>
      </c>
      <c r="L151" s="44" t="str">
        <f>+VLOOKUP(K151,TL[],4,FALSE)</f>
        <v>33</v>
      </c>
    </row>
    <row r="152" spans="1:12" x14ac:dyDescent="0.2">
      <c r="A152" t="s">
        <v>1942</v>
      </c>
      <c r="B152" t="s">
        <v>2244</v>
      </c>
      <c r="C152">
        <v>80</v>
      </c>
      <c r="D152" t="s">
        <v>6961</v>
      </c>
      <c r="E152">
        <v>80</v>
      </c>
      <c r="F152" t="s">
        <v>6961</v>
      </c>
      <c r="G152" s="220">
        <f t="shared" si="10"/>
        <v>80</v>
      </c>
      <c r="H152" s="220">
        <f t="shared" si="11"/>
        <v>80</v>
      </c>
      <c r="I152" s="221">
        <f>IF(A152="Total",VLOOKUP(B152,CORRESPONDANCE[#All],2,FALSE),I153)</f>
        <v>36</v>
      </c>
      <c r="J152" s="222" t="str">
        <f t="shared" si="8"/>
        <v>6</v>
      </c>
      <c r="K152" s="44" t="str">
        <f t="shared" si="9"/>
        <v>GLR5 - 616002</v>
      </c>
      <c r="L152" s="44" t="str">
        <f>+VLOOKUP(K152,TL[],4,FALSE)</f>
        <v>33</v>
      </c>
    </row>
    <row r="153" spans="1:12" x14ac:dyDescent="0.2">
      <c r="A153" t="s">
        <v>1731</v>
      </c>
      <c r="B153" t="s">
        <v>217</v>
      </c>
      <c r="C153">
        <v>19.5</v>
      </c>
      <c r="D153" t="s">
        <v>6961</v>
      </c>
      <c r="E153">
        <v>19.5</v>
      </c>
      <c r="F153" t="s">
        <v>6961</v>
      </c>
      <c r="G153" s="220">
        <f t="shared" si="10"/>
        <v>19.5</v>
      </c>
      <c r="H153" s="220">
        <f t="shared" si="11"/>
        <v>19.5</v>
      </c>
      <c r="I153" s="221">
        <f>IF(A153="Total",VLOOKUP(B153,CORRESPONDANCE[#All],2,FALSE),I154)</f>
        <v>36</v>
      </c>
      <c r="J153" s="222" t="str">
        <f t="shared" si="8"/>
        <v>6</v>
      </c>
      <c r="K153" s="44" t="str">
        <f t="shared" si="9"/>
        <v>GLR5 - 616003</v>
      </c>
      <c r="L153" s="44" t="str">
        <f>+VLOOKUP(K153,TL[],4,FALSE)</f>
        <v>33</v>
      </c>
    </row>
    <row r="154" spans="1:12" x14ac:dyDescent="0.2">
      <c r="A154" t="s">
        <v>1770</v>
      </c>
      <c r="B154" t="s">
        <v>1199</v>
      </c>
      <c r="C154">
        <v>23.67</v>
      </c>
      <c r="D154" t="s">
        <v>6961</v>
      </c>
      <c r="E154">
        <v>23.67</v>
      </c>
      <c r="F154" t="s">
        <v>6961</v>
      </c>
      <c r="G154" s="220">
        <f t="shared" si="10"/>
        <v>23.67</v>
      </c>
      <c r="H154" s="220">
        <f t="shared" si="11"/>
        <v>23.67</v>
      </c>
      <c r="I154" s="221">
        <f>IF(A154="Total",VLOOKUP(B154,CORRESPONDANCE[#All],2,FALSE),I155)</f>
        <v>36</v>
      </c>
      <c r="J154" s="222" t="str">
        <f t="shared" si="8"/>
        <v>6</v>
      </c>
      <c r="K154" s="44" t="str">
        <f t="shared" si="9"/>
        <v>GLR5 - 616006</v>
      </c>
      <c r="L154" s="44" t="str">
        <f>+VLOOKUP(K154,TL[],4,FALSE)</f>
        <v>33</v>
      </c>
    </row>
    <row r="155" spans="1:12" x14ac:dyDescent="0.2">
      <c r="A155" t="s">
        <v>197</v>
      </c>
      <c r="B155" t="s">
        <v>2592</v>
      </c>
      <c r="C155">
        <v>2023.17</v>
      </c>
      <c r="D155" t="s">
        <v>6961</v>
      </c>
      <c r="E155">
        <v>2023.17</v>
      </c>
      <c r="F155" t="s">
        <v>6961</v>
      </c>
      <c r="G155" s="220">
        <f t="shared" si="10"/>
        <v>2023.17</v>
      </c>
      <c r="H155" s="220">
        <f t="shared" si="11"/>
        <v>2023.17</v>
      </c>
      <c r="I155" s="221">
        <f>IF(A155="Total",VLOOKUP(B155,CORRESPONDANCE[#All],2,FALSE),I156)</f>
        <v>36</v>
      </c>
      <c r="J155" s="222" t="str">
        <f t="shared" si="8"/>
        <v>T</v>
      </c>
      <c r="K155" s="44" t="str">
        <f t="shared" si="9"/>
        <v>GLR5 - Total</v>
      </c>
      <c r="L155" s="44" t="e">
        <f>+VLOOKUP(K155,TL[],4,FALSE)</f>
        <v>#N/A</v>
      </c>
    </row>
    <row r="156" spans="1:12" x14ac:dyDescent="0.2">
      <c r="A156" t="s">
        <v>1730</v>
      </c>
      <c r="B156" t="s">
        <v>2257</v>
      </c>
      <c r="C156">
        <v>826.02</v>
      </c>
      <c r="D156" t="s">
        <v>6961</v>
      </c>
      <c r="E156">
        <v>826.02</v>
      </c>
      <c r="F156" t="s">
        <v>6961</v>
      </c>
      <c r="G156" s="220">
        <f t="shared" si="10"/>
        <v>826.02</v>
      </c>
      <c r="H156" s="220">
        <f t="shared" si="11"/>
        <v>826.02</v>
      </c>
      <c r="I156" s="221">
        <f>IF(A156="Total",VLOOKUP(B156,CORRESPONDANCE[#All],2,FALSE),I157)</f>
        <v>37</v>
      </c>
      <c r="J156" s="222" t="str">
        <f t="shared" si="8"/>
        <v>6</v>
      </c>
      <c r="K156" s="44" t="str">
        <f t="shared" si="9"/>
        <v>GLR5 - 633300</v>
      </c>
      <c r="L156" s="44" t="str">
        <f>+VLOOKUP(K156,TL[],4,FALSE)</f>
        <v>34</v>
      </c>
    </row>
    <row r="157" spans="1:12" x14ac:dyDescent="0.2">
      <c r="A157" t="s">
        <v>1729</v>
      </c>
      <c r="B157" t="s">
        <v>2258</v>
      </c>
      <c r="C157">
        <v>549.15</v>
      </c>
      <c r="D157" t="s">
        <v>6961</v>
      </c>
      <c r="E157">
        <v>549.15</v>
      </c>
      <c r="F157" t="s">
        <v>6961</v>
      </c>
      <c r="G157" s="220">
        <f t="shared" si="10"/>
        <v>549.15</v>
      </c>
      <c r="H157" s="220">
        <f t="shared" si="11"/>
        <v>549.15</v>
      </c>
      <c r="I157" s="221">
        <f>IF(A157="Total",VLOOKUP(B157,CORRESPONDANCE[#All],2,FALSE),I158)</f>
        <v>37</v>
      </c>
      <c r="J157" s="222" t="str">
        <f t="shared" si="8"/>
        <v>6</v>
      </c>
      <c r="K157" s="44" t="str">
        <f t="shared" si="9"/>
        <v>GLR5 - 633500</v>
      </c>
      <c r="L157" s="44" t="str">
        <f>+VLOOKUP(K157,TL[],4,FALSE)</f>
        <v>34</v>
      </c>
    </row>
    <row r="158" spans="1:12" x14ac:dyDescent="0.2">
      <c r="A158" t="s">
        <v>1786</v>
      </c>
      <c r="B158" t="s">
        <v>168</v>
      </c>
      <c r="C158">
        <v>455</v>
      </c>
      <c r="D158" t="s">
        <v>6961</v>
      </c>
      <c r="E158">
        <v>455</v>
      </c>
      <c r="F158" t="s">
        <v>6961</v>
      </c>
      <c r="G158" s="220">
        <f t="shared" si="10"/>
        <v>455</v>
      </c>
      <c r="H158" s="220">
        <f t="shared" si="11"/>
        <v>455</v>
      </c>
      <c r="I158" s="221">
        <f>IF(A158="Total",VLOOKUP(B158,CORRESPONDANCE[#All],2,FALSE),I159)</f>
        <v>37</v>
      </c>
      <c r="J158" s="222" t="str">
        <f t="shared" si="8"/>
        <v>6</v>
      </c>
      <c r="K158" s="44" t="str">
        <f t="shared" si="9"/>
        <v>GLR5 - 635111</v>
      </c>
      <c r="L158" s="44" t="str">
        <f>+VLOOKUP(K158,TL[],4,FALSE)</f>
        <v>34</v>
      </c>
    </row>
    <row r="159" spans="1:12" x14ac:dyDescent="0.2">
      <c r="A159" t="s">
        <v>1732</v>
      </c>
      <c r="B159" t="s">
        <v>165</v>
      </c>
      <c r="C159">
        <v>520</v>
      </c>
      <c r="D159" t="s">
        <v>6961</v>
      </c>
      <c r="E159">
        <v>520</v>
      </c>
      <c r="F159" t="s">
        <v>6961</v>
      </c>
      <c r="G159" s="220">
        <f t="shared" si="10"/>
        <v>520</v>
      </c>
      <c r="H159" s="220">
        <f t="shared" si="11"/>
        <v>520</v>
      </c>
      <c r="I159" s="221">
        <f>IF(A159="Total",VLOOKUP(B159,CORRESPONDANCE[#All],2,FALSE),I160)</f>
        <v>37</v>
      </c>
      <c r="J159" s="222" t="str">
        <f t="shared" si="8"/>
        <v>6</v>
      </c>
      <c r="K159" s="44" t="str">
        <f t="shared" si="9"/>
        <v>GLR5 - 635112</v>
      </c>
      <c r="L159" s="44" t="str">
        <f>+VLOOKUP(K159,TL[],4,FALSE)</f>
        <v>34</v>
      </c>
    </row>
    <row r="160" spans="1:12" x14ac:dyDescent="0.2">
      <c r="A160" t="s">
        <v>1978</v>
      </c>
      <c r="B160" t="s">
        <v>2259</v>
      </c>
      <c r="C160">
        <v>785</v>
      </c>
      <c r="D160" t="s">
        <v>6961</v>
      </c>
      <c r="E160">
        <v>785</v>
      </c>
      <c r="F160" t="s">
        <v>6961</v>
      </c>
      <c r="G160" s="220">
        <f t="shared" si="10"/>
        <v>785</v>
      </c>
      <c r="H160" s="220">
        <f t="shared" si="11"/>
        <v>785</v>
      </c>
      <c r="I160" s="221">
        <f>IF(A160="Total",VLOOKUP(B160,CORRESPONDANCE[#All],2,FALSE),I161)</f>
        <v>37</v>
      </c>
      <c r="J160" s="222" t="str">
        <f t="shared" si="8"/>
        <v>6</v>
      </c>
      <c r="K160" s="44" t="str">
        <f t="shared" si="9"/>
        <v>GLR5 - 635130</v>
      </c>
      <c r="L160" s="44" t="str">
        <f>+VLOOKUP(K160,TL[],4,FALSE)</f>
        <v>34</v>
      </c>
    </row>
    <row r="161" spans="1:12" x14ac:dyDescent="0.2">
      <c r="A161" t="s">
        <v>1777</v>
      </c>
      <c r="B161" t="s">
        <v>2256</v>
      </c>
      <c r="C161">
        <v>345</v>
      </c>
      <c r="D161" t="s">
        <v>6961</v>
      </c>
      <c r="E161">
        <v>345</v>
      </c>
      <c r="F161" t="s">
        <v>6961</v>
      </c>
      <c r="G161" s="220">
        <f t="shared" si="10"/>
        <v>345</v>
      </c>
      <c r="H161" s="220">
        <f t="shared" si="11"/>
        <v>345</v>
      </c>
      <c r="I161" s="221">
        <f>IF(A161="Total",VLOOKUP(B161,CORRESPONDANCE[#All],2,FALSE),I162)</f>
        <v>37</v>
      </c>
      <c r="J161" s="222" t="str">
        <f t="shared" si="8"/>
        <v>6</v>
      </c>
      <c r="K161" s="44" t="str">
        <f t="shared" si="9"/>
        <v>GLR5 - 637300</v>
      </c>
      <c r="L161" s="44" t="str">
        <f>+VLOOKUP(K161,TL[],4,FALSE)</f>
        <v>34</v>
      </c>
    </row>
    <row r="162" spans="1:12" x14ac:dyDescent="0.2">
      <c r="A162" t="s">
        <v>197</v>
      </c>
      <c r="B162" t="s">
        <v>2593</v>
      </c>
      <c r="C162">
        <v>3480.17</v>
      </c>
      <c r="D162" t="s">
        <v>6961</v>
      </c>
      <c r="E162">
        <v>3480.17</v>
      </c>
      <c r="F162" t="s">
        <v>6961</v>
      </c>
      <c r="G162" s="220">
        <f t="shared" si="10"/>
        <v>3480.17</v>
      </c>
      <c r="H162" s="220">
        <f t="shared" si="11"/>
        <v>3480.17</v>
      </c>
      <c r="I162" s="221">
        <f>IF(A162="Total",VLOOKUP(B162,CORRESPONDANCE[#All],2,FALSE),I163)</f>
        <v>37</v>
      </c>
      <c r="J162" s="222" t="str">
        <f t="shared" si="8"/>
        <v>T</v>
      </c>
      <c r="K162" s="44" t="str">
        <f t="shared" si="9"/>
        <v>GLR5 - Total</v>
      </c>
      <c r="L162" s="44" t="e">
        <f>+VLOOKUP(K162,TL[],4,FALSE)</f>
        <v>#N/A</v>
      </c>
    </row>
    <row r="163" spans="1:12" x14ac:dyDescent="0.2">
      <c r="A163" t="s">
        <v>2026</v>
      </c>
      <c r="B163" t="s">
        <v>2264</v>
      </c>
      <c r="C163">
        <v>10063.49</v>
      </c>
      <c r="D163" t="s">
        <v>6961</v>
      </c>
      <c r="E163">
        <v>10063.49</v>
      </c>
      <c r="F163" t="s">
        <v>6961</v>
      </c>
      <c r="G163" s="220">
        <f t="shared" si="10"/>
        <v>10063.49</v>
      </c>
      <c r="H163" s="220">
        <f t="shared" si="11"/>
        <v>10063.49</v>
      </c>
      <c r="I163" s="221">
        <f>IF(A163="Total",VLOOKUP(B163,CORRESPONDANCE[#All],2,FALSE),I164)</f>
        <v>38</v>
      </c>
      <c r="J163" s="222" t="str">
        <f t="shared" si="8"/>
        <v>6</v>
      </c>
      <c r="K163" s="44" t="str">
        <f t="shared" si="9"/>
        <v>GLR5 - 681120</v>
      </c>
      <c r="L163" s="44" t="str">
        <f>+VLOOKUP(K163,TL[],4,FALSE)</f>
        <v>36</v>
      </c>
    </row>
    <row r="164" spans="1:12" x14ac:dyDescent="0.2">
      <c r="A164" t="s">
        <v>197</v>
      </c>
      <c r="B164" t="s">
        <v>2594</v>
      </c>
      <c r="C164">
        <v>10063.49</v>
      </c>
      <c r="D164" t="s">
        <v>6961</v>
      </c>
      <c r="E164">
        <v>10063.49</v>
      </c>
      <c r="F164" t="s">
        <v>6961</v>
      </c>
      <c r="G164" s="220">
        <f t="shared" si="10"/>
        <v>10063.49</v>
      </c>
      <c r="H164" s="220">
        <f t="shared" si="11"/>
        <v>10063.49</v>
      </c>
      <c r="I164" s="221">
        <f>IF(A164="Total",VLOOKUP(B164,CORRESPONDANCE[#All],2,FALSE),I165)</f>
        <v>38</v>
      </c>
      <c r="J164" s="222" t="str">
        <f t="shared" si="8"/>
        <v>T</v>
      </c>
      <c r="K164" s="44" t="str">
        <f t="shared" si="9"/>
        <v>GLR5 - Total</v>
      </c>
      <c r="L164" s="44" t="e">
        <f>+VLOOKUP(K164,TL[],4,FALSE)</f>
        <v>#N/A</v>
      </c>
    </row>
    <row r="165" spans="1:12" x14ac:dyDescent="0.2">
      <c r="A165" t="s">
        <v>2564</v>
      </c>
      <c r="B165" t="s">
        <v>5877</v>
      </c>
      <c r="C165">
        <v>696.65</v>
      </c>
      <c r="D165" t="s">
        <v>6961</v>
      </c>
      <c r="E165">
        <v>696.65</v>
      </c>
      <c r="F165" t="s">
        <v>6961</v>
      </c>
      <c r="G165" s="220">
        <f t="shared" si="10"/>
        <v>696.65</v>
      </c>
      <c r="H165" s="220">
        <f t="shared" si="11"/>
        <v>696.65</v>
      </c>
      <c r="I165" s="221">
        <f>IF(A165="Total",VLOOKUP(B165,CORRESPONDANCE[#All],2,FALSE),I166)</f>
        <v>39</v>
      </c>
      <c r="J165" s="222" t="str">
        <f t="shared" si="8"/>
        <v>6</v>
      </c>
      <c r="K165" s="44" t="str">
        <f t="shared" si="9"/>
        <v>GLR5 - 615659</v>
      </c>
      <c r="L165" s="44" t="str">
        <f>+VLOOKUP(K165,TL[],4,FALSE)</f>
        <v>16</v>
      </c>
    </row>
    <row r="166" spans="1:12" x14ac:dyDescent="0.2">
      <c r="A166" t="s">
        <v>197</v>
      </c>
      <c r="B166" t="s">
        <v>3028</v>
      </c>
      <c r="C166">
        <v>696.65</v>
      </c>
      <c r="D166" t="s">
        <v>6961</v>
      </c>
      <c r="E166">
        <v>696.65</v>
      </c>
      <c r="F166" t="s">
        <v>6961</v>
      </c>
      <c r="G166" s="220">
        <f t="shared" si="10"/>
        <v>696.65</v>
      </c>
      <c r="H166" s="220">
        <f t="shared" si="11"/>
        <v>696.65</v>
      </c>
      <c r="I166" s="221">
        <f>IF(A166="Total",VLOOKUP(B166,CORRESPONDANCE[#All],2,FALSE),I167)</f>
        <v>39</v>
      </c>
      <c r="J166" s="222" t="str">
        <f t="shared" si="8"/>
        <v>T</v>
      </c>
      <c r="K166" s="44" t="str">
        <f t="shared" si="9"/>
        <v>GLR5 - Total</v>
      </c>
      <c r="L166" s="44" t="e">
        <f>+VLOOKUP(K166,TL[],4,FALSE)</f>
        <v>#N/A</v>
      </c>
    </row>
    <row r="167" spans="1:12" x14ac:dyDescent="0.2">
      <c r="A167" t="s">
        <v>6976</v>
      </c>
      <c r="B167" t="s">
        <v>6977</v>
      </c>
      <c r="C167">
        <v>460.72</v>
      </c>
      <c r="D167" t="s">
        <v>6961</v>
      </c>
      <c r="E167">
        <v>460.72</v>
      </c>
      <c r="F167" t="s">
        <v>6961</v>
      </c>
      <c r="G167" s="220">
        <f t="shared" si="10"/>
        <v>460.72</v>
      </c>
      <c r="H167" s="220">
        <f t="shared" si="11"/>
        <v>460.72</v>
      </c>
      <c r="I167" s="221">
        <f>IF(A167="Total",VLOOKUP(B167,CORRESPONDANCE[#All],2,FALSE),I168)</f>
        <v>40</v>
      </c>
      <c r="J167" s="222" t="str">
        <f t="shared" si="8"/>
        <v>6</v>
      </c>
      <c r="K167" s="44" t="str">
        <f t="shared" si="9"/>
        <v>GLR5 - 613291</v>
      </c>
      <c r="L167" s="44" t="e">
        <f>+VLOOKUP(K167,TL[],4,FALSE)</f>
        <v>#N/A</v>
      </c>
    </row>
    <row r="168" spans="1:12" x14ac:dyDescent="0.2">
      <c r="A168" t="s">
        <v>6469</v>
      </c>
      <c r="B168" t="s">
        <v>6958</v>
      </c>
      <c r="C168">
        <v>429.58</v>
      </c>
      <c r="D168" t="s">
        <v>6961</v>
      </c>
      <c r="E168">
        <v>429.58</v>
      </c>
      <c r="F168" t="s">
        <v>6961</v>
      </c>
      <c r="G168" s="220">
        <f t="shared" si="10"/>
        <v>429.58</v>
      </c>
      <c r="H168" s="220">
        <f t="shared" si="11"/>
        <v>429.58</v>
      </c>
      <c r="I168" s="221">
        <f>IF(A168="Total",VLOOKUP(B168,CORRESPONDANCE[#All],2,FALSE),I169)</f>
        <v>40</v>
      </c>
      <c r="J168" s="222" t="str">
        <f t="shared" si="8"/>
        <v>6</v>
      </c>
      <c r="K168" s="44" t="str">
        <f t="shared" si="9"/>
        <v>GLR5 - 621407</v>
      </c>
      <c r="L168" s="44" t="str">
        <f>+VLOOKUP(K168,TL[],4,FALSE)</f>
        <v>39</v>
      </c>
    </row>
    <row r="169" spans="1:12" x14ac:dyDescent="0.2">
      <c r="A169" t="s">
        <v>5913</v>
      </c>
      <c r="B169" t="s">
        <v>5914</v>
      </c>
      <c r="C169">
        <v>209.56</v>
      </c>
      <c r="D169" t="s">
        <v>6961</v>
      </c>
      <c r="E169">
        <v>209.56</v>
      </c>
      <c r="F169" t="s">
        <v>6961</v>
      </c>
      <c r="G169" s="220">
        <f t="shared" si="10"/>
        <v>209.56</v>
      </c>
      <c r="H169" s="220">
        <f t="shared" si="11"/>
        <v>209.56</v>
      </c>
      <c r="I169" s="221">
        <f>IF(A169="Total",VLOOKUP(B169,CORRESPONDANCE[#All],2,FALSE),I170)</f>
        <v>40</v>
      </c>
      <c r="J169" s="222" t="str">
        <f t="shared" si="8"/>
        <v>6</v>
      </c>
      <c r="K169" s="44" t="str">
        <f t="shared" si="9"/>
        <v>GLR5 - 625210</v>
      </c>
      <c r="L169" s="44" t="str">
        <f>+VLOOKUP(K169,TL[],4,FALSE)</f>
        <v>39</v>
      </c>
    </row>
    <row r="170" spans="1:12" x14ac:dyDescent="0.2">
      <c r="A170" t="s">
        <v>6029</v>
      </c>
      <c r="B170" t="s">
        <v>6030</v>
      </c>
      <c r="C170" t="s">
        <v>6961</v>
      </c>
      <c r="D170">
        <v>303.22000000000003</v>
      </c>
      <c r="E170" t="s">
        <v>6961</v>
      </c>
      <c r="F170">
        <v>303.22000000000003</v>
      </c>
      <c r="G170" s="220">
        <f t="shared" si="10"/>
        <v>-303.22000000000003</v>
      </c>
      <c r="H170" s="220">
        <f t="shared" si="11"/>
        <v>-303.22000000000003</v>
      </c>
      <c r="I170" s="221">
        <f>IF(A170="Total",VLOOKUP(B170,CORRESPONDANCE[#All],2,FALSE),I171)</f>
        <v>40</v>
      </c>
      <c r="J170" s="222" t="str">
        <f t="shared" si="8"/>
        <v>7</v>
      </c>
      <c r="K170" s="44" t="str">
        <f t="shared" si="9"/>
        <v>GLR5 - 708862</v>
      </c>
      <c r="L170" s="44" t="str">
        <f>+VLOOKUP(K170,TL[],4,FALSE)</f>
        <v>13</v>
      </c>
    </row>
    <row r="171" spans="1:12" x14ac:dyDescent="0.2">
      <c r="A171" t="s">
        <v>6039</v>
      </c>
      <c r="B171" t="s">
        <v>6040</v>
      </c>
      <c r="C171" t="s">
        <v>6961</v>
      </c>
      <c r="D171">
        <v>460.72</v>
      </c>
      <c r="E171" t="s">
        <v>6961</v>
      </c>
      <c r="F171">
        <v>460.72</v>
      </c>
      <c r="G171" s="220">
        <f t="shared" si="10"/>
        <v>-460.72</v>
      </c>
      <c r="H171" s="220">
        <f t="shared" si="11"/>
        <v>-460.72</v>
      </c>
      <c r="I171" s="221">
        <f>IF(A171="Total",VLOOKUP(B171,CORRESPONDANCE[#All],2,FALSE),I172)</f>
        <v>40</v>
      </c>
      <c r="J171" s="222" t="str">
        <f t="shared" si="8"/>
        <v>7</v>
      </c>
      <c r="K171" s="44" t="str">
        <f t="shared" si="9"/>
        <v>GLR5 - 708867</v>
      </c>
      <c r="L171" s="44" t="str">
        <f>+VLOOKUP(K171,TL[],4,FALSE)</f>
        <v>39</v>
      </c>
    </row>
    <row r="172" spans="1:12" x14ac:dyDescent="0.2">
      <c r="A172" t="s">
        <v>7098</v>
      </c>
      <c r="B172" t="s">
        <v>7099</v>
      </c>
      <c r="C172" t="s">
        <v>6961</v>
      </c>
      <c r="D172">
        <v>59.52</v>
      </c>
      <c r="E172" t="s">
        <v>6961</v>
      </c>
      <c r="F172">
        <v>59.52</v>
      </c>
      <c r="G172" s="220">
        <f t="shared" si="10"/>
        <v>-59.52</v>
      </c>
      <c r="H172" s="220">
        <f t="shared" si="11"/>
        <v>-59.52</v>
      </c>
      <c r="I172" s="221">
        <f>IF(A172="Total",VLOOKUP(B172,CORRESPONDANCE[#All],2,FALSE),I173)</f>
        <v>40</v>
      </c>
      <c r="J172" s="222" t="str">
        <f t="shared" si="8"/>
        <v>7</v>
      </c>
      <c r="K172" s="44" t="str">
        <f t="shared" si="9"/>
        <v>GLR5 - 708868</v>
      </c>
      <c r="L172" s="44" t="e">
        <f>+VLOOKUP(K172,TL[],4,FALSE)</f>
        <v>#N/A</v>
      </c>
    </row>
    <row r="173" spans="1:12" x14ac:dyDescent="0.2">
      <c r="A173" t="s">
        <v>197</v>
      </c>
      <c r="B173" t="s">
        <v>2603</v>
      </c>
      <c r="C173">
        <v>276.39999999999998</v>
      </c>
      <c r="D173" t="s">
        <v>6961</v>
      </c>
      <c r="E173">
        <v>276.39999999999998</v>
      </c>
      <c r="F173" t="s">
        <v>6961</v>
      </c>
      <c r="G173" s="220">
        <f t="shared" ref="G173:G191" si="12">SUM(C173)-SUM(D173)</f>
        <v>276.39999999999998</v>
      </c>
      <c r="H173" s="220">
        <f t="shared" ref="H173:H191" si="13">SUM(E173)-SUM(F173)</f>
        <v>276.39999999999998</v>
      </c>
      <c r="I173" s="221">
        <f>IF(A173="Total",VLOOKUP(B173,CORRESPONDANCE[#All],2,FALSE),I174)</f>
        <v>40</v>
      </c>
      <c r="J173" s="222" t="str">
        <f t="shared" ref="J173:J191" si="14">LEFT(A173,1)</f>
        <v>T</v>
      </c>
      <c r="K173" s="44" t="str">
        <f t="shared" ref="K173:K191" si="15">"GLR5"&amp;" - "&amp;A173</f>
        <v>GLR5 - Total</v>
      </c>
      <c r="L173" s="44" t="e">
        <f>+VLOOKUP(K173,TL[],4,FALSE)</f>
        <v>#N/A</v>
      </c>
    </row>
    <row r="174" spans="1:12" x14ac:dyDescent="0.2">
      <c r="A174" t="s">
        <v>5981</v>
      </c>
      <c r="B174" t="s">
        <v>155</v>
      </c>
      <c r="C174" t="s">
        <v>6961</v>
      </c>
      <c r="D174">
        <v>1</v>
      </c>
      <c r="E174" t="s">
        <v>6961</v>
      </c>
      <c r="F174">
        <v>1</v>
      </c>
      <c r="G174" s="220">
        <f t="shared" si="12"/>
        <v>-1</v>
      </c>
      <c r="H174" s="220">
        <f t="shared" si="13"/>
        <v>-1</v>
      </c>
      <c r="I174" s="221">
        <f>IF(A174="Total",VLOOKUP(B174,CORRESPONDANCE[#All],2,FALSE),I175)</f>
        <v>45</v>
      </c>
      <c r="J174" s="222" t="str">
        <f t="shared" si="14"/>
        <v>6</v>
      </c>
      <c r="K174" s="44" t="str">
        <f t="shared" si="15"/>
        <v>GLR5 - 671320</v>
      </c>
      <c r="L174" s="44" t="str">
        <f>+VLOOKUP(K174,TL[],4,FALSE)</f>
        <v>39</v>
      </c>
    </row>
    <row r="175" spans="1:12" x14ac:dyDescent="0.2">
      <c r="A175" t="s">
        <v>197</v>
      </c>
      <c r="B175" t="s">
        <v>2807</v>
      </c>
      <c r="C175" t="s">
        <v>6961</v>
      </c>
      <c r="D175">
        <v>1</v>
      </c>
      <c r="E175" t="s">
        <v>6961</v>
      </c>
      <c r="F175">
        <v>1</v>
      </c>
      <c r="G175" s="220">
        <f t="shared" si="12"/>
        <v>-1</v>
      </c>
      <c r="H175" s="220">
        <f t="shared" si="13"/>
        <v>-1</v>
      </c>
      <c r="I175" s="221">
        <f>IF(A175="Total",VLOOKUP(B175,CORRESPONDANCE[#All],2,FALSE),I176)</f>
        <v>45</v>
      </c>
      <c r="J175" s="222" t="str">
        <f t="shared" si="14"/>
        <v>T</v>
      </c>
      <c r="K175" s="44" t="str">
        <f t="shared" si="15"/>
        <v>GLR5 - Total</v>
      </c>
      <c r="L175" s="44" t="e">
        <f>+VLOOKUP(K175,TL[],4,FALSE)</f>
        <v>#N/A</v>
      </c>
    </row>
    <row r="176" spans="1:12" x14ac:dyDescent="0.2">
      <c r="A176" t="s">
        <v>2605</v>
      </c>
      <c r="B176" t="s">
        <v>2200</v>
      </c>
      <c r="C176">
        <v>26174</v>
      </c>
      <c r="D176" t="s">
        <v>6961</v>
      </c>
      <c r="E176">
        <v>26174</v>
      </c>
      <c r="F176" t="s">
        <v>6961</v>
      </c>
      <c r="G176" s="220">
        <f t="shared" si="12"/>
        <v>26174</v>
      </c>
      <c r="H176" s="220">
        <f t="shared" si="13"/>
        <v>26174</v>
      </c>
      <c r="I176" s="221">
        <f>IF(A176="Total",VLOOKUP(B176,CORRESPONDANCE[#All],2,FALSE),I177)</f>
        <v>46</v>
      </c>
      <c r="J176" s="222" t="str">
        <f t="shared" si="14"/>
        <v>6</v>
      </c>
      <c r="K176" s="44" t="str">
        <f t="shared" si="15"/>
        <v>GLR5 - 628220</v>
      </c>
      <c r="L176" s="44" t="str">
        <f>+VLOOKUP(K176,TL[],4,FALSE)</f>
        <v>51</v>
      </c>
    </row>
    <row r="177" spans="1:12" x14ac:dyDescent="0.2">
      <c r="A177" t="s">
        <v>2606</v>
      </c>
      <c r="B177" t="s">
        <v>2255</v>
      </c>
      <c r="C177">
        <v>833</v>
      </c>
      <c r="D177" t="s">
        <v>6961</v>
      </c>
      <c r="E177">
        <v>833</v>
      </c>
      <c r="F177" t="s">
        <v>6961</v>
      </c>
      <c r="G177" s="220">
        <f t="shared" si="12"/>
        <v>833</v>
      </c>
      <c r="H177" s="220">
        <f t="shared" si="13"/>
        <v>833</v>
      </c>
      <c r="I177" s="221">
        <f>IF(A177="Total",VLOOKUP(B177,CORRESPONDANCE[#All],2,FALSE),I178)</f>
        <v>46</v>
      </c>
      <c r="J177" s="222" t="str">
        <f t="shared" si="14"/>
        <v>6</v>
      </c>
      <c r="K177" s="44" t="str">
        <f t="shared" si="15"/>
        <v>GLR5 - 628500</v>
      </c>
      <c r="L177" s="44" t="str">
        <f>+VLOOKUP(K177,TL[],4,FALSE)</f>
        <v>51</v>
      </c>
    </row>
    <row r="178" spans="1:12" x14ac:dyDescent="0.2">
      <c r="A178" t="s">
        <v>197</v>
      </c>
      <c r="B178" t="s">
        <v>2607</v>
      </c>
      <c r="C178">
        <v>27007</v>
      </c>
      <c r="D178" t="s">
        <v>6961</v>
      </c>
      <c r="E178">
        <v>27007</v>
      </c>
      <c r="F178" t="s">
        <v>6961</v>
      </c>
      <c r="G178" s="220">
        <f t="shared" si="12"/>
        <v>27007</v>
      </c>
      <c r="H178" s="220">
        <f t="shared" si="13"/>
        <v>27007</v>
      </c>
      <c r="I178" s="221">
        <f>IF(A178="Total",VLOOKUP(B178,CORRESPONDANCE[#All],2,FALSE),I179)</f>
        <v>46</v>
      </c>
      <c r="J178" s="222" t="str">
        <f t="shared" si="14"/>
        <v>T</v>
      </c>
      <c r="K178" s="44" t="str">
        <f t="shared" si="15"/>
        <v>GLR5 - Total</v>
      </c>
      <c r="L178" s="44" t="e">
        <f>+VLOOKUP(K178,TL[],4,FALSE)</f>
        <v>#N/A</v>
      </c>
    </row>
    <row r="179" spans="1:12" x14ac:dyDescent="0.2">
      <c r="A179" t="s">
        <v>1794</v>
      </c>
      <c r="B179" t="s">
        <v>64</v>
      </c>
      <c r="C179" t="s">
        <v>6961</v>
      </c>
      <c r="D179">
        <v>9953.01</v>
      </c>
      <c r="E179" t="s">
        <v>6961</v>
      </c>
      <c r="F179">
        <v>9953.01</v>
      </c>
      <c r="G179" s="220">
        <f t="shared" si="12"/>
        <v>-9953.01</v>
      </c>
      <c r="H179" s="220">
        <f t="shared" si="13"/>
        <v>-9953.01</v>
      </c>
      <c r="I179" s="221" t="str">
        <f>IF(A179="Total",VLOOKUP(B179,CORRESPONDANCE[#All],2,FALSE),I180)</f>
        <v>41.1</v>
      </c>
      <c r="J179" s="222" t="str">
        <f t="shared" si="14"/>
        <v>7</v>
      </c>
      <c r="K179" s="44" t="str">
        <f t="shared" si="15"/>
        <v>GLR5 - 702300</v>
      </c>
      <c r="L179" s="44" t="str">
        <f>+VLOOKUP(K179,TL[],4,FALSE)</f>
        <v>60</v>
      </c>
    </row>
    <row r="180" spans="1:12" x14ac:dyDescent="0.2">
      <c r="A180" t="s">
        <v>197</v>
      </c>
      <c r="B180" t="s">
        <v>2609</v>
      </c>
      <c r="C180" t="s">
        <v>6961</v>
      </c>
      <c r="D180">
        <v>9953.01</v>
      </c>
      <c r="E180" t="s">
        <v>6961</v>
      </c>
      <c r="F180">
        <v>9953.01</v>
      </c>
      <c r="G180" s="220">
        <f t="shared" si="12"/>
        <v>-9953.01</v>
      </c>
      <c r="H180" s="220">
        <f t="shared" si="13"/>
        <v>-9953.01</v>
      </c>
      <c r="I180" s="221" t="str">
        <f>IF(A180="Total",VLOOKUP(B180,CORRESPONDANCE[#All],2,FALSE),I181)</f>
        <v>41.1</v>
      </c>
      <c r="J180" s="222" t="str">
        <f t="shared" si="14"/>
        <v>T</v>
      </c>
      <c r="K180" s="44" t="str">
        <f t="shared" si="15"/>
        <v>GLR5 - Total</v>
      </c>
      <c r="L180" s="44" t="e">
        <f>+VLOOKUP(K180,TL[],4,FALSE)</f>
        <v>#N/A</v>
      </c>
    </row>
    <row r="181" spans="1:12" x14ac:dyDescent="0.2">
      <c r="A181" t="s">
        <v>1631</v>
      </c>
      <c r="B181" t="s">
        <v>2213</v>
      </c>
      <c r="C181">
        <v>3112.84</v>
      </c>
      <c r="D181" t="s">
        <v>6961</v>
      </c>
      <c r="E181">
        <v>3112.84</v>
      </c>
      <c r="F181" t="s">
        <v>6961</v>
      </c>
      <c r="G181" s="220">
        <f t="shared" si="12"/>
        <v>3112.84</v>
      </c>
      <c r="H181" s="220">
        <f t="shared" si="13"/>
        <v>3112.84</v>
      </c>
      <c r="I181" s="221" t="str">
        <f>IF(A181="Total",VLOOKUP(B181,CORRESPONDANCE[#All],2,FALSE),I182)</f>
        <v>41.2</v>
      </c>
      <c r="J181" s="222" t="str">
        <f t="shared" si="14"/>
        <v>6</v>
      </c>
      <c r="K181" s="44" t="str">
        <f t="shared" si="15"/>
        <v>GLR5 - 602202</v>
      </c>
      <c r="L181" s="44" t="str">
        <f>+VLOOKUP(K181,TL[],4,FALSE)</f>
        <v>62</v>
      </c>
    </row>
    <row r="182" spans="1:12" x14ac:dyDescent="0.2">
      <c r="A182" t="s">
        <v>1894</v>
      </c>
      <c r="B182" t="s">
        <v>2216</v>
      </c>
      <c r="C182">
        <v>1875.97</v>
      </c>
      <c r="D182" t="s">
        <v>6961</v>
      </c>
      <c r="E182">
        <v>1875.97</v>
      </c>
      <c r="F182" t="s">
        <v>6961</v>
      </c>
      <c r="G182" s="220">
        <f t="shared" si="12"/>
        <v>1875.97</v>
      </c>
      <c r="H182" s="220">
        <f t="shared" si="13"/>
        <v>1875.97</v>
      </c>
      <c r="I182" s="221" t="str">
        <f>IF(A182="Total",VLOOKUP(B182,CORRESPONDANCE[#All],2,FALSE),I183)</f>
        <v>41.2</v>
      </c>
      <c r="J182" s="222" t="str">
        <f t="shared" si="14"/>
        <v>6</v>
      </c>
      <c r="K182" s="44" t="str">
        <f t="shared" si="15"/>
        <v>GLR5 - 603210</v>
      </c>
      <c r="L182" s="44" t="str">
        <f>+VLOOKUP(K182,TL[],4,FALSE)</f>
        <v>62</v>
      </c>
    </row>
    <row r="183" spans="1:12" x14ac:dyDescent="0.2">
      <c r="A183" t="s">
        <v>2610</v>
      </c>
      <c r="B183" t="s">
        <v>2253</v>
      </c>
      <c r="C183">
        <v>1041.18</v>
      </c>
      <c r="D183" t="s">
        <v>6961</v>
      </c>
      <c r="E183">
        <v>1041.18</v>
      </c>
      <c r="F183" t="s">
        <v>6961</v>
      </c>
      <c r="G183" s="220">
        <f t="shared" si="12"/>
        <v>1041.18</v>
      </c>
      <c r="H183" s="220">
        <f t="shared" si="13"/>
        <v>1041.18</v>
      </c>
      <c r="I183" s="221" t="str">
        <f>IF(A183="Total",VLOOKUP(B183,CORRESPONDANCE[#All],2,FALSE),I184)</f>
        <v>41.2</v>
      </c>
      <c r="J183" s="222" t="str">
        <f t="shared" si="14"/>
        <v>6</v>
      </c>
      <c r="K183" s="44" t="str">
        <f t="shared" si="15"/>
        <v>GLR5 - 628024</v>
      </c>
      <c r="L183" s="44" t="str">
        <f>+VLOOKUP(K183,TL[],4,FALSE)</f>
        <v>62</v>
      </c>
    </row>
    <row r="184" spans="1:12" x14ac:dyDescent="0.2">
      <c r="A184" t="s">
        <v>6959</v>
      </c>
      <c r="B184" t="s">
        <v>6960</v>
      </c>
      <c r="C184">
        <v>152.6</v>
      </c>
      <c r="D184" t="s">
        <v>6961</v>
      </c>
      <c r="E184">
        <v>152.6</v>
      </c>
      <c r="F184" t="s">
        <v>6961</v>
      </c>
      <c r="G184" s="220">
        <f t="shared" si="12"/>
        <v>152.6</v>
      </c>
      <c r="H184" s="220">
        <f t="shared" si="13"/>
        <v>152.6</v>
      </c>
      <c r="I184" s="221" t="str">
        <f>IF(A184="Total",VLOOKUP(B184,CORRESPONDANCE[#All],2,FALSE),I185)</f>
        <v>41.2</v>
      </c>
      <c r="J184" s="222" t="str">
        <f t="shared" si="14"/>
        <v>6</v>
      </c>
      <c r="K184" s="44" t="str">
        <f t="shared" si="15"/>
        <v>GLR5 - 628025</v>
      </c>
      <c r="L184" s="44" t="e">
        <f>+VLOOKUP(K184,TL[],4,FALSE)</f>
        <v>#N/A</v>
      </c>
    </row>
    <row r="185" spans="1:12" x14ac:dyDescent="0.2">
      <c r="A185" t="s">
        <v>2608</v>
      </c>
      <c r="B185" t="s">
        <v>2275</v>
      </c>
      <c r="C185" t="s">
        <v>6961</v>
      </c>
      <c r="D185">
        <v>938</v>
      </c>
      <c r="E185" t="s">
        <v>6961</v>
      </c>
      <c r="F185">
        <v>938</v>
      </c>
      <c r="G185" s="220">
        <f t="shared" si="12"/>
        <v>-938</v>
      </c>
      <c r="H185" s="220">
        <f t="shared" si="13"/>
        <v>-938</v>
      </c>
      <c r="I185" s="221" t="str">
        <f>IF(A185="Total",VLOOKUP(B185,CORRESPONDANCE[#All],2,FALSE),I186)</f>
        <v>41.2</v>
      </c>
      <c r="J185" s="222" t="str">
        <f t="shared" si="14"/>
        <v>7</v>
      </c>
      <c r="K185" s="44" t="str">
        <f t="shared" si="15"/>
        <v>GLR5 - 708880</v>
      </c>
      <c r="L185" s="44" t="str">
        <f>+VLOOKUP(K185,TL[],4,FALSE)</f>
        <v>62</v>
      </c>
    </row>
    <row r="186" spans="1:12" x14ac:dyDescent="0.2">
      <c r="A186" t="s">
        <v>197</v>
      </c>
      <c r="B186" t="s">
        <v>2611</v>
      </c>
      <c r="C186">
        <v>5244.59</v>
      </c>
      <c r="D186" t="s">
        <v>6961</v>
      </c>
      <c r="E186">
        <v>5244.59</v>
      </c>
      <c r="F186" t="s">
        <v>6961</v>
      </c>
      <c r="G186" s="220">
        <f t="shared" si="12"/>
        <v>5244.59</v>
      </c>
      <c r="H186" s="220">
        <f t="shared" si="13"/>
        <v>5244.59</v>
      </c>
      <c r="I186" s="221" t="str">
        <f>IF(A186="Total",VLOOKUP(B186,CORRESPONDANCE[#All],2,FALSE),I187)</f>
        <v>41.2</v>
      </c>
      <c r="J186" s="222" t="str">
        <f t="shared" si="14"/>
        <v>T</v>
      </c>
      <c r="K186" s="44" t="str">
        <f t="shared" si="15"/>
        <v>GLR5 - Total</v>
      </c>
      <c r="L186" s="44" t="e">
        <f>+VLOOKUP(K186,TL[],4,FALSE)</f>
        <v>#N/A</v>
      </c>
    </row>
    <row r="187" spans="1:12" x14ac:dyDescent="0.2">
      <c r="A187" t="s">
        <v>6961</v>
      </c>
      <c r="B187" t="s">
        <v>2612</v>
      </c>
      <c r="C187">
        <v>448491.52000000002</v>
      </c>
      <c r="D187">
        <v>447359.82</v>
      </c>
      <c r="E187">
        <v>448491.52000000002</v>
      </c>
      <c r="F187">
        <v>447359.82</v>
      </c>
      <c r="G187" s="220">
        <f t="shared" si="12"/>
        <v>1131.7000000000116</v>
      </c>
      <c r="H187" s="220">
        <f t="shared" si="13"/>
        <v>1131.7000000000116</v>
      </c>
      <c r="I187" s="221">
        <f>IF(A187="Total",VLOOKUP(B187,CORRESPONDANCE[#All],2,FALSE),I188)</f>
        <v>0</v>
      </c>
      <c r="J187" s="222" t="str">
        <f t="shared" si="14"/>
        <v/>
      </c>
      <c r="K187" s="44" t="str">
        <f t="shared" si="15"/>
        <v xml:space="preserve">GLR5 - </v>
      </c>
      <c r="L187" s="44" t="e">
        <f>+VLOOKUP(K187,TL[],4,FALSE)</f>
        <v>#N/A</v>
      </c>
    </row>
    <row r="188" spans="1:12" x14ac:dyDescent="0.2">
      <c r="G188" s="220">
        <f t="shared" si="12"/>
        <v>0</v>
      </c>
      <c r="H188" s="220">
        <f t="shared" si="13"/>
        <v>0</v>
      </c>
      <c r="I188" s="221">
        <f>IF(A188="Total",VLOOKUP(B188,CORRESPONDANCE[#All],2,FALSE),I189)</f>
        <v>0</v>
      </c>
      <c r="J188" s="222" t="str">
        <f t="shared" si="14"/>
        <v/>
      </c>
      <c r="K188" s="44" t="str">
        <f t="shared" si="15"/>
        <v xml:space="preserve">GLR5 - </v>
      </c>
      <c r="L188" s="44" t="e">
        <f>+VLOOKUP(K188,TL[],4,FALSE)</f>
        <v>#N/A</v>
      </c>
    </row>
    <row r="189" spans="1:12" x14ac:dyDescent="0.2">
      <c r="G189" s="220">
        <f t="shared" si="12"/>
        <v>0</v>
      </c>
      <c r="H189" s="220">
        <f t="shared" si="13"/>
        <v>0</v>
      </c>
      <c r="I189" s="221">
        <f>IF(A189="Total",VLOOKUP(B189,CORRESPONDANCE[#All],2,FALSE),I190)</f>
        <v>0</v>
      </c>
      <c r="J189" s="222" t="str">
        <f t="shared" si="14"/>
        <v/>
      </c>
      <c r="K189" s="44" t="str">
        <f t="shared" si="15"/>
        <v xml:space="preserve">GLR5 - </v>
      </c>
      <c r="L189" s="44" t="e">
        <f>+VLOOKUP(K189,TL[],4,FALSE)</f>
        <v>#N/A</v>
      </c>
    </row>
    <row r="190" spans="1:12" x14ac:dyDescent="0.2">
      <c r="G190" s="220">
        <f t="shared" si="12"/>
        <v>0</v>
      </c>
      <c r="H190" s="220">
        <f t="shared" si="13"/>
        <v>0</v>
      </c>
      <c r="I190" s="221">
        <f>IF(A190="Total",VLOOKUP(B190,CORRESPONDANCE[#All],2,FALSE),I191)</f>
        <v>0</v>
      </c>
      <c r="J190" s="222" t="str">
        <f t="shared" si="14"/>
        <v/>
      </c>
      <c r="K190" s="44" t="str">
        <f t="shared" si="15"/>
        <v xml:space="preserve">GLR5 - </v>
      </c>
      <c r="L190" s="44" t="e">
        <f>+VLOOKUP(K190,TL[],4,FALSE)</f>
        <v>#N/A</v>
      </c>
    </row>
    <row r="191" spans="1:12" x14ac:dyDescent="0.2">
      <c r="G191" s="220">
        <f t="shared" si="12"/>
        <v>0</v>
      </c>
      <c r="H191" s="220">
        <f t="shared" si="13"/>
        <v>0</v>
      </c>
      <c r="I191" s="221">
        <f>IF(A191="Total",VLOOKUP(B191,CORRESPONDANCE[#All],2,FALSE),I192)</f>
        <v>0</v>
      </c>
      <c r="J191" s="222" t="str">
        <f t="shared" si="14"/>
        <v/>
      </c>
      <c r="K191" s="44" t="str">
        <f t="shared" si="15"/>
        <v xml:space="preserve">GLR5 - </v>
      </c>
      <c r="L191" s="44" t="e">
        <f>+VLOOKUP(K191,TL[],4,FALSE)</f>
        <v>#N/A</v>
      </c>
    </row>
    <row r="192" spans="1:12" x14ac:dyDescent="0.2">
      <c r="G192" s="220">
        <f t="shared" ref="G192:G208" si="16">SUM(C192)-SUM(D192)</f>
        <v>0</v>
      </c>
      <c r="H192" s="220">
        <f t="shared" ref="H192:H208" si="17">SUM(E192)-SUM(F192)</f>
        <v>0</v>
      </c>
      <c r="I192" s="221">
        <f>IF(A192="Total",VLOOKUP(B192,CORRESPONDANCE[#All],2,FALSE),I193)</f>
        <v>0</v>
      </c>
      <c r="J192" s="222" t="str">
        <f t="shared" ref="J192:J208" si="18">LEFT(A192,1)</f>
        <v/>
      </c>
      <c r="K192" s="44" t="str">
        <f t="shared" ref="K192:K208" si="19">"GLR5"&amp;" - "&amp;A192</f>
        <v xml:space="preserve">GLR5 - </v>
      </c>
      <c r="L192" s="44" t="e">
        <f>+VLOOKUP(K192,TL[],4,FALSE)</f>
        <v>#N/A</v>
      </c>
    </row>
    <row r="193" spans="7:12" x14ac:dyDescent="0.2">
      <c r="G193" s="220">
        <f>SUM(C193)-SUM(D193)</f>
        <v>0</v>
      </c>
      <c r="H193" s="220">
        <f>SUM(E193)-SUM(F193)</f>
        <v>0</v>
      </c>
      <c r="I193" s="221">
        <f>IF(A193="Total",VLOOKUP(B193,CORRESPONDANCE[#All],2,FALSE),I194)</f>
        <v>0</v>
      </c>
      <c r="J193" s="222" t="str">
        <f>LEFT(A193,1)</f>
        <v/>
      </c>
      <c r="K193" s="44" t="str">
        <f>"GLR5"&amp;" - "&amp;A193</f>
        <v xml:space="preserve">GLR5 - </v>
      </c>
      <c r="L193" s="44" t="e">
        <f>+VLOOKUP(K193,TL[],4,FALSE)</f>
        <v>#N/A</v>
      </c>
    </row>
    <row r="194" spans="7:12" x14ac:dyDescent="0.2">
      <c r="G194" s="220">
        <f t="shared" si="16"/>
        <v>0</v>
      </c>
      <c r="H194" s="220">
        <f t="shared" si="17"/>
        <v>0</v>
      </c>
      <c r="I194" s="221">
        <f>IF(A194="Total",VLOOKUP(B194,CORRESPONDANCE[#All],2,FALSE),I195)</f>
        <v>0</v>
      </c>
      <c r="J194" s="222" t="str">
        <f t="shared" si="18"/>
        <v/>
      </c>
      <c r="K194" s="44" t="str">
        <f t="shared" si="19"/>
        <v xml:space="preserve">GLR5 - </v>
      </c>
      <c r="L194" s="44" t="e">
        <f>+VLOOKUP(K194,TL[],4,FALSE)</f>
        <v>#N/A</v>
      </c>
    </row>
    <row r="195" spans="7:12" x14ac:dyDescent="0.2">
      <c r="G195" s="220">
        <f t="shared" si="16"/>
        <v>0</v>
      </c>
      <c r="H195" s="220">
        <f t="shared" si="17"/>
        <v>0</v>
      </c>
      <c r="I195" s="221">
        <f>IF(A195="Total",VLOOKUP(B195,CORRESPONDANCE[#All],2,FALSE),I196)</f>
        <v>0</v>
      </c>
      <c r="J195" s="222" t="str">
        <f t="shared" si="18"/>
        <v/>
      </c>
      <c r="K195" s="44" t="str">
        <f t="shared" si="19"/>
        <v xml:space="preserve">GLR5 - </v>
      </c>
      <c r="L195" s="44" t="e">
        <f>+VLOOKUP(K195,TL[],4,FALSE)</f>
        <v>#N/A</v>
      </c>
    </row>
    <row r="196" spans="7:12" x14ac:dyDescent="0.2">
      <c r="G196" s="220">
        <f t="shared" si="16"/>
        <v>0</v>
      </c>
      <c r="H196" s="220">
        <f t="shared" si="17"/>
        <v>0</v>
      </c>
      <c r="I196" s="221">
        <f>IF(A196="Total",VLOOKUP(B196,CORRESPONDANCE[#All],2,FALSE),I197)</f>
        <v>0</v>
      </c>
      <c r="J196" s="222" t="str">
        <f t="shared" si="18"/>
        <v/>
      </c>
      <c r="K196" s="44" t="str">
        <f t="shared" si="19"/>
        <v xml:space="preserve">GLR5 - </v>
      </c>
      <c r="L196" s="44" t="e">
        <f>+VLOOKUP(K196,TL[],4,FALSE)</f>
        <v>#N/A</v>
      </c>
    </row>
    <row r="197" spans="7:12" x14ac:dyDescent="0.2">
      <c r="G197" s="220">
        <f t="shared" si="16"/>
        <v>0</v>
      </c>
      <c r="H197" s="220">
        <f t="shared" si="17"/>
        <v>0</v>
      </c>
      <c r="I197" s="221">
        <f>IF(A197="Total",VLOOKUP(B197,CORRESPONDANCE[#All],2,FALSE),I198)</f>
        <v>0</v>
      </c>
      <c r="J197" s="222" t="str">
        <f t="shared" si="18"/>
        <v/>
      </c>
      <c r="K197" s="44" t="str">
        <f t="shared" si="19"/>
        <v xml:space="preserve">GLR5 - </v>
      </c>
      <c r="L197" s="44" t="e">
        <f>+VLOOKUP(K197,TL[],4,FALSE)</f>
        <v>#N/A</v>
      </c>
    </row>
    <row r="198" spans="7:12" x14ac:dyDescent="0.2">
      <c r="G198" s="220">
        <f t="shared" si="16"/>
        <v>0</v>
      </c>
      <c r="H198" s="220">
        <f t="shared" si="17"/>
        <v>0</v>
      </c>
      <c r="I198" s="221">
        <f>IF(A198="Total",VLOOKUP(B198,CORRESPONDANCE[#All],2,FALSE),I199)</f>
        <v>0</v>
      </c>
      <c r="J198" s="222" t="str">
        <f t="shared" si="18"/>
        <v/>
      </c>
      <c r="K198" s="44" t="str">
        <f t="shared" si="19"/>
        <v xml:space="preserve">GLR5 - </v>
      </c>
      <c r="L198" s="44" t="e">
        <f>+VLOOKUP(K198,TL[],4,FALSE)</f>
        <v>#N/A</v>
      </c>
    </row>
    <row r="199" spans="7:12" x14ac:dyDescent="0.2">
      <c r="G199" s="220">
        <f t="shared" si="16"/>
        <v>0</v>
      </c>
      <c r="H199" s="220">
        <f t="shared" si="17"/>
        <v>0</v>
      </c>
      <c r="I199" s="221">
        <f>IF(A199="Total",VLOOKUP(B199,CORRESPONDANCE[#All],2,FALSE),I200)</f>
        <v>0</v>
      </c>
      <c r="J199" s="222" t="str">
        <f t="shared" si="18"/>
        <v/>
      </c>
      <c r="K199" s="44" t="str">
        <f t="shared" si="19"/>
        <v xml:space="preserve">GLR5 - </v>
      </c>
      <c r="L199" s="44" t="e">
        <f>+VLOOKUP(K199,TL[],4,FALSE)</f>
        <v>#N/A</v>
      </c>
    </row>
    <row r="200" spans="7:12" x14ac:dyDescent="0.2">
      <c r="G200" s="220">
        <f t="shared" si="16"/>
        <v>0</v>
      </c>
      <c r="H200" s="220">
        <f t="shared" si="17"/>
        <v>0</v>
      </c>
      <c r="I200" s="221">
        <f>IF(A200="Total",VLOOKUP(B200,CORRESPONDANCE[#All],2,FALSE),I201)</f>
        <v>0</v>
      </c>
      <c r="J200" s="222" t="str">
        <f t="shared" si="18"/>
        <v/>
      </c>
      <c r="K200" s="44" t="str">
        <f t="shared" si="19"/>
        <v xml:space="preserve">GLR5 - </v>
      </c>
      <c r="L200" s="44" t="e">
        <f>+VLOOKUP(K200,TL[],4,FALSE)</f>
        <v>#N/A</v>
      </c>
    </row>
    <row r="201" spans="7:12" x14ac:dyDescent="0.2">
      <c r="G201" s="220">
        <f t="shared" si="16"/>
        <v>0</v>
      </c>
      <c r="H201" s="220">
        <f t="shared" si="17"/>
        <v>0</v>
      </c>
      <c r="I201" s="221">
        <f>IF(A201="Total",VLOOKUP(B201,CORRESPONDANCE[#All],2,FALSE),I202)</f>
        <v>0</v>
      </c>
      <c r="J201" s="222" t="str">
        <f t="shared" si="18"/>
        <v/>
      </c>
      <c r="K201" s="44" t="str">
        <f t="shared" si="19"/>
        <v xml:space="preserve">GLR5 - </v>
      </c>
      <c r="L201" s="44" t="e">
        <f>+VLOOKUP(K201,TL[],4,FALSE)</f>
        <v>#N/A</v>
      </c>
    </row>
    <row r="202" spans="7:12" x14ac:dyDescent="0.2">
      <c r="G202" s="220">
        <f t="shared" si="16"/>
        <v>0</v>
      </c>
      <c r="H202" s="220">
        <f t="shared" si="17"/>
        <v>0</v>
      </c>
      <c r="I202" s="221">
        <f>IF(A202="Total",VLOOKUP(B202,CORRESPONDANCE[#All],2,FALSE),I203)</f>
        <v>0</v>
      </c>
      <c r="J202" s="222" t="str">
        <f t="shared" si="18"/>
        <v/>
      </c>
      <c r="K202" s="44" t="str">
        <f t="shared" si="19"/>
        <v xml:space="preserve">GLR5 - </v>
      </c>
      <c r="L202" s="44" t="e">
        <f>+VLOOKUP(K202,TL[],4,FALSE)</f>
        <v>#N/A</v>
      </c>
    </row>
    <row r="203" spans="7:12" x14ac:dyDescent="0.2">
      <c r="G203" s="220">
        <f>SUM(C203)-SUM(D203)</f>
        <v>0</v>
      </c>
      <c r="H203" s="220">
        <f>SUM(E203)-SUM(F203)</f>
        <v>0</v>
      </c>
      <c r="I203" s="221">
        <f>IF(A203="Total",VLOOKUP(B203,CORRESPONDANCE[#All],2,FALSE),I204)</f>
        <v>0</v>
      </c>
      <c r="J203" s="222" t="str">
        <f>LEFT(A203,1)</f>
        <v/>
      </c>
      <c r="K203" s="44" t="str">
        <f>"GLR5"&amp;" - "&amp;A203</f>
        <v xml:space="preserve">GLR5 - </v>
      </c>
      <c r="L203" s="44" t="e">
        <f>+VLOOKUP(K203,TL[],4,FALSE)</f>
        <v>#N/A</v>
      </c>
    </row>
    <row r="204" spans="7:12" x14ac:dyDescent="0.2">
      <c r="G204" s="220">
        <f t="shared" si="16"/>
        <v>0</v>
      </c>
      <c r="H204" s="220">
        <f t="shared" si="17"/>
        <v>0</v>
      </c>
      <c r="I204" s="221">
        <f>IF(A204="Total",VLOOKUP(B204,CORRESPONDANCE[#All],2,FALSE),I205)</f>
        <v>0</v>
      </c>
      <c r="J204" s="222" t="str">
        <f t="shared" si="18"/>
        <v/>
      </c>
      <c r="K204" s="44" t="str">
        <f t="shared" si="19"/>
        <v xml:space="preserve">GLR5 - </v>
      </c>
      <c r="L204" s="44" t="e">
        <f>+VLOOKUP(K204,TL[],4,FALSE)</f>
        <v>#N/A</v>
      </c>
    </row>
    <row r="205" spans="7:12" x14ac:dyDescent="0.2">
      <c r="G205" s="220">
        <f t="shared" si="16"/>
        <v>0</v>
      </c>
      <c r="H205" s="220">
        <f t="shared" si="17"/>
        <v>0</v>
      </c>
      <c r="I205" s="221">
        <f>IF(A205="Total",VLOOKUP(B205,CORRESPONDANCE[#All],2,FALSE),I206)</f>
        <v>0</v>
      </c>
      <c r="J205" s="222" t="str">
        <f t="shared" si="18"/>
        <v/>
      </c>
      <c r="K205" s="44" t="str">
        <f t="shared" si="19"/>
        <v xml:space="preserve">GLR5 - </v>
      </c>
      <c r="L205" s="44" t="e">
        <f>+VLOOKUP(K205,TL[],4,FALSE)</f>
        <v>#N/A</v>
      </c>
    </row>
    <row r="206" spans="7:12" x14ac:dyDescent="0.2">
      <c r="G206" s="220">
        <f t="shared" si="16"/>
        <v>0</v>
      </c>
      <c r="H206" s="220">
        <f t="shared" si="17"/>
        <v>0</v>
      </c>
      <c r="I206" s="221">
        <f>IF(A206="Total",VLOOKUP(B206,CORRESPONDANCE[#All],2,FALSE),I207)</f>
        <v>0</v>
      </c>
      <c r="J206" s="222" t="str">
        <f t="shared" si="18"/>
        <v/>
      </c>
      <c r="K206" s="44" t="str">
        <f t="shared" si="19"/>
        <v xml:space="preserve">GLR5 - </v>
      </c>
      <c r="L206" s="44" t="e">
        <f>+VLOOKUP(K206,TL[],4,FALSE)</f>
        <v>#N/A</v>
      </c>
    </row>
    <row r="207" spans="7:12" x14ac:dyDescent="0.2">
      <c r="G207" s="220">
        <f t="shared" si="16"/>
        <v>0</v>
      </c>
      <c r="H207" s="220">
        <f t="shared" si="17"/>
        <v>0</v>
      </c>
      <c r="I207" s="221">
        <f>IF(A207="Total",VLOOKUP(B207,CORRESPONDANCE[#All],2,FALSE),I208)</f>
        <v>0</v>
      </c>
      <c r="J207" s="222" t="str">
        <f t="shared" si="18"/>
        <v/>
      </c>
      <c r="K207" s="44" t="str">
        <f t="shared" si="19"/>
        <v xml:space="preserve">GLR5 - </v>
      </c>
      <c r="L207" s="44" t="e">
        <f>+VLOOKUP(K207,TL[],4,FALSE)</f>
        <v>#N/A</v>
      </c>
    </row>
    <row r="208" spans="7:12" x14ac:dyDescent="0.2">
      <c r="G208" s="220">
        <f t="shared" si="16"/>
        <v>0</v>
      </c>
      <c r="H208" s="220">
        <f t="shared" si="17"/>
        <v>0</v>
      </c>
      <c r="I208" s="221">
        <f>IF(A208="Total",VLOOKUP(B208,CORRESPONDANCE[#All],2,FALSE),I209)</f>
        <v>0</v>
      </c>
      <c r="J208" s="222" t="str">
        <f t="shared" si="18"/>
        <v/>
      </c>
      <c r="K208" s="44" t="str">
        <f t="shared" si="19"/>
        <v xml:space="preserve">GLR5 - </v>
      </c>
      <c r="L208" s="44" t="e">
        <f>+VLOOKUP(K208,TL[],4,FALSE)</f>
        <v>#N/A</v>
      </c>
    </row>
    <row r="209" spans="7:12" x14ac:dyDescent="0.2">
      <c r="G209" s="220">
        <f t="shared" ref="G209:G210" si="20">SUM(C209)-SUM(D209)</f>
        <v>0</v>
      </c>
      <c r="H209" s="220">
        <f t="shared" ref="H209:H210" si="21">SUM(E209)-SUM(F209)</f>
        <v>0</v>
      </c>
      <c r="I209" s="221">
        <f>IF(A209="Total",VLOOKUP(B209,CORRESPONDANCE[#All],2,FALSE),I210)</f>
        <v>0</v>
      </c>
      <c r="J209" s="222" t="str">
        <f t="shared" ref="J209:J210" si="22">LEFT(A209,1)</f>
        <v/>
      </c>
      <c r="K209" s="44" t="str">
        <f t="shared" ref="K209:K210" si="23">"GLR5"&amp;" - "&amp;A209</f>
        <v xml:space="preserve">GLR5 - </v>
      </c>
      <c r="L209" s="44" t="e">
        <f>+VLOOKUP(K209,TL[],4,FALSE)</f>
        <v>#N/A</v>
      </c>
    </row>
    <row r="210" spans="7:12" x14ac:dyDescent="0.2">
      <c r="G210" s="220">
        <f t="shared" si="20"/>
        <v>0</v>
      </c>
      <c r="H210" s="220">
        <f t="shared" si="21"/>
        <v>0</v>
      </c>
      <c r="I210" s="221">
        <f>IF(A210="Total",VLOOKUP(B210,CORRESPONDANCE[#All],2,FALSE),I211)</f>
        <v>0</v>
      </c>
      <c r="J210" s="222" t="str">
        <f t="shared" si="22"/>
        <v/>
      </c>
      <c r="K210" s="44" t="str">
        <f t="shared" si="23"/>
        <v xml:space="preserve">GLR5 - </v>
      </c>
      <c r="L210" s="44" t="e">
        <f>+VLOOKUP(K210,TL[],4,FALSE)</f>
        <v>#N/A</v>
      </c>
    </row>
    <row r="211" spans="7:12" x14ac:dyDescent="0.2">
      <c r="G211" s="220">
        <f t="shared" ref="G211:G213" si="24">SUM(C211)-SUM(D211)</f>
        <v>0</v>
      </c>
      <c r="H211" s="220">
        <f t="shared" ref="H211:H213" si="25">SUM(E211)-SUM(F211)</f>
        <v>0</v>
      </c>
      <c r="I211" s="221">
        <f>IF(A211="Total",VLOOKUP(B211,CORRESPONDANCE[#All],2,FALSE),I212)</f>
        <v>0</v>
      </c>
      <c r="J211" s="222" t="str">
        <f t="shared" ref="J211:J213" si="26">LEFT(A211,1)</f>
        <v/>
      </c>
      <c r="K211" s="44" t="str">
        <f t="shared" ref="K211:K213" si="27">"GLR5"&amp;" - "&amp;A211</f>
        <v xml:space="preserve">GLR5 - </v>
      </c>
      <c r="L211" s="44" t="e">
        <f>+VLOOKUP(K211,TL[],4,FALSE)</f>
        <v>#N/A</v>
      </c>
    </row>
    <row r="212" spans="7:12" x14ac:dyDescent="0.2">
      <c r="G212" s="220">
        <f t="shared" si="24"/>
        <v>0</v>
      </c>
      <c r="H212" s="220">
        <f t="shared" si="25"/>
        <v>0</v>
      </c>
      <c r="I212" s="221">
        <f>IF(A212="Total",VLOOKUP(B212,CORRESPONDANCE[#All],2,FALSE),I213)</f>
        <v>0</v>
      </c>
      <c r="J212" s="222" t="str">
        <f t="shared" si="26"/>
        <v/>
      </c>
      <c r="K212" s="44" t="str">
        <f t="shared" si="27"/>
        <v xml:space="preserve">GLR5 - </v>
      </c>
      <c r="L212" s="44" t="e">
        <f>+VLOOKUP(K212,TL[],4,FALSE)</f>
        <v>#N/A</v>
      </c>
    </row>
    <row r="213" spans="7:12" x14ac:dyDescent="0.2">
      <c r="G213" s="220">
        <f t="shared" si="24"/>
        <v>0</v>
      </c>
      <c r="H213" s="220">
        <f t="shared" si="25"/>
        <v>0</v>
      </c>
      <c r="I213" s="221">
        <f>IF(A213="Total",VLOOKUP(B213,CORRESPONDANCE[#All],2,FALSE),I214)</f>
        <v>0</v>
      </c>
      <c r="J213" s="222" t="str">
        <f t="shared" si="26"/>
        <v/>
      </c>
      <c r="K213" s="44" t="str">
        <f t="shared" si="27"/>
        <v xml:space="preserve">GLR5 - </v>
      </c>
      <c r="L213" s="44" t="e">
        <f>+VLOOKUP(K213,TL[],4,FALSE)</f>
        <v>#N/A</v>
      </c>
    </row>
    <row r="214" spans="7:12" x14ac:dyDescent="0.2">
      <c r="G214" s="220">
        <f t="shared" ref="G214:G216" si="28">SUM(C214)-SUM(D214)</f>
        <v>0</v>
      </c>
      <c r="H214" s="220">
        <f t="shared" ref="H214:H216" si="29">SUM(E214)-SUM(F214)</f>
        <v>0</v>
      </c>
      <c r="I214" s="221">
        <f>IF(A214="Total",VLOOKUP(B214,CORRESPONDANCE[#All],2,FALSE),I215)</f>
        <v>0</v>
      </c>
      <c r="J214" s="222" t="str">
        <f t="shared" ref="J214:J216" si="30">LEFT(A214,1)</f>
        <v/>
      </c>
      <c r="K214" s="44" t="str">
        <f t="shared" ref="K214:K216" si="31">"GLR5"&amp;" - "&amp;A214</f>
        <v xml:space="preserve">GLR5 - </v>
      </c>
      <c r="L214" s="44" t="e">
        <f>+VLOOKUP(K214,TL[],4,FALSE)</f>
        <v>#N/A</v>
      </c>
    </row>
    <row r="215" spans="7:12" x14ac:dyDescent="0.2">
      <c r="G215" s="220">
        <f t="shared" si="28"/>
        <v>0</v>
      </c>
      <c r="H215" s="220">
        <f t="shared" si="29"/>
        <v>0</v>
      </c>
      <c r="I215" s="221">
        <f>IF(A215="Total",VLOOKUP(B215,CORRESPONDANCE[#All],2,FALSE),I216)</f>
        <v>0</v>
      </c>
      <c r="J215" s="222" t="str">
        <f t="shared" si="30"/>
        <v/>
      </c>
      <c r="K215" s="44" t="str">
        <f t="shared" si="31"/>
        <v xml:space="preserve">GLR5 - </v>
      </c>
      <c r="L215" s="44" t="e">
        <f>+VLOOKUP(K215,TL[],4,FALSE)</f>
        <v>#N/A</v>
      </c>
    </row>
    <row r="216" spans="7:12" x14ac:dyDescent="0.2">
      <c r="G216" s="220">
        <f t="shared" si="28"/>
        <v>0</v>
      </c>
      <c r="H216" s="220">
        <f t="shared" si="29"/>
        <v>0</v>
      </c>
      <c r="I216" s="221">
        <f>IF(A216="Total",VLOOKUP(B216,CORRESPONDANCE[#All],2,FALSE),I217)</f>
        <v>0</v>
      </c>
      <c r="J216" s="222" t="str">
        <f t="shared" si="30"/>
        <v/>
      </c>
      <c r="K216" s="44" t="str">
        <f t="shared" si="31"/>
        <v xml:space="preserve">GLR5 - </v>
      </c>
      <c r="L216" s="44" t="e">
        <f>+VLOOKUP(K216,TL[],4,FALSE)</f>
        <v>#N/A</v>
      </c>
    </row>
    <row r="217" spans="7:12" x14ac:dyDescent="0.2">
      <c r="G217" s="220">
        <f t="shared" ref="G217:G280" si="32">SUM(C217)-SUM(D217)</f>
        <v>0</v>
      </c>
      <c r="H217" s="220">
        <f t="shared" ref="H217:H280" si="33">SUM(E217)-SUM(F217)</f>
        <v>0</v>
      </c>
      <c r="I217" s="221">
        <f>IF(A217="Total",VLOOKUP(B217,CORRESPONDANCE[#All],2,FALSE),I218)</f>
        <v>0</v>
      </c>
      <c r="J217" s="222" t="str">
        <f t="shared" ref="J217:J280" si="34">LEFT(A217,1)</f>
        <v/>
      </c>
      <c r="K217" s="44" t="str">
        <f t="shared" ref="K217:K280" si="35">"GLR5"&amp;" - "&amp;A217</f>
        <v xml:space="preserve">GLR5 - </v>
      </c>
      <c r="L217" s="44" t="e">
        <f>+VLOOKUP(K217,TL[],4,FALSE)</f>
        <v>#N/A</v>
      </c>
    </row>
    <row r="218" spans="7:12" x14ac:dyDescent="0.2">
      <c r="G218" s="220">
        <f t="shared" si="32"/>
        <v>0</v>
      </c>
      <c r="H218" s="220">
        <f t="shared" si="33"/>
        <v>0</v>
      </c>
      <c r="I218" s="221">
        <f>IF(A218="Total",VLOOKUP(B218,CORRESPONDANCE[#All],2,FALSE),I219)</f>
        <v>0</v>
      </c>
      <c r="J218" s="222" t="str">
        <f t="shared" si="34"/>
        <v/>
      </c>
      <c r="K218" s="44" t="str">
        <f t="shared" si="35"/>
        <v xml:space="preserve">GLR5 - </v>
      </c>
      <c r="L218" s="44" t="e">
        <f>+VLOOKUP(K218,TL[],4,FALSE)</f>
        <v>#N/A</v>
      </c>
    </row>
    <row r="219" spans="7:12" x14ac:dyDescent="0.2">
      <c r="G219" s="220">
        <f t="shared" si="32"/>
        <v>0</v>
      </c>
      <c r="H219" s="220">
        <f t="shared" si="33"/>
        <v>0</v>
      </c>
      <c r="I219" s="221">
        <f>IF(A219="Total",VLOOKUP(B219,CORRESPONDANCE[#All],2,FALSE),I220)</f>
        <v>0</v>
      </c>
      <c r="J219" s="222" t="str">
        <f t="shared" si="34"/>
        <v/>
      </c>
      <c r="K219" s="44" t="str">
        <f t="shared" si="35"/>
        <v xml:space="preserve">GLR5 - </v>
      </c>
      <c r="L219" s="44" t="e">
        <f>+VLOOKUP(K219,TL[],4,FALSE)</f>
        <v>#N/A</v>
      </c>
    </row>
    <row r="220" spans="7:12" x14ac:dyDescent="0.2">
      <c r="G220" s="220">
        <f t="shared" si="32"/>
        <v>0</v>
      </c>
      <c r="H220" s="220">
        <f t="shared" si="33"/>
        <v>0</v>
      </c>
      <c r="I220" s="221">
        <f>IF(A220="Total",VLOOKUP(B220,CORRESPONDANCE[#All],2,FALSE),I221)</f>
        <v>0</v>
      </c>
      <c r="J220" s="222" t="str">
        <f t="shared" si="34"/>
        <v/>
      </c>
      <c r="K220" s="44" t="str">
        <f t="shared" si="35"/>
        <v xml:space="preserve">GLR5 - </v>
      </c>
      <c r="L220" s="44" t="e">
        <f>+VLOOKUP(K220,TL[],4,FALSE)</f>
        <v>#N/A</v>
      </c>
    </row>
    <row r="221" spans="7:12" x14ac:dyDescent="0.2">
      <c r="G221" s="220">
        <f t="shared" si="32"/>
        <v>0</v>
      </c>
      <c r="H221" s="220">
        <f t="shared" si="33"/>
        <v>0</v>
      </c>
      <c r="I221" s="221">
        <f>IF(A221="Total",VLOOKUP(B221,CORRESPONDANCE[#All],2,FALSE),I222)</f>
        <v>0</v>
      </c>
      <c r="J221" s="222" t="str">
        <f t="shared" si="34"/>
        <v/>
      </c>
      <c r="K221" s="44" t="str">
        <f t="shared" si="35"/>
        <v xml:space="preserve">GLR5 - </v>
      </c>
      <c r="L221" s="44" t="e">
        <f>+VLOOKUP(K221,TL[],4,FALSE)</f>
        <v>#N/A</v>
      </c>
    </row>
    <row r="222" spans="7:12" x14ac:dyDescent="0.2">
      <c r="G222" s="220">
        <f t="shared" si="32"/>
        <v>0</v>
      </c>
      <c r="H222" s="220">
        <f t="shared" si="33"/>
        <v>0</v>
      </c>
      <c r="I222" s="221">
        <f>IF(A222="Total",VLOOKUP(B222,CORRESPONDANCE[#All],2,FALSE),I223)</f>
        <v>0</v>
      </c>
      <c r="J222" s="222" t="str">
        <f t="shared" si="34"/>
        <v/>
      </c>
      <c r="K222" s="44" t="str">
        <f t="shared" si="35"/>
        <v xml:space="preserve">GLR5 - </v>
      </c>
      <c r="L222" s="44" t="e">
        <f>+VLOOKUP(K222,TL[],4,FALSE)</f>
        <v>#N/A</v>
      </c>
    </row>
    <row r="223" spans="7:12" x14ac:dyDescent="0.2">
      <c r="G223" s="220">
        <f t="shared" si="32"/>
        <v>0</v>
      </c>
      <c r="H223" s="220">
        <f t="shared" si="33"/>
        <v>0</v>
      </c>
      <c r="I223" s="221">
        <f>IF(A223="Total",VLOOKUP(B223,CORRESPONDANCE[#All],2,FALSE),I224)</f>
        <v>0</v>
      </c>
      <c r="J223" s="222" t="str">
        <f t="shared" si="34"/>
        <v/>
      </c>
      <c r="K223" s="44" t="str">
        <f t="shared" si="35"/>
        <v xml:space="preserve">GLR5 - </v>
      </c>
      <c r="L223" s="44" t="e">
        <f>+VLOOKUP(K223,TL[],4,FALSE)</f>
        <v>#N/A</v>
      </c>
    </row>
    <row r="224" spans="7:12" x14ac:dyDescent="0.2">
      <c r="G224" s="220">
        <f t="shared" si="32"/>
        <v>0</v>
      </c>
      <c r="H224" s="220">
        <f t="shared" si="33"/>
        <v>0</v>
      </c>
      <c r="I224" s="221">
        <f>IF(A224="Total",VLOOKUP(B224,CORRESPONDANCE[#All],2,FALSE),I225)</f>
        <v>0</v>
      </c>
      <c r="J224" s="222" t="str">
        <f t="shared" si="34"/>
        <v/>
      </c>
      <c r="K224" s="44" t="str">
        <f t="shared" si="35"/>
        <v xml:space="preserve">GLR5 - </v>
      </c>
      <c r="L224" s="44" t="e">
        <f>+VLOOKUP(K224,TL[],4,FALSE)</f>
        <v>#N/A</v>
      </c>
    </row>
    <row r="225" spans="7:12" x14ac:dyDescent="0.2">
      <c r="G225" s="220">
        <f t="shared" si="32"/>
        <v>0</v>
      </c>
      <c r="H225" s="220">
        <f t="shared" si="33"/>
        <v>0</v>
      </c>
      <c r="I225" s="221">
        <f>IF(A225="Total",VLOOKUP(B225,CORRESPONDANCE[#All],2,FALSE),I226)</f>
        <v>0</v>
      </c>
      <c r="J225" s="222" t="str">
        <f t="shared" si="34"/>
        <v/>
      </c>
      <c r="K225" s="44" t="str">
        <f t="shared" si="35"/>
        <v xml:space="preserve">GLR5 - </v>
      </c>
      <c r="L225" s="44" t="e">
        <f>+VLOOKUP(K225,TL[],4,FALSE)</f>
        <v>#N/A</v>
      </c>
    </row>
    <row r="226" spans="7:12" x14ac:dyDescent="0.2">
      <c r="G226" s="220">
        <f t="shared" si="32"/>
        <v>0</v>
      </c>
      <c r="H226" s="220">
        <f t="shared" si="33"/>
        <v>0</v>
      </c>
      <c r="I226" s="221">
        <f>IF(A226="Total",VLOOKUP(B226,CORRESPONDANCE[#All],2,FALSE),I227)</f>
        <v>0</v>
      </c>
      <c r="J226" s="222" t="str">
        <f t="shared" si="34"/>
        <v/>
      </c>
      <c r="K226" s="44" t="str">
        <f t="shared" si="35"/>
        <v xml:space="preserve">GLR5 - </v>
      </c>
      <c r="L226" s="44" t="e">
        <f>+VLOOKUP(K226,TL[],4,FALSE)</f>
        <v>#N/A</v>
      </c>
    </row>
    <row r="227" spans="7:12" x14ac:dyDescent="0.2">
      <c r="G227" s="220">
        <f t="shared" si="32"/>
        <v>0</v>
      </c>
      <c r="H227" s="220">
        <f t="shared" si="33"/>
        <v>0</v>
      </c>
      <c r="I227" s="221">
        <f>IF(A227="Total",VLOOKUP(B227,CORRESPONDANCE[#All],2,FALSE),I228)</f>
        <v>0</v>
      </c>
      <c r="J227" s="222" t="str">
        <f t="shared" si="34"/>
        <v/>
      </c>
      <c r="K227" s="44" t="str">
        <f t="shared" si="35"/>
        <v xml:space="preserve">GLR5 - </v>
      </c>
      <c r="L227" s="44" t="e">
        <f>+VLOOKUP(K227,TL[],4,FALSE)</f>
        <v>#N/A</v>
      </c>
    </row>
    <row r="228" spans="7:12" x14ac:dyDescent="0.2">
      <c r="G228" s="220">
        <f t="shared" si="32"/>
        <v>0</v>
      </c>
      <c r="H228" s="220">
        <f t="shared" si="33"/>
        <v>0</v>
      </c>
      <c r="I228" s="221">
        <f>IF(A228="Total",VLOOKUP(B228,CORRESPONDANCE[#All],2,FALSE),I229)</f>
        <v>0</v>
      </c>
      <c r="J228" s="222" t="str">
        <f t="shared" si="34"/>
        <v/>
      </c>
      <c r="K228" s="44" t="str">
        <f t="shared" si="35"/>
        <v xml:space="preserve">GLR5 - </v>
      </c>
      <c r="L228" s="44" t="e">
        <f>+VLOOKUP(K228,TL[],4,FALSE)</f>
        <v>#N/A</v>
      </c>
    </row>
    <row r="229" spans="7:12" x14ac:dyDescent="0.2">
      <c r="G229" s="220">
        <f t="shared" si="32"/>
        <v>0</v>
      </c>
      <c r="H229" s="220">
        <f t="shared" si="33"/>
        <v>0</v>
      </c>
      <c r="I229" s="221">
        <f>IF(A229="Total",VLOOKUP(B229,CORRESPONDANCE[#All],2,FALSE),I230)</f>
        <v>0</v>
      </c>
      <c r="J229" s="222" t="str">
        <f t="shared" si="34"/>
        <v/>
      </c>
      <c r="K229" s="44" t="str">
        <f t="shared" si="35"/>
        <v xml:space="preserve">GLR5 - </v>
      </c>
      <c r="L229" s="44" t="e">
        <f>+VLOOKUP(K229,TL[],4,FALSE)</f>
        <v>#N/A</v>
      </c>
    </row>
    <row r="230" spans="7:12" x14ac:dyDescent="0.2">
      <c r="G230" s="220">
        <f t="shared" si="32"/>
        <v>0</v>
      </c>
      <c r="H230" s="220">
        <f t="shared" si="33"/>
        <v>0</v>
      </c>
      <c r="I230" s="221">
        <f>IF(A230="Total",VLOOKUP(B230,CORRESPONDANCE[#All],2,FALSE),I231)</f>
        <v>0</v>
      </c>
      <c r="J230" s="222" t="str">
        <f t="shared" si="34"/>
        <v/>
      </c>
      <c r="K230" s="44" t="str">
        <f t="shared" si="35"/>
        <v xml:space="preserve">GLR5 - </v>
      </c>
      <c r="L230" s="44" t="e">
        <f>+VLOOKUP(K230,TL[],4,FALSE)</f>
        <v>#N/A</v>
      </c>
    </row>
    <row r="231" spans="7:12" x14ac:dyDescent="0.2">
      <c r="G231" s="220">
        <f t="shared" si="32"/>
        <v>0</v>
      </c>
      <c r="H231" s="220">
        <f t="shared" si="33"/>
        <v>0</v>
      </c>
      <c r="I231" s="221">
        <f>IF(A231="Total",VLOOKUP(B231,CORRESPONDANCE[#All],2,FALSE),I232)</f>
        <v>0</v>
      </c>
      <c r="J231" s="222" t="str">
        <f t="shared" si="34"/>
        <v/>
      </c>
      <c r="K231" s="44" t="str">
        <f t="shared" si="35"/>
        <v xml:space="preserve">GLR5 - </v>
      </c>
      <c r="L231" s="44" t="e">
        <f>+VLOOKUP(K231,TL[],4,FALSE)</f>
        <v>#N/A</v>
      </c>
    </row>
    <row r="232" spans="7:12" x14ac:dyDescent="0.2">
      <c r="G232" s="220">
        <f t="shared" si="32"/>
        <v>0</v>
      </c>
      <c r="H232" s="220">
        <f t="shared" si="33"/>
        <v>0</v>
      </c>
      <c r="I232" s="221">
        <f>IF(A232="Total",VLOOKUP(B232,CORRESPONDANCE[#All],2,FALSE),I233)</f>
        <v>0</v>
      </c>
      <c r="J232" s="222" t="str">
        <f t="shared" si="34"/>
        <v/>
      </c>
      <c r="K232" s="44" t="str">
        <f t="shared" si="35"/>
        <v xml:space="preserve">GLR5 - </v>
      </c>
      <c r="L232" s="44" t="e">
        <f>+VLOOKUP(K232,TL[],4,FALSE)</f>
        <v>#N/A</v>
      </c>
    </row>
    <row r="233" spans="7:12" x14ac:dyDescent="0.2">
      <c r="G233" s="220">
        <f t="shared" si="32"/>
        <v>0</v>
      </c>
      <c r="H233" s="220">
        <f t="shared" si="33"/>
        <v>0</v>
      </c>
      <c r="I233" s="221">
        <f>IF(A233="Total",VLOOKUP(B233,CORRESPONDANCE[#All],2,FALSE),I234)</f>
        <v>0</v>
      </c>
      <c r="J233" s="222" t="str">
        <f t="shared" si="34"/>
        <v/>
      </c>
      <c r="K233" s="44" t="str">
        <f t="shared" si="35"/>
        <v xml:space="preserve">GLR5 - </v>
      </c>
      <c r="L233" s="44" t="e">
        <f>+VLOOKUP(K233,TL[],4,FALSE)</f>
        <v>#N/A</v>
      </c>
    </row>
    <row r="234" spans="7:12" x14ac:dyDescent="0.2">
      <c r="G234" s="220">
        <f t="shared" si="32"/>
        <v>0</v>
      </c>
      <c r="H234" s="220">
        <f t="shared" si="33"/>
        <v>0</v>
      </c>
      <c r="I234" s="221">
        <f>IF(A234="Total",VLOOKUP(B234,CORRESPONDANCE[#All],2,FALSE),I235)</f>
        <v>0</v>
      </c>
      <c r="J234" s="222" t="str">
        <f t="shared" si="34"/>
        <v/>
      </c>
      <c r="K234" s="44" t="str">
        <f t="shared" si="35"/>
        <v xml:space="preserve">GLR5 - </v>
      </c>
      <c r="L234" s="44" t="e">
        <f>+VLOOKUP(K234,TL[],4,FALSE)</f>
        <v>#N/A</v>
      </c>
    </row>
    <row r="235" spans="7:12" x14ac:dyDescent="0.2">
      <c r="G235" s="220">
        <f t="shared" si="32"/>
        <v>0</v>
      </c>
      <c r="H235" s="220">
        <f t="shared" si="33"/>
        <v>0</v>
      </c>
      <c r="I235" s="221">
        <f>IF(A235="Total",VLOOKUP(B235,CORRESPONDANCE[#All],2,FALSE),I236)</f>
        <v>0</v>
      </c>
      <c r="J235" s="222" t="str">
        <f t="shared" si="34"/>
        <v/>
      </c>
      <c r="K235" s="44" t="str">
        <f t="shared" si="35"/>
        <v xml:space="preserve">GLR5 - </v>
      </c>
      <c r="L235" s="44" t="e">
        <f>+VLOOKUP(K235,TL[],4,FALSE)</f>
        <v>#N/A</v>
      </c>
    </row>
    <row r="236" spans="7:12" x14ac:dyDescent="0.2">
      <c r="G236" s="220">
        <f t="shared" si="32"/>
        <v>0</v>
      </c>
      <c r="H236" s="220">
        <f t="shared" si="33"/>
        <v>0</v>
      </c>
      <c r="I236" s="221">
        <f>IF(A236="Total",VLOOKUP(B236,CORRESPONDANCE[#All],2,FALSE),I237)</f>
        <v>0</v>
      </c>
      <c r="J236" s="222" t="str">
        <f t="shared" si="34"/>
        <v/>
      </c>
      <c r="K236" s="44" t="str">
        <f t="shared" si="35"/>
        <v xml:space="preserve">GLR5 - </v>
      </c>
      <c r="L236" s="44" t="e">
        <f>+VLOOKUP(K236,TL[],4,FALSE)</f>
        <v>#N/A</v>
      </c>
    </row>
    <row r="237" spans="7:12" x14ac:dyDescent="0.2">
      <c r="G237" s="220">
        <f t="shared" si="32"/>
        <v>0</v>
      </c>
      <c r="H237" s="220">
        <f t="shared" si="33"/>
        <v>0</v>
      </c>
      <c r="I237" s="221">
        <f>IF(A237="Total",VLOOKUP(B237,CORRESPONDANCE[#All],2,FALSE),I238)</f>
        <v>0</v>
      </c>
      <c r="J237" s="222" t="str">
        <f t="shared" si="34"/>
        <v/>
      </c>
      <c r="K237" s="44" t="str">
        <f t="shared" si="35"/>
        <v xml:space="preserve">GLR5 - </v>
      </c>
      <c r="L237" s="44" t="e">
        <f>+VLOOKUP(K237,TL[],4,FALSE)</f>
        <v>#N/A</v>
      </c>
    </row>
    <row r="238" spans="7:12" x14ac:dyDescent="0.2">
      <c r="G238" s="220">
        <f t="shared" si="32"/>
        <v>0</v>
      </c>
      <c r="H238" s="220">
        <f t="shared" si="33"/>
        <v>0</v>
      </c>
      <c r="I238" s="221">
        <f>IF(A238="Total",VLOOKUP(B238,CORRESPONDANCE[#All],2,FALSE),I239)</f>
        <v>0</v>
      </c>
      <c r="J238" s="222" t="str">
        <f t="shared" si="34"/>
        <v/>
      </c>
      <c r="K238" s="44" t="str">
        <f t="shared" si="35"/>
        <v xml:space="preserve">GLR5 - </v>
      </c>
      <c r="L238" s="44" t="e">
        <f>+VLOOKUP(K238,TL[],4,FALSE)</f>
        <v>#N/A</v>
      </c>
    </row>
    <row r="239" spans="7:12" x14ac:dyDescent="0.2">
      <c r="G239" s="220">
        <f t="shared" si="32"/>
        <v>0</v>
      </c>
      <c r="H239" s="220">
        <f t="shared" si="33"/>
        <v>0</v>
      </c>
      <c r="I239" s="221">
        <f>IF(A239="Total",VLOOKUP(B239,CORRESPONDANCE[#All],2,FALSE),I240)</f>
        <v>0</v>
      </c>
      <c r="J239" s="222" t="str">
        <f t="shared" si="34"/>
        <v/>
      </c>
      <c r="K239" s="44" t="str">
        <f t="shared" si="35"/>
        <v xml:space="preserve">GLR5 - </v>
      </c>
      <c r="L239" s="44" t="e">
        <f>+VLOOKUP(K239,TL[],4,FALSE)</f>
        <v>#N/A</v>
      </c>
    </row>
    <row r="240" spans="7:12" x14ac:dyDescent="0.2">
      <c r="G240" s="220">
        <f t="shared" si="32"/>
        <v>0</v>
      </c>
      <c r="H240" s="220">
        <f t="shared" si="33"/>
        <v>0</v>
      </c>
      <c r="I240" s="221">
        <f>IF(A240="Total",VLOOKUP(B240,CORRESPONDANCE[#All],2,FALSE),I241)</f>
        <v>0</v>
      </c>
      <c r="J240" s="222" t="str">
        <f t="shared" si="34"/>
        <v/>
      </c>
      <c r="K240" s="44" t="str">
        <f t="shared" si="35"/>
        <v xml:space="preserve">GLR5 - </v>
      </c>
      <c r="L240" s="44" t="e">
        <f>+VLOOKUP(K240,TL[],4,FALSE)</f>
        <v>#N/A</v>
      </c>
    </row>
    <row r="241" spans="7:12" x14ac:dyDescent="0.2">
      <c r="G241" s="220">
        <f t="shared" si="32"/>
        <v>0</v>
      </c>
      <c r="H241" s="220">
        <f t="shared" si="33"/>
        <v>0</v>
      </c>
      <c r="I241" s="221">
        <f>IF(A241="Total",VLOOKUP(B241,CORRESPONDANCE[#All],2,FALSE),I242)</f>
        <v>0</v>
      </c>
      <c r="J241" s="222" t="str">
        <f t="shared" si="34"/>
        <v/>
      </c>
      <c r="K241" s="44" t="str">
        <f t="shared" si="35"/>
        <v xml:space="preserve">GLR5 - </v>
      </c>
      <c r="L241" s="44" t="e">
        <f>+VLOOKUP(K241,TL[],4,FALSE)</f>
        <v>#N/A</v>
      </c>
    </row>
    <row r="242" spans="7:12" x14ac:dyDescent="0.2">
      <c r="G242" s="220">
        <f t="shared" si="32"/>
        <v>0</v>
      </c>
      <c r="H242" s="220">
        <f t="shared" si="33"/>
        <v>0</v>
      </c>
      <c r="I242" s="221">
        <f>IF(A242="Total",VLOOKUP(B242,CORRESPONDANCE[#All],2,FALSE),I243)</f>
        <v>0</v>
      </c>
      <c r="J242" s="222" t="str">
        <f t="shared" si="34"/>
        <v/>
      </c>
      <c r="K242" s="44" t="str">
        <f t="shared" si="35"/>
        <v xml:space="preserve">GLR5 - </v>
      </c>
      <c r="L242" s="44" t="e">
        <f>+VLOOKUP(K242,TL[],4,FALSE)</f>
        <v>#N/A</v>
      </c>
    </row>
    <row r="243" spans="7:12" x14ac:dyDescent="0.2">
      <c r="G243" s="220">
        <f t="shared" si="32"/>
        <v>0</v>
      </c>
      <c r="H243" s="220">
        <f t="shared" si="33"/>
        <v>0</v>
      </c>
      <c r="I243" s="221">
        <f>IF(A243="Total",VLOOKUP(B243,CORRESPONDANCE[#All],2,FALSE),I244)</f>
        <v>0</v>
      </c>
      <c r="J243" s="222" t="str">
        <f t="shared" si="34"/>
        <v/>
      </c>
      <c r="K243" s="44" t="str">
        <f t="shared" si="35"/>
        <v xml:space="preserve">GLR5 - </v>
      </c>
      <c r="L243" s="44" t="e">
        <f>+VLOOKUP(K243,TL[],4,FALSE)</f>
        <v>#N/A</v>
      </c>
    </row>
    <row r="244" spans="7:12" x14ac:dyDescent="0.2">
      <c r="G244" s="220">
        <f t="shared" si="32"/>
        <v>0</v>
      </c>
      <c r="H244" s="220">
        <f t="shared" si="33"/>
        <v>0</v>
      </c>
      <c r="I244" s="221">
        <f>IF(A244="Total",VLOOKUP(B244,CORRESPONDANCE[#All],2,FALSE),I245)</f>
        <v>0</v>
      </c>
      <c r="J244" s="222" t="str">
        <f t="shared" si="34"/>
        <v/>
      </c>
      <c r="K244" s="44" t="str">
        <f t="shared" si="35"/>
        <v xml:space="preserve">GLR5 - </v>
      </c>
      <c r="L244" s="44" t="e">
        <f>+VLOOKUP(K244,TL[],4,FALSE)</f>
        <v>#N/A</v>
      </c>
    </row>
    <row r="245" spans="7:12" x14ac:dyDescent="0.2">
      <c r="G245" s="220">
        <f t="shared" si="32"/>
        <v>0</v>
      </c>
      <c r="H245" s="220">
        <f t="shared" si="33"/>
        <v>0</v>
      </c>
      <c r="I245" s="221">
        <f>IF(A245="Total",VLOOKUP(B245,CORRESPONDANCE[#All],2,FALSE),I246)</f>
        <v>0</v>
      </c>
      <c r="J245" s="222" t="str">
        <f t="shared" si="34"/>
        <v/>
      </c>
      <c r="K245" s="44" t="str">
        <f t="shared" si="35"/>
        <v xml:space="preserve">GLR5 - </v>
      </c>
      <c r="L245" s="44" t="e">
        <f>+VLOOKUP(K245,TL[],4,FALSE)</f>
        <v>#N/A</v>
      </c>
    </row>
    <row r="246" spans="7:12" x14ac:dyDescent="0.2">
      <c r="G246" s="220">
        <f t="shared" si="32"/>
        <v>0</v>
      </c>
      <c r="H246" s="220">
        <f t="shared" si="33"/>
        <v>0</v>
      </c>
      <c r="I246" s="221">
        <f>IF(A246="Total",VLOOKUP(B246,CORRESPONDANCE[#All],2,FALSE),I247)</f>
        <v>0</v>
      </c>
      <c r="J246" s="222" t="str">
        <f t="shared" si="34"/>
        <v/>
      </c>
      <c r="K246" s="44" t="str">
        <f t="shared" si="35"/>
        <v xml:space="preserve">GLR5 - </v>
      </c>
      <c r="L246" s="44" t="e">
        <f>+VLOOKUP(K246,TL[],4,FALSE)</f>
        <v>#N/A</v>
      </c>
    </row>
    <row r="247" spans="7:12" x14ac:dyDescent="0.2">
      <c r="G247" s="220">
        <f t="shared" si="32"/>
        <v>0</v>
      </c>
      <c r="H247" s="220">
        <f t="shared" si="33"/>
        <v>0</v>
      </c>
      <c r="I247" s="221">
        <f>IF(A247="Total",VLOOKUP(B247,CORRESPONDANCE[#All],2,FALSE),I248)</f>
        <v>0</v>
      </c>
      <c r="J247" s="222" t="str">
        <f t="shared" si="34"/>
        <v/>
      </c>
      <c r="K247" s="44" t="str">
        <f t="shared" si="35"/>
        <v xml:space="preserve">GLR5 - </v>
      </c>
      <c r="L247" s="44" t="e">
        <f>+VLOOKUP(K247,TL[],4,FALSE)</f>
        <v>#N/A</v>
      </c>
    </row>
    <row r="248" spans="7:12" x14ac:dyDescent="0.2">
      <c r="G248" s="220">
        <f t="shared" si="32"/>
        <v>0</v>
      </c>
      <c r="H248" s="220">
        <f t="shared" si="33"/>
        <v>0</v>
      </c>
      <c r="I248" s="221">
        <f>IF(A248="Total",VLOOKUP(B248,CORRESPONDANCE[#All],2,FALSE),I249)</f>
        <v>0</v>
      </c>
      <c r="J248" s="222" t="str">
        <f t="shared" si="34"/>
        <v/>
      </c>
      <c r="K248" s="44" t="str">
        <f t="shared" si="35"/>
        <v xml:space="preserve">GLR5 - </v>
      </c>
      <c r="L248" s="44" t="e">
        <f>+VLOOKUP(K248,TL[],4,FALSE)</f>
        <v>#N/A</v>
      </c>
    </row>
    <row r="249" spans="7:12" x14ac:dyDescent="0.2">
      <c r="G249" s="220">
        <f t="shared" si="32"/>
        <v>0</v>
      </c>
      <c r="H249" s="220">
        <f t="shared" si="33"/>
        <v>0</v>
      </c>
      <c r="I249" s="221">
        <f>IF(A249="Total",VLOOKUP(B249,CORRESPONDANCE[#All],2,FALSE),I250)</f>
        <v>0</v>
      </c>
      <c r="J249" s="222" t="str">
        <f t="shared" si="34"/>
        <v/>
      </c>
      <c r="K249" s="44" t="str">
        <f t="shared" si="35"/>
        <v xml:space="preserve">GLR5 - </v>
      </c>
      <c r="L249" s="44" t="e">
        <f>+VLOOKUP(K249,TL[],4,FALSE)</f>
        <v>#N/A</v>
      </c>
    </row>
    <row r="250" spans="7:12" x14ac:dyDescent="0.2">
      <c r="G250" s="220">
        <f t="shared" si="32"/>
        <v>0</v>
      </c>
      <c r="H250" s="220">
        <f t="shared" si="33"/>
        <v>0</v>
      </c>
      <c r="I250" s="221">
        <f>IF(A250="Total",VLOOKUP(B250,CORRESPONDANCE[#All],2,FALSE),I251)</f>
        <v>0</v>
      </c>
      <c r="J250" s="222" t="str">
        <f t="shared" si="34"/>
        <v/>
      </c>
      <c r="K250" s="44" t="str">
        <f t="shared" si="35"/>
        <v xml:space="preserve">GLR5 - </v>
      </c>
      <c r="L250" s="44" t="e">
        <f>+VLOOKUP(K250,TL[],4,FALSE)</f>
        <v>#N/A</v>
      </c>
    </row>
    <row r="251" spans="7:12" x14ac:dyDescent="0.2">
      <c r="G251" s="220">
        <f t="shared" si="32"/>
        <v>0</v>
      </c>
      <c r="H251" s="220">
        <f t="shared" si="33"/>
        <v>0</v>
      </c>
      <c r="I251" s="221">
        <f>IF(A251="Total",VLOOKUP(B251,CORRESPONDANCE[#All],2,FALSE),I252)</f>
        <v>0</v>
      </c>
      <c r="J251" s="222" t="str">
        <f t="shared" si="34"/>
        <v/>
      </c>
      <c r="K251" s="44" t="str">
        <f t="shared" si="35"/>
        <v xml:space="preserve">GLR5 - </v>
      </c>
      <c r="L251" s="44" t="e">
        <f>+VLOOKUP(K251,TL[],4,FALSE)</f>
        <v>#N/A</v>
      </c>
    </row>
    <row r="252" spans="7:12" x14ac:dyDescent="0.2">
      <c r="G252" s="220">
        <f t="shared" si="32"/>
        <v>0</v>
      </c>
      <c r="H252" s="220">
        <f t="shared" si="33"/>
        <v>0</v>
      </c>
      <c r="I252" s="221">
        <f>IF(A252="Total",VLOOKUP(B252,CORRESPONDANCE[#All],2,FALSE),I253)</f>
        <v>0</v>
      </c>
      <c r="J252" s="222" t="str">
        <f t="shared" si="34"/>
        <v/>
      </c>
      <c r="K252" s="44" t="str">
        <f t="shared" si="35"/>
        <v xml:space="preserve">GLR5 - </v>
      </c>
      <c r="L252" s="44" t="e">
        <f>+VLOOKUP(K252,TL[],4,FALSE)</f>
        <v>#N/A</v>
      </c>
    </row>
    <row r="253" spans="7:12" x14ac:dyDescent="0.2">
      <c r="G253" s="220">
        <f t="shared" si="32"/>
        <v>0</v>
      </c>
      <c r="H253" s="220">
        <f t="shared" si="33"/>
        <v>0</v>
      </c>
      <c r="I253" s="221">
        <f>IF(A253="Total",VLOOKUP(B253,CORRESPONDANCE[#All],2,FALSE),I254)</f>
        <v>0</v>
      </c>
      <c r="J253" s="222" t="str">
        <f t="shared" si="34"/>
        <v/>
      </c>
      <c r="K253" s="44" t="str">
        <f t="shared" si="35"/>
        <v xml:space="preserve">GLR5 - </v>
      </c>
      <c r="L253" s="44" t="e">
        <f>+VLOOKUP(K253,TL[],4,FALSE)</f>
        <v>#N/A</v>
      </c>
    </row>
    <row r="254" spans="7:12" x14ac:dyDescent="0.2">
      <c r="G254" s="220">
        <f t="shared" si="32"/>
        <v>0</v>
      </c>
      <c r="H254" s="220">
        <f t="shared" si="33"/>
        <v>0</v>
      </c>
      <c r="I254" s="221">
        <f>IF(A254="Total",VLOOKUP(B254,CORRESPONDANCE[#All],2,FALSE),I255)</f>
        <v>0</v>
      </c>
      <c r="J254" s="222" t="str">
        <f t="shared" si="34"/>
        <v/>
      </c>
      <c r="K254" s="44" t="str">
        <f t="shared" si="35"/>
        <v xml:space="preserve">GLR5 - </v>
      </c>
      <c r="L254" s="44" t="e">
        <f>+VLOOKUP(K254,TL[],4,FALSE)</f>
        <v>#N/A</v>
      </c>
    </row>
    <row r="255" spans="7:12" x14ac:dyDescent="0.2">
      <c r="G255" s="220">
        <f t="shared" si="32"/>
        <v>0</v>
      </c>
      <c r="H255" s="220">
        <f t="shared" si="33"/>
        <v>0</v>
      </c>
      <c r="I255" s="221">
        <f>IF(A255="Total",VLOOKUP(B255,CORRESPONDANCE[#All],2,FALSE),I256)</f>
        <v>0</v>
      </c>
      <c r="J255" s="222" t="str">
        <f t="shared" si="34"/>
        <v/>
      </c>
      <c r="K255" s="44" t="str">
        <f t="shared" si="35"/>
        <v xml:space="preserve">GLR5 - </v>
      </c>
      <c r="L255" s="44" t="e">
        <f>+VLOOKUP(K255,TL[],4,FALSE)</f>
        <v>#N/A</v>
      </c>
    </row>
    <row r="256" spans="7:12" x14ac:dyDescent="0.2">
      <c r="G256" s="220">
        <f t="shared" si="32"/>
        <v>0</v>
      </c>
      <c r="H256" s="220">
        <f t="shared" si="33"/>
        <v>0</v>
      </c>
      <c r="I256" s="221">
        <f>IF(A256="Total",VLOOKUP(B256,CORRESPONDANCE[#All],2,FALSE),I257)</f>
        <v>0</v>
      </c>
      <c r="J256" s="222" t="str">
        <f t="shared" si="34"/>
        <v/>
      </c>
      <c r="K256" s="44" t="str">
        <f t="shared" si="35"/>
        <v xml:space="preserve">GLR5 - </v>
      </c>
      <c r="L256" s="44" t="e">
        <f>+VLOOKUP(K256,TL[],4,FALSE)</f>
        <v>#N/A</v>
      </c>
    </row>
    <row r="257" spans="7:12" x14ac:dyDescent="0.2">
      <c r="G257" s="220">
        <f t="shared" si="32"/>
        <v>0</v>
      </c>
      <c r="H257" s="220">
        <f t="shared" si="33"/>
        <v>0</v>
      </c>
      <c r="I257" s="221">
        <f>IF(A257="Total",VLOOKUP(B257,CORRESPONDANCE[#All],2,FALSE),I258)</f>
        <v>0</v>
      </c>
      <c r="J257" s="222" t="str">
        <f t="shared" si="34"/>
        <v/>
      </c>
      <c r="K257" s="44" t="str">
        <f t="shared" si="35"/>
        <v xml:space="preserve">GLR5 - </v>
      </c>
      <c r="L257" s="44" t="e">
        <f>+VLOOKUP(K257,TL[],4,FALSE)</f>
        <v>#N/A</v>
      </c>
    </row>
    <row r="258" spans="7:12" x14ac:dyDescent="0.2">
      <c r="G258" s="220">
        <f t="shared" si="32"/>
        <v>0</v>
      </c>
      <c r="H258" s="220">
        <f t="shared" si="33"/>
        <v>0</v>
      </c>
      <c r="I258" s="221">
        <f>IF(A258="Total",VLOOKUP(B258,CORRESPONDANCE[#All],2,FALSE),I259)</f>
        <v>0</v>
      </c>
      <c r="J258" s="222" t="str">
        <f t="shared" si="34"/>
        <v/>
      </c>
      <c r="K258" s="44" t="str">
        <f t="shared" si="35"/>
        <v xml:space="preserve">GLR5 - </v>
      </c>
      <c r="L258" s="44" t="e">
        <f>+VLOOKUP(K258,TL[],4,FALSE)</f>
        <v>#N/A</v>
      </c>
    </row>
    <row r="259" spans="7:12" x14ac:dyDescent="0.2">
      <c r="G259" s="220">
        <f t="shared" si="32"/>
        <v>0</v>
      </c>
      <c r="H259" s="220">
        <f t="shared" si="33"/>
        <v>0</v>
      </c>
      <c r="I259" s="221">
        <f>IF(A259="Total",VLOOKUP(B259,CORRESPONDANCE[#All],2,FALSE),I260)</f>
        <v>0</v>
      </c>
      <c r="J259" s="222" t="str">
        <f t="shared" si="34"/>
        <v/>
      </c>
      <c r="K259" s="44" t="str">
        <f t="shared" si="35"/>
        <v xml:space="preserve">GLR5 - </v>
      </c>
      <c r="L259" s="44" t="e">
        <f>+VLOOKUP(K259,TL[],4,FALSE)</f>
        <v>#N/A</v>
      </c>
    </row>
    <row r="260" spans="7:12" x14ac:dyDescent="0.2">
      <c r="G260" s="220">
        <f t="shared" si="32"/>
        <v>0</v>
      </c>
      <c r="H260" s="220">
        <f t="shared" si="33"/>
        <v>0</v>
      </c>
      <c r="I260" s="221">
        <f>IF(A260="Total",VLOOKUP(B260,CORRESPONDANCE[#All],2,FALSE),I261)</f>
        <v>0</v>
      </c>
      <c r="J260" s="222" t="str">
        <f t="shared" si="34"/>
        <v/>
      </c>
      <c r="K260" s="44" t="str">
        <f t="shared" si="35"/>
        <v xml:space="preserve">GLR5 - </v>
      </c>
      <c r="L260" s="44" t="e">
        <f>+VLOOKUP(K260,TL[],4,FALSE)</f>
        <v>#N/A</v>
      </c>
    </row>
    <row r="261" spans="7:12" x14ac:dyDescent="0.2">
      <c r="G261" s="220">
        <f t="shared" si="32"/>
        <v>0</v>
      </c>
      <c r="H261" s="220">
        <f t="shared" si="33"/>
        <v>0</v>
      </c>
      <c r="I261" s="221">
        <f>IF(A261="Total",VLOOKUP(B261,CORRESPONDANCE[#All],2,FALSE),I262)</f>
        <v>0</v>
      </c>
      <c r="J261" s="222" t="str">
        <f t="shared" si="34"/>
        <v/>
      </c>
      <c r="K261" s="44" t="str">
        <f t="shared" si="35"/>
        <v xml:space="preserve">GLR5 - </v>
      </c>
      <c r="L261" s="44" t="e">
        <f>+VLOOKUP(K261,TL[],4,FALSE)</f>
        <v>#N/A</v>
      </c>
    </row>
    <row r="262" spans="7:12" x14ac:dyDescent="0.2">
      <c r="G262" s="220">
        <f t="shared" si="32"/>
        <v>0</v>
      </c>
      <c r="H262" s="220">
        <f t="shared" si="33"/>
        <v>0</v>
      </c>
      <c r="I262" s="221">
        <f>IF(A262="Total",VLOOKUP(B262,CORRESPONDANCE[#All],2,FALSE),I263)</f>
        <v>0</v>
      </c>
      <c r="J262" s="222" t="str">
        <f t="shared" si="34"/>
        <v/>
      </c>
      <c r="K262" s="44" t="str">
        <f t="shared" si="35"/>
        <v xml:space="preserve">GLR5 - </v>
      </c>
      <c r="L262" s="44" t="e">
        <f>+VLOOKUP(K262,TL[],4,FALSE)</f>
        <v>#N/A</v>
      </c>
    </row>
    <row r="263" spans="7:12" x14ac:dyDescent="0.2">
      <c r="G263" s="220">
        <f t="shared" si="32"/>
        <v>0</v>
      </c>
      <c r="H263" s="220">
        <f t="shared" si="33"/>
        <v>0</v>
      </c>
      <c r="I263" s="221">
        <f>IF(A263="Total",VLOOKUP(B263,CORRESPONDANCE[#All],2,FALSE),I264)</f>
        <v>0</v>
      </c>
      <c r="J263" s="222" t="str">
        <f t="shared" si="34"/>
        <v/>
      </c>
      <c r="K263" s="44" t="str">
        <f t="shared" si="35"/>
        <v xml:space="preserve">GLR5 - </v>
      </c>
      <c r="L263" s="44" t="e">
        <f>+VLOOKUP(K263,TL[],4,FALSE)</f>
        <v>#N/A</v>
      </c>
    </row>
    <row r="264" spans="7:12" x14ac:dyDescent="0.2">
      <c r="G264" s="220">
        <f t="shared" si="32"/>
        <v>0</v>
      </c>
      <c r="H264" s="220">
        <f t="shared" si="33"/>
        <v>0</v>
      </c>
      <c r="I264" s="221">
        <f>IF(A264="Total",VLOOKUP(B264,CORRESPONDANCE[#All],2,FALSE),I265)</f>
        <v>0</v>
      </c>
      <c r="J264" s="222" t="str">
        <f t="shared" si="34"/>
        <v/>
      </c>
      <c r="K264" s="44" t="str">
        <f t="shared" si="35"/>
        <v xml:space="preserve">GLR5 - </v>
      </c>
      <c r="L264" s="44" t="e">
        <f>+VLOOKUP(K264,TL[],4,FALSE)</f>
        <v>#N/A</v>
      </c>
    </row>
    <row r="265" spans="7:12" x14ac:dyDescent="0.2">
      <c r="G265" s="220">
        <f t="shared" si="32"/>
        <v>0</v>
      </c>
      <c r="H265" s="220">
        <f t="shared" si="33"/>
        <v>0</v>
      </c>
      <c r="I265" s="221">
        <f>IF(A265="Total",VLOOKUP(B265,CORRESPONDANCE[#All],2,FALSE),I266)</f>
        <v>0</v>
      </c>
      <c r="J265" s="222" t="str">
        <f t="shared" si="34"/>
        <v/>
      </c>
      <c r="K265" s="44" t="str">
        <f t="shared" si="35"/>
        <v xml:space="preserve">GLR5 - </v>
      </c>
      <c r="L265" s="44" t="e">
        <f>+VLOOKUP(K265,TL[],4,FALSE)</f>
        <v>#N/A</v>
      </c>
    </row>
    <row r="266" spans="7:12" x14ac:dyDescent="0.2">
      <c r="G266" s="220">
        <f t="shared" si="32"/>
        <v>0</v>
      </c>
      <c r="H266" s="220">
        <f t="shared" si="33"/>
        <v>0</v>
      </c>
      <c r="I266" s="221">
        <f>IF(A266="Total",VLOOKUP(B266,CORRESPONDANCE[#All],2,FALSE),I267)</f>
        <v>0</v>
      </c>
      <c r="J266" s="222" t="str">
        <f t="shared" si="34"/>
        <v/>
      </c>
      <c r="K266" s="44" t="str">
        <f t="shared" si="35"/>
        <v xml:space="preserve">GLR5 - </v>
      </c>
      <c r="L266" s="44" t="e">
        <f>+VLOOKUP(K266,TL[],4,FALSE)</f>
        <v>#N/A</v>
      </c>
    </row>
    <row r="267" spans="7:12" x14ac:dyDescent="0.2">
      <c r="G267" s="220">
        <f t="shared" si="32"/>
        <v>0</v>
      </c>
      <c r="H267" s="220">
        <f t="shared" si="33"/>
        <v>0</v>
      </c>
      <c r="I267" s="221">
        <f>IF(A267="Total",VLOOKUP(B267,CORRESPONDANCE[#All],2,FALSE),I268)</f>
        <v>0</v>
      </c>
      <c r="J267" s="222" t="str">
        <f t="shared" si="34"/>
        <v/>
      </c>
      <c r="K267" s="44" t="str">
        <f t="shared" si="35"/>
        <v xml:space="preserve">GLR5 - </v>
      </c>
      <c r="L267" s="44" t="e">
        <f>+VLOOKUP(K267,TL[],4,FALSE)</f>
        <v>#N/A</v>
      </c>
    </row>
    <row r="268" spans="7:12" x14ac:dyDescent="0.2">
      <c r="G268" s="220">
        <f t="shared" si="32"/>
        <v>0</v>
      </c>
      <c r="H268" s="220">
        <f t="shared" si="33"/>
        <v>0</v>
      </c>
      <c r="I268" s="221">
        <f>IF(A268="Total",VLOOKUP(B268,CORRESPONDANCE[#All],2,FALSE),I269)</f>
        <v>0</v>
      </c>
      <c r="J268" s="222" t="str">
        <f t="shared" si="34"/>
        <v/>
      </c>
      <c r="K268" s="44" t="str">
        <f t="shared" si="35"/>
        <v xml:space="preserve">GLR5 - </v>
      </c>
      <c r="L268" s="44" t="e">
        <f>+VLOOKUP(K268,TL[],4,FALSE)</f>
        <v>#N/A</v>
      </c>
    </row>
    <row r="269" spans="7:12" x14ac:dyDescent="0.2">
      <c r="G269" s="220">
        <f t="shared" si="32"/>
        <v>0</v>
      </c>
      <c r="H269" s="220">
        <f t="shared" si="33"/>
        <v>0</v>
      </c>
      <c r="I269" s="221">
        <f>IF(A269="Total",VLOOKUP(B269,CORRESPONDANCE[#All],2,FALSE),I270)</f>
        <v>0</v>
      </c>
      <c r="J269" s="222" t="str">
        <f t="shared" si="34"/>
        <v/>
      </c>
      <c r="K269" s="44" t="str">
        <f t="shared" si="35"/>
        <v xml:space="preserve">GLR5 - </v>
      </c>
      <c r="L269" s="44" t="e">
        <f>+VLOOKUP(K269,TL[],4,FALSE)</f>
        <v>#N/A</v>
      </c>
    </row>
    <row r="270" spans="7:12" x14ac:dyDescent="0.2">
      <c r="G270" s="220">
        <f t="shared" si="32"/>
        <v>0</v>
      </c>
      <c r="H270" s="220">
        <f t="shared" si="33"/>
        <v>0</v>
      </c>
      <c r="I270" s="221">
        <f>IF(A270="Total",VLOOKUP(B270,CORRESPONDANCE[#All],2,FALSE),I271)</f>
        <v>0</v>
      </c>
      <c r="J270" s="222" t="str">
        <f t="shared" si="34"/>
        <v/>
      </c>
      <c r="K270" s="44" t="str">
        <f t="shared" si="35"/>
        <v xml:space="preserve">GLR5 - </v>
      </c>
      <c r="L270" s="44" t="e">
        <f>+VLOOKUP(K270,TL[],4,FALSE)</f>
        <v>#N/A</v>
      </c>
    </row>
    <row r="271" spans="7:12" x14ac:dyDescent="0.2">
      <c r="G271" s="220">
        <f t="shared" si="32"/>
        <v>0</v>
      </c>
      <c r="H271" s="220">
        <f t="shared" si="33"/>
        <v>0</v>
      </c>
      <c r="I271" s="221">
        <f>IF(A271="Total",VLOOKUP(B271,CORRESPONDANCE[#All],2,FALSE),I272)</f>
        <v>0</v>
      </c>
      <c r="J271" s="222" t="str">
        <f t="shared" si="34"/>
        <v/>
      </c>
      <c r="K271" s="44" t="str">
        <f t="shared" si="35"/>
        <v xml:space="preserve">GLR5 - </v>
      </c>
      <c r="L271" s="44" t="e">
        <f>+VLOOKUP(K271,TL[],4,FALSE)</f>
        <v>#N/A</v>
      </c>
    </row>
    <row r="272" spans="7:12" x14ac:dyDescent="0.2">
      <c r="G272" s="220">
        <f t="shared" si="32"/>
        <v>0</v>
      </c>
      <c r="H272" s="220">
        <f t="shared" si="33"/>
        <v>0</v>
      </c>
      <c r="I272" s="221">
        <f>IF(A272="Total",VLOOKUP(B272,CORRESPONDANCE[#All],2,FALSE),I273)</f>
        <v>0</v>
      </c>
      <c r="J272" s="222" t="str">
        <f t="shared" si="34"/>
        <v/>
      </c>
      <c r="K272" s="44" t="str">
        <f t="shared" si="35"/>
        <v xml:space="preserve">GLR5 - </v>
      </c>
      <c r="L272" s="44" t="e">
        <f>+VLOOKUP(K272,TL[],4,FALSE)</f>
        <v>#N/A</v>
      </c>
    </row>
    <row r="273" spans="7:12" x14ac:dyDescent="0.2">
      <c r="G273" s="220">
        <f t="shared" si="32"/>
        <v>0</v>
      </c>
      <c r="H273" s="220">
        <f t="shared" si="33"/>
        <v>0</v>
      </c>
      <c r="I273" s="221">
        <f>IF(A273="Total",VLOOKUP(B273,CORRESPONDANCE[#All],2,FALSE),I274)</f>
        <v>0</v>
      </c>
      <c r="J273" s="222" t="str">
        <f t="shared" si="34"/>
        <v/>
      </c>
      <c r="K273" s="44" t="str">
        <f t="shared" si="35"/>
        <v xml:space="preserve">GLR5 - </v>
      </c>
      <c r="L273" s="44" t="e">
        <f>+VLOOKUP(K273,TL[],4,FALSE)</f>
        <v>#N/A</v>
      </c>
    </row>
    <row r="274" spans="7:12" x14ac:dyDescent="0.2">
      <c r="G274" s="220">
        <f t="shared" si="32"/>
        <v>0</v>
      </c>
      <c r="H274" s="220">
        <f t="shared" si="33"/>
        <v>0</v>
      </c>
      <c r="I274" s="221">
        <f>IF(A274="Total",VLOOKUP(B274,CORRESPONDANCE[#All],2,FALSE),I275)</f>
        <v>0</v>
      </c>
      <c r="J274" s="222" t="str">
        <f t="shared" si="34"/>
        <v/>
      </c>
      <c r="K274" s="44" t="str">
        <f t="shared" si="35"/>
        <v xml:space="preserve">GLR5 - </v>
      </c>
      <c r="L274" s="44" t="e">
        <f>+VLOOKUP(K274,TL[],4,FALSE)</f>
        <v>#N/A</v>
      </c>
    </row>
    <row r="275" spans="7:12" x14ac:dyDescent="0.2">
      <c r="G275" s="220">
        <f t="shared" si="32"/>
        <v>0</v>
      </c>
      <c r="H275" s="220">
        <f t="shared" si="33"/>
        <v>0</v>
      </c>
      <c r="I275" s="221">
        <f>IF(A275="Total",VLOOKUP(B275,CORRESPONDANCE[#All],2,FALSE),I276)</f>
        <v>0</v>
      </c>
      <c r="J275" s="222" t="str">
        <f t="shared" si="34"/>
        <v/>
      </c>
      <c r="K275" s="44" t="str">
        <f t="shared" si="35"/>
        <v xml:space="preserve">GLR5 - </v>
      </c>
      <c r="L275" s="44" t="e">
        <f>+VLOOKUP(K275,TL[],4,FALSE)</f>
        <v>#N/A</v>
      </c>
    </row>
    <row r="276" spans="7:12" x14ac:dyDescent="0.2">
      <c r="G276" s="220">
        <f t="shared" si="32"/>
        <v>0</v>
      </c>
      <c r="H276" s="220">
        <f t="shared" si="33"/>
        <v>0</v>
      </c>
      <c r="I276" s="221">
        <f>IF(A276="Total",VLOOKUP(B276,CORRESPONDANCE[#All],2,FALSE),I277)</f>
        <v>0</v>
      </c>
      <c r="J276" s="222" t="str">
        <f t="shared" si="34"/>
        <v/>
      </c>
      <c r="K276" s="44" t="str">
        <f t="shared" si="35"/>
        <v xml:space="preserve">GLR5 - </v>
      </c>
      <c r="L276" s="44" t="e">
        <f>+VLOOKUP(K276,TL[],4,FALSE)</f>
        <v>#N/A</v>
      </c>
    </row>
    <row r="277" spans="7:12" x14ac:dyDescent="0.2">
      <c r="G277" s="220">
        <f t="shared" si="32"/>
        <v>0</v>
      </c>
      <c r="H277" s="220">
        <f t="shared" si="33"/>
        <v>0</v>
      </c>
      <c r="I277" s="221">
        <f>IF(A277="Total",VLOOKUP(B277,CORRESPONDANCE[#All],2,FALSE),I278)</f>
        <v>0</v>
      </c>
      <c r="J277" s="222" t="str">
        <f t="shared" si="34"/>
        <v/>
      </c>
      <c r="K277" s="44" t="str">
        <f t="shared" si="35"/>
        <v xml:space="preserve">GLR5 - </v>
      </c>
      <c r="L277" s="44" t="e">
        <f>+VLOOKUP(K277,TL[],4,FALSE)</f>
        <v>#N/A</v>
      </c>
    </row>
    <row r="278" spans="7:12" x14ac:dyDescent="0.2">
      <c r="G278" s="220">
        <f t="shared" si="32"/>
        <v>0</v>
      </c>
      <c r="H278" s="220">
        <f t="shared" si="33"/>
        <v>0</v>
      </c>
      <c r="I278" s="221">
        <f>IF(A278="Total",VLOOKUP(B278,CORRESPONDANCE[#All],2,FALSE),I279)</f>
        <v>0</v>
      </c>
      <c r="J278" s="222" t="str">
        <f t="shared" si="34"/>
        <v/>
      </c>
      <c r="K278" s="44" t="str">
        <f t="shared" si="35"/>
        <v xml:space="preserve">GLR5 - </v>
      </c>
      <c r="L278" s="44" t="e">
        <f>+VLOOKUP(K278,TL[],4,FALSE)</f>
        <v>#N/A</v>
      </c>
    </row>
    <row r="279" spans="7:12" x14ac:dyDescent="0.2">
      <c r="G279" s="220">
        <f t="shared" si="32"/>
        <v>0</v>
      </c>
      <c r="H279" s="220">
        <f t="shared" si="33"/>
        <v>0</v>
      </c>
      <c r="I279" s="221">
        <f>IF(A279="Total",VLOOKUP(B279,CORRESPONDANCE[#All],2,FALSE),I280)</f>
        <v>0</v>
      </c>
      <c r="J279" s="222" t="str">
        <f t="shared" si="34"/>
        <v/>
      </c>
      <c r="K279" s="44" t="str">
        <f t="shared" si="35"/>
        <v xml:space="preserve">GLR5 - </v>
      </c>
      <c r="L279" s="44" t="e">
        <f>+VLOOKUP(K279,TL[],4,FALSE)</f>
        <v>#N/A</v>
      </c>
    </row>
    <row r="280" spans="7:12" x14ac:dyDescent="0.2">
      <c r="G280" s="220">
        <f t="shared" si="32"/>
        <v>0</v>
      </c>
      <c r="H280" s="220">
        <f t="shared" si="33"/>
        <v>0</v>
      </c>
      <c r="I280" s="221">
        <f>IF(A280="Total",VLOOKUP(B280,CORRESPONDANCE[#All],2,FALSE),I281)</f>
        <v>0</v>
      </c>
      <c r="J280" s="222" t="str">
        <f t="shared" si="34"/>
        <v/>
      </c>
      <c r="K280" s="44" t="str">
        <f t="shared" si="35"/>
        <v xml:space="preserve">GLR5 - </v>
      </c>
      <c r="L280" s="44" t="e">
        <f>+VLOOKUP(K280,TL[],4,FALSE)</f>
        <v>#N/A</v>
      </c>
    </row>
    <row r="281" spans="7:12" x14ac:dyDescent="0.2">
      <c r="G281" s="220">
        <f t="shared" ref="G281:G307" si="36">SUM(C281)-SUM(D281)</f>
        <v>0</v>
      </c>
      <c r="H281" s="220">
        <f t="shared" ref="H281:H307" si="37">SUM(E281)-SUM(F281)</f>
        <v>0</v>
      </c>
      <c r="I281" s="221">
        <f>IF(A281="Total",VLOOKUP(B281,CORRESPONDANCE[#All],2,FALSE),I282)</f>
        <v>0</v>
      </c>
      <c r="J281" s="222" t="str">
        <f t="shared" ref="J281:J307" si="38">LEFT(A281,1)</f>
        <v/>
      </c>
      <c r="K281" s="44" t="str">
        <f t="shared" ref="K281:K307" si="39">"GLR5"&amp;" - "&amp;A281</f>
        <v xml:space="preserve">GLR5 - </v>
      </c>
      <c r="L281" s="44" t="e">
        <f>+VLOOKUP(K281,TL[],4,FALSE)</f>
        <v>#N/A</v>
      </c>
    </row>
    <row r="282" spans="7:12" x14ac:dyDescent="0.2">
      <c r="G282" s="220">
        <f t="shared" si="36"/>
        <v>0</v>
      </c>
      <c r="H282" s="220">
        <f t="shared" si="37"/>
        <v>0</v>
      </c>
      <c r="I282" s="221">
        <f>IF(A282="Total",VLOOKUP(B282,CORRESPONDANCE[#All],2,FALSE),I283)</f>
        <v>0</v>
      </c>
      <c r="J282" s="222" t="str">
        <f t="shared" si="38"/>
        <v/>
      </c>
      <c r="K282" s="44" t="str">
        <f t="shared" si="39"/>
        <v xml:space="preserve">GLR5 - </v>
      </c>
      <c r="L282" s="44" t="e">
        <f>+VLOOKUP(K282,TL[],4,FALSE)</f>
        <v>#N/A</v>
      </c>
    </row>
    <row r="283" spans="7:12" x14ac:dyDescent="0.2">
      <c r="G283" s="220">
        <f t="shared" si="36"/>
        <v>0</v>
      </c>
      <c r="H283" s="220">
        <f t="shared" si="37"/>
        <v>0</v>
      </c>
      <c r="I283" s="221">
        <f>IF(A283="Total",VLOOKUP(B283,CORRESPONDANCE[#All],2,FALSE),I284)</f>
        <v>0</v>
      </c>
      <c r="J283" s="222" t="str">
        <f t="shared" si="38"/>
        <v/>
      </c>
      <c r="K283" s="44" t="str">
        <f t="shared" si="39"/>
        <v xml:space="preserve">GLR5 - </v>
      </c>
      <c r="L283" s="44" t="e">
        <f>+VLOOKUP(K283,TL[],4,FALSE)</f>
        <v>#N/A</v>
      </c>
    </row>
    <row r="284" spans="7:12" x14ac:dyDescent="0.2">
      <c r="G284" s="220">
        <f t="shared" si="36"/>
        <v>0</v>
      </c>
      <c r="H284" s="220">
        <f t="shared" si="37"/>
        <v>0</v>
      </c>
      <c r="I284" s="221">
        <f>IF(A284="Total",VLOOKUP(B284,CORRESPONDANCE[#All],2,FALSE),I285)</f>
        <v>0</v>
      </c>
      <c r="J284" s="222" t="str">
        <f t="shared" si="38"/>
        <v/>
      </c>
      <c r="K284" s="44" t="str">
        <f t="shared" si="39"/>
        <v xml:space="preserve">GLR5 - </v>
      </c>
      <c r="L284" s="44" t="e">
        <f>+VLOOKUP(K284,TL[],4,FALSE)</f>
        <v>#N/A</v>
      </c>
    </row>
    <row r="285" spans="7:12" x14ac:dyDescent="0.2">
      <c r="G285" s="220">
        <f t="shared" si="36"/>
        <v>0</v>
      </c>
      <c r="H285" s="220">
        <f t="shared" si="37"/>
        <v>0</v>
      </c>
      <c r="I285" s="221">
        <f>IF(A285="Total",VLOOKUP(B285,CORRESPONDANCE[#All],2,FALSE),I286)</f>
        <v>0</v>
      </c>
      <c r="J285" s="222" t="str">
        <f t="shared" si="38"/>
        <v/>
      </c>
      <c r="K285" s="44" t="str">
        <f t="shared" si="39"/>
        <v xml:space="preserve">GLR5 - </v>
      </c>
      <c r="L285" s="44" t="e">
        <f>+VLOOKUP(K285,TL[],4,FALSE)</f>
        <v>#N/A</v>
      </c>
    </row>
    <row r="286" spans="7:12" x14ac:dyDescent="0.2">
      <c r="G286" s="220">
        <f t="shared" si="36"/>
        <v>0</v>
      </c>
      <c r="H286" s="220">
        <f t="shared" si="37"/>
        <v>0</v>
      </c>
      <c r="I286" s="221">
        <f>IF(A286="Total",VLOOKUP(B286,CORRESPONDANCE[#All],2,FALSE),I287)</f>
        <v>0</v>
      </c>
      <c r="J286" s="222" t="str">
        <f t="shared" si="38"/>
        <v/>
      </c>
      <c r="K286" s="44" t="str">
        <f t="shared" si="39"/>
        <v xml:space="preserve">GLR5 - </v>
      </c>
      <c r="L286" s="44" t="e">
        <f>+VLOOKUP(K286,TL[],4,FALSE)</f>
        <v>#N/A</v>
      </c>
    </row>
    <row r="287" spans="7:12" x14ac:dyDescent="0.2">
      <c r="G287" s="220">
        <f t="shared" si="36"/>
        <v>0</v>
      </c>
      <c r="H287" s="220">
        <f t="shared" si="37"/>
        <v>0</v>
      </c>
      <c r="I287" s="221">
        <f>IF(A287="Total",VLOOKUP(B287,CORRESPONDANCE[#All],2,FALSE),I288)</f>
        <v>0</v>
      </c>
      <c r="J287" s="222" t="str">
        <f t="shared" si="38"/>
        <v/>
      </c>
      <c r="K287" s="44" t="str">
        <f t="shared" si="39"/>
        <v xml:space="preserve">GLR5 - </v>
      </c>
      <c r="L287" s="44" t="e">
        <f>+VLOOKUP(K287,TL[],4,FALSE)</f>
        <v>#N/A</v>
      </c>
    </row>
    <row r="288" spans="7:12" x14ac:dyDescent="0.2">
      <c r="G288" s="220">
        <f t="shared" si="36"/>
        <v>0</v>
      </c>
      <c r="H288" s="220">
        <f t="shared" si="37"/>
        <v>0</v>
      </c>
      <c r="I288" s="221">
        <f>IF(A288="Total",VLOOKUP(B288,CORRESPONDANCE[#All],2,FALSE),I289)</f>
        <v>0</v>
      </c>
      <c r="J288" s="222" t="str">
        <f t="shared" si="38"/>
        <v/>
      </c>
      <c r="K288" s="44" t="str">
        <f t="shared" si="39"/>
        <v xml:space="preserve">GLR5 - </v>
      </c>
      <c r="L288" s="44" t="e">
        <f>+VLOOKUP(K288,TL[],4,FALSE)</f>
        <v>#N/A</v>
      </c>
    </row>
    <row r="289" spans="7:12" x14ac:dyDescent="0.2">
      <c r="G289" s="220">
        <f t="shared" si="36"/>
        <v>0</v>
      </c>
      <c r="H289" s="220">
        <f t="shared" si="37"/>
        <v>0</v>
      </c>
      <c r="I289" s="221">
        <f>IF(A289="Total",VLOOKUP(B289,CORRESPONDANCE[#All],2,FALSE),I290)</f>
        <v>0</v>
      </c>
      <c r="J289" s="222" t="str">
        <f t="shared" si="38"/>
        <v/>
      </c>
      <c r="K289" s="44" t="str">
        <f t="shared" si="39"/>
        <v xml:space="preserve">GLR5 - </v>
      </c>
      <c r="L289" s="44" t="e">
        <f>+VLOOKUP(K289,TL[],4,FALSE)</f>
        <v>#N/A</v>
      </c>
    </row>
    <row r="290" spans="7:12" x14ac:dyDescent="0.2">
      <c r="G290" s="220">
        <f t="shared" si="36"/>
        <v>0</v>
      </c>
      <c r="H290" s="220">
        <f t="shared" si="37"/>
        <v>0</v>
      </c>
      <c r="I290" s="221">
        <f>IF(A290="Total",VLOOKUP(B290,CORRESPONDANCE[#All],2,FALSE),I291)</f>
        <v>0</v>
      </c>
      <c r="J290" s="222" t="str">
        <f t="shared" si="38"/>
        <v/>
      </c>
      <c r="K290" s="44" t="str">
        <f t="shared" si="39"/>
        <v xml:space="preserve">GLR5 - </v>
      </c>
      <c r="L290" s="44" t="e">
        <f>+VLOOKUP(K290,TL[],4,FALSE)</f>
        <v>#N/A</v>
      </c>
    </row>
    <row r="291" spans="7:12" x14ac:dyDescent="0.2">
      <c r="G291" s="220">
        <f t="shared" si="36"/>
        <v>0</v>
      </c>
      <c r="H291" s="220">
        <f t="shared" si="37"/>
        <v>0</v>
      </c>
      <c r="I291" s="221">
        <f>IF(A291="Total",VLOOKUP(B291,CORRESPONDANCE[#All],2,FALSE),I292)</f>
        <v>0</v>
      </c>
      <c r="J291" s="222" t="str">
        <f t="shared" si="38"/>
        <v/>
      </c>
      <c r="K291" s="44" t="str">
        <f t="shared" si="39"/>
        <v xml:space="preserve">GLR5 - </v>
      </c>
      <c r="L291" s="44" t="e">
        <f>+VLOOKUP(K291,TL[],4,FALSE)</f>
        <v>#N/A</v>
      </c>
    </row>
    <row r="292" spans="7:12" x14ac:dyDescent="0.2">
      <c r="G292" s="220">
        <f t="shared" si="36"/>
        <v>0</v>
      </c>
      <c r="H292" s="220">
        <f t="shared" si="37"/>
        <v>0</v>
      </c>
      <c r="I292" s="221">
        <f>IF(A292="Total",VLOOKUP(B292,CORRESPONDANCE[#All],2,FALSE),I293)</f>
        <v>0</v>
      </c>
      <c r="J292" s="222" t="str">
        <f t="shared" si="38"/>
        <v/>
      </c>
      <c r="K292" s="44" t="str">
        <f t="shared" si="39"/>
        <v xml:space="preserve">GLR5 - </v>
      </c>
      <c r="L292" s="44" t="e">
        <f>+VLOOKUP(K292,TL[],4,FALSE)</f>
        <v>#N/A</v>
      </c>
    </row>
    <row r="293" spans="7:12" x14ac:dyDescent="0.2">
      <c r="G293" s="220">
        <f t="shared" si="36"/>
        <v>0</v>
      </c>
      <c r="H293" s="220">
        <f t="shared" si="37"/>
        <v>0</v>
      </c>
      <c r="I293" s="221">
        <f>IF(A293="Total",VLOOKUP(B293,CORRESPONDANCE[#All],2,FALSE),I294)</f>
        <v>0</v>
      </c>
      <c r="J293" s="222" t="str">
        <f t="shared" si="38"/>
        <v/>
      </c>
      <c r="K293" s="44" t="str">
        <f t="shared" si="39"/>
        <v xml:space="preserve">GLR5 - </v>
      </c>
      <c r="L293" s="44" t="e">
        <f>+VLOOKUP(K293,TL[],4,FALSE)</f>
        <v>#N/A</v>
      </c>
    </row>
    <row r="294" spans="7:12" x14ac:dyDescent="0.2">
      <c r="G294" s="220">
        <f t="shared" si="36"/>
        <v>0</v>
      </c>
      <c r="H294" s="220">
        <f t="shared" si="37"/>
        <v>0</v>
      </c>
      <c r="I294" s="221">
        <f>IF(A294="Total",VLOOKUP(B294,CORRESPONDANCE[#All],2,FALSE),I295)</f>
        <v>0</v>
      </c>
      <c r="J294" s="222" t="str">
        <f t="shared" si="38"/>
        <v/>
      </c>
      <c r="K294" s="44" t="str">
        <f t="shared" si="39"/>
        <v xml:space="preserve">GLR5 - </v>
      </c>
      <c r="L294" s="44" t="e">
        <f>+VLOOKUP(K294,TL[],4,FALSE)</f>
        <v>#N/A</v>
      </c>
    </row>
    <row r="295" spans="7:12" x14ac:dyDescent="0.2">
      <c r="G295" s="220">
        <f t="shared" si="36"/>
        <v>0</v>
      </c>
      <c r="H295" s="220">
        <f t="shared" si="37"/>
        <v>0</v>
      </c>
      <c r="I295" s="221">
        <f>IF(A295="Total",VLOOKUP(B295,CORRESPONDANCE[#All],2,FALSE),I296)</f>
        <v>0</v>
      </c>
      <c r="J295" s="222" t="str">
        <f t="shared" si="38"/>
        <v/>
      </c>
      <c r="K295" s="44" t="str">
        <f t="shared" si="39"/>
        <v xml:space="preserve">GLR5 - </v>
      </c>
      <c r="L295" s="44" t="e">
        <f>+VLOOKUP(K295,TL[],4,FALSE)</f>
        <v>#N/A</v>
      </c>
    </row>
    <row r="296" spans="7:12" x14ac:dyDescent="0.2">
      <c r="G296" s="220">
        <f t="shared" si="36"/>
        <v>0</v>
      </c>
      <c r="H296" s="220">
        <f t="shared" si="37"/>
        <v>0</v>
      </c>
      <c r="I296" s="221">
        <f>IF(A296="Total",VLOOKUP(B296,CORRESPONDANCE[#All],2,FALSE),I297)</f>
        <v>0</v>
      </c>
      <c r="J296" s="222" t="str">
        <f t="shared" si="38"/>
        <v/>
      </c>
      <c r="K296" s="44" t="str">
        <f t="shared" si="39"/>
        <v xml:space="preserve">GLR5 - </v>
      </c>
      <c r="L296" s="44" t="e">
        <f>+VLOOKUP(K296,TL[],4,FALSE)</f>
        <v>#N/A</v>
      </c>
    </row>
    <row r="297" spans="7:12" x14ac:dyDescent="0.2">
      <c r="G297" s="220">
        <f t="shared" si="36"/>
        <v>0</v>
      </c>
      <c r="H297" s="220">
        <f t="shared" si="37"/>
        <v>0</v>
      </c>
      <c r="I297" s="221">
        <f>IF(A297="Total",VLOOKUP(B297,CORRESPONDANCE[#All],2,FALSE),I298)</f>
        <v>0</v>
      </c>
      <c r="J297" s="222" t="str">
        <f t="shared" si="38"/>
        <v/>
      </c>
      <c r="K297" s="44" t="str">
        <f t="shared" si="39"/>
        <v xml:space="preserve">GLR5 - </v>
      </c>
      <c r="L297" s="44" t="e">
        <f>+VLOOKUP(K297,TL[],4,FALSE)</f>
        <v>#N/A</v>
      </c>
    </row>
    <row r="298" spans="7:12" x14ac:dyDescent="0.2">
      <c r="G298" s="220">
        <f t="shared" si="36"/>
        <v>0</v>
      </c>
      <c r="H298" s="220">
        <f t="shared" si="37"/>
        <v>0</v>
      </c>
      <c r="I298" s="221">
        <f>IF(A298="Total",VLOOKUP(B298,CORRESPONDANCE[#All],2,FALSE),I299)</f>
        <v>0</v>
      </c>
      <c r="J298" s="222" t="str">
        <f t="shared" si="38"/>
        <v/>
      </c>
      <c r="K298" s="44" t="str">
        <f t="shared" si="39"/>
        <v xml:space="preserve">GLR5 - </v>
      </c>
      <c r="L298" s="44" t="e">
        <f>+VLOOKUP(K298,TL[],4,FALSE)</f>
        <v>#N/A</v>
      </c>
    </row>
    <row r="299" spans="7:12" x14ac:dyDescent="0.2">
      <c r="G299" s="220">
        <f t="shared" si="36"/>
        <v>0</v>
      </c>
      <c r="H299" s="220">
        <f t="shared" si="37"/>
        <v>0</v>
      </c>
      <c r="I299" s="221">
        <f>IF(A299="Total",VLOOKUP(B299,CORRESPONDANCE[#All],2,FALSE),I300)</f>
        <v>0</v>
      </c>
      <c r="J299" s="222" t="str">
        <f t="shared" si="38"/>
        <v/>
      </c>
      <c r="K299" s="44" t="str">
        <f t="shared" si="39"/>
        <v xml:space="preserve">GLR5 - </v>
      </c>
      <c r="L299" s="44" t="e">
        <f>+VLOOKUP(K299,TL[],4,FALSE)</f>
        <v>#N/A</v>
      </c>
    </row>
    <row r="300" spans="7:12" x14ac:dyDescent="0.2">
      <c r="G300" s="220">
        <f t="shared" si="36"/>
        <v>0</v>
      </c>
      <c r="H300" s="220">
        <f t="shared" si="37"/>
        <v>0</v>
      </c>
      <c r="I300" s="221">
        <f>IF(A300="Total",VLOOKUP(B300,CORRESPONDANCE[#All],2,FALSE),I301)</f>
        <v>0</v>
      </c>
      <c r="J300" s="222" t="str">
        <f t="shared" si="38"/>
        <v/>
      </c>
      <c r="K300" s="44" t="str">
        <f t="shared" si="39"/>
        <v xml:space="preserve">GLR5 - </v>
      </c>
      <c r="L300" s="44" t="e">
        <f>+VLOOKUP(K300,TL[],4,FALSE)</f>
        <v>#N/A</v>
      </c>
    </row>
    <row r="301" spans="7:12" x14ac:dyDescent="0.2">
      <c r="G301" s="220">
        <f t="shared" si="36"/>
        <v>0</v>
      </c>
      <c r="H301" s="220">
        <f t="shared" si="37"/>
        <v>0</v>
      </c>
      <c r="I301" s="221">
        <f>IF(A301="Total",VLOOKUP(B301,CORRESPONDANCE[#All],2,FALSE),I302)</f>
        <v>0</v>
      </c>
      <c r="J301" s="222" t="str">
        <f t="shared" si="38"/>
        <v/>
      </c>
      <c r="K301" s="44" t="str">
        <f t="shared" si="39"/>
        <v xml:space="preserve">GLR5 - </v>
      </c>
      <c r="L301" s="44" t="e">
        <f>+VLOOKUP(K301,TL[],4,FALSE)</f>
        <v>#N/A</v>
      </c>
    </row>
    <row r="302" spans="7:12" x14ac:dyDescent="0.2">
      <c r="G302" s="220">
        <f t="shared" si="36"/>
        <v>0</v>
      </c>
      <c r="H302" s="220">
        <f t="shared" si="37"/>
        <v>0</v>
      </c>
      <c r="I302" s="221">
        <f>IF(A302="Total",VLOOKUP(B302,CORRESPONDANCE[#All],2,FALSE),I303)</f>
        <v>0</v>
      </c>
      <c r="J302" s="222" t="str">
        <f t="shared" si="38"/>
        <v/>
      </c>
      <c r="K302" s="44" t="str">
        <f t="shared" si="39"/>
        <v xml:space="preserve">GLR5 - </v>
      </c>
      <c r="L302" s="44" t="e">
        <f>+VLOOKUP(K302,TL[],4,FALSE)</f>
        <v>#N/A</v>
      </c>
    </row>
    <row r="303" spans="7:12" x14ac:dyDescent="0.2">
      <c r="G303" s="220">
        <f t="shared" si="36"/>
        <v>0</v>
      </c>
      <c r="H303" s="220">
        <f t="shared" si="37"/>
        <v>0</v>
      </c>
      <c r="I303" s="221">
        <f>IF(A303="Total",VLOOKUP(B303,CORRESPONDANCE[#All],2,FALSE),I304)</f>
        <v>0</v>
      </c>
      <c r="J303" s="222" t="str">
        <f t="shared" si="38"/>
        <v/>
      </c>
      <c r="K303" s="44" t="str">
        <f t="shared" si="39"/>
        <v xml:space="preserve">GLR5 - </v>
      </c>
      <c r="L303" s="44" t="e">
        <f>+VLOOKUP(K303,TL[],4,FALSE)</f>
        <v>#N/A</v>
      </c>
    </row>
    <row r="304" spans="7:12" x14ac:dyDescent="0.2">
      <c r="G304" s="220">
        <f t="shared" si="36"/>
        <v>0</v>
      </c>
      <c r="H304" s="220">
        <f t="shared" si="37"/>
        <v>0</v>
      </c>
      <c r="I304" s="221">
        <f>IF(A304="Total",VLOOKUP(B304,CORRESPONDANCE[#All],2,FALSE),I305)</f>
        <v>0</v>
      </c>
      <c r="J304" s="222" t="str">
        <f t="shared" si="38"/>
        <v/>
      </c>
      <c r="K304" s="44" t="str">
        <f t="shared" si="39"/>
        <v xml:space="preserve">GLR5 - </v>
      </c>
      <c r="L304" s="44" t="e">
        <f>+VLOOKUP(K304,TL[],4,FALSE)</f>
        <v>#N/A</v>
      </c>
    </row>
    <row r="305" spans="7:12" x14ac:dyDescent="0.2">
      <c r="G305" s="220">
        <f t="shared" si="36"/>
        <v>0</v>
      </c>
      <c r="H305" s="220">
        <f t="shared" si="37"/>
        <v>0</v>
      </c>
      <c r="I305" s="221">
        <f>IF(A305="Total",VLOOKUP(B305,CORRESPONDANCE[#All],2,FALSE),I306)</f>
        <v>0</v>
      </c>
      <c r="J305" s="222" t="str">
        <f t="shared" si="38"/>
        <v/>
      </c>
      <c r="K305" s="44" t="str">
        <f t="shared" si="39"/>
        <v xml:space="preserve">GLR5 - </v>
      </c>
      <c r="L305" s="44" t="e">
        <f>+VLOOKUP(K305,TL[],4,FALSE)</f>
        <v>#N/A</v>
      </c>
    </row>
    <row r="306" spans="7:12" x14ac:dyDescent="0.2">
      <c r="G306" s="220">
        <f t="shared" si="36"/>
        <v>0</v>
      </c>
      <c r="H306" s="220">
        <f t="shared" si="37"/>
        <v>0</v>
      </c>
      <c r="I306" s="221">
        <f>IF(A306="Total",VLOOKUP(B306,CORRESPONDANCE[#All],2,FALSE),I307)</f>
        <v>0</v>
      </c>
      <c r="J306" s="222" t="str">
        <f t="shared" si="38"/>
        <v/>
      </c>
      <c r="K306" s="44" t="str">
        <f t="shared" si="39"/>
        <v xml:space="preserve">GLR5 - </v>
      </c>
      <c r="L306" s="44" t="e">
        <f>+VLOOKUP(K306,TL[],4,FALSE)</f>
        <v>#N/A</v>
      </c>
    </row>
    <row r="307" spans="7:12" x14ac:dyDescent="0.2">
      <c r="G307" s="220">
        <f t="shared" si="36"/>
        <v>0</v>
      </c>
      <c r="H307" s="220">
        <f t="shared" si="37"/>
        <v>0</v>
      </c>
      <c r="I307" s="221">
        <f>IF(A307="Total",VLOOKUP(B307,CORRESPONDANCE[#All],2,FALSE),I308)</f>
        <v>0</v>
      </c>
      <c r="J307" s="222" t="str">
        <f t="shared" si="38"/>
        <v/>
      </c>
      <c r="K307" s="44" t="str">
        <f t="shared" si="39"/>
        <v xml:space="preserve">GLR5 - </v>
      </c>
      <c r="L307" s="44" t="e">
        <f>+VLOOKUP(K307,TL[],4,FALSE)</f>
        <v>#N/A</v>
      </c>
    </row>
  </sheetData>
  <autoFilter ref="A1:L211" xr:uid="{ED3AA381-E8F3-43E7-9AF0-F98F793B89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6A39E-45AD-4FC8-A934-7104766A4BE4}">
  <sheetPr>
    <tabColor theme="7" tint="0.59999389629810485"/>
  </sheetPr>
  <dimension ref="A1:L416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5703125" style="224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2613</v>
      </c>
      <c r="B2" t="s">
        <v>283</v>
      </c>
      <c r="C2">
        <v>3530.78</v>
      </c>
      <c r="D2" t="s">
        <v>6961</v>
      </c>
      <c r="E2">
        <v>3530.78</v>
      </c>
      <c r="F2" t="s">
        <v>6961</v>
      </c>
      <c r="G2" s="220">
        <f>SUM(C2)-SUM(D2)</f>
        <v>3530.78</v>
      </c>
      <c r="H2" s="220">
        <f>SUM(E2)-SUM(F2)</f>
        <v>3530.78</v>
      </c>
      <c r="I2" s="221">
        <f>IF(A2="Total",VLOOKUP(B2,CORRESPONDANCE[#All],2,FALSE),I3)</f>
        <v>2</v>
      </c>
      <c r="J2" s="222" t="str">
        <f>LEFT(A2,1)</f>
        <v>7</v>
      </c>
      <c r="K2" s="44" t="str">
        <f>"HTR8"&amp;" - "&amp;A2</f>
        <v>HTR8 - 70100100</v>
      </c>
      <c r="L2" s="44" t="str">
        <f>+VLOOKUP(K2,TL[],4,FALSE)</f>
        <v>01</v>
      </c>
    </row>
    <row r="3" spans="1:12" x14ac:dyDescent="0.2">
      <c r="A3" t="s">
        <v>2614</v>
      </c>
      <c r="B3" t="s">
        <v>245</v>
      </c>
      <c r="C3" t="s">
        <v>6961</v>
      </c>
      <c r="D3">
        <v>888.93</v>
      </c>
      <c r="E3" t="s">
        <v>6961</v>
      </c>
      <c r="F3">
        <v>888.93</v>
      </c>
      <c r="G3" s="220">
        <f>SUM(C3)-SUM(D3)</f>
        <v>-888.93</v>
      </c>
      <c r="H3" s="220">
        <f>SUM(E3)-SUM(F3)</f>
        <v>-888.93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"HTR8"&amp;" - "&amp;A3</f>
        <v>HTR8 - 70100200</v>
      </c>
      <c r="L3" s="44" t="str">
        <f>+VLOOKUP(K3,TL[],4,FALSE)</f>
        <v>01</v>
      </c>
    </row>
    <row r="4" spans="1:12" x14ac:dyDescent="0.2">
      <c r="A4" t="s">
        <v>2615</v>
      </c>
      <c r="B4" t="s">
        <v>246</v>
      </c>
      <c r="C4" t="s">
        <v>6961</v>
      </c>
      <c r="D4">
        <v>208990.47</v>
      </c>
      <c r="E4" t="s">
        <v>6961</v>
      </c>
      <c r="F4">
        <v>208990.47</v>
      </c>
      <c r="G4" s="220">
        <f>SUM(C4)-SUM(D4)</f>
        <v>-208990.47</v>
      </c>
      <c r="H4" s="220">
        <f>SUM(E4)-SUM(F4)</f>
        <v>-208990.47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HTR8 - 70101000</v>
      </c>
      <c r="L4" s="44" t="str">
        <f>+VLOOKUP(K4,TL[],4,FALSE)</f>
        <v>01</v>
      </c>
    </row>
    <row r="5" spans="1:12" x14ac:dyDescent="0.2">
      <c r="A5" t="s">
        <v>2616</v>
      </c>
      <c r="B5" t="s">
        <v>251</v>
      </c>
      <c r="C5" t="s">
        <v>6961</v>
      </c>
      <c r="D5">
        <v>446.45</v>
      </c>
      <c r="E5" t="s">
        <v>6961</v>
      </c>
      <c r="F5">
        <v>446.45</v>
      </c>
      <c r="G5" s="220">
        <f>SUM(C5)-SUM(D5)</f>
        <v>-446.45</v>
      </c>
      <c r="H5" s="220">
        <f>SUM(E5)-SUM(F5)</f>
        <v>-446.45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HTR8 - 70102000</v>
      </c>
      <c r="L5" s="44" t="str">
        <f>+VLOOKUP(K5,TL[],4,FALSE)</f>
        <v>01</v>
      </c>
    </row>
    <row r="6" spans="1:12" x14ac:dyDescent="0.2">
      <c r="A6" t="s">
        <v>197</v>
      </c>
      <c r="B6" t="s">
        <v>2514</v>
      </c>
      <c r="C6" t="s">
        <v>6961</v>
      </c>
      <c r="D6">
        <v>206795.07</v>
      </c>
      <c r="E6" t="s">
        <v>6961</v>
      </c>
      <c r="F6">
        <v>206795.07</v>
      </c>
      <c r="G6" s="220">
        <f t="shared" ref="G6:G69" si="2">SUM(C6)-SUM(D6)</f>
        <v>-206795.07</v>
      </c>
      <c r="H6" s="220">
        <f t="shared" ref="H6:H69" si="3">SUM(E6)-SUM(F6)</f>
        <v>-206795.07</v>
      </c>
      <c r="I6" s="221">
        <f>IF(A6="Total",VLOOKUP(B6,CORRESPONDANCE[#All],2,FALSE),I7)</f>
        <v>2</v>
      </c>
      <c r="J6" s="222" t="str">
        <f t="shared" si="0"/>
        <v>T</v>
      </c>
      <c r="K6" s="44" t="str">
        <f t="shared" si="1"/>
        <v>HTR8 - Total</v>
      </c>
      <c r="L6" s="44" t="e">
        <f>+VLOOKUP(K6,TL[],4,FALSE)</f>
        <v>#N/A</v>
      </c>
    </row>
    <row r="7" spans="1:12" x14ac:dyDescent="0.2">
      <c r="A7" t="s">
        <v>2617</v>
      </c>
      <c r="B7" t="s">
        <v>171</v>
      </c>
      <c r="C7">
        <v>47007.57</v>
      </c>
      <c r="D7" t="s">
        <v>6961</v>
      </c>
      <c r="E7">
        <v>47007.57</v>
      </c>
      <c r="F7" t="s">
        <v>6961</v>
      </c>
      <c r="G7" s="220">
        <f t="shared" si="2"/>
        <v>47007.57</v>
      </c>
      <c r="H7" s="220">
        <f t="shared" si="3"/>
        <v>47007.57</v>
      </c>
      <c r="I7" s="221">
        <f>IF(A7="Total",VLOOKUP(B7,CORRESPONDANCE[#All],2,FALSE),I8)</f>
        <v>3</v>
      </c>
      <c r="J7" s="222" t="str">
        <f t="shared" si="0"/>
        <v>6</v>
      </c>
      <c r="K7" s="44" t="str">
        <f t="shared" si="1"/>
        <v>HTR8 - 60110000</v>
      </c>
      <c r="L7" s="44" t="str">
        <f>+VLOOKUP(K7,TL[],4,FALSE)</f>
        <v>06</v>
      </c>
    </row>
    <row r="8" spans="1:12" x14ac:dyDescent="0.2">
      <c r="A8" t="s">
        <v>2618</v>
      </c>
      <c r="B8" t="s">
        <v>2371</v>
      </c>
      <c r="C8">
        <v>1572.26</v>
      </c>
      <c r="D8" t="s">
        <v>6961</v>
      </c>
      <c r="E8">
        <v>1572.26</v>
      </c>
      <c r="F8" t="s">
        <v>6961</v>
      </c>
      <c r="G8" s="220">
        <f t="shared" si="2"/>
        <v>1572.26</v>
      </c>
      <c r="H8" s="220">
        <f t="shared" si="3"/>
        <v>1572.26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HTR8 - 60310000</v>
      </c>
      <c r="L8" s="44" t="str">
        <f>+VLOOKUP(K8,TL[],4,FALSE)</f>
        <v>06</v>
      </c>
    </row>
    <row r="9" spans="1:12" x14ac:dyDescent="0.2">
      <c r="A9" t="s">
        <v>2619</v>
      </c>
      <c r="B9" t="s">
        <v>269</v>
      </c>
      <c r="C9">
        <v>687</v>
      </c>
      <c r="D9" t="s">
        <v>6961</v>
      </c>
      <c r="E9">
        <v>687</v>
      </c>
      <c r="F9" t="s">
        <v>6961</v>
      </c>
      <c r="G9" s="220">
        <f t="shared" si="2"/>
        <v>687</v>
      </c>
      <c r="H9" s="220">
        <f t="shared" si="3"/>
        <v>687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HTR8 - 63551100</v>
      </c>
      <c r="L9" s="44" t="str">
        <f>+VLOOKUP(K9,TL[],4,FALSE)</f>
        <v>09</v>
      </c>
    </row>
    <row r="10" spans="1:12" x14ac:dyDescent="0.2">
      <c r="A10" t="s">
        <v>2620</v>
      </c>
      <c r="B10" t="s">
        <v>2179</v>
      </c>
      <c r="C10" t="s">
        <v>6961</v>
      </c>
      <c r="D10">
        <v>1550.08</v>
      </c>
      <c r="E10" t="s">
        <v>6961</v>
      </c>
      <c r="F10">
        <v>1550.08</v>
      </c>
      <c r="G10" s="220">
        <f t="shared" si="2"/>
        <v>-1550.08</v>
      </c>
      <c r="H10" s="220">
        <f t="shared" si="3"/>
        <v>-1550.08</v>
      </c>
      <c r="I10" s="221">
        <f>IF(A10="Total",VLOOKUP(B10,CORRESPONDANCE[#All],2,FALSE),I11)</f>
        <v>3</v>
      </c>
      <c r="J10" s="222" t="str">
        <f t="shared" si="0"/>
        <v>7</v>
      </c>
      <c r="K10" s="44" t="str">
        <f t="shared" si="1"/>
        <v>HTR8 - 70800000</v>
      </c>
      <c r="L10" s="44" t="str">
        <f>+VLOOKUP(K10,TL[],4,FALSE)</f>
        <v>06</v>
      </c>
    </row>
    <row r="11" spans="1:12" x14ac:dyDescent="0.2">
      <c r="A11" t="s">
        <v>197</v>
      </c>
      <c r="B11" t="s">
        <v>2516</v>
      </c>
      <c r="C11">
        <v>47716.75</v>
      </c>
      <c r="D11" t="s">
        <v>6961</v>
      </c>
      <c r="E11">
        <v>47716.75</v>
      </c>
      <c r="F11" t="s">
        <v>6961</v>
      </c>
      <c r="G11" s="220">
        <f t="shared" si="2"/>
        <v>47716.75</v>
      </c>
      <c r="H11" s="220">
        <f t="shared" si="3"/>
        <v>47716.75</v>
      </c>
      <c r="I11" s="221">
        <f>IF(A11="Total",VLOOKUP(B11,CORRESPONDANCE[#All],2,FALSE),I12)</f>
        <v>3</v>
      </c>
      <c r="J11" s="222" t="str">
        <f t="shared" si="0"/>
        <v>T</v>
      </c>
      <c r="K11" s="44" t="str">
        <f t="shared" si="1"/>
        <v>HTR8 - Total</v>
      </c>
      <c r="L11" s="44" t="e">
        <f>+VLOOKUP(K11,TL[],4,FALSE)</f>
        <v>#N/A</v>
      </c>
    </row>
    <row r="12" spans="1:12" x14ac:dyDescent="0.2">
      <c r="A12" t="s">
        <v>2621</v>
      </c>
      <c r="B12" t="s">
        <v>160</v>
      </c>
      <c r="C12">
        <v>1143.1600000000001</v>
      </c>
      <c r="D12" t="s">
        <v>6961</v>
      </c>
      <c r="E12">
        <v>1143.1600000000001</v>
      </c>
      <c r="F12" t="s">
        <v>6961</v>
      </c>
      <c r="G12" s="220">
        <f t="shared" si="2"/>
        <v>1143.1600000000001</v>
      </c>
      <c r="H12" s="220">
        <f t="shared" si="3"/>
        <v>1143.1600000000001</v>
      </c>
      <c r="I12" s="221">
        <f>IF(A12="Total",VLOOKUP(B12,CORRESPONDANCE[#All],2,FALSE),I13)</f>
        <v>4</v>
      </c>
      <c r="J12" s="222" t="str">
        <f t="shared" si="0"/>
        <v>6</v>
      </c>
      <c r="K12" s="44" t="str">
        <f t="shared" si="1"/>
        <v>HTR8 - 60110300</v>
      </c>
      <c r="L12" s="44" t="str">
        <f>+VLOOKUP(K12,TL[],4,FALSE)</f>
        <v>08</v>
      </c>
    </row>
    <row r="13" spans="1:12" x14ac:dyDescent="0.2">
      <c r="A13" t="s">
        <v>197</v>
      </c>
      <c r="B13" t="s">
        <v>2517</v>
      </c>
      <c r="C13">
        <v>1143.1600000000001</v>
      </c>
      <c r="D13" t="s">
        <v>6961</v>
      </c>
      <c r="E13">
        <v>1143.1600000000001</v>
      </c>
      <c r="F13" t="s">
        <v>6961</v>
      </c>
      <c r="G13" s="220">
        <f t="shared" si="2"/>
        <v>1143.1600000000001</v>
      </c>
      <c r="H13" s="220">
        <f t="shared" si="3"/>
        <v>1143.1600000000001</v>
      </c>
      <c r="I13" s="221">
        <f>IF(A13="Total",VLOOKUP(B13,CORRESPONDANCE[#All],2,FALSE),I14)</f>
        <v>4</v>
      </c>
      <c r="J13" s="222" t="str">
        <f t="shared" si="0"/>
        <v>T</v>
      </c>
      <c r="K13" s="44" t="str">
        <f t="shared" si="1"/>
        <v>HTR8 - Total</v>
      </c>
      <c r="L13" s="44" t="e">
        <f>+VLOOKUP(K13,TL[],4,FALSE)</f>
        <v>#N/A</v>
      </c>
    </row>
    <row r="14" spans="1:12" x14ac:dyDescent="0.2">
      <c r="A14" t="s">
        <v>2622</v>
      </c>
      <c r="B14" t="s">
        <v>225</v>
      </c>
      <c r="C14">
        <v>1221.5</v>
      </c>
      <c r="D14" t="s">
        <v>6961</v>
      </c>
      <c r="E14">
        <v>1221.5</v>
      </c>
      <c r="F14" t="s">
        <v>6961</v>
      </c>
      <c r="G14" s="220">
        <f t="shared" si="2"/>
        <v>1221.5</v>
      </c>
      <c r="H14" s="220">
        <f t="shared" si="3"/>
        <v>1221.5</v>
      </c>
      <c r="I14" s="221">
        <f>IF(A14="Total",VLOOKUP(B14,CORRESPONDANCE[#All],2,FALSE),I15)</f>
        <v>5</v>
      </c>
      <c r="J14" s="222" t="str">
        <f t="shared" si="0"/>
        <v>6</v>
      </c>
      <c r="K14" s="44" t="str">
        <f t="shared" si="1"/>
        <v>HTR8 - 60110200</v>
      </c>
      <c r="L14" s="44" t="str">
        <f>+VLOOKUP(K14,TL[],4,FALSE)</f>
        <v>07</v>
      </c>
    </row>
    <row r="15" spans="1:12" x14ac:dyDescent="0.2">
      <c r="A15" t="s">
        <v>197</v>
      </c>
      <c r="B15" t="s">
        <v>2518</v>
      </c>
      <c r="C15">
        <v>1221.5</v>
      </c>
      <c r="D15" t="s">
        <v>6961</v>
      </c>
      <c r="E15">
        <v>1221.5</v>
      </c>
      <c r="F15" t="s">
        <v>6961</v>
      </c>
      <c r="G15" s="220">
        <f t="shared" si="2"/>
        <v>1221.5</v>
      </c>
      <c r="H15" s="220">
        <f t="shared" si="3"/>
        <v>1221.5</v>
      </c>
      <c r="I15" s="221">
        <f>IF(A15="Total",VLOOKUP(B15,CORRESPONDANCE[#All],2,FALSE),I16)</f>
        <v>5</v>
      </c>
      <c r="J15" s="222" t="str">
        <f t="shared" si="0"/>
        <v>T</v>
      </c>
      <c r="K15" s="44" t="str">
        <f t="shared" si="1"/>
        <v>HTR8 - Total</v>
      </c>
      <c r="L15" s="44" t="e">
        <f>+VLOOKUP(K15,TL[],4,FALSE)</f>
        <v>#N/A</v>
      </c>
    </row>
    <row r="16" spans="1:12" x14ac:dyDescent="0.2">
      <c r="A16" t="s">
        <v>2623</v>
      </c>
      <c r="B16" t="s">
        <v>265</v>
      </c>
      <c r="C16">
        <v>4653.2</v>
      </c>
      <c r="D16" t="s">
        <v>6961</v>
      </c>
      <c r="E16">
        <v>4653.2</v>
      </c>
      <c r="F16" t="s">
        <v>6961</v>
      </c>
      <c r="G16" s="220">
        <f t="shared" si="2"/>
        <v>4653.2</v>
      </c>
      <c r="H16" s="220">
        <f t="shared" si="3"/>
        <v>4653.2</v>
      </c>
      <c r="I16" s="221">
        <f>IF(A16="Total",VLOOKUP(B16,CORRESPONDANCE[#All],2,FALSE),I17)</f>
        <v>6</v>
      </c>
      <c r="J16" s="222" t="str">
        <f t="shared" si="0"/>
        <v>6</v>
      </c>
      <c r="K16" s="44" t="str">
        <f t="shared" si="1"/>
        <v>HTR8 - 60220100</v>
      </c>
      <c r="L16" s="44" t="str">
        <f>+VLOOKUP(K16,TL[],4,FALSE)</f>
        <v>03</v>
      </c>
    </row>
    <row r="17" spans="1:12" x14ac:dyDescent="0.2">
      <c r="A17" t="s">
        <v>2624</v>
      </c>
      <c r="B17" t="s">
        <v>2402</v>
      </c>
      <c r="C17">
        <v>112.91</v>
      </c>
      <c r="D17" t="s">
        <v>6961</v>
      </c>
      <c r="E17">
        <v>112.91</v>
      </c>
      <c r="F17" t="s">
        <v>6961</v>
      </c>
      <c r="G17" s="220">
        <f t="shared" si="2"/>
        <v>112.91</v>
      </c>
      <c r="H17" s="220">
        <f t="shared" si="3"/>
        <v>112.91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HTR8 - 60320000</v>
      </c>
      <c r="L17" s="44" t="str">
        <f>+VLOOKUP(K17,TL[],4,FALSE)</f>
        <v>03</v>
      </c>
    </row>
    <row r="18" spans="1:12" x14ac:dyDescent="0.2">
      <c r="A18" t="s">
        <v>197</v>
      </c>
      <c r="B18" t="s">
        <v>2519</v>
      </c>
      <c r="C18">
        <v>4766.1099999999997</v>
      </c>
      <c r="D18" t="s">
        <v>6961</v>
      </c>
      <c r="E18">
        <v>4766.1099999999997</v>
      </c>
      <c r="F18" t="s">
        <v>6961</v>
      </c>
      <c r="G18" s="220">
        <f t="shared" si="2"/>
        <v>4766.1099999999997</v>
      </c>
      <c r="H18" s="220">
        <f t="shared" si="3"/>
        <v>4766.1099999999997</v>
      </c>
      <c r="I18" s="221">
        <f>IF(A18="Total",VLOOKUP(B18,CORRESPONDANCE[#All],2,FALSE),I19)</f>
        <v>6</v>
      </c>
      <c r="J18" s="222" t="str">
        <f t="shared" si="0"/>
        <v>T</v>
      </c>
      <c r="K18" s="44" t="str">
        <f t="shared" si="1"/>
        <v>HTR8 - Total</v>
      </c>
      <c r="L18" s="44" t="e">
        <f>+VLOOKUP(K18,TL[],4,FALSE)</f>
        <v>#N/A</v>
      </c>
    </row>
    <row r="19" spans="1:12" x14ac:dyDescent="0.2">
      <c r="A19" t="s">
        <v>3548</v>
      </c>
      <c r="B19" t="s">
        <v>3549</v>
      </c>
      <c r="C19">
        <v>112.86</v>
      </c>
      <c r="D19" t="s">
        <v>6961</v>
      </c>
      <c r="E19">
        <v>112.86</v>
      </c>
      <c r="F19" t="s">
        <v>6961</v>
      </c>
      <c r="G19" s="220">
        <f t="shared" si="2"/>
        <v>112.86</v>
      </c>
      <c r="H19" s="220">
        <f t="shared" si="3"/>
        <v>112.86</v>
      </c>
      <c r="I19" s="221" t="str">
        <f>IF(A19="Total",VLOOKUP(B19,CORRESPONDANCE[#All],2,FALSE),I20)</f>
        <v>6.1</v>
      </c>
      <c r="J19" s="222" t="str">
        <f t="shared" si="0"/>
        <v>6</v>
      </c>
      <c r="K19" s="44" t="str">
        <f t="shared" si="1"/>
        <v>HTR8 - 60261200</v>
      </c>
      <c r="L19" s="44" t="str">
        <f>+VLOOKUP(K19,TL[],4,FALSE)</f>
        <v>06</v>
      </c>
    </row>
    <row r="20" spans="1:12" x14ac:dyDescent="0.2">
      <c r="A20" t="s">
        <v>197</v>
      </c>
      <c r="B20" t="s">
        <v>3010</v>
      </c>
      <c r="C20">
        <v>112.86</v>
      </c>
      <c r="D20" t="s">
        <v>6961</v>
      </c>
      <c r="E20">
        <v>112.86</v>
      </c>
      <c r="F20" t="s">
        <v>6961</v>
      </c>
      <c r="G20" s="220">
        <f t="shared" si="2"/>
        <v>112.86</v>
      </c>
      <c r="H20" s="220">
        <f t="shared" si="3"/>
        <v>112.86</v>
      </c>
      <c r="I20" s="221" t="str">
        <f>IF(A20="Total",VLOOKUP(B20,CORRESPONDANCE[#All],2,FALSE),I21)</f>
        <v>6.1</v>
      </c>
      <c r="J20" s="222" t="str">
        <f t="shared" si="0"/>
        <v>T</v>
      </c>
      <c r="K20" s="44" t="str">
        <f t="shared" si="1"/>
        <v>HTR8 - Total</v>
      </c>
      <c r="L20" s="44" t="e">
        <f>+VLOOKUP(K20,TL[],4,FALSE)</f>
        <v>#N/A</v>
      </c>
    </row>
    <row r="21" spans="1:12" x14ac:dyDescent="0.2">
      <c r="A21" t="s">
        <v>3625</v>
      </c>
      <c r="B21" t="s">
        <v>1200</v>
      </c>
      <c r="C21">
        <v>47.51</v>
      </c>
      <c r="D21" t="s">
        <v>6961</v>
      </c>
      <c r="E21">
        <v>47.51</v>
      </c>
      <c r="F21" t="s">
        <v>6961</v>
      </c>
      <c r="G21" s="220">
        <f t="shared" si="2"/>
        <v>47.51</v>
      </c>
      <c r="H21" s="220">
        <f t="shared" si="3"/>
        <v>47.51</v>
      </c>
      <c r="I21" s="221">
        <f>IF(A21="Total",VLOOKUP(B21,CORRESPONDANCE[#All],2,FALSE),I22)</f>
        <v>8</v>
      </c>
      <c r="J21" s="222" t="str">
        <f t="shared" si="0"/>
        <v>6</v>
      </c>
      <c r="K21" s="44" t="str">
        <f t="shared" si="1"/>
        <v>HTR8 - 62140100</v>
      </c>
      <c r="L21" s="44" t="str">
        <f>+VLOOKUP(K21,TL[],4,FALSE)</f>
        <v>10</v>
      </c>
    </row>
    <row r="22" spans="1:12" x14ac:dyDescent="0.2">
      <c r="A22" t="s">
        <v>2625</v>
      </c>
      <c r="B22" t="s">
        <v>1239</v>
      </c>
      <c r="C22">
        <v>27420</v>
      </c>
      <c r="D22" t="s">
        <v>6961</v>
      </c>
      <c r="E22">
        <v>27420</v>
      </c>
      <c r="F22" t="s">
        <v>6961</v>
      </c>
      <c r="G22" s="220">
        <f t="shared" si="2"/>
        <v>27420</v>
      </c>
      <c r="H22" s="220">
        <f t="shared" si="3"/>
        <v>27420</v>
      </c>
      <c r="I22" s="221">
        <f>IF(A22="Total",VLOOKUP(B22,CORRESPONDANCE[#All],2,FALSE),I23)</f>
        <v>8</v>
      </c>
      <c r="J22" s="222" t="str">
        <f t="shared" si="0"/>
        <v>6</v>
      </c>
      <c r="K22" s="44" t="str">
        <f t="shared" si="1"/>
        <v>HTR8 - 64110100</v>
      </c>
      <c r="L22" s="44" t="str">
        <f>+VLOOKUP(K22,TL[],4,FALSE)</f>
        <v>10</v>
      </c>
    </row>
    <row r="23" spans="1:12" x14ac:dyDescent="0.2">
      <c r="A23" t="s">
        <v>2626</v>
      </c>
      <c r="B23" t="s">
        <v>2331</v>
      </c>
      <c r="C23">
        <v>2462.6</v>
      </c>
      <c r="D23" t="s">
        <v>6961</v>
      </c>
      <c r="E23">
        <v>2462.6</v>
      </c>
      <c r="F23" t="s">
        <v>6961</v>
      </c>
      <c r="G23" s="220">
        <f t="shared" si="2"/>
        <v>2462.6</v>
      </c>
      <c r="H23" s="220">
        <f t="shared" si="3"/>
        <v>2462.6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HTR8 - 64120000</v>
      </c>
      <c r="L23" s="44" t="str">
        <f>+VLOOKUP(K23,TL[],4,FALSE)</f>
        <v>10</v>
      </c>
    </row>
    <row r="24" spans="1:12" x14ac:dyDescent="0.2">
      <c r="A24" t="s">
        <v>2627</v>
      </c>
      <c r="B24" t="s">
        <v>284</v>
      </c>
      <c r="C24">
        <v>4.22</v>
      </c>
      <c r="D24" t="s">
        <v>6961</v>
      </c>
      <c r="E24">
        <v>4.22</v>
      </c>
      <c r="F24" t="s">
        <v>6961</v>
      </c>
      <c r="G24" s="220">
        <f t="shared" si="2"/>
        <v>4.22</v>
      </c>
      <c r="H24" s="220">
        <f t="shared" si="3"/>
        <v>4.22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HTR8 - 64140100</v>
      </c>
      <c r="L24" s="44" t="str">
        <f>+VLOOKUP(K24,TL[],4,FALSE)</f>
        <v>10</v>
      </c>
    </row>
    <row r="25" spans="1:12" x14ac:dyDescent="0.2">
      <c r="A25" t="s">
        <v>2628</v>
      </c>
      <c r="B25" t="s">
        <v>1245</v>
      </c>
      <c r="C25">
        <v>330.57</v>
      </c>
      <c r="D25" t="s">
        <v>6961</v>
      </c>
      <c r="E25">
        <v>330.57</v>
      </c>
      <c r="F25" t="s">
        <v>6961</v>
      </c>
      <c r="G25" s="220">
        <f t="shared" si="2"/>
        <v>330.57</v>
      </c>
      <c r="H25" s="220">
        <f t="shared" si="3"/>
        <v>330.57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HTR8 - 64141100</v>
      </c>
      <c r="L25" s="44" t="str">
        <f>+VLOOKUP(K25,TL[],4,FALSE)</f>
        <v>10</v>
      </c>
    </row>
    <row r="26" spans="1:12" x14ac:dyDescent="0.2">
      <c r="A26" t="s">
        <v>6695</v>
      </c>
      <c r="B26" t="s">
        <v>6696</v>
      </c>
      <c r="C26" t="s">
        <v>6961</v>
      </c>
      <c r="D26">
        <v>2514.44</v>
      </c>
      <c r="E26" t="s">
        <v>6961</v>
      </c>
      <c r="F26">
        <v>2514.44</v>
      </c>
      <c r="G26" s="220">
        <f t="shared" si="2"/>
        <v>-2514.44</v>
      </c>
      <c r="H26" s="220">
        <f t="shared" si="3"/>
        <v>-2514.44</v>
      </c>
      <c r="I26" s="221">
        <f>IF(A26="Total",VLOOKUP(B26,CORRESPONDANCE[#All],2,FALSE),I27)</f>
        <v>8</v>
      </c>
      <c r="J26" s="222" t="str">
        <f t="shared" si="0"/>
        <v>7</v>
      </c>
      <c r="K26" s="44" t="str">
        <f t="shared" si="1"/>
        <v>HTR8 - 70815000</v>
      </c>
      <c r="L26" s="44" t="str">
        <f>+VLOOKUP(K26,TL[],4,FALSE)</f>
        <v>10</v>
      </c>
    </row>
    <row r="27" spans="1:12" x14ac:dyDescent="0.2">
      <c r="A27" t="s">
        <v>2629</v>
      </c>
      <c r="B27" t="s">
        <v>2426</v>
      </c>
      <c r="C27" t="s">
        <v>6961</v>
      </c>
      <c r="D27">
        <v>4.22</v>
      </c>
      <c r="E27" t="s">
        <v>6961</v>
      </c>
      <c r="F27">
        <v>4.22</v>
      </c>
      <c r="G27" s="220">
        <f t="shared" si="2"/>
        <v>-4.22</v>
      </c>
      <c r="H27" s="220">
        <f t="shared" si="3"/>
        <v>-4.22</v>
      </c>
      <c r="I27" s="221">
        <f>IF(A27="Total",VLOOKUP(B27,CORRESPONDANCE[#All],2,FALSE),I28)</f>
        <v>8</v>
      </c>
      <c r="J27" s="222" t="str">
        <f t="shared" si="0"/>
        <v>7</v>
      </c>
      <c r="K27" s="44" t="str">
        <f t="shared" si="1"/>
        <v>HTR8 - 72610000</v>
      </c>
      <c r="L27" s="44" t="str">
        <f>+VLOOKUP(K27,TL[],4,FALSE)</f>
        <v>10</v>
      </c>
    </row>
    <row r="28" spans="1:12" x14ac:dyDescent="0.2">
      <c r="A28" t="s">
        <v>197</v>
      </c>
      <c r="B28" t="s">
        <v>2523</v>
      </c>
      <c r="C28">
        <v>27746.240000000002</v>
      </c>
      <c r="D28" t="s">
        <v>6961</v>
      </c>
      <c r="E28">
        <v>27746.240000000002</v>
      </c>
      <c r="F28" t="s">
        <v>6961</v>
      </c>
      <c r="G28" s="220">
        <f t="shared" si="2"/>
        <v>27746.240000000002</v>
      </c>
      <c r="H28" s="220">
        <f t="shared" si="3"/>
        <v>27746.240000000002</v>
      </c>
      <c r="I28" s="221">
        <f>IF(A28="Total",VLOOKUP(B28,CORRESPONDANCE[#All],2,FALSE),I29)</f>
        <v>8</v>
      </c>
      <c r="J28" s="222" t="str">
        <f t="shared" si="0"/>
        <v>T</v>
      </c>
      <c r="K28" s="44" t="str">
        <f t="shared" si="1"/>
        <v>HTR8 - Total</v>
      </c>
      <c r="L28" s="44" t="e">
        <f>+VLOOKUP(K28,TL[],4,FALSE)</f>
        <v>#N/A</v>
      </c>
    </row>
    <row r="29" spans="1:12" x14ac:dyDescent="0.2">
      <c r="A29" t="s">
        <v>7026</v>
      </c>
      <c r="B29" t="s">
        <v>7027</v>
      </c>
      <c r="C29">
        <v>10.84</v>
      </c>
      <c r="D29" t="s">
        <v>6961</v>
      </c>
      <c r="E29">
        <v>10.84</v>
      </c>
      <c r="F29" t="s">
        <v>6961</v>
      </c>
      <c r="G29" s="220">
        <f t="shared" si="2"/>
        <v>10.84</v>
      </c>
      <c r="H29" s="220">
        <f t="shared" si="3"/>
        <v>10.84</v>
      </c>
      <c r="I29" s="221">
        <f>IF(A29="Total",VLOOKUP(B29,CORRESPONDANCE[#All],2,FALSE),I30)</f>
        <v>9</v>
      </c>
      <c r="J29" s="222" t="str">
        <f t="shared" si="0"/>
        <v>6</v>
      </c>
      <c r="K29" s="44" t="str">
        <f t="shared" si="1"/>
        <v>HTR8 - 62140800</v>
      </c>
      <c r="L29" s="44" t="e">
        <f>+VLOOKUP(K29,TL[],4,FALSE)</f>
        <v>#N/A</v>
      </c>
    </row>
    <row r="30" spans="1:12" x14ac:dyDescent="0.2">
      <c r="A30" t="s">
        <v>2630</v>
      </c>
      <c r="B30" t="s">
        <v>158</v>
      </c>
      <c r="C30">
        <v>1130.51</v>
      </c>
      <c r="D30" t="s">
        <v>6961</v>
      </c>
      <c r="E30">
        <v>1130.51</v>
      </c>
      <c r="F30" t="s">
        <v>6961</v>
      </c>
      <c r="G30" s="220">
        <f t="shared" si="2"/>
        <v>1130.51</v>
      </c>
      <c r="H30" s="220">
        <f t="shared" si="3"/>
        <v>1130.51</v>
      </c>
      <c r="I30" s="221">
        <f>IF(A30="Total",VLOOKUP(B30,CORRESPONDANCE[#All],2,FALSE),I31)</f>
        <v>9</v>
      </c>
      <c r="J30" s="222" t="str">
        <f t="shared" si="0"/>
        <v>6</v>
      </c>
      <c r="K30" s="44" t="str">
        <f t="shared" si="1"/>
        <v>HTR8 - 64510100</v>
      </c>
      <c r="L30" s="44" t="str">
        <f>+VLOOKUP(K30,TL[],4,FALSE)</f>
        <v>10</v>
      </c>
    </row>
    <row r="31" spans="1:12" x14ac:dyDescent="0.2">
      <c r="A31" t="s">
        <v>2631</v>
      </c>
      <c r="B31" t="s">
        <v>271</v>
      </c>
      <c r="C31">
        <v>268.47000000000003</v>
      </c>
      <c r="D31" t="s">
        <v>6961</v>
      </c>
      <c r="E31">
        <v>268.47000000000003</v>
      </c>
      <c r="F31" t="s">
        <v>6961</v>
      </c>
      <c r="G31" s="220">
        <f t="shared" si="2"/>
        <v>268.47000000000003</v>
      </c>
      <c r="H31" s="220">
        <f t="shared" si="3"/>
        <v>268.47000000000003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HTR8 - 64520100</v>
      </c>
      <c r="L31" s="44" t="str">
        <f>+VLOOKUP(K31,TL[],4,FALSE)</f>
        <v>10</v>
      </c>
    </row>
    <row r="32" spans="1:12" x14ac:dyDescent="0.2">
      <c r="A32" t="s">
        <v>2632</v>
      </c>
      <c r="B32" t="s">
        <v>281</v>
      </c>
      <c r="C32">
        <v>417.96</v>
      </c>
      <c r="D32" t="s">
        <v>6961</v>
      </c>
      <c r="E32">
        <v>417.96</v>
      </c>
      <c r="F32" t="s">
        <v>6961</v>
      </c>
      <c r="G32" s="220">
        <f t="shared" si="2"/>
        <v>417.96</v>
      </c>
      <c r="H32" s="220">
        <f t="shared" si="3"/>
        <v>417.96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HTR8 - 64530100</v>
      </c>
      <c r="L32" s="44" t="str">
        <f>+VLOOKUP(K32,TL[],4,FALSE)</f>
        <v>10</v>
      </c>
    </row>
    <row r="33" spans="1:12" x14ac:dyDescent="0.2">
      <c r="A33" t="s">
        <v>2633</v>
      </c>
      <c r="B33" t="s">
        <v>270</v>
      </c>
      <c r="C33">
        <v>1083.8800000000001</v>
      </c>
      <c r="D33" t="s">
        <v>6961</v>
      </c>
      <c r="E33">
        <v>1083.8800000000001</v>
      </c>
      <c r="F33" t="s">
        <v>6961</v>
      </c>
      <c r="G33" s="220">
        <f t="shared" si="2"/>
        <v>1083.8800000000001</v>
      </c>
      <c r="H33" s="220">
        <f t="shared" si="3"/>
        <v>1083.8800000000001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HTR8 - 64540100</v>
      </c>
      <c r="L33" s="44" t="str">
        <f>+VLOOKUP(K33,TL[],4,FALSE)</f>
        <v>10</v>
      </c>
    </row>
    <row r="34" spans="1:12" x14ac:dyDescent="0.2">
      <c r="A34" t="s">
        <v>2634</v>
      </c>
      <c r="B34" t="s">
        <v>2419</v>
      </c>
      <c r="C34">
        <v>350.6</v>
      </c>
      <c r="D34" t="s">
        <v>6961</v>
      </c>
      <c r="E34">
        <v>350.6</v>
      </c>
      <c r="F34" t="s">
        <v>6961</v>
      </c>
      <c r="G34" s="220">
        <f t="shared" si="2"/>
        <v>350.6</v>
      </c>
      <c r="H34" s="220">
        <f t="shared" si="3"/>
        <v>350.6</v>
      </c>
      <c r="I34" s="221">
        <f>IF(A34="Total",VLOOKUP(B34,CORRESPONDANCE[#All],2,FALSE),I35)</f>
        <v>9</v>
      </c>
      <c r="J34" s="222" t="str">
        <f t="shared" si="0"/>
        <v>6</v>
      </c>
      <c r="K34" s="44" t="str">
        <f t="shared" si="1"/>
        <v>HTR8 - 64580000</v>
      </c>
      <c r="L34" s="44" t="str">
        <f>+VLOOKUP(K34,TL[],4,FALSE)</f>
        <v>10</v>
      </c>
    </row>
    <row r="35" spans="1:12" x14ac:dyDescent="0.2">
      <c r="A35" t="s">
        <v>7028</v>
      </c>
      <c r="B35" t="s">
        <v>7029</v>
      </c>
      <c r="C35" t="s">
        <v>6961</v>
      </c>
      <c r="D35">
        <v>423.18</v>
      </c>
      <c r="E35" t="s">
        <v>6961</v>
      </c>
      <c r="F35">
        <v>423.18</v>
      </c>
      <c r="G35" s="220">
        <f t="shared" si="2"/>
        <v>-423.18</v>
      </c>
      <c r="H35" s="220">
        <f t="shared" si="3"/>
        <v>-423.18</v>
      </c>
      <c r="I35" s="221">
        <f>IF(A35="Total",VLOOKUP(B35,CORRESPONDANCE[#All],2,FALSE),I36)</f>
        <v>9</v>
      </c>
      <c r="J35" s="222" t="str">
        <f t="shared" si="0"/>
        <v>7</v>
      </c>
      <c r="K35" s="44" t="str">
        <f t="shared" si="1"/>
        <v>HTR8 - 70815100</v>
      </c>
      <c r="L35" s="44" t="e">
        <f>+VLOOKUP(K35,TL[],4,FALSE)</f>
        <v>#N/A</v>
      </c>
    </row>
    <row r="36" spans="1:12" x14ac:dyDescent="0.2">
      <c r="A36" t="s">
        <v>197</v>
      </c>
      <c r="B36" t="s">
        <v>2529</v>
      </c>
      <c r="C36">
        <v>2839.08</v>
      </c>
      <c r="D36" t="s">
        <v>6961</v>
      </c>
      <c r="E36">
        <v>2839.08</v>
      </c>
      <c r="F36" t="s">
        <v>6961</v>
      </c>
      <c r="G36" s="220">
        <f t="shared" si="2"/>
        <v>2839.08</v>
      </c>
      <c r="H36" s="220">
        <f t="shared" si="3"/>
        <v>2839.08</v>
      </c>
      <c r="I36" s="221">
        <f>IF(A36="Total",VLOOKUP(B36,CORRESPONDANCE[#All],2,FALSE),I37)</f>
        <v>9</v>
      </c>
      <c r="J36" s="222" t="str">
        <f t="shared" si="0"/>
        <v>T</v>
      </c>
      <c r="K36" s="44" t="str">
        <f t="shared" si="1"/>
        <v>HTR8 - Total</v>
      </c>
      <c r="L36" s="44" t="e">
        <f>+VLOOKUP(K36,TL[],4,FALSE)</f>
        <v>#N/A</v>
      </c>
    </row>
    <row r="37" spans="1:12" x14ac:dyDescent="0.2">
      <c r="A37" t="s">
        <v>2635</v>
      </c>
      <c r="B37" t="s">
        <v>2415</v>
      </c>
      <c r="C37">
        <v>2451.88</v>
      </c>
      <c r="D37" t="s">
        <v>6961</v>
      </c>
      <c r="E37">
        <v>2451.88</v>
      </c>
      <c r="F37" t="s">
        <v>6961</v>
      </c>
      <c r="G37" s="220">
        <f t="shared" si="2"/>
        <v>2451.88</v>
      </c>
      <c r="H37" s="220">
        <f t="shared" si="3"/>
        <v>2451.88</v>
      </c>
      <c r="I37" s="221">
        <f>IF(A37="Total",VLOOKUP(B37,CORRESPONDANCE[#All],2,FALSE),I38)</f>
        <v>10</v>
      </c>
      <c r="J37" s="222" t="str">
        <f t="shared" si="0"/>
        <v>6</v>
      </c>
      <c r="K37" s="44" t="str">
        <f t="shared" si="1"/>
        <v>HTR8 - 62140200</v>
      </c>
      <c r="L37" s="44" t="str">
        <f>+VLOOKUP(K37,TL[],4,FALSE)</f>
        <v>11</v>
      </c>
    </row>
    <row r="38" spans="1:12" x14ac:dyDescent="0.2">
      <c r="A38" t="s">
        <v>2636</v>
      </c>
      <c r="B38" t="s">
        <v>144</v>
      </c>
      <c r="C38">
        <v>17217.75</v>
      </c>
      <c r="D38" t="s">
        <v>6961</v>
      </c>
      <c r="E38">
        <v>17217.75</v>
      </c>
      <c r="F38" t="s">
        <v>6961</v>
      </c>
      <c r="G38" s="220">
        <f t="shared" si="2"/>
        <v>17217.75</v>
      </c>
      <c r="H38" s="220">
        <f t="shared" si="3"/>
        <v>17217.75</v>
      </c>
      <c r="I38" s="221">
        <f>IF(A38="Total",VLOOKUP(B38,CORRESPONDANCE[#All],2,FALSE),I39)</f>
        <v>10</v>
      </c>
      <c r="J38" s="222" t="str">
        <f t="shared" si="0"/>
        <v>6</v>
      </c>
      <c r="K38" s="44" t="str">
        <f t="shared" si="1"/>
        <v>HTR8 - 64110400</v>
      </c>
      <c r="L38" s="44" t="str">
        <f>+VLOOKUP(K38,TL[],4,FALSE)</f>
        <v>11</v>
      </c>
    </row>
    <row r="39" spans="1:12" x14ac:dyDescent="0.2">
      <c r="A39" t="s">
        <v>2637</v>
      </c>
      <c r="B39" t="s">
        <v>1085</v>
      </c>
      <c r="C39">
        <v>1463.36</v>
      </c>
      <c r="D39" t="s">
        <v>6961</v>
      </c>
      <c r="E39">
        <v>1463.36</v>
      </c>
      <c r="F39" t="s">
        <v>6961</v>
      </c>
      <c r="G39" s="220">
        <f t="shared" si="2"/>
        <v>1463.36</v>
      </c>
      <c r="H39" s="220">
        <f t="shared" si="3"/>
        <v>1463.36</v>
      </c>
      <c r="I39" s="221">
        <f>IF(A39="Total",VLOOKUP(B39,CORRESPONDANCE[#All],2,FALSE),I40)</f>
        <v>10</v>
      </c>
      <c r="J39" s="222" t="str">
        <f t="shared" si="0"/>
        <v>6</v>
      </c>
      <c r="K39" s="44" t="str">
        <f t="shared" si="1"/>
        <v>HTR8 - 64121000</v>
      </c>
      <c r="L39" s="44" t="str">
        <f>+VLOOKUP(K39,TL[],4,FALSE)</f>
        <v>11</v>
      </c>
    </row>
    <row r="40" spans="1:12" x14ac:dyDescent="0.2">
      <c r="A40" t="s">
        <v>2638</v>
      </c>
      <c r="B40" t="s">
        <v>272</v>
      </c>
      <c r="C40">
        <v>63.3</v>
      </c>
      <c r="D40" t="s">
        <v>6961</v>
      </c>
      <c r="E40">
        <v>63.3</v>
      </c>
      <c r="F40" t="s">
        <v>6961</v>
      </c>
      <c r="G40" s="220">
        <f t="shared" si="2"/>
        <v>63.3</v>
      </c>
      <c r="H40" s="220">
        <f t="shared" si="3"/>
        <v>63.3</v>
      </c>
      <c r="I40" s="221">
        <f>IF(A40="Total",VLOOKUP(B40,CORRESPONDANCE[#All],2,FALSE),I41)</f>
        <v>10</v>
      </c>
      <c r="J40" s="222" t="str">
        <f t="shared" si="0"/>
        <v>6</v>
      </c>
      <c r="K40" s="44" t="str">
        <f t="shared" si="1"/>
        <v>HTR8 - 64140400</v>
      </c>
      <c r="L40" s="44" t="str">
        <f>+VLOOKUP(K40,TL[],4,FALSE)</f>
        <v>11</v>
      </c>
    </row>
    <row r="41" spans="1:12" x14ac:dyDescent="0.2">
      <c r="A41" t="s">
        <v>2639</v>
      </c>
      <c r="B41" t="s">
        <v>1246</v>
      </c>
      <c r="C41">
        <v>180.82</v>
      </c>
      <c r="D41" t="s">
        <v>6961</v>
      </c>
      <c r="E41">
        <v>180.82</v>
      </c>
      <c r="F41" t="s">
        <v>6961</v>
      </c>
      <c r="G41" s="220">
        <f t="shared" si="2"/>
        <v>180.82</v>
      </c>
      <c r="H41" s="220">
        <f t="shared" si="3"/>
        <v>180.82</v>
      </c>
      <c r="I41" s="221">
        <f>IF(A41="Total",VLOOKUP(B41,CORRESPONDANCE[#All],2,FALSE),I42)</f>
        <v>10</v>
      </c>
      <c r="J41" s="222" t="str">
        <f t="shared" si="0"/>
        <v>6</v>
      </c>
      <c r="K41" s="44" t="str">
        <f t="shared" si="1"/>
        <v>HTR8 - 64141400</v>
      </c>
      <c r="L41" s="44" t="str">
        <f>+VLOOKUP(K41,TL[],4,FALSE)</f>
        <v>11</v>
      </c>
    </row>
    <row r="42" spans="1:12" x14ac:dyDescent="0.2">
      <c r="A42" t="s">
        <v>2640</v>
      </c>
      <c r="B42" t="s">
        <v>625</v>
      </c>
      <c r="C42" t="s">
        <v>6961</v>
      </c>
      <c r="D42">
        <v>3340.99</v>
      </c>
      <c r="E42" t="s">
        <v>6961</v>
      </c>
      <c r="F42">
        <v>3340.99</v>
      </c>
      <c r="G42" s="220">
        <f t="shared" si="2"/>
        <v>-3340.99</v>
      </c>
      <c r="H42" s="220">
        <f t="shared" si="3"/>
        <v>-3340.99</v>
      </c>
      <c r="I42" s="221">
        <f>IF(A42="Total",VLOOKUP(B42,CORRESPONDANCE[#All],2,FALSE),I43)</f>
        <v>10</v>
      </c>
      <c r="J42" s="222" t="str">
        <f t="shared" si="0"/>
        <v>7</v>
      </c>
      <c r="K42" s="44" t="str">
        <f t="shared" si="1"/>
        <v>HTR8 - 70810400</v>
      </c>
      <c r="L42" s="44" t="str">
        <f>+VLOOKUP(K42,TL[],4,FALSE)</f>
        <v>11</v>
      </c>
    </row>
    <row r="43" spans="1:12" x14ac:dyDescent="0.2">
      <c r="A43" t="s">
        <v>2641</v>
      </c>
      <c r="B43" t="s">
        <v>1066</v>
      </c>
      <c r="C43" t="s">
        <v>6961</v>
      </c>
      <c r="D43">
        <v>63.3</v>
      </c>
      <c r="E43" t="s">
        <v>6961</v>
      </c>
      <c r="F43">
        <v>63.3</v>
      </c>
      <c r="G43" s="220">
        <f t="shared" si="2"/>
        <v>-63.3</v>
      </c>
      <c r="H43" s="220">
        <f t="shared" si="3"/>
        <v>-63.3</v>
      </c>
      <c r="I43" s="221">
        <f>IF(A43="Total",VLOOKUP(B43,CORRESPONDANCE[#All],2,FALSE),I44)</f>
        <v>10</v>
      </c>
      <c r="J43" s="222" t="str">
        <f t="shared" si="0"/>
        <v>7</v>
      </c>
      <c r="K43" s="44" t="str">
        <f t="shared" si="1"/>
        <v>HTR8 - 72611000</v>
      </c>
      <c r="L43" s="44" t="str">
        <f>+VLOOKUP(K43,TL[],4,FALSE)</f>
        <v>11</v>
      </c>
    </row>
    <row r="44" spans="1:12" x14ac:dyDescent="0.2">
      <c r="A44" t="s">
        <v>197</v>
      </c>
      <c r="B44" t="s">
        <v>2532</v>
      </c>
      <c r="C44">
        <v>17972.82</v>
      </c>
      <c r="D44" t="s">
        <v>6961</v>
      </c>
      <c r="E44">
        <v>17972.82</v>
      </c>
      <c r="F44" t="s">
        <v>6961</v>
      </c>
      <c r="G44" s="220">
        <f t="shared" si="2"/>
        <v>17972.82</v>
      </c>
      <c r="H44" s="220">
        <f t="shared" si="3"/>
        <v>17972.82</v>
      </c>
      <c r="I44" s="221">
        <f>IF(A44="Total",VLOOKUP(B44,CORRESPONDANCE[#All],2,FALSE),I45)</f>
        <v>10</v>
      </c>
      <c r="J44" s="222" t="str">
        <f t="shared" si="0"/>
        <v>T</v>
      </c>
      <c r="K44" s="44" t="str">
        <f t="shared" si="1"/>
        <v>HTR8 - Total</v>
      </c>
      <c r="L44" s="44" t="e">
        <f>+VLOOKUP(K44,TL[],4,FALSE)</f>
        <v>#N/A</v>
      </c>
    </row>
    <row r="45" spans="1:12" x14ac:dyDescent="0.2">
      <c r="A45" t="s">
        <v>2642</v>
      </c>
      <c r="B45" t="s">
        <v>2643</v>
      </c>
      <c r="C45">
        <v>693.74</v>
      </c>
      <c r="D45" t="s">
        <v>6961</v>
      </c>
      <c r="E45">
        <v>693.74</v>
      </c>
      <c r="F45" t="s">
        <v>6961</v>
      </c>
      <c r="G45" s="220">
        <f t="shared" si="2"/>
        <v>693.74</v>
      </c>
      <c r="H45" s="220">
        <f t="shared" si="3"/>
        <v>693.74</v>
      </c>
      <c r="I45" s="221">
        <f>IF(A45="Total",VLOOKUP(B45,CORRESPONDANCE[#All],2,FALSE),I46)</f>
        <v>11</v>
      </c>
      <c r="J45" s="222" t="str">
        <f t="shared" si="0"/>
        <v>6</v>
      </c>
      <c r="K45" s="44" t="str">
        <f t="shared" si="1"/>
        <v>HTR8 - 62140700</v>
      </c>
      <c r="L45" s="44" t="str">
        <f>+VLOOKUP(K45,TL[],4,FALSE)</f>
        <v>39</v>
      </c>
    </row>
    <row r="46" spans="1:12" x14ac:dyDescent="0.2">
      <c r="A46" t="s">
        <v>2644</v>
      </c>
      <c r="B46" t="s">
        <v>1247</v>
      </c>
      <c r="C46">
        <v>2074.73</v>
      </c>
      <c r="D46" t="s">
        <v>6961</v>
      </c>
      <c r="E46">
        <v>2074.73</v>
      </c>
      <c r="F46" t="s">
        <v>6961</v>
      </c>
      <c r="G46" s="220">
        <f t="shared" si="2"/>
        <v>2074.73</v>
      </c>
      <c r="H46" s="220">
        <f t="shared" si="3"/>
        <v>2074.73</v>
      </c>
      <c r="I46" s="221">
        <f>IF(A46="Total",VLOOKUP(B46,CORRESPONDANCE[#All],2,FALSE),I47)</f>
        <v>11</v>
      </c>
      <c r="J46" s="222" t="str">
        <f t="shared" si="0"/>
        <v>6</v>
      </c>
      <c r="K46" s="44" t="str">
        <f t="shared" si="1"/>
        <v>HTR8 - 64510400</v>
      </c>
      <c r="L46" s="44" t="str">
        <f>+VLOOKUP(K46,TL[],4,FALSE)</f>
        <v>12</v>
      </c>
    </row>
    <row r="47" spans="1:12" x14ac:dyDescent="0.2">
      <c r="A47" t="s">
        <v>2645</v>
      </c>
      <c r="B47" t="s">
        <v>273</v>
      </c>
      <c r="C47">
        <v>127.17</v>
      </c>
      <c r="D47" t="s">
        <v>6961</v>
      </c>
      <c r="E47">
        <v>127.17</v>
      </c>
      <c r="F47" t="s">
        <v>6961</v>
      </c>
      <c r="G47" s="220">
        <f t="shared" si="2"/>
        <v>127.17</v>
      </c>
      <c r="H47" s="220">
        <f t="shared" si="3"/>
        <v>127.17</v>
      </c>
      <c r="I47" s="221">
        <f>IF(A47="Total",VLOOKUP(B47,CORRESPONDANCE[#All],2,FALSE),I48)</f>
        <v>11</v>
      </c>
      <c r="J47" s="222" t="str">
        <f t="shared" si="0"/>
        <v>6</v>
      </c>
      <c r="K47" s="44" t="str">
        <f t="shared" si="1"/>
        <v>HTR8 - 64520400</v>
      </c>
      <c r="L47" s="44" t="str">
        <f>+VLOOKUP(K47,TL[],4,FALSE)</f>
        <v>12</v>
      </c>
    </row>
    <row r="48" spans="1:12" x14ac:dyDescent="0.2">
      <c r="A48" t="s">
        <v>2646</v>
      </c>
      <c r="B48" t="s">
        <v>275</v>
      </c>
      <c r="C48">
        <v>593.69000000000005</v>
      </c>
      <c r="D48" t="s">
        <v>6961</v>
      </c>
      <c r="E48">
        <v>593.69000000000005</v>
      </c>
      <c r="F48" t="s">
        <v>6961</v>
      </c>
      <c r="G48" s="220">
        <f t="shared" si="2"/>
        <v>593.69000000000005</v>
      </c>
      <c r="H48" s="220">
        <f t="shared" si="3"/>
        <v>593.69000000000005</v>
      </c>
      <c r="I48" s="221">
        <f>IF(A48="Total",VLOOKUP(B48,CORRESPONDANCE[#All],2,FALSE),I49)</f>
        <v>11</v>
      </c>
      <c r="J48" s="222" t="str">
        <f t="shared" si="0"/>
        <v>6</v>
      </c>
      <c r="K48" s="44" t="str">
        <f t="shared" si="1"/>
        <v>HTR8 - 64530400</v>
      </c>
      <c r="L48" s="44" t="str">
        <f>+VLOOKUP(K48,TL[],4,FALSE)</f>
        <v>12</v>
      </c>
    </row>
    <row r="49" spans="1:12" x14ac:dyDescent="0.2">
      <c r="A49" t="s">
        <v>2647</v>
      </c>
      <c r="B49" t="s">
        <v>1248</v>
      </c>
      <c r="C49">
        <v>686.42</v>
      </c>
      <c r="D49" t="s">
        <v>6961</v>
      </c>
      <c r="E49">
        <v>686.42</v>
      </c>
      <c r="F49" t="s">
        <v>6961</v>
      </c>
      <c r="G49" s="220">
        <f t="shared" si="2"/>
        <v>686.42</v>
      </c>
      <c r="H49" s="220">
        <f t="shared" si="3"/>
        <v>686.42</v>
      </c>
      <c r="I49" s="221">
        <f>IF(A49="Total",VLOOKUP(B49,CORRESPONDANCE[#All],2,FALSE),I50)</f>
        <v>11</v>
      </c>
      <c r="J49" s="222" t="str">
        <f t="shared" si="0"/>
        <v>6</v>
      </c>
      <c r="K49" s="44" t="str">
        <f t="shared" si="1"/>
        <v>HTR8 - 64540400</v>
      </c>
      <c r="L49" s="44" t="str">
        <f>+VLOOKUP(K49,TL[],4,FALSE)</f>
        <v>12</v>
      </c>
    </row>
    <row r="50" spans="1:12" x14ac:dyDescent="0.2">
      <c r="A50" t="s">
        <v>2648</v>
      </c>
      <c r="B50" t="s">
        <v>1087</v>
      </c>
      <c r="C50">
        <v>351.97</v>
      </c>
      <c r="D50" t="s">
        <v>6961</v>
      </c>
      <c r="E50">
        <v>351.97</v>
      </c>
      <c r="F50" t="s">
        <v>6961</v>
      </c>
      <c r="G50" s="220">
        <f t="shared" si="2"/>
        <v>351.97</v>
      </c>
      <c r="H50" s="220">
        <f t="shared" si="3"/>
        <v>351.97</v>
      </c>
      <c r="I50" s="221">
        <f>IF(A50="Total",VLOOKUP(B50,CORRESPONDANCE[#All],2,FALSE),I51)</f>
        <v>11</v>
      </c>
      <c r="J50" s="222" t="str">
        <f t="shared" si="0"/>
        <v>6</v>
      </c>
      <c r="K50" s="44" t="str">
        <f t="shared" si="1"/>
        <v>HTR8 - 64581000</v>
      </c>
      <c r="L50" s="44" t="str">
        <f>+VLOOKUP(K50,TL[],4,FALSE)</f>
        <v>12</v>
      </c>
    </row>
    <row r="51" spans="1:12" x14ac:dyDescent="0.2">
      <c r="A51" t="s">
        <v>6904</v>
      </c>
      <c r="B51" t="s">
        <v>6859</v>
      </c>
      <c r="C51" t="s">
        <v>6961</v>
      </c>
      <c r="D51">
        <v>1248.27</v>
      </c>
      <c r="E51" t="s">
        <v>6961</v>
      </c>
      <c r="F51">
        <v>1248.27</v>
      </c>
      <c r="G51" s="220">
        <f t="shared" si="2"/>
        <v>-1248.27</v>
      </c>
      <c r="H51" s="220">
        <f t="shared" si="3"/>
        <v>-1248.27</v>
      </c>
      <c r="I51" s="221">
        <f>IF(A51="Total",VLOOKUP(B51,CORRESPONDANCE[#All],2,FALSE),I52)</f>
        <v>11</v>
      </c>
      <c r="J51" s="222" t="str">
        <f t="shared" si="0"/>
        <v>7</v>
      </c>
      <c r="K51" s="44" t="str">
        <f t="shared" si="1"/>
        <v>HTR8 - 70810410</v>
      </c>
      <c r="L51" s="44" t="str">
        <f>+VLOOKUP(K51,TL[],4,FALSE)</f>
        <v>12</v>
      </c>
    </row>
    <row r="52" spans="1:12" x14ac:dyDescent="0.2">
      <c r="A52" t="s">
        <v>197</v>
      </c>
      <c r="B52" t="s">
        <v>2539</v>
      </c>
      <c r="C52">
        <v>3279.45</v>
      </c>
      <c r="D52" t="s">
        <v>6961</v>
      </c>
      <c r="E52">
        <v>3279.45</v>
      </c>
      <c r="F52" t="s">
        <v>6961</v>
      </c>
      <c r="G52" s="220">
        <f t="shared" si="2"/>
        <v>3279.45</v>
      </c>
      <c r="H52" s="220">
        <f t="shared" si="3"/>
        <v>3279.45</v>
      </c>
      <c r="I52" s="221">
        <f>IF(A52="Total",VLOOKUP(B52,CORRESPONDANCE[#All],2,FALSE),I53)</f>
        <v>11</v>
      </c>
      <c r="J52" s="222" t="str">
        <f t="shared" si="0"/>
        <v>T</v>
      </c>
      <c r="K52" s="44" t="s">
        <v>6942</v>
      </c>
      <c r="L52" s="44" t="str">
        <f>+VLOOKUP(K52,TL[],4,FALSE)</f>
        <v>13</v>
      </c>
    </row>
    <row r="53" spans="1:12" x14ac:dyDescent="0.2">
      <c r="A53" t="s">
        <v>3598</v>
      </c>
      <c r="B53" t="s">
        <v>2543</v>
      </c>
      <c r="C53" t="s">
        <v>6961</v>
      </c>
      <c r="D53">
        <v>1</v>
      </c>
      <c r="E53" t="s">
        <v>6961</v>
      </c>
      <c r="F53">
        <v>1</v>
      </c>
      <c r="G53" s="220">
        <f t="shared" si="2"/>
        <v>-1</v>
      </c>
      <c r="H53" s="220">
        <f t="shared" si="3"/>
        <v>-1</v>
      </c>
      <c r="I53" s="221">
        <f>IF(A53="Total",VLOOKUP(B53,CORRESPONDANCE[#All],2,FALSE),I54)</f>
        <v>15</v>
      </c>
      <c r="J53" s="222" t="str">
        <f t="shared" si="0"/>
        <v>6</v>
      </c>
      <c r="K53" s="44" t="str">
        <f t="shared" si="1"/>
        <v>HTR8 - 61522000</v>
      </c>
      <c r="L53" s="44" t="e">
        <f>+VLOOKUP(K53,TL[],4,FALSE)</f>
        <v>#N/A</v>
      </c>
    </row>
    <row r="54" spans="1:12" x14ac:dyDescent="0.2">
      <c r="A54" t="s">
        <v>2652</v>
      </c>
      <c r="B54" t="s">
        <v>240</v>
      </c>
      <c r="C54">
        <v>77.959999999999994</v>
      </c>
      <c r="D54" t="s">
        <v>6961</v>
      </c>
      <c r="E54">
        <v>77.959999999999994</v>
      </c>
      <c r="F54" t="s">
        <v>6961</v>
      </c>
      <c r="G54" s="220">
        <f t="shared" si="2"/>
        <v>77.959999999999994</v>
      </c>
      <c r="H54" s="220">
        <f t="shared" si="3"/>
        <v>77.959999999999994</v>
      </c>
      <c r="I54" s="221">
        <f>IF(A54="Total",VLOOKUP(B54,CORRESPONDANCE[#All],2,FALSE),I55)</f>
        <v>15</v>
      </c>
      <c r="J54" s="222" t="str">
        <f t="shared" si="0"/>
        <v>6</v>
      </c>
      <c r="K54" s="44" t="str">
        <f t="shared" si="1"/>
        <v>HTR8 - 61561500</v>
      </c>
      <c r="L54" s="44" t="str">
        <f>+VLOOKUP(K54,TL[],4,FALSE)</f>
        <v>16</v>
      </c>
    </row>
    <row r="55" spans="1:12" x14ac:dyDescent="0.2">
      <c r="A55" t="s">
        <v>197</v>
      </c>
      <c r="B55" t="s">
        <v>2544</v>
      </c>
      <c r="C55">
        <v>76.959999999999994</v>
      </c>
      <c r="D55" t="s">
        <v>6961</v>
      </c>
      <c r="E55">
        <v>76.959999999999994</v>
      </c>
      <c r="F55" t="s">
        <v>6961</v>
      </c>
      <c r="G55" s="220">
        <f t="shared" si="2"/>
        <v>76.959999999999994</v>
      </c>
      <c r="H55" s="220">
        <f t="shared" si="3"/>
        <v>76.959999999999994</v>
      </c>
      <c r="I55" s="221">
        <f>IF(A55="Total",VLOOKUP(B55,CORRESPONDANCE[#All],2,FALSE),I56)</f>
        <v>15</v>
      </c>
      <c r="J55" s="222" t="str">
        <f t="shared" si="0"/>
        <v>T</v>
      </c>
      <c r="K55" s="44" t="str">
        <f t="shared" si="1"/>
        <v>HTR8 - Total</v>
      </c>
      <c r="L55" s="44" t="e">
        <f>+VLOOKUP(K55,TL[],4,FALSE)</f>
        <v>#N/A</v>
      </c>
    </row>
    <row r="56" spans="1:12" x14ac:dyDescent="0.2">
      <c r="A56" t="s">
        <v>2653</v>
      </c>
      <c r="B56" t="s">
        <v>266</v>
      </c>
      <c r="C56">
        <v>44.34</v>
      </c>
      <c r="D56" t="s">
        <v>6961</v>
      </c>
      <c r="E56">
        <v>44.34</v>
      </c>
      <c r="F56" t="s">
        <v>6961</v>
      </c>
      <c r="G56" s="220">
        <f t="shared" si="2"/>
        <v>44.34</v>
      </c>
      <c r="H56" s="220">
        <f t="shared" si="3"/>
        <v>44.34</v>
      </c>
      <c r="I56" s="221">
        <f>IF(A56="Total",VLOOKUP(B56,CORRESPONDANCE[#All],2,FALSE),I57)</f>
        <v>16</v>
      </c>
      <c r="J56" s="222" t="str">
        <f t="shared" si="0"/>
        <v>6</v>
      </c>
      <c r="K56" s="44" t="str">
        <f t="shared" si="1"/>
        <v>HTR8 - 61562000</v>
      </c>
      <c r="L56" s="44" t="str">
        <f>+VLOOKUP(K56,TL[],4,FALSE)</f>
        <v>16</v>
      </c>
    </row>
    <row r="57" spans="1:12" x14ac:dyDescent="0.2">
      <c r="A57" t="s">
        <v>2654</v>
      </c>
      <c r="B57" t="s">
        <v>2408</v>
      </c>
      <c r="C57">
        <v>39</v>
      </c>
      <c r="D57" t="s">
        <v>6961</v>
      </c>
      <c r="E57">
        <v>39</v>
      </c>
      <c r="F57" t="s">
        <v>6961</v>
      </c>
      <c r="G57" s="220">
        <f t="shared" si="2"/>
        <v>39</v>
      </c>
      <c r="H57" s="220">
        <f t="shared" si="3"/>
        <v>39</v>
      </c>
      <c r="I57" s="221">
        <f>IF(A57="Total",VLOOKUP(B57,CORRESPONDANCE[#All],2,FALSE),I58)</f>
        <v>16</v>
      </c>
      <c r="J57" s="222" t="str">
        <f t="shared" si="0"/>
        <v>6</v>
      </c>
      <c r="K57" s="44" t="str">
        <f t="shared" si="1"/>
        <v>HTR8 - 61562400</v>
      </c>
      <c r="L57" s="44" t="str">
        <f>+VLOOKUP(K57,TL[],4,FALSE)</f>
        <v>16</v>
      </c>
    </row>
    <row r="58" spans="1:12" x14ac:dyDescent="0.2">
      <c r="A58" t="s">
        <v>197</v>
      </c>
      <c r="B58" t="s">
        <v>2545</v>
      </c>
      <c r="C58">
        <v>83.34</v>
      </c>
      <c r="D58" t="s">
        <v>6961</v>
      </c>
      <c r="E58">
        <v>83.34</v>
      </c>
      <c r="F58" t="s">
        <v>6961</v>
      </c>
      <c r="G58" s="220">
        <f t="shared" si="2"/>
        <v>83.34</v>
      </c>
      <c r="H58" s="220">
        <f t="shared" si="3"/>
        <v>83.34</v>
      </c>
      <c r="I58" s="221">
        <f>IF(A58="Total",VLOOKUP(B58,CORRESPONDANCE[#All],2,FALSE),I59)</f>
        <v>16</v>
      </c>
      <c r="J58" s="222" t="str">
        <f t="shared" si="0"/>
        <v>T</v>
      </c>
      <c r="K58" s="44" t="str">
        <f t="shared" si="1"/>
        <v>HTR8 - Total</v>
      </c>
      <c r="L58" s="44" t="e">
        <f>+VLOOKUP(K58,TL[],4,FALSE)</f>
        <v>#N/A</v>
      </c>
    </row>
    <row r="59" spans="1:12" x14ac:dyDescent="0.2">
      <c r="A59" t="s">
        <v>2656</v>
      </c>
      <c r="B59" t="s">
        <v>2283</v>
      </c>
      <c r="C59">
        <v>175.25</v>
      </c>
      <c r="D59" t="s">
        <v>6961</v>
      </c>
      <c r="E59">
        <v>175.25</v>
      </c>
      <c r="F59" t="s">
        <v>6961</v>
      </c>
      <c r="G59" s="220">
        <f t="shared" si="2"/>
        <v>175.25</v>
      </c>
      <c r="H59" s="220">
        <f t="shared" si="3"/>
        <v>175.25</v>
      </c>
      <c r="I59" s="221">
        <f>IF(A59="Total",VLOOKUP(B59,CORRESPONDANCE[#All],2,FALSE),I60)</f>
        <v>17</v>
      </c>
      <c r="J59" s="222" t="str">
        <f t="shared" si="0"/>
        <v>6</v>
      </c>
      <c r="K59" s="44" t="str">
        <f t="shared" si="1"/>
        <v>HTR8 - 62780100</v>
      </c>
      <c r="L59" s="44" t="str">
        <f>+VLOOKUP(K59,TL[],4,FALSE)</f>
        <v>37</v>
      </c>
    </row>
    <row r="60" spans="1:12" x14ac:dyDescent="0.2">
      <c r="A60" t="s">
        <v>2657</v>
      </c>
      <c r="B60" t="s">
        <v>2399</v>
      </c>
      <c r="C60">
        <v>985.79</v>
      </c>
      <c r="D60" t="s">
        <v>6961</v>
      </c>
      <c r="E60">
        <v>985.79</v>
      </c>
      <c r="F60" t="s">
        <v>6961</v>
      </c>
      <c r="G60" s="220">
        <f t="shared" si="2"/>
        <v>985.79</v>
      </c>
      <c r="H60" s="220">
        <f t="shared" si="3"/>
        <v>985.79</v>
      </c>
      <c r="I60" s="221">
        <f>IF(A60="Total",VLOOKUP(B60,CORRESPONDANCE[#All],2,FALSE),I61)</f>
        <v>17</v>
      </c>
      <c r="J60" s="222" t="str">
        <f t="shared" si="0"/>
        <v>6</v>
      </c>
      <c r="K60" s="44" t="str">
        <f t="shared" si="1"/>
        <v>HTR8 - 62780200</v>
      </c>
      <c r="L60" s="44" t="str">
        <f>+VLOOKUP(K60,TL[],4,FALSE)</f>
        <v>37</v>
      </c>
    </row>
    <row r="61" spans="1:12" x14ac:dyDescent="0.2">
      <c r="A61" t="s">
        <v>2658</v>
      </c>
      <c r="B61" t="s">
        <v>263</v>
      </c>
      <c r="C61">
        <v>846.99</v>
      </c>
      <c r="D61" t="s">
        <v>6961</v>
      </c>
      <c r="E61">
        <v>846.99</v>
      </c>
      <c r="F61" t="s">
        <v>6961</v>
      </c>
      <c r="G61" s="220">
        <f t="shared" si="2"/>
        <v>846.99</v>
      </c>
      <c r="H61" s="220">
        <f t="shared" si="3"/>
        <v>846.99</v>
      </c>
      <c r="I61" s="221">
        <f>IF(A61="Total",VLOOKUP(B61,CORRESPONDANCE[#All],2,FALSE),I62)</f>
        <v>17</v>
      </c>
      <c r="J61" s="222" t="str">
        <f t="shared" si="0"/>
        <v>6</v>
      </c>
      <c r="K61" s="44" t="str">
        <f t="shared" si="1"/>
        <v>HTR8 - 62780300</v>
      </c>
      <c r="L61" s="44" t="str">
        <f>+VLOOKUP(K61,TL[],4,FALSE)</f>
        <v>37</v>
      </c>
    </row>
    <row r="62" spans="1:12" x14ac:dyDescent="0.2">
      <c r="A62" t="s">
        <v>2659</v>
      </c>
      <c r="B62" t="s">
        <v>244</v>
      </c>
      <c r="C62">
        <v>137.13</v>
      </c>
      <c r="D62" t="s">
        <v>6961</v>
      </c>
      <c r="E62">
        <v>137.13</v>
      </c>
      <c r="F62" t="s">
        <v>6961</v>
      </c>
      <c r="G62" s="220">
        <f t="shared" si="2"/>
        <v>137.13</v>
      </c>
      <c r="H62" s="220">
        <f t="shared" si="3"/>
        <v>137.13</v>
      </c>
      <c r="I62" s="221">
        <f>IF(A62="Total",VLOOKUP(B62,CORRESPONDANCE[#All],2,FALSE),I63)</f>
        <v>17</v>
      </c>
      <c r="J62" s="222" t="str">
        <f t="shared" si="0"/>
        <v>6</v>
      </c>
      <c r="K62" s="44" t="str">
        <f t="shared" si="1"/>
        <v>HTR8 - 62780400</v>
      </c>
      <c r="L62" s="44" t="str">
        <f>+VLOOKUP(K62,TL[],4,FALSE)</f>
        <v>37</v>
      </c>
    </row>
    <row r="63" spans="1:12" x14ac:dyDescent="0.2">
      <c r="A63" t="s">
        <v>197</v>
      </c>
      <c r="B63" t="s">
        <v>2546</v>
      </c>
      <c r="C63">
        <v>2145.16</v>
      </c>
      <c r="D63" t="s">
        <v>6961</v>
      </c>
      <c r="E63">
        <v>2145.16</v>
      </c>
      <c r="F63" t="s">
        <v>6961</v>
      </c>
      <c r="G63" s="220">
        <f t="shared" si="2"/>
        <v>2145.16</v>
      </c>
      <c r="H63" s="220">
        <f t="shared" si="3"/>
        <v>2145.16</v>
      </c>
      <c r="I63" s="221">
        <f>IF(A63="Total",VLOOKUP(B63,CORRESPONDANCE[#All],2,FALSE),I64)</f>
        <v>17</v>
      </c>
      <c r="J63" s="222" t="str">
        <f t="shared" si="0"/>
        <v>T</v>
      </c>
      <c r="K63" s="44" t="str">
        <f t="shared" si="1"/>
        <v>HTR8 - Total</v>
      </c>
      <c r="L63" s="44" t="e">
        <f>+VLOOKUP(K63,TL[],4,FALSE)</f>
        <v>#N/A</v>
      </c>
    </row>
    <row r="64" spans="1:12" x14ac:dyDescent="0.2">
      <c r="A64" t="s">
        <v>2660</v>
      </c>
      <c r="B64" t="s">
        <v>1153</v>
      </c>
      <c r="C64">
        <v>150.06</v>
      </c>
      <c r="D64" t="s">
        <v>6961</v>
      </c>
      <c r="E64">
        <v>150.06</v>
      </c>
      <c r="F64" t="s">
        <v>6961</v>
      </c>
      <c r="G64" s="220">
        <f t="shared" si="2"/>
        <v>150.06</v>
      </c>
      <c r="H64" s="220">
        <f t="shared" si="3"/>
        <v>150.06</v>
      </c>
      <c r="I64" s="221">
        <f>IF(A64="Total",VLOOKUP(B64,CORRESPONDANCE[#All],2,FALSE),I65)</f>
        <v>18</v>
      </c>
      <c r="J64" s="222" t="str">
        <f t="shared" si="0"/>
        <v>6</v>
      </c>
      <c r="K64" s="44" t="str">
        <f t="shared" si="1"/>
        <v>HTR8 - 60630000</v>
      </c>
      <c r="L64" s="44" t="str">
        <f>+VLOOKUP(K64,TL[],4,FALSE)</f>
        <v>19</v>
      </c>
    </row>
    <row r="65" spans="1:12" x14ac:dyDescent="0.2">
      <c r="A65" t="s">
        <v>197</v>
      </c>
      <c r="B65" t="s">
        <v>2547</v>
      </c>
      <c r="C65">
        <v>150.06</v>
      </c>
      <c r="D65" t="s">
        <v>6961</v>
      </c>
      <c r="E65">
        <v>150.06</v>
      </c>
      <c r="F65" t="s">
        <v>6961</v>
      </c>
      <c r="G65" s="220">
        <f t="shared" si="2"/>
        <v>150.06</v>
      </c>
      <c r="H65" s="220">
        <f t="shared" si="3"/>
        <v>150.06</v>
      </c>
      <c r="I65" s="221">
        <f>IF(A65="Total",VLOOKUP(B65,CORRESPONDANCE[#All],2,FALSE),I66)</f>
        <v>18</v>
      </c>
      <c r="J65" s="222" t="str">
        <f t="shared" si="0"/>
        <v>T</v>
      </c>
      <c r="K65" s="44" t="str">
        <f t="shared" si="1"/>
        <v>HTR8 - Total</v>
      </c>
      <c r="L65" s="44" t="e">
        <f>+VLOOKUP(K65,TL[],4,FALSE)</f>
        <v>#N/A</v>
      </c>
    </row>
    <row r="66" spans="1:12" x14ac:dyDescent="0.2">
      <c r="A66" t="s">
        <v>2661</v>
      </c>
      <c r="B66" t="s">
        <v>7030</v>
      </c>
      <c r="C66">
        <v>170</v>
      </c>
      <c r="D66" t="s">
        <v>6961</v>
      </c>
      <c r="E66">
        <v>170</v>
      </c>
      <c r="F66" t="s">
        <v>6961</v>
      </c>
      <c r="G66" s="220">
        <f t="shared" si="2"/>
        <v>170</v>
      </c>
      <c r="H66" s="220">
        <f t="shared" si="3"/>
        <v>170</v>
      </c>
      <c r="I66" s="221">
        <f>IF(A66="Total",VLOOKUP(B66,CORRESPONDANCE[#All],2,FALSE),I67)</f>
        <v>19</v>
      </c>
      <c r="J66" s="222" t="str">
        <f t="shared" si="0"/>
        <v>6</v>
      </c>
      <c r="K66" s="44" t="str">
        <f t="shared" si="1"/>
        <v>HTR8 - 61101200</v>
      </c>
      <c r="L66" s="44" t="str">
        <f>+VLOOKUP(K66,TL[],4,FALSE)</f>
        <v>32</v>
      </c>
    </row>
    <row r="67" spans="1:12" x14ac:dyDescent="0.2">
      <c r="A67" t="s">
        <v>2663</v>
      </c>
      <c r="B67" t="s">
        <v>253</v>
      </c>
      <c r="C67">
        <v>192.8</v>
      </c>
      <c r="D67" t="s">
        <v>6961</v>
      </c>
      <c r="E67">
        <v>192.8</v>
      </c>
      <c r="F67" t="s">
        <v>6961</v>
      </c>
      <c r="G67" s="220">
        <f t="shared" si="2"/>
        <v>192.8</v>
      </c>
      <c r="H67" s="220">
        <f t="shared" si="3"/>
        <v>192.8</v>
      </c>
      <c r="I67" s="221">
        <f>IF(A67="Total",VLOOKUP(B67,CORRESPONDANCE[#All],2,FALSE),I68)</f>
        <v>19</v>
      </c>
      <c r="J67" s="222" t="str">
        <f t="shared" ref="J67:J130" si="4">LEFT(A67,1)</f>
        <v>6</v>
      </c>
      <c r="K67" s="44" t="str">
        <f t="shared" ref="K67:K130" si="5">"HTR8"&amp;" - "&amp;A67</f>
        <v>HTR8 - 61321000</v>
      </c>
      <c r="L67" s="44" t="str">
        <f>+VLOOKUP(K67,TL[],4,FALSE)</f>
        <v>16</v>
      </c>
    </row>
    <row r="68" spans="1:12" x14ac:dyDescent="0.2">
      <c r="A68" t="s">
        <v>2664</v>
      </c>
      <c r="B68" t="s">
        <v>2227</v>
      </c>
      <c r="C68">
        <v>107.57</v>
      </c>
      <c r="D68" t="s">
        <v>6961</v>
      </c>
      <c r="E68">
        <v>107.57</v>
      </c>
      <c r="F68" t="s">
        <v>6961</v>
      </c>
      <c r="G68" s="220">
        <f t="shared" si="2"/>
        <v>107.57</v>
      </c>
      <c r="H68" s="220">
        <f t="shared" si="3"/>
        <v>107.57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HTR8 - 61323000</v>
      </c>
      <c r="L68" s="44" t="str">
        <f>+VLOOKUP(K68,TL[],4,FALSE)</f>
        <v>16</v>
      </c>
    </row>
    <row r="69" spans="1:12" x14ac:dyDescent="0.2">
      <c r="A69" t="s">
        <v>2665</v>
      </c>
      <c r="B69" t="s">
        <v>1568</v>
      </c>
      <c r="C69">
        <v>46</v>
      </c>
      <c r="D69" t="s">
        <v>6961</v>
      </c>
      <c r="E69">
        <v>46</v>
      </c>
      <c r="F69" t="s">
        <v>6961</v>
      </c>
      <c r="G69" s="220">
        <f t="shared" si="2"/>
        <v>46</v>
      </c>
      <c r="H69" s="220">
        <f t="shared" si="3"/>
        <v>46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HTR8 - 61324000</v>
      </c>
      <c r="L69" s="44" t="str">
        <f>+VLOOKUP(K69,TL[],4,FALSE)</f>
        <v>16</v>
      </c>
    </row>
    <row r="70" spans="1:12" x14ac:dyDescent="0.2">
      <c r="A70" t="s">
        <v>2666</v>
      </c>
      <c r="B70" t="s">
        <v>486</v>
      </c>
      <c r="C70">
        <v>485</v>
      </c>
      <c r="D70" t="s">
        <v>6961</v>
      </c>
      <c r="E70">
        <v>485</v>
      </c>
      <c r="F70" t="s">
        <v>6961</v>
      </c>
      <c r="G70" s="220">
        <f t="shared" ref="G70:G133" si="6">SUM(C70)-SUM(D70)</f>
        <v>485</v>
      </c>
      <c r="H70" s="220">
        <f t="shared" ref="H70:H133" si="7">SUM(E70)-SUM(F70)</f>
        <v>485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HTR8 - 61560000</v>
      </c>
      <c r="L70" s="44" t="str">
        <f>+VLOOKUP(K70,TL[],4,FALSE)</f>
        <v>16</v>
      </c>
    </row>
    <row r="71" spans="1:12" x14ac:dyDescent="0.2">
      <c r="A71" t="s">
        <v>2667</v>
      </c>
      <c r="B71" t="s">
        <v>234</v>
      </c>
      <c r="C71">
        <v>27.5</v>
      </c>
      <c r="D71" t="s">
        <v>6961</v>
      </c>
      <c r="E71">
        <v>27.5</v>
      </c>
      <c r="F71" t="s">
        <v>6961</v>
      </c>
      <c r="G71" s="220">
        <f t="shared" si="6"/>
        <v>27.5</v>
      </c>
      <c r="H71" s="220">
        <f t="shared" si="7"/>
        <v>27.5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HTR8 - 61561000</v>
      </c>
      <c r="L71" s="44" t="str">
        <f>+VLOOKUP(K71,TL[],4,FALSE)</f>
        <v>16</v>
      </c>
    </row>
    <row r="72" spans="1:12" x14ac:dyDescent="0.2">
      <c r="A72" t="s">
        <v>2668</v>
      </c>
      <c r="B72" t="s">
        <v>211</v>
      </c>
      <c r="C72">
        <v>349</v>
      </c>
      <c r="D72" t="s">
        <v>6961</v>
      </c>
      <c r="E72">
        <v>349</v>
      </c>
      <c r="F72" t="s">
        <v>6961</v>
      </c>
      <c r="G72" s="220">
        <f t="shared" si="6"/>
        <v>349</v>
      </c>
      <c r="H72" s="220">
        <f t="shared" si="7"/>
        <v>349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HTR8 - 61561100</v>
      </c>
      <c r="L72" s="44" t="str">
        <f>+VLOOKUP(K72,TL[],4,FALSE)</f>
        <v>16</v>
      </c>
    </row>
    <row r="73" spans="1:12" x14ac:dyDescent="0.2">
      <c r="A73" t="s">
        <v>2669</v>
      </c>
      <c r="B73" t="s">
        <v>1185</v>
      </c>
      <c r="C73">
        <v>119</v>
      </c>
      <c r="D73" t="s">
        <v>6961</v>
      </c>
      <c r="E73">
        <v>119</v>
      </c>
      <c r="F73" t="s">
        <v>6961</v>
      </c>
      <c r="G73" s="220">
        <f t="shared" si="6"/>
        <v>119</v>
      </c>
      <c r="H73" s="220">
        <f t="shared" si="7"/>
        <v>119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HTR8 - 61561200</v>
      </c>
      <c r="L73" s="44" t="str">
        <f>+VLOOKUP(K73,TL[],4,FALSE)</f>
        <v>16</v>
      </c>
    </row>
    <row r="74" spans="1:12" x14ac:dyDescent="0.2">
      <c r="A74" t="s">
        <v>2670</v>
      </c>
      <c r="B74" t="s">
        <v>239</v>
      </c>
      <c r="C74">
        <v>349</v>
      </c>
      <c r="D74" t="s">
        <v>6961</v>
      </c>
      <c r="E74">
        <v>349</v>
      </c>
      <c r="F74" t="s">
        <v>6961</v>
      </c>
      <c r="G74" s="220">
        <f t="shared" si="6"/>
        <v>349</v>
      </c>
      <c r="H74" s="220">
        <f t="shared" si="7"/>
        <v>349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HTR8 - 61561300</v>
      </c>
      <c r="L74" s="44" t="str">
        <f>+VLOOKUP(K74,TL[],4,FALSE)</f>
        <v>16</v>
      </c>
    </row>
    <row r="75" spans="1:12" x14ac:dyDescent="0.2">
      <c r="A75" t="s">
        <v>2671</v>
      </c>
      <c r="B75" t="s">
        <v>229</v>
      </c>
      <c r="C75">
        <v>350</v>
      </c>
      <c r="D75" t="s">
        <v>6961</v>
      </c>
      <c r="E75">
        <v>350</v>
      </c>
      <c r="F75" t="s">
        <v>6961</v>
      </c>
      <c r="G75" s="220">
        <f t="shared" si="6"/>
        <v>350</v>
      </c>
      <c r="H75" s="220">
        <f t="shared" si="7"/>
        <v>350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HTR8 - 61561600</v>
      </c>
      <c r="L75" s="44" t="str">
        <f>+VLOOKUP(K75,TL[],4,FALSE)</f>
        <v>16</v>
      </c>
    </row>
    <row r="76" spans="1:12" x14ac:dyDescent="0.2">
      <c r="A76" t="s">
        <v>2672</v>
      </c>
      <c r="B76" t="s">
        <v>233</v>
      </c>
      <c r="C76">
        <v>67.2</v>
      </c>
      <c r="D76" t="s">
        <v>6961</v>
      </c>
      <c r="E76">
        <v>67.2</v>
      </c>
      <c r="F76" t="s">
        <v>6961</v>
      </c>
      <c r="G76" s="220">
        <f t="shared" si="6"/>
        <v>67.2</v>
      </c>
      <c r="H76" s="220">
        <f t="shared" si="7"/>
        <v>67.2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HTR8 - 61561800</v>
      </c>
      <c r="L76" s="44" t="str">
        <f>+VLOOKUP(K76,TL[],4,FALSE)</f>
        <v>16</v>
      </c>
    </row>
    <row r="77" spans="1:12" x14ac:dyDescent="0.2">
      <c r="A77" t="s">
        <v>2673</v>
      </c>
      <c r="B77" t="s">
        <v>7031</v>
      </c>
      <c r="C77">
        <v>1210</v>
      </c>
      <c r="D77" t="s">
        <v>6961</v>
      </c>
      <c r="E77">
        <v>1210</v>
      </c>
      <c r="F77" t="s">
        <v>6961</v>
      </c>
      <c r="G77" s="220">
        <f t="shared" si="6"/>
        <v>1210</v>
      </c>
      <c r="H77" s="220">
        <f t="shared" si="7"/>
        <v>1210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HTR8 - 61562100</v>
      </c>
      <c r="L77" s="44" t="str">
        <f>+VLOOKUP(K77,TL[],4,FALSE)</f>
        <v>16</v>
      </c>
    </row>
    <row r="78" spans="1:12" x14ac:dyDescent="0.2">
      <c r="A78" t="s">
        <v>3606</v>
      </c>
      <c r="B78" t="s">
        <v>280</v>
      </c>
      <c r="C78">
        <v>99</v>
      </c>
      <c r="D78" t="s">
        <v>6961</v>
      </c>
      <c r="E78">
        <v>99</v>
      </c>
      <c r="F78" t="s">
        <v>6961</v>
      </c>
      <c r="G78" s="220">
        <f t="shared" si="6"/>
        <v>99</v>
      </c>
      <c r="H78" s="220">
        <f t="shared" si="7"/>
        <v>99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HTR8 - 61562200</v>
      </c>
      <c r="L78" s="44" t="str">
        <f>+VLOOKUP(K78,TL[],4,FALSE)</f>
        <v>16</v>
      </c>
    </row>
    <row r="79" spans="1:12" x14ac:dyDescent="0.2">
      <c r="A79" t="s">
        <v>2674</v>
      </c>
      <c r="B79" t="s">
        <v>2675</v>
      </c>
      <c r="C79">
        <v>668.42</v>
      </c>
      <c r="D79" t="s">
        <v>6961</v>
      </c>
      <c r="E79">
        <v>668.42</v>
      </c>
      <c r="F79" t="s">
        <v>6961</v>
      </c>
      <c r="G79" s="220">
        <f t="shared" si="6"/>
        <v>668.42</v>
      </c>
      <c r="H79" s="220">
        <f t="shared" si="7"/>
        <v>668.42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HTR8 - 61562300</v>
      </c>
      <c r="L79" s="44" t="str">
        <f>+VLOOKUP(K79,TL[],4,FALSE)</f>
        <v>16</v>
      </c>
    </row>
    <row r="80" spans="1:12" x14ac:dyDescent="0.2">
      <c r="A80" t="s">
        <v>2676</v>
      </c>
      <c r="B80" t="s">
        <v>2409</v>
      </c>
      <c r="C80">
        <v>63.12</v>
      </c>
      <c r="D80" t="s">
        <v>6961</v>
      </c>
      <c r="E80">
        <v>63.12</v>
      </c>
      <c r="F80" t="s">
        <v>6961</v>
      </c>
      <c r="G80" s="220">
        <f t="shared" si="6"/>
        <v>63.12</v>
      </c>
      <c r="H80" s="220">
        <f t="shared" si="7"/>
        <v>63.12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HTR8 - 61562500</v>
      </c>
      <c r="L80" s="44" t="str">
        <f>+VLOOKUP(K80,TL[],4,FALSE)</f>
        <v>16</v>
      </c>
    </row>
    <row r="81" spans="1:12" x14ac:dyDescent="0.2">
      <c r="A81" t="s">
        <v>2677</v>
      </c>
      <c r="B81" t="s">
        <v>7032</v>
      </c>
      <c r="C81">
        <v>61.5</v>
      </c>
      <c r="D81" t="s">
        <v>6961</v>
      </c>
      <c r="E81">
        <v>61.5</v>
      </c>
      <c r="F81" t="s">
        <v>6961</v>
      </c>
      <c r="G81" s="220">
        <f t="shared" si="6"/>
        <v>61.5</v>
      </c>
      <c r="H81" s="220">
        <f t="shared" si="7"/>
        <v>61.5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HTR8 - 61562800</v>
      </c>
      <c r="L81" s="44" t="str">
        <f>+VLOOKUP(K81,TL[],4,FALSE)</f>
        <v>16</v>
      </c>
    </row>
    <row r="82" spans="1:12" x14ac:dyDescent="0.2">
      <c r="A82" t="s">
        <v>2678</v>
      </c>
      <c r="B82" t="s">
        <v>1319</v>
      </c>
      <c r="C82">
        <v>120</v>
      </c>
      <c r="D82" t="s">
        <v>6961</v>
      </c>
      <c r="E82">
        <v>120</v>
      </c>
      <c r="F82" t="s">
        <v>6961</v>
      </c>
      <c r="G82" s="220">
        <f t="shared" si="6"/>
        <v>120</v>
      </c>
      <c r="H82" s="220">
        <f t="shared" si="7"/>
        <v>120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HTR8 - 61563000</v>
      </c>
      <c r="L82" s="44" t="str">
        <f>+VLOOKUP(K82,TL[],4,FALSE)</f>
        <v>16</v>
      </c>
    </row>
    <row r="83" spans="1:12" x14ac:dyDescent="0.2">
      <c r="A83" t="s">
        <v>2679</v>
      </c>
      <c r="B83" t="s">
        <v>2410</v>
      </c>
      <c r="C83">
        <v>20</v>
      </c>
      <c r="D83" t="s">
        <v>6961</v>
      </c>
      <c r="E83">
        <v>20</v>
      </c>
      <c r="F83" t="s">
        <v>6961</v>
      </c>
      <c r="G83" s="220">
        <f t="shared" si="6"/>
        <v>20</v>
      </c>
      <c r="H83" s="220">
        <f t="shared" si="7"/>
        <v>20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HTR8 - 61563200</v>
      </c>
      <c r="L83" s="44" t="str">
        <f>+VLOOKUP(K83,TL[],4,FALSE)</f>
        <v>16</v>
      </c>
    </row>
    <row r="84" spans="1:12" x14ac:dyDescent="0.2">
      <c r="A84" t="s">
        <v>2680</v>
      </c>
      <c r="B84" t="s">
        <v>2241</v>
      </c>
      <c r="C84">
        <v>137.33000000000001</v>
      </c>
      <c r="D84" t="s">
        <v>6961</v>
      </c>
      <c r="E84">
        <v>137.33000000000001</v>
      </c>
      <c r="F84" t="s">
        <v>6961</v>
      </c>
      <c r="G84" s="220">
        <f t="shared" si="6"/>
        <v>137.33000000000001</v>
      </c>
      <c r="H84" s="220">
        <f t="shared" si="7"/>
        <v>137.33000000000001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HTR8 - 61563500</v>
      </c>
      <c r="L84" s="44" t="str">
        <f>+VLOOKUP(K84,TL[],4,FALSE)</f>
        <v>16</v>
      </c>
    </row>
    <row r="85" spans="1:12" x14ac:dyDescent="0.2">
      <c r="A85" t="s">
        <v>2681</v>
      </c>
      <c r="B85" t="s">
        <v>2411</v>
      </c>
      <c r="C85">
        <v>479</v>
      </c>
      <c r="D85" t="s">
        <v>6961</v>
      </c>
      <c r="E85">
        <v>479</v>
      </c>
      <c r="F85" t="s">
        <v>6961</v>
      </c>
      <c r="G85" s="220">
        <f t="shared" si="6"/>
        <v>479</v>
      </c>
      <c r="H85" s="220">
        <f t="shared" si="7"/>
        <v>479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HTR8 - 61563600</v>
      </c>
      <c r="L85" s="44" t="str">
        <f>+VLOOKUP(K85,TL[],4,FALSE)</f>
        <v>16</v>
      </c>
    </row>
    <row r="86" spans="1:12" x14ac:dyDescent="0.2">
      <c r="A86" t="s">
        <v>2682</v>
      </c>
      <c r="B86" t="s">
        <v>2412</v>
      </c>
      <c r="C86">
        <v>240</v>
      </c>
      <c r="D86" t="s">
        <v>6961</v>
      </c>
      <c r="E86">
        <v>240</v>
      </c>
      <c r="F86" t="s">
        <v>6961</v>
      </c>
      <c r="G86" s="220">
        <f t="shared" si="6"/>
        <v>240</v>
      </c>
      <c r="H86" s="220">
        <f t="shared" si="7"/>
        <v>240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HTR8 - 61563700</v>
      </c>
      <c r="L86" s="44" t="str">
        <f>+VLOOKUP(K86,TL[],4,FALSE)</f>
        <v>16</v>
      </c>
    </row>
    <row r="87" spans="1:12" x14ac:dyDescent="0.2">
      <c r="A87" t="s">
        <v>2683</v>
      </c>
      <c r="B87" t="s">
        <v>2413</v>
      </c>
      <c r="C87">
        <v>25</v>
      </c>
      <c r="D87" t="s">
        <v>6961</v>
      </c>
      <c r="E87">
        <v>25</v>
      </c>
      <c r="F87" t="s">
        <v>6961</v>
      </c>
      <c r="G87" s="220">
        <f t="shared" si="6"/>
        <v>25</v>
      </c>
      <c r="H87" s="220">
        <f t="shared" si="7"/>
        <v>25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HTR8 - 61563800</v>
      </c>
      <c r="L87" s="44" t="str">
        <f>+VLOOKUP(K87,TL[],4,FALSE)</f>
        <v>16</v>
      </c>
    </row>
    <row r="88" spans="1:12" x14ac:dyDescent="0.2">
      <c r="A88" t="s">
        <v>3614</v>
      </c>
      <c r="B88" t="s">
        <v>6975</v>
      </c>
      <c r="C88">
        <v>30</v>
      </c>
      <c r="D88" t="s">
        <v>6961</v>
      </c>
      <c r="E88">
        <v>30</v>
      </c>
      <c r="F88" t="s">
        <v>6961</v>
      </c>
      <c r="G88" s="220">
        <f t="shared" si="6"/>
        <v>30</v>
      </c>
      <c r="H88" s="220">
        <f t="shared" si="7"/>
        <v>30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HTR8 - 61563900</v>
      </c>
      <c r="L88" s="44" t="e">
        <f>+VLOOKUP(K88,TL[],4,FALSE)</f>
        <v>#N/A</v>
      </c>
    </row>
    <row r="89" spans="1:12" x14ac:dyDescent="0.2">
      <c r="A89" t="s">
        <v>2684</v>
      </c>
      <c r="B89" t="s">
        <v>1486</v>
      </c>
      <c r="C89">
        <v>120</v>
      </c>
      <c r="D89" t="s">
        <v>6961</v>
      </c>
      <c r="E89">
        <v>120</v>
      </c>
      <c r="F89" t="s">
        <v>6961</v>
      </c>
      <c r="G89" s="220">
        <f t="shared" si="6"/>
        <v>120</v>
      </c>
      <c r="H89" s="220">
        <f t="shared" si="7"/>
        <v>120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HTR8 - 61564100</v>
      </c>
      <c r="L89" s="44" t="str">
        <f>+VLOOKUP(K89,TL[],4,FALSE)</f>
        <v>16</v>
      </c>
    </row>
    <row r="90" spans="1:12" x14ac:dyDescent="0.2">
      <c r="A90" t="s">
        <v>2685</v>
      </c>
      <c r="B90" t="s">
        <v>2240</v>
      </c>
      <c r="C90">
        <v>119</v>
      </c>
      <c r="D90" t="s">
        <v>6961</v>
      </c>
      <c r="E90">
        <v>119</v>
      </c>
      <c r="F90" t="s">
        <v>6961</v>
      </c>
      <c r="G90" s="220">
        <f t="shared" si="6"/>
        <v>119</v>
      </c>
      <c r="H90" s="220">
        <f t="shared" si="7"/>
        <v>119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HTR8 - 61564300</v>
      </c>
      <c r="L90" s="44" t="str">
        <f>+VLOOKUP(K90,TL[],4,FALSE)</f>
        <v>16</v>
      </c>
    </row>
    <row r="91" spans="1:12" x14ac:dyDescent="0.2">
      <c r="A91" t="s">
        <v>2686</v>
      </c>
      <c r="B91" t="s">
        <v>1482</v>
      </c>
      <c r="C91">
        <v>19</v>
      </c>
      <c r="D91" t="s">
        <v>6961</v>
      </c>
      <c r="E91">
        <v>19</v>
      </c>
      <c r="F91" t="s">
        <v>6961</v>
      </c>
      <c r="G91" s="220">
        <f t="shared" si="6"/>
        <v>19</v>
      </c>
      <c r="H91" s="220">
        <f t="shared" si="7"/>
        <v>19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HTR8 - 61564600</v>
      </c>
      <c r="L91" s="44" t="str">
        <f>+VLOOKUP(K91,TL[],4,FALSE)</f>
        <v>16</v>
      </c>
    </row>
    <row r="92" spans="1:12" x14ac:dyDescent="0.2">
      <c r="A92" t="s">
        <v>2687</v>
      </c>
      <c r="B92" t="s">
        <v>6860</v>
      </c>
      <c r="C92">
        <v>73.16</v>
      </c>
      <c r="D92" t="s">
        <v>6961</v>
      </c>
      <c r="E92">
        <v>73.16</v>
      </c>
      <c r="F92" t="s">
        <v>6961</v>
      </c>
      <c r="G92" s="220">
        <f t="shared" si="6"/>
        <v>73.16</v>
      </c>
      <c r="H92" s="220">
        <f t="shared" si="7"/>
        <v>73.16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HTR8 - 61564700</v>
      </c>
      <c r="L92" s="44" t="str">
        <f>+VLOOKUP(K92,TL[],4,FALSE)</f>
        <v>16</v>
      </c>
    </row>
    <row r="93" spans="1:12" x14ac:dyDescent="0.2">
      <c r="A93" t="s">
        <v>2688</v>
      </c>
      <c r="B93" t="s">
        <v>7033</v>
      </c>
      <c r="C93">
        <v>168</v>
      </c>
      <c r="D93" t="s">
        <v>6961</v>
      </c>
      <c r="E93">
        <v>168</v>
      </c>
      <c r="F93" t="s">
        <v>6961</v>
      </c>
      <c r="G93" s="220">
        <f t="shared" si="6"/>
        <v>168</v>
      </c>
      <c r="H93" s="220">
        <f t="shared" si="7"/>
        <v>168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HTR8 - 61564800</v>
      </c>
      <c r="L93" s="44" t="str">
        <f>+VLOOKUP(K93,TL[],4,FALSE)</f>
        <v>16</v>
      </c>
    </row>
    <row r="94" spans="1:12" x14ac:dyDescent="0.2">
      <c r="A94" t="s">
        <v>2689</v>
      </c>
      <c r="B94" t="s">
        <v>2758</v>
      </c>
      <c r="C94">
        <v>46.67</v>
      </c>
      <c r="D94" t="s">
        <v>6961</v>
      </c>
      <c r="E94">
        <v>46.67</v>
      </c>
      <c r="F94" t="s">
        <v>6961</v>
      </c>
      <c r="G94" s="220">
        <f t="shared" si="6"/>
        <v>46.67</v>
      </c>
      <c r="H94" s="220">
        <f t="shared" si="7"/>
        <v>46.67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HTR8 - 61564900</v>
      </c>
      <c r="L94" s="44" t="str">
        <f>+VLOOKUP(K94,TL[],4,FALSE)</f>
        <v>16</v>
      </c>
    </row>
    <row r="95" spans="1:12" x14ac:dyDescent="0.2">
      <c r="A95" t="s">
        <v>6140</v>
      </c>
      <c r="B95" t="s">
        <v>7092</v>
      </c>
      <c r="C95">
        <v>76.7</v>
      </c>
      <c r="D95" t="s">
        <v>6961</v>
      </c>
      <c r="E95">
        <v>76.7</v>
      </c>
      <c r="F95" t="s">
        <v>6961</v>
      </c>
      <c r="G95" s="220">
        <f t="shared" si="6"/>
        <v>76.7</v>
      </c>
      <c r="H95" s="220">
        <f t="shared" si="7"/>
        <v>76.7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HTR8 - 61565100</v>
      </c>
      <c r="L95" s="44" t="e">
        <f>+VLOOKUP(K95,TL[],4,FALSE)</f>
        <v>#N/A</v>
      </c>
    </row>
    <row r="96" spans="1:12" x14ac:dyDescent="0.2">
      <c r="A96" t="s">
        <v>6141</v>
      </c>
      <c r="B96" t="s">
        <v>7126</v>
      </c>
      <c r="C96">
        <v>162.66999999999999</v>
      </c>
      <c r="D96" t="s">
        <v>6961</v>
      </c>
      <c r="E96">
        <v>162.66999999999999</v>
      </c>
      <c r="F96" t="s">
        <v>6961</v>
      </c>
      <c r="G96" s="220">
        <f t="shared" si="6"/>
        <v>162.66999999999999</v>
      </c>
      <c r="H96" s="220">
        <f t="shared" si="7"/>
        <v>162.66999999999999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HTR8 - 61565200</v>
      </c>
      <c r="L96" s="44" t="e">
        <f>+VLOOKUP(K96,TL[],4,FALSE)</f>
        <v>#N/A</v>
      </c>
    </row>
    <row r="97" spans="1:12" x14ac:dyDescent="0.2">
      <c r="A97" t="s">
        <v>7127</v>
      </c>
      <c r="B97" t="s">
        <v>7121</v>
      </c>
      <c r="C97">
        <v>15.66</v>
      </c>
      <c r="D97" t="s">
        <v>6961</v>
      </c>
      <c r="E97">
        <v>15.66</v>
      </c>
      <c r="F97" t="s">
        <v>6961</v>
      </c>
      <c r="G97" s="220">
        <f t="shared" si="6"/>
        <v>15.66</v>
      </c>
      <c r="H97" s="220">
        <f t="shared" si="7"/>
        <v>15.66</v>
      </c>
      <c r="I97" s="221">
        <f>IF(A97="Total",VLOOKUP(B97,CORRESPONDANCE[#All],2,FALSE),I98)</f>
        <v>19</v>
      </c>
      <c r="J97" s="222" t="str">
        <f t="shared" si="4"/>
        <v>6</v>
      </c>
      <c r="K97" s="44" t="str">
        <f t="shared" si="5"/>
        <v>HTR8 - 62630000</v>
      </c>
      <c r="L97" s="44" t="e">
        <f>+VLOOKUP(K97,TL[],4,FALSE)</f>
        <v>#N/A</v>
      </c>
    </row>
    <row r="98" spans="1:12" x14ac:dyDescent="0.2">
      <c r="A98" t="s">
        <v>2692</v>
      </c>
      <c r="B98" t="s">
        <v>172</v>
      </c>
      <c r="C98">
        <v>275</v>
      </c>
      <c r="D98" t="s">
        <v>6961</v>
      </c>
      <c r="E98">
        <v>275</v>
      </c>
      <c r="F98" t="s">
        <v>6961</v>
      </c>
      <c r="G98" s="220">
        <f t="shared" si="6"/>
        <v>275</v>
      </c>
      <c r="H98" s="220">
        <f t="shared" si="7"/>
        <v>275</v>
      </c>
      <c r="I98" s="221">
        <f>IF(A98="Total",VLOOKUP(B98,CORRESPONDANCE[#All],2,FALSE),I99)</f>
        <v>19</v>
      </c>
      <c r="J98" s="222" t="str">
        <f t="shared" si="4"/>
        <v>6</v>
      </c>
      <c r="K98" s="44" t="str">
        <f t="shared" si="5"/>
        <v>HTR8 - 64750000</v>
      </c>
      <c r="L98" s="44" t="str">
        <f>+VLOOKUP(K98,TL[],4,FALSE)</f>
        <v>16</v>
      </c>
    </row>
    <row r="99" spans="1:12" x14ac:dyDescent="0.2">
      <c r="A99" t="s">
        <v>7128</v>
      </c>
      <c r="B99" t="s">
        <v>7124</v>
      </c>
      <c r="C99">
        <v>226.05</v>
      </c>
      <c r="D99" t="s">
        <v>6961</v>
      </c>
      <c r="E99">
        <v>226.05</v>
      </c>
      <c r="F99" t="s">
        <v>6961</v>
      </c>
      <c r="G99" s="220">
        <f t="shared" si="6"/>
        <v>226.05</v>
      </c>
      <c r="H99" s="220">
        <f t="shared" si="7"/>
        <v>226.05</v>
      </c>
      <c r="I99" s="221">
        <f>IF(A99="Total",VLOOKUP(B99,CORRESPONDANCE[#All],2,FALSE),I100)</f>
        <v>19</v>
      </c>
      <c r="J99" s="222" t="str">
        <f t="shared" si="4"/>
        <v>6</v>
      </c>
      <c r="K99" s="44" t="str">
        <f t="shared" si="5"/>
        <v>HTR8 - 65170000</v>
      </c>
      <c r="L99" s="44" t="e">
        <f>+VLOOKUP(K99,TL[],4,FALSE)</f>
        <v>#N/A</v>
      </c>
    </row>
    <row r="100" spans="1:12" x14ac:dyDescent="0.2">
      <c r="A100" t="s">
        <v>6681</v>
      </c>
      <c r="B100" t="s">
        <v>6682</v>
      </c>
      <c r="C100">
        <v>1</v>
      </c>
      <c r="D100" t="s">
        <v>6961</v>
      </c>
      <c r="E100">
        <v>1</v>
      </c>
      <c r="F100" t="s">
        <v>6961</v>
      </c>
      <c r="G100" s="220">
        <f t="shared" si="6"/>
        <v>1</v>
      </c>
      <c r="H100" s="220">
        <f t="shared" si="7"/>
        <v>1</v>
      </c>
      <c r="I100" s="221">
        <f>IF(A100="Total",VLOOKUP(B100,CORRESPONDANCE[#All],2,FALSE),I101)</f>
        <v>19</v>
      </c>
      <c r="J100" s="222" t="str">
        <f t="shared" si="4"/>
        <v>7</v>
      </c>
      <c r="K100" s="44" t="str">
        <f t="shared" si="5"/>
        <v>HTR8 - 70811000</v>
      </c>
      <c r="L100" s="44" t="str">
        <f>+VLOOKUP(K100,TL[],4,FALSE)</f>
        <v>06</v>
      </c>
    </row>
    <row r="101" spans="1:12" x14ac:dyDescent="0.2">
      <c r="A101" t="s">
        <v>197</v>
      </c>
      <c r="B101" t="s">
        <v>2567</v>
      </c>
      <c r="C101">
        <v>6719.35</v>
      </c>
      <c r="D101" t="s">
        <v>6961</v>
      </c>
      <c r="E101">
        <v>6719.35</v>
      </c>
      <c r="F101" t="s">
        <v>6961</v>
      </c>
      <c r="G101" s="220">
        <f t="shared" si="6"/>
        <v>6719.35</v>
      </c>
      <c r="H101" s="220">
        <f t="shared" si="7"/>
        <v>6719.35</v>
      </c>
      <c r="I101" s="221">
        <f>IF(A101="Total",VLOOKUP(B101,CORRESPONDANCE[#All],2,FALSE),I102)</f>
        <v>19</v>
      </c>
      <c r="J101" s="222" t="str">
        <f t="shared" si="4"/>
        <v>T</v>
      </c>
      <c r="K101" s="44" t="str">
        <f t="shared" si="5"/>
        <v>HTR8 - Total</v>
      </c>
      <c r="L101" s="44" t="e">
        <f>+VLOOKUP(K101,TL[],4,FALSE)</f>
        <v>#N/A</v>
      </c>
    </row>
    <row r="102" spans="1:12" x14ac:dyDescent="0.2">
      <c r="A102" t="s">
        <v>2693</v>
      </c>
      <c r="B102" t="s">
        <v>6957</v>
      </c>
      <c r="C102">
        <v>1882.72</v>
      </c>
      <c r="D102" t="s">
        <v>6961</v>
      </c>
      <c r="E102">
        <v>1882.72</v>
      </c>
      <c r="F102" t="s">
        <v>6961</v>
      </c>
      <c r="G102" s="220">
        <f t="shared" si="6"/>
        <v>1882.72</v>
      </c>
      <c r="H102" s="220">
        <f t="shared" si="7"/>
        <v>1882.72</v>
      </c>
      <c r="I102" s="221">
        <f>IF(A102="Total",VLOOKUP(B102,CORRESPONDANCE[#All],2,FALSE),I103)</f>
        <v>21</v>
      </c>
      <c r="J102" s="222" t="str">
        <f t="shared" si="4"/>
        <v>6</v>
      </c>
      <c r="K102" s="44" t="str">
        <f t="shared" si="5"/>
        <v>HTR8 - 62280000</v>
      </c>
      <c r="L102" s="44" t="str">
        <f>+VLOOKUP(K102,TL[],4,FALSE)</f>
        <v>32</v>
      </c>
    </row>
    <row r="103" spans="1:12" x14ac:dyDescent="0.2">
      <c r="A103" t="s">
        <v>197</v>
      </c>
      <c r="B103" t="s">
        <v>2568</v>
      </c>
      <c r="C103">
        <v>1882.72</v>
      </c>
      <c r="D103" t="s">
        <v>6961</v>
      </c>
      <c r="E103">
        <v>1882.72</v>
      </c>
      <c r="F103" t="s">
        <v>6961</v>
      </c>
      <c r="G103" s="220">
        <f t="shared" si="6"/>
        <v>1882.72</v>
      </c>
      <c r="H103" s="220">
        <f t="shared" si="7"/>
        <v>1882.72</v>
      </c>
      <c r="I103" s="221">
        <f>IF(A103="Total",VLOOKUP(B103,CORRESPONDANCE[#All],2,FALSE),I104)</f>
        <v>21</v>
      </c>
      <c r="J103" s="222" t="str">
        <f t="shared" si="4"/>
        <v>T</v>
      </c>
      <c r="K103" s="44" t="str">
        <f t="shared" si="5"/>
        <v>HTR8 - Total</v>
      </c>
      <c r="L103" s="44" t="e">
        <f>+VLOOKUP(K103,TL[],4,FALSE)</f>
        <v>#N/A</v>
      </c>
    </row>
    <row r="104" spans="1:12" x14ac:dyDescent="0.2">
      <c r="A104" t="s">
        <v>2695</v>
      </c>
      <c r="B104" t="s">
        <v>2400</v>
      </c>
      <c r="C104">
        <v>8325.16</v>
      </c>
      <c r="D104" t="s">
        <v>6961</v>
      </c>
      <c r="E104">
        <v>8325.16</v>
      </c>
      <c r="F104" t="s">
        <v>6961</v>
      </c>
      <c r="G104" s="220">
        <f t="shared" si="6"/>
        <v>8325.16</v>
      </c>
      <c r="H104" s="220">
        <f t="shared" si="7"/>
        <v>8325.16</v>
      </c>
      <c r="I104" s="221">
        <f>IF(A104="Total",VLOOKUP(B104,CORRESPONDANCE[#All],2,FALSE),I105)</f>
        <v>22</v>
      </c>
      <c r="J104" s="222" t="str">
        <f t="shared" si="4"/>
        <v>6</v>
      </c>
      <c r="K104" s="44" t="str">
        <f t="shared" si="5"/>
        <v>HTR8 - 62300000</v>
      </c>
      <c r="L104" s="44" t="str">
        <f>+VLOOKUP(K104,TL[],4,FALSE)</f>
        <v>14</v>
      </c>
    </row>
    <row r="105" spans="1:12" x14ac:dyDescent="0.2">
      <c r="A105" t="s">
        <v>197</v>
      </c>
      <c r="B105" t="s">
        <v>2569</v>
      </c>
      <c r="C105">
        <v>8325.16</v>
      </c>
      <c r="D105" t="s">
        <v>6961</v>
      </c>
      <c r="E105">
        <v>8325.16</v>
      </c>
      <c r="F105" t="s">
        <v>6961</v>
      </c>
      <c r="G105" s="220">
        <f t="shared" si="6"/>
        <v>8325.16</v>
      </c>
      <c r="H105" s="220">
        <f t="shared" si="7"/>
        <v>8325.16</v>
      </c>
      <c r="I105" s="221">
        <f>IF(A105="Total",VLOOKUP(B105,CORRESPONDANCE[#All],2,FALSE),I106)</f>
        <v>22</v>
      </c>
      <c r="J105" s="222" t="str">
        <f t="shared" si="4"/>
        <v>T</v>
      </c>
      <c r="K105" s="44" t="str">
        <f t="shared" si="5"/>
        <v>HTR8 - Total</v>
      </c>
      <c r="L105" s="44" t="e">
        <f>+VLOOKUP(K105,TL[],4,FALSE)</f>
        <v>#N/A</v>
      </c>
    </row>
    <row r="106" spans="1:12" x14ac:dyDescent="0.2">
      <c r="A106" t="s">
        <v>2696</v>
      </c>
      <c r="B106" t="s">
        <v>215</v>
      </c>
      <c r="C106">
        <v>2700</v>
      </c>
      <c r="D106" t="s">
        <v>6961</v>
      </c>
      <c r="E106">
        <v>2700</v>
      </c>
      <c r="F106" t="s">
        <v>6961</v>
      </c>
      <c r="G106" s="220">
        <f t="shared" si="6"/>
        <v>2700</v>
      </c>
      <c r="H106" s="220">
        <f t="shared" si="7"/>
        <v>2700</v>
      </c>
      <c r="I106" s="221">
        <f>IF(A106="Total",VLOOKUP(B106,CORRESPONDANCE[#All],2,FALSE),I107)</f>
        <v>23</v>
      </c>
      <c r="J106" s="222" t="str">
        <f t="shared" si="4"/>
        <v>6</v>
      </c>
      <c r="K106" s="44" t="str">
        <f t="shared" si="5"/>
        <v>HTR8 - 62300200</v>
      </c>
      <c r="L106" s="44" t="str">
        <f>+VLOOKUP(K106,TL[],4,FALSE)</f>
        <v>15</v>
      </c>
    </row>
    <row r="107" spans="1:12" x14ac:dyDescent="0.2">
      <c r="A107" t="s">
        <v>2698</v>
      </c>
      <c r="B107" t="s">
        <v>226</v>
      </c>
      <c r="C107">
        <v>1626.33</v>
      </c>
      <c r="D107" t="s">
        <v>6961</v>
      </c>
      <c r="E107">
        <v>1626.33</v>
      </c>
      <c r="F107" t="s">
        <v>6961</v>
      </c>
      <c r="G107" s="220">
        <f t="shared" si="6"/>
        <v>1626.33</v>
      </c>
      <c r="H107" s="220">
        <f t="shared" si="7"/>
        <v>1626.33</v>
      </c>
      <c r="I107" s="221">
        <f>IF(A107="Total",VLOOKUP(B107,CORRESPONDANCE[#All],2,FALSE),I108)</f>
        <v>23</v>
      </c>
      <c r="J107" s="222" t="str">
        <f t="shared" si="4"/>
        <v>6</v>
      </c>
      <c r="K107" s="44" t="str">
        <f t="shared" si="5"/>
        <v>HTR8 - 62340100</v>
      </c>
      <c r="L107" s="44" t="str">
        <f>+VLOOKUP(K107,TL[],4,FALSE)</f>
        <v>15</v>
      </c>
    </row>
    <row r="108" spans="1:12" x14ac:dyDescent="0.2">
      <c r="A108" t="s">
        <v>2699</v>
      </c>
      <c r="B108" t="s">
        <v>254</v>
      </c>
      <c r="C108" t="s">
        <v>6961</v>
      </c>
      <c r="D108">
        <v>213.34</v>
      </c>
      <c r="E108" t="s">
        <v>6961</v>
      </c>
      <c r="F108">
        <v>213.34</v>
      </c>
      <c r="G108" s="220">
        <f t="shared" si="6"/>
        <v>-213.34</v>
      </c>
      <c r="H108" s="220">
        <f t="shared" si="7"/>
        <v>-213.34</v>
      </c>
      <c r="I108" s="221">
        <f>IF(A108="Total",VLOOKUP(B108,CORRESPONDANCE[#All],2,FALSE),I109)</f>
        <v>23</v>
      </c>
      <c r="J108" s="222" t="str">
        <f t="shared" si="4"/>
        <v>6</v>
      </c>
      <c r="K108" s="44" t="str">
        <f t="shared" si="5"/>
        <v>HTR8 - 62341500</v>
      </c>
      <c r="L108" s="44" t="str">
        <f>+VLOOKUP(K108,TL[],4,FALSE)</f>
        <v>15</v>
      </c>
    </row>
    <row r="109" spans="1:12" x14ac:dyDescent="0.2">
      <c r="A109" t="s">
        <v>197</v>
      </c>
      <c r="B109" t="s">
        <v>2572</v>
      </c>
      <c r="C109">
        <v>4112.99</v>
      </c>
      <c r="D109" t="s">
        <v>6961</v>
      </c>
      <c r="E109">
        <v>4112.99</v>
      </c>
      <c r="F109" t="s">
        <v>6961</v>
      </c>
      <c r="G109" s="220">
        <f t="shared" si="6"/>
        <v>4112.99</v>
      </c>
      <c r="H109" s="220">
        <f t="shared" si="7"/>
        <v>4112.99</v>
      </c>
      <c r="I109" s="221">
        <f>IF(A109="Total",VLOOKUP(B109,CORRESPONDANCE[#All],2,FALSE),I110)</f>
        <v>23</v>
      </c>
      <c r="J109" s="222" t="str">
        <f t="shared" si="4"/>
        <v>T</v>
      </c>
      <c r="K109" s="44" t="str">
        <f t="shared" si="5"/>
        <v>HTR8 - Total</v>
      </c>
      <c r="L109" s="44" t="e">
        <f>+VLOOKUP(K109,TL[],4,FALSE)</f>
        <v>#N/A</v>
      </c>
    </row>
    <row r="110" spans="1:12" x14ac:dyDescent="0.2">
      <c r="A110" t="s">
        <v>2700</v>
      </c>
      <c r="B110" t="s">
        <v>156</v>
      </c>
      <c r="C110">
        <v>369</v>
      </c>
      <c r="D110" t="s">
        <v>6961</v>
      </c>
      <c r="E110">
        <v>369</v>
      </c>
      <c r="F110" t="s">
        <v>6961</v>
      </c>
      <c r="G110" s="220">
        <f t="shared" si="6"/>
        <v>369</v>
      </c>
      <c r="H110" s="220">
        <f t="shared" si="7"/>
        <v>369</v>
      </c>
      <c r="I110" s="221">
        <f>IF(A110="Total",VLOOKUP(B110,CORRESPONDANCE[#All],2,FALSE),I111)</f>
        <v>24</v>
      </c>
      <c r="J110" s="222" t="str">
        <f t="shared" si="4"/>
        <v>6</v>
      </c>
      <c r="K110" s="44" t="str">
        <f t="shared" si="5"/>
        <v>HTR8 - 60610100</v>
      </c>
      <c r="L110" s="44" t="str">
        <f>+VLOOKUP(K110,TL[],4,FALSE)</f>
        <v>20</v>
      </c>
    </row>
    <row r="111" spans="1:12" x14ac:dyDescent="0.2">
      <c r="A111" t="s">
        <v>2701</v>
      </c>
      <c r="B111" t="s">
        <v>241</v>
      </c>
      <c r="C111">
        <v>8173</v>
      </c>
      <c r="D111" t="s">
        <v>6961</v>
      </c>
      <c r="E111">
        <v>8173</v>
      </c>
      <c r="F111" t="s">
        <v>6961</v>
      </c>
      <c r="G111" s="220">
        <f t="shared" si="6"/>
        <v>8173</v>
      </c>
      <c r="H111" s="220">
        <f t="shared" si="7"/>
        <v>8173</v>
      </c>
      <c r="I111" s="221">
        <f>IF(A111="Total",VLOOKUP(B111,CORRESPONDANCE[#All],2,FALSE),I112)</f>
        <v>24</v>
      </c>
      <c r="J111" s="222" t="str">
        <f t="shared" si="4"/>
        <v>6</v>
      </c>
      <c r="K111" s="44" t="str">
        <f t="shared" si="5"/>
        <v>HTR8 - 60610300</v>
      </c>
      <c r="L111" s="44" t="str">
        <f>+VLOOKUP(K111,TL[],4,FALSE)</f>
        <v>20</v>
      </c>
    </row>
    <row r="112" spans="1:12" x14ac:dyDescent="0.2">
      <c r="A112" t="s">
        <v>2702</v>
      </c>
      <c r="B112" t="s">
        <v>1218</v>
      </c>
      <c r="C112">
        <v>346.9</v>
      </c>
      <c r="D112" t="s">
        <v>6961</v>
      </c>
      <c r="E112">
        <v>346.9</v>
      </c>
      <c r="F112" t="s">
        <v>6961</v>
      </c>
      <c r="G112" s="220">
        <f t="shared" si="6"/>
        <v>346.9</v>
      </c>
      <c r="H112" s="220">
        <f t="shared" si="7"/>
        <v>346.9</v>
      </c>
      <c r="I112" s="221">
        <f>IF(A112="Total",VLOOKUP(B112,CORRESPONDANCE[#All],2,FALSE),I113)</f>
        <v>24</v>
      </c>
      <c r="J112" s="222" t="str">
        <f t="shared" si="4"/>
        <v>6</v>
      </c>
      <c r="K112" s="44" t="str">
        <f t="shared" si="5"/>
        <v>HTR8 - 62620000</v>
      </c>
      <c r="L112" s="44" t="str">
        <f>+VLOOKUP(K112,TL[],4,FALSE)</f>
        <v>20</v>
      </c>
    </row>
    <row r="113" spans="1:12" x14ac:dyDescent="0.2">
      <c r="A113" t="s">
        <v>197</v>
      </c>
      <c r="B113" t="s">
        <v>2576</v>
      </c>
      <c r="C113">
        <v>8888.9</v>
      </c>
      <c r="D113" t="s">
        <v>6961</v>
      </c>
      <c r="E113">
        <v>8888.9</v>
      </c>
      <c r="F113" t="s">
        <v>6961</v>
      </c>
      <c r="G113" s="220">
        <f t="shared" si="6"/>
        <v>8888.9</v>
      </c>
      <c r="H113" s="220">
        <f t="shared" si="7"/>
        <v>8888.9</v>
      </c>
      <c r="I113" s="221">
        <f>IF(A113="Total",VLOOKUP(B113,CORRESPONDANCE[#All],2,FALSE),I114)</f>
        <v>24</v>
      </c>
      <c r="J113" s="222" t="str">
        <f t="shared" si="4"/>
        <v>T</v>
      </c>
      <c r="K113" s="44" t="str">
        <f t="shared" si="5"/>
        <v>HTR8 - Total</v>
      </c>
      <c r="L113" s="44" t="e">
        <f>+VLOOKUP(K113,TL[],4,FALSE)</f>
        <v>#N/A</v>
      </c>
    </row>
    <row r="114" spans="1:12" x14ac:dyDescent="0.2">
      <c r="A114" t="s">
        <v>3547</v>
      </c>
      <c r="B114" t="s">
        <v>1148</v>
      </c>
      <c r="C114">
        <v>87.96</v>
      </c>
      <c r="D114" t="s">
        <v>6961</v>
      </c>
      <c r="E114">
        <v>87.96</v>
      </c>
      <c r="F114" t="s">
        <v>6961</v>
      </c>
      <c r="G114" s="220">
        <f t="shared" si="6"/>
        <v>87.96</v>
      </c>
      <c r="H114" s="220">
        <f t="shared" si="7"/>
        <v>87.96</v>
      </c>
      <c r="I114" s="221">
        <f>IF(A114="Total",VLOOKUP(B114,CORRESPONDANCE[#All],2,FALSE),I115)</f>
        <v>25</v>
      </c>
      <c r="J114" s="222" t="str">
        <f t="shared" si="4"/>
        <v>6</v>
      </c>
      <c r="K114" s="44" t="str">
        <f t="shared" si="5"/>
        <v>HTR8 - 60261000</v>
      </c>
      <c r="L114" s="44" t="str">
        <f>+VLOOKUP(K114,TL[],4,FALSE)</f>
        <v>18</v>
      </c>
    </row>
    <row r="115" spans="1:12" x14ac:dyDescent="0.2">
      <c r="A115" t="s">
        <v>2703</v>
      </c>
      <c r="B115" t="s">
        <v>1154</v>
      </c>
      <c r="C115">
        <v>1819.72</v>
      </c>
      <c r="D115" t="s">
        <v>6961</v>
      </c>
      <c r="E115">
        <v>1819.72</v>
      </c>
      <c r="F115" t="s">
        <v>6961</v>
      </c>
      <c r="G115" s="220">
        <f t="shared" si="6"/>
        <v>1819.72</v>
      </c>
      <c r="H115" s="220">
        <f t="shared" si="7"/>
        <v>1819.72</v>
      </c>
      <c r="I115" s="221">
        <f>IF(A115="Total",VLOOKUP(B115,CORRESPONDANCE[#All],2,FALSE),I116)</f>
        <v>25</v>
      </c>
      <c r="J115" s="222" t="str">
        <f t="shared" si="4"/>
        <v>6</v>
      </c>
      <c r="K115" s="44" t="str">
        <f t="shared" si="5"/>
        <v>HTR8 - 60630200</v>
      </c>
      <c r="L115" s="44" t="str">
        <f>+VLOOKUP(K115,TL[],4,FALSE)</f>
        <v>18</v>
      </c>
    </row>
    <row r="116" spans="1:12" x14ac:dyDescent="0.2">
      <c r="A116" t="s">
        <v>2704</v>
      </c>
      <c r="B116" t="s">
        <v>1156</v>
      </c>
      <c r="C116">
        <v>517.66</v>
      </c>
      <c r="D116" t="s">
        <v>6961</v>
      </c>
      <c r="E116">
        <v>517.66</v>
      </c>
      <c r="F116" t="s">
        <v>6961</v>
      </c>
      <c r="G116" s="220">
        <f t="shared" si="6"/>
        <v>517.66</v>
      </c>
      <c r="H116" s="220">
        <f t="shared" si="7"/>
        <v>517.66</v>
      </c>
      <c r="I116" s="221">
        <f>IF(A116="Total",VLOOKUP(B116,CORRESPONDANCE[#All],2,FALSE),I117)</f>
        <v>25</v>
      </c>
      <c r="J116" s="222" t="str">
        <f t="shared" si="4"/>
        <v>6</v>
      </c>
      <c r="K116" s="44" t="str">
        <f t="shared" si="5"/>
        <v>HTR8 - 60640100</v>
      </c>
      <c r="L116" s="44" t="str">
        <f>+VLOOKUP(K116,TL[],4,FALSE)</f>
        <v>21</v>
      </c>
    </row>
    <row r="117" spans="1:12" x14ac:dyDescent="0.2">
      <c r="A117" t="s">
        <v>197</v>
      </c>
      <c r="B117" t="s">
        <v>2578</v>
      </c>
      <c r="C117">
        <v>2425.34</v>
      </c>
      <c r="D117" t="s">
        <v>6961</v>
      </c>
      <c r="E117">
        <v>2425.34</v>
      </c>
      <c r="F117" t="s">
        <v>6961</v>
      </c>
      <c r="G117" s="220">
        <f t="shared" si="6"/>
        <v>2425.34</v>
      </c>
      <c r="H117" s="220">
        <f t="shared" si="7"/>
        <v>2425.34</v>
      </c>
      <c r="I117" s="221">
        <f>IF(A117="Total",VLOOKUP(B117,CORRESPONDANCE[#All],2,FALSE),I118)</f>
        <v>25</v>
      </c>
      <c r="J117" s="222" t="str">
        <f t="shared" si="4"/>
        <v>T</v>
      </c>
      <c r="K117" s="44" t="str">
        <f t="shared" si="5"/>
        <v>HTR8 - Total</v>
      </c>
      <c r="L117" s="44" t="e">
        <f>+VLOOKUP(K117,TL[],4,FALSE)</f>
        <v>#N/A</v>
      </c>
    </row>
    <row r="118" spans="1:12" x14ac:dyDescent="0.2">
      <c r="A118" t="s">
        <v>3647</v>
      </c>
      <c r="B118" t="s">
        <v>7034</v>
      </c>
      <c r="C118">
        <v>163.22</v>
      </c>
      <c r="D118" t="s">
        <v>6961</v>
      </c>
      <c r="E118">
        <v>163.22</v>
      </c>
      <c r="F118" t="s">
        <v>6961</v>
      </c>
      <c r="G118" s="220">
        <f t="shared" si="6"/>
        <v>163.22</v>
      </c>
      <c r="H118" s="220">
        <f t="shared" si="7"/>
        <v>163.22</v>
      </c>
      <c r="I118" s="221">
        <f>IF(A118="Total",VLOOKUP(B118,CORRESPONDANCE[#All],2,FALSE),I119)</f>
        <v>26</v>
      </c>
      <c r="J118" s="222" t="str">
        <f t="shared" si="4"/>
        <v>6</v>
      </c>
      <c r="K118" s="44" t="str">
        <f t="shared" si="5"/>
        <v>HTR8 - 62520400</v>
      </c>
      <c r="L118" s="44" t="str">
        <f>+VLOOKUP(K118,TL[],4,FALSE)</f>
        <v>13</v>
      </c>
    </row>
    <row r="119" spans="1:12" x14ac:dyDescent="0.2">
      <c r="A119" t="s">
        <v>197</v>
      </c>
      <c r="B119" t="s">
        <v>2580</v>
      </c>
      <c r="C119">
        <v>163.22</v>
      </c>
      <c r="D119" t="s">
        <v>6961</v>
      </c>
      <c r="E119">
        <v>163.22</v>
      </c>
      <c r="F119" t="s">
        <v>6961</v>
      </c>
      <c r="G119" s="220">
        <f t="shared" si="6"/>
        <v>163.22</v>
      </c>
      <c r="H119" s="220">
        <f t="shared" si="7"/>
        <v>163.22</v>
      </c>
      <c r="I119" s="221">
        <f>IF(A119="Total",VLOOKUP(B119,CORRESPONDANCE[#All],2,FALSE),I120)</f>
        <v>26</v>
      </c>
      <c r="J119" s="222" t="str">
        <f t="shared" si="4"/>
        <v>T</v>
      </c>
      <c r="K119" s="44" t="str">
        <f t="shared" si="5"/>
        <v>HTR8 - Total</v>
      </c>
      <c r="L119" s="44" t="e">
        <f>+VLOOKUP(K119,TL[],4,FALSE)</f>
        <v>#N/A</v>
      </c>
    </row>
    <row r="120" spans="1:12" x14ac:dyDescent="0.2">
      <c r="A120" t="s">
        <v>6629</v>
      </c>
      <c r="B120" t="s">
        <v>6630</v>
      </c>
      <c r="C120">
        <v>209</v>
      </c>
      <c r="D120" t="s">
        <v>6961</v>
      </c>
      <c r="E120">
        <v>209</v>
      </c>
      <c r="F120" t="s">
        <v>6961</v>
      </c>
      <c r="G120" s="220">
        <f t="shared" si="6"/>
        <v>209</v>
      </c>
      <c r="H120" s="220">
        <f t="shared" si="7"/>
        <v>209</v>
      </c>
      <c r="I120" s="221">
        <f>IF(A120="Total",VLOOKUP(B120,CORRESPONDANCE[#All],2,FALSE),I121)</f>
        <v>27</v>
      </c>
      <c r="J120" s="222" t="str">
        <f t="shared" si="4"/>
        <v>6</v>
      </c>
      <c r="K120" s="44" t="str">
        <f t="shared" si="5"/>
        <v>HTR8 - 62570000</v>
      </c>
      <c r="L120" s="44" t="str">
        <f>+VLOOKUP(K120,TL[],4,FALSE)</f>
        <v>13</v>
      </c>
    </row>
    <row r="121" spans="1:12" x14ac:dyDescent="0.2">
      <c r="A121" t="s">
        <v>2706</v>
      </c>
      <c r="B121" t="s">
        <v>33</v>
      </c>
      <c r="C121">
        <v>286</v>
      </c>
      <c r="D121" t="s">
        <v>6961</v>
      </c>
      <c r="E121">
        <v>286</v>
      </c>
      <c r="F121" t="s">
        <v>6961</v>
      </c>
      <c r="G121" s="220">
        <f t="shared" si="6"/>
        <v>286</v>
      </c>
      <c r="H121" s="220">
        <f t="shared" si="7"/>
        <v>286</v>
      </c>
      <c r="I121" s="221">
        <f>IF(A121="Total",VLOOKUP(B121,CORRESPONDANCE[#All],2,FALSE),I122)</f>
        <v>27</v>
      </c>
      <c r="J121" s="222" t="str">
        <f t="shared" si="4"/>
        <v>6</v>
      </c>
      <c r="K121" s="44" t="str">
        <f t="shared" si="5"/>
        <v>HTR8 - 62802300</v>
      </c>
      <c r="L121" s="44" t="str">
        <f>+VLOOKUP(K121,TL[],4,FALSE)</f>
        <v>23</v>
      </c>
    </row>
    <row r="122" spans="1:12" x14ac:dyDescent="0.2">
      <c r="A122" t="s">
        <v>2707</v>
      </c>
      <c r="B122" t="s">
        <v>1263</v>
      </c>
      <c r="C122">
        <v>90.32</v>
      </c>
      <c r="D122" t="s">
        <v>6961</v>
      </c>
      <c r="E122">
        <v>90.32</v>
      </c>
      <c r="F122" t="s">
        <v>6961</v>
      </c>
      <c r="G122" s="220">
        <f t="shared" si="6"/>
        <v>90.32</v>
      </c>
      <c r="H122" s="220">
        <f t="shared" si="7"/>
        <v>90.32</v>
      </c>
      <c r="I122" s="221">
        <f>IF(A122="Total",VLOOKUP(B122,CORRESPONDANCE[#All],2,FALSE),I123)</f>
        <v>27</v>
      </c>
      <c r="J122" s="222" t="str">
        <f t="shared" si="4"/>
        <v>6</v>
      </c>
      <c r="K122" s="44" t="str">
        <f t="shared" si="5"/>
        <v>HTR8 - 67110000</v>
      </c>
      <c r="L122" s="44" t="str">
        <f>+VLOOKUP(K122,TL[],4,FALSE)</f>
        <v>22</v>
      </c>
    </row>
    <row r="123" spans="1:12" x14ac:dyDescent="0.2">
      <c r="A123" t="s">
        <v>2708</v>
      </c>
      <c r="B123" t="s">
        <v>31</v>
      </c>
      <c r="C123" t="s">
        <v>6961</v>
      </c>
      <c r="D123">
        <v>45.15</v>
      </c>
      <c r="E123" t="s">
        <v>6961</v>
      </c>
      <c r="F123">
        <v>45.15</v>
      </c>
      <c r="G123" s="220">
        <f t="shared" si="6"/>
        <v>-45.15</v>
      </c>
      <c r="H123" s="220">
        <f t="shared" si="7"/>
        <v>-45.15</v>
      </c>
      <c r="I123" s="221">
        <f>IF(A123="Total",VLOOKUP(B123,CORRESPONDANCE[#All],2,FALSE),I124)</f>
        <v>27</v>
      </c>
      <c r="J123" s="222" t="str">
        <f t="shared" si="4"/>
        <v>7</v>
      </c>
      <c r="K123" s="44" t="str">
        <f t="shared" si="5"/>
        <v>HTR8 - 77110000</v>
      </c>
      <c r="L123" s="44" t="str">
        <f>+VLOOKUP(K123,TL[],4,FALSE)</f>
        <v>22</v>
      </c>
    </row>
    <row r="124" spans="1:12" x14ac:dyDescent="0.2">
      <c r="A124" t="s">
        <v>197</v>
      </c>
      <c r="B124" t="s">
        <v>2583</v>
      </c>
      <c r="C124">
        <v>540.16999999999996</v>
      </c>
      <c r="D124" t="s">
        <v>6961</v>
      </c>
      <c r="E124">
        <v>540.16999999999996</v>
      </c>
      <c r="F124" t="s">
        <v>6961</v>
      </c>
      <c r="G124" s="220">
        <f t="shared" si="6"/>
        <v>540.16999999999996</v>
      </c>
      <c r="H124" s="220">
        <f t="shared" si="7"/>
        <v>540.16999999999996</v>
      </c>
      <c r="I124" s="221">
        <f>IF(A124="Total",VLOOKUP(B124,CORRESPONDANCE[#All],2,FALSE),I125)</f>
        <v>27</v>
      </c>
      <c r="J124" s="222" t="str">
        <f t="shared" si="4"/>
        <v>T</v>
      </c>
      <c r="K124" s="44" t="str">
        <f t="shared" si="5"/>
        <v>HTR8 - Total</v>
      </c>
      <c r="L124" s="44" t="e">
        <f>+VLOOKUP(K124,TL[],4,FALSE)</f>
        <v>#N/A</v>
      </c>
    </row>
    <row r="125" spans="1:12" x14ac:dyDescent="0.2">
      <c r="A125" t="s">
        <v>2709</v>
      </c>
      <c r="B125" t="s">
        <v>2406</v>
      </c>
      <c r="C125">
        <v>34702.769999999997</v>
      </c>
      <c r="D125" t="s">
        <v>6961</v>
      </c>
      <c r="E125">
        <v>34702.769999999997</v>
      </c>
      <c r="F125" t="s">
        <v>6961</v>
      </c>
      <c r="G125" s="220">
        <f t="shared" si="6"/>
        <v>34702.769999999997</v>
      </c>
      <c r="H125" s="220">
        <f t="shared" si="7"/>
        <v>34702.769999999997</v>
      </c>
      <c r="I125" s="221">
        <f>IF(A125="Total",VLOOKUP(B125,CORRESPONDANCE[#All],2,FALSE),I126)</f>
        <v>29</v>
      </c>
      <c r="J125" s="222" t="str">
        <f t="shared" si="4"/>
        <v>6</v>
      </c>
      <c r="K125" s="44" t="str">
        <f t="shared" si="5"/>
        <v>HTR8 - 61320000</v>
      </c>
      <c r="L125" s="44" t="str">
        <f>+VLOOKUP(K125,TL[],4,FALSE)</f>
        <v>30</v>
      </c>
    </row>
    <row r="126" spans="1:12" x14ac:dyDescent="0.2">
      <c r="A126" t="s">
        <v>197</v>
      </c>
      <c r="B126" t="s">
        <v>2584</v>
      </c>
      <c r="C126">
        <v>34702.769999999997</v>
      </c>
      <c r="D126" t="s">
        <v>6961</v>
      </c>
      <c r="E126">
        <v>34702.769999999997</v>
      </c>
      <c r="F126" t="s">
        <v>6961</v>
      </c>
      <c r="G126" s="220">
        <f t="shared" si="6"/>
        <v>34702.769999999997</v>
      </c>
      <c r="H126" s="220">
        <f t="shared" si="7"/>
        <v>34702.769999999997</v>
      </c>
      <c r="I126" s="221">
        <f>IF(A126="Total",VLOOKUP(B126,CORRESPONDANCE[#All],2,FALSE),I127)</f>
        <v>29</v>
      </c>
      <c r="J126" s="222" t="str">
        <f t="shared" si="4"/>
        <v>T</v>
      </c>
      <c r="K126" s="44" t="str">
        <f t="shared" si="5"/>
        <v>HTR8 - Total</v>
      </c>
      <c r="L126" s="44" t="e">
        <f>+VLOOKUP(K126,TL[],4,FALSE)</f>
        <v>#N/A</v>
      </c>
    </row>
    <row r="127" spans="1:12" x14ac:dyDescent="0.2">
      <c r="A127" t="s">
        <v>6115</v>
      </c>
      <c r="B127" t="s">
        <v>7035</v>
      </c>
      <c r="C127">
        <v>616.76</v>
      </c>
      <c r="D127" t="s">
        <v>6961</v>
      </c>
      <c r="E127">
        <v>616.76</v>
      </c>
      <c r="F127" t="s">
        <v>6961</v>
      </c>
      <c r="G127" s="220">
        <f t="shared" si="6"/>
        <v>616.76</v>
      </c>
      <c r="H127" s="220">
        <f t="shared" si="7"/>
        <v>616.76</v>
      </c>
      <c r="I127" s="221">
        <f>IF(A127="Total",VLOOKUP(B127,CORRESPONDANCE[#All],2,FALSE),I128)</f>
        <v>30</v>
      </c>
      <c r="J127" s="222" t="str">
        <f t="shared" si="4"/>
        <v>6</v>
      </c>
      <c r="K127" s="44" t="str">
        <f t="shared" si="5"/>
        <v>HTR8 - 61320100</v>
      </c>
      <c r="L127" s="44" t="e">
        <f>+VLOOKUP(K127,TL[],4,FALSE)</f>
        <v>#N/A</v>
      </c>
    </row>
    <row r="128" spans="1:12" x14ac:dyDescent="0.2">
      <c r="A128" t="s">
        <v>197</v>
      </c>
      <c r="B128" t="s">
        <v>2811</v>
      </c>
      <c r="C128">
        <v>616.76</v>
      </c>
      <c r="D128" t="s">
        <v>6961</v>
      </c>
      <c r="E128">
        <v>616.76</v>
      </c>
      <c r="F128" t="s">
        <v>6961</v>
      </c>
      <c r="G128" s="220">
        <f t="shared" si="6"/>
        <v>616.76</v>
      </c>
      <c r="H128" s="220">
        <f t="shared" si="7"/>
        <v>616.76</v>
      </c>
      <c r="I128" s="221">
        <f>IF(A128="Total",VLOOKUP(B128,CORRESPONDANCE[#All],2,FALSE),I129)</f>
        <v>30</v>
      </c>
      <c r="J128" s="222" t="str">
        <f t="shared" si="4"/>
        <v>T</v>
      </c>
      <c r="K128" s="44" t="str">
        <f t="shared" si="5"/>
        <v>HTR8 - Total</v>
      </c>
      <c r="L128" s="44" t="e">
        <f>+VLOOKUP(K128,TL[],4,FALSE)</f>
        <v>#N/A</v>
      </c>
    </row>
    <row r="129" spans="1:12" x14ac:dyDescent="0.2">
      <c r="A129" t="s">
        <v>2710</v>
      </c>
      <c r="B129" t="s">
        <v>1255</v>
      </c>
      <c r="C129" t="s">
        <v>6961</v>
      </c>
      <c r="D129">
        <v>361.46</v>
      </c>
      <c r="E129" t="s">
        <v>6961</v>
      </c>
      <c r="F129">
        <v>361.46</v>
      </c>
      <c r="G129" s="220">
        <f t="shared" si="6"/>
        <v>-361.46</v>
      </c>
      <c r="H129" s="220">
        <f t="shared" si="7"/>
        <v>-361.46</v>
      </c>
      <c r="I129" s="221">
        <f>IF(A129="Total",VLOOKUP(B129,CORRESPONDANCE[#All],2,FALSE),I130)</f>
        <v>31</v>
      </c>
      <c r="J129" s="222" t="str">
        <f t="shared" si="4"/>
        <v>6</v>
      </c>
      <c r="K129" s="44" t="str">
        <f t="shared" si="5"/>
        <v>HTR8 - 65120000</v>
      </c>
      <c r="L129" s="44" t="str">
        <f>+VLOOKUP(K129,TL[],4,FALSE)</f>
        <v>30</v>
      </c>
    </row>
    <row r="130" spans="1:12" x14ac:dyDescent="0.2">
      <c r="A130" t="s">
        <v>2711</v>
      </c>
      <c r="B130" t="s">
        <v>277</v>
      </c>
      <c r="C130" t="s">
        <v>6961</v>
      </c>
      <c r="D130">
        <v>108.84</v>
      </c>
      <c r="E130" t="s">
        <v>6961</v>
      </c>
      <c r="F130">
        <v>108.84</v>
      </c>
      <c r="G130" s="220">
        <f t="shared" si="6"/>
        <v>-108.84</v>
      </c>
      <c r="H130" s="220">
        <f t="shared" si="7"/>
        <v>-108.84</v>
      </c>
      <c r="I130" s="221">
        <f>IF(A130="Total",VLOOKUP(B130,CORRESPONDANCE[#All],2,FALSE),I131)</f>
        <v>31</v>
      </c>
      <c r="J130" s="222" t="str">
        <f t="shared" si="4"/>
        <v>6</v>
      </c>
      <c r="K130" s="44" t="str">
        <f t="shared" si="5"/>
        <v>HTR8 - 65121000</v>
      </c>
      <c r="L130" s="44" t="str">
        <f>+VLOOKUP(K130,TL[],4,FALSE)</f>
        <v>31</v>
      </c>
    </row>
    <row r="131" spans="1:12" x14ac:dyDescent="0.2">
      <c r="A131" t="s">
        <v>197</v>
      </c>
      <c r="B131" t="s">
        <v>2585</v>
      </c>
      <c r="C131" t="s">
        <v>6961</v>
      </c>
      <c r="D131">
        <v>470.3</v>
      </c>
      <c r="E131" t="s">
        <v>6961</v>
      </c>
      <c r="F131">
        <v>470.3</v>
      </c>
      <c r="G131" s="220">
        <f t="shared" si="6"/>
        <v>-470.3</v>
      </c>
      <c r="H131" s="220">
        <f t="shared" si="7"/>
        <v>-470.3</v>
      </c>
      <c r="I131" s="221">
        <f>IF(A131="Total",VLOOKUP(B131,CORRESPONDANCE[#All],2,FALSE),I132)</f>
        <v>31</v>
      </c>
      <c r="J131" s="222" t="str">
        <f t="shared" ref="J131:J163" si="8">LEFT(A131,1)</f>
        <v>T</v>
      </c>
      <c r="K131" s="44" t="str">
        <f t="shared" ref="K131:K163" si="9">"HTR8"&amp;" - "&amp;A131</f>
        <v>HTR8 - Total</v>
      </c>
      <c r="L131" s="44" t="e">
        <f>+VLOOKUP(K131,TL[],4,FALSE)</f>
        <v>#N/A</v>
      </c>
    </row>
    <row r="132" spans="1:12" x14ac:dyDescent="0.2">
      <c r="A132" t="s">
        <v>2712</v>
      </c>
      <c r="B132" t="s">
        <v>1178</v>
      </c>
      <c r="C132">
        <v>465</v>
      </c>
      <c r="D132" t="s">
        <v>6961</v>
      </c>
      <c r="E132">
        <v>465</v>
      </c>
      <c r="F132" t="s">
        <v>6961</v>
      </c>
      <c r="G132" s="220">
        <f t="shared" si="6"/>
        <v>465</v>
      </c>
      <c r="H132" s="220">
        <f t="shared" si="7"/>
        <v>465</v>
      </c>
      <c r="I132" s="221">
        <f>IF(A132="Total",VLOOKUP(B132,CORRESPONDANCE[#All],2,FALSE),I133)</f>
        <v>33</v>
      </c>
      <c r="J132" s="222" t="str">
        <f t="shared" si="8"/>
        <v>6</v>
      </c>
      <c r="K132" s="44" t="str">
        <f t="shared" si="9"/>
        <v>HTR8 - 61410000</v>
      </c>
      <c r="L132" s="44" t="str">
        <f>+VLOOKUP(K132,TL[],4,FALSE)</f>
        <v>34</v>
      </c>
    </row>
    <row r="133" spans="1:12" x14ac:dyDescent="0.2">
      <c r="A133" t="s">
        <v>197</v>
      </c>
      <c r="B133" t="s">
        <v>2586</v>
      </c>
      <c r="C133">
        <v>465</v>
      </c>
      <c r="D133" t="s">
        <v>6961</v>
      </c>
      <c r="E133">
        <v>465</v>
      </c>
      <c r="F133" t="s">
        <v>6961</v>
      </c>
      <c r="G133" s="220">
        <f t="shared" si="6"/>
        <v>465</v>
      </c>
      <c r="H133" s="220">
        <f t="shared" si="7"/>
        <v>465</v>
      </c>
      <c r="I133" s="221">
        <f>IF(A133="Total",VLOOKUP(B133,CORRESPONDANCE[#All],2,FALSE),I134)</f>
        <v>33</v>
      </c>
      <c r="J133" s="222" t="str">
        <f t="shared" si="8"/>
        <v>T</v>
      </c>
      <c r="K133" s="44" t="str">
        <f t="shared" si="9"/>
        <v>HTR8 - Total</v>
      </c>
      <c r="L133" s="44" t="e">
        <f>+VLOOKUP(K133,TL[],4,FALSE)</f>
        <v>#N/A</v>
      </c>
    </row>
    <row r="134" spans="1:12" x14ac:dyDescent="0.2">
      <c r="A134" t="s">
        <v>2713</v>
      </c>
      <c r="B134" t="s">
        <v>276</v>
      </c>
      <c r="C134">
        <v>10515.29</v>
      </c>
      <c r="D134" t="s">
        <v>6961</v>
      </c>
      <c r="E134">
        <v>10515.29</v>
      </c>
      <c r="F134" t="s">
        <v>6961</v>
      </c>
      <c r="G134" s="220">
        <f t="shared" ref="G134:G163" si="10">SUM(C134)-SUM(D134)</f>
        <v>10515.29</v>
      </c>
      <c r="H134" s="220">
        <f t="shared" ref="H134:H163" si="11">SUM(E134)-SUM(F134)</f>
        <v>10515.29</v>
      </c>
      <c r="I134" s="221">
        <f>IF(A134="Total",VLOOKUP(B134,CORRESPONDANCE[#All],2,FALSE),I135)</f>
        <v>34</v>
      </c>
      <c r="J134" s="222" t="str">
        <f t="shared" si="8"/>
        <v>6</v>
      </c>
      <c r="K134" s="44" t="str">
        <f t="shared" si="9"/>
        <v>HTR8 - 65100100</v>
      </c>
      <c r="L134" s="44" t="str">
        <f>+VLOOKUP(K134,TL[],4,FALSE)</f>
        <v>31</v>
      </c>
    </row>
    <row r="135" spans="1:12" x14ac:dyDescent="0.2">
      <c r="A135" t="s">
        <v>197</v>
      </c>
      <c r="B135" t="s">
        <v>2588</v>
      </c>
      <c r="C135">
        <v>10515.29</v>
      </c>
      <c r="D135" t="s">
        <v>6961</v>
      </c>
      <c r="E135">
        <v>10515.29</v>
      </c>
      <c r="F135" t="s">
        <v>6961</v>
      </c>
      <c r="G135" s="220">
        <f t="shared" si="10"/>
        <v>10515.29</v>
      </c>
      <c r="H135" s="220">
        <f t="shared" si="11"/>
        <v>10515.29</v>
      </c>
      <c r="I135" s="221">
        <f>IF(A135="Total",VLOOKUP(B135,CORRESPONDANCE[#All],2,FALSE),I136)</f>
        <v>34</v>
      </c>
      <c r="J135" s="222" t="str">
        <f t="shared" si="8"/>
        <v>T</v>
      </c>
      <c r="K135" s="44" t="str">
        <f t="shared" si="9"/>
        <v>HTR8 - Total</v>
      </c>
      <c r="L135" s="44" t="e">
        <f>+VLOOKUP(K135,TL[],4,FALSE)</f>
        <v>#N/A</v>
      </c>
    </row>
    <row r="136" spans="1:12" x14ac:dyDescent="0.2">
      <c r="A136" t="s">
        <v>2714</v>
      </c>
      <c r="B136" t="s">
        <v>1203</v>
      </c>
      <c r="C136">
        <v>860</v>
      </c>
      <c r="D136" t="s">
        <v>6961</v>
      </c>
      <c r="E136">
        <v>860</v>
      </c>
      <c r="F136" t="s">
        <v>6961</v>
      </c>
      <c r="G136" s="220">
        <f t="shared" si="10"/>
        <v>860</v>
      </c>
      <c r="H136" s="220">
        <f t="shared" si="11"/>
        <v>860</v>
      </c>
      <c r="I136" s="221" t="e">
        <f>IF(A136="Total",VLOOKUP(B136,CORRESPONDANCE[#All],2,FALSE),#REF!)</f>
        <v>#REF!</v>
      </c>
      <c r="J136" s="222" t="str">
        <f t="shared" si="8"/>
        <v>6</v>
      </c>
      <c r="K136" s="44" t="str">
        <f t="shared" si="9"/>
        <v>HTR8 - 62260000</v>
      </c>
      <c r="L136" s="44" t="str">
        <f>+VLOOKUP(K136,TL[],4,FALSE)</f>
        <v>32</v>
      </c>
    </row>
    <row r="137" spans="1:12" x14ac:dyDescent="0.2">
      <c r="A137" t="s">
        <v>2715</v>
      </c>
      <c r="B137" t="s">
        <v>162</v>
      </c>
      <c r="C137">
        <v>42</v>
      </c>
      <c r="D137" t="s">
        <v>6961</v>
      </c>
      <c r="E137">
        <v>42</v>
      </c>
      <c r="F137" t="s">
        <v>6961</v>
      </c>
      <c r="G137" s="220">
        <f t="shared" si="10"/>
        <v>42</v>
      </c>
      <c r="H137" s="220">
        <f t="shared" si="11"/>
        <v>42</v>
      </c>
      <c r="I137" s="221">
        <f>IF(A137="Total",VLOOKUP(B137,CORRESPONDANCE[#All],2,FALSE),I138)</f>
        <v>35</v>
      </c>
      <c r="J137" s="222" t="str">
        <f t="shared" si="8"/>
        <v>6</v>
      </c>
      <c r="K137" s="44" t="str">
        <f t="shared" si="9"/>
        <v>HTR8 - 62261000</v>
      </c>
      <c r="L137" s="44" t="str">
        <f>+VLOOKUP(K137,TL[],4,FALSE)</f>
        <v>32</v>
      </c>
    </row>
    <row r="138" spans="1:12" x14ac:dyDescent="0.2">
      <c r="A138" t="s">
        <v>3632</v>
      </c>
      <c r="B138" t="s">
        <v>1205</v>
      </c>
      <c r="C138">
        <v>127.09</v>
      </c>
      <c r="D138" t="s">
        <v>6961</v>
      </c>
      <c r="E138">
        <v>127.09</v>
      </c>
      <c r="F138" t="s">
        <v>6961</v>
      </c>
      <c r="G138" s="220">
        <f t="shared" si="10"/>
        <v>127.09</v>
      </c>
      <c r="H138" s="220">
        <f t="shared" si="11"/>
        <v>127.09</v>
      </c>
      <c r="I138" s="221">
        <f>IF(A138="Total",VLOOKUP(B138,CORRESPONDANCE[#All],2,FALSE),I139)</f>
        <v>35</v>
      </c>
      <c r="J138" s="222" t="str">
        <f t="shared" si="8"/>
        <v>6</v>
      </c>
      <c r="K138" s="44" t="str">
        <f t="shared" si="9"/>
        <v>HTR8 - 62263000</v>
      </c>
      <c r="L138" s="44" t="str">
        <f>+VLOOKUP(K138,TL[],4,FALSE)</f>
        <v>32</v>
      </c>
    </row>
    <row r="139" spans="1:12" x14ac:dyDescent="0.2">
      <c r="A139" t="s">
        <v>197</v>
      </c>
      <c r="B139" t="s">
        <v>2591</v>
      </c>
      <c r="C139">
        <v>1029.0899999999999</v>
      </c>
      <c r="D139" t="s">
        <v>6961</v>
      </c>
      <c r="E139">
        <v>1029.0899999999999</v>
      </c>
      <c r="F139" t="s">
        <v>6961</v>
      </c>
      <c r="G139" s="220">
        <f t="shared" si="10"/>
        <v>1029.0899999999999</v>
      </c>
      <c r="H139" s="220">
        <f t="shared" si="11"/>
        <v>1029.0899999999999</v>
      </c>
      <c r="I139" s="221">
        <f>IF(A139="Total",VLOOKUP(B139,CORRESPONDANCE[#All],2,FALSE),I140)</f>
        <v>35</v>
      </c>
      <c r="J139" s="222" t="str">
        <f t="shared" si="8"/>
        <v>T</v>
      </c>
      <c r="K139" s="44" t="str">
        <f t="shared" si="9"/>
        <v>HTR8 - Total</v>
      </c>
      <c r="L139" s="44" t="e">
        <f>+VLOOKUP(K139,TL[],4,FALSE)</f>
        <v>#N/A</v>
      </c>
    </row>
    <row r="140" spans="1:12" x14ac:dyDescent="0.2">
      <c r="A140" t="s">
        <v>2716</v>
      </c>
      <c r="B140" t="s">
        <v>2292</v>
      </c>
      <c r="C140">
        <v>1000</v>
      </c>
      <c r="D140" t="s">
        <v>6961</v>
      </c>
      <c r="E140">
        <v>1000</v>
      </c>
      <c r="F140" t="s">
        <v>6961</v>
      </c>
      <c r="G140" s="220">
        <f t="shared" si="10"/>
        <v>1000</v>
      </c>
      <c r="H140" s="220">
        <f t="shared" si="11"/>
        <v>1000</v>
      </c>
      <c r="I140" s="221">
        <f>IF(A140="Total",VLOOKUP(B140,CORRESPONDANCE[#All],2,FALSE),I141)</f>
        <v>36</v>
      </c>
      <c r="J140" s="222" t="str">
        <f t="shared" si="8"/>
        <v>6</v>
      </c>
      <c r="K140" s="44" t="str">
        <f t="shared" si="9"/>
        <v>HTR8 - 61600100</v>
      </c>
      <c r="L140" s="44" t="str">
        <f>+VLOOKUP(K140,TL[],4,FALSE)</f>
        <v>33</v>
      </c>
    </row>
    <row r="141" spans="1:12" x14ac:dyDescent="0.2">
      <c r="A141" t="s">
        <v>197</v>
      </c>
      <c r="B141" t="s">
        <v>2592</v>
      </c>
      <c r="C141">
        <v>1000</v>
      </c>
      <c r="D141" t="s">
        <v>6961</v>
      </c>
      <c r="E141">
        <v>1000</v>
      </c>
      <c r="F141" t="s">
        <v>6961</v>
      </c>
      <c r="G141" s="220">
        <f t="shared" si="10"/>
        <v>1000</v>
      </c>
      <c r="H141" s="220">
        <f t="shared" si="11"/>
        <v>1000</v>
      </c>
      <c r="I141" s="221">
        <f>IF(A141="Total",VLOOKUP(B141,CORRESPONDANCE[#All],2,FALSE),I142)</f>
        <v>36</v>
      </c>
      <c r="J141" s="222" t="str">
        <f t="shared" si="8"/>
        <v>T</v>
      </c>
      <c r="K141" s="44" t="str">
        <f t="shared" si="9"/>
        <v>HTR8 - Total</v>
      </c>
      <c r="L141" s="44" t="e">
        <f>+VLOOKUP(K141,TL[],4,FALSE)</f>
        <v>#N/A</v>
      </c>
    </row>
    <row r="142" spans="1:12" x14ac:dyDescent="0.2">
      <c r="A142" t="s">
        <v>2717</v>
      </c>
      <c r="B142" t="s">
        <v>2398</v>
      </c>
      <c r="C142">
        <v>449.1</v>
      </c>
      <c r="D142" t="s">
        <v>6961</v>
      </c>
      <c r="E142">
        <v>449.1</v>
      </c>
      <c r="F142" t="s">
        <v>6961</v>
      </c>
      <c r="G142" s="220">
        <f t="shared" si="10"/>
        <v>449.1</v>
      </c>
      <c r="H142" s="220">
        <f t="shared" si="11"/>
        <v>449.1</v>
      </c>
      <c r="I142" s="221">
        <f>IF(A142="Total",VLOOKUP(B142,CORRESPONDANCE[#All],2,FALSE),I143)</f>
        <v>37</v>
      </c>
      <c r="J142" s="222" t="str">
        <f t="shared" si="8"/>
        <v>6</v>
      </c>
      <c r="K142" s="44" t="str">
        <f t="shared" si="9"/>
        <v>HTR8 - 63330000</v>
      </c>
      <c r="L142" s="44" t="str">
        <f>+VLOOKUP(K142,TL[],4,FALSE)</f>
        <v>34</v>
      </c>
    </row>
    <row r="143" spans="1:12" x14ac:dyDescent="0.2">
      <c r="A143" t="s">
        <v>2718</v>
      </c>
      <c r="B143" t="s">
        <v>331</v>
      </c>
      <c r="C143">
        <v>301.73</v>
      </c>
      <c r="D143" t="s">
        <v>6961</v>
      </c>
      <c r="E143">
        <v>301.73</v>
      </c>
      <c r="F143" t="s">
        <v>6961</v>
      </c>
      <c r="G143" s="220">
        <f t="shared" si="10"/>
        <v>301.73</v>
      </c>
      <c r="H143" s="220">
        <f t="shared" si="11"/>
        <v>301.73</v>
      </c>
      <c r="I143" s="221">
        <f>IF(A143="Total",VLOOKUP(B143,CORRESPONDANCE[#All],2,FALSE),I144)</f>
        <v>37</v>
      </c>
      <c r="J143" s="222" t="str">
        <f t="shared" si="8"/>
        <v>6</v>
      </c>
      <c r="K143" s="44" t="str">
        <f t="shared" si="9"/>
        <v>HTR8 - 63350000</v>
      </c>
      <c r="L143" s="44" t="str">
        <f>+VLOOKUP(K143,TL[],4,FALSE)</f>
        <v>34</v>
      </c>
    </row>
    <row r="144" spans="1:12" x14ac:dyDescent="0.2">
      <c r="A144" t="s">
        <v>2719</v>
      </c>
      <c r="B144" t="s">
        <v>1229</v>
      </c>
      <c r="C144">
        <v>185</v>
      </c>
      <c r="D144" t="s">
        <v>6961</v>
      </c>
      <c r="E144">
        <v>185</v>
      </c>
      <c r="F144" t="s">
        <v>6961</v>
      </c>
      <c r="G144" s="220">
        <f t="shared" si="10"/>
        <v>185</v>
      </c>
      <c r="H144" s="220">
        <f t="shared" si="11"/>
        <v>185</v>
      </c>
      <c r="I144" s="221">
        <f>IF(A144="Total",VLOOKUP(B144,CORRESPONDANCE[#All],2,FALSE),I145)</f>
        <v>37</v>
      </c>
      <c r="J144" s="222" t="str">
        <f t="shared" si="8"/>
        <v>6</v>
      </c>
      <c r="K144" s="44" t="str">
        <f t="shared" si="9"/>
        <v>HTR8 - 63511100</v>
      </c>
      <c r="L144" s="44" t="str">
        <f>+VLOOKUP(K144,TL[],4,FALSE)</f>
        <v>34</v>
      </c>
    </row>
    <row r="145" spans="1:12" x14ac:dyDescent="0.2">
      <c r="A145" t="s">
        <v>2720</v>
      </c>
      <c r="B145" t="s">
        <v>1230</v>
      </c>
      <c r="C145">
        <v>285</v>
      </c>
      <c r="D145" t="s">
        <v>6961</v>
      </c>
      <c r="E145">
        <v>285</v>
      </c>
      <c r="F145" t="s">
        <v>6961</v>
      </c>
      <c r="G145" s="220">
        <f t="shared" si="10"/>
        <v>285</v>
      </c>
      <c r="H145" s="220">
        <f t="shared" si="11"/>
        <v>285</v>
      </c>
      <c r="I145" s="221">
        <f>IF(A145="Total",VLOOKUP(B145,CORRESPONDANCE[#All],2,FALSE),I146)</f>
        <v>37</v>
      </c>
      <c r="J145" s="222" t="str">
        <f t="shared" si="8"/>
        <v>6</v>
      </c>
      <c r="K145" s="44" t="str">
        <f t="shared" si="9"/>
        <v>HTR8 - 63511200</v>
      </c>
      <c r="L145" s="44" t="str">
        <f>+VLOOKUP(K145,TL[],4,FALSE)</f>
        <v>34</v>
      </c>
    </row>
    <row r="146" spans="1:12" x14ac:dyDescent="0.2">
      <c r="A146" t="s">
        <v>2722</v>
      </c>
      <c r="B146" t="s">
        <v>1077</v>
      </c>
      <c r="C146">
        <v>127</v>
      </c>
      <c r="D146" t="s">
        <v>6961</v>
      </c>
      <c r="E146">
        <v>127</v>
      </c>
      <c r="F146" t="s">
        <v>6961</v>
      </c>
      <c r="G146" s="220">
        <f t="shared" si="10"/>
        <v>127</v>
      </c>
      <c r="H146" s="220">
        <f t="shared" si="11"/>
        <v>127</v>
      </c>
      <c r="I146" s="221">
        <f>IF(A146="Total",VLOOKUP(B146,CORRESPONDANCE[#All],2,FALSE),I147)</f>
        <v>37</v>
      </c>
      <c r="J146" s="222" t="str">
        <f t="shared" si="8"/>
        <v>6</v>
      </c>
      <c r="K146" s="44" t="str">
        <f t="shared" si="9"/>
        <v>HTR8 - 63553000</v>
      </c>
      <c r="L146" s="44" t="str">
        <f>+VLOOKUP(K146,TL[],4,FALSE)</f>
        <v>34</v>
      </c>
    </row>
    <row r="147" spans="1:12" x14ac:dyDescent="0.2">
      <c r="A147" t="s">
        <v>2723</v>
      </c>
      <c r="B147" t="s">
        <v>2256</v>
      </c>
      <c r="C147">
        <v>500</v>
      </c>
      <c r="D147" t="s">
        <v>6961</v>
      </c>
      <c r="E147">
        <v>500</v>
      </c>
      <c r="F147" t="s">
        <v>6961</v>
      </c>
      <c r="G147" s="220">
        <f t="shared" si="10"/>
        <v>500</v>
      </c>
      <c r="H147" s="220">
        <f t="shared" si="11"/>
        <v>500</v>
      </c>
      <c r="I147" s="221">
        <f>IF(A147="Total",VLOOKUP(B147,CORRESPONDANCE[#All],2,FALSE),I148)</f>
        <v>37</v>
      </c>
      <c r="J147" s="222" t="str">
        <f t="shared" si="8"/>
        <v>6</v>
      </c>
      <c r="K147" s="44" t="str">
        <f t="shared" si="9"/>
        <v>HTR8 - 63730000</v>
      </c>
      <c r="L147" s="44" t="str">
        <f>+VLOOKUP(K147,TL[],4,FALSE)</f>
        <v>34</v>
      </c>
    </row>
    <row r="148" spans="1:12" x14ac:dyDescent="0.2">
      <c r="A148" t="s">
        <v>197</v>
      </c>
      <c r="B148" t="s">
        <v>2593</v>
      </c>
      <c r="C148">
        <v>1847.83</v>
      </c>
      <c r="D148" t="s">
        <v>6961</v>
      </c>
      <c r="E148">
        <v>1847.83</v>
      </c>
      <c r="F148" t="s">
        <v>6961</v>
      </c>
      <c r="G148" s="220">
        <f t="shared" si="10"/>
        <v>1847.83</v>
      </c>
      <c r="H148" s="220">
        <f t="shared" si="11"/>
        <v>1847.83</v>
      </c>
      <c r="I148" s="221">
        <f>IF(A148="Total",VLOOKUP(B148,CORRESPONDANCE[#All],2,FALSE),I149)</f>
        <v>37</v>
      </c>
      <c r="J148" s="222" t="str">
        <f t="shared" si="8"/>
        <v>T</v>
      </c>
      <c r="K148" s="44" t="str">
        <f t="shared" si="9"/>
        <v>HTR8 - Total</v>
      </c>
      <c r="L148" s="44" t="e">
        <f>+VLOOKUP(K148,TL[],4,FALSE)</f>
        <v>#N/A</v>
      </c>
    </row>
    <row r="149" spans="1:12" x14ac:dyDescent="0.2">
      <c r="A149" t="s">
        <v>2724</v>
      </c>
      <c r="B149" t="s">
        <v>247</v>
      </c>
      <c r="C149">
        <v>5500</v>
      </c>
      <c r="D149" t="s">
        <v>6961</v>
      </c>
      <c r="E149">
        <v>5500</v>
      </c>
      <c r="F149" t="s">
        <v>6961</v>
      </c>
      <c r="G149" s="220">
        <f t="shared" si="10"/>
        <v>5500</v>
      </c>
      <c r="H149" s="220">
        <f t="shared" si="11"/>
        <v>5500</v>
      </c>
      <c r="I149" s="221">
        <f>IF(A149="Total",VLOOKUP(B149,CORRESPONDANCE[#All],2,FALSE),I150)</f>
        <v>38</v>
      </c>
      <c r="J149" s="222" t="str">
        <f t="shared" si="8"/>
        <v>6</v>
      </c>
      <c r="K149" s="44" t="str">
        <f t="shared" si="9"/>
        <v>HTR8 - 68111000</v>
      </c>
      <c r="L149" s="44" t="str">
        <f>+VLOOKUP(K149,TL[],4,FALSE)</f>
        <v>36</v>
      </c>
    </row>
    <row r="150" spans="1:12" x14ac:dyDescent="0.2">
      <c r="A150" t="s">
        <v>197</v>
      </c>
      <c r="B150" t="s">
        <v>2594</v>
      </c>
      <c r="C150">
        <v>5500</v>
      </c>
      <c r="D150" t="s">
        <v>6961</v>
      </c>
      <c r="E150">
        <v>5500</v>
      </c>
      <c r="F150" t="s">
        <v>6961</v>
      </c>
      <c r="G150" s="220">
        <f t="shared" si="10"/>
        <v>5500</v>
      </c>
      <c r="H150" s="220">
        <f t="shared" si="11"/>
        <v>5500</v>
      </c>
      <c r="I150" s="221">
        <f>IF(A150="Total",VLOOKUP(B150,CORRESPONDANCE[#All],2,FALSE),I151)</f>
        <v>38</v>
      </c>
      <c r="J150" s="222" t="str">
        <f t="shared" si="8"/>
        <v>T</v>
      </c>
      <c r="K150" s="44" t="str">
        <f t="shared" si="9"/>
        <v>HTR8 - Total</v>
      </c>
      <c r="L150" s="44" t="e">
        <f>+VLOOKUP(K150,TL[],4,FALSE)</f>
        <v>#N/A</v>
      </c>
    </row>
    <row r="151" spans="1:12" x14ac:dyDescent="0.2">
      <c r="A151" t="s">
        <v>2662</v>
      </c>
      <c r="B151" t="s">
        <v>2401</v>
      </c>
      <c r="C151">
        <v>541.09</v>
      </c>
      <c r="D151" t="s">
        <v>6961</v>
      </c>
      <c r="E151">
        <v>541.09</v>
      </c>
      <c r="F151" t="s">
        <v>6961</v>
      </c>
      <c r="G151" s="220">
        <f t="shared" si="10"/>
        <v>541.09</v>
      </c>
      <c r="H151" s="220">
        <f t="shared" si="11"/>
        <v>541.09</v>
      </c>
      <c r="I151" s="221">
        <f>IF(A151="Total",VLOOKUP(B151,CORRESPONDANCE[#All],2,FALSE),I152)</f>
        <v>39</v>
      </c>
      <c r="J151" s="222" t="str">
        <f t="shared" si="8"/>
        <v>6</v>
      </c>
      <c r="K151" s="44" t="str">
        <f t="shared" si="9"/>
        <v>HTR8 - 61301900</v>
      </c>
      <c r="L151" s="44" t="str">
        <f>+VLOOKUP(K151,TL[],4,FALSE)</f>
        <v>16</v>
      </c>
    </row>
    <row r="152" spans="1:12" x14ac:dyDescent="0.2">
      <c r="A152" t="s">
        <v>7036</v>
      </c>
      <c r="B152" t="s">
        <v>7037</v>
      </c>
      <c r="C152">
        <v>135.29</v>
      </c>
      <c r="D152" t="s">
        <v>6961</v>
      </c>
      <c r="E152">
        <v>135.29</v>
      </c>
      <c r="F152" t="s">
        <v>6961</v>
      </c>
      <c r="G152" s="220">
        <f t="shared" si="10"/>
        <v>135.29</v>
      </c>
      <c r="H152" s="220">
        <f t="shared" si="11"/>
        <v>135.29</v>
      </c>
      <c r="I152" s="221">
        <f>IF(A152="Total",VLOOKUP(B152,CORRESPONDANCE[#All],2,FALSE),I153)</f>
        <v>39</v>
      </c>
      <c r="J152" s="222" t="str">
        <f t="shared" si="8"/>
        <v>6</v>
      </c>
      <c r="K152" s="44" t="str">
        <f t="shared" si="9"/>
        <v>HTR8 - 61325000</v>
      </c>
      <c r="L152" s="44" t="e">
        <f>+VLOOKUP(K152,TL[],4,FALSE)</f>
        <v>#N/A</v>
      </c>
    </row>
    <row r="153" spans="1:12" x14ac:dyDescent="0.2">
      <c r="A153" t="s">
        <v>197</v>
      </c>
      <c r="B153" t="s">
        <v>3028</v>
      </c>
      <c r="C153">
        <v>676.38</v>
      </c>
      <c r="D153" t="s">
        <v>6961</v>
      </c>
      <c r="E153">
        <v>676.38</v>
      </c>
      <c r="F153" t="s">
        <v>6961</v>
      </c>
      <c r="G153" s="220">
        <f t="shared" si="10"/>
        <v>676.38</v>
      </c>
      <c r="H153" s="220">
        <f t="shared" si="11"/>
        <v>676.38</v>
      </c>
      <c r="I153" s="221">
        <f>IF(A153="Total",VLOOKUP(B153,CORRESPONDANCE[#All],2,FALSE),I154)</f>
        <v>39</v>
      </c>
      <c r="J153" s="222" t="str">
        <f t="shared" si="8"/>
        <v>T</v>
      </c>
      <c r="K153" s="44" t="str">
        <f t="shared" si="9"/>
        <v>HTR8 - Total</v>
      </c>
      <c r="L153" s="44" t="e">
        <f>+VLOOKUP(K153,TL[],4,FALSE)</f>
        <v>#N/A</v>
      </c>
    </row>
    <row r="154" spans="1:12" x14ac:dyDescent="0.2">
      <c r="A154" t="s">
        <v>2727</v>
      </c>
      <c r="B154" t="s">
        <v>7038</v>
      </c>
      <c r="C154">
        <v>564.75</v>
      </c>
      <c r="D154" t="s">
        <v>6961</v>
      </c>
      <c r="E154">
        <v>564.75</v>
      </c>
      <c r="F154" t="s">
        <v>6961</v>
      </c>
      <c r="G154" s="220">
        <f t="shared" si="10"/>
        <v>564.75</v>
      </c>
      <c r="H154" s="220">
        <f t="shared" si="11"/>
        <v>564.75</v>
      </c>
      <c r="I154" s="221">
        <f>IF(A154="Total",VLOOKUP(B154,CORRESPONDANCE[#All],2,FALSE),I155)</f>
        <v>40</v>
      </c>
      <c r="J154" s="222" t="str">
        <f t="shared" si="8"/>
        <v>6</v>
      </c>
      <c r="K154" s="44" t="str">
        <f t="shared" si="9"/>
        <v>HTR8 - 61301700</v>
      </c>
      <c r="L154" s="44" t="str">
        <f>+VLOOKUP(K154,TL[],4,FALSE)</f>
        <v>39</v>
      </c>
    </row>
    <row r="155" spans="1:12" x14ac:dyDescent="0.2">
      <c r="A155" t="s">
        <v>2730</v>
      </c>
      <c r="B155" t="s">
        <v>7039</v>
      </c>
      <c r="C155">
        <v>259.58</v>
      </c>
      <c r="D155" t="s">
        <v>6961</v>
      </c>
      <c r="E155">
        <v>259.58</v>
      </c>
      <c r="F155" t="s">
        <v>6961</v>
      </c>
      <c r="G155" s="220">
        <f t="shared" si="10"/>
        <v>259.58</v>
      </c>
      <c r="H155" s="220">
        <f t="shared" si="11"/>
        <v>259.58</v>
      </c>
      <c r="I155" s="221">
        <f>IF(A155="Total",VLOOKUP(B155,CORRESPONDANCE[#All],2,FALSE),I156)</f>
        <v>40</v>
      </c>
      <c r="J155" s="222" t="str">
        <f t="shared" si="8"/>
        <v>6</v>
      </c>
      <c r="K155" s="44" t="str">
        <f t="shared" si="9"/>
        <v>HTR8 - 61302200</v>
      </c>
      <c r="L155" s="44" t="str">
        <f>+VLOOKUP(K155,TL[],4,FALSE)</f>
        <v>39</v>
      </c>
    </row>
    <row r="156" spans="1:12" x14ac:dyDescent="0.2">
      <c r="A156" t="s">
        <v>7040</v>
      </c>
      <c r="B156" t="s">
        <v>7041</v>
      </c>
      <c r="C156">
        <v>411.97</v>
      </c>
      <c r="D156" t="s">
        <v>6961</v>
      </c>
      <c r="E156">
        <v>411.97</v>
      </c>
      <c r="F156" t="s">
        <v>6961</v>
      </c>
      <c r="G156" s="220">
        <f t="shared" si="10"/>
        <v>411.97</v>
      </c>
      <c r="H156" s="220">
        <f t="shared" si="11"/>
        <v>411.97</v>
      </c>
      <c r="I156" s="221">
        <f>IF(A156="Total",VLOOKUP(B156,CORRESPONDANCE[#All],2,FALSE),I157)</f>
        <v>40</v>
      </c>
      <c r="J156" s="222" t="str">
        <f t="shared" si="8"/>
        <v>6</v>
      </c>
      <c r="K156" s="44" t="str">
        <f t="shared" si="9"/>
        <v>HTR8 - 61302500</v>
      </c>
      <c r="L156" s="44" t="e">
        <f>+VLOOKUP(K156,TL[],4,FALSE)</f>
        <v>#N/A</v>
      </c>
    </row>
    <row r="157" spans="1:12" x14ac:dyDescent="0.2">
      <c r="A157" t="s">
        <v>6154</v>
      </c>
      <c r="B157" t="s">
        <v>7042</v>
      </c>
      <c r="C157">
        <v>429.58</v>
      </c>
      <c r="D157" t="s">
        <v>6961</v>
      </c>
      <c r="E157">
        <v>429.58</v>
      </c>
      <c r="F157" t="s">
        <v>6961</v>
      </c>
      <c r="G157" s="220">
        <f t="shared" si="10"/>
        <v>429.58</v>
      </c>
      <c r="H157" s="220">
        <f t="shared" si="11"/>
        <v>429.58</v>
      </c>
      <c r="I157" s="221">
        <f>IF(A157="Total",VLOOKUP(B157,CORRESPONDANCE[#All],2,FALSE),I158)</f>
        <v>40</v>
      </c>
      <c r="J157" s="222" t="str">
        <f t="shared" si="8"/>
        <v>6</v>
      </c>
      <c r="K157" s="44" t="str">
        <f t="shared" si="9"/>
        <v>HTR8 - 62140300</v>
      </c>
      <c r="L157" s="44" t="str">
        <f>+VLOOKUP(K157,TL[],4,FALSE)</f>
        <v>39</v>
      </c>
    </row>
    <row r="158" spans="1:12" x14ac:dyDescent="0.2">
      <c r="A158" t="s">
        <v>3695</v>
      </c>
      <c r="B158" t="s">
        <v>164</v>
      </c>
      <c r="C158">
        <v>0.01</v>
      </c>
      <c r="D158" t="s">
        <v>6961</v>
      </c>
      <c r="E158">
        <v>0.01</v>
      </c>
      <c r="F158" t="s">
        <v>6961</v>
      </c>
      <c r="G158" s="220">
        <f t="shared" si="10"/>
        <v>0.01</v>
      </c>
      <c r="H158" s="220">
        <f t="shared" si="11"/>
        <v>0.01</v>
      </c>
      <c r="I158" s="221">
        <f>IF(A158="Total",VLOOKUP(B158,CORRESPONDANCE[#All],2,FALSE),I159)</f>
        <v>40</v>
      </c>
      <c r="J158" s="222" t="str">
        <f t="shared" si="8"/>
        <v>6</v>
      </c>
      <c r="K158" s="44" t="str">
        <f t="shared" si="9"/>
        <v>HTR8 - 65800000</v>
      </c>
      <c r="L158" s="44" t="str">
        <f>+VLOOKUP(K158,TL[],4,FALSE)</f>
        <v>39</v>
      </c>
    </row>
    <row r="159" spans="1:12" x14ac:dyDescent="0.2">
      <c r="A159" t="s">
        <v>6684</v>
      </c>
      <c r="B159" t="s">
        <v>6685</v>
      </c>
      <c r="C159" t="s">
        <v>6961</v>
      </c>
      <c r="D159">
        <v>1238.3</v>
      </c>
      <c r="E159" t="s">
        <v>6961</v>
      </c>
      <c r="F159">
        <v>1238.3</v>
      </c>
      <c r="G159" s="220">
        <f t="shared" si="10"/>
        <v>-1238.3</v>
      </c>
      <c r="H159" s="220">
        <f t="shared" si="11"/>
        <v>-1238.3</v>
      </c>
      <c r="I159" s="221">
        <f>IF(A159="Total",VLOOKUP(B159,CORRESPONDANCE[#All],2,FALSE),I160)</f>
        <v>40</v>
      </c>
      <c r="J159" s="222" t="str">
        <f t="shared" si="8"/>
        <v>7</v>
      </c>
      <c r="K159" s="44" t="str">
        <f t="shared" si="9"/>
        <v>HTR8 - 70811200</v>
      </c>
      <c r="L159" s="44" t="str">
        <f>+VLOOKUP(K159,TL[],4,FALSE)</f>
        <v>39</v>
      </c>
    </row>
    <row r="160" spans="1:12" x14ac:dyDescent="0.2">
      <c r="A160" t="s">
        <v>197</v>
      </c>
      <c r="B160" t="s">
        <v>2603</v>
      </c>
      <c r="C160">
        <v>427.59</v>
      </c>
      <c r="D160" t="s">
        <v>6961</v>
      </c>
      <c r="E160">
        <v>427.59</v>
      </c>
      <c r="F160" t="s">
        <v>6961</v>
      </c>
      <c r="G160" s="220">
        <f t="shared" si="10"/>
        <v>427.59</v>
      </c>
      <c r="H160" s="220">
        <f t="shared" si="11"/>
        <v>427.59</v>
      </c>
      <c r="I160" s="221">
        <f>IF(A160="Total",VLOOKUP(B160,CORRESPONDANCE[#All],2,FALSE),I161)</f>
        <v>40</v>
      </c>
      <c r="J160" s="222" t="str">
        <f t="shared" si="8"/>
        <v>T</v>
      </c>
      <c r="K160" s="44" t="str">
        <f t="shared" si="9"/>
        <v>HTR8 - Total</v>
      </c>
      <c r="L160" s="44" t="e">
        <f>+VLOOKUP(K160,TL[],4,FALSE)</f>
        <v>#N/A</v>
      </c>
    </row>
    <row r="161" spans="1:12" x14ac:dyDescent="0.2">
      <c r="A161" t="s">
        <v>2738</v>
      </c>
      <c r="B161" t="s">
        <v>2418</v>
      </c>
      <c r="C161">
        <v>14101</v>
      </c>
      <c r="D161" t="s">
        <v>6961</v>
      </c>
      <c r="E161">
        <v>14101</v>
      </c>
      <c r="F161" t="s">
        <v>6961</v>
      </c>
      <c r="G161" s="220">
        <f t="shared" si="10"/>
        <v>14101</v>
      </c>
      <c r="H161" s="220">
        <f t="shared" si="11"/>
        <v>14101</v>
      </c>
      <c r="I161" s="221">
        <f>IF(A161="Total",VLOOKUP(B161,CORRESPONDANCE[#All],2,FALSE),I162)</f>
        <v>46</v>
      </c>
      <c r="J161" s="222" t="str">
        <f t="shared" si="8"/>
        <v>6</v>
      </c>
      <c r="K161" s="44" t="str">
        <f t="shared" si="9"/>
        <v>HTR8 - 62821000</v>
      </c>
      <c r="L161" s="44" t="str">
        <f>+VLOOKUP(K161,TL[],4,FALSE)</f>
        <v>51</v>
      </c>
    </row>
    <row r="162" spans="1:12" x14ac:dyDescent="0.2">
      <c r="A162" t="s">
        <v>2739</v>
      </c>
      <c r="B162" t="s">
        <v>2131</v>
      </c>
      <c r="C162">
        <v>833.33</v>
      </c>
      <c r="D162" t="s">
        <v>6961</v>
      </c>
      <c r="E162">
        <v>833.33</v>
      </c>
      <c r="F162" t="s">
        <v>6961</v>
      </c>
      <c r="G162" s="220">
        <f t="shared" si="10"/>
        <v>833.33</v>
      </c>
      <c r="H162" s="220">
        <f t="shared" si="11"/>
        <v>833.33</v>
      </c>
      <c r="I162" s="221">
        <f>IF(A162="Total",VLOOKUP(B162,CORRESPONDANCE[#All],2,FALSE),I163)</f>
        <v>46</v>
      </c>
      <c r="J162" s="222" t="str">
        <f t="shared" si="8"/>
        <v>6</v>
      </c>
      <c r="K162" s="44" t="str">
        <f t="shared" si="9"/>
        <v>HTR8 - 62850000</v>
      </c>
      <c r="L162" s="44" t="str">
        <f>+VLOOKUP(K162,TL[],4,FALSE)</f>
        <v>51</v>
      </c>
    </row>
    <row r="163" spans="1:12" x14ac:dyDescent="0.2">
      <c r="A163" t="s">
        <v>197</v>
      </c>
      <c r="B163" t="s">
        <v>2607</v>
      </c>
      <c r="C163">
        <v>14934.33</v>
      </c>
      <c r="D163" t="s">
        <v>6961</v>
      </c>
      <c r="E163">
        <v>14934.33</v>
      </c>
      <c r="F163" t="s">
        <v>6961</v>
      </c>
      <c r="G163" s="220">
        <f t="shared" si="10"/>
        <v>14934.33</v>
      </c>
      <c r="H163" s="220">
        <f t="shared" si="11"/>
        <v>14934.33</v>
      </c>
      <c r="I163" s="221">
        <f>IF(A163="Total",VLOOKUP(B163,CORRESPONDANCE[#All],2,FALSE),I164)</f>
        <v>46</v>
      </c>
      <c r="J163" s="222" t="str">
        <f t="shared" si="8"/>
        <v>T</v>
      </c>
      <c r="K163" s="44" t="str">
        <f t="shared" si="9"/>
        <v>HTR8 - Total</v>
      </c>
      <c r="L163" s="44" t="e">
        <f>+VLOOKUP(K163,TL[],4,FALSE)</f>
        <v>#N/A</v>
      </c>
    </row>
    <row r="164" spans="1:12" x14ac:dyDescent="0.2">
      <c r="A164" t="s">
        <v>2740</v>
      </c>
      <c r="B164" t="s">
        <v>256</v>
      </c>
      <c r="C164" t="s">
        <v>6961</v>
      </c>
      <c r="D164">
        <v>3530.78</v>
      </c>
      <c r="E164" t="s">
        <v>6961</v>
      </c>
      <c r="F164">
        <v>3530.78</v>
      </c>
      <c r="G164" s="220">
        <f t="shared" ref="G164:G187" si="12">SUM(C164)-SUM(D164)</f>
        <v>-3530.78</v>
      </c>
      <c r="H164" s="220">
        <f t="shared" ref="H164:H187" si="13">SUM(E164)-SUM(F164)</f>
        <v>-3530.78</v>
      </c>
      <c r="I164" s="221" t="str">
        <f>IF(A164="Total",VLOOKUP(B164,CORRESPONDANCE[#All],2,FALSE),I165)</f>
        <v>41.1</v>
      </c>
      <c r="J164" s="222" t="str">
        <f t="shared" ref="J164:J187" si="14">LEFT(A164,1)</f>
        <v>7</v>
      </c>
      <c r="K164" s="44" t="str">
        <f t="shared" ref="K164:K187" si="15">"HTR8"&amp;" - "&amp;A164</f>
        <v>HTR8 - 70230000</v>
      </c>
      <c r="L164" s="44" t="str">
        <f>+VLOOKUP(K164,TL[],4,FALSE)</f>
        <v>60</v>
      </c>
    </row>
    <row r="165" spans="1:12" x14ac:dyDescent="0.2">
      <c r="A165" t="s">
        <v>197</v>
      </c>
      <c r="B165" t="s">
        <v>2609</v>
      </c>
      <c r="C165" t="s">
        <v>6961</v>
      </c>
      <c r="D165">
        <v>3530.78</v>
      </c>
      <c r="E165" t="s">
        <v>6961</v>
      </c>
      <c r="F165">
        <v>3530.78</v>
      </c>
      <c r="G165" s="220">
        <f t="shared" si="12"/>
        <v>-3530.78</v>
      </c>
      <c r="H165" s="220">
        <f t="shared" si="13"/>
        <v>-3530.78</v>
      </c>
      <c r="I165" s="221" t="str">
        <f>IF(A165="Total",VLOOKUP(B165,CORRESPONDANCE[#All],2,FALSE),I166)</f>
        <v>41.1</v>
      </c>
      <c r="J165" s="222" t="str">
        <f t="shared" si="14"/>
        <v>T</v>
      </c>
      <c r="K165" s="44" t="str">
        <f t="shared" si="15"/>
        <v>HTR8 - Total</v>
      </c>
      <c r="L165" s="44" t="e">
        <f>+VLOOKUP(K165,TL[],4,FALSE)</f>
        <v>#N/A</v>
      </c>
    </row>
    <row r="166" spans="1:12" x14ac:dyDescent="0.2">
      <c r="A166" t="s">
        <v>2741</v>
      </c>
      <c r="B166" t="s">
        <v>268</v>
      </c>
      <c r="C166">
        <v>1627.81</v>
      </c>
      <c r="D166" t="s">
        <v>6961</v>
      </c>
      <c r="E166">
        <v>1627.81</v>
      </c>
      <c r="F166" t="s">
        <v>6961</v>
      </c>
      <c r="G166" s="220">
        <f t="shared" si="12"/>
        <v>1627.81</v>
      </c>
      <c r="H166" s="220">
        <f t="shared" si="13"/>
        <v>1627.81</v>
      </c>
      <c r="I166" s="221" t="str">
        <f>IF(A166="Total",VLOOKUP(B166,CORRESPONDANCE[#All],2,FALSE),I167)</f>
        <v>41.2</v>
      </c>
      <c r="J166" s="222" t="str">
        <f t="shared" si="14"/>
        <v>6</v>
      </c>
      <c r="K166" s="44" t="str">
        <f t="shared" si="15"/>
        <v>HTR8 - 60220200</v>
      </c>
      <c r="L166" s="44" t="str">
        <f>+VLOOKUP(K166,TL[],4,FALSE)</f>
        <v>62</v>
      </c>
    </row>
    <row r="167" spans="1:12" x14ac:dyDescent="0.2">
      <c r="A167" t="s">
        <v>2742</v>
      </c>
      <c r="B167" t="s">
        <v>1150</v>
      </c>
      <c r="C167">
        <v>2237.5500000000002</v>
      </c>
      <c r="D167" t="s">
        <v>6961</v>
      </c>
      <c r="E167">
        <v>2237.5500000000002</v>
      </c>
      <c r="F167" t="s">
        <v>6961</v>
      </c>
      <c r="G167" s="220">
        <f t="shared" si="12"/>
        <v>2237.5500000000002</v>
      </c>
      <c r="H167" s="220">
        <f t="shared" si="13"/>
        <v>2237.5500000000002</v>
      </c>
      <c r="I167" s="221" t="str">
        <f>IF(A167="Total",VLOOKUP(B167,CORRESPONDANCE[#All],2,FALSE),I168)</f>
        <v>41.2</v>
      </c>
      <c r="J167" s="222" t="str">
        <f t="shared" si="14"/>
        <v>6</v>
      </c>
      <c r="K167" s="44" t="str">
        <f t="shared" si="15"/>
        <v>HTR8 - 60320100</v>
      </c>
      <c r="L167" s="44" t="str">
        <f>+VLOOKUP(K167,TL[],4,FALSE)</f>
        <v>62</v>
      </c>
    </row>
    <row r="168" spans="1:12" x14ac:dyDescent="0.2">
      <c r="A168" t="s">
        <v>2743</v>
      </c>
      <c r="B168" t="s">
        <v>1499</v>
      </c>
      <c r="C168">
        <v>56.28</v>
      </c>
      <c r="D168" t="s">
        <v>6961</v>
      </c>
      <c r="E168">
        <v>56.28</v>
      </c>
      <c r="F168" t="s">
        <v>6961</v>
      </c>
      <c r="G168" s="220">
        <f t="shared" si="12"/>
        <v>56.28</v>
      </c>
      <c r="H168" s="220">
        <f t="shared" si="13"/>
        <v>56.28</v>
      </c>
      <c r="I168" s="221" t="str">
        <f>IF(A168="Total",VLOOKUP(B168,CORRESPONDANCE[#All],2,FALSE),I169)</f>
        <v>41.2</v>
      </c>
      <c r="J168" s="222" t="str">
        <f t="shared" si="14"/>
        <v>6</v>
      </c>
      <c r="K168" s="44" t="str">
        <f t="shared" si="15"/>
        <v>HTR8 - 62802400</v>
      </c>
      <c r="L168" s="44" t="str">
        <f>+VLOOKUP(K168,TL[],4,FALSE)</f>
        <v>62</v>
      </c>
    </row>
    <row r="169" spans="1:12" x14ac:dyDescent="0.2">
      <c r="A169" t="s">
        <v>7043</v>
      </c>
      <c r="B169" t="s">
        <v>7044</v>
      </c>
      <c r="C169">
        <v>10.9</v>
      </c>
      <c r="D169" t="s">
        <v>6961</v>
      </c>
      <c r="E169">
        <v>10.9</v>
      </c>
      <c r="F169" t="s">
        <v>6961</v>
      </c>
      <c r="G169" s="220">
        <f t="shared" si="12"/>
        <v>10.9</v>
      </c>
      <c r="H169" s="220">
        <f t="shared" si="13"/>
        <v>10.9</v>
      </c>
      <c r="I169" s="221" t="str">
        <f>IF(A169="Total",VLOOKUP(B169,CORRESPONDANCE[#All],2,FALSE),I170)</f>
        <v>41.2</v>
      </c>
      <c r="J169" s="222" t="str">
        <f t="shared" si="14"/>
        <v>6</v>
      </c>
      <c r="K169" s="44" t="str">
        <f t="shared" si="15"/>
        <v>HTR8 - 62802500</v>
      </c>
      <c r="L169" s="44" t="e">
        <f>+VLOOKUP(K169,TL[],4,FALSE)</f>
        <v>#N/A</v>
      </c>
    </row>
    <row r="170" spans="1:12" x14ac:dyDescent="0.2">
      <c r="A170" t="s">
        <v>197</v>
      </c>
      <c r="B170" t="s">
        <v>2611</v>
      </c>
      <c r="C170">
        <v>3932.54</v>
      </c>
      <c r="D170" t="s">
        <v>6961</v>
      </c>
      <c r="E170">
        <v>3932.54</v>
      </c>
      <c r="F170" t="s">
        <v>6961</v>
      </c>
      <c r="G170" s="220">
        <f t="shared" si="12"/>
        <v>3932.54</v>
      </c>
      <c r="H170" s="220">
        <f t="shared" si="13"/>
        <v>3932.54</v>
      </c>
      <c r="I170" s="221" t="str">
        <f>IF(A170="Total",VLOOKUP(B170,CORRESPONDANCE[#All],2,FALSE),I171)</f>
        <v>41.2</v>
      </c>
      <c r="J170" s="222" t="str">
        <f t="shared" si="14"/>
        <v>T</v>
      </c>
      <c r="K170" s="44" t="str">
        <f t="shared" si="15"/>
        <v>HTR8 - Total</v>
      </c>
      <c r="L170" s="44" t="e">
        <f>+VLOOKUP(K170,TL[],4,FALSE)</f>
        <v>#N/A</v>
      </c>
    </row>
    <row r="171" spans="1:12" x14ac:dyDescent="0.2">
      <c r="A171" t="s">
        <v>6961</v>
      </c>
      <c r="B171" t="s">
        <v>2612</v>
      </c>
      <c r="C171">
        <v>232131.97</v>
      </c>
      <c r="D171">
        <v>224969.2</v>
      </c>
      <c r="E171">
        <v>232131.97</v>
      </c>
      <c r="F171">
        <v>224969.2</v>
      </c>
      <c r="G171" s="220">
        <f t="shared" si="12"/>
        <v>7162.7699999999895</v>
      </c>
      <c r="H171" s="220">
        <f t="shared" si="13"/>
        <v>7162.7699999999895</v>
      </c>
      <c r="I171" s="221">
        <f>IF(A171="Total",VLOOKUP(B171,CORRESPONDANCE[#All],2,FALSE),I172)</f>
        <v>0</v>
      </c>
      <c r="J171" s="222" t="str">
        <f t="shared" si="14"/>
        <v/>
      </c>
      <c r="K171" s="44" t="str">
        <f t="shared" si="15"/>
        <v xml:space="preserve">HTR8 - </v>
      </c>
      <c r="L171" s="44" t="e">
        <f>+VLOOKUP(K171,TL[],4,FALSE)</f>
        <v>#N/A</v>
      </c>
    </row>
    <row r="172" spans="1:12" x14ac:dyDescent="0.2">
      <c r="G172" s="220">
        <f t="shared" si="12"/>
        <v>0</v>
      </c>
      <c r="H172" s="220">
        <f t="shared" si="13"/>
        <v>0</v>
      </c>
      <c r="I172" s="221">
        <f>IF(A172="Total",VLOOKUP(B172,CORRESPONDANCE[#All],2,FALSE),I173)</f>
        <v>0</v>
      </c>
      <c r="J172" s="222" t="str">
        <f t="shared" si="14"/>
        <v/>
      </c>
      <c r="K172" s="44" t="str">
        <f t="shared" si="15"/>
        <v xml:space="preserve">HTR8 - </v>
      </c>
      <c r="L172" s="44" t="e">
        <f>+VLOOKUP(K172,TL[],4,FALSE)</f>
        <v>#N/A</v>
      </c>
    </row>
    <row r="173" spans="1:12" x14ac:dyDescent="0.2">
      <c r="G173" s="220">
        <f t="shared" si="12"/>
        <v>0</v>
      </c>
      <c r="H173" s="220">
        <f t="shared" si="13"/>
        <v>0</v>
      </c>
      <c r="I173" s="221">
        <f>IF(A173="Total",VLOOKUP(B173,CORRESPONDANCE[#All],2,FALSE),I174)</f>
        <v>0</v>
      </c>
      <c r="J173" s="222" t="str">
        <f t="shared" si="14"/>
        <v/>
      </c>
      <c r="K173" s="44" t="str">
        <f t="shared" si="15"/>
        <v xml:space="preserve">HTR8 - </v>
      </c>
      <c r="L173" s="44" t="e">
        <f>+VLOOKUP(K173,TL[],4,FALSE)</f>
        <v>#N/A</v>
      </c>
    </row>
    <row r="174" spans="1:12" x14ac:dyDescent="0.2">
      <c r="G174" s="220">
        <f t="shared" si="12"/>
        <v>0</v>
      </c>
      <c r="H174" s="220">
        <f t="shared" si="13"/>
        <v>0</v>
      </c>
      <c r="I174" s="221">
        <f>IF(A174="Total",VLOOKUP(B174,CORRESPONDANCE[#All],2,FALSE),I175)</f>
        <v>0</v>
      </c>
      <c r="J174" s="222" t="str">
        <f t="shared" si="14"/>
        <v/>
      </c>
      <c r="K174" s="44" t="str">
        <f t="shared" si="15"/>
        <v xml:space="preserve">HTR8 - </v>
      </c>
      <c r="L174" s="44" t="e">
        <f>+VLOOKUP(K174,TL[],4,FALSE)</f>
        <v>#N/A</v>
      </c>
    </row>
    <row r="175" spans="1:12" x14ac:dyDescent="0.2">
      <c r="G175" s="220">
        <f t="shared" si="12"/>
        <v>0</v>
      </c>
      <c r="H175" s="220">
        <f t="shared" si="13"/>
        <v>0</v>
      </c>
      <c r="I175" s="221">
        <f>IF(A175="Total",VLOOKUP(B175,CORRESPONDANCE[#All],2,FALSE),I176)</f>
        <v>0</v>
      </c>
      <c r="J175" s="222" t="str">
        <f t="shared" si="14"/>
        <v/>
      </c>
      <c r="K175" s="44" t="str">
        <f t="shared" si="15"/>
        <v xml:space="preserve">HTR8 - </v>
      </c>
      <c r="L175" s="44" t="e">
        <f>+VLOOKUP(K175,TL[],4,FALSE)</f>
        <v>#N/A</v>
      </c>
    </row>
    <row r="176" spans="1:12" x14ac:dyDescent="0.2">
      <c r="G176" s="220">
        <f t="shared" si="12"/>
        <v>0</v>
      </c>
      <c r="H176" s="220">
        <f t="shared" si="13"/>
        <v>0</v>
      </c>
      <c r="I176" s="221">
        <f>IF(A176="Total",VLOOKUP(B176,CORRESPONDANCE[#All],2,FALSE),I177)</f>
        <v>0</v>
      </c>
      <c r="J176" s="222" t="str">
        <f t="shared" si="14"/>
        <v/>
      </c>
      <c r="K176" s="44" t="str">
        <f t="shared" si="15"/>
        <v xml:space="preserve">HTR8 - </v>
      </c>
      <c r="L176" s="44" t="e">
        <f>+VLOOKUP(K176,TL[],4,FALSE)</f>
        <v>#N/A</v>
      </c>
    </row>
    <row r="177" spans="7:12" x14ac:dyDescent="0.2">
      <c r="G177" s="220">
        <f t="shared" si="12"/>
        <v>0</v>
      </c>
      <c r="H177" s="220">
        <f t="shared" si="13"/>
        <v>0</v>
      </c>
      <c r="I177" s="221">
        <f>IF(A177="Total",VLOOKUP(B177,CORRESPONDANCE[#All],2,FALSE),I178)</f>
        <v>0</v>
      </c>
      <c r="J177" s="222" t="str">
        <f t="shared" si="14"/>
        <v/>
      </c>
      <c r="K177" s="44" t="str">
        <f t="shared" si="15"/>
        <v xml:space="preserve">HTR8 - </v>
      </c>
      <c r="L177" s="44" t="e">
        <f>+VLOOKUP(K177,TL[],4,FALSE)</f>
        <v>#N/A</v>
      </c>
    </row>
    <row r="178" spans="7:12" x14ac:dyDescent="0.2">
      <c r="G178" s="220">
        <f t="shared" si="12"/>
        <v>0</v>
      </c>
      <c r="H178" s="220">
        <f t="shared" si="13"/>
        <v>0</v>
      </c>
      <c r="I178" s="221">
        <f>IF(A178="Total",VLOOKUP(B178,CORRESPONDANCE[#All],2,FALSE),I179)</f>
        <v>0</v>
      </c>
      <c r="J178" s="222" t="str">
        <f t="shared" si="14"/>
        <v/>
      </c>
      <c r="K178" s="44" t="str">
        <f t="shared" si="15"/>
        <v xml:space="preserve">HTR8 - </v>
      </c>
      <c r="L178" s="44" t="e">
        <f>+VLOOKUP(K178,TL[],4,FALSE)</f>
        <v>#N/A</v>
      </c>
    </row>
    <row r="179" spans="7:12" x14ac:dyDescent="0.2">
      <c r="G179" s="220">
        <f t="shared" si="12"/>
        <v>0</v>
      </c>
      <c r="H179" s="220">
        <f t="shared" si="13"/>
        <v>0</v>
      </c>
      <c r="I179" s="221">
        <f>IF(A179="Total",VLOOKUP(B179,CORRESPONDANCE[#All],2,FALSE),I180)</f>
        <v>0</v>
      </c>
      <c r="J179" s="222" t="str">
        <f t="shared" si="14"/>
        <v/>
      </c>
      <c r="K179" s="44" t="str">
        <f t="shared" si="15"/>
        <v xml:space="preserve">HTR8 - </v>
      </c>
      <c r="L179" s="44" t="e">
        <f>+VLOOKUP(K179,TL[],4,FALSE)</f>
        <v>#N/A</v>
      </c>
    </row>
    <row r="180" spans="7:12" x14ac:dyDescent="0.2">
      <c r="G180" s="220">
        <f t="shared" si="12"/>
        <v>0</v>
      </c>
      <c r="H180" s="220">
        <f t="shared" si="13"/>
        <v>0</v>
      </c>
      <c r="I180" s="221">
        <f>IF(A180="Total",VLOOKUP(B180,CORRESPONDANCE[#All],2,FALSE),I181)</f>
        <v>0</v>
      </c>
      <c r="J180" s="222" t="str">
        <f t="shared" si="14"/>
        <v/>
      </c>
      <c r="K180" s="44" t="str">
        <f t="shared" si="15"/>
        <v xml:space="preserve">HTR8 - </v>
      </c>
      <c r="L180" s="44" t="e">
        <f>+VLOOKUP(K180,TL[],4,FALSE)</f>
        <v>#N/A</v>
      </c>
    </row>
    <row r="181" spans="7:12" x14ac:dyDescent="0.2">
      <c r="G181" s="220">
        <f t="shared" si="12"/>
        <v>0</v>
      </c>
      <c r="H181" s="220">
        <f t="shared" si="13"/>
        <v>0</v>
      </c>
      <c r="I181" s="221">
        <f>IF(A181="Total",VLOOKUP(B181,CORRESPONDANCE[#All],2,FALSE),I182)</f>
        <v>0</v>
      </c>
      <c r="J181" s="222" t="str">
        <f t="shared" si="14"/>
        <v/>
      </c>
      <c r="K181" s="44" t="str">
        <f t="shared" si="15"/>
        <v xml:space="preserve">HTR8 - </v>
      </c>
      <c r="L181" s="44" t="e">
        <f>+VLOOKUP(K181,TL[],4,FALSE)</f>
        <v>#N/A</v>
      </c>
    </row>
    <row r="182" spans="7:12" x14ac:dyDescent="0.2">
      <c r="G182" s="220">
        <f t="shared" si="12"/>
        <v>0</v>
      </c>
      <c r="H182" s="220">
        <f t="shared" si="13"/>
        <v>0</v>
      </c>
      <c r="I182" s="221">
        <f>IF(A182="Total",VLOOKUP(B182,CORRESPONDANCE[#All],2,FALSE),I183)</f>
        <v>0</v>
      </c>
      <c r="J182" s="222" t="str">
        <f t="shared" si="14"/>
        <v/>
      </c>
      <c r="K182" s="44" t="str">
        <f t="shared" si="15"/>
        <v xml:space="preserve">HTR8 - </v>
      </c>
      <c r="L182" s="44" t="e">
        <f>+VLOOKUP(K182,TL[],4,FALSE)</f>
        <v>#N/A</v>
      </c>
    </row>
    <row r="183" spans="7:12" x14ac:dyDescent="0.2">
      <c r="G183" s="220">
        <f t="shared" si="12"/>
        <v>0</v>
      </c>
      <c r="H183" s="220">
        <f t="shared" si="13"/>
        <v>0</v>
      </c>
      <c r="I183" s="221">
        <f>IF(A183="Total",VLOOKUP(B183,CORRESPONDANCE[#All],2,FALSE),I184)</f>
        <v>0</v>
      </c>
      <c r="J183" s="222" t="str">
        <f t="shared" si="14"/>
        <v/>
      </c>
      <c r="K183" s="44" t="str">
        <f t="shared" si="15"/>
        <v xml:space="preserve">HTR8 - </v>
      </c>
      <c r="L183" s="44" t="e">
        <f>+VLOOKUP(K183,TL[],4,FALSE)</f>
        <v>#N/A</v>
      </c>
    </row>
    <row r="184" spans="7:12" x14ac:dyDescent="0.2">
      <c r="G184" s="220">
        <f t="shared" si="12"/>
        <v>0</v>
      </c>
      <c r="H184" s="220">
        <f t="shared" si="13"/>
        <v>0</v>
      </c>
      <c r="I184" s="221">
        <f>IF(A184="Total",VLOOKUP(B184,CORRESPONDANCE[#All],2,FALSE),I185)</f>
        <v>0</v>
      </c>
      <c r="J184" s="222" t="str">
        <f t="shared" si="14"/>
        <v/>
      </c>
      <c r="K184" s="44" t="str">
        <f t="shared" si="15"/>
        <v xml:space="preserve">HTR8 - </v>
      </c>
      <c r="L184" s="44" t="e">
        <f>+VLOOKUP(K184,TL[],4,FALSE)</f>
        <v>#N/A</v>
      </c>
    </row>
    <row r="185" spans="7:12" x14ac:dyDescent="0.2">
      <c r="G185" s="220">
        <f t="shared" si="12"/>
        <v>0</v>
      </c>
      <c r="H185" s="220">
        <f t="shared" si="13"/>
        <v>0</v>
      </c>
      <c r="I185" s="221">
        <f>IF(A185="Total",VLOOKUP(B185,CORRESPONDANCE[#All],2,FALSE),I186)</f>
        <v>0</v>
      </c>
      <c r="J185" s="222" t="str">
        <f t="shared" si="14"/>
        <v/>
      </c>
      <c r="K185" s="44" t="str">
        <f t="shared" si="15"/>
        <v xml:space="preserve">HTR8 - </v>
      </c>
      <c r="L185" s="44" t="e">
        <f>+VLOOKUP(K185,TL[],4,FALSE)</f>
        <v>#N/A</v>
      </c>
    </row>
    <row r="186" spans="7:12" x14ac:dyDescent="0.2">
      <c r="G186" s="220">
        <f t="shared" si="12"/>
        <v>0</v>
      </c>
      <c r="H186" s="220">
        <f t="shared" si="13"/>
        <v>0</v>
      </c>
      <c r="I186" s="221">
        <f>IF(A186="Total",VLOOKUP(B186,CORRESPONDANCE[#All],2,FALSE),I187)</f>
        <v>0</v>
      </c>
      <c r="J186" s="222" t="str">
        <f t="shared" si="14"/>
        <v/>
      </c>
      <c r="K186" s="44" t="str">
        <f t="shared" si="15"/>
        <v xml:space="preserve">HTR8 - </v>
      </c>
      <c r="L186" s="44" t="e">
        <f>+VLOOKUP(K186,TL[],4,FALSE)</f>
        <v>#N/A</v>
      </c>
    </row>
    <row r="187" spans="7:12" x14ac:dyDescent="0.2">
      <c r="G187" s="220">
        <f t="shared" si="12"/>
        <v>0</v>
      </c>
      <c r="H187" s="220">
        <f t="shared" si="13"/>
        <v>0</v>
      </c>
      <c r="I187" s="221">
        <f>IF(A187="Total",VLOOKUP(B187,CORRESPONDANCE[#All],2,FALSE),I188)</f>
        <v>0</v>
      </c>
      <c r="J187" s="222" t="str">
        <f t="shared" si="14"/>
        <v/>
      </c>
      <c r="K187" s="44" t="str">
        <f t="shared" si="15"/>
        <v xml:space="preserve">HTR8 - </v>
      </c>
      <c r="L187" s="44" t="e">
        <f>+VLOOKUP(K187,TL[],4,FALSE)</f>
        <v>#N/A</v>
      </c>
    </row>
    <row r="188" spans="7:12" x14ac:dyDescent="0.2">
      <c r="G188" s="220">
        <f t="shared" ref="G188:G193" si="16">SUM(C188)-SUM(D188)</f>
        <v>0</v>
      </c>
      <c r="H188" s="220">
        <f t="shared" ref="H188:H193" si="17">SUM(E188)-SUM(F188)</f>
        <v>0</v>
      </c>
      <c r="I188" s="221">
        <f>IF(A188="Total",VLOOKUP(B188,CORRESPONDANCE[#All],2,FALSE),I189)</f>
        <v>0</v>
      </c>
      <c r="J188" s="222" t="str">
        <f t="shared" ref="J188:J193" si="18">LEFT(A188,1)</f>
        <v/>
      </c>
      <c r="K188" s="44" t="str">
        <f t="shared" ref="K188:K193" si="19">"HTR8"&amp;" - "&amp;A188</f>
        <v xml:space="preserve">HTR8 - </v>
      </c>
      <c r="L188" s="44" t="e">
        <f>+VLOOKUP(K188,TL[],4,FALSE)</f>
        <v>#N/A</v>
      </c>
    </row>
    <row r="189" spans="7:12" x14ac:dyDescent="0.2">
      <c r="G189" s="220">
        <f t="shared" si="16"/>
        <v>0</v>
      </c>
      <c r="H189" s="220">
        <f t="shared" si="17"/>
        <v>0</v>
      </c>
      <c r="I189" s="221">
        <f>IF(A189="Total",VLOOKUP(B189,CORRESPONDANCE[#All],2,FALSE),I190)</f>
        <v>0</v>
      </c>
      <c r="J189" s="222" t="str">
        <f t="shared" si="18"/>
        <v/>
      </c>
      <c r="K189" s="44" t="str">
        <f t="shared" si="19"/>
        <v xml:space="preserve">HTR8 - </v>
      </c>
      <c r="L189" s="44" t="e">
        <f>+VLOOKUP(K189,TL[],4,FALSE)</f>
        <v>#N/A</v>
      </c>
    </row>
    <row r="190" spans="7:12" x14ac:dyDescent="0.2">
      <c r="G190" s="220">
        <f t="shared" si="16"/>
        <v>0</v>
      </c>
      <c r="H190" s="220">
        <f t="shared" si="17"/>
        <v>0</v>
      </c>
      <c r="I190" s="221">
        <f>IF(A190="Total",VLOOKUP(B190,CORRESPONDANCE[#All],2,FALSE),I191)</f>
        <v>0</v>
      </c>
      <c r="J190" s="222" t="str">
        <f t="shared" si="18"/>
        <v/>
      </c>
      <c r="K190" s="44" t="str">
        <f t="shared" si="19"/>
        <v xml:space="preserve">HTR8 - </v>
      </c>
      <c r="L190" s="44" t="e">
        <f>+VLOOKUP(K190,TL[],4,FALSE)</f>
        <v>#N/A</v>
      </c>
    </row>
    <row r="191" spans="7:12" x14ac:dyDescent="0.2">
      <c r="G191" s="220">
        <f t="shared" si="16"/>
        <v>0</v>
      </c>
      <c r="H191" s="220">
        <f t="shared" si="17"/>
        <v>0</v>
      </c>
      <c r="I191" s="221">
        <f>IF(A191="Total",VLOOKUP(B191,CORRESPONDANCE[#All],2,FALSE),I192)</f>
        <v>0</v>
      </c>
      <c r="J191" s="222" t="str">
        <f t="shared" si="18"/>
        <v/>
      </c>
      <c r="K191" s="44" t="str">
        <f t="shared" si="19"/>
        <v xml:space="preserve">HTR8 - </v>
      </c>
      <c r="L191" s="44" t="e">
        <f>+VLOOKUP(K191,TL[],4,FALSE)</f>
        <v>#N/A</v>
      </c>
    </row>
    <row r="192" spans="7:12" x14ac:dyDescent="0.2">
      <c r="G192" s="220">
        <f t="shared" si="16"/>
        <v>0</v>
      </c>
      <c r="H192" s="220">
        <f t="shared" si="17"/>
        <v>0</v>
      </c>
      <c r="I192" s="221">
        <f>IF(A192="Total",VLOOKUP(B192,CORRESPONDANCE[#All],2,FALSE),I193)</f>
        <v>0</v>
      </c>
      <c r="J192" s="222" t="str">
        <f t="shared" si="18"/>
        <v/>
      </c>
      <c r="K192" s="44" t="str">
        <f t="shared" si="19"/>
        <v xml:space="preserve">HTR8 - </v>
      </c>
      <c r="L192" s="44" t="e">
        <f>+VLOOKUP(K192,TL[],4,FALSE)</f>
        <v>#N/A</v>
      </c>
    </row>
    <row r="193" spans="7:12" x14ac:dyDescent="0.2">
      <c r="G193" s="220">
        <f t="shared" si="16"/>
        <v>0</v>
      </c>
      <c r="H193" s="220">
        <f t="shared" si="17"/>
        <v>0</v>
      </c>
      <c r="I193" s="221">
        <f>IF(A193="Total",VLOOKUP(B193,CORRESPONDANCE[#All],2,FALSE),I194)</f>
        <v>0</v>
      </c>
      <c r="J193" s="222" t="str">
        <f t="shared" si="18"/>
        <v/>
      </c>
      <c r="K193" s="44" t="str">
        <f t="shared" si="19"/>
        <v xml:space="preserve">HTR8 - </v>
      </c>
      <c r="L193" s="44" t="e">
        <f>+VLOOKUP(K193,TL[],4,FALSE)</f>
        <v>#N/A</v>
      </c>
    </row>
    <row r="194" spans="7:12" x14ac:dyDescent="0.2">
      <c r="G194" s="220">
        <f>SUM(C194)-SUM(D194)</f>
        <v>0</v>
      </c>
      <c r="H194" s="220">
        <f>SUM(E194)-SUM(F194)</f>
        <v>0</v>
      </c>
      <c r="I194" s="221">
        <f>IF(A194="Total",VLOOKUP(B194,CORRESPONDANCE[#All],2,FALSE),I195)</f>
        <v>0</v>
      </c>
      <c r="J194" s="222" t="str">
        <f>LEFT(A194,1)</f>
        <v/>
      </c>
      <c r="K194" s="44" t="str">
        <f>"HTR8"&amp;" - "&amp;A194</f>
        <v xml:space="preserve">HTR8 - </v>
      </c>
      <c r="L194" s="44" t="e">
        <f>+VLOOKUP(K194,TL[],4,FALSE)</f>
        <v>#N/A</v>
      </c>
    </row>
    <row r="195" spans="7:12" x14ac:dyDescent="0.2">
      <c r="G195" s="220">
        <f>SUM(C195)-SUM(D195)</f>
        <v>0</v>
      </c>
      <c r="H195" s="220">
        <f>SUM(E195)-SUM(F195)</f>
        <v>0</v>
      </c>
      <c r="I195" s="221">
        <f>IF(A195="Total",VLOOKUP(B195,CORRESPONDANCE[#All],2,FALSE),I196)</f>
        <v>0</v>
      </c>
      <c r="J195" s="222" t="str">
        <f>LEFT(A195,1)</f>
        <v/>
      </c>
      <c r="K195" s="44" t="str">
        <f>"HTR8"&amp;" - "&amp;A195</f>
        <v xml:space="preserve">HTR8 - </v>
      </c>
      <c r="L195" s="44" t="e">
        <f>+VLOOKUP(K195,TL[],4,FALSE)</f>
        <v>#N/A</v>
      </c>
    </row>
    <row r="196" spans="7:12" x14ac:dyDescent="0.2">
      <c r="G196" s="220">
        <f>SUM(C196)-SUM(D196)</f>
        <v>0</v>
      </c>
      <c r="H196" s="220">
        <f>SUM(E196)-SUM(F196)</f>
        <v>0</v>
      </c>
      <c r="I196" s="221">
        <f>IF(A196="Total",VLOOKUP(B196,CORRESPONDANCE[#All],2,FALSE),I197)</f>
        <v>0</v>
      </c>
      <c r="J196" s="222" t="str">
        <f>LEFT(A196,1)</f>
        <v/>
      </c>
      <c r="K196" s="44" t="str">
        <f>"HTR8"&amp;" - "&amp;A196</f>
        <v xml:space="preserve">HTR8 - </v>
      </c>
      <c r="L196" s="44" t="e">
        <f>+VLOOKUP(K196,TL[],4,FALSE)</f>
        <v>#N/A</v>
      </c>
    </row>
    <row r="197" spans="7:12" x14ac:dyDescent="0.2">
      <c r="G197" s="220">
        <f t="shared" ref="G197:G202" si="20">SUM(C197)-SUM(D197)</f>
        <v>0</v>
      </c>
      <c r="H197" s="220">
        <f t="shared" ref="H197:H202" si="21">SUM(E197)-SUM(F197)</f>
        <v>0</v>
      </c>
      <c r="I197" s="221">
        <f>IF(A197="Total",VLOOKUP(B197,CORRESPONDANCE[#All],2,FALSE),I198)</f>
        <v>0</v>
      </c>
      <c r="J197" s="222" t="str">
        <f t="shared" ref="J197:J202" si="22">LEFT(A197,1)</f>
        <v/>
      </c>
      <c r="K197" s="44" t="str">
        <f t="shared" ref="K197:K202" si="23">"HTR8"&amp;" - "&amp;A197</f>
        <v xml:space="preserve">HTR8 - </v>
      </c>
      <c r="L197" s="44" t="e">
        <f>+VLOOKUP(K197,TL[],4,FALSE)</f>
        <v>#N/A</v>
      </c>
    </row>
    <row r="198" spans="7:12" x14ac:dyDescent="0.2">
      <c r="G198" s="220">
        <f t="shared" si="20"/>
        <v>0</v>
      </c>
      <c r="H198" s="220">
        <f t="shared" si="21"/>
        <v>0</v>
      </c>
      <c r="I198" s="221">
        <f>IF(A198="Total",VLOOKUP(B198,CORRESPONDANCE[#All],2,FALSE),I199)</f>
        <v>0</v>
      </c>
      <c r="J198" s="222" t="str">
        <f t="shared" si="22"/>
        <v/>
      </c>
      <c r="K198" s="44" t="str">
        <f t="shared" si="23"/>
        <v xml:space="preserve">HTR8 - </v>
      </c>
      <c r="L198" s="44" t="e">
        <f>+VLOOKUP(K198,TL[],4,FALSE)</f>
        <v>#N/A</v>
      </c>
    </row>
    <row r="199" spans="7:12" x14ac:dyDescent="0.2">
      <c r="G199" s="220">
        <f t="shared" si="20"/>
        <v>0</v>
      </c>
      <c r="H199" s="220">
        <f t="shared" si="21"/>
        <v>0</v>
      </c>
      <c r="I199" s="221">
        <f>IF(A199="Total",VLOOKUP(B199,CORRESPONDANCE[#All],2,FALSE),I200)</f>
        <v>0</v>
      </c>
      <c r="J199" s="222" t="str">
        <f t="shared" si="22"/>
        <v/>
      </c>
      <c r="K199" s="44" t="str">
        <f t="shared" si="23"/>
        <v xml:space="preserve">HTR8 - </v>
      </c>
      <c r="L199" s="44" t="e">
        <f>+VLOOKUP(K199,TL[],4,FALSE)</f>
        <v>#N/A</v>
      </c>
    </row>
    <row r="200" spans="7:12" x14ac:dyDescent="0.2">
      <c r="G200" s="220">
        <f t="shared" si="20"/>
        <v>0</v>
      </c>
      <c r="H200" s="220">
        <f t="shared" si="21"/>
        <v>0</v>
      </c>
      <c r="I200" s="221">
        <f>IF(A200="Total",VLOOKUP(B200,CORRESPONDANCE[#All],2,FALSE),I201)</f>
        <v>0</v>
      </c>
      <c r="J200" s="222" t="str">
        <f t="shared" si="22"/>
        <v/>
      </c>
      <c r="K200" s="44" t="str">
        <f t="shared" si="23"/>
        <v xml:space="preserve">HTR8 - </v>
      </c>
      <c r="L200" s="44" t="e">
        <f>+VLOOKUP(K200,TL[],4,FALSE)</f>
        <v>#N/A</v>
      </c>
    </row>
    <row r="201" spans="7:12" x14ac:dyDescent="0.2">
      <c r="G201" s="220">
        <f t="shared" si="20"/>
        <v>0</v>
      </c>
      <c r="H201" s="220">
        <f t="shared" si="21"/>
        <v>0</v>
      </c>
      <c r="I201" s="221">
        <f>IF(A201="Total",VLOOKUP(B201,CORRESPONDANCE[#All],2,FALSE),I202)</f>
        <v>0</v>
      </c>
      <c r="J201" s="222" t="str">
        <f t="shared" si="22"/>
        <v/>
      </c>
      <c r="K201" s="44" t="str">
        <f t="shared" si="23"/>
        <v xml:space="preserve">HTR8 - </v>
      </c>
      <c r="L201" s="44" t="e">
        <f>+VLOOKUP(K201,TL[],4,FALSE)</f>
        <v>#N/A</v>
      </c>
    </row>
    <row r="202" spans="7:12" x14ac:dyDescent="0.2">
      <c r="G202" s="220">
        <f t="shared" si="20"/>
        <v>0</v>
      </c>
      <c r="H202" s="220">
        <f t="shared" si="21"/>
        <v>0</v>
      </c>
      <c r="I202" s="221">
        <f>IF(A202="Total",VLOOKUP(B202,CORRESPONDANCE[#All],2,FALSE),I203)</f>
        <v>0</v>
      </c>
      <c r="J202" s="222" t="str">
        <f t="shared" si="22"/>
        <v/>
      </c>
      <c r="K202" s="44" t="str">
        <f t="shared" si="23"/>
        <v xml:space="preserve">HTR8 - </v>
      </c>
      <c r="L202" s="44" t="e">
        <f>+VLOOKUP(K202,TL[],4,FALSE)</f>
        <v>#N/A</v>
      </c>
    </row>
    <row r="203" spans="7:12" x14ac:dyDescent="0.2">
      <c r="G203" s="220">
        <f t="shared" ref="G203:G266" si="24">SUM(C203)-SUM(D203)</f>
        <v>0</v>
      </c>
      <c r="H203" s="220">
        <f t="shared" ref="H203:H266" si="25">SUM(E203)-SUM(F203)</f>
        <v>0</v>
      </c>
      <c r="I203" s="221">
        <f>IF(A203="Total",VLOOKUP(B203,CORRESPONDANCE[#All],2,FALSE),I204)</f>
        <v>0</v>
      </c>
      <c r="J203" s="222" t="str">
        <f t="shared" ref="J203:J266" si="26">LEFT(A203,1)</f>
        <v/>
      </c>
      <c r="K203" s="44" t="str">
        <f t="shared" ref="K203:K266" si="27">"HTR8"&amp;" - "&amp;A203</f>
        <v xml:space="preserve">HTR8 - </v>
      </c>
      <c r="L203" s="44" t="e">
        <f>+VLOOKUP(K203,TL[],4,FALSE)</f>
        <v>#N/A</v>
      </c>
    </row>
    <row r="204" spans="7:12" x14ac:dyDescent="0.2">
      <c r="G204" s="220">
        <f t="shared" si="24"/>
        <v>0</v>
      </c>
      <c r="H204" s="220">
        <f t="shared" si="25"/>
        <v>0</v>
      </c>
      <c r="I204" s="221">
        <f>IF(A204="Total",VLOOKUP(B204,CORRESPONDANCE[#All],2,FALSE),I205)</f>
        <v>0</v>
      </c>
      <c r="J204" s="222" t="str">
        <f t="shared" si="26"/>
        <v/>
      </c>
      <c r="K204" s="44" t="str">
        <f t="shared" si="27"/>
        <v xml:space="preserve">HTR8 - </v>
      </c>
      <c r="L204" s="44" t="e">
        <f>+VLOOKUP(K204,TL[],4,FALSE)</f>
        <v>#N/A</v>
      </c>
    </row>
    <row r="205" spans="7:12" x14ac:dyDescent="0.2">
      <c r="G205" s="220">
        <f t="shared" si="24"/>
        <v>0</v>
      </c>
      <c r="H205" s="220">
        <f t="shared" si="25"/>
        <v>0</v>
      </c>
      <c r="I205" s="221">
        <f>IF(A205="Total",VLOOKUP(B205,CORRESPONDANCE[#All],2,FALSE),I206)</f>
        <v>0</v>
      </c>
      <c r="J205" s="222" t="str">
        <f t="shared" si="26"/>
        <v/>
      </c>
      <c r="K205" s="44" t="str">
        <f t="shared" si="27"/>
        <v xml:space="preserve">HTR8 - </v>
      </c>
      <c r="L205" s="44" t="e">
        <f>+VLOOKUP(K205,TL[],4,FALSE)</f>
        <v>#N/A</v>
      </c>
    </row>
    <row r="206" spans="7:12" x14ac:dyDescent="0.2">
      <c r="G206" s="220">
        <f t="shared" si="24"/>
        <v>0</v>
      </c>
      <c r="H206" s="220">
        <f t="shared" si="25"/>
        <v>0</v>
      </c>
      <c r="I206" s="221">
        <f>IF(A206="Total",VLOOKUP(B206,CORRESPONDANCE[#All],2,FALSE),I207)</f>
        <v>0</v>
      </c>
      <c r="J206" s="222" t="str">
        <f t="shared" si="26"/>
        <v/>
      </c>
      <c r="K206" s="44" t="str">
        <f t="shared" si="27"/>
        <v xml:space="preserve">HTR8 - </v>
      </c>
      <c r="L206" s="44" t="e">
        <f>+VLOOKUP(K206,TL[],4,FALSE)</f>
        <v>#N/A</v>
      </c>
    </row>
    <row r="207" spans="7:12" x14ac:dyDescent="0.2">
      <c r="G207" s="220">
        <f t="shared" si="24"/>
        <v>0</v>
      </c>
      <c r="H207" s="220">
        <f t="shared" si="25"/>
        <v>0</v>
      </c>
      <c r="I207" s="221">
        <f>IF(A207="Total",VLOOKUP(B207,CORRESPONDANCE[#All],2,FALSE),I208)</f>
        <v>0</v>
      </c>
      <c r="J207" s="222" t="str">
        <f t="shared" si="26"/>
        <v/>
      </c>
      <c r="K207" s="44" t="str">
        <f t="shared" si="27"/>
        <v xml:space="preserve">HTR8 - </v>
      </c>
      <c r="L207" s="44" t="e">
        <f>+VLOOKUP(K207,TL[],4,FALSE)</f>
        <v>#N/A</v>
      </c>
    </row>
    <row r="208" spans="7:12" x14ac:dyDescent="0.2">
      <c r="G208" s="220">
        <f t="shared" si="24"/>
        <v>0</v>
      </c>
      <c r="H208" s="220">
        <f t="shared" si="25"/>
        <v>0</v>
      </c>
      <c r="I208" s="221">
        <f>IF(A208="Total",VLOOKUP(B208,CORRESPONDANCE[#All],2,FALSE),I209)</f>
        <v>0</v>
      </c>
      <c r="J208" s="222" t="str">
        <f t="shared" si="26"/>
        <v/>
      </c>
      <c r="K208" s="44" t="str">
        <f t="shared" si="27"/>
        <v xml:space="preserve">HTR8 - </v>
      </c>
      <c r="L208" s="44" t="e">
        <f>+VLOOKUP(K208,TL[],4,FALSE)</f>
        <v>#N/A</v>
      </c>
    </row>
    <row r="209" spans="7:12" x14ac:dyDescent="0.2">
      <c r="G209" s="220">
        <f t="shared" si="24"/>
        <v>0</v>
      </c>
      <c r="H209" s="220">
        <f t="shared" si="25"/>
        <v>0</v>
      </c>
      <c r="I209" s="221">
        <f>IF(A209="Total",VLOOKUP(B209,CORRESPONDANCE[#All],2,FALSE),I210)</f>
        <v>0</v>
      </c>
      <c r="J209" s="222" t="str">
        <f t="shared" si="26"/>
        <v/>
      </c>
      <c r="K209" s="44" t="str">
        <f t="shared" si="27"/>
        <v xml:space="preserve">HTR8 - </v>
      </c>
      <c r="L209" s="44" t="e">
        <f>+VLOOKUP(K209,TL[],4,FALSE)</f>
        <v>#N/A</v>
      </c>
    </row>
    <row r="210" spans="7:12" x14ac:dyDescent="0.2">
      <c r="G210" s="220">
        <f t="shared" si="24"/>
        <v>0</v>
      </c>
      <c r="H210" s="220">
        <f t="shared" si="25"/>
        <v>0</v>
      </c>
      <c r="I210" s="221">
        <f>IF(A210="Total",VLOOKUP(B210,CORRESPONDANCE[#All],2,FALSE),I211)</f>
        <v>0</v>
      </c>
      <c r="J210" s="222" t="str">
        <f t="shared" si="26"/>
        <v/>
      </c>
      <c r="K210" s="44" t="str">
        <f t="shared" si="27"/>
        <v xml:space="preserve">HTR8 - </v>
      </c>
      <c r="L210" s="44" t="e">
        <f>+VLOOKUP(K210,TL[],4,FALSE)</f>
        <v>#N/A</v>
      </c>
    </row>
    <row r="211" spans="7:12" x14ac:dyDescent="0.2">
      <c r="G211" s="220">
        <f t="shared" si="24"/>
        <v>0</v>
      </c>
      <c r="H211" s="220">
        <f t="shared" si="25"/>
        <v>0</v>
      </c>
      <c r="I211" s="221">
        <f>IF(A211="Total",VLOOKUP(B211,CORRESPONDANCE[#All],2,FALSE),I212)</f>
        <v>0</v>
      </c>
      <c r="J211" s="222" t="str">
        <f t="shared" si="26"/>
        <v/>
      </c>
      <c r="K211" s="44" t="str">
        <f t="shared" si="27"/>
        <v xml:space="preserve">HTR8 - </v>
      </c>
      <c r="L211" s="44" t="e">
        <f>+VLOOKUP(K211,TL[],4,FALSE)</f>
        <v>#N/A</v>
      </c>
    </row>
    <row r="212" spans="7:12" x14ac:dyDescent="0.2">
      <c r="G212" s="220">
        <f t="shared" si="24"/>
        <v>0</v>
      </c>
      <c r="H212" s="220">
        <f t="shared" si="25"/>
        <v>0</v>
      </c>
      <c r="I212" s="221">
        <f>IF(A212="Total",VLOOKUP(B212,CORRESPONDANCE[#All],2,FALSE),I213)</f>
        <v>0</v>
      </c>
      <c r="J212" s="222" t="str">
        <f t="shared" si="26"/>
        <v/>
      </c>
      <c r="K212" s="44" t="str">
        <f t="shared" si="27"/>
        <v xml:space="preserve">HTR8 - </v>
      </c>
      <c r="L212" s="44" t="e">
        <f>+VLOOKUP(K212,TL[],4,FALSE)</f>
        <v>#N/A</v>
      </c>
    </row>
    <row r="213" spans="7:12" x14ac:dyDescent="0.2">
      <c r="G213" s="220">
        <f t="shared" si="24"/>
        <v>0</v>
      </c>
      <c r="H213" s="220">
        <f t="shared" si="25"/>
        <v>0</v>
      </c>
      <c r="I213" s="221">
        <f>IF(A213="Total",VLOOKUP(B213,CORRESPONDANCE[#All],2,FALSE),I214)</f>
        <v>0</v>
      </c>
      <c r="J213" s="222" t="str">
        <f t="shared" si="26"/>
        <v/>
      </c>
      <c r="K213" s="44" t="str">
        <f t="shared" si="27"/>
        <v xml:space="preserve">HTR8 - </v>
      </c>
      <c r="L213" s="44" t="e">
        <f>+VLOOKUP(K213,TL[],4,FALSE)</f>
        <v>#N/A</v>
      </c>
    </row>
    <row r="214" spans="7:12" x14ac:dyDescent="0.2">
      <c r="G214" s="220">
        <f t="shared" si="24"/>
        <v>0</v>
      </c>
      <c r="H214" s="220">
        <f t="shared" si="25"/>
        <v>0</v>
      </c>
      <c r="I214" s="221">
        <f>IF(A214="Total",VLOOKUP(B214,CORRESPONDANCE[#All],2,FALSE),I215)</f>
        <v>0</v>
      </c>
      <c r="J214" s="222" t="str">
        <f t="shared" si="26"/>
        <v/>
      </c>
      <c r="K214" s="44" t="str">
        <f t="shared" si="27"/>
        <v xml:space="preserve">HTR8 - </v>
      </c>
      <c r="L214" s="44" t="e">
        <f>+VLOOKUP(K214,TL[],4,FALSE)</f>
        <v>#N/A</v>
      </c>
    </row>
    <row r="215" spans="7:12" x14ac:dyDescent="0.2">
      <c r="G215" s="220">
        <f t="shared" si="24"/>
        <v>0</v>
      </c>
      <c r="H215" s="220">
        <f t="shared" si="25"/>
        <v>0</v>
      </c>
      <c r="I215" s="221">
        <f>IF(A215="Total",VLOOKUP(B215,CORRESPONDANCE[#All],2,FALSE),I216)</f>
        <v>0</v>
      </c>
      <c r="J215" s="222" t="str">
        <f t="shared" si="26"/>
        <v/>
      </c>
      <c r="K215" s="44" t="str">
        <f t="shared" si="27"/>
        <v xml:space="preserve">HTR8 - </v>
      </c>
      <c r="L215" s="44" t="e">
        <f>+VLOOKUP(K215,TL[],4,FALSE)</f>
        <v>#N/A</v>
      </c>
    </row>
    <row r="216" spans="7:12" x14ac:dyDescent="0.2">
      <c r="G216" s="220">
        <f t="shared" si="24"/>
        <v>0</v>
      </c>
      <c r="H216" s="220">
        <f t="shared" si="25"/>
        <v>0</v>
      </c>
      <c r="I216" s="221">
        <f>IF(A216="Total",VLOOKUP(B216,CORRESPONDANCE[#All],2,FALSE),I217)</f>
        <v>0</v>
      </c>
      <c r="J216" s="222" t="str">
        <f t="shared" si="26"/>
        <v/>
      </c>
      <c r="K216" s="44" t="str">
        <f t="shared" si="27"/>
        <v xml:space="preserve">HTR8 - </v>
      </c>
      <c r="L216" s="44" t="e">
        <f>+VLOOKUP(K216,TL[],4,FALSE)</f>
        <v>#N/A</v>
      </c>
    </row>
    <row r="217" spans="7:12" x14ac:dyDescent="0.2">
      <c r="G217" s="220">
        <f t="shared" si="24"/>
        <v>0</v>
      </c>
      <c r="H217" s="220">
        <f t="shared" si="25"/>
        <v>0</v>
      </c>
      <c r="I217" s="221">
        <f>IF(A217="Total",VLOOKUP(B217,CORRESPONDANCE[#All],2,FALSE),I218)</f>
        <v>0</v>
      </c>
      <c r="J217" s="222" t="str">
        <f t="shared" si="26"/>
        <v/>
      </c>
      <c r="K217" s="44" t="str">
        <f t="shared" si="27"/>
        <v xml:space="preserve">HTR8 - </v>
      </c>
      <c r="L217" s="44" t="e">
        <f>+VLOOKUP(K217,TL[],4,FALSE)</f>
        <v>#N/A</v>
      </c>
    </row>
    <row r="218" spans="7:12" x14ac:dyDescent="0.2">
      <c r="G218" s="220">
        <f t="shared" si="24"/>
        <v>0</v>
      </c>
      <c r="H218" s="220">
        <f t="shared" si="25"/>
        <v>0</v>
      </c>
      <c r="I218" s="221">
        <f>IF(A218="Total",VLOOKUP(B218,CORRESPONDANCE[#All],2,FALSE),I219)</f>
        <v>0</v>
      </c>
      <c r="J218" s="222" t="str">
        <f t="shared" si="26"/>
        <v/>
      </c>
      <c r="K218" s="44" t="str">
        <f t="shared" si="27"/>
        <v xml:space="preserve">HTR8 - </v>
      </c>
      <c r="L218" s="44" t="e">
        <f>+VLOOKUP(K218,TL[],4,FALSE)</f>
        <v>#N/A</v>
      </c>
    </row>
    <row r="219" spans="7:12" x14ac:dyDescent="0.2">
      <c r="G219" s="220">
        <f t="shared" si="24"/>
        <v>0</v>
      </c>
      <c r="H219" s="220">
        <f t="shared" si="25"/>
        <v>0</v>
      </c>
      <c r="I219" s="221">
        <f>IF(A219="Total",VLOOKUP(B219,CORRESPONDANCE[#All],2,FALSE),I220)</f>
        <v>0</v>
      </c>
      <c r="J219" s="222" t="str">
        <f t="shared" si="26"/>
        <v/>
      </c>
      <c r="K219" s="44" t="str">
        <f t="shared" si="27"/>
        <v xml:space="preserve">HTR8 - </v>
      </c>
      <c r="L219" s="44" t="e">
        <f>+VLOOKUP(K219,TL[],4,FALSE)</f>
        <v>#N/A</v>
      </c>
    </row>
    <row r="220" spans="7:12" x14ac:dyDescent="0.2">
      <c r="G220" s="220">
        <f t="shared" si="24"/>
        <v>0</v>
      </c>
      <c r="H220" s="220">
        <f t="shared" si="25"/>
        <v>0</v>
      </c>
      <c r="I220" s="221">
        <f>IF(A220="Total",VLOOKUP(B220,CORRESPONDANCE[#All],2,FALSE),I221)</f>
        <v>0</v>
      </c>
      <c r="J220" s="222" t="str">
        <f t="shared" si="26"/>
        <v/>
      </c>
      <c r="K220" s="44" t="str">
        <f t="shared" si="27"/>
        <v xml:space="preserve">HTR8 - </v>
      </c>
      <c r="L220" s="44" t="e">
        <f>+VLOOKUP(K220,TL[],4,FALSE)</f>
        <v>#N/A</v>
      </c>
    </row>
    <row r="221" spans="7:12" x14ac:dyDescent="0.2">
      <c r="G221" s="220">
        <f t="shared" si="24"/>
        <v>0</v>
      </c>
      <c r="H221" s="220">
        <f t="shared" si="25"/>
        <v>0</v>
      </c>
      <c r="I221" s="221">
        <f>IF(A221="Total",VLOOKUP(B221,CORRESPONDANCE[#All],2,FALSE),I222)</f>
        <v>0</v>
      </c>
      <c r="J221" s="222" t="str">
        <f t="shared" si="26"/>
        <v/>
      </c>
      <c r="K221" s="44" t="str">
        <f t="shared" si="27"/>
        <v xml:space="preserve">HTR8 - </v>
      </c>
      <c r="L221" s="44" t="e">
        <f>+VLOOKUP(K221,TL[],4,FALSE)</f>
        <v>#N/A</v>
      </c>
    </row>
    <row r="222" spans="7:12" x14ac:dyDescent="0.2">
      <c r="G222" s="220">
        <f t="shared" si="24"/>
        <v>0</v>
      </c>
      <c r="H222" s="220">
        <f t="shared" si="25"/>
        <v>0</v>
      </c>
      <c r="I222" s="221">
        <f>IF(A222="Total",VLOOKUP(B222,CORRESPONDANCE[#All],2,FALSE),I223)</f>
        <v>0</v>
      </c>
      <c r="J222" s="222" t="str">
        <f t="shared" si="26"/>
        <v/>
      </c>
      <c r="K222" s="44" t="str">
        <f t="shared" si="27"/>
        <v xml:space="preserve">HTR8 - </v>
      </c>
      <c r="L222" s="44" t="e">
        <f>+VLOOKUP(K222,TL[],4,FALSE)</f>
        <v>#N/A</v>
      </c>
    </row>
    <row r="223" spans="7:12" x14ac:dyDescent="0.2">
      <c r="G223" s="220">
        <f t="shared" si="24"/>
        <v>0</v>
      </c>
      <c r="H223" s="220">
        <f t="shared" si="25"/>
        <v>0</v>
      </c>
      <c r="I223" s="221">
        <f>IF(A223="Total",VLOOKUP(B223,CORRESPONDANCE[#All],2,FALSE),I224)</f>
        <v>0</v>
      </c>
      <c r="J223" s="222" t="str">
        <f t="shared" si="26"/>
        <v/>
      </c>
      <c r="K223" s="44" t="str">
        <f t="shared" si="27"/>
        <v xml:space="preserve">HTR8 - </v>
      </c>
      <c r="L223" s="44" t="e">
        <f>+VLOOKUP(K223,TL[],4,FALSE)</f>
        <v>#N/A</v>
      </c>
    </row>
    <row r="224" spans="7:12" x14ac:dyDescent="0.2">
      <c r="G224" s="220">
        <f t="shared" si="24"/>
        <v>0</v>
      </c>
      <c r="H224" s="220">
        <f t="shared" si="25"/>
        <v>0</v>
      </c>
      <c r="I224" s="221">
        <f>IF(A224="Total",VLOOKUP(B224,CORRESPONDANCE[#All],2,FALSE),I225)</f>
        <v>0</v>
      </c>
      <c r="J224" s="222" t="str">
        <f t="shared" si="26"/>
        <v/>
      </c>
      <c r="K224" s="44" t="str">
        <f t="shared" si="27"/>
        <v xml:space="preserve">HTR8 - </v>
      </c>
      <c r="L224" s="44" t="e">
        <f>+VLOOKUP(K224,TL[],4,FALSE)</f>
        <v>#N/A</v>
      </c>
    </row>
    <row r="225" spans="7:12" x14ac:dyDescent="0.2">
      <c r="G225" s="220">
        <f t="shared" si="24"/>
        <v>0</v>
      </c>
      <c r="H225" s="220">
        <f t="shared" si="25"/>
        <v>0</v>
      </c>
      <c r="I225" s="221">
        <f>IF(A225="Total",VLOOKUP(B225,CORRESPONDANCE[#All],2,FALSE),I226)</f>
        <v>0</v>
      </c>
      <c r="J225" s="222" t="str">
        <f t="shared" si="26"/>
        <v/>
      </c>
      <c r="K225" s="44" t="str">
        <f t="shared" si="27"/>
        <v xml:space="preserve">HTR8 - </v>
      </c>
      <c r="L225" s="44" t="e">
        <f>+VLOOKUP(K225,TL[],4,FALSE)</f>
        <v>#N/A</v>
      </c>
    </row>
    <row r="226" spans="7:12" x14ac:dyDescent="0.2">
      <c r="G226" s="220">
        <f t="shared" si="24"/>
        <v>0</v>
      </c>
      <c r="H226" s="220">
        <f t="shared" si="25"/>
        <v>0</v>
      </c>
      <c r="I226" s="221">
        <f>IF(A226="Total",VLOOKUP(B226,CORRESPONDANCE[#All],2,FALSE),I227)</f>
        <v>0</v>
      </c>
      <c r="J226" s="222" t="str">
        <f t="shared" si="26"/>
        <v/>
      </c>
      <c r="K226" s="44" t="str">
        <f t="shared" si="27"/>
        <v xml:space="preserve">HTR8 - </v>
      </c>
      <c r="L226" s="44" t="e">
        <f>+VLOOKUP(K226,TL[],4,FALSE)</f>
        <v>#N/A</v>
      </c>
    </row>
    <row r="227" spans="7:12" x14ac:dyDescent="0.2">
      <c r="G227" s="220">
        <f t="shared" si="24"/>
        <v>0</v>
      </c>
      <c r="H227" s="220">
        <f t="shared" si="25"/>
        <v>0</v>
      </c>
      <c r="I227" s="221">
        <f>IF(A227="Total",VLOOKUP(B227,CORRESPONDANCE[#All],2,FALSE),I228)</f>
        <v>0</v>
      </c>
      <c r="J227" s="222" t="str">
        <f t="shared" si="26"/>
        <v/>
      </c>
      <c r="K227" s="44" t="str">
        <f t="shared" si="27"/>
        <v xml:space="preserve">HTR8 - </v>
      </c>
      <c r="L227" s="44" t="e">
        <f>+VLOOKUP(K227,TL[],4,FALSE)</f>
        <v>#N/A</v>
      </c>
    </row>
    <row r="228" spans="7:12" x14ac:dyDescent="0.2">
      <c r="G228" s="220">
        <f t="shared" si="24"/>
        <v>0</v>
      </c>
      <c r="H228" s="220">
        <f t="shared" si="25"/>
        <v>0</v>
      </c>
      <c r="I228" s="221">
        <f>IF(A228="Total",VLOOKUP(B228,CORRESPONDANCE[#All],2,FALSE),I229)</f>
        <v>0</v>
      </c>
      <c r="J228" s="222" t="str">
        <f t="shared" si="26"/>
        <v/>
      </c>
      <c r="K228" s="44" t="str">
        <f t="shared" si="27"/>
        <v xml:space="preserve">HTR8 - </v>
      </c>
      <c r="L228" s="44" t="e">
        <f>+VLOOKUP(K228,TL[],4,FALSE)</f>
        <v>#N/A</v>
      </c>
    </row>
    <row r="229" spans="7:12" x14ac:dyDescent="0.2">
      <c r="G229" s="220">
        <f t="shared" si="24"/>
        <v>0</v>
      </c>
      <c r="H229" s="220">
        <f t="shared" si="25"/>
        <v>0</v>
      </c>
      <c r="I229" s="221">
        <f>IF(A229="Total",VLOOKUP(B229,CORRESPONDANCE[#All],2,FALSE),I230)</f>
        <v>0</v>
      </c>
      <c r="J229" s="222" t="str">
        <f t="shared" si="26"/>
        <v/>
      </c>
      <c r="K229" s="44" t="str">
        <f t="shared" si="27"/>
        <v xml:space="preserve">HTR8 - </v>
      </c>
      <c r="L229" s="44" t="e">
        <f>+VLOOKUP(K229,TL[],4,FALSE)</f>
        <v>#N/A</v>
      </c>
    </row>
    <row r="230" spans="7:12" x14ac:dyDescent="0.2">
      <c r="G230" s="220">
        <f t="shared" si="24"/>
        <v>0</v>
      </c>
      <c r="H230" s="220">
        <f t="shared" si="25"/>
        <v>0</v>
      </c>
      <c r="I230" s="221">
        <f>IF(A230="Total",VLOOKUP(B230,CORRESPONDANCE[#All],2,FALSE),I231)</f>
        <v>0</v>
      </c>
      <c r="J230" s="222" t="str">
        <f t="shared" si="26"/>
        <v/>
      </c>
      <c r="K230" s="44" t="str">
        <f t="shared" si="27"/>
        <v xml:space="preserve">HTR8 - </v>
      </c>
      <c r="L230" s="44" t="e">
        <f>+VLOOKUP(K230,TL[],4,FALSE)</f>
        <v>#N/A</v>
      </c>
    </row>
    <row r="231" spans="7:12" x14ac:dyDescent="0.2">
      <c r="G231" s="220">
        <f t="shared" si="24"/>
        <v>0</v>
      </c>
      <c r="H231" s="220">
        <f t="shared" si="25"/>
        <v>0</v>
      </c>
      <c r="I231" s="221">
        <f>IF(A231="Total",VLOOKUP(B231,CORRESPONDANCE[#All],2,FALSE),I232)</f>
        <v>0</v>
      </c>
      <c r="J231" s="222" t="str">
        <f t="shared" si="26"/>
        <v/>
      </c>
      <c r="K231" s="44" t="str">
        <f t="shared" si="27"/>
        <v xml:space="preserve">HTR8 - </v>
      </c>
      <c r="L231" s="44" t="e">
        <f>+VLOOKUP(K231,TL[],4,FALSE)</f>
        <v>#N/A</v>
      </c>
    </row>
    <row r="232" spans="7:12" x14ac:dyDescent="0.2">
      <c r="G232" s="220">
        <f t="shared" si="24"/>
        <v>0</v>
      </c>
      <c r="H232" s="220">
        <f t="shared" si="25"/>
        <v>0</v>
      </c>
      <c r="I232" s="221">
        <f>IF(A232="Total",VLOOKUP(B232,CORRESPONDANCE[#All],2,FALSE),I233)</f>
        <v>0</v>
      </c>
      <c r="J232" s="222" t="str">
        <f t="shared" si="26"/>
        <v/>
      </c>
      <c r="K232" s="44" t="str">
        <f t="shared" si="27"/>
        <v xml:space="preserve">HTR8 - </v>
      </c>
      <c r="L232" s="44" t="e">
        <f>+VLOOKUP(K232,TL[],4,FALSE)</f>
        <v>#N/A</v>
      </c>
    </row>
    <row r="233" spans="7:12" x14ac:dyDescent="0.2">
      <c r="G233" s="220">
        <f t="shared" si="24"/>
        <v>0</v>
      </c>
      <c r="H233" s="220">
        <f t="shared" si="25"/>
        <v>0</v>
      </c>
      <c r="I233" s="221">
        <f>IF(A233="Total",VLOOKUP(B233,CORRESPONDANCE[#All],2,FALSE),I234)</f>
        <v>0</v>
      </c>
      <c r="J233" s="222" t="str">
        <f t="shared" si="26"/>
        <v/>
      </c>
      <c r="K233" s="44" t="str">
        <f t="shared" si="27"/>
        <v xml:space="preserve">HTR8 - </v>
      </c>
      <c r="L233" s="44" t="e">
        <f>+VLOOKUP(K233,TL[],4,FALSE)</f>
        <v>#N/A</v>
      </c>
    </row>
    <row r="234" spans="7:12" x14ac:dyDescent="0.2">
      <c r="G234" s="220">
        <f t="shared" si="24"/>
        <v>0</v>
      </c>
      <c r="H234" s="220">
        <f t="shared" si="25"/>
        <v>0</v>
      </c>
      <c r="I234" s="221">
        <f>IF(A234="Total",VLOOKUP(B234,CORRESPONDANCE[#All],2,FALSE),I235)</f>
        <v>0</v>
      </c>
      <c r="J234" s="222" t="str">
        <f t="shared" si="26"/>
        <v/>
      </c>
      <c r="K234" s="44" t="str">
        <f t="shared" si="27"/>
        <v xml:space="preserve">HTR8 - </v>
      </c>
      <c r="L234" s="44" t="e">
        <f>+VLOOKUP(K234,TL[],4,FALSE)</f>
        <v>#N/A</v>
      </c>
    </row>
    <row r="235" spans="7:12" x14ac:dyDescent="0.2">
      <c r="G235" s="220">
        <f t="shared" si="24"/>
        <v>0</v>
      </c>
      <c r="H235" s="220">
        <f t="shared" si="25"/>
        <v>0</v>
      </c>
      <c r="I235" s="221">
        <f>IF(A235="Total",VLOOKUP(B235,CORRESPONDANCE[#All],2,FALSE),I236)</f>
        <v>0</v>
      </c>
      <c r="J235" s="222" t="str">
        <f t="shared" si="26"/>
        <v/>
      </c>
      <c r="K235" s="44" t="str">
        <f t="shared" si="27"/>
        <v xml:space="preserve">HTR8 - </v>
      </c>
      <c r="L235" s="44" t="e">
        <f>+VLOOKUP(K235,TL[],4,FALSE)</f>
        <v>#N/A</v>
      </c>
    </row>
    <row r="236" spans="7:12" x14ac:dyDescent="0.2">
      <c r="G236" s="220">
        <f t="shared" si="24"/>
        <v>0</v>
      </c>
      <c r="H236" s="220">
        <f t="shared" si="25"/>
        <v>0</v>
      </c>
      <c r="I236" s="221">
        <f>IF(A236="Total",VLOOKUP(B236,CORRESPONDANCE[#All],2,FALSE),I237)</f>
        <v>0</v>
      </c>
      <c r="J236" s="222" t="str">
        <f t="shared" si="26"/>
        <v/>
      </c>
      <c r="K236" s="44" t="str">
        <f t="shared" si="27"/>
        <v xml:space="preserve">HTR8 - </v>
      </c>
      <c r="L236" s="44" t="e">
        <f>+VLOOKUP(K236,TL[],4,FALSE)</f>
        <v>#N/A</v>
      </c>
    </row>
    <row r="237" spans="7:12" x14ac:dyDescent="0.2">
      <c r="G237" s="220">
        <f t="shared" si="24"/>
        <v>0</v>
      </c>
      <c r="H237" s="220">
        <f t="shared" si="25"/>
        <v>0</v>
      </c>
      <c r="I237" s="221">
        <f>IF(A237="Total",VLOOKUP(B237,CORRESPONDANCE[#All],2,FALSE),I238)</f>
        <v>0</v>
      </c>
      <c r="J237" s="222" t="str">
        <f t="shared" si="26"/>
        <v/>
      </c>
      <c r="K237" s="44" t="str">
        <f t="shared" si="27"/>
        <v xml:space="preserve">HTR8 - </v>
      </c>
      <c r="L237" s="44" t="e">
        <f>+VLOOKUP(K237,TL[],4,FALSE)</f>
        <v>#N/A</v>
      </c>
    </row>
    <row r="238" spans="7:12" x14ac:dyDescent="0.2">
      <c r="G238" s="220">
        <f t="shared" si="24"/>
        <v>0</v>
      </c>
      <c r="H238" s="220">
        <f t="shared" si="25"/>
        <v>0</v>
      </c>
      <c r="I238" s="221">
        <f>IF(A238="Total",VLOOKUP(B238,CORRESPONDANCE[#All],2,FALSE),I239)</f>
        <v>0</v>
      </c>
      <c r="J238" s="222" t="str">
        <f t="shared" si="26"/>
        <v/>
      </c>
      <c r="K238" s="44" t="str">
        <f t="shared" si="27"/>
        <v xml:space="preserve">HTR8 - </v>
      </c>
      <c r="L238" s="44" t="e">
        <f>+VLOOKUP(K238,TL[],4,FALSE)</f>
        <v>#N/A</v>
      </c>
    </row>
    <row r="239" spans="7:12" x14ac:dyDescent="0.2">
      <c r="G239" s="220">
        <f t="shared" si="24"/>
        <v>0</v>
      </c>
      <c r="H239" s="220">
        <f t="shared" si="25"/>
        <v>0</v>
      </c>
      <c r="I239" s="221">
        <f>IF(A239="Total",VLOOKUP(B239,CORRESPONDANCE[#All],2,FALSE),I240)</f>
        <v>0</v>
      </c>
      <c r="J239" s="222" t="str">
        <f t="shared" si="26"/>
        <v/>
      </c>
      <c r="K239" s="44" t="str">
        <f t="shared" si="27"/>
        <v xml:space="preserve">HTR8 - </v>
      </c>
      <c r="L239" s="44" t="e">
        <f>+VLOOKUP(K239,TL[],4,FALSE)</f>
        <v>#N/A</v>
      </c>
    </row>
    <row r="240" spans="7:12" x14ac:dyDescent="0.2">
      <c r="G240" s="220">
        <f t="shared" si="24"/>
        <v>0</v>
      </c>
      <c r="H240" s="220">
        <f t="shared" si="25"/>
        <v>0</v>
      </c>
      <c r="I240" s="221">
        <f>IF(A240="Total",VLOOKUP(B240,CORRESPONDANCE[#All],2,FALSE),I241)</f>
        <v>0</v>
      </c>
      <c r="J240" s="222" t="str">
        <f t="shared" si="26"/>
        <v/>
      </c>
      <c r="K240" s="44" t="str">
        <f t="shared" si="27"/>
        <v xml:space="preserve">HTR8 - </v>
      </c>
      <c r="L240" s="44" t="e">
        <f>+VLOOKUP(K240,TL[],4,FALSE)</f>
        <v>#N/A</v>
      </c>
    </row>
    <row r="241" spans="7:12" x14ac:dyDescent="0.2">
      <c r="G241" s="220">
        <f t="shared" si="24"/>
        <v>0</v>
      </c>
      <c r="H241" s="220">
        <f t="shared" si="25"/>
        <v>0</v>
      </c>
      <c r="I241" s="221">
        <f>IF(A241="Total",VLOOKUP(B241,CORRESPONDANCE[#All],2,FALSE),I242)</f>
        <v>0</v>
      </c>
      <c r="J241" s="222" t="str">
        <f t="shared" si="26"/>
        <v/>
      </c>
      <c r="K241" s="44" t="str">
        <f t="shared" si="27"/>
        <v xml:space="preserve">HTR8 - </v>
      </c>
      <c r="L241" s="44" t="e">
        <f>+VLOOKUP(K241,TL[],4,FALSE)</f>
        <v>#N/A</v>
      </c>
    </row>
    <row r="242" spans="7:12" x14ac:dyDescent="0.2">
      <c r="G242" s="220">
        <f t="shared" si="24"/>
        <v>0</v>
      </c>
      <c r="H242" s="220">
        <f t="shared" si="25"/>
        <v>0</v>
      </c>
      <c r="I242" s="221">
        <f>IF(A242="Total",VLOOKUP(B242,CORRESPONDANCE[#All],2,FALSE),I243)</f>
        <v>0</v>
      </c>
      <c r="J242" s="222" t="str">
        <f t="shared" si="26"/>
        <v/>
      </c>
      <c r="K242" s="44" t="str">
        <f t="shared" si="27"/>
        <v xml:space="preserve">HTR8 - </v>
      </c>
      <c r="L242" s="44" t="e">
        <f>+VLOOKUP(K242,TL[],4,FALSE)</f>
        <v>#N/A</v>
      </c>
    </row>
    <row r="243" spans="7:12" x14ac:dyDescent="0.2">
      <c r="G243" s="220">
        <f t="shared" si="24"/>
        <v>0</v>
      </c>
      <c r="H243" s="220">
        <f t="shared" si="25"/>
        <v>0</v>
      </c>
      <c r="I243" s="221">
        <f>IF(A243="Total",VLOOKUP(B243,CORRESPONDANCE[#All],2,FALSE),I244)</f>
        <v>0</v>
      </c>
      <c r="J243" s="222" t="str">
        <f t="shared" si="26"/>
        <v/>
      </c>
      <c r="K243" s="44" t="str">
        <f t="shared" si="27"/>
        <v xml:space="preserve">HTR8 - </v>
      </c>
      <c r="L243" s="44" t="e">
        <f>+VLOOKUP(K243,TL[],4,FALSE)</f>
        <v>#N/A</v>
      </c>
    </row>
    <row r="244" spans="7:12" x14ac:dyDescent="0.2">
      <c r="G244" s="220">
        <f t="shared" si="24"/>
        <v>0</v>
      </c>
      <c r="H244" s="220">
        <f t="shared" si="25"/>
        <v>0</v>
      </c>
      <c r="I244" s="221">
        <f>IF(A244="Total",VLOOKUP(B244,CORRESPONDANCE[#All],2,FALSE),I245)</f>
        <v>0</v>
      </c>
      <c r="J244" s="222" t="str">
        <f t="shared" si="26"/>
        <v/>
      </c>
      <c r="K244" s="44" t="str">
        <f t="shared" si="27"/>
        <v xml:space="preserve">HTR8 - </v>
      </c>
      <c r="L244" s="44" t="e">
        <f>+VLOOKUP(K244,TL[],4,FALSE)</f>
        <v>#N/A</v>
      </c>
    </row>
    <row r="245" spans="7:12" x14ac:dyDescent="0.2">
      <c r="G245" s="220">
        <f t="shared" si="24"/>
        <v>0</v>
      </c>
      <c r="H245" s="220">
        <f t="shared" si="25"/>
        <v>0</v>
      </c>
      <c r="I245" s="221">
        <f>IF(A245="Total",VLOOKUP(B245,CORRESPONDANCE[#All],2,FALSE),I246)</f>
        <v>0</v>
      </c>
      <c r="J245" s="222" t="str">
        <f t="shared" si="26"/>
        <v/>
      </c>
      <c r="K245" s="44" t="str">
        <f t="shared" si="27"/>
        <v xml:space="preserve">HTR8 - </v>
      </c>
      <c r="L245" s="44" t="e">
        <f>+VLOOKUP(K245,TL[],4,FALSE)</f>
        <v>#N/A</v>
      </c>
    </row>
    <row r="246" spans="7:12" x14ac:dyDescent="0.2">
      <c r="G246" s="220">
        <f t="shared" si="24"/>
        <v>0</v>
      </c>
      <c r="H246" s="220">
        <f t="shared" si="25"/>
        <v>0</v>
      </c>
      <c r="I246" s="221">
        <f>IF(A246="Total",VLOOKUP(B246,CORRESPONDANCE[#All],2,FALSE),I247)</f>
        <v>0</v>
      </c>
      <c r="J246" s="222" t="str">
        <f t="shared" si="26"/>
        <v/>
      </c>
      <c r="K246" s="44" t="str">
        <f t="shared" si="27"/>
        <v xml:space="preserve">HTR8 - </v>
      </c>
      <c r="L246" s="44" t="e">
        <f>+VLOOKUP(K246,TL[],4,FALSE)</f>
        <v>#N/A</v>
      </c>
    </row>
    <row r="247" spans="7:12" x14ac:dyDescent="0.2">
      <c r="G247" s="220">
        <f t="shared" si="24"/>
        <v>0</v>
      </c>
      <c r="H247" s="220">
        <f t="shared" si="25"/>
        <v>0</v>
      </c>
      <c r="I247" s="221">
        <f>IF(A247="Total",VLOOKUP(B247,CORRESPONDANCE[#All],2,FALSE),I248)</f>
        <v>0</v>
      </c>
      <c r="J247" s="222" t="str">
        <f t="shared" si="26"/>
        <v/>
      </c>
      <c r="K247" s="44" t="str">
        <f t="shared" si="27"/>
        <v xml:space="preserve">HTR8 - </v>
      </c>
      <c r="L247" s="44" t="e">
        <f>+VLOOKUP(K247,TL[],4,FALSE)</f>
        <v>#N/A</v>
      </c>
    </row>
    <row r="248" spans="7:12" x14ac:dyDescent="0.2">
      <c r="G248" s="220">
        <f t="shared" si="24"/>
        <v>0</v>
      </c>
      <c r="H248" s="220">
        <f t="shared" si="25"/>
        <v>0</v>
      </c>
      <c r="I248" s="221">
        <f>IF(A248="Total",VLOOKUP(B248,CORRESPONDANCE[#All],2,FALSE),I249)</f>
        <v>0</v>
      </c>
      <c r="J248" s="222" t="str">
        <f t="shared" si="26"/>
        <v/>
      </c>
      <c r="K248" s="44" t="str">
        <f t="shared" si="27"/>
        <v xml:space="preserve">HTR8 - </v>
      </c>
      <c r="L248" s="44" t="e">
        <f>+VLOOKUP(K248,TL[],4,FALSE)</f>
        <v>#N/A</v>
      </c>
    </row>
    <row r="249" spans="7:12" x14ac:dyDescent="0.2">
      <c r="G249" s="220">
        <f t="shared" si="24"/>
        <v>0</v>
      </c>
      <c r="H249" s="220">
        <f t="shared" si="25"/>
        <v>0</v>
      </c>
      <c r="I249" s="221">
        <f>IF(A249="Total",VLOOKUP(B249,CORRESPONDANCE[#All],2,FALSE),I250)</f>
        <v>0</v>
      </c>
      <c r="J249" s="222" t="str">
        <f t="shared" si="26"/>
        <v/>
      </c>
      <c r="K249" s="44" t="str">
        <f t="shared" si="27"/>
        <v xml:space="preserve">HTR8 - </v>
      </c>
      <c r="L249" s="44" t="e">
        <f>+VLOOKUP(K249,TL[],4,FALSE)</f>
        <v>#N/A</v>
      </c>
    </row>
    <row r="250" spans="7:12" x14ac:dyDescent="0.2">
      <c r="G250" s="220">
        <f t="shared" si="24"/>
        <v>0</v>
      </c>
      <c r="H250" s="220">
        <f t="shared" si="25"/>
        <v>0</v>
      </c>
      <c r="I250" s="221">
        <f>IF(A250="Total",VLOOKUP(B250,CORRESPONDANCE[#All],2,FALSE),I251)</f>
        <v>0</v>
      </c>
      <c r="J250" s="222" t="str">
        <f t="shared" si="26"/>
        <v/>
      </c>
      <c r="K250" s="44" t="str">
        <f t="shared" si="27"/>
        <v xml:space="preserve">HTR8 - </v>
      </c>
      <c r="L250" s="44" t="e">
        <f>+VLOOKUP(K250,TL[],4,FALSE)</f>
        <v>#N/A</v>
      </c>
    </row>
    <row r="251" spans="7:12" x14ac:dyDescent="0.2">
      <c r="G251" s="220">
        <f t="shared" si="24"/>
        <v>0</v>
      </c>
      <c r="H251" s="220">
        <f t="shared" si="25"/>
        <v>0</v>
      </c>
      <c r="I251" s="221">
        <f>IF(A251="Total",VLOOKUP(B251,CORRESPONDANCE[#All],2,FALSE),I252)</f>
        <v>0</v>
      </c>
      <c r="J251" s="222" t="str">
        <f t="shared" si="26"/>
        <v/>
      </c>
      <c r="K251" s="44" t="str">
        <f t="shared" si="27"/>
        <v xml:space="preserve">HTR8 - </v>
      </c>
      <c r="L251" s="44" t="e">
        <f>+VLOOKUP(K251,TL[],4,FALSE)</f>
        <v>#N/A</v>
      </c>
    </row>
    <row r="252" spans="7:12" x14ac:dyDescent="0.2">
      <c r="G252" s="220">
        <f t="shared" si="24"/>
        <v>0</v>
      </c>
      <c r="H252" s="220">
        <f t="shared" si="25"/>
        <v>0</v>
      </c>
      <c r="I252" s="221">
        <f>IF(A252="Total",VLOOKUP(B252,CORRESPONDANCE[#All],2,FALSE),I253)</f>
        <v>0</v>
      </c>
      <c r="J252" s="222" t="str">
        <f t="shared" si="26"/>
        <v/>
      </c>
      <c r="K252" s="44" t="str">
        <f t="shared" si="27"/>
        <v xml:space="preserve">HTR8 - </v>
      </c>
      <c r="L252" s="44" t="e">
        <f>+VLOOKUP(K252,TL[],4,FALSE)</f>
        <v>#N/A</v>
      </c>
    </row>
    <row r="253" spans="7:12" x14ac:dyDescent="0.2">
      <c r="G253" s="220">
        <f t="shared" si="24"/>
        <v>0</v>
      </c>
      <c r="H253" s="220">
        <f t="shared" si="25"/>
        <v>0</v>
      </c>
      <c r="I253" s="221">
        <f>IF(A253="Total",VLOOKUP(B253,CORRESPONDANCE[#All],2,FALSE),I254)</f>
        <v>0</v>
      </c>
      <c r="J253" s="222" t="str">
        <f t="shared" si="26"/>
        <v/>
      </c>
      <c r="K253" s="44" t="str">
        <f t="shared" si="27"/>
        <v xml:space="preserve">HTR8 - </v>
      </c>
      <c r="L253" s="44" t="e">
        <f>+VLOOKUP(K253,TL[],4,FALSE)</f>
        <v>#N/A</v>
      </c>
    </row>
    <row r="254" spans="7:12" x14ac:dyDescent="0.2">
      <c r="G254" s="220">
        <f t="shared" si="24"/>
        <v>0</v>
      </c>
      <c r="H254" s="220">
        <f t="shared" si="25"/>
        <v>0</v>
      </c>
      <c r="I254" s="221">
        <f>IF(A254="Total",VLOOKUP(B254,CORRESPONDANCE[#All],2,FALSE),I255)</f>
        <v>0</v>
      </c>
      <c r="J254" s="222" t="str">
        <f t="shared" si="26"/>
        <v/>
      </c>
      <c r="K254" s="44" t="str">
        <f t="shared" si="27"/>
        <v xml:space="preserve">HTR8 - </v>
      </c>
      <c r="L254" s="44" t="e">
        <f>+VLOOKUP(K254,TL[],4,FALSE)</f>
        <v>#N/A</v>
      </c>
    </row>
    <row r="255" spans="7:12" x14ac:dyDescent="0.2">
      <c r="G255" s="220">
        <f t="shared" si="24"/>
        <v>0</v>
      </c>
      <c r="H255" s="220">
        <f t="shared" si="25"/>
        <v>0</v>
      </c>
      <c r="I255" s="221">
        <f>IF(A255="Total",VLOOKUP(B255,CORRESPONDANCE[#All],2,FALSE),I256)</f>
        <v>0</v>
      </c>
      <c r="J255" s="222" t="str">
        <f t="shared" si="26"/>
        <v/>
      </c>
      <c r="K255" s="44" t="str">
        <f t="shared" si="27"/>
        <v xml:space="preserve">HTR8 - </v>
      </c>
      <c r="L255" s="44" t="e">
        <f>+VLOOKUP(K255,TL[],4,FALSE)</f>
        <v>#N/A</v>
      </c>
    </row>
    <row r="256" spans="7:12" x14ac:dyDescent="0.2">
      <c r="G256" s="220">
        <f t="shared" si="24"/>
        <v>0</v>
      </c>
      <c r="H256" s="220">
        <f t="shared" si="25"/>
        <v>0</v>
      </c>
      <c r="I256" s="221">
        <f>IF(A256="Total",VLOOKUP(B256,CORRESPONDANCE[#All],2,FALSE),I257)</f>
        <v>0</v>
      </c>
      <c r="J256" s="222" t="str">
        <f t="shared" si="26"/>
        <v/>
      </c>
      <c r="K256" s="44" t="str">
        <f t="shared" si="27"/>
        <v xml:space="preserve">HTR8 - </v>
      </c>
      <c r="L256" s="44" t="e">
        <f>+VLOOKUP(K256,TL[],4,FALSE)</f>
        <v>#N/A</v>
      </c>
    </row>
    <row r="257" spans="7:12" x14ac:dyDescent="0.2">
      <c r="G257" s="220">
        <f t="shared" si="24"/>
        <v>0</v>
      </c>
      <c r="H257" s="220">
        <f t="shared" si="25"/>
        <v>0</v>
      </c>
      <c r="I257" s="221">
        <f>IF(A257="Total",VLOOKUP(B257,CORRESPONDANCE[#All],2,FALSE),I258)</f>
        <v>0</v>
      </c>
      <c r="J257" s="222" t="str">
        <f t="shared" si="26"/>
        <v/>
      </c>
      <c r="K257" s="44" t="str">
        <f t="shared" si="27"/>
        <v xml:space="preserve">HTR8 - </v>
      </c>
      <c r="L257" s="44" t="e">
        <f>+VLOOKUP(K257,TL[],4,FALSE)</f>
        <v>#N/A</v>
      </c>
    </row>
    <row r="258" spans="7:12" x14ac:dyDescent="0.2">
      <c r="G258" s="220">
        <f t="shared" si="24"/>
        <v>0</v>
      </c>
      <c r="H258" s="220">
        <f t="shared" si="25"/>
        <v>0</v>
      </c>
      <c r="I258" s="221">
        <f>IF(A258="Total",VLOOKUP(B258,CORRESPONDANCE[#All],2,FALSE),I259)</f>
        <v>0</v>
      </c>
      <c r="J258" s="222" t="str">
        <f t="shared" si="26"/>
        <v/>
      </c>
      <c r="K258" s="44" t="str">
        <f t="shared" si="27"/>
        <v xml:space="preserve">HTR8 - </v>
      </c>
      <c r="L258" s="44" t="e">
        <f>+VLOOKUP(K258,TL[],4,FALSE)</f>
        <v>#N/A</v>
      </c>
    </row>
    <row r="259" spans="7:12" x14ac:dyDescent="0.2">
      <c r="G259" s="220">
        <f t="shared" si="24"/>
        <v>0</v>
      </c>
      <c r="H259" s="220">
        <f t="shared" si="25"/>
        <v>0</v>
      </c>
      <c r="I259" s="221">
        <f>IF(A259="Total",VLOOKUP(B259,CORRESPONDANCE[#All],2,FALSE),I260)</f>
        <v>0</v>
      </c>
      <c r="J259" s="222" t="str">
        <f t="shared" si="26"/>
        <v/>
      </c>
      <c r="K259" s="44" t="str">
        <f t="shared" si="27"/>
        <v xml:space="preserve">HTR8 - </v>
      </c>
      <c r="L259" s="44" t="e">
        <f>+VLOOKUP(K259,TL[],4,FALSE)</f>
        <v>#N/A</v>
      </c>
    </row>
    <row r="260" spans="7:12" x14ac:dyDescent="0.2">
      <c r="G260" s="220">
        <f t="shared" si="24"/>
        <v>0</v>
      </c>
      <c r="H260" s="220">
        <f t="shared" si="25"/>
        <v>0</v>
      </c>
      <c r="I260" s="221">
        <f>IF(A260="Total",VLOOKUP(B260,CORRESPONDANCE[#All],2,FALSE),I261)</f>
        <v>0</v>
      </c>
      <c r="J260" s="222" t="str">
        <f t="shared" si="26"/>
        <v/>
      </c>
      <c r="K260" s="44" t="str">
        <f t="shared" si="27"/>
        <v xml:space="preserve">HTR8 - </v>
      </c>
      <c r="L260" s="44" t="e">
        <f>+VLOOKUP(K260,TL[],4,FALSE)</f>
        <v>#N/A</v>
      </c>
    </row>
    <row r="261" spans="7:12" x14ac:dyDescent="0.2">
      <c r="G261" s="220">
        <f t="shared" si="24"/>
        <v>0</v>
      </c>
      <c r="H261" s="220">
        <f t="shared" si="25"/>
        <v>0</v>
      </c>
      <c r="I261" s="221">
        <f>IF(A261="Total",VLOOKUP(B261,CORRESPONDANCE[#All],2,FALSE),I262)</f>
        <v>0</v>
      </c>
      <c r="J261" s="222" t="str">
        <f t="shared" si="26"/>
        <v/>
      </c>
      <c r="K261" s="44" t="str">
        <f t="shared" si="27"/>
        <v xml:space="preserve">HTR8 - </v>
      </c>
      <c r="L261" s="44" t="e">
        <f>+VLOOKUP(K261,TL[],4,FALSE)</f>
        <v>#N/A</v>
      </c>
    </row>
    <row r="262" spans="7:12" x14ac:dyDescent="0.2">
      <c r="G262" s="220">
        <f t="shared" si="24"/>
        <v>0</v>
      </c>
      <c r="H262" s="220">
        <f t="shared" si="25"/>
        <v>0</v>
      </c>
      <c r="I262" s="221">
        <f>IF(A262="Total",VLOOKUP(B262,CORRESPONDANCE[#All],2,FALSE),I263)</f>
        <v>0</v>
      </c>
      <c r="J262" s="222" t="str">
        <f t="shared" si="26"/>
        <v/>
      </c>
      <c r="K262" s="44" t="str">
        <f t="shared" si="27"/>
        <v xml:space="preserve">HTR8 - </v>
      </c>
      <c r="L262" s="44" t="e">
        <f>+VLOOKUP(K262,TL[],4,FALSE)</f>
        <v>#N/A</v>
      </c>
    </row>
    <row r="263" spans="7:12" x14ac:dyDescent="0.2">
      <c r="G263" s="220">
        <f t="shared" si="24"/>
        <v>0</v>
      </c>
      <c r="H263" s="220">
        <f t="shared" si="25"/>
        <v>0</v>
      </c>
      <c r="I263" s="221">
        <f>IF(A263="Total",VLOOKUP(B263,CORRESPONDANCE[#All],2,FALSE),I264)</f>
        <v>0</v>
      </c>
      <c r="J263" s="222" t="str">
        <f t="shared" si="26"/>
        <v/>
      </c>
      <c r="K263" s="44" t="str">
        <f t="shared" si="27"/>
        <v xml:space="preserve">HTR8 - </v>
      </c>
      <c r="L263" s="44" t="e">
        <f>+VLOOKUP(K263,TL[],4,FALSE)</f>
        <v>#N/A</v>
      </c>
    </row>
    <row r="264" spans="7:12" x14ac:dyDescent="0.2">
      <c r="G264" s="220">
        <f t="shared" si="24"/>
        <v>0</v>
      </c>
      <c r="H264" s="220">
        <f t="shared" si="25"/>
        <v>0</v>
      </c>
      <c r="I264" s="221">
        <f>IF(A264="Total",VLOOKUP(B264,CORRESPONDANCE[#All],2,FALSE),I265)</f>
        <v>0</v>
      </c>
      <c r="J264" s="222" t="str">
        <f t="shared" si="26"/>
        <v/>
      </c>
      <c r="K264" s="44" t="str">
        <f t="shared" si="27"/>
        <v xml:space="preserve">HTR8 - </v>
      </c>
      <c r="L264" s="44" t="e">
        <f>+VLOOKUP(K264,TL[],4,FALSE)</f>
        <v>#N/A</v>
      </c>
    </row>
    <row r="265" spans="7:12" x14ac:dyDescent="0.2">
      <c r="G265" s="220">
        <f t="shared" si="24"/>
        <v>0</v>
      </c>
      <c r="H265" s="220">
        <f t="shared" si="25"/>
        <v>0</v>
      </c>
      <c r="I265" s="221">
        <f>IF(A265="Total",VLOOKUP(B265,CORRESPONDANCE[#All],2,FALSE),I266)</f>
        <v>0</v>
      </c>
      <c r="J265" s="222" t="str">
        <f t="shared" si="26"/>
        <v/>
      </c>
      <c r="K265" s="44" t="str">
        <f t="shared" si="27"/>
        <v xml:space="preserve">HTR8 - </v>
      </c>
      <c r="L265" s="44" t="e">
        <f>+VLOOKUP(K265,TL[],4,FALSE)</f>
        <v>#N/A</v>
      </c>
    </row>
    <row r="266" spans="7:12" x14ac:dyDescent="0.2">
      <c r="G266" s="220">
        <f t="shared" si="24"/>
        <v>0</v>
      </c>
      <c r="H266" s="220">
        <f t="shared" si="25"/>
        <v>0</v>
      </c>
      <c r="I266" s="221">
        <f>IF(A266="Total",VLOOKUP(B266,CORRESPONDANCE[#All],2,FALSE),I267)</f>
        <v>0</v>
      </c>
      <c r="J266" s="222" t="str">
        <f t="shared" si="26"/>
        <v/>
      </c>
      <c r="K266" s="44" t="str">
        <f t="shared" si="27"/>
        <v xml:space="preserve">HTR8 - </v>
      </c>
      <c r="L266" s="44" t="e">
        <f>+VLOOKUP(K266,TL[],4,FALSE)</f>
        <v>#N/A</v>
      </c>
    </row>
    <row r="267" spans="7:12" x14ac:dyDescent="0.2">
      <c r="G267" s="220">
        <f t="shared" ref="G267:G296" si="28">SUM(C267)-SUM(D267)</f>
        <v>0</v>
      </c>
      <c r="H267" s="220">
        <f t="shared" ref="H267:H296" si="29">SUM(E267)-SUM(F267)</f>
        <v>0</v>
      </c>
      <c r="I267" s="221">
        <f>IF(A267="Total",VLOOKUP(B267,CORRESPONDANCE[#All],2,FALSE),I268)</f>
        <v>0</v>
      </c>
      <c r="J267" s="222" t="str">
        <f t="shared" ref="J267:J296" si="30">LEFT(A267,1)</f>
        <v/>
      </c>
      <c r="K267" s="44" t="str">
        <f t="shared" ref="K267:K296" si="31">"HTR8"&amp;" - "&amp;A267</f>
        <v xml:space="preserve">HTR8 - </v>
      </c>
      <c r="L267" s="44" t="e">
        <f>+VLOOKUP(K267,TL[],4,FALSE)</f>
        <v>#N/A</v>
      </c>
    </row>
    <row r="268" spans="7:12" x14ac:dyDescent="0.2">
      <c r="G268" s="220">
        <f t="shared" si="28"/>
        <v>0</v>
      </c>
      <c r="H268" s="220">
        <f t="shared" si="29"/>
        <v>0</v>
      </c>
      <c r="I268" s="221">
        <f>IF(A268="Total",VLOOKUP(B268,CORRESPONDANCE[#All],2,FALSE),I269)</f>
        <v>0</v>
      </c>
      <c r="J268" s="222" t="str">
        <f t="shared" si="30"/>
        <v/>
      </c>
      <c r="K268" s="44" t="str">
        <f t="shared" si="31"/>
        <v xml:space="preserve">HTR8 - </v>
      </c>
      <c r="L268" s="44" t="e">
        <f>+VLOOKUP(K268,TL[],4,FALSE)</f>
        <v>#N/A</v>
      </c>
    </row>
    <row r="269" spans="7:12" x14ac:dyDescent="0.2">
      <c r="G269" s="220">
        <f t="shared" si="28"/>
        <v>0</v>
      </c>
      <c r="H269" s="220">
        <f t="shared" si="29"/>
        <v>0</v>
      </c>
      <c r="I269" s="221">
        <f>IF(A269="Total",VLOOKUP(B269,CORRESPONDANCE[#All],2,FALSE),I270)</f>
        <v>0</v>
      </c>
      <c r="J269" s="222" t="str">
        <f t="shared" si="30"/>
        <v/>
      </c>
      <c r="K269" s="44" t="str">
        <f t="shared" si="31"/>
        <v xml:space="preserve">HTR8 - </v>
      </c>
      <c r="L269" s="44" t="e">
        <f>+VLOOKUP(K269,TL[],4,FALSE)</f>
        <v>#N/A</v>
      </c>
    </row>
    <row r="270" spans="7:12" x14ac:dyDescent="0.2">
      <c r="G270" s="220">
        <f t="shared" si="28"/>
        <v>0</v>
      </c>
      <c r="H270" s="220">
        <f t="shared" si="29"/>
        <v>0</v>
      </c>
      <c r="I270" s="221">
        <f>IF(A270="Total",VLOOKUP(B270,CORRESPONDANCE[#All],2,FALSE),I271)</f>
        <v>0</v>
      </c>
      <c r="J270" s="222" t="str">
        <f t="shared" si="30"/>
        <v/>
      </c>
      <c r="K270" s="44" t="str">
        <f t="shared" si="31"/>
        <v xml:space="preserve">HTR8 - </v>
      </c>
      <c r="L270" s="44" t="e">
        <f>+VLOOKUP(K270,TL[],4,FALSE)</f>
        <v>#N/A</v>
      </c>
    </row>
    <row r="271" spans="7:12" x14ac:dyDescent="0.2">
      <c r="G271" s="220">
        <f t="shared" si="28"/>
        <v>0</v>
      </c>
      <c r="H271" s="220">
        <f t="shared" si="29"/>
        <v>0</v>
      </c>
      <c r="I271" s="221">
        <f>IF(A271="Total",VLOOKUP(B271,CORRESPONDANCE[#All],2,FALSE),I272)</f>
        <v>0</v>
      </c>
      <c r="J271" s="222" t="str">
        <f t="shared" si="30"/>
        <v/>
      </c>
      <c r="K271" s="44" t="str">
        <f t="shared" si="31"/>
        <v xml:space="preserve">HTR8 - </v>
      </c>
      <c r="L271" s="44" t="e">
        <f>+VLOOKUP(K271,TL[],4,FALSE)</f>
        <v>#N/A</v>
      </c>
    </row>
    <row r="272" spans="7:12" x14ac:dyDescent="0.2">
      <c r="G272" s="220">
        <f t="shared" si="28"/>
        <v>0</v>
      </c>
      <c r="H272" s="220">
        <f t="shared" si="29"/>
        <v>0</v>
      </c>
      <c r="I272" s="221">
        <f>IF(A272="Total",VLOOKUP(B272,CORRESPONDANCE[#All],2,FALSE),I273)</f>
        <v>0</v>
      </c>
      <c r="J272" s="222" t="str">
        <f t="shared" si="30"/>
        <v/>
      </c>
      <c r="K272" s="44" t="str">
        <f t="shared" si="31"/>
        <v xml:space="preserve">HTR8 - </v>
      </c>
      <c r="L272" s="44" t="e">
        <f>+VLOOKUP(K272,TL[],4,FALSE)</f>
        <v>#N/A</v>
      </c>
    </row>
    <row r="273" spans="7:12" x14ac:dyDescent="0.2">
      <c r="G273" s="220">
        <f t="shared" si="28"/>
        <v>0</v>
      </c>
      <c r="H273" s="220">
        <f t="shared" si="29"/>
        <v>0</v>
      </c>
      <c r="I273" s="221">
        <f>IF(A273="Total",VLOOKUP(B273,CORRESPONDANCE[#All],2,FALSE),I274)</f>
        <v>0</v>
      </c>
      <c r="J273" s="222" t="str">
        <f t="shared" si="30"/>
        <v/>
      </c>
      <c r="K273" s="44" t="str">
        <f t="shared" si="31"/>
        <v xml:space="preserve">HTR8 - </v>
      </c>
      <c r="L273" s="44" t="e">
        <f>+VLOOKUP(K273,TL[],4,FALSE)</f>
        <v>#N/A</v>
      </c>
    </row>
    <row r="274" spans="7:12" x14ac:dyDescent="0.2">
      <c r="G274" s="220">
        <f t="shared" si="28"/>
        <v>0</v>
      </c>
      <c r="H274" s="220">
        <f t="shared" si="29"/>
        <v>0</v>
      </c>
      <c r="I274" s="221">
        <f>IF(A274="Total",VLOOKUP(B274,CORRESPONDANCE[#All],2,FALSE),I275)</f>
        <v>0</v>
      </c>
      <c r="J274" s="222" t="str">
        <f t="shared" si="30"/>
        <v/>
      </c>
      <c r="K274" s="44" t="str">
        <f t="shared" si="31"/>
        <v xml:space="preserve">HTR8 - </v>
      </c>
      <c r="L274" s="44" t="e">
        <f>+VLOOKUP(K274,TL[],4,FALSE)</f>
        <v>#N/A</v>
      </c>
    </row>
    <row r="275" spans="7:12" x14ac:dyDescent="0.2">
      <c r="G275" s="220">
        <f t="shared" si="28"/>
        <v>0</v>
      </c>
      <c r="H275" s="220">
        <f t="shared" si="29"/>
        <v>0</v>
      </c>
      <c r="I275" s="221">
        <f>IF(A275="Total",VLOOKUP(B275,CORRESPONDANCE[#All],2,FALSE),I276)</f>
        <v>0</v>
      </c>
      <c r="J275" s="222" t="str">
        <f t="shared" si="30"/>
        <v/>
      </c>
      <c r="K275" s="44" t="str">
        <f t="shared" si="31"/>
        <v xml:space="preserve">HTR8 - </v>
      </c>
      <c r="L275" s="44" t="e">
        <f>+VLOOKUP(K275,TL[],4,FALSE)</f>
        <v>#N/A</v>
      </c>
    </row>
    <row r="276" spans="7:12" x14ac:dyDescent="0.2">
      <c r="G276" s="220">
        <f t="shared" si="28"/>
        <v>0</v>
      </c>
      <c r="H276" s="220">
        <f t="shared" si="29"/>
        <v>0</v>
      </c>
      <c r="I276" s="221">
        <f>IF(A276="Total",VLOOKUP(B276,CORRESPONDANCE[#All],2,FALSE),I277)</f>
        <v>0</v>
      </c>
      <c r="J276" s="222" t="str">
        <f t="shared" si="30"/>
        <v/>
      </c>
      <c r="K276" s="44" t="str">
        <f t="shared" si="31"/>
        <v xml:space="preserve">HTR8 - </v>
      </c>
      <c r="L276" s="44" t="e">
        <f>+VLOOKUP(K276,TL[],4,FALSE)</f>
        <v>#N/A</v>
      </c>
    </row>
    <row r="277" spans="7:12" x14ac:dyDescent="0.2">
      <c r="G277" s="220">
        <f t="shared" si="28"/>
        <v>0</v>
      </c>
      <c r="H277" s="220">
        <f t="shared" si="29"/>
        <v>0</v>
      </c>
      <c r="I277" s="221">
        <f>IF(A277="Total",VLOOKUP(B277,CORRESPONDANCE[#All],2,FALSE),I278)</f>
        <v>0</v>
      </c>
      <c r="J277" s="222" t="str">
        <f t="shared" si="30"/>
        <v/>
      </c>
      <c r="K277" s="44" t="str">
        <f t="shared" si="31"/>
        <v xml:space="preserve">HTR8 - </v>
      </c>
      <c r="L277" s="44" t="e">
        <f>+VLOOKUP(K277,TL[],4,FALSE)</f>
        <v>#N/A</v>
      </c>
    </row>
    <row r="278" spans="7:12" x14ac:dyDescent="0.2">
      <c r="G278" s="220">
        <f t="shared" si="28"/>
        <v>0</v>
      </c>
      <c r="H278" s="220">
        <f t="shared" si="29"/>
        <v>0</v>
      </c>
      <c r="I278" s="221">
        <f>IF(A278="Total",VLOOKUP(B278,CORRESPONDANCE[#All],2,FALSE),I279)</f>
        <v>0</v>
      </c>
      <c r="J278" s="222" t="str">
        <f t="shared" si="30"/>
        <v/>
      </c>
      <c r="K278" s="44" t="str">
        <f t="shared" si="31"/>
        <v xml:space="preserve">HTR8 - </v>
      </c>
      <c r="L278" s="44" t="e">
        <f>+VLOOKUP(K278,TL[],4,FALSE)</f>
        <v>#N/A</v>
      </c>
    </row>
    <row r="279" spans="7:12" x14ac:dyDescent="0.2">
      <c r="G279" s="220">
        <f t="shared" si="28"/>
        <v>0</v>
      </c>
      <c r="H279" s="220">
        <f t="shared" si="29"/>
        <v>0</v>
      </c>
      <c r="I279" s="221">
        <f>IF(A279="Total",VLOOKUP(B279,CORRESPONDANCE[#All],2,FALSE),I280)</f>
        <v>0</v>
      </c>
      <c r="J279" s="222" t="str">
        <f t="shared" si="30"/>
        <v/>
      </c>
      <c r="K279" s="44" t="str">
        <f t="shared" si="31"/>
        <v xml:space="preserve">HTR8 - </v>
      </c>
      <c r="L279" s="44" t="e">
        <f>+VLOOKUP(K279,TL[],4,FALSE)</f>
        <v>#N/A</v>
      </c>
    </row>
    <row r="280" spans="7:12" x14ac:dyDescent="0.2">
      <c r="G280" s="220">
        <f t="shared" si="28"/>
        <v>0</v>
      </c>
      <c r="H280" s="220">
        <f t="shared" si="29"/>
        <v>0</v>
      </c>
      <c r="I280" s="221">
        <f>IF(A280="Total",VLOOKUP(B280,CORRESPONDANCE[#All],2,FALSE),I281)</f>
        <v>0</v>
      </c>
      <c r="J280" s="222" t="str">
        <f t="shared" si="30"/>
        <v/>
      </c>
      <c r="K280" s="44" t="str">
        <f t="shared" si="31"/>
        <v xml:space="preserve">HTR8 - </v>
      </c>
      <c r="L280" s="44" t="e">
        <f>+VLOOKUP(K280,TL[],4,FALSE)</f>
        <v>#N/A</v>
      </c>
    </row>
    <row r="281" spans="7:12" x14ac:dyDescent="0.2">
      <c r="G281" s="220">
        <f t="shared" si="28"/>
        <v>0</v>
      </c>
      <c r="H281" s="220">
        <f t="shared" si="29"/>
        <v>0</v>
      </c>
      <c r="I281" s="221">
        <f>IF(A281="Total",VLOOKUP(B281,CORRESPONDANCE[#All],2,FALSE),I282)</f>
        <v>0</v>
      </c>
      <c r="J281" s="222" t="str">
        <f t="shared" si="30"/>
        <v/>
      </c>
      <c r="K281" s="44" t="str">
        <f t="shared" si="31"/>
        <v xml:space="preserve">HTR8 - </v>
      </c>
      <c r="L281" s="44" t="e">
        <f>+VLOOKUP(K281,TL[],4,FALSE)</f>
        <v>#N/A</v>
      </c>
    </row>
    <row r="282" spans="7:12" x14ac:dyDescent="0.2">
      <c r="G282" s="220">
        <f t="shared" si="28"/>
        <v>0</v>
      </c>
      <c r="H282" s="220">
        <f t="shared" si="29"/>
        <v>0</v>
      </c>
      <c r="I282" s="221">
        <f>IF(A282="Total",VLOOKUP(B282,CORRESPONDANCE[#All],2,FALSE),I283)</f>
        <v>0</v>
      </c>
      <c r="J282" s="222" t="str">
        <f t="shared" si="30"/>
        <v/>
      </c>
      <c r="K282" s="44" t="str">
        <f t="shared" si="31"/>
        <v xml:space="preserve">HTR8 - </v>
      </c>
      <c r="L282" s="44" t="e">
        <f>+VLOOKUP(K282,TL[],4,FALSE)</f>
        <v>#N/A</v>
      </c>
    </row>
    <row r="283" spans="7:12" x14ac:dyDescent="0.2">
      <c r="G283" s="220">
        <f t="shared" si="28"/>
        <v>0</v>
      </c>
      <c r="H283" s="220">
        <f t="shared" si="29"/>
        <v>0</v>
      </c>
      <c r="I283" s="221">
        <f>IF(A283="Total",VLOOKUP(B283,CORRESPONDANCE[#All],2,FALSE),I284)</f>
        <v>0</v>
      </c>
      <c r="J283" s="222" t="str">
        <f t="shared" si="30"/>
        <v/>
      </c>
      <c r="K283" s="44" t="str">
        <f t="shared" si="31"/>
        <v xml:space="preserve">HTR8 - </v>
      </c>
      <c r="L283" s="44" t="e">
        <f>+VLOOKUP(K283,TL[],4,FALSE)</f>
        <v>#N/A</v>
      </c>
    </row>
    <row r="284" spans="7:12" x14ac:dyDescent="0.2">
      <c r="G284" s="220">
        <f t="shared" si="28"/>
        <v>0</v>
      </c>
      <c r="H284" s="220">
        <f t="shared" si="29"/>
        <v>0</v>
      </c>
      <c r="I284" s="221">
        <f>IF(A284="Total",VLOOKUP(B284,CORRESPONDANCE[#All],2,FALSE),I285)</f>
        <v>0</v>
      </c>
      <c r="J284" s="222" t="str">
        <f t="shared" si="30"/>
        <v/>
      </c>
      <c r="K284" s="44" t="str">
        <f t="shared" si="31"/>
        <v xml:space="preserve">HTR8 - </v>
      </c>
      <c r="L284" s="44" t="e">
        <f>+VLOOKUP(K284,TL[],4,FALSE)</f>
        <v>#N/A</v>
      </c>
    </row>
    <row r="285" spans="7:12" x14ac:dyDescent="0.2">
      <c r="G285" s="220">
        <f t="shared" si="28"/>
        <v>0</v>
      </c>
      <c r="H285" s="220">
        <f t="shared" si="29"/>
        <v>0</v>
      </c>
      <c r="I285" s="221">
        <f>IF(A285="Total",VLOOKUP(B285,CORRESPONDANCE[#All],2,FALSE),I286)</f>
        <v>0</v>
      </c>
      <c r="J285" s="222" t="str">
        <f t="shared" si="30"/>
        <v/>
      </c>
      <c r="K285" s="44" t="str">
        <f t="shared" si="31"/>
        <v xml:space="preserve">HTR8 - </v>
      </c>
      <c r="L285" s="44" t="e">
        <f>+VLOOKUP(K285,TL[],4,FALSE)</f>
        <v>#N/A</v>
      </c>
    </row>
    <row r="286" spans="7:12" x14ac:dyDescent="0.2">
      <c r="G286" s="220">
        <f t="shared" si="28"/>
        <v>0</v>
      </c>
      <c r="H286" s="220">
        <f t="shared" si="29"/>
        <v>0</v>
      </c>
      <c r="I286" s="221">
        <f>IF(A286="Total",VLOOKUP(B286,CORRESPONDANCE[#All],2,FALSE),I287)</f>
        <v>0</v>
      </c>
      <c r="J286" s="222" t="str">
        <f t="shared" si="30"/>
        <v/>
      </c>
      <c r="K286" s="44" t="str">
        <f t="shared" si="31"/>
        <v xml:space="preserve">HTR8 - </v>
      </c>
      <c r="L286" s="44" t="e">
        <f>+VLOOKUP(K286,TL[],4,FALSE)</f>
        <v>#N/A</v>
      </c>
    </row>
    <row r="287" spans="7:12" x14ac:dyDescent="0.2">
      <c r="G287" s="220">
        <f t="shared" si="28"/>
        <v>0</v>
      </c>
      <c r="H287" s="220">
        <f t="shared" si="29"/>
        <v>0</v>
      </c>
      <c r="I287" s="221">
        <f>IF(A287="Total",VLOOKUP(B287,CORRESPONDANCE[#All],2,FALSE),I288)</f>
        <v>0</v>
      </c>
      <c r="J287" s="222" t="str">
        <f t="shared" si="30"/>
        <v/>
      </c>
      <c r="K287" s="44" t="str">
        <f t="shared" si="31"/>
        <v xml:space="preserve">HTR8 - </v>
      </c>
      <c r="L287" s="44" t="e">
        <f>+VLOOKUP(K287,TL[],4,FALSE)</f>
        <v>#N/A</v>
      </c>
    </row>
    <row r="288" spans="7:12" x14ac:dyDescent="0.2">
      <c r="G288" s="220">
        <f t="shared" si="28"/>
        <v>0</v>
      </c>
      <c r="H288" s="220">
        <f t="shared" si="29"/>
        <v>0</v>
      </c>
      <c r="I288" s="221">
        <f>IF(A288="Total",VLOOKUP(B288,CORRESPONDANCE[#All],2,FALSE),I289)</f>
        <v>0</v>
      </c>
      <c r="J288" s="222" t="str">
        <f t="shared" si="30"/>
        <v/>
      </c>
      <c r="K288" s="44" t="str">
        <f t="shared" si="31"/>
        <v xml:space="preserve">HTR8 - </v>
      </c>
      <c r="L288" s="44" t="e">
        <f>+VLOOKUP(K288,TL[],4,FALSE)</f>
        <v>#N/A</v>
      </c>
    </row>
    <row r="289" spans="7:12" x14ac:dyDescent="0.2">
      <c r="G289" s="220">
        <f t="shared" si="28"/>
        <v>0</v>
      </c>
      <c r="H289" s="220">
        <f t="shared" si="29"/>
        <v>0</v>
      </c>
      <c r="I289" s="221">
        <f>IF(A289="Total",VLOOKUP(B289,CORRESPONDANCE[#All],2,FALSE),I290)</f>
        <v>0</v>
      </c>
      <c r="J289" s="222" t="str">
        <f t="shared" si="30"/>
        <v/>
      </c>
      <c r="K289" s="44" t="str">
        <f t="shared" si="31"/>
        <v xml:space="preserve">HTR8 - </v>
      </c>
      <c r="L289" s="44" t="e">
        <f>+VLOOKUP(K289,TL[],4,FALSE)</f>
        <v>#N/A</v>
      </c>
    </row>
    <row r="290" spans="7:12" x14ac:dyDescent="0.2">
      <c r="G290" s="220">
        <f t="shared" si="28"/>
        <v>0</v>
      </c>
      <c r="H290" s="220">
        <f t="shared" si="29"/>
        <v>0</v>
      </c>
      <c r="I290" s="221">
        <f>IF(A290="Total",VLOOKUP(B290,CORRESPONDANCE[#All],2,FALSE),I291)</f>
        <v>0</v>
      </c>
      <c r="J290" s="222" t="str">
        <f t="shared" si="30"/>
        <v/>
      </c>
      <c r="K290" s="44" t="str">
        <f t="shared" si="31"/>
        <v xml:space="preserve">HTR8 - </v>
      </c>
      <c r="L290" s="44" t="e">
        <f>+VLOOKUP(K290,TL[],4,FALSE)</f>
        <v>#N/A</v>
      </c>
    </row>
    <row r="291" spans="7:12" x14ac:dyDescent="0.2">
      <c r="G291" s="220">
        <f t="shared" si="28"/>
        <v>0</v>
      </c>
      <c r="H291" s="220">
        <f t="shared" si="29"/>
        <v>0</v>
      </c>
      <c r="I291" s="221">
        <f>IF(A291="Total",VLOOKUP(B291,CORRESPONDANCE[#All],2,FALSE),I292)</f>
        <v>0</v>
      </c>
      <c r="J291" s="222" t="str">
        <f t="shared" si="30"/>
        <v/>
      </c>
      <c r="K291" s="44" t="str">
        <f t="shared" si="31"/>
        <v xml:space="preserve">HTR8 - </v>
      </c>
      <c r="L291" s="44" t="e">
        <f>+VLOOKUP(K291,TL[],4,FALSE)</f>
        <v>#N/A</v>
      </c>
    </row>
    <row r="292" spans="7:12" x14ac:dyDescent="0.2">
      <c r="G292" s="220">
        <f t="shared" si="28"/>
        <v>0</v>
      </c>
      <c r="H292" s="220">
        <f t="shared" si="29"/>
        <v>0</v>
      </c>
      <c r="I292" s="221">
        <f>IF(A292="Total",VLOOKUP(B292,CORRESPONDANCE[#All],2,FALSE),I293)</f>
        <v>0</v>
      </c>
      <c r="J292" s="222" t="str">
        <f t="shared" si="30"/>
        <v/>
      </c>
      <c r="K292" s="44" t="str">
        <f t="shared" si="31"/>
        <v xml:space="preserve">HTR8 - </v>
      </c>
      <c r="L292" s="44" t="e">
        <f>+VLOOKUP(K292,TL[],4,FALSE)</f>
        <v>#N/A</v>
      </c>
    </row>
    <row r="293" spans="7:12" x14ac:dyDescent="0.2">
      <c r="G293" s="220">
        <f t="shared" si="28"/>
        <v>0</v>
      </c>
      <c r="H293" s="220">
        <f t="shared" si="29"/>
        <v>0</v>
      </c>
      <c r="I293" s="221">
        <f>IF(A293="Total",VLOOKUP(B293,CORRESPONDANCE[#All],2,FALSE),I294)</f>
        <v>0</v>
      </c>
      <c r="J293" s="222" t="str">
        <f t="shared" si="30"/>
        <v/>
      </c>
      <c r="K293" s="44" t="str">
        <f t="shared" si="31"/>
        <v xml:space="preserve">HTR8 - </v>
      </c>
      <c r="L293" s="44" t="e">
        <f>+VLOOKUP(K293,TL[],4,FALSE)</f>
        <v>#N/A</v>
      </c>
    </row>
    <row r="294" spans="7:12" x14ac:dyDescent="0.2">
      <c r="G294" s="220">
        <f t="shared" si="28"/>
        <v>0</v>
      </c>
      <c r="H294" s="220">
        <f t="shared" si="29"/>
        <v>0</v>
      </c>
      <c r="I294" s="221">
        <f>IF(A294="Total",VLOOKUP(B294,CORRESPONDANCE[#All],2,FALSE),I295)</f>
        <v>0</v>
      </c>
      <c r="J294" s="222" t="str">
        <f t="shared" si="30"/>
        <v/>
      </c>
      <c r="K294" s="44" t="str">
        <f t="shared" si="31"/>
        <v xml:space="preserve">HTR8 - </v>
      </c>
      <c r="L294" s="44" t="e">
        <f>+VLOOKUP(K294,TL[],4,FALSE)</f>
        <v>#N/A</v>
      </c>
    </row>
    <row r="295" spans="7:12" x14ac:dyDescent="0.2">
      <c r="G295" s="220">
        <f t="shared" si="28"/>
        <v>0</v>
      </c>
      <c r="H295" s="220">
        <f t="shared" si="29"/>
        <v>0</v>
      </c>
      <c r="I295" s="221">
        <f>IF(A295="Total",VLOOKUP(B295,CORRESPONDANCE[#All],2,FALSE),I296)</f>
        <v>0</v>
      </c>
      <c r="J295" s="222" t="str">
        <f t="shared" si="30"/>
        <v/>
      </c>
      <c r="K295" s="44" t="str">
        <f t="shared" si="31"/>
        <v xml:space="preserve">HTR8 - </v>
      </c>
      <c r="L295" s="44" t="e">
        <f>+VLOOKUP(K295,TL[],4,FALSE)</f>
        <v>#N/A</v>
      </c>
    </row>
    <row r="296" spans="7:12" x14ac:dyDescent="0.2">
      <c r="G296" s="220">
        <f t="shared" si="28"/>
        <v>0</v>
      </c>
      <c r="H296" s="220">
        <f t="shared" si="29"/>
        <v>0</v>
      </c>
      <c r="I296" s="221">
        <f>IF(A296="Total",VLOOKUP(B296,CORRESPONDANCE[#All],2,FALSE),I297)</f>
        <v>0</v>
      </c>
      <c r="J296" s="222" t="str">
        <f t="shared" si="30"/>
        <v/>
      </c>
      <c r="K296" s="44" t="str">
        <f t="shared" si="31"/>
        <v xml:space="preserve">HTR8 - </v>
      </c>
      <c r="L296" s="44" t="e">
        <f>+VLOOKUP(K296,TL[],4,FALSE)</f>
        <v>#N/A</v>
      </c>
    </row>
    <row r="297" spans="7:12" x14ac:dyDescent="0.2">
      <c r="G297" s="220">
        <f t="shared" ref="G297:G307" si="32">SUM(C297)-SUM(D297)</f>
        <v>0</v>
      </c>
      <c r="H297" s="220">
        <f t="shared" ref="H297:H307" si="33">SUM(E297)-SUM(F297)</f>
        <v>0</v>
      </c>
      <c r="I297" s="221">
        <f>IF(A297="Total",VLOOKUP(B297,CORRESPONDANCE[#All],2,FALSE),I298)</f>
        <v>0</v>
      </c>
      <c r="J297" s="222" t="str">
        <f t="shared" ref="J297:J307" si="34">LEFT(A297,1)</f>
        <v/>
      </c>
      <c r="K297" s="44" t="str">
        <f t="shared" ref="K297:K307" si="35">"HTR8"&amp;" - "&amp;A297</f>
        <v xml:space="preserve">HTR8 - </v>
      </c>
      <c r="L297" s="44" t="e">
        <f>+VLOOKUP(K297,TL[],4,FALSE)</f>
        <v>#N/A</v>
      </c>
    </row>
    <row r="298" spans="7:12" x14ac:dyDescent="0.2">
      <c r="G298" s="220">
        <f t="shared" si="32"/>
        <v>0</v>
      </c>
      <c r="H298" s="220">
        <f t="shared" si="33"/>
        <v>0</v>
      </c>
      <c r="I298" s="221">
        <f>IF(A298="Total",VLOOKUP(B298,CORRESPONDANCE[#All],2,FALSE),I299)</f>
        <v>0</v>
      </c>
      <c r="J298" s="222" t="str">
        <f t="shared" si="34"/>
        <v/>
      </c>
      <c r="K298" s="44" t="str">
        <f t="shared" si="35"/>
        <v xml:space="preserve">HTR8 - </v>
      </c>
      <c r="L298" s="44" t="e">
        <f>+VLOOKUP(K298,TL[],4,FALSE)</f>
        <v>#N/A</v>
      </c>
    </row>
    <row r="299" spans="7:12" x14ac:dyDescent="0.2">
      <c r="G299" s="220">
        <f t="shared" si="32"/>
        <v>0</v>
      </c>
      <c r="H299" s="220">
        <f t="shared" si="33"/>
        <v>0</v>
      </c>
      <c r="I299" s="221">
        <f>IF(A299="Total",VLOOKUP(B299,CORRESPONDANCE[#All],2,FALSE),I300)</f>
        <v>0</v>
      </c>
      <c r="J299" s="222" t="str">
        <f t="shared" si="34"/>
        <v/>
      </c>
      <c r="K299" s="44" t="str">
        <f t="shared" si="35"/>
        <v xml:space="preserve">HTR8 - </v>
      </c>
      <c r="L299" s="44" t="e">
        <f>+VLOOKUP(K299,TL[],4,FALSE)</f>
        <v>#N/A</v>
      </c>
    </row>
    <row r="300" spans="7:12" x14ac:dyDescent="0.2">
      <c r="G300" s="220">
        <f t="shared" si="32"/>
        <v>0</v>
      </c>
      <c r="H300" s="220">
        <f t="shared" si="33"/>
        <v>0</v>
      </c>
      <c r="I300" s="221">
        <f>IF(A300="Total",VLOOKUP(B300,CORRESPONDANCE[#All],2,FALSE),I301)</f>
        <v>0</v>
      </c>
      <c r="J300" s="222" t="str">
        <f t="shared" si="34"/>
        <v/>
      </c>
      <c r="K300" s="44" t="str">
        <f t="shared" si="35"/>
        <v xml:space="preserve">HTR8 - </v>
      </c>
      <c r="L300" s="44" t="e">
        <f>+VLOOKUP(K300,TL[],4,FALSE)</f>
        <v>#N/A</v>
      </c>
    </row>
    <row r="301" spans="7:12" x14ac:dyDescent="0.2">
      <c r="G301" s="220">
        <f t="shared" si="32"/>
        <v>0</v>
      </c>
      <c r="H301" s="220">
        <f t="shared" si="33"/>
        <v>0</v>
      </c>
      <c r="I301" s="221">
        <f>IF(A301="Total",VLOOKUP(B301,CORRESPONDANCE[#All],2,FALSE),I302)</f>
        <v>0</v>
      </c>
      <c r="J301" s="222" t="str">
        <f t="shared" si="34"/>
        <v/>
      </c>
      <c r="K301" s="44" t="str">
        <f t="shared" si="35"/>
        <v xml:space="preserve">HTR8 - </v>
      </c>
      <c r="L301" s="44" t="e">
        <f>+VLOOKUP(K301,TL[],4,FALSE)</f>
        <v>#N/A</v>
      </c>
    </row>
    <row r="302" spans="7:12" x14ac:dyDescent="0.2">
      <c r="G302" s="220">
        <f t="shared" si="32"/>
        <v>0</v>
      </c>
      <c r="H302" s="220">
        <f t="shared" si="33"/>
        <v>0</v>
      </c>
      <c r="I302" s="221">
        <f>IF(A302="Total",VLOOKUP(B302,CORRESPONDANCE[#All],2,FALSE),I303)</f>
        <v>0</v>
      </c>
      <c r="J302" s="222" t="str">
        <f t="shared" si="34"/>
        <v/>
      </c>
      <c r="K302" s="44" t="str">
        <f t="shared" si="35"/>
        <v xml:space="preserve">HTR8 - </v>
      </c>
      <c r="L302" s="44" t="e">
        <f>+VLOOKUP(K302,TL[],4,FALSE)</f>
        <v>#N/A</v>
      </c>
    </row>
    <row r="303" spans="7:12" x14ac:dyDescent="0.2">
      <c r="G303" s="220">
        <f t="shared" si="32"/>
        <v>0</v>
      </c>
      <c r="H303" s="220">
        <f t="shared" si="33"/>
        <v>0</v>
      </c>
      <c r="I303" s="221">
        <f>IF(A303="Total",VLOOKUP(B303,CORRESPONDANCE[#All],2,FALSE),I304)</f>
        <v>0</v>
      </c>
      <c r="J303" s="222" t="str">
        <f t="shared" si="34"/>
        <v/>
      </c>
      <c r="K303" s="44" t="str">
        <f t="shared" si="35"/>
        <v xml:space="preserve">HTR8 - </v>
      </c>
      <c r="L303" s="44" t="e">
        <f>+VLOOKUP(K303,TL[],4,FALSE)</f>
        <v>#N/A</v>
      </c>
    </row>
    <row r="304" spans="7:12" x14ac:dyDescent="0.2">
      <c r="G304" s="220">
        <f t="shared" si="32"/>
        <v>0</v>
      </c>
      <c r="H304" s="220">
        <f t="shared" si="33"/>
        <v>0</v>
      </c>
      <c r="I304" s="221">
        <f>IF(A304="Total",VLOOKUP(B304,CORRESPONDANCE[#All],2,FALSE),I305)</f>
        <v>0</v>
      </c>
      <c r="J304" s="222" t="str">
        <f t="shared" si="34"/>
        <v/>
      </c>
      <c r="K304" s="44" t="str">
        <f t="shared" si="35"/>
        <v xml:space="preserve">HTR8 - </v>
      </c>
      <c r="L304" s="44" t="e">
        <f>+VLOOKUP(K304,TL[],4,FALSE)</f>
        <v>#N/A</v>
      </c>
    </row>
    <row r="305" spans="7:12" x14ac:dyDescent="0.2">
      <c r="G305" s="220">
        <f t="shared" si="32"/>
        <v>0</v>
      </c>
      <c r="H305" s="220">
        <f t="shared" si="33"/>
        <v>0</v>
      </c>
      <c r="I305" s="221">
        <f>IF(A305="Total",VLOOKUP(B305,CORRESPONDANCE[#All],2,FALSE),I306)</f>
        <v>0</v>
      </c>
      <c r="J305" s="222" t="str">
        <f t="shared" si="34"/>
        <v/>
      </c>
      <c r="K305" s="44" t="str">
        <f t="shared" si="35"/>
        <v xml:space="preserve">HTR8 - </v>
      </c>
      <c r="L305" s="44" t="e">
        <f>+VLOOKUP(K305,TL[],4,FALSE)</f>
        <v>#N/A</v>
      </c>
    </row>
    <row r="306" spans="7:12" x14ac:dyDescent="0.2">
      <c r="G306" s="220">
        <f t="shared" si="32"/>
        <v>0</v>
      </c>
      <c r="H306" s="220">
        <f t="shared" si="33"/>
        <v>0</v>
      </c>
      <c r="I306" s="221">
        <f>IF(A306="Total",VLOOKUP(B306,CORRESPONDANCE[#All],2,FALSE),I307)</f>
        <v>0</v>
      </c>
      <c r="J306" s="222" t="str">
        <f t="shared" si="34"/>
        <v/>
      </c>
      <c r="K306" s="44" t="str">
        <f t="shared" si="35"/>
        <v xml:space="preserve">HTR8 - </v>
      </c>
      <c r="L306" s="44" t="e">
        <f>+VLOOKUP(K306,TL[],4,FALSE)</f>
        <v>#N/A</v>
      </c>
    </row>
    <row r="307" spans="7:12" x14ac:dyDescent="0.2">
      <c r="G307" s="220">
        <f t="shared" si="32"/>
        <v>0</v>
      </c>
      <c r="H307" s="220">
        <f t="shared" si="33"/>
        <v>0</v>
      </c>
      <c r="I307" s="221">
        <f>IF(A307="Total",VLOOKUP(B307,CORRESPONDANCE[#All],2,FALSE),I308)</f>
        <v>0</v>
      </c>
      <c r="J307" s="222" t="str">
        <f t="shared" si="34"/>
        <v/>
      </c>
      <c r="K307" s="44" t="str">
        <f t="shared" si="35"/>
        <v xml:space="preserve">HTR8 - </v>
      </c>
      <c r="L307" s="44" t="e">
        <f>+VLOOKUP(K307,TL[],4,FALSE)</f>
        <v>#N/A</v>
      </c>
    </row>
    <row r="308" spans="7:12" x14ac:dyDescent="0.2">
      <c r="G308" s="220"/>
      <c r="H308" s="220"/>
      <c r="I308" s="221"/>
      <c r="J308" s="222"/>
    </row>
    <row r="309" spans="7:12" x14ac:dyDescent="0.2">
      <c r="G309" s="220"/>
      <c r="H309" s="220"/>
      <c r="I309" s="221"/>
      <c r="J309" s="222"/>
    </row>
    <row r="310" spans="7:12" x14ac:dyDescent="0.2">
      <c r="G310" s="220"/>
      <c r="H310" s="220"/>
      <c r="I310" s="221"/>
      <c r="J310" s="222"/>
    </row>
    <row r="311" spans="7:12" x14ac:dyDescent="0.2">
      <c r="G311" s="220"/>
      <c r="H311" s="220"/>
      <c r="I311" s="221"/>
      <c r="J311" s="222"/>
    </row>
    <row r="312" spans="7:12" x14ac:dyDescent="0.2">
      <c r="G312" s="220"/>
      <c r="H312" s="220"/>
      <c r="I312" s="221"/>
      <c r="J312" s="222"/>
    </row>
    <row r="313" spans="7:12" x14ac:dyDescent="0.2">
      <c r="G313" s="220"/>
      <c r="H313" s="220"/>
      <c r="I313" s="221"/>
      <c r="J313" s="222"/>
    </row>
    <row r="314" spans="7:12" x14ac:dyDescent="0.2">
      <c r="G314" s="220"/>
      <c r="H314" s="220"/>
      <c r="I314" s="221"/>
      <c r="J314" s="222"/>
    </row>
    <row r="315" spans="7:12" x14ac:dyDescent="0.2">
      <c r="G315" s="220"/>
      <c r="H315" s="220"/>
      <c r="I315" s="221"/>
      <c r="J315" s="222"/>
    </row>
    <row r="316" spans="7:12" x14ac:dyDescent="0.2">
      <c r="G316" s="220"/>
      <c r="H316" s="220"/>
      <c r="I316" s="221"/>
      <c r="J316" s="222"/>
    </row>
    <row r="317" spans="7:12" x14ac:dyDescent="0.2">
      <c r="G317" s="220"/>
      <c r="H317" s="220"/>
      <c r="I317" s="221"/>
      <c r="J317" s="222"/>
    </row>
    <row r="318" spans="7:12" x14ac:dyDescent="0.2">
      <c r="G318" s="220"/>
      <c r="H318" s="220"/>
      <c r="I318" s="221"/>
      <c r="J318" s="222"/>
    </row>
    <row r="319" spans="7:12" x14ac:dyDescent="0.2">
      <c r="G319" s="220"/>
      <c r="H319" s="220"/>
      <c r="I319" s="221"/>
      <c r="J319" s="222"/>
    </row>
    <row r="320" spans="7:12" x14ac:dyDescent="0.2">
      <c r="G320" s="220"/>
      <c r="H320" s="220"/>
      <c r="I320" s="221"/>
      <c r="J320" s="222"/>
    </row>
    <row r="321" spans="7:10" x14ac:dyDescent="0.2">
      <c r="G321" s="220"/>
      <c r="H321" s="220"/>
      <c r="I321" s="221"/>
      <c r="J321" s="222"/>
    </row>
    <row r="322" spans="7:10" x14ac:dyDescent="0.2">
      <c r="G322" s="220"/>
      <c r="H322" s="220"/>
      <c r="I322" s="221"/>
      <c r="J322" s="222"/>
    </row>
    <row r="323" spans="7:10" x14ac:dyDescent="0.2">
      <c r="G323" s="220"/>
      <c r="H323" s="220"/>
      <c r="I323" s="221"/>
      <c r="J323" s="222"/>
    </row>
    <row r="324" spans="7:10" x14ac:dyDescent="0.2">
      <c r="G324" s="220"/>
      <c r="H324" s="220"/>
      <c r="I324" s="221"/>
      <c r="J324" s="222"/>
    </row>
    <row r="325" spans="7:10" x14ac:dyDescent="0.2">
      <c r="G325" s="220"/>
      <c r="H325" s="220"/>
      <c r="I325" s="221"/>
      <c r="J325" s="222"/>
    </row>
    <row r="326" spans="7:10" x14ac:dyDescent="0.2">
      <c r="G326" s="220"/>
      <c r="H326" s="220"/>
      <c r="I326" s="221"/>
      <c r="J326" s="222"/>
    </row>
    <row r="327" spans="7:10" x14ac:dyDescent="0.2">
      <c r="G327" s="220"/>
      <c r="H327" s="220"/>
      <c r="I327" s="221"/>
      <c r="J327" s="222"/>
    </row>
    <row r="328" spans="7:10" x14ac:dyDescent="0.2">
      <c r="G328" s="220"/>
      <c r="H328" s="220"/>
      <c r="I328" s="221"/>
      <c r="J328" s="222"/>
    </row>
    <row r="329" spans="7:10" x14ac:dyDescent="0.2">
      <c r="G329" s="220"/>
      <c r="H329" s="220"/>
      <c r="I329" s="221"/>
      <c r="J329" s="222"/>
    </row>
    <row r="330" spans="7:10" x14ac:dyDescent="0.2">
      <c r="G330" s="220"/>
      <c r="H330" s="220"/>
      <c r="I330" s="221"/>
      <c r="J330" s="222"/>
    </row>
    <row r="331" spans="7:10" x14ac:dyDescent="0.2">
      <c r="G331" s="220"/>
      <c r="H331" s="220"/>
      <c r="I331" s="221"/>
      <c r="J331" s="222"/>
    </row>
    <row r="332" spans="7:10" x14ac:dyDescent="0.2">
      <c r="G332" s="220"/>
      <c r="H332" s="220"/>
      <c r="I332" s="221"/>
      <c r="J332" s="222"/>
    </row>
    <row r="333" spans="7:10" x14ac:dyDescent="0.2">
      <c r="G333" s="220"/>
      <c r="H333" s="220"/>
      <c r="I333" s="221"/>
      <c r="J333" s="222"/>
    </row>
    <row r="334" spans="7:10" x14ac:dyDescent="0.2">
      <c r="G334" s="220"/>
      <c r="H334" s="220"/>
      <c r="I334" s="221"/>
      <c r="J334" s="222"/>
    </row>
    <row r="335" spans="7:10" x14ac:dyDescent="0.2">
      <c r="G335" s="220"/>
      <c r="H335" s="220"/>
      <c r="I335" s="221"/>
      <c r="J335" s="222"/>
    </row>
    <row r="336" spans="7:10" x14ac:dyDescent="0.2">
      <c r="G336" s="220"/>
      <c r="H336" s="220"/>
      <c r="I336" s="221"/>
      <c r="J336" s="222"/>
    </row>
    <row r="337" spans="7:10" x14ac:dyDescent="0.2">
      <c r="G337" s="220"/>
      <c r="H337" s="220"/>
      <c r="I337" s="221"/>
      <c r="J337" s="222"/>
    </row>
    <row r="338" spans="7:10" x14ac:dyDescent="0.2">
      <c r="G338" s="220"/>
      <c r="H338" s="220"/>
      <c r="I338" s="221"/>
      <c r="J338" s="222"/>
    </row>
    <row r="339" spans="7:10" x14ac:dyDescent="0.2">
      <c r="G339" s="220"/>
      <c r="H339" s="220"/>
      <c r="I339" s="221"/>
      <c r="J339" s="222"/>
    </row>
    <row r="340" spans="7:10" x14ac:dyDescent="0.2">
      <c r="G340" s="220"/>
      <c r="H340" s="220"/>
      <c r="I340" s="221"/>
      <c r="J340" s="222"/>
    </row>
    <row r="341" spans="7:10" x14ac:dyDescent="0.2">
      <c r="G341" s="220"/>
      <c r="H341" s="220"/>
      <c r="I341" s="221"/>
      <c r="J341" s="222"/>
    </row>
    <row r="342" spans="7:10" x14ac:dyDescent="0.2">
      <c r="G342" s="220"/>
      <c r="H342" s="220"/>
      <c r="I342" s="221"/>
      <c r="J342" s="222"/>
    </row>
    <row r="343" spans="7:10" x14ac:dyDescent="0.2">
      <c r="G343" s="220"/>
      <c r="H343" s="220"/>
      <c r="I343" s="221"/>
      <c r="J343" s="222"/>
    </row>
    <row r="344" spans="7:10" x14ac:dyDescent="0.2">
      <c r="G344" s="220"/>
      <c r="H344" s="220"/>
      <c r="I344" s="221"/>
      <c r="J344" s="222"/>
    </row>
    <row r="345" spans="7:10" x14ac:dyDescent="0.2">
      <c r="G345" s="220"/>
      <c r="H345" s="220"/>
      <c r="I345" s="221"/>
      <c r="J345" s="222"/>
    </row>
    <row r="346" spans="7:10" x14ac:dyDescent="0.2">
      <c r="G346" s="220"/>
      <c r="H346" s="220"/>
      <c r="I346" s="221"/>
      <c r="J346" s="222"/>
    </row>
    <row r="347" spans="7:10" x14ac:dyDescent="0.2">
      <c r="G347" s="220"/>
      <c r="H347" s="220"/>
      <c r="I347" s="221"/>
      <c r="J347" s="222"/>
    </row>
    <row r="348" spans="7:10" x14ac:dyDescent="0.2">
      <c r="G348" s="220"/>
      <c r="H348" s="220"/>
      <c r="I348" s="221"/>
      <c r="J348" s="222"/>
    </row>
    <row r="349" spans="7:10" x14ac:dyDescent="0.2">
      <c r="G349" s="220"/>
      <c r="H349" s="220"/>
      <c r="I349" s="221"/>
      <c r="J349" s="222"/>
    </row>
    <row r="350" spans="7:10" x14ac:dyDescent="0.2">
      <c r="G350" s="220"/>
      <c r="H350" s="220"/>
      <c r="I350" s="221"/>
      <c r="J350" s="222"/>
    </row>
    <row r="351" spans="7:10" x14ac:dyDescent="0.2">
      <c r="G351" s="220"/>
      <c r="H351" s="220"/>
      <c r="I351" s="221"/>
      <c r="J351" s="222"/>
    </row>
    <row r="352" spans="7:10" x14ac:dyDescent="0.2">
      <c r="G352" s="220"/>
      <c r="H352" s="220"/>
      <c r="I352" s="221"/>
      <c r="J352" s="222"/>
    </row>
    <row r="353" spans="7:10" x14ac:dyDescent="0.2">
      <c r="G353" s="220"/>
      <c r="H353" s="220"/>
      <c r="I353" s="221"/>
      <c r="J353" s="222"/>
    </row>
    <row r="354" spans="7:10" x14ac:dyDescent="0.2">
      <c r="G354" s="220"/>
      <c r="H354" s="220"/>
      <c r="I354" s="221"/>
      <c r="J354" s="222"/>
    </row>
    <row r="355" spans="7:10" x14ac:dyDescent="0.2">
      <c r="G355" s="220"/>
      <c r="H355" s="220"/>
      <c r="I355" s="221"/>
      <c r="J355" s="222"/>
    </row>
    <row r="356" spans="7:10" x14ac:dyDescent="0.2">
      <c r="G356" s="220"/>
      <c r="H356" s="220"/>
      <c r="I356" s="221"/>
      <c r="J356" s="222"/>
    </row>
    <row r="357" spans="7:10" x14ac:dyDescent="0.2">
      <c r="G357" s="220"/>
      <c r="H357" s="220"/>
      <c r="I357" s="221"/>
      <c r="J357" s="222"/>
    </row>
    <row r="358" spans="7:10" x14ac:dyDescent="0.2">
      <c r="G358" s="220"/>
      <c r="H358" s="220"/>
      <c r="I358" s="221"/>
      <c r="J358" s="222"/>
    </row>
    <row r="359" spans="7:10" x14ac:dyDescent="0.2">
      <c r="G359" s="220"/>
      <c r="H359" s="220"/>
      <c r="I359" s="221"/>
      <c r="J359" s="222"/>
    </row>
    <row r="360" spans="7:10" x14ac:dyDescent="0.2">
      <c r="G360" s="220"/>
      <c r="H360" s="220"/>
      <c r="I360" s="221"/>
      <c r="J360" s="222"/>
    </row>
    <row r="361" spans="7:10" x14ac:dyDescent="0.2">
      <c r="G361" s="220"/>
      <c r="H361" s="220"/>
      <c r="I361" s="221"/>
      <c r="J361" s="222"/>
    </row>
    <row r="362" spans="7:10" x14ac:dyDescent="0.2">
      <c r="G362" s="220"/>
      <c r="H362" s="220"/>
      <c r="I362" s="221"/>
      <c r="J362" s="222"/>
    </row>
    <row r="363" spans="7:10" x14ac:dyDescent="0.2">
      <c r="G363" s="220"/>
      <c r="H363" s="220"/>
      <c r="I363" s="221"/>
      <c r="J363" s="222"/>
    </row>
    <row r="364" spans="7:10" x14ac:dyDescent="0.2">
      <c r="G364" s="220"/>
      <c r="H364" s="220"/>
      <c r="I364" s="221"/>
      <c r="J364" s="222"/>
    </row>
    <row r="365" spans="7:10" x14ac:dyDescent="0.2">
      <c r="G365" s="220"/>
      <c r="H365" s="220"/>
      <c r="I365" s="221"/>
      <c r="J365" s="222"/>
    </row>
    <row r="366" spans="7:10" x14ac:dyDescent="0.2">
      <c r="G366" s="220"/>
      <c r="H366" s="220"/>
      <c r="I366" s="221"/>
      <c r="J366" s="222"/>
    </row>
    <row r="367" spans="7:10" x14ac:dyDescent="0.2">
      <c r="G367" s="220"/>
      <c r="H367" s="220"/>
      <c r="I367" s="221"/>
      <c r="J367" s="222"/>
    </row>
    <row r="368" spans="7:10" x14ac:dyDescent="0.2">
      <c r="G368" s="220"/>
      <c r="H368" s="220"/>
      <c r="I368" s="221"/>
      <c r="J368" s="222"/>
    </row>
    <row r="369" spans="7:10" x14ac:dyDescent="0.2">
      <c r="G369" s="220"/>
      <c r="H369" s="220"/>
      <c r="I369" s="221"/>
      <c r="J369" s="222"/>
    </row>
    <row r="370" spans="7:10" x14ac:dyDescent="0.2">
      <c r="G370" s="220"/>
      <c r="H370" s="220"/>
      <c r="I370" s="221"/>
      <c r="J370" s="222"/>
    </row>
    <row r="371" spans="7:10" x14ac:dyDescent="0.2">
      <c r="G371" s="220"/>
      <c r="H371" s="220"/>
      <c r="I371" s="221"/>
      <c r="J371" s="222"/>
    </row>
    <row r="372" spans="7:10" x14ac:dyDescent="0.2">
      <c r="G372" s="220"/>
      <c r="H372" s="220"/>
      <c r="I372" s="221"/>
      <c r="J372" s="222"/>
    </row>
    <row r="373" spans="7:10" x14ac:dyDescent="0.2">
      <c r="G373" s="220"/>
      <c r="H373" s="220"/>
      <c r="I373" s="221"/>
      <c r="J373" s="222"/>
    </row>
    <row r="374" spans="7:10" x14ac:dyDescent="0.2">
      <c r="G374" s="220"/>
      <c r="H374" s="220"/>
      <c r="I374" s="221"/>
      <c r="J374" s="222"/>
    </row>
    <row r="375" spans="7:10" x14ac:dyDescent="0.2">
      <c r="G375" s="220"/>
      <c r="H375" s="220"/>
      <c r="I375" s="221"/>
      <c r="J375" s="222"/>
    </row>
    <row r="376" spans="7:10" x14ac:dyDescent="0.2">
      <c r="G376" s="220"/>
      <c r="H376" s="220"/>
      <c r="I376" s="221"/>
      <c r="J376" s="222"/>
    </row>
    <row r="377" spans="7:10" x14ac:dyDescent="0.2">
      <c r="G377" s="220"/>
      <c r="H377" s="220"/>
      <c r="I377" s="221"/>
      <c r="J377" s="222"/>
    </row>
    <row r="378" spans="7:10" x14ac:dyDescent="0.2">
      <c r="G378" s="220"/>
      <c r="H378" s="220"/>
      <c r="I378" s="221"/>
      <c r="J378" s="222"/>
    </row>
    <row r="379" spans="7:10" x14ac:dyDescent="0.2">
      <c r="G379" s="220"/>
      <c r="H379" s="220"/>
      <c r="I379" s="221"/>
      <c r="J379" s="222"/>
    </row>
    <row r="380" spans="7:10" x14ac:dyDescent="0.2">
      <c r="G380" s="220"/>
      <c r="H380" s="220"/>
      <c r="I380" s="221"/>
      <c r="J380" s="222"/>
    </row>
    <row r="381" spans="7:10" x14ac:dyDescent="0.2">
      <c r="G381" s="220"/>
      <c r="H381" s="220"/>
      <c r="I381" s="221"/>
      <c r="J381" s="222"/>
    </row>
    <row r="382" spans="7:10" x14ac:dyDescent="0.2">
      <c r="G382" s="220"/>
      <c r="H382" s="220"/>
      <c r="I382" s="221"/>
      <c r="J382" s="222"/>
    </row>
    <row r="383" spans="7:10" x14ac:dyDescent="0.2">
      <c r="G383" s="220"/>
      <c r="H383" s="220"/>
      <c r="I383" s="221"/>
      <c r="J383" s="222"/>
    </row>
    <row r="384" spans="7:10" x14ac:dyDescent="0.2">
      <c r="G384" s="220"/>
      <c r="H384" s="220"/>
      <c r="I384" s="221"/>
      <c r="J384" s="222"/>
    </row>
    <row r="385" spans="7:10" x14ac:dyDescent="0.2">
      <c r="G385" s="220"/>
      <c r="H385" s="220"/>
      <c r="I385" s="221"/>
      <c r="J385" s="222"/>
    </row>
    <row r="386" spans="7:10" x14ac:dyDescent="0.2">
      <c r="G386" s="220"/>
      <c r="H386" s="220"/>
      <c r="I386" s="221"/>
      <c r="J386" s="222"/>
    </row>
    <row r="387" spans="7:10" x14ac:dyDescent="0.2">
      <c r="G387" s="220"/>
      <c r="H387" s="220"/>
      <c r="I387" s="221"/>
      <c r="J387" s="222"/>
    </row>
    <row r="388" spans="7:10" x14ac:dyDescent="0.2">
      <c r="G388" s="220"/>
      <c r="H388" s="220"/>
      <c r="I388" s="221"/>
      <c r="J388" s="222"/>
    </row>
    <row r="389" spans="7:10" x14ac:dyDescent="0.2">
      <c r="G389" s="220"/>
      <c r="H389" s="220"/>
      <c r="I389" s="221"/>
      <c r="J389" s="222"/>
    </row>
    <row r="390" spans="7:10" x14ac:dyDescent="0.2">
      <c r="G390" s="220"/>
      <c r="H390" s="220"/>
      <c r="I390" s="221"/>
      <c r="J390" s="222"/>
    </row>
    <row r="391" spans="7:10" x14ac:dyDescent="0.2">
      <c r="G391" s="220"/>
      <c r="H391" s="220"/>
      <c r="I391" s="221"/>
      <c r="J391" s="222"/>
    </row>
    <row r="392" spans="7:10" x14ac:dyDescent="0.2">
      <c r="G392" s="220"/>
      <c r="H392" s="220"/>
      <c r="I392" s="221"/>
      <c r="J392" s="222"/>
    </row>
    <row r="393" spans="7:10" x14ac:dyDescent="0.2">
      <c r="G393" s="220"/>
      <c r="H393" s="220"/>
      <c r="I393" s="221"/>
      <c r="J393" s="222"/>
    </row>
    <row r="394" spans="7:10" x14ac:dyDescent="0.2">
      <c r="G394" s="220"/>
      <c r="H394" s="220"/>
      <c r="I394" s="221"/>
      <c r="J394" s="222"/>
    </row>
    <row r="395" spans="7:10" x14ac:dyDescent="0.2">
      <c r="G395" s="220"/>
      <c r="H395" s="220"/>
      <c r="I395" s="221"/>
      <c r="J395" s="222"/>
    </row>
    <row r="396" spans="7:10" x14ac:dyDescent="0.2">
      <c r="G396" s="220"/>
      <c r="H396" s="220"/>
      <c r="I396" s="221"/>
      <c r="J396" s="222"/>
    </row>
    <row r="397" spans="7:10" x14ac:dyDescent="0.2">
      <c r="G397" s="220"/>
      <c r="H397" s="220"/>
      <c r="I397" s="221"/>
      <c r="J397" s="222"/>
    </row>
    <row r="398" spans="7:10" x14ac:dyDescent="0.2">
      <c r="G398" s="220"/>
      <c r="H398" s="220"/>
      <c r="I398" s="221"/>
      <c r="J398" s="222"/>
    </row>
    <row r="399" spans="7:10" x14ac:dyDescent="0.2">
      <c r="G399" s="220"/>
      <c r="H399" s="220"/>
      <c r="I399" s="221"/>
      <c r="J399" s="222"/>
    </row>
    <row r="400" spans="7:10" x14ac:dyDescent="0.2">
      <c r="G400" s="220"/>
      <c r="H400" s="220"/>
      <c r="I400" s="221"/>
      <c r="J400" s="222"/>
    </row>
    <row r="401" spans="7:10" x14ac:dyDescent="0.2">
      <c r="G401" s="220"/>
      <c r="H401" s="220"/>
      <c r="I401" s="221"/>
      <c r="J401" s="222"/>
    </row>
    <row r="402" spans="7:10" x14ac:dyDescent="0.2">
      <c r="G402" s="220"/>
      <c r="H402" s="220"/>
      <c r="I402" s="221"/>
      <c r="J402" s="222"/>
    </row>
    <row r="403" spans="7:10" x14ac:dyDescent="0.2">
      <c r="G403" s="220"/>
      <c r="H403" s="220"/>
      <c r="I403" s="221"/>
      <c r="J403" s="222"/>
    </row>
    <row r="404" spans="7:10" x14ac:dyDescent="0.2">
      <c r="G404" s="220"/>
      <c r="H404" s="220"/>
      <c r="I404" s="221"/>
      <c r="J404" s="222"/>
    </row>
    <row r="405" spans="7:10" x14ac:dyDescent="0.2">
      <c r="G405" s="220"/>
      <c r="H405" s="220"/>
      <c r="I405" s="221"/>
      <c r="J405" s="222"/>
    </row>
    <row r="406" spans="7:10" x14ac:dyDescent="0.2">
      <c r="G406" s="220"/>
      <c r="H406" s="220"/>
      <c r="I406" s="221"/>
      <c r="J406" s="222"/>
    </row>
    <row r="407" spans="7:10" x14ac:dyDescent="0.2">
      <c r="G407" s="220"/>
      <c r="H407" s="220"/>
      <c r="I407" s="221"/>
      <c r="J407" s="222"/>
    </row>
    <row r="408" spans="7:10" x14ac:dyDescent="0.2">
      <c r="G408" s="220"/>
      <c r="H408" s="220"/>
      <c r="I408" s="221"/>
      <c r="J408" s="222"/>
    </row>
    <row r="409" spans="7:10" x14ac:dyDescent="0.2">
      <c r="G409" s="220"/>
      <c r="H409" s="220"/>
      <c r="I409" s="221"/>
      <c r="J409" s="222"/>
    </row>
    <row r="410" spans="7:10" x14ac:dyDescent="0.2">
      <c r="G410" s="220"/>
      <c r="H410" s="220"/>
      <c r="I410" s="221"/>
      <c r="J410" s="222"/>
    </row>
    <row r="411" spans="7:10" x14ac:dyDescent="0.2">
      <c r="G411" s="220"/>
      <c r="H411" s="220"/>
      <c r="I411" s="221"/>
      <c r="J411" s="222"/>
    </row>
    <row r="412" spans="7:10" x14ac:dyDescent="0.2">
      <c r="G412" s="220"/>
      <c r="H412" s="220"/>
      <c r="I412" s="221"/>
      <c r="J412" s="222"/>
    </row>
    <row r="413" spans="7:10" x14ac:dyDescent="0.2">
      <c r="G413" s="220"/>
      <c r="H413" s="220"/>
      <c r="I413" s="221"/>
      <c r="J413" s="222"/>
    </row>
    <row r="414" spans="7:10" x14ac:dyDescent="0.2">
      <c r="G414" s="220"/>
      <c r="H414" s="220"/>
      <c r="I414" s="221"/>
      <c r="J414" s="222"/>
    </row>
    <row r="415" spans="7:10" x14ac:dyDescent="0.2">
      <c r="G415" s="220"/>
      <c r="H415" s="220"/>
      <c r="I415" s="221"/>
      <c r="J415" s="222"/>
    </row>
    <row r="416" spans="7:10" x14ac:dyDescent="0.2">
      <c r="G416" s="220"/>
      <c r="H416" s="220"/>
      <c r="I416" s="221"/>
      <c r="J416" s="222"/>
    </row>
  </sheetData>
  <autoFilter ref="A1:L196" xr:uid="{6A66A39E-45AD-4FC8-A934-7104766A4BE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DEE5-EC91-4E7D-97FA-8CA4F02DC890}">
  <sheetPr>
    <tabColor theme="7" tint="0.59999389629810485"/>
  </sheetPr>
  <dimension ref="A1:L297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5703125" style="224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1793</v>
      </c>
      <c r="B2" t="s">
        <v>64</v>
      </c>
      <c r="C2">
        <v>5710.64</v>
      </c>
      <c r="D2" t="s">
        <v>6961</v>
      </c>
      <c r="E2">
        <v>5710.64</v>
      </c>
      <c r="F2" t="s">
        <v>6961</v>
      </c>
      <c r="G2" s="220">
        <f>SUM(C2)-SUM(D2)</f>
        <v>5710.64</v>
      </c>
      <c r="H2" s="220">
        <f>SUM(E2)-SUM(F2)</f>
        <v>5710.64</v>
      </c>
      <c r="I2" s="221">
        <f>IF(A2="Total",VLOOKUP(B2,CORRESPONDANCE[#All],2,FALSE),I3)</f>
        <v>2</v>
      </c>
      <c r="J2" s="222" t="str">
        <f>LEFT(A2,1)</f>
        <v>7</v>
      </c>
      <c r="K2" s="44" t="str">
        <f>"TIRR"&amp;" - "&amp;A2</f>
        <v>TIRR - 701001</v>
      </c>
      <c r="L2" s="44" t="str">
        <f>+VLOOKUP(K2,TL[],4,FALSE)</f>
        <v>01</v>
      </c>
    </row>
    <row r="3" spans="1:12" x14ac:dyDescent="0.2">
      <c r="A3" t="s">
        <v>2047</v>
      </c>
      <c r="B3" t="s">
        <v>2369</v>
      </c>
      <c r="C3" t="s">
        <v>6961</v>
      </c>
      <c r="D3">
        <v>264906.75</v>
      </c>
      <c r="E3" t="s">
        <v>6961</v>
      </c>
      <c r="F3">
        <v>264906.75</v>
      </c>
      <c r="G3" s="220">
        <f>SUM(C3)-SUM(D3)</f>
        <v>-264906.75</v>
      </c>
      <c r="H3" s="220">
        <f>SUM(E3)-SUM(F3)</f>
        <v>-264906.75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"TIRR"&amp;" - "&amp;A3</f>
        <v>TIRR - 701010</v>
      </c>
      <c r="L3" s="44" t="str">
        <f>+VLOOKUP(K3,TL[],4,FALSE)</f>
        <v>01</v>
      </c>
    </row>
    <row r="4" spans="1:12" x14ac:dyDescent="0.2">
      <c r="A4" t="s">
        <v>2048</v>
      </c>
      <c r="B4" t="s">
        <v>2366</v>
      </c>
      <c r="C4" t="s">
        <v>6961</v>
      </c>
      <c r="D4">
        <v>9.52</v>
      </c>
      <c r="E4" t="s">
        <v>6961</v>
      </c>
      <c r="F4">
        <v>9.52</v>
      </c>
      <c r="G4" s="220">
        <f>SUM(C4)-SUM(D4)</f>
        <v>-9.52</v>
      </c>
      <c r="H4" s="220">
        <f>SUM(E4)-SUM(F4)</f>
        <v>-9.52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TIRR - 701011</v>
      </c>
      <c r="L4" s="44" t="str">
        <f>+VLOOKUP(K4,TL[],4,FALSE)</f>
        <v>01</v>
      </c>
    </row>
    <row r="5" spans="1:12" x14ac:dyDescent="0.2">
      <c r="A5" t="s">
        <v>2050</v>
      </c>
      <c r="B5" t="s">
        <v>2368</v>
      </c>
      <c r="C5" t="s">
        <v>6961</v>
      </c>
      <c r="D5">
        <v>1338.27</v>
      </c>
      <c r="E5" t="s">
        <v>6961</v>
      </c>
      <c r="F5">
        <v>1338.27</v>
      </c>
      <c r="G5" s="220">
        <f>SUM(C5)-SUM(D5)</f>
        <v>-1338.27</v>
      </c>
      <c r="H5" s="220">
        <f>SUM(E5)-SUM(F5)</f>
        <v>-1338.27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TIRR - 701100</v>
      </c>
      <c r="L5" s="44" t="str">
        <f>+VLOOKUP(K5,TL[],4,FALSE)</f>
        <v>01</v>
      </c>
    </row>
    <row r="6" spans="1:12" x14ac:dyDescent="0.2">
      <c r="A6" t="s">
        <v>2051</v>
      </c>
      <c r="B6" t="s">
        <v>2367</v>
      </c>
      <c r="C6" t="s">
        <v>6961</v>
      </c>
      <c r="D6">
        <v>583.09</v>
      </c>
      <c r="E6" t="s">
        <v>6961</v>
      </c>
      <c r="F6">
        <v>583.09</v>
      </c>
      <c r="G6" s="220">
        <f t="shared" ref="G6:G68" si="2">SUM(C6)-SUM(D6)</f>
        <v>-583.09</v>
      </c>
      <c r="H6" s="220">
        <f t="shared" ref="H6:H68" si="3">SUM(E6)-SUM(F6)</f>
        <v>-583.09</v>
      </c>
      <c r="I6" s="221">
        <f>IF(A6="Total",VLOOKUP(B6,CORRESPONDANCE[#All],2,FALSE),I7)</f>
        <v>2</v>
      </c>
      <c r="J6" s="222" t="str">
        <f t="shared" si="0"/>
        <v>7</v>
      </c>
      <c r="K6" s="44" t="str">
        <f t="shared" si="1"/>
        <v>TIRR - 701220</v>
      </c>
      <c r="L6" s="44" t="str">
        <f>+VLOOKUP(K6,TL[],4,FALSE)</f>
        <v>01</v>
      </c>
    </row>
    <row r="7" spans="1:12" x14ac:dyDescent="0.2">
      <c r="A7" t="s">
        <v>197</v>
      </c>
      <c r="B7" t="s">
        <v>2514</v>
      </c>
      <c r="C7" t="s">
        <v>6961</v>
      </c>
      <c r="D7">
        <v>261126.99</v>
      </c>
      <c r="E7" t="s">
        <v>6961</v>
      </c>
      <c r="F7">
        <v>261126.99</v>
      </c>
      <c r="G7" s="220">
        <f t="shared" si="2"/>
        <v>-261126.99</v>
      </c>
      <c r="H7" s="220">
        <f t="shared" si="3"/>
        <v>-261126.99</v>
      </c>
      <c r="I7" s="221">
        <f>IF(A7="Total",VLOOKUP(B7,CORRESPONDANCE[#All],2,FALSE),I8)</f>
        <v>2</v>
      </c>
      <c r="J7" s="222" t="str">
        <f t="shared" si="0"/>
        <v>T</v>
      </c>
      <c r="K7" s="44" t="str">
        <f t="shared" si="1"/>
        <v>TIRR - Total</v>
      </c>
      <c r="L7" s="44" t="e">
        <f>+VLOOKUP(K7,TL[],4,FALSE)</f>
        <v>#N/A</v>
      </c>
    </row>
    <row r="8" spans="1:12" x14ac:dyDescent="0.2">
      <c r="A8" t="s">
        <v>1607</v>
      </c>
      <c r="B8" t="s">
        <v>171</v>
      </c>
      <c r="C8">
        <v>59340.3</v>
      </c>
      <c r="D8" t="s">
        <v>6961</v>
      </c>
      <c r="E8">
        <v>59340.3</v>
      </c>
      <c r="F8" t="s">
        <v>6961</v>
      </c>
      <c r="G8" s="220">
        <f t="shared" si="2"/>
        <v>59340.3</v>
      </c>
      <c r="H8" s="220">
        <f t="shared" si="3"/>
        <v>59340.3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TIRR - 601100</v>
      </c>
      <c r="L8" s="44" t="str">
        <f>+VLOOKUP(K8,TL[],4,FALSE)</f>
        <v>06</v>
      </c>
    </row>
    <row r="9" spans="1:12" x14ac:dyDescent="0.2">
      <c r="A9" t="s">
        <v>1780</v>
      </c>
      <c r="B9" t="s">
        <v>2371</v>
      </c>
      <c r="C9">
        <v>119.78</v>
      </c>
      <c r="D9" t="s">
        <v>6961</v>
      </c>
      <c r="E9">
        <v>119.78</v>
      </c>
      <c r="F9" t="s">
        <v>6961</v>
      </c>
      <c r="G9" s="220">
        <f t="shared" si="2"/>
        <v>119.78</v>
      </c>
      <c r="H9" s="220">
        <f t="shared" si="3"/>
        <v>119.78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TIRR - 603100</v>
      </c>
      <c r="L9" s="44" t="str">
        <f>+VLOOKUP(K9,TL[],4,FALSE)</f>
        <v>06</v>
      </c>
    </row>
    <row r="10" spans="1:12" x14ac:dyDescent="0.2">
      <c r="A10" t="s">
        <v>2744</v>
      </c>
      <c r="B10" t="s">
        <v>2361</v>
      </c>
      <c r="C10">
        <v>875</v>
      </c>
      <c r="D10" t="s">
        <v>6961</v>
      </c>
      <c r="E10">
        <v>875</v>
      </c>
      <c r="F10" t="s">
        <v>6961</v>
      </c>
      <c r="G10" s="220">
        <f t="shared" si="2"/>
        <v>875</v>
      </c>
      <c r="H10" s="220">
        <f t="shared" si="3"/>
        <v>875</v>
      </c>
      <c r="I10" s="221">
        <f>IF(A10="Total",VLOOKUP(B10,CORRESPONDANCE[#All],2,FALSE),I11)</f>
        <v>3</v>
      </c>
      <c r="J10" s="222" t="str">
        <f t="shared" si="0"/>
        <v>6</v>
      </c>
      <c r="K10" s="44" t="str">
        <f t="shared" si="1"/>
        <v>TIRR - 637810</v>
      </c>
      <c r="L10" s="44" t="str">
        <f>+VLOOKUP(K10,TL[],4,FALSE)</f>
        <v>09</v>
      </c>
    </row>
    <row r="11" spans="1:12" x14ac:dyDescent="0.2">
      <c r="A11" t="s">
        <v>1735</v>
      </c>
      <c r="B11" t="s">
        <v>2362</v>
      </c>
      <c r="C11" t="s">
        <v>6961</v>
      </c>
      <c r="D11">
        <v>2202.59</v>
      </c>
      <c r="E11" t="s">
        <v>6961</v>
      </c>
      <c r="F11">
        <v>2202.59</v>
      </c>
      <c r="G11" s="220">
        <f t="shared" si="2"/>
        <v>-2202.59</v>
      </c>
      <c r="H11" s="220">
        <f t="shared" si="3"/>
        <v>-2202.59</v>
      </c>
      <c r="I11" s="221">
        <f>IF(A11="Total",VLOOKUP(B11,CORRESPONDANCE[#All],2,FALSE),I12)</f>
        <v>3</v>
      </c>
      <c r="J11" s="222" t="str">
        <f t="shared" si="0"/>
        <v>7</v>
      </c>
      <c r="K11" s="44" t="str">
        <f t="shared" si="1"/>
        <v>TIRR - 708000</v>
      </c>
      <c r="L11" s="44" t="str">
        <f>+VLOOKUP(K11,TL[],4,FALSE)</f>
        <v>06</v>
      </c>
    </row>
    <row r="12" spans="1:12" x14ac:dyDescent="0.2">
      <c r="A12" t="s">
        <v>197</v>
      </c>
      <c r="B12" t="s">
        <v>2516</v>
      </c>
      <c r="C12">
        <v>58132.49</v>
      </c>
      <c r="D12" t="s">
        <v>6961</v>
      </c>
      <c r="E12">
        <v>58132.49</v>
      </c>
      <c r="F12" t="s">
        <v>6961</v>
      </c>
      <c r="G12" s="220">
        <f t="shared" si="2"/>
        <v>58132.49</v>
      </c>
      <c r="H12" s="220">
        <f t="shared" si="3"/>
        <v>58132.49</v>
      </c>
      <c r="I12" s="221">
        <f>IF(A12="Total",VLOOKUP(B12,CORRESPONDANCE[#All],2,FALSE),I13)</f>
        <v>3</v>
      </c>
      <c r="J12" s="222" t="str">
        <f t="shared" si="0"/>
        <v>T</v>
      </c>
      <c r="K12" s="44" t="str">
        <f t="shared" si="1"/>
        <v>TIRR - Total</v>
      </c>
      <c r="L12" s="44" t="e">
        <f>+VLOOKUP(K12,TL[],4,FALSE)</f>
        <v>#N/A</v>
      </c>
    </row>
    <row r="13" spans="1:12" x14ac:dyDescent="0.2">
      <c r="A13" t="s">
        <v>1789</v>
      </c>
      <c r="B13" t="s">
        <v>160</v>
      </c>
      <c r="C13">
        <v>832.65</v>
      </c>
      <c r="D13" t="s">
        <v>6961</v>
      </c>
      <c r="E13">
        <v>832.65</v>
      </c>
      <c r="F13" t="s">
        <v>6961</v>
      </c>
      <c r="G13" s="220">
        <f t="shared" si="2"/>
        <v>832.65</v>
      </c>
      <c r="H13" s="220">
        <f t="shared" si="3"/>
        <v>832.65</v>
      </c>
      <c r="I13" s="221">
        <f>IF(A13="Total",VLOOKUP(B13,CORRESPONDANCE[#All],2,FALSE),I14)</f>
        <v>4</v>
      </c>
      <c r="J13" s="222" t="str">
        <f t="shared" si="0"/>
        <v>6</v>
      </c>
      <c r="K13" s="44" t="str">
        <f t="shared" si="1"/>
        <v>TIRR - 601103</v>
      </c>
      <c r="L13" s="44" t="str">
        <f>+VLOOKUP(K13,TL[],4,FALSE)</f>
        <v>08</v>
      </c>
    </row>
    <row r="14" spans="1:12" x14ac:dyDescent="0.2">
      <c r="A14" t="s">
        <v>197</v>
      </c>
      <c r="B14" t="s">
        <v>2517</v>
      </c>
      <c r="C14">
        <v>832.65</v>
      </c>
      <c r="D14" t="s">
        <v>6961</v>
      </c>
      <c r="E14">
        <v>832.65</v>
      </c>
      <c r="F14" t="s">
        <v>6961</v>
      </c>
      <c r="G14" s="220">
        <f t="shared" si="2"/>
        <v>832.65</v>
      </c>
      <c r="H14" s="220">
        <f t="shared" si="3"/>
        <v>832.65</v>
      </c>
      <c r="I14" s="221">
        <f>IF(A14="Total",VLOOKUP(B14,CORRESPONDANCE[#All],2,FALSE),I15)</f>
        <v>4</v>
      </c>
      <c r="J14" s="222" t="str">
        <f t="shared" si="0"/>
        <v>T</v>
      </c>
      <c r="K14" s="44" t="str">
        <f t="shared" si="1"/>
        <v>TIRR - Total</v>
      </c>
      <c r="L14" s="44" t="e">
        <f>+VLOOKUP(K14,TL[],4,FALSE)</f>
        <v>#N/A</v>
      </c>
    </row>
    <row r="15" spans="1:12" x14ac:dyDescent="0.2">
      <c r="A15" t="s">
        <v>1790</v>
      </c>
      <c r="B15" t="s">
        <v>225</v>
      </c>
      <c r="C15">
        <v>1711.68</v>
      </c>
      <c r="D15" t="s">
        <v>6961</v>
      </c>
      <c r="E15">
        <v>1711.68</v>
      </c>
      <c r="F15" t="s">
        <v>6961</v>
      </c>
      <c r="G15" s="220">
        <f t="shared" si="2"/>
        <v>1711.68</v>
      </c>
      <c r="H15" s="220">
        <f t="shared" si="3"/>
        <v>1711.68</v>
      </c>
      <c r="I15" s="221">
        <f>IF(A15="Total",VLOOKUP(B15,CORRESPONDANCE[#All],2,FALSE),I16)</f>
        <v>5</v>
      </c>
      <c r="J15" s="222" t="str">
        <f t="shared" si="0"/>
        <v>6</v>
      </c>
      <c r="K15" s="44" t="str">
        <f t="shared" si="1"/>
        <v>TIRR - 601102</v>
      </c>
      <c r="L15" s="44" t="str">
        <f>+VLOOKUP(K15,TL[],4,FALSE)</f>
        <v>07</v>
      </c>
    </row>
    <row r="16" spans="1:12" x14ac:dyDescent="0.2">
      <c r="A16" t="s">
        <v>197</v>
      </c>
      <c r="B16" t="s">
        <v>2518</v>
      </c>
      <c r="C16">
        <v>1711.68</v>
      </c>
      <c r="D16" t="s">
        <v>6961</v>
      </c>
      <c r="E16">
        <v>1711.68</v>
      </c>
      <c r="F16" t="s">
        <v>6961</v>
      </c>
      <c r="G16" s="220">
        <f t="shared" si="2"/>
        <v>1711.68</v>
      </c>
      <c r="H16" s="220">
        <f t="shared" si="3"/>
        <v>1711.68</v>
      </c>
      <c r="I16" s="221">
        <f>IF(A16="Total",VLOOKUP(B16,CORRESPONDANCE[#All],2,FALSE),I17)</f>
        <v>5</v>
      </c>
      <c r="J16" s="222" t="str">
        <f t="shared" si="0"/>
        <v>T</v>
      </c>
      <c r="K16" s="44" t="str">
        <f t="shared" si="1"/>
        <v>TIRR - Total</v>
      </c>
      <c r="L16" s="44" t="e">
        <f>+VLOOKUP(K16,TL[],4,FALSE)</f>
        <v>#N/A</v>
      </c>
    </row>
    <row r="17" spans="1:12" x14ac:dyDescent="0.2">
      <c r="A17" t="s">
        <v>1630</v>
      </c>
      <c r="B17" t="s">
        <v>2370</v>
      </c>
      <c r="C17">
        <v>6151.98</v>
      </c>
      <c r="D17" t="s">
        <v>6961</v>
      </c>
      <c r="E17">
        <v>6151.98</v>
      </c>
      <c r="F17" t="s">
        <v>6961</v>
      </c>
      <c r="G17" s="220">
        <f t="shared" si="2"/>
        <v>6151.98</v>
      </c>
      <c r="H17" s="220">
        <f t="shared" si="3"/>
        <v>6151.98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TIRR - 602201</v>
      </c>
      <c r="L17" s="44" t="str">
        <f>+VLOOKUP(K17,TL[],4,FALSE)</f>
        <v>03</v>
      </c>
    </row>
    <row r="18" spans="1:12" x14ac:dyDescent="0.2">
      <c r="A18" t="s">
        <v>1781</v>
      </c>
      <c r="B18" t="s">
        <v>2296</v>
      </c>
      <c r="C18" t="s">
        <v>6961</v>
      </c>
      <c r="D18">
        <v>352.08</v>
      </c>
      <c r="E18" t="s">
        <v>6961</v>
      </c>
      <c r="F18">
        <v>352.08</v>
      </c>
      <c r="G18" s="220">
        <f t="shared" si="2"/>
        <v>-352.08</v>
      </c>
      <c r="H18" s="220">
        <f t="shared" si="3"/>
        <v>-352.08</v>
      </c>
      <c r="I18" s="221">
        <f>IF(A18="Total",VLOOKUP(B18,CORRESPONDANCE[#All],2,FALSE),I19)</f>
        <v>6</v>
      </c>
      <c r="J18" s="222" t="str">
        <f t="shared" si="0"/>
        <v>6</v>
      </c>
      <c r="K18" s="44" t="str">
        <f t="shared" si="1"/>
        <v>TIRR - 603200</v>
      </c>
      <c r="L18" s="44" t="str">
        <f>+VLOOKUP(K18,TL[],4,FALSE)</f>
        <v>03</v>
      </c>
    </row>
    <row r="19" spans="1:12" x14ac:dyDescent="0.2">
      <c r="A19" t="s">
        <v>197</v>
      </c>
      <c r="B19" t="s">
        <v>2519</v>
      </c>
      <c r="C19">
        <v>5799.9</v>
      </c>
      <c r="D19" t="s">
        <v>6961</v>
      </c>
      <c r="E19">
        <v>5799.9</v>
      </c>
      <c r="F19" t="s">
        <v>6961</v>
      </c>
      <c r="G19" s="220">
        <f t="shared" si="2"/>
        <v>5799.9</v>
      </c>
      <c r="H19" s="220">
        <f t="shared" si="3"/>
        <v>5799.9</v>
      </c>
      <c r="I19" s="221">
        <f>IF(A19="Total",VLOOKUP(B19,CORRESPONDANCE[#All],2,FALSE),I20)</f>
        <v>6</v>
      </c>
      <c r="J19" s="222" t="str">
        <f t="shared" si="0"/>
        <v>T</v>
      </c>
      <c r="K19" s="44" t="str">
        <f t="shared" si="1"/>
        <v>TIRR - Total</v>
      </c>
      <c r="L19" s="44" t="e">
        <f>+VLOOKUP(K19,TL[],4,FALSE)</f>
        <v>#N/A</v>
      </c>
    </row>
    <row r="20" spans="1:12" x14ac:dyDescent="0.2">
      <c r="A20" t="s">
        <v>6279</v>
      </c>
      <c r="B20" t="s">
        <v>3549</v>
      </c>
      <c r="C20">
        <v>440.51</v>
      </c>
      <c r="D20" t="s">
        <v>6961</v>
      </c>
      <c r="E20">
        <v>440.51</v>
      </c>
      <c r="F20" t="s">
        <v>6961</v>
      </c>
      <c r="G20" s="220">
        <f t="shared" si="2"/>
        <v>440.51</v>
      </c>
      <c r="H20" s="220">
        <f t="shared" si="3"/>
        <v>440.51</v>
      </c>
      <c r="I20" s="221" t="str">
        <f>IF(A20="Total",VLOOKUP(B20,CORRESPONDANCE[#All],2,FALSE),I21)</f>
        <v>6.1</v>
      </c>
      <c r="J20" s="222" t="str">
        <f t="shared" si="0"/>
        <v>6</v>
      </c>
      <c r="K20" s="44" t="str">
        <f t="shared" si="1"/>
        <v>TIRR - 602612</v>
      </c>
      <c r="L20" s="44" t="str">
        <f>+VLOOKUP(K20,TL[],4,FALSE)</f>
        <v>06</v>
      </c>
    </row>
    <row r="21" spans="1:12" x14ac:dyDescent="0.2">
      <c r="A21" t="s">
        <v>197</v>
      </c>
      <c r="B21" t="s">
        <v>3010</v>
      </c>
      <c r="C21">
        <v>440.51</v>
      </c>
      <c r="D21" t="s">
        <v>6961</v>
      </c>
      <c r="E21">
        <v>440.51</v>
      </c>
      <c r="F21" t="s">
        <v>6961</v>
      </c>
      <c r="G21" s="220">
        <f t="shared" si="2"/>
        <v>440.51</v>
      </c>
      <c r="H21" s="220">
        <f t="shared" si="3"/>
        <v>440.51</v>
      </c>
      <c r="I21" s="221" t="str">
        <f>IF(A21="Total",VLOOKUP(B21,CORRESPONDANCE[#All],2,FALSE),I22)</f>
        <v>6.1</v>
      </c>
      <c r="J21" s="222" t="str">
        <f t="shared" si="0"/>
        <v>T</v>
      </c>
      <c r="K21" s="44" t="str">
        <f t="shared" si="1"/>
        <v>TIRR - Total</v>
      </c>
      <c r="L21" s="44" t="e">
        <f>+VLOOKUP(K21,TL[],4,FALSE)</f>
        <v>#N/A</v>
      </c>
    </row>
    <row r="22" spans="1:12" x14ac:dyDescent="0.2">
      <c r="A22" t="s">
        <v>1749</v>
      </c>
      <c r="B22" t="s">
        <v>2365</v>
      </c>
      <c r="C22">
        <v>29290.74</v>
      </c>
      <c r="D22" t="s">
        <v>6961</v>
      </c>
      <c r="E22">
        <v>29290.74</v>
      </c>
      <c r="F22" t="s">
        <v>6961</v>
      </c>
      <c r="G22" s="220">
        <f t="shared" si="2"/>
        <v>29290.74</v>
      </c>
      <c r="H22" s="220">
        <f t="shared" si="3"/>
        <v>29290.74</v>
      </c>
      <c r="I22" s="221">
        <f>IF(A22="Total",VLOOKUP(B22,CORRESPONDANCE[#All],2,FALSE),I23)</f>
        <v>8</v>
      </c>
      <c r="J22" s="222" t="str">
        <f t="shared" si="0"/>
        <v>6</v>
      </c>
      <c r="K22" s="44" t="str">
        <f t="shared" si="1"/>
        <v>TIRR - 641101</v>
      </c>
      <c r="L22" s="44" t="str">
        <f>+VLOOKUP(K22,TL[],4,FALSE)</f>
        <v>10</v>
      </c>
    </row>
    <row r="23" spans="1:12" x14ac:dyDescent="0.2">
      <c r="A23" t="s">
        <v>1996</v>
      </c>
      <c r="B23" t="s">
        <v>2350</v>
      </c>
      <c r="C23">
        <v>1099.05</v>
      </c>
      <c r="D23" t="s">
        <v>6961</v>
      </c>
      <c r="E23">
        <v>1099.05</v>
      </c>
      <c r="F23" t="s">
        <v>6961</v>
      </c>
      <c r="G23" s="220">
        <f t="shared" si="2"/>
        <v>1099.05</v>
      </c>
      <c r="H23" s="220">
        <f t="shared" si="3"/>
        <v>1099.05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TIRR - 641230</v>
      </c>
      <c r="L23" s="44" t="str">
        <f>+VLOOKUP(K23,TL[],4,FALSE)</f>
        <v>10</v>
      </c>
    </row>
    <row r="24" spans="1:12" x14ac:dyDescent="0.2">
      <c r="A24" t="s">
        <v>1745</v>
      </c>
      <c r="B24" t="s">
        <v>2285</v>
      </c>
      <c r="C24">
        <v>1122.52</v>
      </c>
      <c r="D24" t="s">
        <v>6961</v>
      </c>
      <c r="E24">
        <v>1122.52</v>
      </c>
      <c r="F24" t="s">
        <v>6961</v>
      </c>
      <c r="G24" s="220">
        <f t="shared" si="2"/>
        <v>1122.52</v>
      </c>
      <c r="H24" s="220">
        <f t="shared" si="3"/>
        <v>1122.52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TIRR - 641401</v>
      </c>
      <c r="L24" s="44" t="str">
        <f>+VLOOKUP(K24,TL[],4,FALSE)</f>
        <v>10</v>
      </c>
    </row>
    <row r="25" spans="1:12" x14ac:dyDescent="0.2">
      <c r="A25" t="s">
        <v>2522</v>
      </c>
      <c r="B25" t="s">
        <v>2332</v>
      </c>
      <c r="C25">
        <v>328.45</v>
      </c>
      <c r="D25" t="s">
        <v>6961</v>
      </c>
      <c r="E25">
        <v>328.45</v>
      </c>
      <c r="F25" t="s">
        <v>6961</v>
      </c>
      <c r="G25" s="220">
        <f t="shared" si="2"/>
        <v>328.45</v>
      </c>
      <c r="H25" s="220">
        <f t="shared" si="3"/>
        <v>328.45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TIRR - 641410</v>
      </c>
      <c r="L25" s="44" t="str">
        <f>+VLOOKUP(K25,TL[],4,FALSE)</f>
        <v>10</v>
      </c>
    </row>
    <row r="26" spans="1:12" x14ac:dyDescent="0.2">
      <c r="A26" t="s">
        <v>1746</v>
      </c>
      <c r="B26" t="s">
        <v>1332</v>
      </c>
      <c r="C26" t="s">
        <v>6961</v>
      </c>
      <c r="D26">
        <v>1122.52</v>
      </c>
      <c r="E26" t="s">
        <v>6961</v>
      </c>
      <c r="F26">
        <v>1122.52</v>
      </c>
      <c r="G26" s="220">
        <f t="shared" si="2"/>
        <v>-1122.52</v>
      </c>
      <c r="H26" s="220">
        <f t="shared" si="3"/>
        <v>-1122.52</v>
      </c>
      <c r="I26" s="221">
        <f>IF(A26="Total",VLOOKUP(B26,CORRESPONDANCE[#All],2,FALSE),I27)</f>
        <v>8</v>
      </c>
      <c r="J26" s="222" t="str">
        <f t="shared" si="0"/>
        <v>7</v>
      </c>
      <c r="K26" s="44" t="str">
        <f t="shared" si="1"/>
        <v>TIRR - 726100</v>
      </c>
      <c r="L26" s="44" t="str">
        <f>+VLOOKUP(K26,TL[],4,FALSE)</f>
        <v>10</v>
      </c>
    </row>
    <row r="27" spans="1:12" x14ac:dyDescent="0.2">
      <c r="A27" t="s">
        <v>197</v>
      </c>
      <c r="B27" t="s">
        <v>2523</v>
      </c>
      <c r="C27">
        <v>30718.240000000002</v>
      </c>
      <c r="D27" t="s">
        <v>6961</v>
      </c>
      <c r="E27">
        <v>30718.240000000002</v>
      </c>
      <c r="F27" t="s">
        <v>6961</v>
      </c>
      <c r="G27" s="220">
        <f t="shared" si="2"/>
        <v>30718.240000000002</v>
      </c>
      <c r="H27" s="220">
        <f t="shared" si="3"/>
        <v>30718.240000000002</v>
      </c>
      <c r="I27" s="221">
        <f>IF(A27="Total",VLOOKUP(B27,CORRESPONDANCE[#All],2,FALSE),I28)</f>
        <v>8</v>
      </c>
      <c r="J27" s="222" t="str">
        <f t="shared" si="0"/>
        <v>T</v>
      </c>
      <c r="K27" s="44" t="str">
        <f t="shared" si="1"/>
        <v>TIRR - Total</v>
      </c>
      <c r="L27" s="44" t="e">
        <f>+VLOOKUP(K27,TL[],4,FALSE)</f>
        <v>#N/A</v>
      </c>
    </row>
    <row r="28" spans="1:12" x14ac:dyDescent="0.2">
      <c r="A28" t="s">
        <v>1755</v>
      </c>
      <c r="B28" t="s">
        <v>175</v>
      </c>
      <c r="C28">
        <v>2476.0700000000002</v>
      </c>
      <c r="D28" t="s">
        <v>6961</v>
      </c>
      <c r="E28">
        <v>2476.0700000000002</v>
      </c>
      <c r="F28" t="s">
        <v>6961</v>
      </c>
      <c r="G28" s="220">
        <f t="shared" si="2"/>
        <v>2476.0700000000002</v>
      </c>
      <c r="H28" s="220">
        <f t="shared" si="3"/>
        <v>2476.0700000000002</v>
      </c>
      <c r="I28" s="221">
        <f>IF(A28="Total",VLOOKUP(B28,CORRESPONDANCE[#All],2,FALSE),I29)</f>
        <v>9</v>
      </c>
      <c r="J28" s="222" t="str">
        <f t="shared" si="0"/>
        <v>6</v>
      </c>
      <c r="K28" s="44" t="str">
        <f t="shared" si="1"/>
        <v>TIRR - 645101</v>
      </c>
      <c r="L28" s="44" t="str">
        <f>+VLOOKUP(K28,TL[],4,FALSE)</f>
        <v>10</v>
      </c>
    </row>
    <row r="29" spans="1:12" x14ac:dyDescent="0.2">
      <c r="A29" t="s">
        <v>1757</v>
      </c>
      <c r="B29" t="s">
        <v>2193</v>
      </c>
      <c r="C29">
        <v>593.07000000000005</v>
      </c>
      <c r="D29" t="s">
        <v>6961</v>
      </c>
      <c r="E29">
        <v>593.07000000000005</v>
      </c>
      <c r="F29" t="s">
        <v>6961</v>
      </c>
      <c r="G29" s="220">
        <f t="shared" si="2"/>
        <v>593.07000000000005</v>
      </c>
      <c r="H29" s="220">
        <f t="shared" si="3"/>
        <v>593.07000000000005</v>
      </c>
      <c r="I29" s="221">
        <f>IF(A29="Total",VLOOKUP(B29,CORRESPONDANCE[#All],2,FALSE),I30)</f>
        <v>9</v>
      </c>
      <c r="J29" s="222" t="str">
        <f t="shared" si="0"/>
        <v>6</v>
      </c>
      <c r="K29" s="44" t="str">
        <f t="shared" si="1"/>
        <v>TIRR - 645301</v>
      </c>
      <c r="L29" s="44" t="str">
        <f>+VLOOKUP(K29,TL[],4,FALSE)</f>
        <v>10</v>
      </c>
    </row>
    <row r="30" spans="1:12" x14ac:dyDescent="0.2">
      <c r="A30" t="s">
        <v>1753</v>
      </c>
      <c r="B30" t="s">
        <v>169</v>
      </c>
      <c r="C30">
        <v>979.72</v>
      </c>
      <c r="D30" t="s">
        <v>6961</v>
      </c>
      <c r="E30">
        <v>979.72</v>
      </c>
      <c r="F30" t="s">
        <v>6961</v>
      </c>
      <c r="G30" s="220">
        <f t="shared" si="2"/>
        <v>979.72</v>
      </c>
      <c r="H30" s="220">
        <f t="shared" si="3"/>
        <v>979.72</v>
      </c>
      <c r="I30" s="221">
        <f>IF(A30="Total",VLOOKUP(B30,CORRESPONDANCE[#All],2,FALSE),I31)</f>
        <v>9</v>
      </c>
      <c r="J30" s="222" t="str">
        <f t="shared" si="0"/>
        <v>6</v>
      </c>
      <c r="K30" s="44" t="str">
        <f t="shared" si="1"/>
        <v>TIRR - 645401</v>
      </c>
      <c r="L30" s="44" t="str">
        <f>+VLOOKUP(K30,TL[],4,FALSE)</f>
        <v>10</v>
      </c>
    </row>
    <row r="31" spans="1:12" x14ac:dyDescent="0.2">
      <c r="A31" t="s">
        <v>2527</v>
      </c>
      <c r="B31" t="s">
        <v>231</v>
      </c>
      <c r="C31">
        <v>254.34</v>
      </c>
      <c r="D31" t="s">
        <v>6961</v>
      </c>
      <c r="E31">
        <v>254.34</v>
      </c>
      <c r="F31" t="s">
        <v>6961</v>
      </c>
      <c r="G31" s="220">
        <f t="shared" si="2"/>
        <v>254.34</v>
      </c>
      <c r="H31" s="220">
        <f t="shared" si="3"/>
        <v>254.34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TIRR - 645530</v>
      </c>
      <c r="L31" s="44" t="str">
        <f>+VLOOKUP(K31,TL[],4,FALSE)</f>
        <v>10</v>
      </c>
    </row>
    <row r="32" spans="1:12" x14ac:dyDescent="0.2">
      <c r="A32" t="s">
        <v>1776</v>
      </c>
      <c r="B32" t="s">
        <v>2351</v>
      </c>
      <c r="C32">
        <v>184</v>
      </c>
      <c r="D32" t="s">
        <v>6961</v>
      </c>
      <c r="E32">
        <v>184</v>
      </c>
      <c r="F32" t="s">
        <v>6961</v>
      </c>
      <c r="G32" s="220">
        <f t="shared" si="2"/>
        <v>184</v>
      </c>
      <c r="H32" s="220">
        <f t="shared" si="3"/>
        <v>184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TIRR - 645810</v>
      </c>
      <c r="L32" s="44" t="str">
        <f>+VLOOKUP(K32,TL[],4,FALSE)</f>
        <v>10</v>
      </c>
    </row>
    <row r="33" spans="1:12" x14ac:dyDescent="0.2">
      <c r="A33" t="s">
        <v>2528</v>
      </c>
      <c r="B33" t="s">
        <v>2339</v>
      </c>
      <c r="C33">
        <v>141.62</v>
      </c>
      <c r="D33" t="s">
        <v>6961</v>
      </c>
      <c r="E33">
        <v>141.62</v>
      </c>
      <c r="F33" t="s">
        <v>6961</v>
      </c>
      <c r="G33" s="220">
        <f t="shared" si="2"/>
        <v>141.62</v>
      </c>
      <c r="H33" s="220">
        <f t="shared" si="3"/>
        <v>141.62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TIRR - 645930</v>
      </c>
      <c r="L33" s="44" t="str">
        <f>+VLOOKUP(K33,TL[],4,FALSE)</f>
        <v>10</v>
      </c>
    </row>
    <row r="34" spans="1:12" x14ac:dyDescent="0.2">
      <c r="A34" t="s">
        <v>197</v>
      </c>
      <c r="B34" t="s">
        <v>2529</v>
      </c>
      <c r="C34">
        <v>4628.82</v>
      </c>
      <c r="D34" t="s">
        <v>6961</v>
      </c>
      <c r="E34">
        <v>4628.82</v>
      </c>
      <c r="F34" t="s">
        <v>6961</v>
      </c>
      <c r="G34" s="220">
        <f t="shared" si="2"/>
        <v>4628.82</v>
      </c>
      <c r="H34" s="220">
        <f t="shared" si="3"/>
        <v>4628.82</v>
      </c>
      <c r="I34" s="221">
        <f>IF(A34="Total",VLOOKUP(B34,CORRESPONDANCE[#All],2,FALSE),I35)</f>
        <v>9</v>
      </c>
      <c r="J34" s="222" t="str">
        <f t="shared" si="0"/>
        <v>T</v>
      </c>
      <c r="K34" s="44" t="str">
        <f t="shared" si="1"/>
        <v>TIRR - Total</v>
      </c>
      <c r="L34" s="44" t="e">
        <f>+VLOOKUP(K34,TL[],4,FALSE)</f>
        <v>#N/A</v>
      </c>
    </row>
    <row r="35" spans="1:12" x14ac:dyDescent="0.2">
      <c r="A35" t="s">
        <v>1947</v>
      </c>
      <c r="B35" t="s">
        <v>2357</v>
      </c>
      <c r="C35">
        <v>3340.99</v>
      </c>
      <c r="D35" t="s">
        <v>6961</v>
      </c>
      <c r="E35">
        <v>3340.99</v>
      </c>
      <c r="F35" t="s">
        <v>6961</v>
      </c>
      <c r="G35" s="220">
        <f t="shared" si="2"/>
        <v>3340.99</v>
      </c>
      <c r="H35" s="220">
        <f t="shared" si="3"/>
        <v>3340.99</v>
      </c>
      <c r="I35" s="221">
        <f>IF(A35="Total",VLOOKUP(B35,CORRESPONDANCE[#All],2,FALSE),I36)</f>
        <v>10</v>
      </c>
      <c r="J35" s="222" t="str">
        <f t="shared" si="0"/>
        <v>6</v>
      </c>
      <c r="K35" s="44" t="str">
        <f t="shared" si="1"/>
        <v>TIRR - 621402</v>
      </c>
      <c r="L35" s="44" t="str">
        <f>+VLOOKUP(K35,TL[],4,FALSE)</f>
        <v>11</v>
      </c>
    </row>
    <row r="36" spans="1:12" x14ac:dyDescent="0.2">
      <c r="A36" t="s">
        <v>1750</v>
      </c>
      <c r="B36" t="s">
        <v>2386</v>
      </c>
      <c r="C36">
        <v>11562.13</v>
      </c>
      <c r="D36" t="s">
        <v>6961</v>
      </c>
      <c r="E36">
        <v>11562.13</v>
      </c>
      <c r="F36" t="s">
        <v>6961</v>
      </c>
      <c r="G36" s="220">
        <f t="shared" si="2"/>
        <v>11562.13</v>
      </c>
      <c r="H36" s="220">
        <f t="shared" si="3"/>
        <v>11562.13</v>
      </c>
      <c r="I36" s="221">
        <f>IF(A36="Total",VLOOKUP(B36,CORRESPONDANCE[#All],2,FALSE),I37)</f>
        <v>10</v>
      </c>
      <c r="J36" s="222" t="str">
        <f t="shared" si="0"/>
        <v>6</v>
      </c>
      <c r="K36" s="44" t="str">
        <f t="shared" si="1"/>
        <v>TIRR - 641104</v>
      </c>
      <c r="L36" s="44" t="str">
        <f>+VLOOKUP(K36,TL[],4,FALSE)</f>
        <v>11</v>
      </c>
    </row>
    <row r="37" spans="1:12" x14ac:dyDescent="0.2">
      <c r="A37" t="s">
        <v>1783</v>
      </c>
      <c r="B37" t="s">
        <v>2387</v>
      </c>
      <c r="C37">
        <v>276.02</v>
      </c>
      <c r="D37" t="s">
        <v>6961</v>
      </c>
      <c r="E37">
        <v>276.02</v>
      </c>
      <c r="F37" t="s">
        <v>6961</v>
      </c>
      <c r="G37" s="220">
        <f t="shared" si="2"/>
        <v>276.02</v>
      </c>
      <c r="H37" s="220">
        <f t="shared" si="3"/>
        <v>276.02</v>
      </c>
      <c r="I37" s="221">
        <f>IF(A37="Total",VLOOKUP(B37,CORRESPONDANCE[#All],2,FALSE),I38)</f>
        <v>10</v>
      </c>
      <c r="J37" s="222" t="str">
        <f t="shared" si="0"/>
        <v>6</v>
      </c>
      <c r="K37" s="44" t="str">
        <f t="shared" si="1"/>
        <v>TIRR - 641220</v>
      </c>
      <c r="L37" s="44" t="str">
        <f>+VLOOKUP(K37,TL[],4,FALSE)</f>
        <v>11</v>
      </c>
    </row>
    <row r="38" spans="1:12" x14ac:dyDescent="0.2">
      <c r="A38" t="s">
        <v>1747</v>
      </c>
      <c r="B38" t="s">
        <v>2287</v>
      </c>
      <c r="C38">
        <v>400.9</v>
      </c>
      <c r="D38" t="s">
        <v>6961</v>
      </c>
      <c r="E38">
        <v>400.9</v>
      </c>
      <c r="F38" t="s">
        <v>6961</v>
      </c>
      <c r="G38" s="220">
        <f t="shared" si="2"/>
        <v>400.9</v>
      </c>
      <c r="H38" s="220">
        <f t="shared" si="3"/>
        <v>400.9</v>
      </c>
      <c r="I38" s="221">
        <f>IF(A38="Total",VLOOKUP(B38,CORRESPONDANCE[#All],2,FALSE),I39)</f>
        <v>10</v>
      </c>
      <c r="J38" s="222" t="str">
        <f t="shared" si="0"/>
        <v>6</v>
      </c>
      <c r="K38" s="44" t="str">
        <f t="shared" si="1"/>
        <v>TIRR - 641404</v>
      </c>
      <c r="L38" s="44" t="str">
        <f>+VLOOKUP(K38,TL[],4,FALSE)</f>
        <v>11</v>
      </c>
    </row>
    <row r="39" spans="1:12" x14ac:dyDescent="0.2">
      <c r="A39" t="s">
        <v>1752</v>
      </c>
      <c r="B39" t="s">
        <v>2388</v>
      </c>
      <c r="C39">
        <v>101.05</v>
      </c>
      <c r="D39" t="s">
        <v>6961</v>
      </c>
      <c r="E39">
        <v>101.05</v>
      </c>
      <c r="F39" t="s">
        <v>6961</v>
      </c>
      <c r="G39" s="220">
        <f t="shared" si="2"/>
        <v>101.05</v>
      </c>
      <c r="H39" s="220">
        <f t="shared" si="3"/>
        <v>101.05</v>
      </c>
      <c r="I39" s="221">
        <f>IF(A39="Total",VLOOKUP(B39,CORRESPONDANCE[#All],2,FALSE),I40)</f>
        <v>10</v>
      </c>
      <c r="J39" s="222" t="str">
        <f t="shared" si="0"/>
        <v>6</v>
      </c>
      <c r="K39" s="44" t="str">
        <f t="shared" si="1"/>
        <v>TIRR - 641414</v>
      </c>
      <c r="L39" s="44" t="str">
        <f>+VLOOKUP(K39,TL[],4,FALSE)</f>
        <v>11</v>
      </c>
    </row>
    <row r="40" spans="1:12" x14ac:dyDescent="0.2">
      <c r="A40" t="s">
        <v>1748</v>
      </c>
      <c r="B40" t="s">
        <v>1333</v>
      </c>
      <c r="C40" t="s">
        <v>6961</v>
      </c>
      <c r="D40">
        <v>400.9</v>
      </c>
      <c r="E40" t="s">
        <v>6961</v>
      </c>
      <c r="F40">
        <v>400.9</v>
      </c>
      <c r="G40" s="220">
        <f t="shared" si="2"/>
        <v>-400.9</v>
      </c>
      <c r="H40" s="220">
        <f t="shared" si="3"/>
        <v>-400.9</v>
      </c>
      <c r="I40" s="221">
        <f>IF(A40="Total",VLOOKUP(B40,CORRESPONDANCE[#All],2,FALSE),I41)</f>
        <v>10</v>
      </c>
      <c r="J40" s="222" t="str">
        <f t="shared" si="0"/>
        <v>7</v>
      </c>
      <c r="K40" s="44" t="str">
        <f t="shared" si="1"/>
        <v>TIRR - 726110</v>
      </c>
      <c r="L40" s="44" t="str">
        <f>+VLOOKUP(K40,TL[],4,FALSE)</f>
        <v>11</v>
      </c>
    </row>
    <row r="41" spans="1:12" x14ac:dyDescent="0.2">
      <c r="A41" t="s">
        <v>197</v>
      </c>
      <c r="B41" t="s">
        <v>2532</v>
      </c>
      <c r="C41">
        <v>15280.19</v>
      </c>
      <c r="D41" t="s">
        <v>6961</v>
      </c>
      <c r="E41">
        <v>15280.19</v>
      </c>
      <c r="F41" t="s">
        <v>6961</v>
      </c>
      <c r="G41" s="220">
        <f t="shared" si="2"/>
        <v>15280.19</v>
      </c>
      <c r="H41" s="220">
        <f t="shared" si="3"/>
        <v>15280.19</v>
      </c>
      <c r="I41" s="221">
        <f>IF(A41="Total",VLOOKUP(B41,CORRESPONDANCE[#All],2,FALSE),I42)</f>
        <v>10</v>
      </c>
      <c r="J41" s="222" t="str">
        <f t="shared" si="0"/>
        <v>T</v>
      </c>
      <c r="K41" s="44" t="str">
        <f t="shared" si="1"/>
        <v>TIRR - Total</v>
      </c>
      <c r="L41" s="44" t="e">
        <f>+VLOOKUP(K41,TL[],4,FALSE)</f>
        <v>#N/A</v>
      </c>
    </row>
    <row r="42" spans="1:12" x14ac:dyDescent="0.2">
      <c r="A42" t="s">
        <v>1603</v>
      </c>
      <c r="B42" t="s">
        <v>7045</v>
      </c>
      <c r="C42">
        <v>1248.27</v>
      </c>
      <c r="D42" t="s">
        <v>6961</v>
      </c>
      <c r="E42">
        <v>1248.27</v>
      </c>
      <c r="F42" t="s">
        <v>6961</v>
      </c>
      <c r="G42" s="220">
        <f t="shared" si="2"/>
        <v>1248.27</v>
      </c>
      <c r="H42" s="220">
        <f t="shared" si="3"/>
        <v>1248.27</v>
      </c>
      <c r="I42" s="221">
        <f>IF(A42="Total",VLOOKUP(B42,CORRESPONDANCE[#All],2,FALSE),I43)</f>
        <v>11</v>
      </c>
      <c r="J42" s="222" t="str">
        <f t="shared" si="0"/>
        <v>6</v>
      </c>
      <c r="K42" s="44" t="str">
        <f t="shared" si="1"/>
        <v>TIRR - 621405</v>
      </c>
      <c r="L42" s="44" t="e">
        <f>+VLOOKUP(K42,TL[],4,FALSE)</f>
        <v>#N/A</v>
      </c>
    </row>
    <row r="43" spans="1:12" x14ac:dyDescent="0.2">
      <c r="A43" t="s">
        <v>1756</v>
      </c>
      <c r="B43" t="s">
        <v>2334</v>
      </c>
      <c r="C43">
        <v>1756.51</v>
      </c>
      <c r="D43" t="s">
        <v>6961</v>
      </c>
      <c r="E43">
        <v>1756.51</v>
      </c>
      <c r="F43" t="s">
        <v>6961</v>
      </c>
      <c r="G43" s="220">
        <f t="shared" si="2"/>
        <v>1756.51</v>
      </c>
      <c r="H43" s="220">
        <f t="shared" si="3"/>
        <v>1756.51</v>
      </c>
      <c r="I43" s="221">
        <f>IF(A43="Total",VLOOKUP(B43,CORRESPONDANCE[#All],2,FALSE),I44)</f>
        <v>11</v>
      </c>
      <c r="J43" s="222" t="str">
        <f t="shared" si="0"/>
        <v>6</v>
      </c>
      <c r="K43" s="44" t="str">
        <f t="shared" si="1"/>
        <v>TIRR - 645104</v>
      </c>
      <c r="L43" s="44" t="str">
        <f>+VLOOKUP(K43,TL[],4,FALSE)</f>
        <v>12</v>
      </c>
    </row>
    <row r="44" spans="1:12" x14ac:dyDescent="0.2">
      <c r="A44" t="s">
        <v>1758</v>
      </c>
      <c r="B44" t="s">
        <v>2335</v>
      </c>
      <c r="C44">
        <v>374.56</v>
      </c>
      <c r="D44" t="s">
        <v>6961</v>
      </c>
      <c r="E44">
        <v>374.56</v>
      </c>
      <c r="F44" t="s">
        <v>6961</v>
      </c>
      <c r="G44" s="220">
        <f t="shared" si="2"/>
        <v>374.56</v>
      </c>
      <c r="H44" s="220">
        <f t="shared" si="3"/>
        <v>374.56</v>
      </c>
      <c r="I44" s="221">
        <f>IF(A44="Total",VLOOKUP(B44,CORRESPONDANCE[#All],2,FALSE),I45)</f>
        <v>11</v>
      </c>
      <c r="J44" s="222" t="str">
        <f t="shared" si="0"/>
        <v>6</v>
      </c>
      <c r="K44" s="44" t="str">
        <f t="shared" si="1"/>
        <v>TIRR - 645304</v>
      </c>
      <c r="L44" s="44" t="str">
        <f>+VLOOKUP(K44,TL[],4,FALSE)</f>
        <v>12</v>
      </c>
    </row>
    <row r="45" spans="1:12" x14ac:dyDescent="0.2">
      <c r="A45" t="s">
        <v>1754</v>
      </c>
      <c r="B45" t="s">
        <v>2336</v>
      </c>
      <c r="C45">
        <v>381.3</v>
      </c>
      <c r="D45" t="s">
        <v>6961</v>
      </c>
      <c r="E45">
        <v>381.3</v>
      </c>
      <c r="F45" t="s">
        <v>6961</v>
      </c>
      <c r="G45" s="220">
        <f t="shared" si="2"/>
        <v>381.3</v>
      </c>
      <c r="H45" s="220">
        <f t="shared" si="3"/>
        <v>381.3</v>
      </c>
      <c r="I45" s="221">
        <f>IF(A45="Total",VLOOKUP(B45,CORRESPONDANCE[#All],2,FALSE),I46)</f>
        <v>11</v>
      </c>
      <c r="J45" s="222" t="str">
        <f t="shared" si="0"/>
        <v>6</v>
      </c>
      <c r="K45" s="44" t="str">
        <f t="shared" si="1"/>
        <v>TIRR - 645404</v>
      </c>
      <c r="L45" s="44" t="str">
        <f>+VLOOKUP(K45,TL[],4,FALSE)</f>
        <v>12</v>
      </c>
    </row>
    <row r="46" spans="1:12" x14ac:dyDescent="0.2">
      <c r="A46" t="s">
        <v>2537</v>
      </c>
      <c r="B46" t="s">
        <v>2192</v>
      </c>
      <c r="C46">
        <v>84.78</v>
      </c>
      <c r="D46" t="s">
        <v>6961</v>
      </c>
      <c r="E46">
        <v>84.78</v>
      </c>
      <c r="F46" t="s">
        <v>6961</v>
      </c>
      <c r="G46" s="220">
        <f t="shared" si="2"/>
        <v>84.78</v>
      </c>
      <c r="H46" s="220">
        <f t="shared" si="3"/>
        <v>84.78</v>
      </c>
      <c r="I46" s="221">
        <f>IF(A46="Total",VLOOKUP(B46,CORRESPONDANCE[#All],2,FALSE),I47)</f>
        <v>11</v>
      </c>
      <c r="J46" s="222" t="str">
        <f t="shared" si="0"/>
        <v>6</v>
      </c>
      <c r="K46" s="44" t="str">
        <f t="shared" si="1"/>
        <v>TIRR - 645520</v>
      </c>
      <c r="L46" s="44" t="str">
        <f>+VLOOKUP(K46,TL[],4,FALSE)</f>
        <v>12</v>
      </c>
    </row>
    <row r="47" spans="1:12" x14ac:dyDescent="0.2">
      <c r="A47" t="s">
        <v>1775</v>
      </c>
      <c r="B47" t="s">
        <v>2349</v>
      </c>
      <c r="C47">
        <v>76.84</v>
      </c>
      <c r="D47" t="s">
        <v>6961</v>
      </c>
      <c r="E47">
        <v>76.84</v>
      </c>
      <c r="F47" t="s">
        <v>6961</v>
      </c>
      <c r="G47" s="220">
        <f t="shared" si="2"/>
        <v>76.84</v>
      </c>
      <c r="H47" s="220">
        <f t="shared" si="3"/>
        <v>76.84</v>
      </c>
      <c r="I47" s="221">
        <f>IF(A47="Total",VLOOKUP(B47,CORRESPONDANCE[#All],2,FALSE),I48)</f>
        <v>11</v>
      </c>
      <c r="J47" s="222" t="str">
        <f t="shared" si="0"/>
        <v>6</v>
      </c>
      <c r="K47" s="44" t="str">
        <f t="shared" si="1"/>
        <v>TIRR - 645800</v>
      </c>
      <c r="L47" s="44" t="str">
        <f>+VLOOKUP(K47,TL[],4,FALSE)</f>
        <v>12</v>
      </c>
    </row>
    <row r="48" spans="1:12" x14ac:dyDescent="0.2">
      <c r="A48" t="s">
        <v>2538</v>
      </c>
      <c r="B48" t="s">
        <v>2338</v>
      </c>
      <c r="C48">
        <v>55.14</v>
      </c>
      <c r="D48" t="s">
        <v>6961</v>
      </c>
      <c r="E48">
        <v>55.14</v>
      </c>
      <c r="F48" t="s">
        <v>6961</v>
      </c>
      <c r="G48" s="220">
        <f t="shared" si="2"/>
        <v>55.14</v>
      </c>
      <c r="H48" s="220">
        <f t="shared" si="3"/>
        <v>55.14</v>
      </c>
      <c r="I48" s="221">
        <f>IF(A48="Total",VLOOKUP(B48,CORRESPONDANCE[#All],2,FALSE),I49)</f>
        <v>11</v>
      </c>
      <c r="J48" s="222" t="str">
        <f t="shared" si="0"/>
        <v>6</v>
      </c>
      <c r="K48" s="44" t="str">
        <f t="shared" si="1"/>
        <v>TIRR - 645920</v>
      </c>
      <c r="L48" s="44" t="str">
        <f>+VLOOKUP(K48,TL[],4,FALSE)</f>
        <v>12</v>
      </c>
    </row>
    <row r="49" spans="1:12" x14ac:dyDescent="0.2">
      <c r="A49" t="s">
        <v>197</v>
      </c>
      <c r="B49" t="s">
        <v>2539</v>
      </c>
      <c r="C49">
        <v>3977.4</v>
      </c>
      <c r="D49" t="s">
        <v>6961</v>
      </c>
      <c r="E49">
        <v>3977.4</v>
      </c>
      <c r="F49" t="s">
        <v>6961</v>
      </c>
      <c r="G49" s="220">
        <f t="shared" si="2"/>
        <v>3977.4</v>
      </c>
      <c r="H49" s="220">
        <f t="shared" si="3"/>
        <v>3977.4</v>
      </c>
      <c r="I49" s="221">
        <f>IF(A49="Total",VLOOKUP(B49,CORRESPONDANCE[#All],2,FALSE),I50)</f>
        <v>11</v>
      </c>
      <c r="J49" s="222" t="str">
        <f t="shared" si="0"/>
        <v>T</v>
      </c>
      <c r="K49" s="44" t="str">
        <f t="shared" si="1"/>
        <v>TIRR - Total</v>
      </c>
      <c r="L49" s="44" t="e">
        <f>+VLOOKUP(K49,TL[],4,FALSE)</f>
        <v>#N/A</v>
      </c>
    </row>
    <row r="50" spans="1:12" x14ac:dyDescent="0.2">
      <c r="A50" t="s">
        <v>1602</v>
      </c>
      <c r="B50" t="s">
        <v>260</v>
      </c>
      <c r="C50" t="s">
        <v>6961</v>
      </c>
      <c r="D50" t="s">
        <v>6961</v>
      </c>
      <c r="E50" t="s">
        <v>6961</v>
      </c>
      <c r="F50" t="s">
        <v>6961</v>
      </c>
      <c r="G50" s="220">
        <f t="shared" si="2"/>
        <v>0</v>
      </c>
      <c r="H50" s="220">
        <f t="shared" si="3"/>
        <v>0</v>
      </c>
      <c r="I50" s="221">
        <f>IF(A50="Total",VLOOKUP(B50,CORRESPONDANCE[#All],2,FALSE),I51)</f>
        <v>15</v>
      </c>
      <c r="J50" s="222" t="str">
        <f t="shared" si="0"/>
        <v>6</v>
      </c>
      <c r="K50" s="44" t="str">
        <f t="shared" si="1"/>
        <v>TIRR - 615210</v>
      </c>
      <c r="L50" s="44" t="str">
        <f>+VLOOKUP(K50,TL[],4,FALSE)</f>
        <v>16</v>
      </c>
    </row>
    <row r="51" spans="1:12" x14ac:dyDescent="0.2">
      <c r="A51" t="s">
        <v>7106</v>
      </c>
      <c r="B51" t="s">
        <v>2543</v>
      </c>
      <c r="C51">
        <v>9100</v>
      </c>
      <c r="D51" t="s">
        <v>6961</v>
      </c>
      <c r="E51">
        <v>9100</v>
      </c>
      <c r="F51" t="s">
        <v>6961</v>
      </c>
      <c r="G51" s="220">
        <f t="shared" si="2"/>
        <v>9100</v>
      </c>
      <c r="H51" s="220">
        <f t="shared" si="3"/>
        <v>9100</v>
      </c>
      <c r="I51" s="221">
        <f>IF(A51="Total",VLOOKUP(B51,CORRESPONDANCE[#All],2,FALSE),I52)</f>
        <v>15</v>
      </c>
      <c r="J51" s="222" t="str">
        <f t="shared" si="0"/>
        <v>6</v>
      </c>
      <c r="K51" s="44" t="str">
        <f t="shared" si="1"/>
        <v>TIRR - 615220</v>
      </c>
      <c r="L51" s="44" t="e">
        <f>+VLOOKUP(K51,TL[],4,FALSE)</f>
        <v>#N/A</v>
      </c>
    </row>
    <row r="52" spans="1:12" x14ac:dyDescent="0.2">
      <c r="A52" t="s">
        <v>1598</v>
      </c>
      <c r="B52" t="s">
        <v>240</v>
      </c>
      <c r="C52">
        <v>118.47</v>
      </c>
      <c r="D52" t="s">
        <v>6961</v>
      </c>
      <c r="E52">
        <v>118.47</v>
      </c>
      <c r="F52" t="s">
        <v>6961</v>
      </c>
      <c r="G52" s="220">
        <f t="shared" si="2"/>
        <v>118.47</v>
      </c>
      <c r="H52" s="220">
        <f t="shared" si="3"/>
        <v>118.47</v>
      </c>
      <c r="I52" s="221">
        <f>IF(A52="Total",VLOOKUP(B52,CORRESPONDANCE[#All],2,FALSE),I53)</f>
        <v>15</v>
      </c>
      <c r="J52" s="222" t="str">
        <f t="shared" si="0"/>
        <v>6</v>
      </c>
      <c r="K52" s="44" t="str">
        <f t="shared" si="1"/>
        <v>TIRR - 615615</v>
      </c>
      <c r="L52" s="44" t="str">
        <f>+VLOOKUP(K52,TL[],4,FALSE)</f>
        <v>16</v>
      </c>
    </row>
    <row r="53" spans="1:12" x14ac:dyDescent="0.2">
      <c r="A53" t="s">
        <v>2557</v>
      </c>
      <c r="B53" t="s">
        <v>2308</v>
      </c>
      <c r="C53">
        <v>169</v>
      </c>
      <c r="D53" t="s">
        <v>6961</v>
      </c>
      <c r="E53">
        <v>169</v>
      </c>
      <c r="F53" t="s">
        <v>6961</v>
      </c>
      <c r="G53" s="220">
        <f t="shared" si="2"/>
        <v>169</v>
      </c>
      <c r="H53" s="220">
        <f t="shared" si="3"/>
        <v>169</v>
      </c>
      <c r="I53" s="221">
        <f>IF(A53="Total",VLOOKUP(B53,CORRESPONDANCE[#All],2,FALSE),I54)</f>
        <v>15</v>
      </c>
      <c r="J53" s="222" t="str">
        <f t="shared" si="0"/>
        <v>6</v>
      </c>
      <c r="K53" s="44" t="str">
        <f t="shared" si="1"/>
        <v>TIRR - 615652</v>
      </c>
      <c r="L53" s="44" t="str">
        <f>+VLOOKUP(K53,TL[],4,FALSE)</f>
        <v>16</v>
      </c>
    </row>
    <row r="54" spans="1:12" x14ac:dyDescent="0.2">
      <c r="A54" t="s">
        <v>197</v>
      </c>
      <c r="B54" t="s">
        <v>2544</v>
      </c>
      <c r="C54">
        <v>9387.4699999999993</v>
      </c>
      <c r="D54" t="s">
        <v>6961</v>
      </c>
      <c r="E54">
        <v>9387.4699999999993</v>
      </c>
      <c r="F54" t="s">
        <v>6961</v>
      </c>
      <c r="G54" s="220">
        <f t="shared" si="2"/>
        <v>9387.4699999999993</v>
      </c>
      <c r="H54" s="220">
        <f t="shared" si="3"/>
        <v>9387.4699999999993</v>
      </c>
      <c r="I54" s="221">
        <f>IF(A54="Total",VLOOKUP(B54,CORRESPONDANCE[#All],2,FALSE),I55)</f>
        <v>15</v>
      </c>
      <c r="J54" s="222" t="str">
        <f t="shared" si="0"/>
        <v>T</v>
      </c>
      <c r="K54" s="44" t="str">
        <f t="shared" si="1"/>
        <v>TIRR - Total</v>
      </c>
      <c r="L54" s="44" t="e">
        <f>+VLOOKUP(K54,TL[],4,FALSE)</f>
        <v>#N/A</v>
      </c>
    </row>
    <row r="55" spans="1:12" x14ac:dyDescent="0.2">
      <c r="A55" t="s">
        <v>1625</v>
      </c>
      <c r="B55" t="s">
        <v>2234</v>
      </c>
      <c r="C55">
        <v>36.47</v>
      </c>
      <c r="D55" t="s">
        <v>6961</v>
      </c>
      <c r="E55">
        <v>36.47</v>
      </c>
      <c r="F55" t="s">
        <v>6961</v>
      </c>
      <c r="G55" s="220">
        <f t="shared" si="2"/>
        <v>36.47</v>
      </c>
      <c r="H55" s="220">
        <f t="shared" si="3"/>
        <v>36.47</v>
      </c>
      <c r="I55" s="221">
        <f>IF(A55="Total",VLOOKUP(B55,CORRESPONDANCE[#All],2,FALSE),I56)</f>
        <v>16</v>
      </c>
      <c r="J55" s="222" t="str">
        <f t="shared" si="0"/>
        <v>6</v>
      </c>
      <c r="K55" s="44" t="str">
        <f t="shared" si="1"/>
        <v>TIRR - 615616</v>
      </c>
      <c r="L55" s="44" t="str">
        <f>+VLOOKUP(K55,TL[],4,FALSE)</f>
        <v>16</v>
      </c>
    </row>
    <row r="56" spans="1:12" x14ac:dyDescent="0.2">
      <c r="A56" t="s">
        <v>197</v>
      </c>
      <c r="B56" t="s">
        <v>2545</v>
      </c>
      <c r="C56">
        <v>36.47</v>
      </c>
      <c r="D56" t="s">
        <v>6961</v>
      </c>
      <c r="E56">
        <v>36.47</v>
      </c>
      <c r="F56" t="s">
        <v>6961</v>
      </c>
      <c r="G56" s="220">
        <f t="shared" si="2"/>
        <v>36.47</v>
      </c>
      <c r="H56" s="220">
        <f t="shared" si="3"/>
        <v>36.47</v>
      </c>
      <c r="I56" s="221">
        <f>IF(A56="Total",VLOOKUP(B56,CORRESPONDANCE[#All],2,FALSE),I57)</f>
        <v>16</v>
      </c>
      <c r="J56" s="222" t="str">
        <f t="shared" si="0"/>
        <v>T</v>
      </c>
      <c r="K56" s="44" t="str">
        <f t="shared" si="1"/>
        <v>TIRR - Total</v>
      </c>
      <c r="L56" s="44" t="e">
        <f>+VLOOKUP(K56,TL[],4,FALSE)</f>
        <v>#N/A</v>
      </c>
    </row>
    <row r="57" spans="1:12" x14ac:dyDescent="0.2">
      <c r="A57" t="s">
        <v>1711</v>
      </c>
      <c r="B57" t="s">
        <v>258</v>
      </c>
      <c r="C57">
        <v>158.61000000000001</v>
      </c>
      <c r="D57" t="s">
        <v>6961</v>
      </c>
      <c r="E57">
        <v>158.61000000000001</v>
      </c>
      <c r="F57" t="s">
        <v>6961</v>
      </c>
      <c r="G57" s="220">
        <f t="shared" si="2"/>
        <v>158.61000000000001</v>
      </c>
      <c r="H57" s="220">
        <f t="shared" si="3"/>
        <v>158.61000000000001</v>
      </c>
      <c r="I57" s="221">
        <f>IF(A57="Total",VLOOKUP(B57,CORRESPONDANCE[#All],2,FALSE),I58)</f>
        <v>17</v>
      </c>
      <c r="J57" s="222" t="str">
        <f t="shared" si="0"/>
        <v>6</v>
      </c>
      <c r="K57" s="44" t="str">
        <f t="shared" si="1"/>
        <v>TIRR - 627801</v>
      </c>
      <c r="L57" s="44" t="str">
        <f>+VLOOKUP(K57,TL[],4,FALSE)</f>
        <v>37</v>
      </c>
    </row>
    <row r="58" spans="1:12" x14ac:dyDescent="0.2">
      <c r="A58" t="s">
        <v>1600</v>
      </c>
      <c r="B58" t="s">
        <v>238</v>
      </c>
      <c r="C58">
        <v>1202.22</v>
      </c>
      <c r="D58" t="s">
        <v>6961</v>
      </c>
      <c r="E58">
        <v>1202.22</v>
      </c>
      <c r="F58" t="s">
        <v>6961</v>
      </c>
      <c r="G58" s="220">
        <f t="shared" si="2"/>
        <v>1202.22</v>
      </c>
      <c r="H58" s="220">
        <f t="shared" si="3"/>
        <v>1202.22</v>
      </c>
      <c r="I58" s="221">
        <f>IF(A58="Total",VLOOKUP(B58,CORRESPONDANCE[#All],2,FALSE),I59)</f>
        <v>17</v>
      </c>
      <c r="J58" s="222" t="str">
        <f t="shared" si="0"/>
        <v>6</v>
      </c>
      <c r="K58" s="44" t="str">
        <f t="shared" si="1"/>
        <v>TIRR - 627802</v>
      </c>
      <c r="L58" s="44" t="str">
        <f>+VLOOKUP(K58,TL[],4,FALSE)</f>
        <v>37</v>
      </c>
    </row>
    <row r="59" spans="1:12" x14ac:dyDescent="0.2">
      <c r="A59" t="s">
        <v>1716</v>
      </c>
      <c r="B59" t="s">
        <v>263</v>
      </c>
      <c r="C59">
        <v>1031.3</v>
      </c>
      <c r="D59" t="s">
        <v>6961</v>
      </c>
      <c r="E59">
        <v>1031.3</v>
      </c>
      <c r="F59" t="s">
        <v>6961</v>
      </c>
      <c r="G59" s="220">
        <f t="shared" si="2"/>
        <v>1031.3</v>
      </c>
      <c r="H59" s="220">
        <f t="shared" si="3"/>
        <v>1031.3</v>
      </c>
      <c r="I59" s="221">
        <f>IF(A59="Total",VLOOKUP(B59,CORRESPONDANCE[#All],2,FALSE),I60)</f>
        <v>17</v>
      </c>
      <c r="J59" s="222" t="str">
        <f t="shared" si="0"/>
        <v>6</v>
      </c>
      <c r="K59" s="44" t="str">
        <f t="shared" si="1"/>
        <v>TIRR - 627803</v>
      </c>
      <c r="L59" s="44" t="str">
        <f>+VLOOKUP(K59,TL[],4,FALSE)</f>
        <v>37</v>
      </c>
    </row>
    <row r="60" spans="1:12" x14ac:dyDescent="0.2">
      <c r="A60" t="s">
        <v>1714</v>
      </c>
      <c r="B60" t="s">
        <v>244</v>
      </c>
      <c r="C60">
        <v>248.79</v>
      </c>
      <c r="D60" t="s">
        <v>6961</v>
      </c>
      <c r="E60">
        <v>248.79</v>
      </c>
      <c r="F60" t="s">
        <v>6961</v>
      </c>
      <c r="G60" s="220">
        <f t="shared" si="2"/>
        <v>248.79</v>
      </c>
      <c r="H60" s="220">
        <f t="shared" si="3"/>
        <v>248.79</v>
      </c>
      <c r="I60" s="221">
        <f>IF(A60="Total",VLOOKUP(B60,CORRESPONDANCE[#All],2,FALSE),I61)</f>
        <v>17</v>
      </c>
      <c r="J60" s="222" t="str">
        <f t="shared" si="0"/>
        <v>6</v>
      </c>
      <c r="K60" s="44" t="str">
        <f t="shared" si="1"/>
        <v>TIRR - 627805</v>
      </c>
      <c r="L60" s="44" t="str">
        <f>+VLOOKUP(K60,TL[],4,FALSE)</f>
        <v>37</v>
      </c>
    </row>
    <row r="61" spans="1:12" x14ac:dyDescent="0.2">
      <c r="A61" t="s">
        <v>197</v>
      </c>
      <c r="B61" t="s">
        <v>2546</v>
      </c>
      <c r="C61">
        <v>2640.92</v>
      </c>
      <c r="D61" t="s">
        <v>6961</v>
      </c>
      <c r="E61">
        <v>2640.92</v>
      </c>
      <c r="F61" t="s">
        <v>6961</v>
      </c>
      <c r="G61" s="220">
        <f t="shared" si="2"/>
        <v>2640.92</v>
      </c>
      <c r="H61" s="220">
        <f t="shared" si="3"/>
        <v>2640.92</v>
      </c>
      <c r="I61" s="221">
        <f>IF(A61="Total",VLOOKUP(B61,CORRESPONDANCE[#All],2,FALSE),I62)</f>
        <v>17</v>
      </c>
      <c r="J61" s="222" t="str">
        <f t="shared" si="0"/>
        <v>T</v>
      </c>
      <c r="K61" s="44" t="str">
        <f t="shared" si="1"/>
        <v>TIRR - Total</v>
      </c>
      <c r="L61" s="44" t="e">
        <f>+VLOOKUP(K61,TL[],4,FALSE)</f>
        <v>#N/A</v>
      </c>
    </row>
    <row r="62" spans="1:12" x14ac:dyDescent="0.2">
      <c r="A62" t="s">
        <v>1586</v>
      </c>
      <c r="B62" t="s">
        <v>2373</v>
      </c>
      <c r="C62">
        <v>1267.8399999999999</v>
      </c>
      <c r="D62" t="s">
        <v>6961</v>
      </c>
      <c r="E62">
        <v>1267.8399999999999</v>
      </c>
      <c r="F62" t="s">
        <v>6961</v>
      </c>
      <c r="G62" s="220">
        <f t="shared" si="2"/>
        <v>1267.8399999999999</v>
      </c>
      <c r="H62" s="220">
        <f t="shared" si="3"/>
        <v>1267.8399999999999</v>
      </c>
      <c r="I62" s="221">
        <f>IF(A62="Total",VLOOKUP(B62,CORRESPONDANCE[#All],2,FALSE),I63)</f>
        <v>18</v>
      </c>
      <c r="J62" s="222" t="str">
        <f t="shared" si="0"/>
        <v>6</v>
      </c>
      <c r="K62" s="44" t="str">
        <f t="shared" si="1"/>
        <v>TIRR - 606300</v>
      </c>
      <c r="L62" s="44" t="str">
        <f>+VLOOKUP(K62,TL[],4,FALSE)</f>
        <v>19</v>
      </c>
    </row>
    <row r="63" spans="1:12" x14ac:dyDescent="0.2">
      <c r="A63" t="s">
        <v>1589</v>
      </c>
      <c r="B63" t="s">
        <v>2305</v>
      </c>
      <c r="C63">
        <v>1319.15</v>
      </c>
      <c r="D63" t="s">
        <v>6961</v>
      </c>
      <c r="E63">
        <v>1319.15</v>
      </c>
      <c r="F63" t="s">
        <v>6961</v>
      </c>
      <c r="G63" s="220">
        <f t="shared" si="2"/>
        <v>1319.15</v>
      </c>
      <c r="H63" s="220">
        <f t="shared" si="3"/>
        <v>1319.15</v>
      </c>
      <c r="I63" s="221">
        <f>IF(A63="Total",VLOOKUP(B63,CORRESPONDANCE[#All],2,FALSE),I64)</f>
        <v>18</v>
      </c>
      <c r="J63" s="222" t="str">
        <f t="shared" si="0"/>
        <v>6</v>
      </c>
      <c r="K63" s="44" t="str">
        <f t="shared" si="1"/>
        <v>TIRR - 615500</v>
      </c>
      <c r="L63" s="44" t="str">
        <f>+VLOOKUP(K63,TL[],4,FALSE)</f>
        <v>19</v>
      </c>
    </row>
    <row r="64" spans="1:12" x14ac:dyDescent="0.2">
      <c r="A64" t="s">
        <v>197</v>
      </c>
      <c r="B64" t="s">
        <v>2547</v>
      </c>
      <c r="C64">
        <v>2586.9899999999998</v>
      </c>
      <c r="D64" t="s">
        <v>6961</v>
      </c>
      <c r="E64">
        <v>2586.9899999999998</v>
      </c>
      <c r="F64" t="s">
        <v>6961</v>
      </c>
      <c r="G64" s="220">
        <f t="shared" si="2"/>
        <v>2586.9899999999998</v>
      </c>
      <c r="H64" s="220">
        <f t="shared" si="3"/>
        <v>2586.9899999999998</v>
      </c>
      <c r="I64" s="221">
        <f>IF(A64="Total",VLOOKUP(B64,CORRESPONDANCE[#All],2,FALSE),I65)</f>
        <v>18</v>
      </c>
      <c r="J64" s="222" t="str">
        <f t="shared" si="0"/>
        <v>T</v>
      </c>
      <c r="K64" s="44" t="str">
        <f t="shared" si="1"/>
        <v>TIRR - Total</v>
      </c>
      <c r="L64" s="44" t="e">
        <f>+VLOOKUP(K64,TL[],4,FALSE)</f>
        <v>#N/A</v>
      </c>
    </row>
    <row r="65" spans="1:12" x14ac:dyDescent="0.2">
      <c r="A65" t="s">
        <v>2746</v>
      </c>
      <c r="B65" t="s">
        <v>2375</v>
      </c>
      <c r="C65">
        <v>165</v>
      </c>
      <c r="D65" t="s">
        <v>6961</v>
      </c>
      <c r="E65">
        <v>165</v>
      </c>
      <c r="F65" t="s">
        <v>6961</v>
      </c>
      <c r="G65" s="220">
        <f t="shared" si="2"/>
        <v>165</v>
      </c>
      <c r="H65" s="220">
        <f t="shared" si="3"/>
        <v>165</v>
      </c>
      <c r="I65" s="221" t="e">
        <f>IF(A65="Total",VLOOKUP(B65,CORRESPONDANCE[#All],2,FALSE),I66)</f>
        <v>#REF!</v>
      </c>
      <c r="J65" s="222" t="str">
        <f t="shared" si="0"/>
        <v>6</v>
      </c>
      <c r="K65" s="44" t="str">
        <f t="shared" si="1"/>
        <v>TIRR - 611100</v>
      </c>
      <c r="L65" s="44" t="str">
        <f>+VLOOKUP(K65,TL[],4,FALSE)</f>
        <v>32</v>
      </c>
    </row>
    <row r="66" spans="1:12" x14ac:dyDescent="0.2">
      <c r="A66" t="s">
        <v>1587</v>
      </c>
      <c r="B66" t="s">
        <v>253</v>
      </c>
      <c r="C66">
        <v>208.59</v>
      </c>
      <c r="D66" t="s">
        <v>6961</v>
      </c>
      <c r="E66">
        <v>208.59</v>
      </c>
      <c r="F66" t="s">
        <v>6961</v>
      </c>
      <c r="G66" s="220">
        <f t="shared" si="2"/>
        <v>208.59</v>
      </c>
      <c r="H66" s="220">
        <f t="shared" si="3"/>
        <v>208.59</v>
      </c>
      <c r="I66" s="221" t="e">
        <f>IF(A66="Total",VLOOKUP(B66,CORRESPONDANCE[#All],2,FALSE),I67)</f>
        <v>#REF!</v>
      </c>
      <c r="J66" s="222" t="str">
        <f t="shared" si="0"/>
        <v>6</v>
      </c>
      <c r="K66" s="44" t="str">
        <f t="shared" si="1"/>
        <v>TIRR - 613200</v>
      </c>
      <c r="L66" s="44" t="str">
        <f>+VLOOKUP(K66,TL[],4,FALSE)</f>
        <v>16</v>
      </c>
    </row>
    <row r="67" spans="1:12" x14ac:dyDescent="0.2">
      <c r="A67" t="s">
        <v>2748</v>
      </c>
      <c r="B67" t="s">
        <v>1568</v>
      </c>
      <c r="C67">
        <v>46</v>
      </c>
      <c r="D67" t="s">
        <v>6961</v>
      </c>
      <c r="E67">
        <v>46</v>
      </c>
      <c r="F67" t="s">
        <v>6961</v>
      </c>
      <c r="G67" s="220">
        <f t="shared" si="2"/>
        <v>46</v>
      </c>
      <c r="H67" s="220">
        <f t="shared" si="3"/>
        <v>46</v>
      </c>
      <c r="I67" s="221" t="e">
        <f>IF(A67="Total",VLOOKUP(B67,CORRESPONDANCE[#All],2,FALSE),#REF!)</f>
        <v>#REF!</v>
      </c>
      <c r="J67" s="222" t="str">
        <f t="shared" ref="J67:J129" si="4">LEFT(A67,1)</f>
        <v>6</v>
      </c>
      <c r="K67" s="44" t="str">
        <f t="shared" ref="K67:K129" si="5">"TIRR"&amp;" - "&amp;A67</f>
        <v>TIRR - 613519</v>
      </c>
      <c r="L67" s="44" t="str">
        <f>+VLOOKUP(K67,TL[],4,FALSE)</f>
        <v>16</v>
      </c>
    </row>
    <row r="68" spans="1:12" x14ac:dyDescent="0.2">
      <c r="A68" t="s">
        <v>1779</v>
      </c>
      <c r="B68" t="s">
        <v>900</v>
      </c>
      <c r="C68">
        <v>162.66999999999999</v>
      </c>
      <c r="D68" t="s">
        <v>6961</v>
      </c>
      <c r="E68">
        <v>162.66999999999999</v>
      </c>
      <c r="F68" t="s">
        <v>6961</v>
      </c>
      <c r="G68" s="220">
        <f t="shared" si="2"/>
        <v>162.66999999999999</v>
      </c>
      <c r="H68" s="220">
        <f t="shared" si="3"/>
        <v>162.66999999999999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TIRR - 615610</v>
      </c>
      <c r="L68" s="44" t="str">
        <f>+VLOOKUP(K68,TL[],4,FALSE)</f>
        <v>16</v>
      </c>
    </row>
    <row r="69" spans="1:12" x14ac:dyDescent="0.2">
      <c r="A69" t="s">
        <v>1608</v>
      </c>
      <c r="B69" t="s">
        <v>211</v>
      </c>
      <c r="C69">
        <v>334</v>
      </c>
      <c r="D69" t="s">
        <v>6961</v>
      </c>
      <c r="E69">
        <v>334</v>
      </c>
      <c r="F69" t="s">
        <v>6961</v>
      </c>
      <c r="G69" s="220">
        <f t="shared" ref="G69:G132" si="6">SUM(C69)-SUM(D69)</f>
        <v>334</v>
      </c>
      <c r="H69" s="220">
        <f t="shared" ref="H69:H132" si="7">SUM(E69)-SUM(F69)</f>
        <v>334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TIRR - 615611</v>
      </c>
      <c r="L69" s="44" t="str">
        <f>+VLOOKUP(K69,TL[],4,FALSE)</f>
        <v>16</v>
      </c>
    </row>
    <row r="70" spans="1:12" x14ac:dyDescent="0.2">
      <c r="A70" t="s">
        <v>1635</v>
      </c>
      <c r="B70" t="s">
        <v>1185</v>
      </c>
      <c r="C70">
        <v>134</v>
      </c>
      <c r="D70" t="s">
        <v>6961</v>
      </c>
      <c r="E70">
        <v>134</v>
      </c>
      <c r="F70" t="s">
        <v>6961</v>
      </c>
      <c r="G70" s="220">
        <f t="shared" si="6"/>
        <v>134</v>
      </c>
      <c r="H70" s="220">
        <f t="shared" si="7"/>
        <v>134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TIRR - 615612</v>
      </c>
      <c r="L70" s="44" t="str">
        <f>+VLOOKUP(K70,TL[],4,FALSE)</f>
        <v>16</v>
      </c>
    </row>
    <row r="71" spans="1:12" x14ac:dyDescent="0.2">
      <c r="A71" t="s">
        <v>1617</v>
      </c>
      <c r="B71" t="s">
        <v>1186</v>
      </c>
      <c r="C71">
        <v>324</v>
      </c>
      <c r="D71" t="s">
        <v>6961</v>
      </c>
      <c r="E71">
        <v>324</v>
      </c>
      <c r="F71" t="s">
        <v>6961</v>
      </c>
      <c r="G71" s="220">
        <f t="shared" si="6"/>
        <v>324</v>
      </c>
      <c r="H71" s="220">
        <f t="shared" si="7"/>
        <v>324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TIRR - 615613</v>
      </c>
      <c r="L71" s="44" t="str">
        <f>+VLOOKUP(K71,TL[],4,FALSE)</f>
        <v>16</v>
      </c>
    </row>
    <row r="72" spans="1:12" x14ac:dyDescent="0.2">
      <c r="A72" t="s">
        <v>1620</v>
      </c>
      <c r="B72" t="s">
        <v>2380</v>
      </c>
      <c r="C72">
        <v>485</v>
      </c>
      <c r="D72" t="s">
        <v>6961</v>
      </c>
      <c r="E72">
        <v>485</v>
      </c>
      <c r="F72" t="s">
        <v>6961</v>
      </c>
      <c r="G72" s="220">
        <f t="shared" si="6"/>
        <v>485</v>
      </c>
      <c r="H72" s="220">
        <f t="shared" si="7"/>
        <v>485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TIRR - 615614</v>
      </c>
      <c r="L72" s="44" t="str">
        <f>+VLOOKUP(K72,TL[],4,FALSE)</f>
        <v>16</v>
      </c>
    </row>
    <row r="73" spans="1:12" x14ac:dyDescent="0.2">
      <c r="A73" t="s">
        <v>1936</v>
      </c>
      <c r="B73" t="s">
        <v>2358</v>
      </c>
      <c r="C73">
        <v>61.5</v>
      </c>
      <c r="D73" t="s">
        <v>6961</v>
      </c>
      <c r="E73">
        <v>61.5</v>
      </c>
      <c r="F73" t="s">
        <v>6961</v>
      </c>
      <c r="G73" s="220">
        <f t="shared" si="6"/>
        <v>61.5</v>
      </c>
      <c r="H73" s="220">
        <f t="shared" si="7"/>
        <v>61.5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TIRR - 615619</v>
      </c>
      <c r="L73" s="44" t="str">
        <f>+VLOOKUP(K73,TL[],4,FALSE)</f>
        <v>16</v>
      </c>
    </row>
    <row r="74" spans="1:12" x14ac:dyDescent="0.2">
      <c r="A74" t="s">
        <v>1583</v>
      </c>
      <c r="B74" t="s">
        <v>7066</v>
      </c>
      <c r="C74">
        <v>46.67</v>
      </c>
      <c r="D74" t="s">
        <v>6961</v>
      </c>
      <c r="E74">
        <v>46.67</v>
      </c>
      <c r="F74" t="s">
        <v>6961</v>
      </c>
      <c r="G74" s="220">
        <f t="shared" si="6"/>
        <v>46.67</v>
      </c>
      <c r="H74" s="220">
        <f t="shared" si="7"/>
        <v>46.67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TIRR - 615620</v>
      </c>
      <c r="L74" s="44" t="str">
        <f>+VLOOKUP(K74,TL[],4,FALSE)</f>
        <v>16</v>
      </c>
    </row>
    <row r="75" spans="1:12" x14ac:dyDescent="0.2">
      <c r="A75" t="s">
        <v>1595</v>
      </c>
      <c r="B75" t="s">
        <v>2381</v>
      </c>
      <c r="C75">
        <v>20</v>
      </c>
      <c r="D75" t="s">
        <v>6961</v>
      </c>
      <c r="E75">
        <v>20</v>
      </c>
      <c r="F75" t="s">
        <v>6961</v>
      </c>
      <c r="G75" s="220">
        <f t="shared" si="6"/>
        <v>20</v>
      </c>
      <c r="H75" s="220">
        <f t="shared" si="7"/>
        <v>20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TIRR - 615621</v>
      </c>
      <c r="L75" s="44" t="str">
        <f>+VLOOKUP(K75,TL[],4,FALSE)</f>
        <v>16</v>
      </c>
    </row>
    <row r="76" spans="1:12" x14ac:dyDescent="0.2">
      <c r="A76" t="s">
        <v>1626</v>
      </c>
      <c r="B76" t="s">
        <v>7069</v>
      </c>
      <c r="C76">
        <v>668.42</v>
      </c>
      <c r="D76" t="s">
        <v>6961</v>
      </c>
      <c r="E76">
        <v>668.42</v>
      </c>
      <c r="F76" t="s">
        <v>6961</v>
      </c>
      <c r="G76" s="220">
        <f t="shared" si="6"/>
        <v>668.42</v>
      </c>
      <c r="H76" s="220">
        <f t="shared" si="7"/>
        <v>668.42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TIRR - 615623</v>
      </c>
      <c r="L76" s="44" t="str">
        <f>+VLOOKUP(K76,TL[],4,FALSE)</f>
        <v>16</v>
      </c>
    </row>
    <row r="77" spans="1:12" x14ac:dyDescent="0.2">
      <c r="A77" t="s">
        <v>1939</v>
      </c>
      <c r="B77" t="s">
        <v>7129</v>
      </c>
      <c r="C77">
        <v>233.4</v>
      </c>
      <c r="D77" t="s">
        <v>6961</v>
      </c>
      <c r="E77">
        <v>233.4</v>
      </c>
      <c r="F77" t="s">
        <v>6961</v>
      </c>
      <c r="G77" s="220">
        <f t="shared" si="6"/>
        <v>233.4</v>
      </c>
      <c r="H77" s="220">
        <f t="shared" si="7"/>
        <v>233.4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TIRR - 615629</v>
      </c>
      <c r="L77" s="44" t="e">
        <f>+VLOOKUP(K77,TL[],4,FALSE)</f>
        <v>#N/A</v>
      </c>
    </row>
    <row r="78" spans="1:12" x14ac:dyDescent="0.2">
      <c r="A78" t="s">
        <v>1597</v>
      </c>
      <c r="B78" t="s">
        <v>259</v>
      </c>
      <c r="C78">
        <v>120.83</v>
      </c>
      <c r="D78" t="s">
        <v>6961</v>
      </c>
      <c r="E78">
        <v>120.83</v>
      </c>
      <c r="F78" t="s">
        <v>6961</v>
      </c>
      <c r="G78" s="220">
        <f t="shared" si="6"/>
        <v>120.83</v>
      </c>
      <c r="H78" s="220">
        <f t="shared" si="7"/>
        <v>120.83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TIRR - 615630</v>
      </c>
      <c r="L78" s="44" t="str">
        <f>+VLOOKUP(K78,TL[],4,FALSE)</f>
        <v>16</v>
      </c>
    </row>
    <row r="79" spans="1:12" x14ac:dyDescent="0.2">
      <c r="A79" t="s">
        <v>1613</v>
      </c>
      <c r="B79" t="s">
        <v>234</v>
      </c>
      <c r="C79">
        <v>27.5</v>
      </c>
      <c r="D79" t="s">
        <v>6961</v>
      </c>
      <c r="E79">
        <v>27.5</v>
      </c>
      <c r="F79" t="s">
        <v>6961</v>
      </c>
      <c r="G79" s="220">
        <f t="shared" si="6"/>
        <v>27.5</v>
      </c>
      <c r="H79" s="220">
        <f t="shared" si="7"/>
        <v>27.5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TIRR - 615632</v>
      </c>
      <c r="L79" s="44" t="str">
        <f>+VLOOKUP(K79,TL[],4,FALSE)</f>
        <v>16</v>
      </c>
    </row>
    <row r="80" spans="1:12" x14ac:dyDescent="0.2">
      <c r="A80" t="s">
        <v>1771</v>
      </c>
      <c r="B80" t="s">
        <v>6315</v>
      </c>
      <c r="C80">
        <v>165</v>
      </c>
      <c r="D80" t="s">
        <v>6961</v>
      </c>
      <c r="E80">
        <v>165</v>
      </c>
      <c r="F80" t="s">
        <v>6961</v>
      </c>
      <c r="G80" s="220">
        <f t="shared" si="6"/>
        <v>165</v>
      </c>
      <c r="H80" s="220">
        <f t="shared" si="7"/>
        <v>165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TIRR - 615633</v>
      </c>
      <c r="L80" s="44" t="str">
        <f>+VLOOKUP(K80,TL[],4,FALSE)</f>
        <v>16</v>
      </c>
    </row>
    <row r="81" spans="1:12" x14ac:dyDescent="0.2">
      <c r="A81" t="s">
        <v>1795</v>
      </c>
      <c r="B81" t="s">
        <v>233</v>
      </c>
      <c r="C81">
        <v>67.2</v>
      </c>
      <c r="D81" t="s">
        <v>6961</v>
      </c>
      <c r="E81">
        <v>67.2</v>
      </c>
      <c r="F81" t="s">
        <v>6961</v>
      </c>
      <c r="G81" s="220">
        <f t="shared" si="6"/>
        <v>67.2</v>
      </c>
      <c r="H81" s="220">
        <f t="shared" si="7"/>
        <v>67.2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TIRR - 615634</v>
      </c>
      <c r="L81" s="44" t="str">
        <f>+VLOOKUP(K81,TL[],4,FALSE)</f>
        <v>16</v>
      </c>
    </row>
    <row r="82" spans="1:12" x14ac:dyDescent="0.2">
      <c r="A82" t="s">
        <v>1592</v>
      </c>
      <c r="B82" t="s">
        <v>2353</v>
      </c>
      <c r="C82">
        <v>61.37</v>
      </c>
      <c r="D82" t="s">
        <v>6961</v>
      </c>
      <c r="E82">
        <v>61.37</v>
      </c>
      <c r="F82" t="s">
        <v>6961</v>
      </c>
      <c r="G82" s="220">
        <f t="shared" si="6"/>
        <v>61.37</v>
      </c>
      <c r="H82" s="220">
        <f t="shared" si="7"/>
        <v>61.37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TIRR - 615639</v>
      </c>
      <c r="L82" s="44" t="str">
        <f>+VLOOKUP(K82,TL[],4,FALSE)</f>
        <v>16</v>
      </c>
    </row>
    <row r="83" spans="1:12" x14ac:dyDescent="0.2">
      <c r="A83" t="s">
        <v>2749</v>
      </c>
      <c r="B83" t="s">
        <v>2348</v>
      </c>
      <c r="C83">
        <v>1450</v>
      </c>
      <c r="D83" t="s">
        <v>6961</v>
      </c>
      <c r="E83">
        <v>1450</v>
      </c>
      <c r="F83" t="s">
        <v>6961</v>
      </c>
      <c r="G83" s="220">
        <f t="shared" si="6"/>
        <v>1450</v>
      </c>
      <c r="H83" s="220">
        <f t="shared" si="7"/>
        <v>1450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TIRR - 615649</v>
      </c>
      <c r="L83" s="44" t="str">
        <f>+VLOOKUP(K83,TL[],4,FALSE)</f>
        <v>16</v>
      </c>
    </row>
    <row r="84" spans="1:12" x14ac:dyDescent="0.2">
      <c r="A84" t="s">
        <v>2750</v>
      </c>
      <c r="B84" t="s">
        <v>229</v>
      </c>
      <c r="C84">
        <v>370</v>
      </c>
      <c r="D84" t="s">
        <v>6961</v>
      </c>
      <c r="E84">
        <v>370</v>
      </c>
      <c r="F84" t="s">
        <v>6961</v>
      </c>
      <c r="G84" s="220">
        <f t="shared" si="6"/>
        <v>370</v>
      </c>
      <c r="H84" s="220">
        <f t="shared" si="7"/>
        <v>370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TIRR - 615650</v>
      </c>
      <c r="L84" s="44" t="str">
        <f>+VLOOKUP(K84,TL[],4,FALSE)</f>
        <v>16</v>
      </c>
    </row>
    <row r="85" spans="1:12" x14ac:dyDescent="0.2">
      <c r="A85" t="s">
        <v>2556</v>
      </c>
      <c r="B85" t="s">
        <v>2240</v>
      </c>
      <c r="C85">
        <v>154</v>
      </c>
      <c r="D85" t="s">
        <v>6961</v>
      </c>
      <c r="E85">
        <v>154</v>
      </c>
      <c r="F85" t="s">
        <v>6961</v>
      </c>
      <c r="G85" s="220">
        <f t="shared" si="6"/>
        <v>154</v>
      </c>
      <c r="H85" s="220">
        <f t="shared" si="7"/>
        <v>154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TIRR - 615651</v>
      </c>
      <c r="L85" s="44" t="str">
        <f>+VLOOKUP(K85,TL[],4,FALSE)</f>
        <v>16</v>
      </c>
    </row>
    <row r="86" spans="1:12" x14ac:dyDescent="0.2">
      <c r="A86" t="s">
        <v>2560</v>
      </c>
      <c r="B86" t="s">
        <v>2241</v>
      </c>
      <c r="C86">
        <v>102.33</v>
      </c>
      <c r="D86" t="s">
        <v>6961</v>
      </c>
      <c r="E86">
        <v>102.33</v>
      </c>
      <c r="F86" t="s">
        <v>6961</v>
      </c>
      <c r="G86" s="220">
        <f t="shared" si="6"/>
        <v>102.33</v>
      </c>
      <c r="H86" s="220">
        <f t="shared" si="7"/>
        <v>102.33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TIRR - 615655</v>
      </c>
      <c r="L86" s="44" t="str">
        <f>+VLOOKUP(K86,TL[],4,FALSE)</f>
        <v>16</v>
      </c>
    </row>
    <row r="87" spans="1:12" x14ac:dyDescent="0.2">
      <c r="A87" t="s">
        <v>2565</v>
      </c>
      <c r="B87" t="s">
        <v>1486</v>
      </c>
      <c r="C87">
        <v>82.08</v>
      </c>
      <c r="D87" t="s">
        <v>6961</v>
      </c>
      <c r="E87">
        <v>82.08</v>
      </c>
      <c r="F87" t="s">
        <v>6961</v>
      </c>
      <c r="G87" s="220">
        <f t="shared" si="6"/>
        <v>82.08</v>
      </c>
      <c r="H87" s="220">
        <f t="shared" si="7"/>
        <v>82.08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TIRR - 615660</v>
      </c>
      <c r="L87" s="44" t="str">
        <f>+VLOOKUP(K87,TL[],4,FALSE)</f>
        <v>16</v>
      </c>
    </row>
    <row r="88" spans="1:12" x14ac:dyDescent="0.2">
      <c r="A88" t="s">
        <v>2752</v>
      </c>
      <c r="B88" t="s">
        <v>1482</v>
      </c>
      <c r="C88">
        <v>19</v>
      </c>
      <c r="D88" t="s">
        <v>6961</v>
      </c>
      <c r="E88">
        <v>19</v>
      </c>
      <c r="F88" t="s">
        <v>6961</v>
      </c>
      <c r="G88" s="220">
        <f t="shared" si="6"/>
        <v>19</v>
      </c>
      <c r="H88" s="220">
        <f t="shared" si="7"/>
        <v>19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TIRR - 615661</v>
      </c>
      <c r="L88" s="44" t="str">
        <f>+VLOOKUP(K88,TL[],4,FALSE)</f>
        <v>16</v>
      </c>
    </row>
    <row r="89" spans="1:12" x14ac:dyDescent="0.2">
      <c r="A89" t="s">
        <v>2566</v>
      </c>
      <c r="B89" t="s">
        <v>2242</v>
      </c>
      <c r="C89">
        <v>224.86</v>
      </c>
      <c r="D89" t="s">
        <v>6961</v>
      </c>
      <c r="E89">
        <v>224.86</v>
      </c>
      <c r="F89" t="s">
        <v>6961</v>
      </c>
      <c r="G89" s="220">
        <f t="shared" si="6"/>
        <v>224.86</v>
      </c>
      <c r="H89" s="220">
        <f t="shared" si="7"/>
        <v>224.86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TIRR - 615662</v>
      </c>
      <c r="L89" s="44" t="str">
        <f>+VLOOKUP(K89,TL[],4,FALSE)</f>
        <v>16</v>
      </c>
    </row>
    <row r="90" spans="1:12" x14ac:dyDescent="0.2">
      <c r="A90" t="s">
        <v>2754</v>
      </c>
      <c r="B90" t="s">
        <v>1547</v>
      </c>
      <c r="C90">
        <v>73.17</v>
      </c>
      <c r="D90" t="s">
        <v>6961</v>
      </c>
      <c r="E90">
        <v>73.17</v>
      </c>
      <c r="F90" t="s">
        <v>6961</v>
      </c>
      <c r="G90" s="220">
        <f t="shared" si="6"/>
        <v>73.17</v>
      </c>
      <c r="H90" s="220">
        <f t="shared" si="7"/>
        <v>73.17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TIRR - 615664</v>
      </c>
      <c r="L90" s="44" t="str">
        <f>+VLOOKUP(K90,TL[],4,FALSE)</f>
        <v>16</v>
      </c>
    </row>
    <row r="91" spans="1:12" x14ac:dyDescent="0.2">
      <c r="A91" t="s">
        <v>2755</v>
      </c>
      <c r="B91" t="s">
        <v>2756</v>
      </c>
      <c r="C91">
        <v>168</v>
      </c>
      <c r="D91" t="s">
        <v>6961</v>
      </c>
      <c r="E91">
        <v>168</v>
      </c>
      <c r="F91" t="s">
        <v>6961</v>
      </c>
      <c r="G91" s="220">
        <f t="shared" si="6"/>
        <v>168</v>
      </c>
      <c r="H91" s="220">
        <f t="shared" si="7"/>
        <v>168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TIRR - 615665</v>
      </c>
      <c r="L91" s="44" t="str">
        <f>+VLOOKUP(K91,TL[],4,FALSE)</f>
        <v>16</v>
      </c>
    </row>
    <row r="92" spans="1:12" x14ac:dyDescent="0.2">
      <c r="A92" t="s">
        <v>7107</v>
      </c>
      <c r="B92" t="s">
        <v>7092</v>
      </c>
      <c r="C92">
        <v>76.7</v>
      </c>
      <c r="D92" t="s">
        <v>6961</v>
      </c>
      <c r="E92">
        <v>76.7</v>
      </c>
      <c r="F92" t="s">
        <v>6961</v>
      </c>
      <c r="G92" s="220">
        <f t="shared" si="6"/>
        <v>76.7</v>
      </c>
      <c r="H92" s="220">
        <f t="shared" si="7"/>
        <v>76.7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TIRR - 615668</v>
      </c>
      <c r="L92" s="44" t="e">
        <f>+VLOOKUP(K92,TL[],4,FALSE)</f>
        <v>#N/A</v>
      </c>
    </row>
    <row r="93" spans="1:12" x14ac:dyDescent="0.2">
      <c r="A93" t="s">
        <v>7120</v>
      </c>
      <c r="B93" t="s">
        <v>7121</v>
      </c>
      <c r="C93">
        <v>12.36</v>
      </c>
      <c r="D93" t="s">
        <v>6961</v>
      </c>
      <c r="E93">
        <v>12.36</v>
      </c>
      <c r="F93" t="s">
        <v>6961</v>
      </c>
      <c r="G93" s="220">
        <f t="shared" si="6"/>
        <v>12.36</v>
      </c>
      <c r="H93" s="220">
        <f t="shared" si="7"/>
        <v>12.36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TIRR - 626300</v>
      </c>
      <c r="L93" s="44" t="e">
        <f>+VLOOKUP(K93,TL[],4,FALSE)</f>
        <v>#N/A</v>
      </c>
    </row>
    <row r="94" spans="1:12" x14ac:dyDescent="0.2">
      <c r="A94" t="s">
        <v>2759</v>
      </c>
      <c r="B94" t="s">
        <v>2359</v>
      </c>
      <c r="C94">
        <v>310</v>
      </c>
      <c r="D94" t="s">
        <v>6961</v>
      </c>
      <c r="E94">
        <v>310</v>
      </c>
      <c r="F94" t="s">
        <v>6961</v>
      </c>
      <c r="G94" s="220">
        <f t="shared" si="6"/>
        <v>310</v>
      </c>
      <c r="H94" s="220">
        <f t="shared" si="7"/>
        <v>310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TIRR - 647516</v>
      </c>
      <c r="L94" s="44" t="str">
        <f>+VLOOKUP(K94,TL[],4,FALSE)</f>
        <v>16</v>
      </c>
    </row>
    <row r="95" spans="1:12" x14ac:dyDescent="0.2">
      <c r="A95" t="s">
        <v>1796</v>
      </c>
      <c r="B95" t="s">
        <v>7130</v>
      </c>
      <c r="C95">
        <v>111.29</v>
      </c>
      <c r="D95" t="s">
        <v>6961</v>
      </c>
      <c r="E95">
        <v>111.29</v>
      </c>
      <c r="F95" t="s">
        <v>6961</v>
      </c>
      <c r="G95" s="220">
        <f t="shared" si="6"/>
        <v>111.29</v>
      </c>
      <c r="H95" s="220">
        <f t="shared" si="7"/>
        <v>111.29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TIRR - 651003</v>
      </c>
      <c r="L95" s="44" t="str">
        <f>+VLOOKUP(K95,TL[],4,FALSE)</f>
        <v>16</v>
      </c>
    </row>
    <row r="96" spans="1:12" x14ac:dyDescent="0.2">
      <c r="A96" t="s">
        <v>7123</v>
      </c>
      <c r="B96" t="s">
        <v>7131</v>
      </c>
      <c r="C96">
        <v>267.55</v>
      </c>
      <c r="D96" t="s">
        <v>6961</v>
      </c>
      <c r="E96">
        <v>267.55</v>
      </c>
      <c r="F96" t="s">
        <v>6961</v>
      </c>
      <c r="G96" s="220">
        <f t="shared" si="6"/>
        <v>267.55</v>
      </c>
      <c r="H96" s="220">
        <f t="shared" si="7"/>
        <v>267.55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TIRR - 651700</v>
      </c>
      <c r="L96" s="44" t="e">
        <f>+VLOOKUP(K96,TL[],4,FALSE)</f>
        <v>#N/A</v>
      </c>
    </row>
    <row r="97" spans="1:12" x14ac:dyDescent="0.2">
      <c r="A97" t="s">
        <v>3339</v>
      </c>
      <c r="B97" t="s">
        <v>3340</v>
      </c>
      <c r="C97">
        <v>1</v>
      </c>
      <c r="D97" t="s">
        <v>6961</v>
      </c>
      <c r="E97">
        <v>1</v>
      </c>
      <c r="F97" t="s">
        <v>6961</v>
      </c>
      <c r="G97" s="220">
        <f t="shared" si="6"/>
        <v>1</v>
      </c>
      <c r="H97" s="220">
        <f t="shared" si="7"/>
        <v>1</v>
      </c>
      <c r="I97" s="221">
        <f>IF(A97="Total",VLOOKUP(B97,CORRESPONDANCE[#All],2,FALSE),I98)</f>
        <v>19</v>
      </c>
      <c r="J97" s="222" t="str">
        <f t="shared" si="4"/>
        <v>7</v>
      </c>
      <c r="K97" s="44" t="str">
        <f t="shared" si="5"/>
        <v>TIRR - 703100</v>
      </c>
      <c r="L97" s="44" t="str">
        <f>+VLOOKUP(K97,TL[],4,FALSE)</f>
        <v>06</v>
      </c>
    </row>
    <row r="98" spans="1:12" x14ac:dyDescent="0.2">
      <c r="A98" t="s">
        <v>197</v>
      </c>
      <c r="B98" t="s">
        <v>2567</v>
      </c>
      <c r="C98">
        <v>6753.49</v>
      </c>
      <c r="D98" t="s">
        <v>6961</v>
      </c>
      <c r="E98">
        <v>6753.49</v>
      </c>
      <c r="F98" t="s">
        <v>6961</v>
      </c>
      <c r="G98" s="220">
        <f t="shared" si="6"/>
        <v>6753.49</v>
      </c>
      <c r="H98" s="220">
        <f t="shared" si="7"/>
        <v>6753.49</v>
      </c>
      <c r="I98" s="221">
        <f>IF(A98="Total",VLOOKUP(B98,CORRESPONDANCE[#All],2,FALSE),I99)</f>
        <v>19</v>
      </c>
      <c r="J98" s="222" t="str">
        <f t="shared" si="4"/>
        <v>T</v>
      </c>
      <c r="K98" s="44" t="str">
        <f t="shared" si="5"/>
        <v>TIRR - Total</v>
      </c>
      <c r="L98" s="44" t="e">
        <f>+VLOOKUP(K98,TL[],4,FALSE)</f>
        <v>#N/A</v>
      </c>
    </row>
    <row r="99" spans="1:12" x14ac:dyDescent="0.2">
      <c r="A99" t="s">
        <v>1738</v>
      </c>
      <c r="B99" t="s">
        <v>2364</v>
      </c>
      <c r="C99">
        <v>6100.67</v>
      </c>
      <c r="D99" t="s">
        <v>6961</v>
      </c>
      <c r="E99">
        <v>6100.67</v>
      </c>
      <c r="F99" t="s">
        <v>6961</v>
      </c>
      <c r="G99" s="220">
        <f t="shared" si="6"/>
        <v>6100.67</v>
      </c>
      <c r="H99" s="220">
        <f t="shared" si="7"/>
        <v>6100.67</v>
      </c>
      <c r="I99" s="221">
        <f>IF(A99="Total",VLOOKUP(B99,CORRESPONDANCE[#All],2,FALSE),I100)</f>
        <v>21</v>
      </c>
      <c r="J99" s="222" t="str">
        <f t="shared" si="4"/>
        <v>6</v>
      </c>
      <c r="K99" s="44" t="str">
        <f t="shared" si="5"/>
        <v>TIRR - 622800</v>
      </c>
      <c r="L99" s="44" t="str">
        <f>+VLOOKUP(K99,TL[],4,FALSE)</f>
        <v>39</v>
      </c>
    </row>
    <row r="100" spans="1:12" x14ac:dyDescent="0.2">
      <c r="A100" t="s">
        <v>2760</v>
      </c>
      <c r="B100" t="s">
        <v>2363</v>
      </c>
      <c r="C100">
        <v>273.31</v>
      </c>
      <c r="D100" t="s">
        <v>6961</v>
      </c>
      <c r="E100">
        <v>273.31</v>
      </c>
      <c r="F100" t="s">
        <v>6961</v>
      </c>
      <c r="G100" s="220">
        <f t="shared" si="6"/>
        <v>273.31</v>
      </c>
      <c r="H100" s="220">
        <f t="shared" si="7"/>
        <v>273.31</v>
      </c>
      <c r="I100" s="221">
        <f>IF(A100="Total",VLOOKUP(B100,CORRESPONDANCE[#All],2,FALSE),I101)</f>
        <v>21</v>
      </c>
      <c r="J100" s="222" t="str">
        <f t="shared" si="4"/>
        <v>6</v>
      </c>
      <c r="K100" s="44" t="str">
        <f t="shared" si="5"/>
        <v>TIRR - 622810</v>
      </c>
      <c r="L100" s="44" t="str">
        <f>+VLOOKUP(K100,TL[],4,FALSE)</f>
        <v>39</v>
      </c>
    </row>
    <row r="101" spans="1:12" x14ac:dyDescent="0.2">
      <c r="A101" t="s">
        <v>197</v>
      </c>
      <c r="B101" t="s">
        <v>2568</v>
      </c>
      <c r="C101">
        <v>6373.98</v>
      </c>
      <c r="D101" t="s">
        <v>6961</v>
      </c>
      <c r="E101">
        <v>6373.98</v>
      </c>
      <c r="F101" t="s">
        <v>6961</v>
      </c>
      <c r="G101" s="220">
        <f t="shared" si="6"/>
        <v>6373.98</v>
      </c>
      <c r="H101" s="220">
        <f t="shared" si="7"/>
        <v>6373.98</v>
      </c>
      <c r="I101" s="221">
        <f>IF(A101="Total",VLOOKUP(B101,CORRESPONDANCE[#All],2,FALSE),I102)</f>
        <v>21</v>
      </c>
      <c r="J101" s="222" t="str">
        <f t="shared" si="4"/>
        <v>T</v>
      </c>
      <c r="K101" s="44" t="str">
        <f t="shared" si="5"/>
        <v>TIRR - Total</v>
      </c>
      <c r="L101" s="44" t="e">
        <f>+VLOOKUP(K101,TL[],4,FALSE)</f>
        <v>#N/A</v>
      </c>
    </row>
    <row r="102" spans="1:12" x14ac:dyDescent="0.2">
      <c r="A102" t="s">
        <v>1594</v>
      </c>
      <c r="B102" t="s">
        <v>2352</v>
      </c>
      <c r="C102">
        <v>10534.83</v>
      </c>
      <c r="D102" t="s">
        <v>6961</v>
      </c>
      <c r="E102">
        <v>10534.83</v>
      </c>
      <c r="F102" t="s">
        <v>6961</v>
      </c>
      <c r="G102" s="220">
        <f t="shared" si="6"/>
        <v>10534.83</v>
      </c>
      <c r="H102" s="220">
        <f t="shared" si="7"/>
        <v>10534.83</v>
      </c>
      <c r="I102" s="221">
        <f>IF(A102="Total",VLOOKUP(B102,CORRESPONDANCE[#All],2,FALSE),I103)</f>
        <v>22</v>
      </c>
      <c r="J102" s="222" t="str">
        <f t="shared" si="4"/>
        <v>6</v>
      </c>
      <c r="K102" s="44" t="str">
        <f t="shared" si="5"/>
        <v>TIRR - 623000</v>
      </c>
      <c r="L102" s="44" t="str">
        <f>+VLOOKUP(K102,TL[],4,FALSE)</f>
        <v>14</v>
      </c>
    </row>
    <row r="103" spans="1:12" x14ac:dyDescent="0.2">
      <c r="A103" t="s">
        <v>197</v>
      </c>
      <c r="B103" t="s">
        <v>2569</v>
      </c>
      <c r="C103">
        <v>10534.83</v>
      </c>
      <c r="D103" t="s">
        <v>6961</v>
      </c>
      <c r="E103">
        <v>10534.83</v>
      </c>
      <c r="F103" t="s">
        <v>6961</v>
      </c>
      <c r="G103" s="220">
        <f t="shared" si="6"/>
        <v>10534.83</v>
      </c>
      <c r="H103" s="220">
        <f t="shared" si="7"/>
        <v>10534.83</v>
      </c>
      <c r="I103" s="221">
        <f>IF(A103="Total",VLOOKUP(B103,CORRESPONDANCE[#All],2,FALSE),I104)</f>
        <v>22</v>
      </c>
      <c r="J103" s="222" t="str">
        <f t="shared" si="4"/>
        <v>T</v>
      </c>
      <c r="K103" s="44" t="str">
        <f t="shared" si="5"/>
        <v>TIRR - Total</v>
      </c>
      <c r="L103" s="44" t="e">
        <f>+VLOOKUP(K103,TL[],4,FALSE)</f>
        <v>#N/A</v>
      </c>
    </row>
    <row r="104" spans="1:12" x14ac:dyDescent="0.2">
      <c r="A104" t="s">
        <v>1596</v>
      </c>
      <c r="B104" t="s">
        <v>215</v>
      </c>
      <c r="C104">
        <v>2700</v>
      </c>
      <c r="D104" t="s">
        <v>6961</v>
      </c>
      <c r="E104">
        <v>2700</v>
      </c>
      <c r="F104" t="s">
        <v>6961</v>
      </c>
      <c r="G104" s="220">
        <f t="shared" si="6"/>
        <v>2700</v>
      </c>
      <c r="H104" s="220">
        <f t="shared" si="7"/>
        <v>2700</v>
      </c>
      <c r="I104" s="221">
        <f>IF(A104="Total",VLOOKUP(B104,CORRESPONDANCE[#All],2,FALSE),I105)</f>
        <v>23</v>
      </c>
      <c r="J104" s="222" t="str">
        <f t="shared" si="4"/>
        <v>6</v>
      </c>
      <c r="K104" s="44" t="str">
        <f t="shared" si="5"/>
        <v>TIRR - 623002</v>
      </c>
      <c r="L104" s="44" t="str">
        <f>+VLOOKUP(K104,TL[],4,FALSE)</f>
        <v>15</v>
      </c>
    </row>
    <row r="105" spans="1:12" x14ac:dyDescent="0.2">
      <c r="A105" t="s">
        <v>1788</v>
      </c>
      <c r="B105" t="s">
        <v>226</v>
      </c>
      <c r="C105">
        <v>2239.11</v>
      </c>
      <c r="D105" t="s">
        <v>6961</v>
      </c>
      <c r="E105">
        <v>2239.11</v>
      </c>
      <c r="F105" t="s">
        <v>6961</v>
      </c>
      <c r="G105" s="220">
        <f t="shared" si="6"/>
        <v>2239.11</v>
      </c>
      <c r="H105" s="220">
        <f t="shared" si="7"/>
        <v>2239.11</v>
      </c>
      <c r="I105" s="221">
        <f>IF(A105="Total",VLOOKUP(B105,CORRESPONDANCE[#All],2,FALSE),I106)</f>
        <v>23</v>
      </c>
      <c r="J105" s="222" t="str">
        <f t="shared" si="4"/>
        <v>6</v>
      </c>
      <c r="K105" s="44" t="str">
        <f t="shared" si="5"/>
        <v>TIRR - 623401</v>
      </c>
      <c r="L105" s="44" t="str">
        <f>+VLOOKUP(K105,TL[],4,FALSE)</f>
        <v>15</v>
      </c>
    </row>
    <row r="106" spans="1:12" x14ac:dyDescent="0.2">
      <c r="A106" t="s">
        <v>1633</v>
      </c>
      <c r="B106" t="s">
        <v>254</v>
      </c>
      <c r="C106">
        <v>977.23</v>
      </c>
      <c r="D106" t="s">
        <v>6961</v>
      </c>
      <c r="E106">
        <v>977.23</v>
      </c>
      <c r="F106" t="s">
        <v>6961</v>
      </c>
      <c r="G106" s="220">
        <f t="shared" si="6"/>
        <v>977.23</v>
      </c>
      <c r="H106" s="220">
        <f t="shared" si="7"/>
        <v>977.23</v>
      </c>
      <c r="I106" s="221">
        <f>IF(A106="Total",VLOOKUP(B106,CORRESPONDANCE[#All],2,FALSE),I107)</f>
        <v>23</v>
      </c>
      <c r="J106" s="222" t="str">
        <f t="shared" si="4"/>
        <v>6</v>
      </c>
      <c r="K106" s="44" t="str">
        <f t="shared" si="5"/>
        <v>TIRR - 623415</v>
      </c>
      <c r="L106" s="44" t="str">
        <f>+VLOOKUP(K106,TL[],4,FALSE)</f>
        <v>15</v>
      </c>
    </row>
    <row r="107" spans="1:12" x14ac:dyDescent="0.2">
      <c r="A107" t="s">
        <v>7046</v>
      </c>
      <c r="B107" t="s">
        <v>7047</v>
      </c>
      <c r="C107" t="s">
        <v>6961</v>
      </c>
      <c r="D107" t="s">
        <v>6961</v>
      </c>
      <c r="E107" t="s">
        <v>6961</v>
      </c>
      <c r="F107" t="s">
        <v>6961</v>
      </c>
      <c r="G107" s="220">
        <f t="shared" si="6"/>
        <v>0</v>
      </c>
      <c r="H107" s="220">
        <f t="shared" si="7"/>
        <v>0</v>
      </c>
      <c r="I107" s="221">
        <f>IF(A107="Total",VLOOKUP(B107,CORRESPONDANCE[#All],2,FALSE),I108)</f>
        <v>23</v>
      </c>
      <c r="J107" s="222" t="str">
        <f t="shared" si="4"/>
        <v>7</v>
      </c>
      <c r="K107" s="44" t="str">
        <f t="shared" si="5"/>
        <v>TIRR - 708610</v>
      </c>
      <c r="L107" s="44" t="e">
        <f>+VLOOKUP(K107,TL[],4,FALSE)</f>
        <v>#N/A</v>
      </c>
    </row>
    <row r="108" spans="1:12" x14ac:dyDescent="0.2">
      <c r="A108" t="s">
        <v>2608</v>
      </c>
      <c r="B108" t="s">
        <v>2395</v>
      </c>
      <c r="C108">
        <v>1</v>
      </c>
      <c r="D108" t="s">
        <v>6961</v>
      </c>
      <c r="E108">
        <v>1</v>
      </c>
      <c r="F108" t="s">
        <v>6961</v>
      </c>
      <c r="G108" s="220">
        <f t="shared" si="6"/>
        <v>1</v>
      </c>
      <c r="H108" s="220">
        <f t="shared" si="7"/>
        <v>1</v>
      </c>
      <c r="I108" s="221">
        <f>IF(A108="Total",VLOOKUP(B108,CORRESPONDANCE[#All],2,FALSE),I109)</f>
        <v>23</v>
      </c>
      <c r="J108" s="222" t="str">
        <f t="shared" si="4"/>
        <v>7</v>
      </c>
      <c r="K108" s="44" t="str">
        <f t="shared" si="5"/>
        <v>TIRR - 708880</v>
      </c>
      <c r="L108" s="44" t="str">
        <f>+VLOOKUP(K108,TL[],4,FALSE)</f>
        <v>39</v>
      </c>
    </row>
    <row r="109" spans="1:12" x14ac:dyDescent="0.2">
      <c r="A109" t="s">
        <v>197</v>
      </c>
      <c r="B109" t="s">
        <v>2572</v>
      </c>
      <c r="C109">
        <v>5917.34</v>
      </c>
      <c r="D109" t="s">
        <v>6961</v>
      </c>
      <c r="E109">
        <v>5917.34</v>
      </c>
      <c r="F109" t="s">
        <v>6961</v>
      </c>
      <c r="G109" s="220">
        <f t="shared" si="6"/>
        <v>5917.34</v>
      </c>
      <c r="H109" s="220">
        <f t="shared" si="7"/>
        <v>5917.34</v>
      </c>
      <c r="I109" s="221">
        <f>IF(A109="Total",VLOOKUP(B109,CORRESPONDANCE[#All],2,FALSE),I110)</f>
        <v>23</v>
      </c>
      <c r="J109" s="222" t="str">
        <f t="shared" si="4"/>
        <v>T</v>
      </c>
      <c r="K109" s="44" t="str">
        <f t="shared" si="5"/>
        <v>TIRR - Total</v>
      </c>
      <c r="L109" s="44" t="e">
        <f>+VLOOKUP(K109,TL[],4,FALSE)</f>
        <v>#N/A</v>
      </c>
    </row>
    <row r="110" spans="1:12" x14ac:dyDescent="0.2">
      <c r="A110" t="s">
        <v>2573</v>
      </c>
      <c r="B110" t="s">
        <v>2293</v>
      </c>
      <c r="C110">
        <v>670</v>
      </c>
      <c r="D110" t="s">
        <v>6961</v>
      </c>
      <c r="E110">
        <v>670</v>
      </c>
      <c r="F110" t="s">
        <v>6961</v>
      </c>
      <c r="G110" s="220">
        <f t="shared" si="6"/>
        <v>670</v>
      </c>
      <c r="H110" s="220">
        <f t="shared" si="7"/>
        <v>670</v>
      </c>
      <c r="I110" s="221">
        <f>IF(A110="Total",VLOOKUP(B110,CORRESPONDANCE[#All],2,FALSE),I111)</f>
        <v>24</v>
      </c>
      <c r="J110" s="222" t="str">
        <f t="shared" si="4"/>
        <v>6</v>
      </c>
      <c r="K110" s="44" t="str">
        <f t="shared" si="5"/>
        <v>TIRR - 606110</v>
      </c>
      <c r="L110" s="44" t="str">
        <f>+VLOOKUP(K110,TL[],4,FALSE)</f>
        <v>20</v>
      </c>
    </row>
    <row r="111" spans="1:12" x14ac:dyDescent="0.2">
      <c r="A111" t="s">
        <v>2574</v>
      </c>
      <c r="B111" t="s">
        <v>2372</v>
      </c>
      <c r="C111">
        <v>7590</v>
      </c>
      <c r="D111" t="s">
        <v>6961</v>
      </c>
      <c r="E111">
        <v>7590</v>
      </c>
      <c r="F111" t="s">
        <v>6961</v>
      </c>
      <c r="G111" s="220">
        <f t="shared" si="6"/>
        <v>7590</v>
      </c>
      <c r="H111" s="220">
        <f t="shared" si="7"/>
        <v>7590</v>
      </c>
      <c r="I111" s="221">
        <f>IF(A111="Total",VLOOKUP(B111,CORRESPONDANCE[#All],2,FALSE),I112)</f>
        <v>24</v>
      </c>
      <c r="J111" s="222" t="str">
        <f t="shared" si="4"/>
        <v>6</v>
      </c>
      <c r="K111" s="44" t="str">
        <f t="shared" si="5"/>
        <v>TIRR - 606120</v>
      </c>
      <c r="L111" s="44" t="str">
        <f>+VLOOKUP(K111,TL[],4,FALSE)</f>
        <v>20</v>
      </c>
    </row>
    <row r="112" spans="1:12" x14ac:dyDescent="0.2">
      <c r="A112" t="s">
        <v>1590</v>
      </c>
      <c r="B112" t="s">
        <v>2356</v>
      </c>
      <c r="C112">
        <v>300</v>
      </c>
      <c r="D112" t="s">
        <v>6961</v>
      </c>
      <c r="E112">
        <v>300</v>
      </c>
      <c r="F112" t="s">
        <v>6961</v>
      </c>
      <c r="G112" s="220">
        <f t="shared" si="6"/>
        <v>300</v>
      </c>
      <c r="H112" s="220">
        <f t="shared" si="7"/>
        <v>300</v>
      </c>
      <c r="I112" s="221">
        <f>IF(A112="Total",VLOOKUP(B112,CORRESPONDANCE[#All],2,FALSE),I113)</f>
        <v>24</v>
      </c>
      <c r="J112" s="222" t="str">
        <f t="shared" si="4"/>
        <v>6</v>
      </c>
      <c r="K112" s="44" t="str">
        <f t="shared" si="5"/>
        <v>TIRR - 626200</v>
      </c>
      <c r="L112" s="44" t="str">
        <f>+VLOOKUP(K112,TL[],4,FALSE)</f>
        <v>20</v>
      </c>
    </row>
    <row r="113" spans="1:12" x14ac:dyDescent="0.2">
      <c r="A113" t="s">
        <v>197</v>
      </c>
      <c r="B113" t="s">
        <v>2576</v>
      </c>
      <c r="C113">
        <v>8560</v>
      </c>
      <c r="D113" t="s">
        <v>6961</v>
      </c>
      <c r="E113">
        <v>8560</v>
      </c>
      <c r="F113" t="s">
        <v>6961</v>
      </c>
      <c r="G113" s="220">
        <f t="shared" si="6"/>
        <v>8560</v>
      </c>
      <c r="H113" s="220">
        <f t="shared" si="7"/>
        <v>8560</v>
      </c>
      <c r="I113" s="221">
        <f>IF(A113="Total",VLOOKUP(B113,CORRESPONDANCE[#All],2,FALSE),I114)</f>
        <v>24</v>
      </c>
      <c r="J113" s="222" t="str">
        <f t="shared" si="4"/>
        <v>T</v>
      </c>
      <c r="K113" s="44" t="str">
        <f t="shared" si="5"/>
        <v>TIRR - Total</v>
      </c>
      <c r="L113" s="44" t="e">
        <f>+VLOOKUP(K113,TL[],4,FALSE)</f>
        <v>#N/A</v>
      </c>
    </row>
    <row r="114" spans="1:12" x14ac:dyDescent="0.2">
      <c r="A114" t="s">
        <v>1634</v>
      </c>
      <c r="B114" t="s">
        <v>161</v>
      </c>
      <c r="C114">
        <v>87.96</v>
      </c>
      <c r="D114" t="s">
        <v>6961</v>
      </c>
      <c r="E114">
        <v>87.96</v>
      </c>
      <c r="F114" t="s">
        <v>6961</v>
      </c>
      <c r="G114" s="220">
        <f t="shared" si="6"/>
        <v>87.96</v>
      </c>
      <c r="H114" s="220">
        <f t="shared" si="7"/>
        <v>87.96</v>
      </c>
      <c r="I114" s="221">
        <f>IF(A114="Total",VLOOKUP(B114,CORRESPONDANCE[#All],2,FALSE),I115)</f>
        <v>25</v>
      </c>
      <c r="J114" s="222" t="str">
        <f t="shared" si="4"/>
        <v>6</v>
      </c>
      <c r="K114" s="44" t="str">
        <f t="shared" si="5"/>
        <v>TIRR - 602610</v>
      </c>
      <c r="L114" s="44" t="str">
        <f>+VLOOKUP(K114,TL[],4,FALSE)</f>
        <v>18</v>
      </c>
    </row>
    <row r="115" spans="1:12" x14ac:dyDescent="0.2">
      <c r="A115" t="s">
        <v>1616</v>
      </c>
      <c r="B115" t="s">
        <v>24</v>
      </c>
      <c r="C115">
        <v>1419.71</v>
      </c>
      <c r="D115" t="s">
        <v>6961</v>
      </c>
      <c r="E115">
        <v>1419.71</v>
      </c>
      <c r="F115" t="s">
        <v>6961</v>
      </c>
      <c r="G115" s="220">
        <f t="shared" si="6"/>
        <v>1419.71</v>
      </c>
      <c r="H115" s="220">
        <f t="shared" si="7"/>
        <v>1419.71</v>
      </c>
      <c r="I115" s="221">
        <f>IF(A115="Total",VLOOKUP(B115,CORRESPONDANCE[#All],2,FALSE),I116)</f>
        <v>25</v>
      </c>
      <c r="J115" s="222" t="str">
        <f t="shared" si="4"/>
        <v>6</v>
      </c>
      <c r="K115" s="44" t="str">
        <f t="shared" si="5"/>
        <v>TIRR - 606302</v>
      </c>
      <c r="L115" s="44" t="str">
        <f>+VLOOKUP(K115,TL[],4,FALSE)</f>
        <v>18</v>
      </c>
    </row>
    <row r="116" spans="1:12" x14ac:dyDescent="0.2">
      <c r="A116" t="s">
        <v>1612</v>
      </c>
      <c r="B116" t="s">
        <v>2374</v>
      </c>
      <c r="C116">
        <v>567.25</v>
      </c>
      <c r="D116" t="s">
        <v>6961</v>
      </c>
      <c r="E116">
        <v>567.25</v>
      </c>
      <c r="F116" t="s">
        <v>6961</v>
      </c>
      <c r="G116" s="220">
        <f t="shared" si="6"/>
        <v>567.25</v>
      </c>
      <c r="H116" s="220">
        <f t="shared" si="7"/>
        <v>567.25</v>
      </c>
      <c r="I116" s="221">
        <f>IF(A116="Total",VLOOKUP(B116,CORRESPONDANCE[#All],2,FALSE),I117)</f>
        <v>25</v>
      </c>
      <c r="J116" s="222" t="str">
        <f t="shared" si="4"/>
        <v>6</v>
      </c>
      <c r="K116" s="44" t="str">
        <f t="shared" si="5"/>
        <v>TIRR - 606401</v>
      </c>
      <c r="L116" s="44" t="str">
        <f>+VLOOKUP(K116,TL[],4,FALSE)</f>
        <v>21</v>
      </c>
    </row>
    <row r="117" spans="1:12" x14ac:dyDescent="0.2">
      <c r="A117" t="s">
        <v>197</v>
      </c>
      <c r="B117" t="s">
        <v>2578</v>
      </c>
      <c r="C117">
        <v>2074.92</v>
      </c>
      <c r="D117" t="s">
        <v>6961</v>
      </c>
      <c r="E117">
        <v>2074.92</v>
      </c>
      <c r="F117" t="s">
        <v>6961</v>
      </c>
      <c r="G117" s="220">
        <f t="shared" si="6"/>
        <v>2074.92</v>
      </c>
      <c r="H117" s="220">
        <f t="shared" si="7"/>
        <v>2074.92</v>
      </c>
      <c r="I117" s="221">
        <f>IF(A117="Total",VLOOKUP(B117,CORRESPONDANCE[#All],2,FALSE),I118)</f>
        <v>25</v>
      </c>
      <c r="J117" s="222" t="str">
        <f t="shared" si="4"/>
        <v>T</v>
      </c>
      <c r="K117" s="44" t="str">
        <f t="shared" si="5"/>
        <v>TIRR - Total</v>
      </c>
      <c r="L117" s="44" t="e">
        <f>+VLOOKUP(K117,TL[],4,FALSE)</f>
        <v>#N/A</v>
      </c>
    </row>
    <row r="118" spans="1:12" x14ac:dyDescent="0.2">
      <c r="A118" t="s">
        <v>5913</v>
      </c>
      <c r="B118" t="s">
        <v>6471</v>
      </c>
      <c r="C118">
        <v>10.92</v>
      </c>
      <c r="D118" t="s">
        <v>6961</v>
      </c>
      <c r="E118">
        <v>10.92</v>
      </c>
      <c r="F118" t="s">
        <v>6961</v>
      </c>
      <c r="G118" s="220">
        <f t="shared" si="6"/>
        <v>10.92</v>
      </c>
      <c r="H118" s="220">
        <f t="shared" si="7"/>
        <v>10.92</v>
      </c>
      <c r="I118" s="221">
        <f>IF(A118="Total",VLOOKUP(B118,CORRESPONDANCE[#All],2,FALSE),I119)</f>
        <v>26</v>
      </c>
      <c r="J118" s="222" t="str">
        <f t="shared" si="4"/>
        <v>6</v>
      </c>
      <c r="K118" s="44" t="str">
        <f t="shared" si="5"/>
        <v>TIRR - 625210</v>
      </c>
      <c r="L118" s="44" t="str">
        <f>+VLOOKUP(K118,TL[],4,FALSE)</f>
        <v>13</v>
      </c>
    </row>
    <row r="119" spans="1:12" x14ac:dyDescent="0.2">
      <c r="A119" t="s">
        <v>197</v>
      </c>
      <c r="B119" t="s">
        <v>2580</v>
      </c>
      <c r="C119">
        <v>10.92</v>
      </c>
      <c r="D119" t="s">
        <v>6961</v>
      </c>
      <c r="E119">
        <v>10.92</v>
      </c>
      <c r="F119" t="s">
        <v>6961</v>
      </c>
      <c r="G119" s="220">
        <f t="shared" si="6"/>
        <v>10.92</v>
      </c>
      <c r="H119" s="220">
        <f t="shared" si="7"/>
        <v>10.92</v>
      </c>
      <c r="I119" s="221">
        <f>IF(A119="Total",VLOOKUP(B119,CORRESPONDANCE[#All],2,FALSE),I120)</f>
        <v>26</v>
      </c>
      <c r="J119" s="222" t="str">
        <f t="shared" si="4"/>
        <v>T</v>
      </c>
      <c r="K119" s="44" t="str">
        <f t="shared" si="5"/>
        <v>TIRR - Total</v>
      </c>
      <c r="L119" s="44" t="e">
        <f>+VLOOKUP(K119,TL[],4,FALSE)</f>
        <v>#N/A</v>
      </c>
    </row>
    <row r="120" spans="1:12" x14ac:dyDescent="0.2">
      <c r="A120" t="s">
        <v>1609</v>
      </c>
      <c r="B120" t="s">
        <v>146</v>
      </c>
      <c r="C120">
        <v>49.37</v>
      </c>
      <c r="D120" t="s">
        <v>6961</v>
      </c>
      <c r="E120">
        <v>49.37</v>
      </c>
      <c r="F120" t="s">
        <v>6961</v>
      </c>
      <c r="G120" s="220">
        <f t="shared" si="6"/>
        <v>49.37</v>
      </c>
      <c r="H120" s="220">
        <f t="shared" si="7"/>
        <v>49.37</v>
      </c>
      <c r="I120" s="221">
        <f>IF(A120="Total",VLOOKUP(B120,CORRESPONDANCE[#All],2,FALSE),I121)</f>
        <v>27</v>
      </c>
      <c r="J120" s="222" t="str">
        <f t="shared" si="4"/>
        <v>6</v>
      </c>
      <c r="K120" s="44" t="str">
        <f t="shared" si="5"/>
        <v>TIRR - 606303</v>
      </c>
      <c r="L120" s="44" t="str">
        <f>+VLOOKUP(K120,TL[],4,FALSE)</f>
        <v>17</v>
      </c>
    </row>
    <row r="121" spans="1:12" x14ac:dyDescent="0.2">
      <c r="A121" t="s">
        <v>2579</v>
      </c>
      <c r="B121" t="s">
        <v>7048</v>
      </c>
      <c r="C121">
        <v>290</v>
      </c>
      <c r="D121" t="s">
        <v>6961</v>
      </c>
      <c r="E121">
        <v>290</v>
      </c>
      <c r="F121" t="s">
        <v>6961</v>
      </c>
      <c r="G121" s="220">
        <f t="shared" si="6"/>
        <v>290</v>
      </c>
      <c r="H121" s="220">
        <f t="shared" si="7"/>
        <v>290</v>
      </c>
      <c r="I121" s="221">
        <f>IF(A121="Total",VLOOKUP(B121,CORRESPONDANCE[#All],2,FALSE),I122)</f>
        <v>27</v>
      </c>
      <c r="J121" s="222" t="str">
        <f t="shared" si="4"/>
        <v>6</v>
      </c>
      <c r="K121" s="44" t="str">
        <f t="shared" si="5"/>
        <v>TIRR - 625200</v>
      </c>
      <c r="L121" s="44" t="str">
        <f>+VLOOKUP(K121,TL[],4,FALSE)</f>
        <v>13</v>
      </c>
    </row>
    <row r="122" spans="1:12" x14ac:dyDescent="0.2">
      <c r="A122" t="s">
        <v>1974</v>
      </c>
      <c r="B122" t="s">
        <v>33</v>
      </c>
      <c r="C122">
        <v>286</v>
      </c>
      <c r="D122" t="s">
        <v>6961</v>
      </c>
      <c r="E122">
        <v>286</v>
      </c>
      <c r="F122" t="s">
        <v>6961</v>
      </c>
      <c r="G122" s="220">
        <f t="shared" si="6"/>
        <v>286</v>
      </c>
      <c r="H122" s="220">
        <f t="shared" si="7"/>
        <v>286</v>
      </c>
      <c r="I122" s="221">
        <f>IF(A122="Total",VLOOKUP(B122,CORRESPONDANCE[#All],2,FALSE),I123)</f>
        <v>27</v>
      </c>
      <c r="J122" s="222" t="str">
        <f t="shared" si="4"/>
        <v>6</v>
      </c>
      <c r="K122" s="44" t="str">
        <f t="shared" si="5"/>
        <v>TIRR - 628023</v>
      </c>
      <c r="L122" s="44" t="str">
        <f>+VLOOKUP(K122,TL[],4,FALSE)</f>
        <v>23</v>
      </c>
    </row>
    <row r="123" spans="1:12" x14ac:dyDescent="0.2">
      <c r="A123" t="s">
        <v>1801</v>
      </c>
      <c r="B123" t="s">
        <v>31</v>
      </c>
      <c r="C123">
        <v>160.33000000000001</v>
      </c>
      <c r="D123" t="s">
        <v>6961</v>
      </c>
      <c r="E123">
        <v>160.33000000000001</v>
      </c>
      <c r="F123" t="s">
        <v>6961</v>
      </c>
      <c r="G123" s="220">
        <f t="shared" si="6"/>
        <v>160.33000000000001</v>
      </c>
      <c r="H123" s="220">
        <f t="shared" si="7"/>
        <v>160.33000000000001</v>
      </c>
      <c r="I123" s="221">
        <f>IF(A123="Total",VLOOKUP(B123,CORRESPONDANCE[#All],2,FALSE),I124)</f>
        <v>27</v>
      </c>
      <c r="J123" s="222" t="str">
        <f t="shared" si="4"/>
        <v>6</v>
      </c>
      <c r="K123" s="44" t="str">
        <f t="shared" si="5"/>
        <v>TIRR - 671100</v>
      </c>
      <c r="L123" s="44" t="str">
        <f>+VLOOKUP(K123,TL[],4,FALSE)</f>
        <v>22</v>
      </c>
    </row>
    <row r="124" spans="1:12" x14ac:dyDescent="0.2">
      <c r="A124" t="s">
        <v>7049</v>
      </c>
      <c r="B124" t="s">
        <v>1329</v>
      </c>
      <c r="C124">
        <v>1</v>
      </c>
      <c r="D124" t="s">
        <v>6961</v>
      </c>
      <c r="E124">
        <v>1</v>
      </c>
      <c r="F124" t="s">
        <v>6961</v>
      </c>
      <c r="G124" s="220">
        <f t="shared" si="6"/>
        <v>1</v>
      </c>
      <c r="H124" s="220">
        <f t="shared" si="7"/>
        <v>1</v>
      </c>
      <c r="I124" s="221">
        <f>IF(A124="Total",VLOOKUP(B124,CORRESPONDANCE[#All],2,FALSE),I125)</f>
        <v>27</v>
      </c>
      <c r="J124" s="222" t="str">
        <f t="shared" si="4"/>
        <v>7</v>
      </c>
      <c r="K124" s="44" t="str">
        <f t="shared" si="5"/>
        <v>TIRR - 708889</v>
      </c>
      <c r="L124" s="44" t="e">
        <f>+VLOOKUP(K124,TL[],4,FALSE)</f>
        <v>#N/A</v>
      </c>
    </row>
    <row r="125" spans="1:12" x14ac:dyDescent="0.2">
      <c r="A125" t="s">
        <v>1798</v>
      </c>
      <c r="B125" t="s">
        <v>31</v>
      </c>
      <c r="C125" t="s">
        <v>6961</v>
      </c>
      <c r="D125">
        <v>71.400000000000006</v>
      </c>
      <c r="E125" t="s">
        <v>6961</v>
      </c>
      <c r="F125">
        <v>71.400000000000006</v>
      </c>
      <c r="G125" s="220">
        <f t="shared" si="6"/>
        <v>-71.400000000000006</v>
      </c>
      <c r="H125" s="220">
        <f t="shared" si="7"/>
        <v>-71.400000000000006</v>
      </c>
      <c r="I125" s="221">
        <f>IF(A125="Total",VLOOKUP(B125,CORRESPONDANCE[#All],2,FALSE),I126)</f>
        <v>27</v>
      </c>
      <c r="J125" s="222" t="str">
        <f t="shared" si="4"/>
        <v>7</v>
      </c>
      <c r="K125" s="44" t="str">
        <f t="shared" si="5"/>
        <v>TIRR - 771100</v>
      </c>
      <c r="L125" s="44" t="str">
        <f>+VLOOKUP(K125,TL[],4,FALSE)</f>
        <v>22</v>
      </c>
    </row>
    <row r="126" spans="1:12" x14ac:dyDescent="0.2">
      <c r="A126" t="s">
        <v>197</v>
      </c>
      <c r="B126" t="s">
        <v>2583</v>
      </c>
      <c r="C126">
        <v>715.3</v>
      </c>
      <c r="D126" t="s">
        <v>6961</v>
      </c>
      <c r="E126">
        <v>715.3</v>
      </c>
      <c r="F126" t="s">
        <v>6961</v>
      </c>
      <c r="G126" s="220">
        <f t="shared" si="6"/>
        <v>715.3</v>
      </c>
      <c r="H126" s="220">
        <f t="shared" si="7"/>
        <v>715.3</v>
      </c>
      <c r="I126" s="221">
        <f>IF(A126="Total",VLOOKUP(B126,CORRESPONDANCE[#All],2,FALSE),I127)</f>
        <v>27</v>
      </c>
      <c r="J126" s="222" t="str">
        <f t="shared" si="4"/>
        <v>T</v>
      </c>
      <c r="K126" s="44" t="str">
        <f t="shared" si="5"/>
        <v>TIRR - Total</v>
      </c>
      <c r="L126" s="44" t="e">
        <f>+VLOOKUP(K126,TL[],4,FALSE)</f>
        <v>#N/A</v>
      </c>
    </row>
    <row r="127" spans="1:12" x14ac:dyDescent="0.2">
      <c r="A127" t="s">
        <v>1904</v>
      </c>
      <c r="B127" t="s">
        <v>2376</v>
      </c>
      <c r="C127">
        <v>38690.46</v>
      </c>
      <c r="D127" t="s">
        <v>6961</v>
      </c>
      <c r="E127">
        <v>38690.46</v>
      </c>
      <c r="F127" t="s">
        <v>6961</v>
      </c>
      <c r="G127" s="220">
        <f t="shared" si="6"/>
        <v>38690.46</v>
      </c>
      <c r="H127" s="220">
        <f t="shared" si="7"/>
        <v>38690.46</v>
      </c>
      <c r="I127" s="221">
        <f>IF(A127="Total",VLOOKUP(B127,CORRESPONDANCE[#All],2,FALSE),I128)</f>
        <v>29</v>
      </c>
      <c r="J127" s="222" t="str">
        <f t="shared" si="4"/>
        <v>6</v>
      </c>
      <c r="K127" s="44" t="str">
        <f t="shared" si="5"/>
        <v>TIRR - 613000</v>
      </c>
      <c r="L127" s="44" t="str">
        <f>+VLOOKUP(K127,TL[],4,FALSE)</f>
        <v>30</v>
      </c>
    </row>
    <row r="128" spans="1:12" x14ac:dyDescent="0.2">
      <c r="A128" t="s">
        <v>197</v>
      </c>
      <c r="B128" t="s">
        <v>2584</v>
      </c>
      <c r="C128">
        <v>38690.46</v>
      </c>
      <c r="D128" t="s">
        <v>6961</v>
      </c>
      <c r="E128">
        <v>38690.46</v>
      </c>
      <c r="F128" t="s">
        <v>6961</v>
      </c>
      <c r="G128" s="220">
        <f t="shared" si="6"/>
        <v>38690.46</v>
      </c>
      <c r="H128" s="220">
        <f t="shared" si="7"/>
        <v>38690.46</v>
      </c>
      <c r="I128" s="221">
        <f>IF(A128="Total",VLOOKUP(B128,CORRESPONDANCE[#All],2,FALSE),I129)</f>
        <v>29</v>
      </c>
      <c r="J128" s="222" t="str">
        <f t="shared" si="4"/>
        <v>T</v>
      </c>
      <c r="K128" s="44" t="str">
        <f t="shared" si="5"/>
        <v>TIRR - Total</v>
      </c>
      <c r="L128" s="44" t="e">
        <f>+VLOOKUP(K128,TL[],4,FALSE)</f>
        <v>#N/A</v>
      </c>
    </row>
    <row r="129" spans="1:12" x14ac:dyDescent="0.2">
      <c r="A129" t="s">
        <v>1604</v>
      </c>
      <c r="B129" t="s">
        <v>2389</v>
      </c>
      <c r="C129" t="s">
        <v>6961</v>
      </c>
      <c r="D129">
        <v>501.75</v>
      </c>
      <c r="E129" t="s">
        <v>6961</v>
      </c>
      <c r="F129">
        <v>501.75</v>
      </c>
      <c r="G129" s="220">
        <f t="shared" si="6"/>
        <v>-501.75</v>
      </c>
      <c r="H129" s="220">
        <f t="shared" si="7"/>
        <v>-501.75</v>
      </c>
      <c r="I129" s="221">
        <f>IF(A129="Total",VLOOKUP(B129,CORRESPONDANCE[#All],2,FALSE),I130)</f>
        <v>31</v>
      </c>
      <c r="J129" s="222" t="str">
        <f t="shared" si="4"/>
        <v>6</v>
      </c>
      <c r="K129" s="44" t="str">
        <f t="shared" si="5"/>
        <v>TIRR - 651200</v>
      </c>
      <c r="L129" s="44" t="str">
        <f>+VLOOKUP(K129,TL[],4,FALSE)</f>
        <v>30</v>
      </c>
    </row>
    <row r="130" spans="1:12" x14ac:dyDescent="0.2">
      <c r="A130" t="s">
        <v>1606</v>
      </c>
      <c r="B130" t="s">
        <v>2201</v>
      </c>
      <c r="C130" t="s">
        <v>6961</v>
      </c>
      <c r="D130">
        <v>172.36</v>
      </c>
      <c r="E130" t="s">
        <v>6961</v>
      </c>
      <c r="F130">
        <v>172.36</v>
      </c>
      <c r="G130" s="220">
        <f t="shared" si="6"/>
        <v>-172.36</v>
      </c>
      <c r="H130" s="220">
        <f t="shared" si="7"/>
        <v>-172.36</v>
      </c>
      <c r="I130" s="221">
        <f>IF(A130="Total",VLOOKUP(B130,CORRESPONDANCE[#All],2,FALSE),I131)</f>
        <v>31</v>
      </c>
      <c r="J130" s="222" t="str">
        <f t="shared" ref="J130:J165" si="8">LEFT(A130,1)</f>
        <v>6</v>
      </c>
      <c r="K130" s="44" t="str">
        <f t="shared" ref="K130:K165" si="9">"TIRR"&amp;" - "&amp;A130</f>
        <v>TIRR - 651210</v>
      </c>
      <c r="L130" s="44" t="str">
        <f>+VLOOKUP(K130,TL[],4,FALSE)</f>
        <v>31</v>
      </c>
    </row>
    <row r="131" spans="1:12" x14ac:dyDescent="0.2">
      <c r="A131" t="s">
        <v>197</v>
      </c>
      <c r="B131" t="s">
        <v>2585</v>
      </c>
      <c r="C131" t="s">
        <v>6961</v>
      </c>
      <c r="D131">
        <v>674.11</v>
      </c>
      <c r="E131" t="s">
        <v>6961</v>
      </c>
      <c r="F131">
        <v>674.11</v>
      </c>
      <c r="G131" s="220">
        <f t="shared" si="6"/>
        <v>-674.11</v>
      </c>
      <c r="H131" s="220">
        <f t="shared" si="7"/>
        <v>-674.11</v>
      </c>
      <c r="I131" s="221">
        <f>IF(A131="Total",VLOOKUP(B131,CORRESPONDANCE[#All],2,FALSE),I132)</f>
        <v>31</v>
      </c>
      <c r="J131" s="222" t="str">
        <f t="shared" si="8"/>
        <v>T</v>
      </c>
      <c r="K131" s="44" t="str">
        <f t="shared" si="9"/>
        <v>TIRR - Total</v>
      </c>
      <c r="L131" s="44" t="e">
        <f>+VLOOKUP(K131,TL[],4,FALSE)</f>
        <v>#N/A</v>
      </c>
    </row>
    <row r="132" spans="1:12" x14ac:dyDescent="0.2">
      <c r="A132" t="s">
        <v>1784</v>
      </c>
      <c r="B132" t="s">
        <v>1178</v>
      </c>
      <c r="C132">
        <v>690</v>
      </c>
      <c r="D132" t="s">
        <v>6961</v>
      </c>
      <c r="E132">
        <v>690</v>
      </c>
      <c r="F132" t="s">
        <v>6961</v>
      </c>
      <c r="G132" s="220">
        <f t="shared" si="6"/>
        <v>690</v>
      </c>
      <c r="H132" s="220">
        <f t="shared" si="7"/>
        <v>690</v>
      </c>
      <c r="I132" s="221">
        <f>IF(A132="Total",VLOOKUP(B132,CORRESPONDANCE[#All],2,FALSE),I133)</f>
        <v>33</v>
      </c>
      <c r="J132" s="222" t="str">
        <f t="shared" si="8"/>
        <v>6</v>
      </c>
      <c r="K132" s="44" t="str">
        <f t="shared" si="9"/>
        <v>TIRR - 614100</v>
      </c>
      <c r="L132" s="44" t="str">
        <f>+VLOOKUP(K132,TL[],4,FALSE)</f>
        <v>34</v>
      </c>
    </row>
    <row r="133" spans="1:12" x14ac:dyDescent="0.2">
      <c r="A133" t="s">
        <v>197</v>
      </c>
      <c r="B133" t="s">
        <v>2586</v>
      </c>
      <c r="C133">
        <v>690</v>
      </c>
      <c r="D133" t="s">
        <v>6961</v>
      </c>
      <c r="E133">
        <v>690</v>
      </c>
      <c r="F133" t="s">
        <v>6961</v>
      </c>
      <c r="G133" s="220">
        <f t="shared" ref="G133:G165" si="10">SUM(C133)-SUM(D133)</f>
        <v>690</v>
      </c>
      <c r="H133" s="220">
        <f t="shared" ref="H133:H165" si="11">SUM(E133)-SUM(F133)</f>
        <v>690</v>
      </c>
      <c r="I133" s="221">
        <f>IF(A133="Total",VLOOKUP(B133,CORRESPONDANCE[#All],2,FALSE),I134)</f>
        <v>33</v>
      </c>
      <c r="J133" s="222" t="str">
        <f t="shared" si="8"/>
        <v>T</v>
      </c>
      <c r="K133" s="44" t="str">
        <f t="shared" si="9"/>
        <v>TIRR - Total</v>
      </c>
      <c r="L133" s="44" t="e">
        <f>+VLOOKUP(K133,TL[],4,FALSE)</f>
        <v>#N/A</v>
      </c>
    </row>
    <row r="134" spans="1:12" x14ac:dyDescent="0.2">
      <c r="A134" t="s">
        <v>2761</v>
      </c>
      <c r="B134" t="s">
        <v>2340</v>
      </c>
      <c r="C134">
        <v>13340.88</v>
      </c>
      <c r="D134" t="s">
        <v>6961</v>
      </c>
      <c r="E134">
        <v>13340.88</v>
      </c>
      <c r="F134" t="s">
        <v>6961</v>
      </c>
      <c r="G134" s="220">
        <f t="shared" si="10"/>
        <v>13340.88</v>
      </c>
      <c r="H134" s="220">
        <f t="shared" si="11"/>
        <v>13340.88</v>
      </c>
      <c r="I134" s="221">
        <f>IF(A134="Total",VLOOKUP(B134,CORRESPONDANCE[#All],2,FALSE),I135)</f>
        <v>34</v>
      </c>
      <c r="J134" s="222" t="str">
        <f t="shared" si="8"/>
        <v>6</v>
      </c>
      <c r="K134" s="44" t="str">
        <f t="shared" si="9"/>
        <v>TIRR - 651031</v>
      </c>
      <c r="L134" s="44" t="str">
        <f>+VLOOKUP(K134,TL[],4,FALSE)</f>
        <v>31</v>
      </c>
    </row>
    <row r="135" spans="1:12" x14ac:dyDescent="0.2">
      <c r="A135" t="s">
        <v>197</v>
      </c>
      <c r="B135" t="s">
        <v>2588</v>
      </c>
      <c r="C135">
        <v>13340.88</v>
      </c>
      <c r="D135" t="s">
        <v>6961</v>
      </c>
      <c r="E135">
        <v>13340.88</v>
      </c>
      <c r="F135" t="s">
        <v>6961</v>
      </c>
      <c r="G135" s="220">
        <f t="shared" si="10"/>
        <v>13340.88</v>
      </c>
      <c r="H135" s="220">
        <f t="shared" si="11"/>
        <v>13340.88</v>
      </c>
      <c r="I135" s="221">
        <f>IF(A135="Total",VLOOKUP(B135,CORRESPONDANCE[#All],2,FALSE),I136)</f>
        <v>34</v>
      </c>
      <c r="J135" s="222" t="str">
        <f t="shared" si="8"/>
        <v>T</v>
      </c>
      <c r="K135" s="44" t="str">
        <f t="shared" si="9"/>
        <v>TIRR - Total</v>
      </c>
      <c r="L135" s="44" t="e">
        <f>+VLOOKUP(K135,TL[],4,FALSE)</f>
        <v>#N/A</v>
      </c>
    </row>
    <row r="136" spans="1:12" x14ac:dyDescent="0.2">
      <c r="A136" t="s">
        <v>1622</v>
      </c>
      <c r="B136" t="s">
        <v>1203</v>
      </c>
      <c r="C136">
        <v>860</v>
      </c>
      <c r="D136" t="s">
        <v>6961</v>
      </c>
      <c r="E136">
        <v>860</v>
      </c>
      <c r="F136" t="s">
        <v>6961</v>
      </c>
      <c r="G136" s="220">
        <f t="shared" si="10"/>
        <v>860</v>
      </c>
      <c r="H136" s="220">
        <f t="shared" si="11"/>
        <v>860</v>
      </c>
      <c r="I136" s="221">
        <f>IF(A136="Total",VLOOKUP(B136,CORRESPONDANCE[#All],2,FALSE),I137)</f>
        <v>35</v>
      </c>
      <c r="J136" s="222" t="str">
        <f t="shared" si="8"/>
        <v>6</v>
      </c>
      <c r="K136" s="44" t="str">
        <f t="shared" si="9"/>
        <v>TIRR - 622600</v>
      </c>
      <c r="L136" s="44" t="str">
        <f>+VLOOKUP(K136,TL[],4,FALSE)</f>
        <v>32</v>
      </c>
    </row>
    <row r="137" spans="1:12" x14ac:dyDescent="0.2">
      <c r="A137" t="s">
        <v>1764</v>
      </c>
      <c r="B137" t="s">
        <v>1205</v>
      </c>
      <c r="C137">
        <v>160.69</v>
      </c>
      <c r="D137" t="s">
        <v>6961</v>
      </c>
      <c r="E137">
        <v>160.69</v>
      </c>
      <c r="F137" t="s">
        <v>6961</v>
      </c>
      <c r="G137" s="220">
        <f t="shared" si="10"/>
        <v>160.69</v>
      </c>
      <c r="H137" s="220">
        <f t="shared" si="11"/>
        <v>160.69</v>
      </c>
      <c r="I137" s="221">
        <f>IF(A137="Total",VLOOKUP(B137,CORRESPONDANCE[#All],2,FALSE),I138)</f>
        <v>35</v>
      </c>
      <c r="J137" s="222" t="str">
        <f t="shared" si="8"/>
        <v>6</v>
      </c>
      <c r="K137" s="44" t="str">
        <f t="shared" si="9"/>
        <v>TIRR - 622610</v>
      </c>
      <c r="L137" s="44" t="str">
        <f>+VLOOKUP(K137,TL[],4,FALSE)</f>
        <v>32</v>
      </c>
    </row>
    <row r="138" spans="1:12" x14ac:dyDescent="0.2">
      <c r="A138" t="s">
        <v>1766</v>
      </c>
      <c r="B138" t="s">
        <v>162</v>
      </c>
      <c r="C138">
        <v>33</v>
      </c>
      <c r="D138" t="s">
        <v>6961</v>
      </c>
      <c r="E138">
        <v>33</v>
      </c>
      <c r="F138" t="s">
        <v>6961</v>
      </c>
      <c r="G138" s="220">
        <f t="shared" si="10"/>
        <v>33</v>
      </c>
      <c r="H138" s="220">
        <f t="shared" si="11"/>
        <v>33</v>
      </c>
      <c r="I138" s="221">
        <f>IF(A138="Total",VLOOKUP(B138,CORRESPONDANCE[#All],2,FALSE),I139)</f>
        <v>35</v>
      </c>
      <c r="J138" s="222" t="str">
        <f t="shared" si="8"/>
        <v>6</v>
      </c>
      <c r="K138" s="44" t="str">
        <f t="shared" si="9"/>
        <v>TIRR - 622620</v>
      </c>
      <c r="L138" s="44" t="str">
        <f>+VLOOKUP(K138,TL[],4,FALSE)</f>
        <v>32</v>
      </c>
    </row>
    <row r="139" spans="1:12" x14ac:dyDescent="0.2">
      <c r="A139" t="s">
        <v>197</v>
      </c>
      <c r="B139" t="s">
        <v>2591</v>
      </c>
      <c r="C139">
        <v>1053.69</v>
      </c>
      <c r="D139" t="s">
        <v>6961</v>
      </c>
      <c r="E139">
        <v>1053.69</v>
      </c>
      <c r="F139" t="s">
        <v>6961</v>
      </c>
      <c r="G139" s="220">
        <f t="shared" si="10"/>
        <v>1053.69</v>
      </c>
      <c r="H139" s="220">
        <f t="shared" si="11"/>
        <v>1053.69</v>
      </c>
      <c r="I139" s="221">
        <f>IF(A139="Total",VLOOKUP(B139,CORRESPONDANCE[#All],2,FALSE),I140)</f>
        <v>35</v>
      </c>
      <c r="J139" s="222" t="str">
        <f t="shared" si="8"/>
        <v>T</v>
      </c>
      <c r="K139" s="44" t="str">
        <f t="shared" si="9"/>
        <v>TIRR - Total</v>
      </c>
      <c r="L139" s="44" t="e">
        <f>+VLOOKUP(K139,TL[],4,FALSE)</f>
        <v>#N/A</v>
      </c>
    </row>
    <row r="140" spans="1:12" x14ac:dyDescent="0.2">
      <c r="A140" t="s">
        <v>2762</v>
      </c>
      <c r="B140" t="s">
        <v>2164</v>
      </c>
      <c r="C140">
        <v>1150</v>
      </c>
      <c r="D140" t="s">
        <v>6961</v>
      </c>
      <c r="E140">
        <v>1150</v>
      </c>
      <c r="F140" t="s">
        <v>6961</v>
      </c>
      <c r="G140" s="220">
        <f t="shared" si="10"/>
        <v>1150</v>
      </c>
      <c r="H140" s="220">
        <f t="shared" si="11"/>
        <v>1150</v>
      </c>
      <c r="I140" s="221">
        <f>IF(A140="Total",VLOOKUP(B140,CORRESPONDANCE[#All],2,FALSE),I141)</f>
        <v>36</v>
      </c>
      <c r="J140" s="222" t="str">
        <f t="shared" si="8"/>
        <v>6</v>
      </c>
      <c r="K140" s="44" t="str">
        <f t="shared" si="9"/>
        <v>TIRR - 616200</v>
      </c>
      <c r="L140" s="44" t="str">
        <f>+VLOOKUP(K140,TL[],4,FALSE)</f>
        <v>33</v>
      </c>
    </row>
    <row r="141" spans="1:12" x14ac:dyDescent="0.2">
      <c r="A141" t="s">
        <v>2763</v>
      </c>
      <c r="B141" t="s">
        <v>2244</v>
      </c>
      <c r="C141">
        <v>100</v>
      </c>
      <c r="D141" t="s">
        <v>6961</v>
      </c>
      <c r="E141">
        <v>100</v>
      </c>
      <c r="F141" t="s">
        <v>6961</v>
      </c>
      <c r="G141" s="220">
        <f t="shared" si="10"/>
        <v>100</v>
      </c>
      <c r="H141" s="220">
        <f t="shared" si="11"/>
        <v>100</v>
      </c>
      <c r="I141" s="221">
        <f>IF(A141="Total",VLOOKUP(B141,CORRESPONDANCE[#All],2,FALSE),I142)</f>
        <v>36</v>
      </c>
      <c r="J141" s="222" t="str">
        <f t="shared" si="8"/>
        <v>6</v>
      </c>
      <c r="K141" s="44" t="str">
        <f t="shared" si="9"/>
        <v>TIRR - 616300</v>
      </c>
      <c r="L141" s="44" t="str">
        <f>+VLOOKUP(K141,TL[],4,FALSE)</f>
        <v>33</v>
      </c>
    </row>
    <row r="142" spans="1:12" x14ac:dyDescent="0.2">
      <c r="A142" t="s">
        <v>197</v>
      </c>
      <c r="B142" t="s">
        <v>2592</v>
      </c>
      <c r="C142">
        <v>1250</v>
      </c>
      <c r="D142" t="s">
        <v>6961</v>
      </c>
      <c r="E142">
        <v>1250</v>
      </c>
      <c r="F142" t="s">
        <v>6961</v>
      </c>
      <c r="G142" s="220">
        <f t="shared" si="10"/>
        <v>1250</v>
      </c>
      <c r="H142" s="220">
        <f t="shared" si="11"/>
        <v>1250</v>
      </c>
      <c r="I142" s="221">
        <f>IF(A142="Total",VLOOKUP(B142,CORRESPONDANCE[#All],2,FALSE),#REF!)</f>
        <v>36</v>
      </c>
      <c r="J142" s="222" t="str">
        <f t="shared" si="8"/>
        <v>T</v>
      </c>
      <c r="K142" s="44" t="str">
        <f t="shared" si="9"/>
        <v>TIRR - Total</v>
      </c>
      <c r="L142" s="44" t="e">
        <f>+VLOOKUP(K142,TL[],4,FALSE)</f>
        <v>#N/A</v>
      </c>
    </row>
    <row r="143" spans="1:12" x14ac:dyDescent="0.2">
      <c r="A143" t="s">
        <v>1730</v>
      </c>
      <c r="B143" t="s">
        <v>2257</v>
      </c>
      <c r="C143">
        <v>443.24</v>
      </c>
      <c r="D143" t="s">
        <v>6961</v>
      </c>
      <c r="E143">
        <v>443.24</v>
      </c>
      <c r="F143" t="s">
        <v>6961</v>
      </c>
      <c r="G143" s="220">
        <f t="shared" si="10"/>
        <v>443.24</v>
      </c>
      <c r="H143" s="220">
        <f t="shared" si="11"/>
        <v>443.24</v>
      </c>
      <c r="I143" s="221">
        <f>IF(A143="Total",VLOOKUP(B143,CORRESPONDANCE[#All],2,FALSE),I144)</f>
        <v>37</v>
      </c>
      <c r="J143" s="222" t="str">
        <f t="shared" si="8"/>
        <v>6</v>
      </c>
      <c r="K143" s="44" t="str">
        <f t="shared" si="9"/>
        <v>TIRR - 633300</v>
      </c>
      <c r="L143" s="44" t="str">
        <f>+VLOOKUP(K143,TL[],4,FALSE)</f>
        <v>34</v>
      </c>
    </row>
    <row r="144" spans="1:12" x14ac:dyDescent="0.2">
      <c r="A144" t="s">
        <v>1729</v>
      </c>
      <c r="B144" t="s">
        <v>2258</v>
      </c>
      <c r="C144">
        <v>284.79000000000002</v>
      </c>
      <c r="D144" t="s">
        <v>6961</v>
      </c>
      <c r="E144">
        <v>284.79000000000002</v>
      </c>
      <c r="F144" t="s">
        <v>6961</v>
      </c>
      <c r="G144" s="220">
        <f t="shared" si="10"/>
        <v>284.79000000000002</v>
      </c>
      <c r="H144" s="220">
        <f t="shared" si="11"/>
        <v>284.79000000000002</v>
      </c>
      <c r="I144" s="221">
        <f>IF(A144="Total",VLOOKUP(B144,CORRESPONDANCE[#All],2,FALSE),I145)</f>
        <v>37</v>
      </c>
      <c r="J144" s="222" t="str">
        <f t="shared" si="8"/>
        <v>6</v>
      </c>
      <c r="K144" s="44" t="str">
        <f t="shared" si="9"/>
        <v>TIRR - 633500</v>
      </c>
      <c r="L144" s="44" t="str">
        <f>+VLOOKUP(K144,TL[],4,FALSE)</f>
        <v>34</v>
      </c>
    </row>
    <row r="145" spans="1:12" x14ac:dyDescent="0.2">
      <c r="A145" t="s">
        <v>1786</v>
      </c>
      <c r="B145" t="s">
        <v>1229</v>
      </c>
      <c r="C145">
        <v>270</v>
      </c>
      <c r="D145" t="s">
        <v>6961</v>
      </c>
      <c r="E145">
        <v>270</v>
      </c>
      <c r="F145" t="s">
        <v>6961</v>
      </c>
      <c r="G145" s="220">
        <f t="shared" si="10"/>
        <v>270</v>
      </c>
      <c r="H145" s="220">
        <f t="shared" si="11"/>
        <v>270</v>
      </c>
      <c r="I145" s="221">
        <f>IF(A145="Total",VLOOKUP(B145,CORRESPONDANCE[#All],2,FALSE),I146)</f>
        <v>37</v>
      </c>
      <c r="J145" s="222" t="str">
        <f t="shared" si="8"/>
        <v>6</v>
      </c>
      <c r="K145" s="44" t="str">
        <f t="shared" si="9"/>
        <v>TIRR - 635111</v>
      </c>
      <c r="L145" s="44" t="str">
        <f>+VLOOKUP(K145,TL[],4,FALSE)</f>
        <v>34</v>
      </c>
    </row>
    <row r="146" spans="1:12" x14ac:dyDescent="0.2">
      <c r="A146" t="s">
        <v>1732</v>
      </c>
      <c r="B146" t="s">
        <v>1230</v>
      </c>
      <c r="C146">
        <v>400</v>
      </c>
      <c r="D146" t="s">
        <v>6961</v>
      </c>
      <c r="E146">
        <v>400</v>
      </c>
      <c r="F146" t="s">
        <v>6961</v>
      </c>
      <c r="G146" s="220">
        <f t="shared" si="10"/>
        <v>400</v>
      </c>
      <c r="H146" s="220">
        <f t="shared" si="11"/>
        <v>400</v>
      </c>
      <c r="I146" s="221">
        <f>IF(A146="Total",VLOOKUP(B146,CORRESPONDANCE[#All],2,FALSE),I147)</f>
        <v>37</v>
      </c>
      <c r="J146" s="222" t="str">
        <f t="shared" si="8"/>
        <v>6</v>
      </c>
      <c r="K146" s="44" t="str">
        <f t="shared" si="9"/>
        <v>TIRR - 635112</v>
      </c>
      <c r="L146" s="44" t="str">
        <f>+VLOOKUP(K146,TL[],4,FALSE)</f>
        <v>34</v>
      </c>
    </row>
    <row r="147" spans="1:12" x14ac:dyDescent="0.2">
      <c r="A147" t="s">
        <v>2764</v>
      </c>
      <c r="B147" t="s">
        <v>430</v>
      </c>
      <c r="C147">
        <v>350</v>
      </c>
      <c r="D147" t="s">
        <v>6961</v>
      </c>
      <c r="E147">
        <v>350</v>
      </c>
      <c r="F147" t="s">
        <v>6961</v>
      </c>
      <c r="G147" s="220">
        <f t="shared" si="10"/>
        <v>350</v>
      </c>
      <c r="H147" s="220">
        <f t="shared" si="11"/>
        <v>350</v>
      </c>
      <c r="I147" s="221">
        <f>IF(A147="Total",VLOOKUP(B147,CORRESPONDANCE[#All],2,FALSE),I148)</f>
        <v>37</v>
      </c>
      <c r="J147" s="222" t="str">
        <f t="shared" si="8"/>
        <v>6</v>
      </c>
      <c r="K147" s="44" t="str">
        <f t="shared" si="9"/>
        <v>TIRR - 635820</v>
      </c>
      <c r="L147" s="44" t="str">
        <f>+VLOOKUP(K147,TL[],4,FALSE)</f>
        <v>34</v>
      </c>
    </row>
    <row r="148" spans="1:12" x14ac:dyDescent="0.2">
      <c r="A148" t="s">
        <v>1989</v>
      </c>
      <c r="B148" t="s">
        <v>2134</v>
      </c>
      <c r="C148">
        <v>200</v>
      </c>
      <c r="D148" t="s">
        <v>6961</v>
      </c>
      <c r="E148">
        <v>200</v>
      </c>
      <c r="F148" t="s">
        <v>6961</v>
      </c>
      <c r="G148" s="220">
        <f t="shared" si="10"/>
        <v>200</v>
      </c>
      <c r="H148" s="220">
        <f t="shared" si="11"/>
        <v>200</v>
      </c>
      <c r="I148" s="221">
        <f>IF(A148="Total",VLOOKUP(B148,CORRESPONDANCE[#All],2,FALSE),I149)</f>
        <v>37</v>
      </c>
      <c r="J148" s="222" t="str">
        <f t="shared" si="8"/>
        <v>6</v>
      </c>
      <c r="K148" s="44" t="str">
        <f t="shared" si="9"/>
        <v>TIRR - 637800</v>
      </c>
      <c r="L148" s="44" t="str">
        <f>+VLOOKUP(K148,TL[],4,FALSE)</f>
        <v>34</v>
      </c>
    </row>
    <row r="149" spans="1:12" x14ac:dyDescent="0.2">
      <c r="A149" t="s">
        <v>197</v>
      </c>
      <c r="B149" t="s">
        <v>2593</v>
      </c>
      <c r="C149">
        <v>1948.03</v>
      </c>
      <c r="D149" t="s">
        <v>6961</v>
      </c>
      <c r="E149">
        <v>1948.03</v>
      </c>
      <c r="F149" t="s">
        <v>6961</v>
      </c>
      <c r="G149" s="220">
        <f t="shared" si="10"/>
        <v>1948.03</v>
      </c>
      <c r="H149" s="220">
        <f t="shared" si="11"/>
        <v>1948.03</v>
      </c>
      <c r="I149" s="221">
        <f>IF(A149="Total",VLOOKUP(B149,CORRESPONDANCE[#All],2,FALSE),I150)</f>
        <v>37</v>
      </c>
      <c r="J149" s="222" t="str">
        <f t="shared" si="8"/>
        <v>T</v>
      </c>
      <c r="K149" s="44" t="str">
        <f t="shared" si="9"/>
        <v>TIRR - Total</v>
      </c>
      <c r="L149" s="44" t="e">
        <f>+VLOOKUP(K149,TL[],4,FALSE)</f>
        <v>#N/A</v>
      </c>
    </row>
    <row r="150" spans="1:12" x14ac:dyDescent="0.2">
      <c r="A150" t="s">
        <v>1787</v>
      </c>
      <c r="B150" t="s">
        <v>247</v>
      </c>
      <c r="C150">
        <v>11675</v>
      </c>
      <c r="D150" t="s">
        <v>6961</v>
      </c>
      <c r="E150">
        <v>11675</v>
      </c>
      <c r="F150" t="s">
        <v>6961</v>
      </c>
      <c r="G150" s="220">
        <f t="shared" si="10"/>
        <v>11675</v>
      </c>
      <c r="H150" s="220">
        <f t="shared" si="11"/>
        <v>11675</v>
      </c>
      <c r="I150" s="221">
        <f>IF(A150="Total",VLOOKUP(B150,CORRESPONDANCE[#All],2,FALSE),I151)</f>
        <v>38</v>
      </c>
      <c r="J150" s="222" t="str">
        <f t="shared" si="8"/>
        <v>6</v>
      </c>
      <c r="K150" s="44" t="str">
        <f t="shared" si="9"/>
        <v>TIRR - 681110</v>
      </c>
      <c r="L150" s="44" t="str">
        <f>+VLOOKUP(K150,TL[],4,FALSE)</f>
        <v>36</v>
      </c>
    </row>
    <row r="151" spans="1:12" x14ac:dyDescent="0.2">
      <c r="A151" t="s">
        <v>197</v>
      </c>
      <c r="B151" t="s">
        <v>2594</v>
      </c>
      <c r="C151">
        <v>11675</v>
      </c>
      <c r="D151" t="s">
        <v>6961</v>
      </c>
      <c r="E151">
        <v>11675</v>
      </c>
      <c r="F151" t="s">
        <v>6961</v>
      </c>
      <c r="G151" s="220">
        <f t="shared" si="10"/>
        <v>11675</v>
      </c>
      <c r="H151" s="220">
        <f t="shared" si="11"/>
        <v>11675</v>
      </c>
      <c r="I151" s="221">
        <f>IF(A151="Total",VLOOKUP(B151,CORRESPONDANCE[#All],2,FALSE),I152)</f>
        <v>38</v>
      </c>
      <c r="J151" s="222" t="str">
        <f t="shared" si="8"/>
        <v>T</v>
      </c>
      <c r="K151" s="44" t="str">
        <f t="shared" si="9"/>
        <v>TIRR - Total</v>
      </c>
      <c r="L151" s="44" t="e">
        <f>+VLOOKUP(K151,TL[],4,FALSE)</f>
        <v>#N/A</v>
      </c>
    </row>
    <row r="152" spans="1:12" x14ac:dyDescent="0.2">
      <c r="A152" t="s">
        <v>2779</v>
      </c>
      <c r="B152" t="s">
        <v>7037</v>
      </c>
      <c r="C152">
        <v>87</v>
      </c>
      <c r="D152" t="s">
        <v>6961</v>
      </c>
      <c r="E152">
        <v>87</v>
      </c>
      <c r="F152" t="s">
        <v>6961</v>
      </c>
      <c r="G152" s="220">
        <f t="shared" si="10"/>
        <v>87</v>
      </c>
      <c r="H152" s="220">
        <f t="shared" si="11"/>
        <v>87</v>
      </c>
      <c r="I152" s="221">
        <f>IF(A152="Total",VLOOKUP(B152,CORRESPONDANCE[#All],2,FALSE),I153)</f>
        <v>39</v>
      </c>
      <c r="J152" s="222" t="str">
        <f t="shared" si="8"/>
        <v>6</v>
      </c>
      <c r="K152" s="44" t="str">
        <f t="shared" si="9"/>
        <v>TIRR - 613530</v>
      </c>
      <c r="L152" s="44" t="e">
        <f>+VLOOKUP(K152,TL[],4,FALSE)</f>
        <v>#N/A</v>
      </c>
    </row>
    <row r="153" spans="1:12" x14ac:dyDescent="0.2">
      <c r="A153" t="s">
        <v>2753</v>
      </c>
      <c r="B153" t="s">
        <v>2355</v>
      </c>
      <c r="C153">
        <v>671.22</v>
      </c>
      <c r="D153" t="s">
        <v>6961</v>
      </c>
      <c r="E153">
        <v>671.22</v>
      </c>
      <c r="F153" t="s">
        <v>6961</v>
      </c>
      <c r="G153" s="220">
        <f t="shared" si="10"/>
        <v>671.22</v>
      </c>
      <c r="H153" s="220">
        <f t="shared" si="11"/>
        <v>671.22</v>
      </c>
      <c r="I153" s="221">
        <f>IF(A153="Total",VLOOKUP(B153,CORRESPONDANCE[#All],2,FALSE),I154)</f>
        <v>39</v>
      </c>
      <c r="J153" s="222" t="str">
        <f t="shared" si="8"/>
        <v>6</v>
      </c>
      <c r="K153" s="44" t="str">
        <f t="shared" si="9"/>
        <v>TIRR - 615663</v>
      </c>
      <c r="L153" s="44" t="str">
        <f>+VLOOKUP(K153,TL[],4,FALSE)</f>
        <v>16</v>
      </c>
    </row>
    <row r="154" spans="1:12" x14ac:dyDescent="0.2">
      <c r="A154" t="s">
        <v>197</v>
      </c>
      <c r="B154" t="s">
        <v>3028</v>
      </c>
      <c r="C154">
        <v>758.22</v>
      </c>
      <c r="D154" t="s">
        <v>6961</v>
      </c>
      <c r="E154">
        <v>758.22</v>
      </c>
      <c r="F154" t="s">
        <v>6961</v>
      </c>
      <c r="G154" s="220">
        <f t="shared" si="10"/>
        <v>758.22</v>
      </c>
      <c r="H154" s="220">
        <f t="shared" si="11"/>
        <v>758.22</v>
      </c>
      <c r="I154" s="221">
        <f>IF(A154="Total",VLOOKUP(B154,CORRESPONDANCE[#All],2,FALSE),I155)</f>
        <v>39</v>
      </c>
      <c r="J154" s="222" t="str">
        <f t="shared" si="8"/>
        <v>T</v>
      </c>
      <c r="K154" s="44" t="str">
        <f t="shared" si="9"/>
        <v>TIRR - Total</v>
      </c>
      <c r="L154" s="44" t="e">
        <f>+VLOOKUP(K154,TL[],4,FALSE)</f>
        <v>#N/A</v>
      </c>
    </row>
    <row r="155" spans="1:12" x14ac:dyDescent="0.2">
      <c r="A155" t="s">
        <v>7050</v>
      </c>
      <c r="B155" t="s">
        <v>7051</v>
      </c>
      <c r="C155">
        <v>455.85</v>
      </c>
      <c r="D155" t="s">
        <v>6961</v>
      </c>
      <c r="E155">
        <v>455.85</v>
      </c>
      <c r="F155" t="s">
        <v>6961</v>
      </c>
      <c r="G155" s="220">
        <f t="shared" si="10"/>
        <v>455.85</v>
      </c>
      <c r="H155" s="220">
        <f t="shared" si="11"/>
        <v>455.85</v>
      </c>
      <c r="I155" s="221">
        <f>IF(A155="Total",VLOOKUP(B155,CORRESPONDANCE[#All],2,FALSE),I156)</f>
        <v>40</v>
      </c>
      <c r="J155" s="222" t="str">
        <f t="shared" si="8"/>
        <v>6</v>
      </c>
      <c r="K155" s="44" t="str">
        <f t="shared" si="9"/>
        <v>TIRR - 613525</v>
      </c>
      <c r="L155" s="44" t="e">
        <f>+VLOOKUP(K155,TL[],4,FALSE)</f>
        <v>#N/A</v>
      </c>
    </row>
    <row r="156" spans="1:12" x14ac:dyDescent="0.2">
      <c r="A156" t="s">
        <v>5894</v>
      </c>
      <c r="B156" t="s">
        <v>7052</v>
      </c>
      <c r="C156">
        <v>429.58</v>
      </c>
      <c r="D156" t="s">
        <v>6961</v>
      </c>
      <c r="E156">
        <v>429.58</v>
      </c>
      <c r="F156" t="s">
        <v>6961</v>
      </c>
      <c r="G156" s="220">
        <f t="shared" si="10"/>
        <v>429.58</v>
      </c>
      <c r="H156" s="220">
        <f t="shared" si="11"/>
        <v>429.58</v>
      </c>
      <c r="I156" s="221">
        <f>IF(A156="Total",VLOOKUP(B156,CORRESPONDANCE[#All],2,FALSE),I157)</f>
        <v>40</v>
      </c>
      <c r="J156" s="222" t="str">
        <f t="shared" si="8"/>
        <v>6</v>
      </c>
      <c r="K156" s="44" t="str">
        <f t="shared" si="9"/>
        <v>TIRR - 621403</v>
      </c>
      <c r="L156" s="44" t="str">
        <f>+VLOOKUP(K156,TL[],4,FALSE)</f>
        <v>39</v>
      </c>
    </row>
    <row r="157" spans="1:12" x14ac:dyDescent="0.2">
      <c r="A157" t="s">
        <v>1743</v>
      </c>
      <c r="B157" t="s">
        <v>164</v>
      </c>
      <c r="C157">
        <v>0.04</v>
      </c>
      <c r="D157" t="s">
        <v>6961</v>
      </c>
      <c r="E157">
        <v>0.04</v>
      </c>
      <c r="F157" t="s">
        <v>6961</v>
      </c>
      <c r="G157" s="220">
        <f t="shared" si="10"/>
        <v>0.04</v>
      </c>
      <c r="H157" s="220">
        <f t="shared" si="11"/>
        <v>0.04</v>
      </c>
      <c r="I157" s="221">
        <f>IF(A157="Total",VLOOKUP(B157,CORRESPONDANCE[#All],2,FALSE),I158)</f>
        <v>40</v>
      </c>
      <c r="J157" s="222" t="str">
        <f t="shared" si="8"/>
        <v>6</v>
      </c>
      <c r="K157" s="44" t="str">
        <f t="shared" si="9"/>
        <v>TIRR - 658000</v>
      </c>
      <c r="L157" s="44" t="str">
        <f>+VLOOKUP(K157,TL[],4,FALSE)</f>
        <v>39</v>
      </c>
    </row>
    <row r="158" spans="1:12" x14ac:dyDescent="0.2">
      <c r="A158" t="s">
        <v>2770</v>
      </c>
      <c r="B158" t="s">
        <v>2396</v>
      </c>
      <c r="C158" t="s">
        <v>6961</v>
      </c>
      <c r="D158">
        <v>455.85</v>
      </c>
      <c r="E158" t="s">
        <v>6961</v>
      </c>
      <c r="F158">
        <v>455.85</v>
      </c>
      <c r="G158" s="220">
        <f t="shared" si="10"/>
        <v>-455.85</v>
      </c>
      <c r="H158" s="220">
        <f t="shared" si="11"/>
        <v>-455.85</v>
      </c>
      <c r="I158" s="221">
        <f>IF(A158="Total",VLOOKUP(B158,CORRESPONDANCE[#All],2,FALSE),I159)</f>
        <v>40</v>
      </c>
      <c r="J158" s="222" t="str">
        <f t="shared" si="8"/>
        <v>7</v>
      </c>
      <c r="K158" s="44" t="str">
        <f t="shared" si="9"/>
        <v>TIRR - 708882</v>
      </c>
      <c r="L158" s="44" t="str">
        <f>+VLOOKUP(K158,TL[],4,FALSE)</f>
        <v>39</v>
      </c>
    </row>
    <row r="159" spans="1:12" x14ac:dyDescent="0.2">
      <c r="A159" t="s">
        <v>7053</v>
      </c>
      <c r="B159" t="s">
        <v>6496</v>
      </c>
      <c r="C159">
        <v>1</v>
      </c>
      <c r="D159" t="s">
        <v>6961</v>
      </c>
      <c r="E159">
        <v>1</v>
      </c>
      <c r="F159" t="s">
        <v>6961</v>
      </c>
      <c r="G159" s="220">
        <f t="shared" si="10"/>
        <v>1</v>
      </c>
      <c r="H159" s="220">
        <f t="shared" si="11"/>
        <v>1</v>
      </c>
      <c r="I159" s="221">
        <f>IF(A159="Total",VLOOKUP(B159,CORRESPONDANCE[#All],2,FALSE),I160)</f>
        <v>40</v>
      </c>
      <c r="J159" s="222" t="str">
        <f t="shared" si="8"/>
        <v>7</v>
      </c>
      <c r="K159" s="44" t="str">
        <f t="shared" si="9"/>
        <v>TIRR - 708887</v>
      </c>
      <c r="L159" s="44" t="e">
        <f>+VLOOKUP(K159,TL[],4,FALSE)</f>
        <v>#N/A</v>
      </c>
    </row>
    <row r="160" spans="1:12" x14ac:dyDescent="0.2">
      <c r="A160" t="s">
        <v>197</v>
      </c>
      <c r="B160" t="s">
        <v>2603</v>
      </c>
      <c r="C160">
        <v>430.62</v>
      </c>
      <c r="D160" t="s">
        <v>6961</v>
      </c>
      <c r="E160">
        <v>430.62</v>
      </c>
      <c r="F160" t="s">
        <v>6961</v>
      </c>
      <c r="G160" s="220">
        <f t="shared" si="10"/>
        <v>430.62</v>
      </c>
      <c r="H160" s="220">
        <f t="shared" si="11"/>
        <v>430.62</v>
      </c>
      <c r="I160" s="221">
        <f>IF(A160="Total",VLOOKUP(B160,CORRESPONDANCE[#All],2,FALSE),I161)</f>
        <v>40</v>
      </c>
      <c r="J160" s="222" t="str">
        <f t="shared" si="8"/>
        <v>T</v>
      </c>
      <c r="K160" s="44" t="str">
        <f t="shared" si="9"/>
        <v>TIRR - Total</v>
      </c>
      <c r="L160" s="44" t="e">
        <f>+VLOOKUP(K160,TL[],4,FALSE)</f>
        <v>#N/A</v>
      </c>
    </row>
    <row r="161" spans="1:12" x14ac:dyDescent="0.2">
      <c r="A161" t="s">
        <v>1721</v>
      </c>
      <c r="B161" t="s">
        <v>2390</v>
      </c>
      <c r="C161">
        <v>3.34</v>
      </c>
      <c r="D161" t="s">
        <v>6961</v>
      </c>
      <c r="E161">
        <v>3.34</v>
      </c>
      <c r="F161" t="s">
        <v>6961</v>
      </c>
      <c r="G161" s="220">
        <f t="shared" si="10"/>
        <v>3.34</v>
      </c>
      <c r="H161" s="220">
        <f t="shared" si="11"/>
        <v>3.34</v>
      </c>
      <c r="I161" s="221">
        <f>IF(A161="Total",VLOOKUP(B161,CORRESPONDANCE[#All],2,FALSE),I162)</f>
        <v>42</v>
      </c>
      <c r="J161" s="222" t="str">
        <f t="shared" si="8"/>
        <v>6</v>
      </c>
      <c r="K161" s="44" t="str">
        <f t="shared" si="9"/>
        <v>TIRR - 661100</v>
      </c>
      <c r="L161" s="44" t="str">
        <f>+VLOOKUP(K161,TL[],4,FALSE)</f>
        <v>37</v>
      </c>
    </row>
    <row r="162" spans="1:12" x14ac:dyDescent="0.2">
      <c r="A162" t="s">
        <v>197</v>
      </c>
      <c r="B162" t="s">
        <v>2604</v>
      </c>
      <c r="C162">
        <v>3.34</v>
      </c>
      <c r="D162" t="s">
        <v>6961</v>
      </c>
      <c r="E162">
        <v>3.34</v>
      </c>
      <c r="F162" t="s">
        <v>6961</v>
      </c>
      <c r="G162" s="220">
        <f t="shared" si="10"/>
        <v>3.34</v>
      </c>
      <c r="H162" s="220">
        <f t="shared" si="11"/>
        <v>3.34</v>
      </c>
      <c r="I162" s="221">
        <f>IF(A162="Total",VLOOKUP(B162,CORRESPONDANCE[#All],2,FALSE),I163)</f>
        <v>42</v>
      </c>
      <c r="J162" s="222" t="str">
        <f t="shared" si="8"/>
        <v>T</v>
      </c>
      <c r="K162" s="44" t="str">
        <f t="shared" si="9"/>
        <v>TIRR - Total</v>
      </c>
      <c r="L162" s="44" t="e">
        <f>+VLOOKUP(K162,TL[],4,FALSE)</f>
        <v>#N/A</v>
      </c>
    </row>
    <row r="163" spans="1:12" x14ac:dyDescent="0.2">
      <c r="A163" t="s">
        <v>1725</v>
      </c>
      <c r="B163" t="s">
        <v>5301</v>
      </c>
      <c r="C163">
        <v>18.46</v>
      </c>
      <c r="D163" t="s">
        <v>6961</v>
      </c>
      <c r="E163">
        <v>18.46</v>
      </c>
      <c r="F163" t="s">
        <v>6961</v>
      </c>
      <c r="G163" s="220">
        <f t="shared" si="10"/>
        <v>18.46</v>
      </c>
      <c r="H163" s="220">
        <f t="shared" si="11"/>
        <v>18.46</v>
      </c>
      <c r="I163" s="221">
        <f>IF(A163="Total",VLOOKUP(B163,CORRESPONDANCE[#All],2,FALSE),I164)</f>
        <v>45</v>
      </c>
      <c r="J163" s="222" t="str">
        <f t="shared" si="8"/>
        <v>6</v>
      </c>
      <c r="K163" s="44" t="str">
        <f t="shared" si="9"/>
        <v>TIRR - 671300</v>
      </c>
      <c r="L163" s="44" t="str">
        <f>+VLOOKUP(K163,TL[],4,FALSE)</f>
        <v>39</v>
      </c>
    </row>
    <row r="164" spans="1:12" x14ac:dyDescent="0.2">
      <c r="A164" t="s">
        <v>197</v>
      </c>
      <c r="B164" t="s">
        <v>2807</v>
      </c>
      <c r="C164">
        <v>18.46</v>
      </c>
      <c r="D164" t="s">
        <v>6961</v>
      </c>
      <c r="E164">
        <v>18.46</v>
      </c>
      <c r="F164" t="s">
        <v>6961</v>
      </c>
      <c r="G164" s="220">
        <f t="shared" si="10"/>
        <v>18.46</v>
      </c>
      <c r="H164" s="220">
        <f t="shared" si="11"/>
        <v>18.46</v>
      </c>
      <c r="I164" s="221">
        <f>IF(A164="Total",VLOOKUP(B164,CORRESPONDANCE[#All],2,FALSE),I165)</f>
        <v>45</v>
      </c>
      <c r="J164" s="222" t="str">
        <f t="shared" si="8"/>
        <v>T</v>
      </c>
      <c r="K164" s="44" t="str">
        <f t="shared" si="9"/>
        <v>TIRR - Total</v>
      </c>
      <c r="L164" s="44" t="e">
        <f>+VLOOKUP(K164,TL[],4,FALSE)</f>
        <v>#N/A</v>
      </c>
    </row>
    <row r="165" spans="1:12" x14ac:dyDescent="0.2">
      <c r="A165" t="s">
        <v>2773</v>
      </c>
      <c r="B165" t="s">
        <v>2328</v>
      </c>
      <c r="C165">
        <v>17278</v>
      </c>
      <c r="D165" t="s">
        <v>6961</v>
      </c>
      <c r="E165">
        <v>17278</v>
      </c>
      <c r="F165" t="s">
        <v>6961</v>
      </c>
      <c r="G165" s="220">
        <f t="shared" si="10"/>
        <v>17278</v>
      </c>
      <c r="H165" s="220">
        <f t="shared" si="11"/>
        <v>17278</v>
      </c>
      <c r="I165" s="221">
        <f>IF(A165="Total",VLOOKUP(B165,CORRESPONDANCE[#All],2,FALSE),I166)</f>
        <v>46</v>
      </c>
      <c r="J165" s="222" t="str">
        <f t="shared" si="8"/>
        <v>6</v>
      </c>
      <c r="K165" s="44" t="str">
        <f t="shared" si="9"/>
        <v>TIRR - 628210</v>
      </c>
      <c r="L165" s="44" t="str">
        <f>+VLOOKUP(K165,TL[],4,FALSE)</f>
        <v>51</v>
      </c>
    </row>
    <row r="166" spans="1:12" x14ac:dyDescent="0.2">
      <c r="A166" t="s">
        <v>7054</v>
      </c>
      <c r="B166" t="s">
        <v>2141</v>
      </c>
      <c r="C166">
        <v>833.33</v>
      </c>
      <c r="D166" t="s">
        <v>6961</v>
      </c>
      <c r="E166">
        <v>833.33</v>
      </c>
      <c r="F166" t="s">
        <v>6961</v>
      </c>
      <c r="G166" s="220">
        <f t="shared" ref="G166:G183" si="12">SUM(C166)-SUM(D166)</f>
        <v>833.33</v>
      </c>
      <c r="H166" s="220">
        <f t="shared" ref="H166:H183" si="13">SUM(E166)-SUM(F166)</f>
        <v>833.33</v>
      </c>
      <c r="I166" s="221">
        <f>IF(A166="Total",VLOOKUP(B166,CORRESPONDANCE[#All],2,FALSE),I167)</f>
        <v>46</v>
      </c>
      <c r="J166" s="222" t="str">
        <f t="shared" ref="J166:J183" si="14">LEFT(A166,1)</f>
        <v>6</v>
      </c>
      <c r="K166" s="44" t="str">
        <f t="shared" ref="K166:K183" si="15">"TIRR"&amp;" - "&amp;A166</f>
        <v>TIRR - 628240</v>
      </c>
      <c r="L166" s="44" t="e">
        <f>+VLOOKUP(K166,TL[],4,FALSE)</f>
        <v>#N/A</v>
      </c>
    </row>
    <row r="167" spans="1:12" x14ac:dyDescent="0.2">
      <c r="A167" t="s">
        <v>197</v>
      </c>
      <c r="B167" t="s">
        <v>2607</v>
      </c>
      <c r="C167">
        <v>18111.330000000002</v>
      </c>
      <c r="D167" t="s">
        <v>6961</v>
      </c>
      <c r="E167">
        <v>18111.330000000002</v>
      </c>
      <c r="F167" t="s">
        <v>6961</v>
      </c>
      <c r="G167" s="220">
        <f t="shared" si="12"/>
        <v>18111.330000000002</v>
      </c>
      <c r="H167" s="220">
        <f t="shared" si="13"/>
        <v>18111.330000000002</v>
      </c>
      <c r="I167" s="221">
        <f>IF(A167="Total",VLOOKUP(B167,CORRESPONDANCE[#All],2,FALSE),I168)</f>
        <v>46</v>
      </c>
      <c r="J167" s="222" t="str">
        <f t="shared" si="14"/>
        <v>T</v>
      </c>
      <c r="K167" s="44" t="str">
        <f t="shared" si="15"/>
        <v>TIRR - Total</v>
      </c>
      <c r="L167" s="44" t="e">
        <f>+VLOOKUP(K167,TL[],4,FALSE)</f>
        <v>#N/A</v>
      </c>
    </row>
    <row r="168" spans="1:12" x14ac:dyDescent="0.2">
      <c r="A168" t="s">
        <v>1794</v>
      </c>
      <c r="B168" t="s">
        <v>7055</v>
      </c>
      <c r="C168" t="s">
        <v>6961</v>
      </c>
      <c r="D168">
        <v>5710.64</v>
      </c>
      <c r="E168" t="s">
        <v>6961</v>
      </c>
      <c r="F168">
        <v>5710.64</v>
      </c>
      <c r="G168" s="220">
        <f t="shared" si="12"/>
        <v>-5710.64</v>
      </c>
      <c r="H168" s="220">
        <f t="shared" si="13"/>
        <v>-5710.64</v>
      </c>
      <c r="I168" s="221" t="str">
        <f>IF(A168="Total",VLOOKUP(B168,CORRESPONDANCE[#All],2,FALSE),I169)</f>
        <v>41.1</v>
      </c>
      <c r="J168" s="222" t="str">
        <f t="shared" si="14"/>
        <v>7</v>
      </c>
      <c r="K168" s="44" t="str">
        <f t="shared" si="15"/>
        <v>TIRR - 702300</v>
      </c>
      <c r="L168" s="44" t="str">
        <f>+VLOOKUP(K168,TL[],4,FALSE)</f>
        <v>60</v>
      </c>
    </row>
    <row r="169" spans="1:12" x14ac:dyDescent="0.2">
      <c r="A169" t="s">
        <v>197</v>
      </c>
      <c r="B169" t="s">
        <v>2609</v>
      </c>
      <c r="C169" t="s">
        <v>6961</v>
      </c>
      <c r="D169">
        <v>5710.64</v>
      </c>
      <c r="E169" t="s">
        <v>6961</v>
      </c>
      <c r="F169">
        <v>5710.64</v>
      </c>
      <c r="G169" s="220">
        <f t="shared" si="12"/>
        <v>-5710.64</v>
      </c>
      <c r="H169" s="220">
        <f t="shared" si="13"/>
        <v>-5710.64</v>
      </c>
      <c r="I169" s="221" t="str">
        <f>IF(A169="Total",VLOOKUP(B169,CORRESPONDANCE[#All],2,FALSE),I170)</f>
        <v>41.1</v>
      </c>
      <c r="J169" s="222" t="str">
        <f t="shared" si="14"/>
        <v>T</v>
      </c>
      <c r="K169" s="44" t="str">
        <f t="shared" si="15"/>
        <v>TIRR - Total</v>
      </c>
      <c r="L169" s="44" t="e">
        <f>+VLOOKUP(K169,TL[],4,FALSE)</f>
        <v>#N/A</v>
      </c>
    </row>
    <row r="170" spans="1:12" x14ac:dyDescent="0.2">
      <c r="A170" t="s">
        <v>1631</v>
      </c>
      <c r="B170" t="s">
        <v>2213</v>
      </c>
      <c r="C170">
        <v>1860.56</v>
      </c>
      <c r="D170" t="s">
        <v>6961</v>
      </c>
      <c r="E170">
        <v>1860.56</v>
      </c>
      <c r="F170" t="s">
        <v>6961</v>
      </c>
      <c r="G170" s="220">
        <f t="shared" si="12"/>
        <v>1860.56</v>
      </c>
      <c r="H170" s="220">
        <f t="shared" si="13"/>
        <v>1860.56</v>
      </c>
      <c r="I170" s="221" t="str">
        <f>IF(A170="Total",VLOOKUP(B170,CORRESPONDANCE[#All],2,FALSE),I171)</f>
        <v>41.2</v>
      </c>
      <c r="J170" s="222" t="str">
        <f t="shared" si="14"/>
        <v>6</v>
      </c>
      <c r="K170" s="44" t="str">
        <f t="shared" si="15"/>
        <v>TIRR - 602202</v>
      </c>
      <c r="L170" s="44" t="str">
        <f>+VLOOKUP(K170,TL[],4,FALSE)</f>
        <v>62</v>
      </c>
    </row>
    <row r="171" spans="1:12" x14ac:dyDescent="0.2">
      <c r="A171" t="s">
        <v>1894</v>
      </c>
      <c r="B171" t="s">
        <v>1151</v>
      </c>
      <c r="C171">
        <v>1607.17</v>
      </c>
      <c r="D171" t="s">
        <v>6961</v>
      </c>
      <c r="E171">
        <v>1607.17</v>
      </c>
      <c r="F171" t="s">
        <v>6961</v>
      </c>
      <c r="G171" s="220">
        <f t="shared" si="12"/>
        <v>1607.17</v>
      </c>
      <c r="H171" s="220">
        <f t="shared" si="13"/>
        <v>1607.17</v>
      </c>
      <c r="I171" s="221" t="str">
        <f>IF(A171="Total",VLOOKUP(B171,CORRESPONDANCE[#All],2,FALSE),I172)</f>
        <v>41.2</v>
      </c>
      <c r="J171" s="222" t="str">
        <f t="shared" si="14"/>
        <v>6</v>
      </c>
      <c r="K171" s="44" t="str">
        <f t="shared" si="15"/>
        <v>TIRR - 603210</v>
      </c>
      <c r="L171" s="44" t="str">
        <f>+VLOOKUP(K171,TL[],4,FALSE)</f>
        <v>62</v>
      </c>
    </row>
    <row r="172" spans="1:12" x14ac:dyDescent="0.2">
      <c r="A172" t="s">
        <v>2610</v>
      </c>
      <c r="B172" t="s">
        <v>2327</v>
      </c>
      <c r="C172">
        <v>553.41999999999996</v>
      </c>
      <c r="D172" t="s">
        <v>6961</v>
      </c>
      <c r="E172">
        <v>553.41999999999996</v>
      </c>
      <c r="F172" t="s">
        <v>6961</v>
      </c>
      <c r="G172" s="220">
        <f t="shared" si="12"/>
        <v>553.41999999999996</v>
      </c>
      <c r="H172" s="220">
        <f t="shared" si="13"/>
        <v>553.41999999999996</v>
      </c>
      <c r="I172" s="221" t="str">
        <f>IF(A172="Total",VLOOKUP(B172,CORRESPONDANCE[#All],2,FALSE),I173)</f>
        <v>41.2</v>
      </c>
      <c r="J172" s="222" t="str">
        <f t="shared" si="14"/>
        <v>6</v>
      </c>
      <c r="K172" s="44" t="str">
        <f t="shared" si="15"/>
        <v>TIRR - 628024</v>
      </c>
      <c r="L172" s="44" t="str">
        <f>+VLOOKUP(K172,TL[],4,FALSE)</f>
        <v>62</v>
      </c>
    </row>
    <row r="173" spans="1:12" x14ac:dyDescent="0.2">
      <c r="A173" t="s">
        <v>6959</v>
      </c>
      <c r="B173" t="s">
        <v>7056</v>
      </c>
      <c r="C173">
        <v>16.350000000000001</v>
      </c>
      <c r="D173" t="s">
        <v>6961</v>
      </c>
      <c r="E173">
        <v>16.350000000000001</v>
      </c>
      <c r="F173" t="s">
        <v>6961</v>
      </c>
      <c r="G173" s="220">
        <f t="shared" si="12"/>
        <v>16.350000000000001</v>
      </c>
      <c r="H173" s="220">
        <f t="shared" si="13"/>
        <v>16.350000000000001</v>
      </c>
      <c r="I173" s="221" t="str">
        <f>IF(A173="Total",VLOOKUP(B173,CORRESPONDANCE[#All],2,FALSE),I174)</f>
        <v>41.2</v>
      </c>
      <c r="J173" s="222" t="str">
        <f t="shared" si="14"/>
        <v>6</v>
      </c>
      <c r="K173" s="44" t="str">
        <f t="shared" si="15"/>
        <v>TIRR - 628025</v>
      </c>
      <c r="L173" s="44" t="e">
        <f>+VLOOKUP(K173,TL[],4,FALSE)</f>
        <v>#N/A</v>
      </c>
    </row>
    <row r="174" spans="1:12" x14ac:dyDescent="0.2">
      <c r="A174" t="s">
        <v>197</v>
      </c>
      <c r="B174" t="s">
        <v>2611</v>
      </c>
      <c r="C174">
        <v>4037.5</v>
      </c>
      <c r="D174" t="s">
        <v>6961</v>
      </c>
      <c r="E174">
        <v>4037.5</v>
      </c>
      <c r="F174" t="s">
        <v>6961</v>
      </c>
      <c r="G174" s="220">
        <f t="shared" si="12"/>
        <v>4037.5</v>
      </c>
      <c r="H174" s="220">
        <f t="shared" si="13"/>
        <v>4037.5</v>
      </c>
      <c r="I174" s="221" t="str">
        <f>IF(A174="Total",VLOOKUP(B174,CORRESPONDANCE[#All],2,FALSE),I175)</f>
        <v>41.2</v>
      </c>
      <c r="J174" s="222" t="str">
        <f t="shared" si="14"/>
        <v>T</v>
      </c>
      <c r="K174" s="44" t="str">
        <f t="shared" si="15"/>
        <v>TIRR - Total</v>
      </c>
      <c r="L174" s="44" t="e">
        <f>+VLOOKUP(K174,TL[],4,FALSE)</f>
        <v>#N/A</v>
      </c>
    </row>
    <row r="175" spans="1:12" x14ac:dyDescent="0.2">
      <c r="A175" t="s">
        <v>6961</v>
      </c>
      <c r="B175" t="s">
        <v>2612</v>
      </c>
      <c r="C175">
        <v>279438.02</v>
      </c>
      <c r="D175">
        <v>277827.71999999997</v>
      </c>
      <c r="E175">
        <v>279438.02</v>
      </c>
      <c r="F175">
        <v>277827.71999999997</v>
      </c>
      <c r="G175" s="220">
        <f t="shared" si="12"/>
        <v>1610.3000000000466</v>
      </c>
      <c r="H175" s="220">
        <f t="shared" si="13"/>
        <v>1610.3000000000466</v>
      </c>
      <c r="I175" s="221">
        <f>IF(A175="Total",VLOOKUP(B175,CORRESPONDANCE[#All],2,FALSE),I176)</f>
        <v>0</v>
      </c>
      <c r="J175" s="222" t="str">
        <f t="shared" si="14"/>
        <v/>
      </c>
      <c r="K175" s="44" t="str">
        <f t="shared" si="15"/>
        <v xml:space="preserve">TIRR - </v>
      </c>
      <c r="L175" s="44" t="e">
        <f>+VLOOKUP(K175,TL[],4,FALSE)</f>
        <v>#N/A</v>
      </c>
    </row>
    <row r="176" spans="1:12" x14ac:dyDescent="0.2">
      <c r="G176" s="220">
        <f t="shared" si="12"/>
        <v>0</v>
      </c>
      <c r="H176" s="220">
        <f t="shared" si="13"/>
        <v>0</v>
      </c>
      <c r="I176" s="221">
        <f>IF(A176="Total",VLOOKUP(B176,CORRESPONDANCE[#All],2,FALSE),I177)</f>
        <v>0</v>
      </c>
      <c r="J176" s="222" t="str">
        <f t="shared" si="14"/>
        <v/>
      </c>
      <c r="K176" s="44" t="str">
        <f t="shared" si="15"/>
        <v xml:space="preserve">TIRR - </v>
      </c>
      <c r="L176" s="44" t="e">
        <f>+VLOOKUP(K176,TL[],4,FALSE)</f>
        <v>#N/A</v>
      </c>
    </row>
    <row r="177" spans="7:12" x14ac:dyDescent="0.2">
      <c r="G177" s="220">
        <f t="shared" si="12"/>
        <v>0</v>
      </c>
      <c r="H177" s="220">
        <f t="shared" si="13"/>
        <v>0</v>
      </c>
      <c r="I177" s="221">
        <f>IF(A177="Total",VLOOKUP(B177,CORRESPONDANCE[#All],2,FALSE),I178)</f>
        <v>0</v>
      </c>
      <c r="J177" s="222" t="str">
        <f t="shared" si="14"/>
        <v/>
      </c>
      <c r="K177" s="44" t="str">
        <f t="shared" si="15"/>
        <v xml:space="preserve">TIRR - </v>
      </c>
      <c r="L177" s="44" t="e">
        <f>+VLOOKUP(K177,TL[],4,FALSE)</f>
        <v>#N/A</v>
      </c>
    </row>
    <row r="178" spans="7:12" x14ac:dyDescent="0.2">
      <c r="G178" s="220">
        <f t="shared" si="12"/>
        <v>0</v>
      </c>
      <c r="H178" s="220">
        <f t="shared" si="13"/>
        <v>0</v>
      </c>
      <c r="I178" s="221">
        <f>IF(A178="Total",VLOOKUP(B178,CORRESPONDANCE[#All],2,FALSE),I179)</f>
        <v>0</v>
      </c>
      <c r="J178" s="222" t="str">
        <f t="shared" si="14"/>
        <v/>
      </c>
      <c r="K178" s="44" t="str">
        <f t="shared" si="15"/>
        <v xml:space="preserve">TIRR - </v>
      </c>
      <c r="L178" s="44" t="e">
        <f>+VLOOKUP(K178,TL[],4,FALSE)</f>
        <v>#N/A</v>
      </c>
    </row>
    <row r="179" spans="7:12" x14ac:dyDescent="0.2">
      <c r="G179" s="220">
        <f t="shared" si="12"/>
        <v>0</v>
      </c>
      <c r="H179" s="220">
        <f t="shared" si="13"/>
        <v>0</v>
      </c>
      <c r="I179" s="221">
        <f>IF(A179="Total",VLOOKUP(B179,CORRESPONDANCE[#All],2,FALSE),I180)</f>
        <v>0</v>
      </c>
      <c r="J179" s="222" t="str">
        <f t="shared" si="14"/>
        <v/>
      </c>
      <c r="K179" s="44" t="str">
        <f t="shared" si="15"/>
        <v xml:space="preserve">TIRR - </v>
      </c>
      <c r="L179" s="44" t="e">
        <f>+VLOOKUP(K179,TL[],4,FALSE)</f>
        <v>#N/A</v>
      </c>
    </row>
    <row r="180" spans="7:12" x14ac:dyDescent="0.2">
      <c r="G180" s="220">
        <f t="shared" si="12"/>
        <v>0</v>
      </c>
      <c r="H180" s="220">
        <f t="shared" si="13"/>
        <v>0</v>
      </c>
      <c r="I180" s="221">
        <f>IF(A180="Total",VLOOKUP(B180,CORRESPONDANCE[#All],2,FALSE),I181)</f>
        <v>0</v>
      </c>
      <c r="J180" s="222" t="str">
        <f t="shared" si="14"/>
        <v/>
      </c>
      <c r="K180" s="44" t="str">
        <f t="shared" si="15"/>
        <v xml:space="preserve">TIRR - </v>
      </c>
      <c r="L180" s="44" t="e">
        <f>+VLOOKUP(K180,TL[],4,FALSE)</f>
        <v>#N/A</v>
      </c>
    </row>
    <row r="181" spans="7:12" x14ac:dyDescent="0.2">
      <c r="G181" s="220">
        <f t="shared" si="12"/>
        <v>0</v>
      </c>
      <c r="H181" s="220">
        <f t="shared" si="13"/>
        <v>0</v>
      </c>
      <c r="I181" s="221">
        <f>IF(A181="Total",VLOOKUP(B181,CORRESPONDANCE[#All],2,FALSE),I182)</f>
        <v>0</v>
      </c>
      <c r="J181" s="222" t="str">
        <f t="shared" si="14"/>
        <v/>
      </c>
      <c r="K181" s="44" t="str">
        <f t="shared" si="15"/>
        <v xml:space="preserve">TIRR - </v>
      </c>
      <c r="L181" s="44" t="e">
        <f>+VLOOKUP(K181,TL[],4,FALSE)</f>
        <v>#N/A</v>
      </c>
    </row>
    <row r="182" spans="7:12" x14ac:dyDescent="0.2">
      <c r="G182" s="220">
        <f t="shared" si="12"/>
        <v>0</v>
      </c>
      <c r="H182" s="220">
        <f t="shared" si="13"/>
        <v>0</v>
      </c>
      <c r="I182" s="221">
        <f>IF(A182="Total",VLOOKUP(B182,CORRESPONDANCE[#All],2,FALSE),I183)</f>
        <v>0</v>
      </c>
      <c r="J182" s="222" t="str">
        <f t="shared" si="14"/>
        <v/>
      </c>
      <c r="K182" s="44" t="str">
        <f t="shared" si="15"/>
        <v xml:space="preserve">TIRR - </v>
      </c>
      <c r="L182" s="44" t="e">
        <f>+VLOOKUP(K182,TL[],4,FALSE)</f>
        <v>#N/A</v>
      </c>
    </row>
    <row r="183" spans="7:12" x14ac:dyDescent="0.2">
      <c r="G183" s="220">
        <f t="shared" si="12"/>
        <v>0</v>
      </c>
      <c r="H183" s="220">
        <f t="shared" si="13"/>
        <v>0</v>
      </c>
      <c r="I183" s="221">
        <f>IF(A183="Total",VLOOKUP(B183,CORRESPONDANCE[#All],2,FALSE),I184)</f>
        <v>0</v>
      </c>
      <c r="J183" s="222" t="str">
        <f t="shared" si="14"/>
        <v/>
      </c>
      <c r="K183" s="44" t="str">
        <f t="shared" si="15"/>
        <v xml:space="preserve">TIRR - </v>
      </c>
      <c r="L183" s="44" t="e">
        <f>+VLOOKUP(K183,TL[],4,FALSE)</f>
        <v>#N/A</v>
      </c>
    </row>
    <row r="184" spans="7:12" x14ac:dyDescent="0.2">
      <c r="G184" s="220">
        <f t="shared" ref="G184:G189" si="16">SUM(C184)-SUM(D184)</f>
        <v>0</v>
      </c>
      <c r="H184" s="220">
        <f t="shared" ref="H184:H189" si="17">SUM(E184)-SUM(F184)</f>
        <v>0</v>
      </c>
      <c r="I184" s="221">
        <f>IF(A184="Total",VLOOKUP(B184,CORRESPONDANCE[#All],2,FALSE),I185)</f>
        <v>0</v>
      </c>
      <c r="J184" s="222" t="str">
        <f t="shared" ref="J184:J189" si="18">LEFT(A184,1)</f>
        <v/>
      </c>
      <c r="K184" s="44" t="str">
        <f t="shared" ref="K184:K189" si="19">"TIRR"&amp;" - "&amp;A184</f>
        <v xml:space="preserve">TIRR - </v>
      </c>
      <c r="L184" s="44" t="e">
        <f>+VLOOKUP(K184,TL[],4,FALSE)</f>
        <v>#N/A</v>
      </c>
    </row>
    <row r="185" spans="7:12" x14ac:dyDescent="0.2">
      <c r="G185" s="220">
        <f t="shared" si="16"/>
        <v>0</v>
      </c>
      <c r="H185" s="220">
        <f t="shared" si="17"/>
        <v>0</v>
      </c>
      <c r="I185" s="221">
        <f>IF(A185="Total",VLOOKUP(B185,CORRESPONDANCE[#All],2,FALSE),I186)</f>
        <v>0</v>
      </c>
      <c r="J185" s="222" t="str">
        <f t="shared" si="18"/>
        <v/>
      </c>
      <c r="K185" s="44" t="str">
        <f t="shared" si="19"/>
        <v xml:space="preserve">TIRR - </v>
      </c>
      <c r="L185" s="44" t="e">
        <f>+VLOOKUP(K185,TL[],4,FALSE)</f>
        <v>#N/A</v>
      </c>
    </row>
    <row r="186" spans="7:12" x14ac:dyDescent="0.2">
      <c r="G186" s="220">
        <f t="shared" si="16"/>
        <v>0</v>
      </c>
      <c r="H186" s="220">
        <f t="shared" si="17"/>
        <v>0</v>
      </c>
      <c r="I186" s="221">
        <f>IF(A186="Total",VLOOKUP(B186,CORRESPONDANCE[#All],2,FALSE),I187)</f>
        <v>0</v>
      </c>
      <c r="J186" s="222" t="str">
        <f t="shared" si="18"/>
        <v/>
      </c>
      <c r="K186" s="44" t="str">
        <f t="shared" si="19"/>
        <v xml:space="preserve">TIRR - </v>
      </c>
      <c r="L186" s="44" t="e">
        <f>+VLOOKUP(K186,TL[],4,FALSE)</f>
        <v>#N/A</v>
      </c>
    </row>
    <row r="187" spans="7:12" x14ac:dyDescent="0.2">
      <c r="G187" s="220">
        <f t="shared" si="16"/>
        <v>0</v>
      </c>
      <c r="H187" s="220">
        <f t="shared" si="17"/>
        <v>0</v>
      </c>
      <c r="I187" s="221">
        <f>IF(A187="Total",VLOOKUP(B187,CORRESPONDANCE[#All],2,FALSE),I188)</f>
        <v>0</v>
      </c>
      <c r="J187" s="222" t="str">
        <f t="shared" si="18"/>
        <v/>
      </c>
      <c r="K187" s="44" t="str">
        <f t="shared" si="19"/>
        <v xml:space="preserve">TIRR - </v>
      </c>
      <c r="L187" s="44" t="e">
        <f>+VLOOKUP(K187,TL[],4,FALSE)</f>
        <v>#N/A</v>
      </c>
    </row>
    <row r="188" spans="7:12" x14ac:dyDescent="0.2">
      <c r="G188" s="220">
        <f t="shared" si="16"/>
        <v>0</v>
      </c>
      <c r="H188" s="220">
        <f t="shared" si="17"/>
        <v>0</v>
      </c>
      <c r="I188" s="221">
        <f>IF(A188="Total",VLOOKUP(B188,CORRESPONDANCE[#All],2,FALSE),I189)</f>
        <v>0</v>
      </c>
      <c r="J188" s="222" t="str">
        <f t="shared" si="18"/>
        <v/>
      </c>
      <c r="K188" s="44" t="str">
        <f t="shared" si="19"/>
        <v xml:space="preserve">TIRR - </v>
      </c>
      <c r="L188" s="44" t="e">
        <f>+VLOOKUP(K188,TL[],4,FALSE)</f>
        <v>#N/A</v>
      </c>
    </row>
    <row r="189" spans="7:12" x14ac:dyDescent="0.2">
      <c r="G189" s="220">
        <f t="shared" si="16"/>
        <v>0</v>
      </c>
      <c r="H189" s="220">
        <f t="shared" si="17"/>
        <v>0</v>
      </c>
      <c r="I189" s="221">
        <f>IF(A189="Total",VLOOKUP(B189,CORRESPONDANCE[#All],2,FALSE),I190)</f>
        <v>0</v>
      </c>
      <c r="J189" s="222" t="str">
        <f t="shared" si="18"/>
        <v/>
      </c>
      <c r="K189" s="44" t="str">
        <f t="shared" si="19"/>
        <v xml:space="preserve">TIRR - </v>
      </c>
      <c r="L189" s="44" t="e">
        <f>+VLOOKUP(K189,TL[],4,FALSE)</f>
        <v>#N/A</v>
      </c>
    </row>
    <row r="190" spans="7:12" x14ac:dyDescent="0.2">
      <c r="G190" s="220">
        <f t="shared" ref="G190:G191" si="20">SUM(C190)-SUM(D190)</f>
        <v>0</v>
      </c>
      <c r="H190" s="220">
        <f t="shared" ref="H190:H191" si="21">SUM(E190)-SUM(F190)</f>
        <v>0</v>
      </c>
      <c r="I190" s="221">
        <f>IF(A190="Total",VLOOKUP(B190,CORRESPONDANCE[#All],2,FALSE),I191)</f>
        <v>0</v>
      </c>
      <c r="J190" s="222" t="str">
        <f t="shared" ref="J190:J191" si="22">LEFT(A190,1)</f>
        <v/>
      </c>
      <c r="K190" s="44" t="str">
        <f>"TIRR"&amp;" - "&amp;A190</f>
        <v xml:space="preserve">TIRR - </v>
      </c>
      <c r="L190" s="44" t="e">
        <f>+VLOOKUP(K190,TL[],4,FALSE)</f>
        <v>#N/A</v>
      </c>
    </row>
    <row r="191" spans="7:12" x14ac:dyDescent="0.2">
      <c r="G191" s="220">
        <f t="shared" si="20"/>
        <v>0</v>
      </c>
      <c r="H191" s="220">
        <f t="shared" si="21"/>
        <v>0</v>
      </c>
      <c r="I191" s="221">
        <f>IF(A191="Total",VLOOKUP(B191,CORRESPONDANCE[#All],2,FALSE),I192)</f>
        <v>0</v>
      </c>
      <c r="J191" s="222" t="str">
        <f t="shared" si="22"/>
        <v/>
      </c>
      <c r="K191" s="44" t="str">
        <f>"TIRR"&amp;" - "&amp;A191</f>
        <v xml:space="preserve">TIRR - </v>
      </c>
      <c r="L191" s="44" t="e">
        <f>+VLOOKUP(K191,TL[],4,FALSE)</f>
        <v>#N/A</v>
      </c>
    </row>
    <row r="192" spans="7:12" x14ac:dyDescent="0.2">
      <c r="G192" s="220">
        <f>SUM(C192)-SUM(D192)</f>
        <v>0</v>
      </c>
      <c r="H192" s="220">
        <f>SUM(E192)-SUM(F192)</f>
        <v>0</v>
      </c>
      <c r="I192" s="221">
        <f>IF(A192="Total",VLOOKUP(B192,CORRESPONDANCE[#All],2,FALSE),I193)</f>
        <v>0</v>
      </c>
      <c r="J192" s="222" t="str">
        <f>LEFT(A192,1)</f>
        <v/>
      </c>
      <c r="K192" s="44" t="str">
        <f>"TIRR"&amp;" - "&amp;A192</f>
        <v xml:space="preserve">TIRR - </v>
      </c>
      <c r="L192" s="44" t="e">
        <f>+VLOOKUP(K192,TL[],4,FALSE)</f>
        <v>#N/A</v>
      </c>
    </row>
    <row r="193" spans="7:12" x14ac:dyDescent="0.2">
      <c r="G193" s="220">
        <f>SUM(C193)-SUM(D193)</f>
        <v>0</v>
      </c>
      <c r="H193" s="220">
        <f>SUM(E193)-SUM(F193)</f>
        <v>0</v>
      </c>
      <c r="I193" s="221">
        <f>IF(A193="Total",VLOOKUP(B193,CORRESPONDANCE[#All],2,FALSE),I194)</f>
        <v>0</v>
      </c>
      <c r="J193" s="222" t="str">
        <f>LEFT(A193,1)</f>
        <v/>
      </c>
      <c r="K193" s="44" t="str">
        <f>"TIRR"&amp;" - "&amp;A193</f>
        <v xml:space="preserve">TIRR - </v>
      </c>
      <c r="L193" s="44" t="e">
        <f>+VLOOKUP(K193,TL[],4,FALSE)</f>
        <v>#N/A</v>
      </c>
    </row>
    <row r="194" spans="7:12" x14ac:dyDescent="0.2">
      <c r="G194" s="220">
        <f>SUM(C194)-SUM(D194)</f>
        <v>0</v>
      </c>
      <c r="H194" s="220">
        <f>SUM(E194)-SUM(F194)</f>
        <v>0</v>
      </c>
      <c r="I194" s="221">
        <f>IF(A194="Total",VLOOKUP(B194,CORRESPONDANCE[#All],2,FALSE),I195)</f>
        <v>0</v>
      </c>
      <c r="J194" s="222" t="str">
        <f>LEFT(A194,1)</f>
        <v/>
      </c>
      <c r="K194" s="44" t="str">
        <f>"TIRR"&amp;" - "&amp;A194</f>
        <v xml:space="preserve">TIRR - </v>
      </c>
      <c r="L194" s="44" t="e">
        <f>+VLOOKUP(K194,TL[],4,FALSE)</f>
        <v>#N/A</v>
      </c>
    </row>
    <row r="195" spans="7:12" x14ac:dyDescent="0.2">
      <c r="G195" s="220">
        <f t="shared" ref="G195:G258" si="23">SUM(C195)-SUM(D195)</f>
        <v>0</v>
      </c>
      <c r="H195" s="220">
        <f t="shared" ref="H195:H258" si="24">SUM(E195)-SUM(F195)</f>
        <v>0</v>
      </c>
      <c r="I195" s="221">
        <f>IF(A195="Total",VLOOKUP(B195,CORRESPONDANCE[#All],2,FALSE),I196)</f>
        <v>0</v>
      </c>
      <c r="J195" s="222" t="str">
        <f t="shared" ref="J195:J258" si="25">LEFT(A195,1)</f>
        <v/>
      </c>
      <c r="K195" s="44" t="str">
        <f t="shared" ref="K195:K258" si="26">"TIRR"&amp;" - "&amp;A195</f>
        <v xml:space="preserve">TIRR - </v>
      </c>
      <c r="L195" s="44" t="e">
        <f>+VLOOKUP(K195,TL[],4,FALSE)</f>
        <v>#N/A</v>
      </c>
    </row>
    <row r="196" spans="7:12" x14ac:dyDescent="0.2">
      <c r="G196" s="220">
        <f t="shared" si="23"/>
        <v>0</v>
      </c>
      <c r="H196" s="220">
        <f t="shared" si="24"/>
        <v>0</v>
      </c>
      <c r="I196" s="221">
        <f>IF(A196="Total",VLOOKUP(B196,CORRESPONDANCE[#All],2,FALSE),I197)</f>
        <v>0</v>
      </c>
      <c r="J196" s="222" t="str">
        <f t="shared" si="25"/>
        <v/>
      </c>
      <c r="K196" s="44" t="str">
        <f t="shared" si="26"/>
        <v xml:space="preserve">TIRR - </v>
      </c>
      <c r="L196" s="44" t="e">
        <f>+VLOOKUP(K196,TL[],4,FALSE)</f>
        <v>#N/A</v>
      </c>
    </row>
    <row r="197" spans="7:12" x14ac:dyDescent="0.2">
      <c r="G197" s="220">
        <f t="shared" si="23"/>
        <v>0</v>
      </c>
      <c r="H197" s="220">
        <f t="shared" si="24"/>
        <v>0</v>
      </c>
      <c r="I197" s="221">
        <f>IF(A197="Total",VLOOKUP(B197,CORRESPONDANCE[#All],2,FALSE),I198)</f>
        <v>0</v>
      </c>
      <c r="J197" s="222" t="str">
        <f t="shared" si="25"/>
        <v/>
      </c>
      <c r="K197" s="44" t="str">
        <f t="shared" si="26"/>
        <v xml:space="preserve">TIRR - </v>
      </c>
      <c r="L197" s="44" t="e">
        <f>+VLOOKUP(K197,TL[],4,FALSE)</f>
        <v>#N/A</v>
      </c>
    </row>
    <row r="198" spans="7:12" x14ac:dyDescent="0.2">
      <c r="G198" s="220">
        <f t="shared" si="23"/>
        <v>0</v>
      </c>
      <c r="H198" s="220">
        <f t="shared" si="24"/>
        <v>0</v>
      </c>
      <c r="I198" s="221">
        <f>IF(A198="Total",VLOOKUP(B198,CORRESPONDANCE[#All],2,FALSE),I199)</f>
        <v>0</v>
      </c>
      <c r="J198" s="222" t="str">
        <f t="shared" si="25"/>
        <v/>
      </c>
      <c r="K198" s="44" t="str">
        <f t="shared" si="26"/>
        <v xml:space="preserve">TIRR - </v>
      </c>
      <c r="L198" s="44" t="e">
        <f>+VLOOKUP(K198,TL[],4,FALSE)</f>
        <v>#N/A</v>
      </c>
    </row>
    <row r="199" spans="7:12" x14ac:dyDescent="0.2">
      <c r="G199" s="220">
        <f t="shared" si="23"/>
        <v>0</v>
      </c>
      <c r="H199" s="220">
        <f t="shared" si="24"/>
        <v>0</v>
      </c>
      <c r="I199" s="221">
        <f>IF(A199="Total",VLOOKUP(B199,CORRESPONDANCE[#All],2,FALSE),I200)</f>
        <v>0</v>
      </c>
      <c r="J199" s="222" t="str">
        <f t="shared" si="25"/>
        <v/>
      </c>
      <c r="K199" s="44" t="str">
        <f t="shared" si="26"/>
        <v xml:space="preserve">TIRR - </v>
      </c>
      <c r="L199" s="44" t="e">
        <f>+VLOOKUP(K199,TL[],4,FALSE)</f>
        <v>#N/A</v>
      </c>
    </row>
    <row r="200" spans="7:12" x14ac:dyDescent="0.2">
      <c r="G200" s="220">
        <f t="shared" si="23"/>
        <v>0</v>
      </c>
      <c r="H200" s="220">
        <f t="shared" si="24"/>
        <v>0</v>
      </c>
      <c r="I200" s="221">
        <f>IF(A200="Total",VLOOKUP(B200,CORRESPONDANCE[#All],2,FALSE),I201)</f>
        <v>0</v>
      </c>
      <c r="J200" s="222" t="str">
        <f t="shared" si="25"/>
        <v/>
      </c>
      <c r="K200" s="44" t="str">
        <f t="shared" si="26"/>
        <v xml:space="preserve">TIRR - </v>
      </c>
      <c r="L200" s="44" t="e">
        <f>+VLOOKUP(K200,TL[],4,FALSE)</f>
        <v>#N/A</v>
      </c>
    </row>
    <row r="201" spans="7:12" x14ac:dyDescent="0.2">
      <c r="G201" s="220">
        <f t="shared" si="23"/>
        <v>0</v>
      </c>
      <c r="H201" s="220">
        <f t="shared" si="24"/>
        <v>0</v>
      </c>
      <c r="I201" s="221">
        <f>IF(A201="Total",VLOOKUP(B201,CORRESPONDANCE[#All],2,FALSE),I202)</f>
        <v>0</v>
      </c>
      <c r="J201" s="222" t="str">
        <f t="shared" si="25"/>
        <v/>
      </c>
      <c r="K201" s="44" t="str">
        <f t="shared" si="26"/>
        <v xml:space="preserve">TIRR - </v>
      </c>
      <c r="L201" s="44" t="e">
        <f>+VLOOKUP(K201,TL[],4,FALSE)</f>
        <v>#N/A</v>
      </c>
    </row>
    <row r="202" spans="7:12" x14ac:dyDescent="0.2">
      <c r="G202" s="220">
        <f t="shared" si="23"/>
        <v>0</v>
      </c>
      <c r="H202" s="220">
        <f t="shared" si="24"/>
        <v>0</v>
      </c>
      <c r="I202" s="221">
        <f>IF(A202="Total",VLOOKUP(B202,CORRESPONDANCE[#All],2,FALSE),I203)</f>
        <v>0</v>
      </c>
      <c r="J202" s="222" t="str">
        <f t="shared" si="25"/>
        <v/>
      </c>
      <c r="K202" s="44" t="str">
        <f t="shared" si="26"/>
        <v xml:space="preserve">TIRR - </v>
      </c>
      <c r="L202" s="44" t="e">
        <f>+VLOOKUP(K202,TL[],4,FALSE)</f>
        <v>#N/A</v>
      </c>
    </row>
    <row r="203" spans="7:12" x14ac:dyDescent="0.2">
      <c r="G203" s="220">
        <f t="shared" si="23"/>
        <v>0</v>
      </c>
      <c r="H203" s="220">
        <f t="shared" si="24"/>
        <v>0</v>
      </c>
      <c r="I203" s="221">
        <f>IF(A203="Total",VLOOKUP(B203,CORRESPONDANCE[#All],2,FALSE),I204)</f>
        <v>0</v>
      </c>
      <c r="J203" s="222" t="str">
        <f t="shared" si="25"/>
        <v/>
      </c>
      <c r="K203" s="44" t="str">
        <f t="shared" si="26"/>
        <v xml:space="preserve">TIRR - </v>
      </c>
      <c r="L203" s="44" t="e">
        <f>+VLOOKUP(K203,TL[],4,FALSE)</f>
        <v>#N/A</v>
      </c>
    </row>
    <row r="204" spans="7:12" x14ac:dyDescent="0.2">
      <c r="G204" s="220">
        <f t="shared" si="23"/>
        <v>0</v>
      </c>
      <c r="H204" s="220">
        <f t="shared" si="24"/>
        <v>0</v>
      </c>
      <c r="I204" s="221">
        <f>IF(A204="Total",VLOOKUP(B204,CORRESPONDANCE[#All],2,FALSE),I205)</f>
        <v>0</v>
      </c>
      <c r="J204" s="222" t="str">
        <f t="shared" si="25"/>
        <v/>
      </c>
      <c r="K204" s="44" t="str">
        <f t="shared" si="26"/>
        <v xml:space="preserve">TIRR - </v>
      </c>
      <c r="L204" s="44" t="e">
        <f>+VLOOKUP(K204,TL[],4,FALSE)</f>
        <v>#N/A</v>
      </c>
    </row>
    <row r="205" spans="7:12" x14ac:dyDescent="0.2">
      <c r="G205" s="220">
        <f t="shared" si="23"/>
        <v>0</v>
      </c>
      <c r="H205" s="220">
        <f t="shared" si="24"/>
        <v>0</v>
      </c>
      <c r="I205" s="221">
        <f>IF(A205="Total",VLOOKUP(B205,CORRESPONDANCE[#All],2,FALSE),I206)</f>
        <v>0</v>
      </c>
      <c r="J205" s="222" t="str">
        <f t="shared" si="25"/>
        <v/>
      </c>
      <c r="K205" s="44" t="str">
        <f t="shared" si="26"/>
        <v xml:space="preserve">TIRR - </v>
      </c>
      <c r="L205" s="44" t="e">
        <f>+VLOOKUP(K205,TL[],4,FALSE)</f>
        <v>#N/A</v>
      </c>
    </row>
    <row r="206" spans="7:12" x14ac:dyDescent="0.2">
      <c r="G206" s="220">
        <f t="shared" si="23"/>
        <v>0</v>
      </c>
      <c r="H206" s="220">
        <f t="shared" si="24"/>
        <v>0</v>
      </c>
      <c r="I206" s="221">
        <f>IF(A206="Total",VLOOKUP(B206,CORRESPONDANCE[#All],2,FALSE),I207)</f>
        <v>0</v>
      </c>
      <c r="J206" s="222" t="str">
        <f t="shared" si="25"/>
        <v/>
      </c>
      <c r="K206" s="44" t="str">
        <f t="shared" si="26"/>
        <v xml:space="preserve">TIRR - </v>
      </c>
      <c r="L206" s="44" t="e">
        <f>+VLOOKUP(K206,TL[],4,FALSE)</f>
        <v>#N/A</v>
      </c>
    </row>
    <row r="207" spans="7:12" x14ac:dyDescent="0.2">
      <c r="G207" s="220">
        <f t="shared" si="23"/>
        <v>0</v>
      </c>
      <c r="H207" s="220">
        <f t="shared" si="24"/>
        <v>0</v>
      </c>
      <c r="I207" s="221">
        <f>IF(A207="Total",VLOOKUP(B207,CORRESPONDANCE[#All],2,FALSE),I208)</f>
        <v>0</v>
      </c>
      <c r="J207" s="222" t="str">
        <f t="shared" si="25"/>
        <v/>
      </c>
      <c r="K207" s="44" t="str">
        <f t="shared" si="26"/>
        <v xml:space="preserve">TIRR - </v>
      </c>
      <c r="L207" s="44" t="e">
        <f>+VLOOKUP(K207,TL[],4,FALSE)</f>
        <v>#N/A</v>
      </c>
    </row>
    <row r="208" spans="7:12" x14ac:dyDescent="0.2">
      <c r="G208" s="220">
        <f t="shared" si="23"/>
        <v>0</v>
      </c>
      <c r="H208" s="220">
        <f t="shared" si="24"/>
        <v>0</v>
      </c>
      <c r="I208" s="221">
        <f>IF(A208="Total",VLOOKUP(B208,CORRESPONDANCE[#All],2,FALSE),I209)</f>
        <v>0</v>
      </c>
      <c r="J208" s="222" t="str">
        <f t="shared" si="25"/>
        <v/>
      </c>
      <c r="K208" s="44" t="str">
        <f t="shared" si="26"/>
        <v xml:space="preserve">TIRR - </v>
      </c>
      <c r="L208" s="44" t="e">
        <f>+VLOOKUP(K208,TL[],4,FALSE)</f>
        <v>#N/A</v>
      </c>
    </row>
    <row r="209" spans="7:12" x14ac:dyDescent="0.2">
      <c r="G209" s="220">
        <f t="shared" si="23"/>
        <v>0</v>
      </c>
      <c r="H209" s="220">
        <f t="shared" si="24"/>
        <v>0</v>
      </c>
      <c r="I209" s="221">
        <f>IF(A209="Total",VLOOKUP(B209,CORRESPONDANCE[#All],2,FALSE),I210)</f>
        <v>0</v>
      </c>
      <c r="J209" s="222" t="str">
        <f t="shared" si="25"/>
        <v/>
      </c>
      <c r="K209" s="44" t="str">
        <f t="shared" si="26"/>
        <v xml:space="preserve">TIRR - </v>
      </c>
      <c r="L209" s="44" t="e">
        <f>+VLOOKUP(K209,TL[],4,FALSE)</f>
        <v>#N/A</v>
      </c>
    </row>
    <row r="210" spans="7:12" x14ac:dyDescent="0.2">
      <c r="G210" s="220">
        <f t="shared" si="23"/>
        <v>0</v>
      </c>
      <c r="H210" s="220">
        <f t="shared" si="24"/>
        <v>0</v>
      </c>
      <c r="I210" s="221">
        <f>IF(A210="Total",VLOOKUP(B210,CORRESPONDANCE[#All],2,FALSE),I211)</f>
        <v>0</v>
      </c>
      <c r="J210" s="222" t="str">
        <f t="shared" si="25"/>
        <v/>
      </c>
      <c r="K210" s="44" t="str">
        <f t="shared" si="26"/>
        <v xml:space="preserve">TIRR - </v>
      </c>
      <c r="L210" s="44" t="e">
        <f>+VLOOKUP(K210,TL[],4,FALSE)</f>
        <v>#N/A</v>
      </c>
    </row>
    <row r="211" spans="7:12" x14ac:dyDescent="0.2">
      <c r="G211" s="220">
        <f t="shared" si="23"/>
        <v>0</v>
      </c>
      <c r="H211" s="220">
        <f t="shared" si="24"/>
        <v>0</v>
      </c>
      <c r="I211" s="221">
        <f>IF(A211="Total",VLOOKUP(B211,CORRESPONDANCE[#All],2,FALSE),I212)</f>
        <v>0</v>
      </c>
      <c r="J211" s="222" t="str">
        <f t="shared" si="25"/>
        <v/>
      </c>
      <c r="K211" s="44" t="str">
        <f t="shared" si="26"/>
        <v xml:space="preserve">TIRR - </v>
      </c>
      <c r="L211" s="44" t="e">
        <f>+VLOOKUP(K211,TL[],4,FALSE)</f>
        <v>#N/A</v>
      </c>
    </row>
    <row r="212" spans="7:12" x14ac:dyDescent="0.2">
      <c r="G212" s="220">
        <f t="shared" si="23"/>
        <v>0</v>
      </c>
      <c r="H212" s="220">
        <f t="shared" si="24"/>
        <v>0</v>
      </c>
      <c r="I212" s="221">
        <f>IF(A212="Total",VLOOKUP(B212,CORRESPONDANCE[#All],2,FALSE),I213)</f>
        <v>0</v>
      </c>
      <c r="J212" s="222" t="str">
        <f t="shared" si="25"/>
        <v/>
      </c>
      <c r="K212" s="44" t="str">
        <f t="shared" si="26"/>
        <v xml:space="preserve">TIRR - </v>
      </c>
      <c r="L212" s="44" t="e">
        <f>+VLOOKUP(K212,TL[],4,FALSE)</f>
        <v>#N/A</v>
      </c>
    </row>
    <row r="213" spans="7:12" x14ac:dyDescent="0.2">
      <c r="G213" s="220">
        <f t="shared" si="23"/>
        <v>0</v>
      </c>
      <c r="H213" s="220">
        <f t="shared" si="24"/>
        <v>0</v>
      </c>
      <c r="I213" s="221">
        <f>IF(A213="Total",VLOOKUP(B213,CORRESPONDANCE[#All],2,FALSE),I214)</f>
        <v>0</v>
      </c>
      <c r="J213" s="222" t="str">
        <f t="shared" si="25"/>
        <v/>
      </c>
      <c r="K213" s="44" t="str">
        <f t="shared" si="26"/>
        <v xml:space="preserve">TIRR - </v>
      </c>
      <c r="L213" s="44" t="e">
        <f>+VLOOKUP(K213,TL[],4,FALSE)</f>
        <v>#N/A</v>
      </c>
    </row>
    <row r="214" spans="7:12" x14ac:dyDescent="0.2">
      <c r="G214" s="220">
        <f t="shared" si="23"/>
        <v>0</v>
      </c>
      <c r="H214" s="220">
        <f t="shared" si="24"/>
        <v>0</v>
      </c>
      <c r="I214" s="221">
        <f>IF(A214="Total",VLOOKUP(B214,CORRESPONDANCE[#All],2,FALSE),I215)</f>
        <v>0</v>
      </c>
      <c r="J214" s="222" t="str">
        <f t="shared" si="25"/>
        <v/>
      </c>
      <c r="K214" s="44" t="str">
        <f t="shared" si="26"/>
        <v xml:space="preserve">TIRR - </v>
      </c>
      <c r="L214" s="44" t="e">
        <f>+VLOOKUP(K214,TL[],4,FALSE)</f>
        <v>#N/A</v>
      </c>
    </row>
    <row r="215" spans="7:12" x14ac:dyDescent="0.2">
      <c r="G215" s="220">
        <f t="shared" si="23"/>
        <v>0</v>
      </c>
      <c r="H215" s="220">
        <f t="shared" si="24"/>
        <v>0</v>
      </c>
      <c r="I215" s="221">
        <f>IF(A215="Total",VLOOKUP(B215,CORRESPONDANCE[#All],2,FALSE),I216)</f>
        <v>0</v>
      </c>
      <c r="J215" s="222" t="str">
        <f t="shared" si="25"/>
        <v/>
      </c>
      <c r="K215" s="44" t="str">
        <f t="shared" si="26"/>
        <v xml:space="preserve">TIRR - </v>
      </c>
      <c r="L215" s="44" t="e">
        <f>+VLOOKUP(K215,TL[],4,FALSE)</f>
        <v>#N/A</v>
      </c>
    </row>
    <row r="216" spans="7:12" x14ac:dyDescent="0.2">
      <c r="G216" s="220">
        <f t="shared" si="23"/>
        <v>0</v>
      </c>
      <c r="H216" s="220">
        <f t="shared" si="24"/>
        <v>0</v>
      </c>
      <c r="I216" s="221">
        <f>IF(A216="Total",VLOOKUP(B216,CORRESPONDANCE[#All],2,FALSE),I217)</f>
        <v>0</v>
      </c>
      <c r="J216" s="222" t="str">
        <f t="shared" si="25"/>
        <v/>
      </c>
      <c r="K216" s="44" t="str">
        <f t="shared" si="26"/>
        <v xml:space="preserve">TIRR - </v>
      </c>
      <c r="L216" s="44" t="e">
        <f>+VLOOKUP(K216,TL[],4,FALSE)</f>
        <v>#N/A</v>
      </c>
    </row>
    <row r="217" spans="7:12" x14ac:dyDescent="0.2">
      <c r="G217" s="220">
        <f t="shared" si="23"/>
        <v>0</v>
      </c>
      <c r="H217" s="220">
        <f t="shared" si="24"/>
        <v>0</v>
      </c>
      <c r="I217" s="221">
        <f>IF(A217="Total",VLOOKUP(B217,CORRESPONDANCE[#All],2,FALSE),I218)</f>
        <v>0</v>
      </c>
      <c r="J217" s="222" t="str">
        <f t="shared" si="25"/>
        <v/>
      </c>
      <c r="K217" s="44" t="str">
        <f t="shared" si="26"/>
        <v xml:space="preserve">TIRR - </v>
      </c>
      <c r="L217" s="44" t="e">
        <f>+VLOOKUP(K217,TL[],4,FALSE)</f>
        <v>#N/A</v>
      </c>
    </row>
    <row r="218" spans="7:12" x14ac:dyDescent="0.2">
      <c r="G218" s="220">
        <f t="shared" si="23"/>
        <v>0</v>
      </c>
      <c r="H218" s="220">
        <f t="shared" si="24"/>
        <v>0</v>
      </c>
      <c r="I218" s="221">
        <f>IF(A218="Total",VLOOKUP(B218,CORRESPONDANCE[#All],2,FALSE),I219)</f>
        <v>0</v>
      </c>
      <c r="J218" s="222" t="str">
        <f t="shared" si="25"/>
        <v/>
      </c>
      <c r="K218" s="44" t="str">
        <f t="shared" si="26"/>
        <v xml:space="preserve">TIRR - </v>
      </c>
      <c r="L218" s="44" t="e">
        <f>+VLOOKUP(K218,TL[],4,FALSE)</f>
        <v>#N/A</v>
      </c>
    </row>
    <row r="219" spans="7:12" x14ac:dyDescent="0.2">
      <c r="G219" s="220">
        <f t="shared" si="23"/>
        <v>0</v>
      </c>
      <c r="H219" s="220">
        <f t="shared" si="24"/>
        <v>0</v>
      </c>
      <c r="I219" s="221">
        <f>IF(A219="Total",VLOOKUP(B219,CORRESPONDANCE[#All],2,FALSE),I220)</f>
        <v>0</v>
      </c>
      <c r="J219" s="222" t="str">
        <f t="shared" si="25"/>
        <v/>
      </c>
      <c r="K219" s="44" t="str">
        <f t="shared" si="26"/>
        <v xml:space="preserve">TIRR - </v>
      </c>
      <c r="L219" s="44" t="e">
        <f>+VLOOKUP(K219,TL[],4,FALSE)</f>
        <v>#N/A</v>
      </c>
    </row>
    <row r="220" spans="7:12" x14ac:dyDescent="0.2">
      <c r="G220" s="220">
        <f t="shared" si="23"/>
        <v>0</v>
      </c>
      <c r="H220" s="220">
        <f t="shared" si="24"/>
        <v>0</v>
      </c>
      <c r="I220" s="221">
        <f>IF(A220="Total",VLOOKUP(B220,CORRESPONDANCE[#All],2,FALSE),I221)</f>
        <v>0</v>
      </c>
      <c r="J220" s="222" t="str">
        <f t="shared" si="25"/>
        <v/>
      </c>
      <c r="K220" s="44" t="str">
        <f t="shared" si="26"/>
        <v xml:space="preserve">TIRR - </v>
      </c>
      <c r="L220" s="44" t="e">
        <f>+VLOOKUP(K220,TL[],4,FALSE)</f>
        <v>#N/A</v>
      </c>
    </row>
    <row r="221" spans="7:12" x14ac:dyDescent="0.2">
      <c r="G221" s="220">
        <f t="shared" si="23"/>
        <v>0</v>
      </c>
      <c r="H221" s="220">
        <f t="shared" si="24"/>
        <v>0</v>
      </c>
      <c r="I221" s="221">
        <f>IF(A221="Total",VLOOKUP(B221,CORRESPONDANCE[#All],2,FALSE),I222)</f>
        <v>0</v>
      </c>
      <c r="J221" s="222" t="str">
        <f t="shared" si="25"/>
        <v/>
      </c>
      <c r="K221" s="44" t="str">
        <f t="shared" si="26"/>
        <v xml:space="preserve">TIRR - </v>
      </c>
      <c r="L221" s="44" t="e">
        <f>+VLOOKUP(K221,TL[],4,FALSE)</f>
        <v>#N/A</v>
      </c>
    </row>
    <row r="222" spans="7:12" x14ac:dyDescent="0.2">
      <c r="G222" s="220">
        <f t="shared" si="23"/>
        <v>0</v>
      </c>
      <c r="H222" s="220">
        <f t="shared" si="24"/>
        <v>0</v>
      </c>
      <c r="I222" s="221">
        <f>IF(A222="Total",VLOOKUP(B222,CORRESPONDANCE[#All],2,FALSE),I223)</f>
        <v>0</v>
      </c>
      <c r="J222" s="222" t="str">
        <f t="shared" si="25"/>
        <v/>
      </c>
      <c r="K222" s="44" t="str">
        <f t="shared" si="26"/>
        <v xml:space="preserve">TIRR - </v>
      </c>
      <c r="L222" s="44" t="e">
        <f>+VLOOKUP(K222,TL[],4,FALSE)</f>
        <v>#N/A</v>
      </c>
    </row>
    <row r="223" spans="7:12" x14ac:dyDescent="0.2">
      <c r="G223" s="220">
        <f t="shared" si="23"/>
        <v>0</v>
      </c>
      <c r="H223" s="220">
        <f t="shared" si="24"/>
        <v>0</v>
      </c>
      <c r="I223" s="221">
        <f>IF(A223="Total",VLOOKUP(B223,CORRESPONDANCE[#All],2,FALSE),I224)</f>
        <v>0</v>
      </c>
      <c r="J223" s="222" t="str">
        <f t="shared" si="25"/>
        <v/>
      </c>
      <c r="K223" s="44" t="str">
        <f t="shared" si="26"/>
        <v xml:space="preserve">TIRR - </v>
      </c>
      <c r="L223" s="44" t="e">
        <f>+VLOOKUP(K223,TL[],4,FALSE)</f>
        <v>#N/A</v>
      </c>
    </row>
    <row r="224" spans="7:12" x14ac:dyDescent="0.2">
      <c r="G224" s="220">
        <f t="shared" si="23"/>
        <v>0</v>
      </c>
      <c r="H224" s="220">
        <f t="shared" si="24"/>
        <v>0</v>
      </c>
      <c r="I224" s="221">
        <f>IF(A224="Total",VLOOKUP(B224,CORRESPONDANCE[#All],2,FALSE),I225)</f>
        <v>0</v>
      </c>
      <c r="J224" s="222" t="str">
        <f t="shared" si="25"/>
        <v/>
      </c>
      <c r="K224" s="44" t="str">
        <f t="shared" si="26"/>
        <v xml:space="preserve">TIRR - </v>
      </c>
      <c r="L224" s="44" t="e">
        <f>+VLOOKUP(K224,TL[],4,FALSE)</f>
        <v>#N/A</v>
      </c>
    </row>
    <row r="225" spans="7:12" x14ac:dyDescent="0.2">
      <c r="G225" s="220">
        <f t="shared" si="23"/>
        <v>0</v>
      </c>
      <c r="H225" s="220">
        <f t="shared" si="24"/>
        <v>0</v>
      </c>
      <c r="I225" s="221">
        <f>IF(A225="Total",VLOOKUP(B225,CORRESPONDANCE[#All],2,FALSE),I226)</f>
        <v>0</v>
      </c>
      <c r="J225" s="222" t="str">
        <f t="shared" si="25"/>
        <v/>
      </c>
      <c r="K225" s="44" t="str">
        <f t="shared" si="26"/>
        <v xml:space="preserve">TIRR - </v>
      </c>
      <c r="L225" s="44" t="e">
        <f>+VLOOKUP(K225,TL[],4,FALSE)</f>
        <v>#N/A</v>
      </c>
    </row>
    <row r="226" spans="7:12" x14ac:dyDescent="0.2">
      <c r="G226" s="220">
        <f t="shared" si="23"/>
        <v>0</v>
      </c>
      <c r="H226" s="220">
        <f t="shared" si="24"/>
        <v>0</v>
      </c>
      <c r="I226" s="221">
        <f>IF(A226="Total",VLOOKUP(B226,CORRESPONDANCE[#All],2,FALSE),I227)</f>
        <v>0</v>
      </c>
      <c r="J226" s="222" t="str">
        <f t="shared" si="25"/>
        <v/>
      </c>
      <c r="K226" s="44" t="str">
        <f t="shared" si="26"/>
        <v xml:space="preserve">TIRR - </v>
      </c>
      <c r="L226" s="44" t="e">
        <f>+VLOOKUP(K226,TL[],4,FALSE)</f>
        <v>#N/A</v>
      </c>
    </row>
    <row r="227" spans="7:12" x14ac:dyDescent="0.2">
      <c r="G227" s="220">
        <f t="shared" si="23"/>
        <v>0</v>
      </c>
      <c r="H227" s="220">
        <f t="shared" si="24"/>
        <v>0</v>
      </c>
      <c r="I227" s="221">
        <f>IF(A227="Total",VLOOKUP(B227,CORRESPONDANCE[#All],2,FALSE),I228)</f>
        <v>0</v>
      </c>
      <c r="J227" s="222" t="str">
        <f t="shared" si="25"/>
        <v/>
      </c>
      <c r="K227" s="44" t="str">
        <f t="shared" si="26"/>
        <v xml:space="preserve">TIRR - </v>
      </c>
      <c r="L227" s="44" t="e">
        <f>+VLOOKUP(K227,TL[],4,FALSE)</f>
        <v>#N/A</v>
      </c>
    </row>
    <row r="228" spans="7:12" x14ac:dyDescent="0.2">
      <c r="G228" s="220">
        <f t="shared" si="23"/>
        <v>0</v>
      </c>
      <c r="H228" s="220">
        <f t="shared" si="24"/>
        <v>0</v>
      </c>
      <c r="I228" s="221">
        <f>IF(A228="Total",VLOOKUP(B228,CORRESPONDANCE[#All],2,FALSE),I229)</f>
        <v>0</v>
      </c>
      <c r="J228" s="222" t="str">
        <f t="shared" si="25"/>
        <v/>
      </c>
      <c r="K228" s="44" t="str">
        <f t="shared" si="26"/>
        <v xml:space="preserve">TIRR - </v>
      </c>
      <c r="L228" s="44" t="e">
        <f>+VLOOKUP(K228,TL[],4,FALSE)</f>
        <v>#N/A</v>
      </c>
    </row>
    <row r="229" spans="7:12" x14ac:dyDescent="0.2">
      <c r="G229" s="220">
        <f t="shared" si="23"/>
        <v>0</v>
      </c>
      <c r="H229" s="220">
        <f t="shared" si="24"/>
        <v>0</v>
      </c>
      <c r="I229" s="221">
        <f>IF(A229="Total",VLOOKUP(B229,CORRESPONDANCE[#All],2,FALSE),I230)</f>
        <v>0</v>
      </c>
      <c r="J229" s="222" t="str">
        <f t="shared" si="25"/>
        <v/>
      </c>
      <c r="K229" s="44" t="str">
        <f t="shared" si="26"/>
        <v xml:space="preserve">TIRR - </v>
      </c>
      <c r="L229" s="44" t="e">
        <f>+VLOOKUP(K229,TL[],4,FALSE)</f>
        <v>#N/A</v>
      </c>
    </row>
    <row r="230" spans="7:12" x14ac:dyDescent="0.2">
      <c r="G230" s="220">
        <f t="shared" si="23"/>
        <v>0</v>
      </c>
      <c r="H230" s="220">
        <f t="shared" si="24"/>
        <v>0</v>
      </c>
      <c r="I230" s="221">
        <f>IF(A230="Total",VLOOKUP(B230,CORRESPONDANCE[#All],2,FALSE),I231)</f>
        <v>0</v>
      </c>
      <c r="J230" s="222" t="str">
        <f t="shared" si="25"/>
        <v/>
      </c>
      <c r="K230" s="44" t="str">
        <f t="shared" si="26"/>
        <v xml:space="preserve">TIRR - </v>
      </c>
      <c r="L230" s="44" t="e">
        <f>+VLOOKUP(K230,TL[],4,FALSE)</f>
        <v>#N/A</v>
      </c>
    </row>
    <row r="231" spans="7:12" x14ac:dyDescent="0.2">
      <c r="G231" s="220">
        <f t="shared" si="23"/>
        <v>0</v>
      </c>
      <c r="H231" s="220">
        <f t="shared" si="24"/>
        <v>0</v>
      </c>
      <c r="I231" s="221">
        <f>IF(A231="Total",VLOOKUP(B231,CORRESPONDANCE[#All],2,FALSE),I232)</f>
        <v>0</v>
      </c>
      <c r="J231" s="222" t="str">
        <f t="shared" si="25"/>
        <v/>
      </c>
      <c r="K231" s="44" t="str">
        <f t="shared" si="26"/>
        <v xml:space="preserve">TIRR - </v>
      </c>
      <c r="L231" s="44" t="e">
        <f>+VLOOKUP(K231,TL[],4,FALSE)</f>
        <v>#N/A</v>
      </c>
    </row>
    <row r="232" spans="7:12" x14ac:dyDescent="0.2">
      <c r="G232" s="220">
        <f t="shared" si="23"/>
        <v>0</v>
      </c>
      <c r="H232" s="220">
        <f t="shared" si="24"/>
        <v>0</v>
      </c>
      <c r="I232" s="221">
        <f>IF(A232="Total",VLOOKUP(B232,CORRESPONDANCE[#All],2,FALSE),I233)</f>
        <v>0</v>
      </c>
      <c r="J232" s="222" t="str">
        <f t="shared" si="25"/>
        <v/>
      </c>
      <c r="K232" s="44" t="str">
        <f t="shared" si="26"/>
        <v xml:space="preserve">TIRR - </v>
      </c>
      <c r="L232" s="44" t="e">
        <f>+VLOOKUP(K232,TL[],4,FALSE)</f>
        <v>#N/A</v>
      </c>
    </row>
    <row r="233" spans="7:12" x14ac:dyDescent="0.2">
      <c r="G233" s="220">
        <f t="shared" si="23"/>
        <v>0</v>
      </c>
      <c r="H233" s="220">
        <f t="shared" si="24"/>
        <v>0</v>
      </c>
      <c r="I233" s="221">
        <f>IF(A233="Total",VLOOKUP(B233,CORRESPONDANCE[#All],2,FALSE),I234)</f>
        <v>0</v>
      </c>
      <c r="J233" s="222" t="str">
        <f t="shared" si="25"/>
        <v/>
      </c>
      <c r="K233" s="44" t="str">
        <f t="shared" si="26"/>
        <v xml:space="preserve">TIRR - </v>
      </c>
      <c r="L233" s="44" t="e">
        <f>+VLOOKUP(K233,TL[],4,FALSE)</f>
        <v>#N/A</v>
      </c>
    </row>
    <row r="234" spans="7:12" x14ac:dyDescent="0.2">
      <c r="G234" s="220">
        <f t="shared" si="23"/>
        <v>0</v>
      </c>
      <c r="H234" s="220">
        <f t="shared" si="24"/>
        <v>0</v>
      </c>
      <c r="I234" s="221">
        <f>IF(A234="Total",VLOOKUP(B234,CORRESPONDANCE[#All],2,FALSE),I235)</f>
        <v>0</v>
      </c>
      <c r="J234" s="222" t="str">
        <f t="shared" si="25"/>
        <v/>
      </c>
      <c r="K234" s="44" t="str">
        <f t="shared" si="26"/>
        <v xml:space="preserve">TIRR - </v>
      </c>
      <c r="L234" s="44" t="e">
        <f>+VLOOKUP(K234,TL[],4,FALSE)</f>
        <v>#N/A</v>
      </c>
    </row>
    <row r="235" spans="7:12" x14ac:dyDescent="0.2">
      <c r="G235" s="220">
        <f t="shared" si="23"/>
        <v>0</v>
      </c>
      <c r="H235" s="220">
        <f t="shared" si="24"/>
        <v>0</v>
      </c>
      <c r="I235" s="221">
        <f>IF(A235="Total",VLOOKUP(B235,CORRESPONDANCE[#All],2,FALSE),I236)</f>
        <v>0</v>
      </c>
      <c r="J235" s="222" t="str">
        <f t="shared" si="25"/>
        <v/>
      </c>
      <c r="K235" s="44" t="str">
        <f t="shared" si="26"/>
        <v xml:space="preserve">TIRR - </v>
      </c>
      <c r="L235" s="44" t="e">
        <f>+VLOOKUP(K235,TL[],4,FALSE)</f>
        <v>#N/A</v>
      </c>
    </row>
    <row r="236" spans="7:12" x14ac:dyDescent="0.2">
      <c r="G236" s="220">
        <f t="shared" si="23"/>
        <v>0</v>
      </c>
      <c r="H236" s="220">
        <f t="shared" si="24"/>
        <v>0</v>
      </c>
      <c r="I236" s="221">
        <f>IF(A236="Total",VLOOKUP(B236,CORRESPONDANCE[#All],2,FALSE),I237)</f>
        <v>0</v>
      </c>
      <c r="J236" s="222" t="str">
        <f t="shared" si="25"/>
        <v/>
      </c>
      <c r="K236" s="44" t="str">
        <f t="shared" si="26"/>
        <v xml:space="preserve">TIRR - </v>
      </c>
      <c r="L236" s="44" t="e">
        <f>+VLOOKUP(K236,TL[],4,FALSE)</f>
        <v>#N/A</v>
      </c>
    </row>
    <row r="237" spans="7:12" x14ac:dyDescent="0.2">
      <c r="G237" s="220">
        <f t="shared" si="23"/>
        <v>0</v>
      </c>
      <c r="H237" s="220">
        <f t="shared" si="24"/>
        <v>0</v>
      </c>
      <c r="I237" s="221">
        <f>IF(A237="Total",VLOOKUP(B237,CORRESPONDANCE[#All],2,FALSE),I238)</f>
        <v>0</v>
      </c>
      <c r="J237" s="222" t="str">
        <f t="shared" si="25"/>
        <v/>
      </c>
      <c r="K237" s="44" t="str">
        <f t="shared" si="26"/>
        <v xml:space="preserve">TIRR - </v>
      </c>
      <c r="L237" s="44" t="e">
        <f>+VLOOKUP(K237,TL[],4,FALSE)</f>
        <v>#N/A</v>
      </c>
    </row>
    <row r="238" spans="7:12" x14ac:dyDescent="0.2">
      <c r="G238" s="220">
        <f t="shared" si="23"/>
        <v>0</v>
      </c>
      <c r="H238" s="220">
        <f t="shared" si="24"/>
        <v>0</v>
      </c>
      <c r="I238" s="221">
        <f>IF(A238="Total",VLOOKUP(B238,CORRESPONDANCE[#All],2,FALSE),I239)</f>
        <v>0</v>
      </c>
      <c r="J238" s="222" t="str">
        <f t="shared" si="25"/>
        <v/>
      </c>
      <c r="K238" s="44" t="str">
        <f t="shared" si="26"/>
        <v xml:space="preserve">TIRR - </v>
      </c>
      <c r="L238" s="44" t="e">
        <f>+VLOOKUP(K238,TL[],4,FALSE)</f>
        <v>#N/A</v>
      </c>
    </row>
    <row r="239" spans="7:12" x14ac:dyDescent="0.2">
      <c r="G239" s="220">
        <f t="shared" si="23"/>
        <v>0</v>
      </c>
      <c r="H239" s="220">
        <f t="shared" si="24"/>
        <v>0</v>
      </c>
      <c r="I239" s="221">
        <f>IF(A239="Total",VLOOKUP(B239,CORRESPONDANCE[#All],2,FALSE),I240)</f>
        <v>0</v>
      </c>
      <c r="J239" s="222" t="str">
        <f t="shared" si="25"/>
        <v/>
      </c>
      <c r="K239" s="44" t="str">
        <f t="shared" si="26"/>
        <v xml:space="preserve">TIRR - </v>
      </c>
      <c r="L239" s="44" t="e">
        <f>+VLOOKUP(K239,TL[],4,FALSE)</f>
        <v>#N/A</v>
      </c>
    </row>
    <row r="240" spans="7:12" x14ac:dyDescent="0.2">
      <c r="G240" s="220">
        <f t="shared" si="23"/>
        <v>0</v>
      </c>
      <c r="H240" s="220">
        <f t="shared" si="24"/>
        <v>0</v>
      </c>
      <c r="I240" s="221">
        <f>IF(A240="Total",VLOOKUP(B240,CORRESPONDANCE[#All],2,FALSE),I241)</f>
        <v>0</v>
      </c>
      <c r="J240" s="222" t="str">
        <f t="shared" si="25"/>
        <v/>
      </c>
      <c r="K240" s="44" t="str">
        <f t="shared" si="26"/>
        <v xml:space="preserve">TIRR - </v>
      </c>
      <c r="L240" s="44" t="e">
        <f>+VLOOKUP(K240,TL[],4,FALSE)</f>
        <v>#N/A</v>
      </c>
    </row>
    <row r="241" spans="7:12" x14ac:dyDescent="0.2">
      <c r="G241" s="220">
        <f t="shared" si="23"/>
        <v>0</v>
      </c>
      <c r="H241" s="220">
        <f t="shared" si="24"/>
        <v>0</v>
      </c>
      <c r="I241" s="221">
        <f>IF(A241="Total",VLOOKUP(B241,CORRESPONDANCE[#All],2,FALSE),I242)</f>
        <v>0</v>
      </c>
      <c r="J241" s="222" t="str">
        <f t="shared" si="25"/>
        <v/>
      </c>
      <c r="K241" s="44" t="str">
        <f t="shared" si="26"/>
        <v xml:space="preserve">TIRR - </v>
      </c>
      <c r="L241" s="44" t="e">
        <f>+VLOOKUP(K241,TL[],4,FALSE)</f>
        <v>#N/A</v>
      </c>
    </row>
    <row r="242" spans="7:12" x14ac:dyDescent="0.2">
      <c r="G242" s="220">
        <f t="shared" si="23"/>
        <v>0</v>
      </c>
      <c r="H242" s="220">
        <f t="shared" si="24"/>
        <v>0</v>
      </c>
      <c r="I242" s="221">
        <f>IF(A242="Total",VLOOKUP(B242,CORRESPONDANCE[#All],2,FALSE),I243)</f>
        <v>0</v>
      </c>
      <c r="J242" s="222" t="str">
        <f t="shared" si="25"/>
        <v/>
      </c>
      <c r="K242" s="44" t="str">
        <f t="shared" si="26"/>
        <v xml:space="preserve">TIRR - </v>
      </c>
      <c r="L242" s="44" t="e">
        <f>+VLOOKUP(K242,TL[],4,FALSE)</f>
        <v>#N/A</v>
      </c>
    </row>
    <row r="243" spans="7:12" x14ac:dyDescent="0.2">
      <c r="G243" s="220">
        <f t="shared" si="23"/>
        <v>0</v>
      </c>
      <c r="H243" s="220">
        <f t="shared" si="24"/>
        <v>0</v>
      </c>
      <c r="I243" s="221">
        <f>IF(A243="Total",VLOOKUP(B243,CORRESPONDANCE[#All],2,FALSE),I244)</f>
        <v>0</v>
      </c>
      <c r="J243" s="222" t="str">
        <f t="shared" si="25"/>
        <v/>
      </c>
      <c r="K243" s="44" t="str">
        <f t="shared" si="26"/>
        <v xml:space="preserve">TIRR - </v>
      </c>
      <c r="L243" s="44" t="e">
        <f>+VLOOKUP(K243,TL[],4,FALSE)</f>
        <v>#N/A</v>
      </c>
    </row>
    <row r="244" spans="7:12" x14ac:dyDescent="0.2">
      <c r="G244" s="220">
        <f t="shared" si="23"/>
        <v>0</v>
      </c>
      <c r="H244" s="220">
        <f t="shared" si="24"/>
        <v>0</v>
      </c>
      <c r="I244" s="221">
        <f>IF(A244="Total",VLOOKUP(B244,CORRESPONDANCE[#All],2,FALSE),I245)</f>
        <v>0</v>
      </c>
      <c r="J244" s="222" t="str">
        <f t="shared" si="25"/>
        <v/>
      </c>
      <c r="K244" s="44" t="str">
        <f t="shared" si="26"/>
        <v xml:space="preserve">TIRR - </v>
      </c>
      <c r="L244" s="44" t="e">
        <f>+VLOOKUP(K244,TL[],4,FALSE)</f>
        <v>#N/A</v>
      </c>
    </row>
    <row r="245" spans="7:12" x14ac:dyDescent="0.2">
      <c r="G245" s="220">
        <f t="shared" si="23"/>
        <v>0</v>
      </c>
      <c r="H245" s="220">
        <f t="shared" si="24"/>
        <v>0</v>
      </c>
      <c r="I245" s="221">
        <f>IF(A245="Total",VLOOKUP(B245,CORRESPONDANCE[#All],2,FALSE),I246)</f>
        <v>0</v>
      </c>
      <c r="J245" s="222" t="str">
        <f t="shared" si="25"/>
        <v/>
      </c>
      <c r="K245" s="44" t="str">
        <f t="shared" si="26"/>
        <v xml:space="preserve">TIRR - </v>
      </c>
      <c r="L245" s="44" t="e">
        <f>+VLOOKUP(K245,TL[],4,FALSE)</f>
        <v>#N/A</v>
      </c>
    </row>
    <row r="246" spans="7:12" x14ac:dyDescent="0.2">
      <c r="G246" s="220">
        <f t="shared" si="23"/>
        <v>0</v>
      </c>
      <c r="H246" s="220">
        <f t="shared" si="24"/>
        <v>0</v>
      </c>
      <c r="I246" s="221">
        <f>IF(A246="Total",VLOOKUP(B246,CORRESPONDANCE[#All],2,FALSE),I247)</f>
        <v>0</v>
      </c>
      <c r="J246" s="222" t="str">
        <f t="shared" si="25"/>
        <v/>
      </c>
      <c r="K246" s="44" t="str">
        <f t="shared" si="26"/>
        <v xml:space="preserve">TIRR - </v>
      </c>
      <c r="L246" s="44" t="e">
        <f>+VLOOKUP(K246,TL[],4,FALSE)</f>
        <v>#N/A</v>
      </c>
    </row>
    <row r="247" spans="7:12" x14ac:dyDescent="0.2">
      <c r="G247" s="220">
        <f t="shared" si="23"/>
        <v>0</v>
      </c>
      <c r="H247" s="220">
        <f t="shared" si="24"/>
        <v>0</v>
      </c>
      <c r="I247" s="221">
        <f>IF(A247="Total",VLOOKUP(B247,CORRESPONDANCE[#All],2,FALSE),I248)</f>
        <v>0</v>
      </c>
      <c r="J247" s="222" t="str">
        <f t="shared" si="25"/>
        <v/>
      </c>
      <c r="K247" s="44" t="str">
        <f t="shared" si="26"/>
        <v xml:space="preserve">TIRR - </v>
      </c>
      <c r="L247" s="44" t="e">
        <f>+VLOOKUP(K247,TL[],4,FALSE)</f>
        <v>#N/A</v>
      </c>
    </row>
    <row r="248" spans="7:12" x14ac:dyDescent="0.2">
      <c r="G248" s="220">
        <f t="shared" si="23"/>
        <v>0</v>
      </c>
      <c r="H248" s="220">
        <f t="shared" si="24"/>
        <v>0</v>
      </c>
      <c r="I248" s="221">
        <f>IF(A248="Total",VLOOKUP(B248,CORRESPONDANCE[#All],2,FALSE),I249)</f>
        <v>0</v>
      </c>
      <c r="J248" s="222" t="str">
        <f t="shared" si="25"/>
        <v/>
      </c>
      <c r="K248" s="44" t="str">
        <f t="shared" si="26"/>
        <v xml:space="preserve">TIRR - </v>
      </c>
      <c r="L248" s="44" t="e">
        <f>+VLOOKUP(K248,TL[],4,FALSE)</f>
        <v>#N/A</v>
      </c>
    </row>
    <row r="249" spans="7:12" x14ac:dyDescent="0.2">
      <c r="G249" s="220">
        <f t="shared" si="23"/>
        <v>0</v>
      </c>
      <c r="H249" s="220">
        <f t="shared" si="24"/>
        <v>0</v>
      </c>
      <c r="I249" s="221">
        <f>IF(A249="Total",VLOOKUP(B249,CORRESPONDANCE[#All],2,FALSE),I250)</f>
        <v>0</v>
      </c>
      <c r="J249" s="222" t="str">
        <f t="shared" si="25"/>
        <v/>
      </c>
      <c r="K249" s="44" t="str">
        <f t="shared" si="26"/>
        <v xml:space="preserve">TIRR - </v>
      </c>
      <c r="L249" s="44" t="e">
        <f>+VLOOKUP(K249,TL[],4,FALSE)</f>
        <v>#N/A</v>
      </c>
    </row>
    <row r="250" spans="7:12" x14ac:dyDescent="0.2">
      <c r="G250" s="220">
        <f t="shared" si="23"/>
        <v>0</v>
      </c>
      <c r="H250" s="220">
        <f t="shared" si="24"/>
        <v>0</v>
      </c>
      <c r="I250" s="221">
        <f>IF(A250="Total",VLOOKUP(B250,CORRESPONDANCE[#All],2,FALSE),I251)</f>
        <v>0</v>
      </c>
      <c r="J250" s="222" t="str">
        <f t="shared" si="25"/>
        <v/>
      </c>
      <c r="K250" s="44" t="str">
        <f t="shared" si="26"/>
        <v xml:space="preserve">TIRR - </v>
      </c>
      <c r="L250" s="44" t="e">
        <f>+VLOOKUP(K250,TL[],4,FALSE)</f>
        <v>#N/A</v>
      </c>
    </row>
    <row r="251" spans="7:12" x14ac:dyDescent="0.2">
      <c r="G251" s="220">
        <f t="shared" si="23"/>
        <v>0</v>
      </c>
      <c r="H251" s="220">
        <f t="shared" si="24"/>
        <v>0</v>
      </c>
      <c r="I251" s="221">
        <f>IF(A251="Total",VLOOKUP(B251,CORRESPONDANCE[#All],2,FALSE),I252)</f>
        <v>0</v>
      </c>
      <c r="J251" s="222" t="str">
        <f t="shared" si="25"/>
        <v/>
      </c>
      <c r="K251" s="44" t="str">
        <f t="shared" si="26"/>
        <v xml:space="preserve">TIRR - </v>
      </c>
      <c r="L251" s="44" t="e">
        <f>+VLOOKUP(K251,TL[],4,FALSE)</f>
        <v>#N/A</v>
      </c>
    </row>
    <row r="252" spans="7:12" x14ac:dyDescent="0.2">
      <c r="G252" s="220">
        <f t="shared" si="23"/>
        <v>0</v>
      </c>
      <c r="H252" s="220">
        <f t="shared" si="24"/>
        <v>0</v>
      </c>
      <c r="I252" s="221">
        <f>IF(A252="Total",VLOOKUP(B252,CORRESPONDANCE[#All],2,FALSE),I253)</f>
        <v>0</v>
      </c>
      <c r="J252" s="222" t="str">
        <f t="shared" si="25"/>
        <v/>
      </c>
      <c r="K252" s="44" t="str">
        <f t="shared" si="26"/>
        <v xml:space="preserve">TIRR - </v>
      </c>
      <c r="L252" s="44" t="e">
        <f>+VLOOKUP(K252,TL[],4,FALSE)</f>
        <v>#N/A</v>
      </c>
    </row>
    <row r="253" spans="7:12" x14ac:dyDescent="0.2">
      <c r="G253" s="220">
        <f t="shared" si="23"/>
        <v>0</v>
      </c>
      <c r="H253" s="220">
        <f t="shared" si="24"/>
        <v>0</v>
      </c>
      <c r="I253" s="221">
        <f>IF(A253="Total",VLOOKUP(B253,CORRESPONDANCE[#All],2,FALSE),I254)</f>
        <v>0</v>
      </c>
      <c r="J253" s="222" t="str">
        <f t="shared" si="25"/>
        <v/>
      </c>
      <c r="K253" s="44" t="str">
        <f t="shared" si="26"/>
        <v xml:space="preserve">TIRR - </v>
      </c>
      <c r="L253" s="44" t="e">
        <f>+VLOOKUP(K253,TL[],4,FALSE)</f>
        <v>#N/A</v>
      </c>
    </row>
    <row r="254" spans="7:12" x14ac:dyDescent="0.2">
      <c r="G254" s="220">
        <f t="shared" si="23"/>
        <v>0</v>
      </c>
      <c r="H254" s="220">
        <f t="shared" si="24"/>
        <v>0</v>
      </c>
      <c r="I254" s="221">
        <f>IF(A254="Total",VLOOKUP(B254,CORRESPONDANCE[#All],2,FALSE),I255)</f>
        <v>0</v>
      </c>
      <c r="J254" s="222" t="str">
        <f t="shared" si="25"/>
        <v/>
      </c>
      <c r="K254" s="44" t="str">
        <f t="shared" si="26"/>
        <v xml:space="preserve">TIRR - </v>
      </c>
      <c r="L254" s="44" t="e">
        <f>+VLOOKUP(K254,TL[],4,FALSE)</f>
        <v>#N/A</v>
      </c>
    </row>
    <row r="255" spans="7:12" x14ac:dyDescent="0.2">
      <c r="G255" s="220">
        <f t="shared" si="23"/>
        <v>0</v>
      </c>
      <c r="H255" s="220">
        <f t="shared" si="24"/>
        <v>0</v>
      </c>
      <c r="I255" s="221">
        <f>IF(A255="Total",VLOOKUP(B255,CORRESPONDANCE[#All],2,FALSE),I256)</f>
        <v>0</v>
      </c>
      <c r="J255" s="222" t="str">
        <f t="shared" si="25"/>
        <v/>
      </c>
      <c r="K255" s="44" t="str">
        <f t="shared" si="26"/>
        <v xml:space="preserve">TIRR - </v>
      </c>
      <c r="L255" s="44" t="e">
        <f>+VLOOKUP(K255,TL[],4,FALSE)</f>
        <v>#N/A</v>
      </c>
    </row>
    <row r="256" spans="7:12" x14ac:dyDescent="0.2">
      <c r="G256" s="220">
        <f t="shared" si="23"/>
        <v>0</v>
      </c>
      <c r="H256" s="220">
        <f t="shared" si="24"/>
        <v>0</v>
      </c>
      <c r="I256" s="221">
        <f>IF(A256="Total",VLOOKUP(B256,CORRESPONDANCE[#All],2,FALSE),I257)</f>
        <v>0</v>
      </c>
      <c r="J256" s="222" t="str">
        <f t="shared" si="25"/>
        <v/>
      </c>
      <c r="K256" s="44" t="str">
        <f t="shared" si="26"/>
        <v xml:space="preserve">TIRR - </v>
      </c>
      <c r="L256" s="44" t="e">
        <f>+VLOOKUP(K256,TL[],4,FALSE)</f>
        <v>#N/A</v>
      </c>
    </row>
    <row r="257" spans="7:12" x14ac:dyDescent="0.2">
      <c r="G257" s="220">
        <f t="shared" si="23"/>
        <v>0</v>
      </c>
      <c r="H257" s="220">
        <f t="shared" si="24"/>
        <v>0</v>
      </c>
      <c r="I257" s="221">
        <f>IF(A257="Total",VLOOKUP(B257,CORRESPONDANCE[#All],2,FALSE),I258)</f>
        <v>0</v>
      </c>
      <c r="J257" s="222" t="str">
        <f t="shared" si="25"/>
        <v/>
      </c>
      <c r="K257" s="44" t="str">
        <f t="shared" si="26"/>
        <v xml:space="preserve">TIRR - </v>
      </c>
      <c r="L257" s="44" t="e">
        <f>+VLOOKUP(K257,TL[],4,FALSE)</f>
        <v>#N/A</v>
      </c>
    </row>
    <row r="258" spans="7:12" x14ac:dyDescent="0.2">
      <c r="G258" s="220">
        <f t="shared" si="23"/>
        <v>0</v>
      </c>
      <c r="H258" s="220">
        <f t="shared" si="24"/>
        <v>0</v>
      </c>
      <c r="I258" s="221">
        <f>IF(A258="Total",VLOOKUP(B258,CORRESPONDANCE[#All],2,FALSE),I259)</f>
        <v>0</v>
      </c>
      <c r="J258" s="222" t="str">
        <f t="shared" si="25"/>
        <v/>
      </c>
      <c r="K258" s="44" t="str">
        <f t="shared" si="26"/>
        <v xml:space="preserve">TIRR - </v>
      </c>
      <c r="L258" s="44" t="e">
        <f>+VLOOKUP(K258,TL[],4,FALSE)</f>
        <v>#N/A</v>
      </c>
    </row>
    <row r="259" spans="7:12" x14ac:dyDescent="0.2">
      <c r="G259" s="220">
        <f t="shared" ref="G259:G281" si="27">SUM(C259)-SUM(D259)</f>
        <v>0</v>
      </c>
      <c r="H259" s="220">
        <f t="shared" ref="H259:H281" si="28">SUM(E259)-SUM(F259)</f>
        <v>0</v>
      </c>
      <c r="I259" s="221">
        <f>IF(A259="Total",VLOOKUP(B259,CORRESPONDANCE[#All],2,FALSE),I260)</f>
        <v>0</v>
      </c>
      <c r="J259" s="222" t="str">
        <f t="shared" ref="J259:J281" si="29">LEFT(A259,1)</f>
        <v/>
      </c>
      <c r="K259" s="44" t="str">
        <f t="shared" ref="K259:K281" si="30">"TIRR"&amp;" - "&amp;A259</f>
        <v xml:space="preserve">TIRR - </v>
      </c>
      <c r="L259" s="44" t="e">
        <f>+VLOOKUP(K259,TL[],4,FALSE)</f>
        <v>#N/A</v>
      </c>
    </row>
    <row r="260" spans="7:12" x14ac:dyDescent="0.2">
      <c r="G260" s="220">
        <f t="shared" si="27"/>
        <v>0</v>
      </c>
      <c r="H260" s="220">
        <f t="shared" si="28"/>
        <v>0</v>
      </c>
      <c r="I260" s="221">
        <f>IF(A260="Total",VLOOKUP(B260,CORRESPONDANCE[#All],2,FALSE),I261)</f>
        <v>0</v>
      </c>
      <c r="J260" s="222" t="str">
        <f t="shared" si="29"/>
        <v/>
      </c>
      <c r="K260" s="44" t="str">
        <f t="shared" si="30"/>
        <v xml:space="preserve">TIRR - </v>
      </c>
      <c r="L260" s="44" t="e">
        <f>+VLOOKUP(K260,TL[],4,FALSE)</f>
        <v>#N/A</v>
      </c>
    </row>
    <row r="261" spans="7:12" x14ac:dyDescent="0.2">
      <c r="G261" s="220">
        <f t="shared" si="27"/>
        <v>0</v>
      </c>
      <c r="H261" s="220">
        <f t="shared" si="28"/>
        <v>0</v>
      </c>
      <c r="I261" s="221">
        <f>IF(A261="Total",VLOOKUP(B261,CORRESPONDANCE[#All],2,FALSE),I262)</f>
        <v>0</v>
      </c>
      <c r="J261" s="222" t="str">
        <f t="shared" si="29"/>
        <v/>
      </c>
      <c r="K261" s="44" t="str">
        <f t="shared" si="30"/>
        <v xml:space="preserve">TIRR - </v>
      </c>
      <c r="L261" s="44" t="e">
        <f>+VLOOKUP(K261,TL[],4,FALSE)</f>
        <v>#N/A</v>
      </c>
    </row>
    <row r="262" spans="7:12" x14ac:dyDescent="0.2">
      <c r="G262" s="220">
        <f t="shared" si="27"/>
        <v>0</v>
      </c>
      <c r="H262" s="220">
        <f t="shared" si="28"/>
        <v>0</v>
      </c>
      <c r="I262" s="221">
        <f>IF(A262="Total",VLOOKUP(B262,CORRESPONDANCE[#All],2,FALSE),I263)</f>
        <v>0</v>
      </c>
      <c r="J262" s="222" t="str">
        <f t="shared" si="29"/>
        <v/>
      </c>
      <c r="K262" s="44" t="str">
        <f t="shared" si="30"/>
        <v xml:space="preserve">TIRR - </v>
      </c>
      <c r="L262" s="44" t="e">
        <f>+VLOOKUP(K262,TL[],4,FALSE)</f>
        <v>#N/A</v>
      </c>
    </row>
    <row r="263" spans="7:12" x14ac:dyDescent="0.2">
      <c r="G263" s="220">
        <f t="shared" si="27"/>
        <v>0</v>
      </c>
      <c r="H263" s="220">
        <f t="shared" si="28"/>
        <v>0</v>
      </c>
      <c r="I263" s="221">
        <f>IF(A263="Total",VLOOKUP(B263,CORRESPONDANCE[#All],2,FALSE),I264)</f>
        <v>0</v>
      </c>
      <c r="J263" s="222" t="str">
        <f t="shared" si="29"/>
        <v/>
      </c>
      <c r="K263" s="44" t="str">
        <f t="shared" si="30"/>
        <v xml:space="preserve">TIRR - </v>
      </c>
      <c r="L263" s="44" t="e">
        <f>+VLOOKUP(K263,TL[],4,FALSE)</f>
        <v>#N/A</v>
      </c>
    </row>
    <row r="264" spans="7:12" x14ac:dyDescent="0.2">
      <c r="G264" s="220">
        <f t="shared" si="27"/>
        <v>0</v>
      </c>
      <c r="H264" s="220">
        <f t="shared" si="28"/>
        <v>0</v>
      </c>
      <c r="I264" s="221">
        <f>IF(A264="Total",VLOOKUP(B264,CORRESPONDANCE[#All],2,FALSE),I265)</f>
        <v>0</v>
      </c>
      <c r="J264" s="222" t="str">
        <f t="shared" si="29"/>
        <v/>
      </c>
      <c r="K264" s="44" t="str">
        <f t="shared" si="30"/>
        <v xml:space="preserve">TIRR - </v>
      </c>
      <c r="L264" s="44" t="e">
        <f>+VLOOKUP(K264,TL[],4,FALSE)</f>
        <v>#N/A</v>
      </c>
    </row>
    <row r="265" spans="7:12" x14ac:dyDescent="0.2">
      <c r="G265" s="220">
        <f t="shared" si="27"/>
        <v>0</v>
      </c>
      <c r="H265" s="220">
        <f t="shared" si="28"/>
        <v>0</v>
      </c>
      <c r="I265" s="221">
        <f>IF(A265="Total",VLOOKUP(B265,CORRESPONDANCE[#All],2,FALSE),I266)</f>
        <v>0</v>
      </c>
      <c r="J265" s="222" t="str">
        <f t="shared" si="29"/>
        <v/>
      </c>
      <c r="K265" s="44" t="str">
        <f t="shared" si="30"/>
        <v xml:space="preserve">TIRR - </v>
      </c>
      <c r="L265" s="44" t="e">
        <f>+VLOOKUP(K265,TL[],4,FALSE)</f>
        <v>#N/A</v>
      </c>
    </row>
    <row r="266" spans="7:12" x14ac:dyDescent="0.2">
      <c r="G266" s="220">
        <f t="shared" si="27"/>
        <v>0</v>
      </c>
      <c r="H266" s="220">
        <f t="shared" si="28"/>
        <v>0</v>
      </c>
      <c r="I266" s="221">
        <f>IF(A266="Total",VLOOKUP(B266,CORRESPONDANCE[#All],2,FALSE),I267)</f>
        <v>0</v>
      </c>
      <c r="J266" s="222" t="str">
        <f t="shared" si="29"/>
        <v/>
      </c>
      <c r="K266" s="44" t="str">
        <f t="shared" si="30"/>
        <v xml:space="preserve">TIRR - </v>
      </c>
      <c r="L266" s="44" t="e">
        <f>+VLOOKUP(K266,TL[],4,FALSE)</f>
        <v>#N/A</v>
      </c>
    </row>
    <row r="267" spans="7:12" x14ac:dyDescent="0.2">
      <c r="G267" s="220">
        <f t="shared" si="27"/>
        <v>0</v>
      </c>
      <c r="H267" s="220">
        <f t="shared" si="28"/>
        <v>0</v>
      </c>
      <c r="I267" s="221">
        <f>IF(A267="Total",VLOOKUP(B267,CORRESPONDANCE[#All],2,FALSE),I268)</f>
        <v>0</v>
      </c>
      <c r="J267" s="222" t="str">
        <f t="shared" si="29"/>
        <v/>
      </c>
      <c r="K267" s="44" t="str">
        <f t="shared" si="30"/>
        <v xml:space="preserve">TIRR - </v>
      </c>
      <c r="L267" s="44" t="e">
        <f>+VLOOKUP(K267,TL[],4,FALSE)</f>
        <v>#N/A</v>
      </c>
    </row>
    <row r="268" spans="7:12" x14ac:dyDescent="0.2">
      <c r="G268" s="220">
        <f t="shared" si="27"/>
        <v>0</v>
      </c>
      <c r="H268" s="220">
        <f t="shared" si="28"/>
        <v>0</v>
      </c>
      <c r="I268" s="221">
        <f>IF(A268="Total",VLOOKUP(B268,CORRESPONDANCE[#All],2,FALSE),I269)</f>
        <v>0</v>
      </c>
      <c r="J268" s="222" t="str">
        <f t="shared" si="29"/>
        <v/>
      </c>
      <c r="K268" s="44" t="str">
        <f t="shared" si="30"/>
        <v xml:space="preserve">TIRR - </v>
      </c>
      <c r="L268" s="44" t="e">
        <f>+VLOOKUP(K268,TL[],4,FALSE)</f>
        <v>#N/A</v>
      </c>
    </row>
    <row r="269" spans="7:12" x14ac:dyDescent="0.2">
      <c r="G269" s="220">
        <f t="shared" si="27"/>
        <v>0</v>
      </c>
      <c r="H269" s="220">
        <f t="shared" si="28"/>
        <v>0</v>
      </c>
      <c r="I269" s="221">
        <f>IF(A269="Total",VLOOKUP(B269,CORRESPONDANCE[#All],2,FALSE),I270)</f>
        <v>0</v>
      </c>
      <c r="J269" s="222" t="str">
        <f t="shared" si="29"/>
        <v/>
      </c>
      <c r="K269" s="44" t="str">
        <f t="shared" si="30"/>
        <v xml:space="preserve">TIRR - </v>
      </c>
      <c r="L269" s="44" t="e">
        <f>+VLOOKUP(K269,TL[],4,FALSE)</f>
        <v>#N/A</v>
      </c>
    </row>
    <row r="270" spans="7:12" x14ac:dyDescent="0.2">
      <c r="G270" s="220">
        <f t="shared" si="27"/>
        <v>0</v>
      </c>
      <c r="H270" s="220">
        <f t="shared" si="28"/>
        <v>0</v>
      </c>
      <c r="I270" s="221">
        <f>IF(A270="Total",VLOOKUP(B270,CORRESPONDANCE[#All],2,FALSE),I271)</f>
        <v>0</v>
      </c>
      <c r="J270" s="222" t="str">
        <f t="shared" si="29"/>
        <v/>
      </c>
      <c r="K270" s="44" t="str">
        <f t="shared" si="30"/>
        <v xml:space="preserve">TIRR - </v>
      </c>
      <c r="L270" s="44" t="e">
        <f>+VLOOKUP(K270,TL[],4,FALSE)</f>
        <v>#N/A</v>
      </c>
    </row>
    <row r="271" spans="7:12" x14ac:dyDescent="0.2">
      <c r="G271" s="220">
        <f t="shared" si="27"/>
        <v>0</v>
      </c>
      <c r="H271" s="220">
        <f t="shared" si="28"/>
        <v>0</v>
      </c>
      <c r="I271" s="221">
        <f>IF(A271="Total",VLOOKUP(B271,CORRESPONDANCE[#All],2,FALSE),I272)</f>
        <v>0</v>
      </c>
      <c r="J271" s="222" t="str">
        <f t="shared" si="29"/>
        <v/>
      </c>
      <c r="K271" s="44" t="str">
        <f t="shared" si="30"/>
        <v xml:space="preserve">TIRR - </v>
      </c>
      <c r="L271" s="44" t="e">
        <f>+VLOOKUP(K271,TL[],4,FALSE)</f>
        <v>#N/A</v>
      </c>
    </row>
    <row r="272" spans="7:12" x14ac:dyDescent="0.2">
      <c r="G272" s="220">
        <f t="shared" si="27"/>
        <v>0</v>
      </c>
      <c r="H272" s="220">
        <f t="shared" si="28"/>
        <v>0</v>
      </c>
      <c r="I272" s="221">
        <f>IF(A272="Total",VLOOKUP(B272,CORRESPONDANCE[#All],2,FALSE),I273)</f>
        <v>0</v>
      </c>
      <c r="J272" s="222" t="str">
        <f t="shared" si="29"/>
        <v/>
      </c>
      <c r="K272" s="44" t="str">
        <f t="shared" si="30"/>
        <v xml:space="preserve">TIRR - </v>
      </c>
      <c r="L272" s="44" t="e">
        <f>+VLOOKUP(K272,TL[],4,FALSE)</f>
        <v>#N/A</v>
      </c>
    </row>
    <row r="273" spans="7:12" x14ac:dyDescent="0.2">
      <c r="G273" s="220">
        <f t="shared" si="27"/>
        <v>0</v>
      </c>
      <c r="H273" s="220">
        <f t="shared" si="28"/>
        <v>0</v>
      </c>
      <c r="I273" s="221">
        <f>IF(A273="Total",VLOOKUP(B273,CORRESPONDANCE[#All],2,FALSE),I274)</f>
        <v>0</v>
      </c>
      <c r="J273" s="222" t="str">
        <f t="shared" si="29"/>
        <v/>
      </c>
      <c r="K273" s="44" t="str">
        <f t="shared" si="30"/>
        <v xml:space="preserve">TIRR - </v>
      </c>
      <c r="L273" s="44" t="e">
        <f>+VLOOKUP(K273,TL[],4,FALSE)</f>
        <v>#N/A</v>
      </c>
    </row>
    <row r="274" spans="7:12" x14ac:dyDescent="0.2">
      <c r="G274" s="220">
        <f t="shared" si="27"/>
        <v>0</v>
      </c>
      <c r="H274" s="220">
        <f t="shared" si="28"/>
        <v>0</v>
      </c>
      <c r="I274" s="221">
        <f>IF(A274="Total",VLOOKUP(B274,CORRESPONDANCE[#All],2,FALSE),I275)</f>
        <v>0</v>
      </c>
      <c r="J274" s="222" t="str">
        <f t="shared" si="29"/>
        <v/>
      </c>
      <c r="K274" s="44" t="str">
        <f t="shared" si="30"/>
        <v xml:space="preserve">TIRR - </v>
      </c>
      <c r="L274" s="44" t="e">
        <f>+VLOOKUP(K274,TL[],4,FALSE)</f>
        <v>#N/A</v>
      </c>
    </row>
    <row r="275" spans="7:12" x14ac:dyDescent="0.2">
      <c r="G275" s="220">
        <f t="shared" si="27"/>
        <v>0</v>
      </c>
      <c r="H275" s="220">
        <f t="shared" si="28"/>
        <v>0</v>
      </c>
      <c r="I275" s="221">
        <f>IF(A275="Total",VLOOKUP(B275,CORRESPONDANCE[#All],2,FALSE),I276)</f>
        <v>0</v>
      </c>
      <c r="J275" s="222" t="str">
        <f t="shared" si="29"/>
        <v/>
      </c>
      <c r="K275" s="44" t="str">
        <f t="shared" si="30"/>
        <v xml:space="preserve">TIRR - </v>
      </c>
      <c r="L275" s="44" t="e">
        <f>+VLOOKUP(K275,TL[],4,FALSE)</f>
        <v>#N/A</v>
      </c>
    </row>
    <row r="276" spans="7:12" x14ac:dyDescent="0.2">
      <c r="G276" s="220">
        <f t="shared" si="27"/>
        <v>0</v>
      </c>
      <c r="H276" s="220">
        <f t="shared" si="28"/>
        <v>0</v>
      </c>
      <c r="I276" s="221">
        <f>IF(A276="Total",VLOOKUP(B276,CORRESPONDANCE[#All],2,FALSE),I277)</f>
        <v>0</v>
      </c>
      <c r="J276" s="222" t="str">
        <f t="shared" si="29"/>
        <v/>
      </c>
      <c r="K276" s="44" t="str">
        <f t="shared" si="30"/>
        <v xml:space="preserve">TIRR - </v>
      </c>
      <c r="L276" s="44" t="e">
        <f>+VLOOKUP(K276,TL[],4,FALSE)</f>
        <v>#N/A</v>
      </c>
    </row>
    <row r="277" spans="7:12" x14ac:dyDescent="0.2">
      <c r="G277" s="220">
        <f t="shared" si="27"/>
        <v>0</v>
      </c>
      <c r="H277" s="220">
        <f t="shared" si="28"/>
        <v>0</v>
      </c>
      <c r="I277" s="221">
        <f>IF(A277="Total",VLOOKUP(B277,CORRESPONDANCE[#All],2,FALSE),I278)</f>
        <v>0</v>
      </c>
      <c r="J277" s="222" t="str">
        <f t="shared" si="29"/>
        <v/>
      </c>
      <c r="K277" s="44" t="str">
        <f t="shared" si="30"/>
        <v xml:space="preserve">TIRR - </v>
      </c>
      <c r="L277" s="44" t="e">
        <f>+VLOOKUP(K277,TL[],4,FALSE)</f>
        <v>#N/A</v>
      </c>
    </row>
    <row r="278" spans="7:12" x14ac:dyDescent="0.2">
      <c r="G278" s="220">
        <f t="shared" si="27"/>
        <v>0</v>
      </c>
      <c r="H278" s="220">
        <f t="shared" si="28"/>
        <v>0</v>
      </c>
      <c r="I278" s="221">
        <f>IF(A278="Total",VLOOKUP(B278,CORRESPONDANCE[#All],2,FALSE),I279)</f>
        <v>0</v>
      </c>
      <c r="J278" s="222" t="str">
        <f t="shared" si="29"/>
        <v/>
      </c>
      <c r="K278" s="44" t="str">
        <f t="shared" si="30"/>
        <v xml:space="preserve">TIRR - </v>
      </c>
      <c r="L278" s="44" t="e">
        <f>+VLOOKUP(K278,TL[],4,FALSE)</f>
        <v>#N/A</v>
      </c>
    </row>
    <row r="279" spans="7:12" x14ac:dyDescent="0.2">
      <c r="G279" s="220">
        <f t="shared" si="27"/>
        <v>0</v>
      </c>
      <c r="H279" s="220">
        <f t="shared" si="28"/>
        <v>0</v>
      </c>
      <c r="I279" s="221">
        <f>IF(A279="Total",VLOOKUP(B279,CORRESPONDANCE[#All],2,FALSE),I280)</f>
        <v>0</v>
      </c>
      <c r="J279" s="222" t="str">
        <f t="shared" si="29"/>
        <v/>
      </c>
      <c r="K279" s="44" t="str">
        <f t="shared" si="30"/>
        <v xml:space="preserve">TIRR - </v>
      </c>
      <c r="L279" s="44" t="e">
        <f>+VLOOKUP(K279,TL[],4,FALSE)</f>
        <v>#N/A</v>
      </c>
    </row>
    <row r="280" spans="7:12" x14ac:dyDescent="0.2">
      <c r="G280" s="220">
        <f t="shared" si="27"/>
        <v>0</v>
      </c>
      <c r="H280" s="220">
        <f t="shared" si="28"/>
        <v>0</v>
      </c>
      <c r="I280" s="221">
        <f>IF(A280="Total",VLOOKUP(B280,CORRESPONDANCE[#All],2,FALSE),I281)</f>
        <v>0</v>
      </c>
      <c r="J280" s="222" t="str">
        <f t="shared" si="29"/>
        <v/>
      </c>
      <c r="K280" s="44" t="str">
        <f t="shared" si="30"/>
        <v xml:space="preserve">TIRR - </v>
      </c>
      <c r="L280" s="44" t="e">
        <f>+VLOOKUP(K280,TL[],4,FALSE)</f>
        <v>#N/A</v>
      </c>
    </row>
    <row r="281" spans="7:12" x14ac:dyDescent="0.2">
      <c r="G281" s="220">
        <f t="shared" si="27"/>
        <v>0</v>
      </c>
      <c r="H281" s="220">
        <f t="shared" si="28"/>
        <v>0</v>
      </c>
      <c r="I281" s="221">
        <f>IF(A281="Total",VLOOKUP(B281,CORRESPONDANCE[#All],2,FALSE),I282)</f>
        <v>0</v>
      </c>
      <c r="J281" s="222" t="str">
        <f t="shared" si="29"/>
        <v/>
      </c>
      <c r="K281" s="44" t="str">
        <f t="shared" si="30"/>
        <v xml:space="preserve">TIRR - </v>
      </c>
      <c r="L281" s="44" t="e">
        <f>+VLOOKUP(K281,TL[],4,FALSE)</f>
        <v>#N/A</v>
      </c>
    </row>
    <row r="282" spans="7:12" x14ac:dyDescent="0.2">
      <c r="G282" s="220">
        <f t="shared" ref="G282:G297" si="31">SUM(C282)-SUM(D282)</f>
        <v>0</v>
      </c>
      <c r="H282" s="220">
        <f t="shared" ref="H282:H297" si="32">SUM(E282)-SUM(F282)</f>
        <v>0</v>
      </c>
      <c r="I282" s="221">
        <f>IF(A282="Total",VLOOKUP(B282,CORRESPONDANCE[#All],2,FALSE),I283)</f>
        <v>0</v>
      </c>
      <c r="J282" s="222" t="str">
        <f t="shared" ref="J282:J297" si="33">LEFT(A282,1)</f>
        <v/>
      </c>
      <c r="K282" s="44" t="str">
        <f t="shared" ref="K282:K297" si="34">"TIRR"&amp;" - "&amp;A282</f>
        <v xml:space="preserve">TIRR - </v>
      </c>
      <c r="L282" s="44" t="e">
        <f>+VLOOKUP(K282,TL[],4,FALSE)</f>
        <v>#N/A</v>
      </c>
    </row>
    <row r="283" spans="7:12" x14ac:dyDescent="0.2">
      <c r="G283" s="220">
        <f t="shared" si="31"/>
        <v>0</v>
      </c>
      <c r="H283" s="220">
        <f t="shared" si="32"/>
        <v>0</v>
      </c>
      <c r="I283" s="221">
        <f>IF(A283="Total",VLOOKUP(B283,CORRESPONDANCE[#All],2,FALSE),I284)</f>
        <v>0</v>
      </c>
      <c r="J283" s="222" t="str">
        <f t="shared" si="33"/>
        <v/>
      </c>
      <c r="K283" s="44" t="str">
        <f t="shared" si="34"/>
        <v xml:space="preserve">TIRR - </v>
      </c>
      <c r="L283" s="44" t="e">
        <f>+VLOOKUP(K283,TL[],4,FALSE)</f>
        <v>#N/A</v>
      </c>
    </row>
    <row r="284" spans="7:12" x14ac:dyDescent="0.2">
      <c r="G284" s="220">
        <f t="shared" si="31"/>
        <v>0</v>
      </c>
      <c r="H284" s="220">
        <f t="shared" si="32"/>
        <v>0</v>
      </c>
      <c r="I284" s="221">
        <f>IF(A284="Total",VLOOKUP(B284,CORRESPONDANCE[#All],2,FALSE),I285)</f>
        <v>0</v>
      </c>
      <c r="J284" s="222" t="str">
        <f t="shared" si="33"/>
        <v/>
      </c>
      <c r="K284" s="44" t="str">
        <f t="shared" si="34"/>
        <v xml:space="preserve">TIRR - </v>
      </c>
      <c r="L284" s="44" t="e">
        <f>+VLOOKUP(K284,TL[],4,FALSE)</f>
        <v>#N/A</v>
      </c>
    </row>
    <row r="285" spans="7:12" x14ac:dyDescent="0.2">
      <c r="G285" s="220">
        <f t="shared" si="31"/>
        <v>0</v>
      </c>
      <c r="H285" s="220">
        <f t="shared" si="32"/>
        <v>0</v>
      </c>
      <c r="I285" s="221">
        <f>IF(A285="Total",VLOOKUP(B285,CORRESPONDANCE[#All],2,FALSE),I286)</f>
        <v>0</v>
      </c>
      <c r="J285" s="222" t="str">
        <f t="shared" si="33"/>
        <v/>
      </c>
      <c r="K285" s="44" t="str">
        <f t="shared" si="34"/>
        <v xml:space="preserve">TIRR - </v>
      </c>
      <c r="L285" s="44" t="e">
        <f>+VLOOKUP(K285,TL[],4,FALSE)</f>
        <v>#N/A</v>
      </c>
    </row>
    <row r="286" spans="7:12" x14ac:dyDescent="0.2">
      <c r="G286" s="220">
        <f t="shared" si="31"/>
        <v>0</v>
      </c>
      <c r="H286" s="220">
        <f t="shared" si="32"/>
        <v>0</v>
      </c>
      <c r="I286" s="221">
        <f>IF(A286="Total",VLOOKUP(B286,CORRESPONDANCE[#All],2,FALSE),I287)</f>
        <v>0</v>
      </c>
      <c r="J286" s="222" t="str">
        <f t="shared" si="33"/>
        <v/>
      </c>
      <c r="K286" s="44" t="str">
        <f t="shared" si="34"/>
        <v xml:space="preserve">TIRR - </v>
      </c>
      <c r="L286" s="44" t="e">
        <f>+VLOOKUP(K286,TL[],4,FALSE)</f>
        <v>#N/A</v>
      </c>
    </row>
    <row r="287" spans="7:12" x14ac:dyDescent="0.2">
      <c r="G287" s="220">
        <f t="shared" si="31"/>
        <v>0</v>
      </c>
      <c r="H287" s="220">
        <f t="shared" si="32"/>
        <v>0</v>
      </c>
      <c r="I287" s="221">
        <f>IF(A287="Total",VLOOKUP(B287,CORRESPONDANCE[#All],2,FALSE),I288)</f>
        <v>0</v>
      </c>
      <c r="J287" s="222" t="str">
        <f t="shared" si="33"/>
        <v/>
      </c>
      <c r="K287" s="44" t="str">
        <f t="shared" si="34"/>
        <v xml:space="preserve">TIRR - </v>
      </c>
      <c r="L287" s="44" t="e">
        <f>+VLOOKUP(K287,TL[],4,FALSE)</f>
        <v>#N/A</v>
      </c>
    </row>
    <row r="288" spans="7:12" x14ac:dyDescent="0.2">
      <c r="G288" s="220">
        <f t="shared" si="31"/>
        <v>0</v>
      </c>
      <c r="H288" s="220">
        <f t="shared" si="32"/>
        <v>0</v>
      </c>
      <c r="I288" s="221">
        <f>IF(A288="Total",VLOOKUP(B288,CORRESPONDANCE[#All],2,FALSE),I289)</f>
        <v>0</v>
      </c>
      <c r="J288" s="222" t="str">
        <f t="shared" si="33"/>
        <v/>
      </c>
      <c r="K288" s="44" t="str">
        <f t="shared" si="34"/>
        <v xml:space="preserve">TIRR - </v>
      </c>
      <c r="L288" s="44" t="e">
        <f>+VLOOKUP(K288,TL[],4,FALSE)</f>
        <v>#N/A</v>
      </c>
    </row>
    <row r="289" spans="7:12" x14ac:dyDescent="0.2">
      <c r="G289" s="220">
        <f t="shared" si="31"/>
        <v>0</v>
      </c>
      <c r="H289" s="220">
        <f t="shared" si="32"/>
        <v>0</v>
      </c>
      <c r="I289" s="221">
        <f>IF(A289="Total",VLOOKUP(B289,CORRESPONDANCE[#All],2,FALSE),I290)</f>
        <v>0</v>
      </c>
      <c r="J289" s="222" t="str">
        <f t="shared" si="33"/>
        <v/>
      </c>
      <c r="K289" s="44" t="str">
        <f t="shared" si="34"/>
        <v xml:space="preserve">TIRR - </v>
      </c>
      <c r="L289" s="44" t="e">
        <f>+VLOOKUP(K289,TL[],4,FALSE)</f>
        <v>#N/A</v>
      </c>
    </row>
    <row r="290" spans="7:12" x14ac:dyDescent="0.2">
      <c r="G290" s="220">
        <f t="shared" si="31"/>
        <v>0</v>
      </c>
      <c r="H290" s="220">
        <f t="shared" si="32"/>
        <v>0</v>
      </c>
      <c r="I290" s="221">
        <f>IF(A290="Total",VLOOKUP(B290,CORRESPONDANCE[#All],2,FALSE),I291)</f>
        <v>0</v>
      </c>
      <c r="J290" s="222" t="str">
        <f t="shared" si="33"/>
        <v/>
      </c>
      <c r="K290" s="44" t="str">
        <f t="shared" si="34"/>
        <v xml:space="preserve">TIRR - </v>
      </c>
      <c r="L290" s="44" t="e">
        <f>+VLOOKUP(K290,TL[],4,FALSE)</f>
        <v>#N/A</v>
      </c>
    </row>
    <row r="291" spans="7:12" x14ac:dyDescent="0.2">
      <c r="G291" s="220">
        <f t="shared" si="31"/>
        <v>0</v>
      </c>
      <c r="H291" s="220">
        <f t="shared" si="32"/>
        <v>0</v>
      </c>
      <c r="I291" s="221">
        <f>IF(A291="Total",VLOOKUP(B291,CORRESPONDANCE[#All],2,FALSE),I292)</f>
        <v>0</v>
      </c>
      <c r="J291" s="222" t="str">
        <f t="shared" si="33"/>
        <v/>
      </c>
      <c r="K291" s="44" t="str">
        <f t="shared" si="34"/>
        <v xml:space="preserve">TIRR - </v>
      </c>
      <c r="L291" s="44" t="e">
        <f>+VLOOKUP(K291,TL[],4,FALSE)</f>
        <v>#N/A</v>
      </c>
    </row>
    <row r="292" spans="7:12" x14ac:dyDescent="0.2">
      <c r="G292" s="220">
        <f t="shared" si="31"/>
        <v>0</v>
      </c>
      <c r="H292" s="220">
        <f t="shared" si="32"/>
        <v>0</v>
      </c>
      <c r="I292" s="221">
        <f>IF(A292="Total",VLOOKUP(B292,CORRESPONDANCE[#All],2,FALSE),I293)</f>
        <v>0</v>
      </c>
      <c r="J292" s="222" t="str">
        <f t="shared" si="33"/>
        <v/>
      </c>
      <c r="K292" s="44" t="str">
        <f t="shared" si="34"/>
        <v xml:space="preserve">TIRR - </v>
      </c>
      <c r="L292" s="44" t="e">
        <f>+VLOOKUP(K292,TL[],4,FALSE)</f>
        <v>#N/A</v>
      </c>
    </row>
    <row r="293" spans="7:12" x14ac:dyDescent="0.2">
      <c r="G293" s="220">
        <f t="shared" si="31"/>
        <v>0</v>
      </c>
      <c r="H293" s="220">
        <f t="shared" si="32"/>
        <v>0</v>
      </c>
      <c r="I293" s="221">
        <f>IF(A293="Total",VLOOKUP(B293,CORRESPONDANCE[#All],2,FALSE),I294)</f>
        <v>0</v>
      </c>
      <c r="J293" s="222" t="str">
        <f t="shared" si="33"/>
        <v/>
      </c>
      <c r="K293" s="44" t="str">
        <f t="shared" si="34"/>
        <v xml:space="preserve">TIRR - </v>
      </c>
      <c r="L293" s="44" t="e">
        <f>+VLOOKUP(K293,TL[],4,FALSE)</f>
        <v>#N/A</v>
      </c>
    </row>
    <row r="294" spans="7:12" x14ac:dyDescent="0.2">
      <c r="G294" s="220">
        <f t="shared" si="31"/>
        <v>0</v>
      </c>
      <c r="H294" s="220">
        <f t="shared" si="32"/>
        <v>0</v>
      </c>
      <c r="I294" s="221">
        <f>IF(A294="Total",VLOOKUP(B294,CORRESPONDANCE[#All],2,FALSE),I295)</f>
        <v>0</v>
      </c>
      <c r="J294" s="222" t="str">
        <f t="shared" si="33"/>
        <v/>
      </c>
      <c r="K294" s="44" t="str">
        <f t="shared" si="34"/>
        <v xml:space="preserve">TIRR - </v>
      </c>
      <c r="L294" s="44" t="e">
        <f>+VLOOKUP(K294,TL[],4,FALSE)</f>
        <v>#N/A</v>
      </c>
    </row>
    <row r="295" spans="7:12" x14ac:dyDescent="0.2">
      <c r="G295" s="220">
        <f t="shared" si="31"/>
        <v>0</v>
      </c>
      <c r="H295" s="220">
        <f t="shared" si="32"/>
        <v>0</v>
      </c>
      <c r="I295" s="221">
        <f>IF(A295="Total",VLOOKUP(B295,CORRESPONDANCE[#All],2,FALSE),I296)</f>
        <v>0</v>
      </c>
      <c r="J295" s="222" t="str">
        <f t="shared" si="33"/>
        <v/>
      </c>
      <c r="K295" s="44" t="str">
        <f t="shared" si="34"/>
        <v xml:space="preserve">TIRR - </v>
      </c>
      <c r="L295" s="44" t="e">
        <f>+VLOOKUP(K295,TL[],4,FALSE)</f>
        <v>#N/A</v>
      </c>
    </row>
    <row r="296" spans="7:12" x14ac:dyDescent="0.2">
      <c r="G296" s="220">
        <f t="shared" si="31"/>
        <v>0</v>
      </c>
      <c r="H296" s="220">
        <f t="shared" si="32"/>
        <v>0</v>
      </c>
      <c r="I296" s="221">
        <f>IF(A296="Total",VLOOKUP(B296,CORRESPONDANCE[#All],2,FALSE),I297)</f>
        <v>0</v>
      </c>
      <c r="J296" s="222" t="str">
        <f t="shared" si="33"/>
        <v/>
      </c>
      <c r="K296" s="44" t="str">
        <f t="shared" si="34"/>
        <v xml:space="preserve">TIRR - </v>
      </c>
      <c r="L296" s="44" t="e">
        <f>+VLOOKUP(K296,TL[],4,FALSE)</f>
        <v>#N/A</v>
      </c>
    </row>
    <row r="297" spans="7:12" x14ac:dyDescent="0.2">
      <c r="G297" s="220">
        <f t="shared" si="31"/>
        <v>0</v>
      </c>
      <c r="H297" s="220">
        <f t="shared" si="32"/>
        <v>0</v>
      </c>
      <c r="I297" s="221">
        <f>IF(A297="Total",VLOOKUP(B297,CORRESPONDANCE[#All],2,FALSE),I298)</f>
        <v>0</v>
      </c>
      <c r="J297" s="222" t="str">
        <f t="shared" si="33"/>
        <v/>
      </c>
      <c r="K297" s="44" t="str">
        <f t="shared" si="34"/>
        <v xml:space="preserve">TIRR - </v>
      </c>
      <c r="L297" s="44" t="e">
        <f>+VLOOKUP(K297,TL[],4,FALSE)</f>
        <v>#N/A</v>
      </c>
    </row>
  </sheetData>
  <autoFilter ref="A1:L281" xr:uid="{948FDEE5-EC91-4E7D-97FA-8CA4F02DC89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1BFA6-4080-4494-874A-C9390FA65B34}">
  <sheetPr>
    <tabColor theme="7" tint="0.59999389629810485"/>
  </sheetPr>
  <dimension ref="A1:L304"/>
  <sheetViews>
    <sheetView topLeftCell="A284" zoomScaleNormal="100" workbookViewId="0">
      <selection activeCell="F301" sqref="A1:F301"/>
    </sheetView>
  </sheetViews>
  <sheetFormatPr baseColWidth="10" defaultColWidth="11.5703125" defaultRowHeight="12.75" x14ac:dyDescent="0.2"/>
  <cols>
    <col min="1" max="1" width="11.5703125" style="225"/>
    <col min="2" max="2" width="46" style="215" bestFit="1" customWidth="1"/>
    <col min="3" max="6" width="13.28515625" style="216" customWidth="1"/>
    <col min="7" max="8" width="13.28515625" style="223" customWidth="1"/>
    <col min="9" max="9" width="11.5703125" style="224"/>
    <col min="10" max="16384" width="11.5703125" style="44"/>
  </cols>
  <sheetData>
    <row r="1" spans="1:12" ht="15" x14ac:dyDescent="0.25">
      <c r="A1" s="290"/>
      <c r="B1" s="290"/>
      <c r="C1" s="290"/>
      <c r="D1" s="290"/>
      <c r="E1" s="290"/>
      <c r="F1" s="290"/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ht="15" x14ac:dyDescent="0.25">
      <c r="A2" s="290"/>
      <c r="B2" s="290"/>
      <c r="C2" s="290"/>
      <c r="D2" s="290"/>
      <c r="E2" s="290"/>
      <c r="F2" s="290"/>
      <c r="G2" s="220">
        <f>SUM(C2)-SUM(D2)</f>
        <v>0</v>
      </c>
      <c r="H2" s="220">
        <f>SUM(E2)-SUM(F2)</f>
        <v>0</v>
      </c>
      <c r="I2" s="221" t="e">
        <f>IF(A2="Total",VLOOKUP(B2,CORRESPONDANCE[#All],2,FALSE),I3)</f>
        <v>#REF!</v>
      </c>
      <c r="J2" s="222" t="str">
        <f>LEFT(A2,1)</f>
        <v/>
      </c>
      <c r="K2" s="44" t="str">
        <f>"VR7"&amp;" - "&amp;A2</f>
        <v xml:space="preserve">VR7 - </v>
      </c>
      <c r="L2" s="44" t="e">
        <f>+VLOOKUP(K2,TL[],4,FALSE)</f>
        <v>#N/A</v>
      </c>
    </row>
    <row r="3" spans="1:12" ht="15" x14ac:dyDescent="0.25">
      <c r="A3" s="290"/>
      <c r="B3" s="290"/>
      <c r="C3" s="290"/>
      <c r="D3" s="290"/>
      <c r="E3" s="290"/>
      <c r="F3" s="290"/>
      <c r="G3" s="220">
        <f>SUM(C3)-SUM(D3)</f>
        <v>0</v>
      </c>
      <c r="H3" s="220">
        <f>SUM(E3)-SUM(F3)</f>
        <v>0</v>
      </c>
      <c r="I3" s="221" t="e">
        <f>IF(A3="Total",VLOOKUP(B3,CORRESPONDANCE[#All],2,FALSE),I4)</f>
        <v>#REF!</v>
      </c>
      <c r="J3" s="222" t="str">
        <f t="shared" ref="J3:J66" si="0">LEFT(A3,1)</f>
        <v/>
      </c>
      <c r="K3" s="44" t="str">
        <f t="shared" ref="K3:K66" si="1">"VR7"&amp;" - "&amp;A3</f>
        <v xml:space="preserve">VR7 - </v>
      </c>
      <c r="L3" s="44" t="e">
        <f>+VLOOKUP(K3,TL[],4,FALSE)</f>
        <v>#N/A</v>
      </c>
    </row>
    <row r="4" spans="1:12" ht="15" x14ac:dyDescent="0.25">
      <c r="A4" s="290"/>
      <c r="B4" s="290"/>
      <c r="C4" s="290"/>
      <c r="D4" s="290"/>
      <c r="E4" s="290"/>
      <c r="F4" s="290"/>
      <c r="G4" s="220">
        <f>SUM(C4)-SUM(D4)</f>
        <v>0</v>
      </c>
      <c r="H4" s="220">
        <f>SUM(E4)-SUM(F4)</f>
        <v>0</v>
      </c>
      <c r="I4" s="221" t="e">
        <f>IF(A4="Total",VLOOKUP(B4,CORRESPONDANCE[#All],2,FALSE),I5)</f>
        <v>#REF!</v>
      </c>
      <c r="J4" s="222" t="str">
        <f t="shared" si="0"/>
        <v/>
      </c>
      <c r="K4" s="44" t="str">
        <f t="shared" si="1"/>
        <v xml:space="preserve">VR7 - </v>
      </c>
      <c r="L4" s="44" t="e">
        <f>+VLOOKUP(K4,TL[],4,FALSE)</f>
        <v>#N/A</v>
      </c>
    </row>
    <row r="5" spans="1:12" ht="15" x14ac:dyDescent="0.25">
      <c r="A5" s="290"/>
      <c r="B5" s="290"/>
      <c r="C5" s="290"/>
      <c r="D5" s="290"/>
      <c r="E5" s="290"/>
      <c r="F5" s="290"/>
      <c r="G5" s="220">
        <f>SUM(C5)-SUM(D5)</f>
        <v>0</v>
      </c>
      <c r="H5" s="220">
        <f>SUM(E5)-SUM(F5)</f>
        <v>0</v>
      </c>
      <c r="I5" s="221" t="e">
        <f>IF(A5="Total",VLOOKUP(B5,CORRESPONDANCE[#All],2,FALSE),I6)</f>
        <v>#REF!</v>
      </c>
      <c r="J5" s="222" t="str">
        <f t="shared" si="0"/>
        <v/>
      </c>
      <c r="K5" s="44" t="str">
        <f t="shared" si="1"/>
        <v xml:space="preserve">VR7 - </v>
      </c>
      <c r="L5" s="44" t="e">
        <f>+VLOOKUP(K5,TL[],4,FALSE)</f>
        <v>#N/A</v>
      </c>
    </row>
    <row r="6" spans="1:12" ht="15" x14ac:dyDescent="0.25">
      <c r="A6" s="290"/>
      <c r="B6" s="290"/>
      <c r="C6" s="290"/>
      <c r="D6" s="290"/>
      <c r="E6" s="290"/>
      <c r="F6" s="290"/>
      <c r="G6" s="220">
        <f t="shared" ref="G6:G69" si="2">SUM(C6)-SUM(D6)</f>
        <v>0</v>
      </c>
      <c r="H6" s="220">
        <f t="shared" ref="H6:H69" si="3">SUM(E6)-SUM(F6)</f>
        <v>0</v>
      </c>
      <c r="I6" s="221" t="e">
        <f>IF(A6="Total",VLOOKUP(B6,CORRESPONDANCE[#All],2,FALSE),I7)</f>
        <v>#REF!</v>
      </c>
      <c r="J6" s="222" t="str">
        <f t="shared" si="0"/>
        <v/>
      </c>
      <c r="K6" s="44" t="str">
        <f t="shared" si="1"/>
        <v xml:space="preserve">VR7 - </v>
      </c>
      <c r="L6" s="44" t="e">
        <f>+VLOOKUP(K6,TL[],4,FALSE)</f>
        <v>#N/A</v>
      </c>
    </row>
    <row r="7" spans="1:12" ht="15" x14ac:dyDescent="0.25">
      <c r="A7" s="290"/>
      <c r="B7" s="290"/>
      <c r="C7" s="290"/>
      <c r="D7" s="290"/>
      <c r="E7" s="290"/>
      <c r="F7" s="290"/>
      <c r="G7" s="220">
        <f t="shared" si="2"/>
        <v>0</v>
      </c>
      <c r="H7" s="220">
        <f t="shared" si="3"/>
        <v>0</v>
      </c>
      <c r="I7" s="221" t="e">
        <f>IF(A7="Total",VLOOKUP(B7,CORRESPONDANCE[#All],2,FALSE),I8)</f>
        <v>#REF!</v>
      </c>
      <c r="J7" s="222" t="str">
        <f t="shared" si="0"/>
        <v/>
      </c>
      <c r="K7" s="44" t="str">
        <f t="shared" si="1"/>
        <v xml:space="preserve">VR7 - </v>
      </c>
      <c r="L7" s="44" t="e">
        <f>+VLOOKUP(K7,TL[],4,FALSE)</f>
        <v>#N/A</v>
      </c>
    </row>
    <row r="8" spans="1:12" ht="15" x14ac:dyDescent="0.25">
      <c r="A8" s="290"/>
      <c r="B8" s="290"/>
      <c r="C8" s="290"/>
      <c r="D8" s="290"/>
      <c r="E8" s="290"/>
      <c r="F8" s="290"/>
      <c r="G8" s="220">
        <f t="shared" si="2"/>
        <v>0</v>
      </c>
      <c r="H8" s="220">
        <f t="shared" si="3"/>
        <v>0</v>
      </c>
      <c r="I8" s="221" t="e">
        <f>IF(A8="Total",VLOOKUP(B8,CORRESPONDANCE[#All],2,FALSE),I9)</f>
        <v>#REF!</v>
      </c>
      <c r="J8" s="222" t="str">
        <f t="shared" si="0"/>
        <v/>
      </c>
      <c r="K8" s="44" t="str">
        <f t="shared" si="1"/>
        <v xml:space="preserve">VR7 - </v>
      </c>
      <c r="L8" s="44" t="e">
        <f>+VLOOKUP(K8,TL[],4,FALSE)</f>
        <v>#N/A</v>
      </c>
    </row>
    <row r="9" spans="1:12" ht="15" x14ac:dyDescent="0.25">
      <c r="A9" s="290"/>
      <c r="B9" s="290"/>
      <c r="C9" s="290"/>
      <c r="D9" s="290"/>
      <c r="E9" s="290"/>
      <c r="F9" s="290"/>
      <c r="G9" s="220">
        <f t="shared" si="2"/>
        <v>0</v>
      </c>
      <c r="H9" s="220">
        <f t="shared" si="3"/>
        <v>0</v>
      </c>
      <c r="I9" s="221" t="e">
        <f>IF(A9="Total",VLOOKUP(B9,CORRESPONDANCE[#All],2,FALSE),I10)</f>
        <v>#REF!</v>
      </c>
      <c r="J9" s="222" t="str">
        <f t="shared" si="0"/>
        <v/>
      </c>
      <c r="K9" s="44" t="str">
        <f t="shared" si="1"/>
        <v xml:space="preserve">VR7 - </v>
      </c>
      <c r="L9" s="44" t="e">
        <f>+VLOOKUP(K9,TL[],4,FALSE)</f>
        <v>#N/A</v>
      </c>
    </row>
    <row r="10" spans="1:12" ht="15" x14ac:dyDescent="0.25">
      <c r="A10" s="290"/>
      <c r="B10" s="290"/>
      <c r="C10" s="290"/>
      <c r="D10" s="290"/>
      <c r="E10" s="290"/>
      <c r="F10" s="290"/>
      <c r="G10" s="220">
        <f t="shared" si="2"/>
        <v>0</v>
      </c>
      <c r="H10" s="220">
        <f t="shared" si="3"/>
        <v>0</v>
      </c>
      <c r="I10" s="221" t="e">
        <f>IF(A10="Total",VLOOKUP(B10,CORRESPONDANCE[#All],2,FALSE),I11)</f>
        <v>#REF!</v>
      </c>
      <c r="J10" s="222" t="str">
        <f t="shared" si="0"/>
        <v/>
      </c>
      <c r="K10" s="44" t="str">
        <f t="shared" si="1"/>
        <v xml:space="preserve">VR7 - </v>
      </c>
      <c r="L10" s="44" t="e">
        <f>+VLOOKUP(K10,TL[],4,FALSE)</f>
        <v>#N/A</v>
      </c>
    </row>
    <row r="11" spans="1:12" ht="15" x14ac:dyDescent="0.25">
      <c r="A11" s="290"/>
      <c r="B11" s="290"/>
      <c r="C11" s="290"/>
      <c r="D11" s="290"/>
      <c r="E11" s="290"/>
      <c r="F11" s="290"/>
      <c r="G11" s="220">
        <f t="shared" si="2"/>
        <v>0</v>
      </c>
      <c r="H11" s="220">
        <f t="shared" si="3"/>
        <v>0</v>
      </c>
      <c r="I11" s="221" t="e">
        <f>IF(A11="Total",VLOOKUP(B11,CORRESPONDANCE[#All],2,FALSE),I12)</f>
        <v>#REF!</v>
      </c>
      <c r="J11" s="222" t="str">
        <f t="shared" si="0"/>
        <v/>
      </c>
      <c r="K11" s="44" t="str">
        <f t="shared" si="1"/>
        <v xml:space="preserve">VR7 - </v>
      </c>
      <c r="L11" s="44" t="e">
        <f>+VLOOKUP(K11,TL[],4,FALSE)</f>
        <v>#N/A</v>
      </c>
    </row>
    <row r="12" spans="1:12" ht="15" x14ac:dyDescent="0.25">
      <c r="A12" s="290"/>
      <c r="B12" s="290"/>
      <c r="C12" s="290"/>
      <c r="D12" s="290"/>
      <c r="E12" s="290"/>
      <c r="F12" s="290"/>
      <c r="G12" s="220">
        <f t="shared" si="2"/>
        <v>0</v>
      </c>
      <c r="H12" s="220">
        <f t="shared" si="3"/>
        <v>0</v>
      </c>
      <c r="I12" s="221" t="e">
        <f>IF(A12="Total",VLOOKUP(B12,CORRESPONDANCE[#All],2,FALSE),I13)</f>
        <v>#REF!</v>
      </c>
      <c r="J12" s="222" t="str">
        <f t="shared" si="0"/>
        <v/>
      </c>
      <c r="K12" s="44" t="str">
        <f t="shared" si="1"/>
        <v xml:space="preserve">VR7 - </v>
      </c>
      <c r="L12" s="44" t="e">
        <f>+VLOOKUP(K12,TL[],4,FALSE)</f>
        <v>#N/A</v>
      </c>
    </row>
    <row r="13" spans="1:12" ht="15" x14ac:dyDescent="0.25">
      <c r="A13" s="290"/>
      <c r="B13" s="290"/>
      <c r="C13" s="290"/>
      <c r="D13" s="290"/>
      <c r="E13" s="290"/>
      <c r="F13" s="290"/>
      <c r="G13" s="220">
        <f t="shared" si="2"/>
        <v>0</v>
      </c>
      <c r="H13" s="220">
        <f t="shared" si="3"/>
        <v>0</v>
      </c>
      <c r="I13" s="221" t="e">
        <f>IF(A13="Total",VLOOKUP(B13,CORRESPONDANCE[#All],2,FALSE),I14)</f>
        <v>#REF!</v>
      </c>
      <c r="J13" s="222" t="str">
        <f t="shared" si="0"/>
        <v/>
      </c>
      <c r="K13" s="44" t="str">
        <f t="shared" si="1"/>
        <v xml:space="preserve">VR7 - </v>
      </c>
      <c r="L13" s="44" t="e">
        <f>+VLOOKUP(K13,TL[],4,FALSE)</f>
        <v>#N/A</v>
      </c>
    </row>
    <row r="14" spans="1:12" ht="15" x14ac:dyDescent="0.25">
      <c r="A14" s="290"/>
      <c r="B14" s="290"/>
      <c r="C14" s="290"/>
      <c r="D14" s="290"/>
      <c r="E14" s="290"/>
      <c r="F14" s="290"/>
      <c r="G14" s="220">
        <f t="shared" si="2"/>
        <v>0</v>
      </c>
      <c r="H14" s="220">
        <f t="shared" si="3"/>
        <v>0</v>
      </c>
      <c r="I14" s="221" t="e">
        <f>IF(A14="Total",VLOOKUP(B14,CORRESPONDANCE[#All],2,FALSE),I15)</f>
        <v>#REF!</v>
      </c>
      <c r="J14" s="222" t="str">
        <f t="shared" si="0"/>
        <v/>
      </c>
      <c r="K14" s="44" t="str">
        <f t="shared" si="1"/>
        <v xml:space="preserve">VR7 - </v>
      </c>
      <c r="L14" s="44" t="e">
        <f>+VLOOKUP(K14,TL[],4,FALSE)</f>
        <v>#N/A</v>
      </c>
    </row>
    <row r="15" spans="1:12" ht="15" x14ac:dyDescent="0.25">
      <c r="A15" s="290"/>
      <c r="B15" s="290"/>
      <c r="C15" s="290"/>
      <c r="D15" s="290"/>
      <c r="E15" s="290"/>
      <c r="F15" s="290"/>
      <c r="G15" s="220">
        <f t="shared" si="2"/>
        <v>0</v>
      </c>
      <c r="H15" s="220">
        <f t="shared" si="3"/>
        <v>0</v>
      </c>
      <c r="I15" s="221" t="e">
        <f>IF(A15="Total",VLOOKUP(B15,CORRESPONDANCE[#All],2,FALSE),I16)</f>
        <v>#REF!</v>
      </c>
      <c r="J15" s="222" t="str">
        <f t="shared" si="0"/>
        <v/>
      </c>
      <c r="K15" s="44" t="str">
        <f t="shared" si="1"/>
        <v xml:space="preserve">VR7 - </v>
      </c>
      <c r="L15" s="44" t="e">
        <f>+VLOOKUP(K15,TL[],4,FALSE)</f>
        <v>#N/A</v>
      </c>
    </row>
    <row r="16" spans="1:12" ht="15" x14ac:dyDescent="0.25">
      <c r="A16" s="290"/>
      <c r="B16" s="290"/>
      <c r="C16" s="290"/>
      <c r="D16" s="290"/>
      <c r="E16" s="290"/>
      <c r="F16" s="290"/>
      <c r="G16" s="220">
        <f t="shared" si="2"/>
        <v>0</v>
      </c>
      <c r="H16" s="220">
        <f t="shared" si="3"/>
        <v>0</v>
      </c>
      <c r="I16" s="221" t="e">
        <f>IF(A16="Total",VLOOKUP(B16,CORRESPONDANCE[#All],2,FALSE),I17)</f>
        <v>#REF!</v>
      </c>
      <c r="J16" s="222" t="str">
        <f t="shared" si="0"/>
        <v/>
      </c>
      <c r="K16" s="44" t="str">
        <f t="shared" si="1"/>
        <v xml:space="preserve">VR7 - </v>
      </c>
      <c r="L16" s="44" t="e">
        <f>+VLOOKUP(K16,TL[],4,FALSE)</f>
        <v>#N/A</v>
      </c>
    </row>
    <row r="17" spans="1:12" ht="15" x14ac:dyDescent="0.25">
      <c r="A17" s="290"/>
      <c r="B17" s="290"/>
      <c r="C17" s="290"/>
      <c r="D17" s="290"/>
      <c r="E17" s="290"/>
      <c r="F17" s="290"/>
      <c r="G17" s="220">
        <f t="shared" si="2"/>
        <v>0</v>
      </c>
      <c r="H17" s="220">
        <f t="shared" si="3"/>
        <v>0</v>
      </c>
      <c r="I17" s="221" t="e">
        <f>IF(A17="Total",VLOOKUP(B17,CORRESPONDANCE[#All],2,FALSE),I18)</f>
        <v>#REF!</v>
      </c>
      <c r="J17" s="222" t="str">
        <f t="shared" si="0"/>
        <v/>
      </c>
      <c r="K17" s="44" t="str">
        <f t="shared" si="1"/>
        <v xml:space="preserve">VR7 - </v>
      </c>
      <c r="L17" s="44" t="e">
        <f>+VLOOKUP(K17,TL[],4,FALSE)</f>
        <v>#N/A</v>
      </c>
    </row>
    <row r="18" spans="1:12" ht="15" x14ac:dyDescent="0.25">
      <c r="A18" s="290"/>
      <c r="B18" s="290"/>
      <c r="C18" s="290"/>
      <c r="D18" s="290"/>
      <c r="E18" s="290"/>
      <c r="F18" s="290"/>
      <c r="G18" s="220">
        <f t="shared" si="2"/>
        <v>0</v>
      </c>
      <c r="H18" s="220">
        <f t="shared" si="3"/>
        <v>0</v>
      </c>
      <c r="I18" s="221" t="e">
        <f>IF(A18="Total",VLOOKUP(B18,CORRESPONDANCE[#All],2,FALSE),I19)</f>
        <v>#REF!</v>
      </c>
      <c r="J18" s="222" t="str">
        <f t="shared" si="0"/>
        <v/>
      </c>
      <c r="K18" s="44" t="str">
        <f t="shared" si="1"/>
        <v xml:space="preserve">VR7 - </v>
      </c>
      <c r="L18" s="44" t="e">
        <f>+VLOOKUP(K18,TL[],4,FALSE)</f>
        <v>#N/A</v>
      </c>
    </row>
    <row r="19" spans="1:12" ht="15" x14ac:dyDescent="0.25">
      <c r="A19" s="290"/>
      <c r="B19" s="290"/>
      <c r="C19" s="290"/>
      <c r="D19" s="290"/>
      <c r="E19" s="290"/>
      <c r="F19" s="290"/>
      <c r="G19" s="220">
        <f t="shared" si="2"/>
        <v>0</v>
      </c>
      <c r="H19" s="220">
        <f t="shared" si="3"/>
        <v>0</v>
      </c>
      <c r="I19" s="221" t="e">
        <f>IF(A19="Total",VLOOKUP(B19,CORRESPONDANCE[#All],2,FALSE),I20)</f>
        <v>#REF!</v>
      </c>
      <c r="J19" s="222" t="str">
        <f t="shared" si="0"/>
        <v/>
      </c>
      <c r="K19" s="44" t="str">
        <f t="shared" si="1"/>
        <v xml:space="preserve">VR7 - </v>
      </c>
      <c r="L19" s="44" t="e">
        <f>+VLOOKUP(K19,TL[],4,FALSE)</f>
        <v>#N/A</v>
      </c>
    </row>
    <row r="20" spans="1:12" ht="15" x14ac:dyDescent="0.25">
      <c r="A20" s="290"/>
      <c r="B20" s="290"/>
      <c r="C20" s="290"/>
      <c r="D20" s="290"/>
      <c r="E20" s="290"/>
      <c r="F20" s="290"/>
      <c r="G20" s="220">
        <f t="shared" si="2"/>
        <v>0</v>
      </c>
      <c r="H20" s="220">
        <f t="shared" si="3"/>
        <v>0</v>
      </c>
      <c r="I20" s="221" t="e">
        <f>IF(A20="Total",VLOOKUP(B20,CORRESPONDANCE[#All],2,FALSE),I21)</f>
        <v>#REF!</v>
      </c>
      <c r="J20" s="222" t="str">
        <f t="shared" si="0"/>
        <v/>
      </c>
      <c r="K20" s="44" t="str">
        <f t="shared" si="1"/>
        <v xml:space="preserve">VR7 - </v>
      </c>
      <c r="L20" s="44" t="e">
        <f>+VLOOKUP(K20,TL[],4,FALSE)</f>
        <v>#N/A</v>
      </c>
    </row>
    <row r="21" spans="1:12" ht="15" x14ac:dyDescent="0.25">
      <c r="A21" s="290"/>
      <c r="B21" s="290"/>
      <c r="C21" s="290"/>
      <c r="D21" s="290"/>
      <c r="E21" s="290"/>
      <c r="F21" s="290"/>
      <c r="G21" s="220">
        <f t="shared" si="2"/>
        <v>0</v>
      </c>
      <c r="H21" s="220">
        <f t="shared" si="3"/>
        <v>0</v>
      </c>
      <c r="I21" s="221" t="e">
        <f>IF(A21="Total",VLOOKUP(B21,CORRESPONDANCE[#All],2,FALSE),I22)</f>
        <v>#REF!</v>
      </c>
      <c r="J21" s="222" t="str">
        <f t="shared" si="0"/>
        <v/>
      </c>
      <c r="K21" s="44" t="str">
        <f t="shared" si="1"/>
        <v xml:space="preserve">VR7 - </v>
      </c>
      <c r="L21" s="44" t="e">
        <f>+VLOOKUP(K21,TL[],4,FALSE)</f>
        <v>#N/A</v>
      </c>
    </row>
    <row r="22" spans="1:12" ht="15" x14ac:dyDescent="0.25">
      <c r="A22" s="290"/>
      <c r="B22" s="290"/>
      <c r="C22" s="290"/>
      <c r="D22" s="290"/>
      <c r="E22" s="290"/>
      <c r="F22" s="290"/>
      <c r="G22" s="220">
        <f t="shared" si="2"/>
        <v>0</v>
      </c>
      <c r="H22" s="220">
        <f t="shared" si="3"/>
        <v>0</v>
      </c>
      <c r="I22" s="221" t="e">
        <f>IF(A22="Total",VLOOKUP(B22,CORRESPONDANCE[#All],2,FALSE),I23)</f>
        <v>#REF!</v>
      </c>
      <c r="J22" s="222" t="str">
        <f t="shared" si="0"/>
        <v/>
      </c>
      <c r="K22" s="44" t="str">
        <f t="shared" si="1"/>
        <v xml:space="preserve">VR7 - </v>
      </c>
      <c r="L22" s="44" t="e">
        <f>+VLOOKUP(K22,TL[],4,FALSE)</f>
        <v>#N/A</v>
      </c>
    </row>
    <row r="23" spans="1:12" ht="15" x14ac:dyDescent="0.25">
      <c r="A23" s="290"/>
      <c r="B23" s="290"/>
      <c r="C23" s="290"/>
      <c r="D23" s="290"/>
      <c r="E23" s="290"/>
      <c r="F23" s="290"/>
      <c r="G23" s="220">
        <f t="shared" si="2"/>
        <v>0</v>
      </c>
      <c r="H23" s="220">
        <f t="shared" si="3"/>
        <v>0</v>
      </c>
      <c r="I23" s="221" t="e">
        <f>IF(A23="Total",VLOOKUP(B23,CORRESPONDANCE[#All],2,FALSE),I24)</f>
        <v>#REF!</v>
      </c>
      <c r="J23" s="222" t="str">
        <f t="shared" si="0"/>
        <v/>
      </c>
      <c r="K23" s="44" t="str">
        <f t="shared" si="1"/>
        <v xml:space="preserve">VR7 - </v>
      </c>
      <c r="L23" s="44" t="e">
        <f>+VLOOKUP(K23,TL[],4,FALSE)</f>
        <v>#N/A</v>
      </c>
    </row>
    <row r="24" spans="1:12" ht="15" x14ac:dyDescent="0.25">
      <c r="A24" s="290"/>
      <c r="B24" s="290"/>
      <c r="C24" s="290"/>
      <c r="D24" s="290"/>
      <c r="E24" s="290"/>
      <c r="F24" s="290"/>
      <c r="G24" s="220">
        <f t="shared" si="2"/>
        <v>0</v>
      </c>
      <c r="H24" s="220">
        <f t="shared" si="3"/>
        <v>0</v>
      </c>
      <c r="I24" s="221" t="e">
        <f>IF(A24="Total",VLOOKUP(B24,CORRESPONDANCE[#All],2,FALSE),I25)</f>
        <v>#REF!</v>
      </c>
      <c r="J24" s="222" t="str">
        <f t="shared" si="0"/>
        <v/>
      </c>
      <c r="K24" s="44" t="str">
        <f t="shared" si="1"/>
        <v xml:space="preserve">VR7 - </v>
      </c>
      <c r="L24" s="44" t="e">
        <f>+VLOOKUP(K24,TL[],4,FALSE)</f>
        <v>#N/A</v>
      </c>
    </row>
    <row r="25" spans="1:12" ht="15" x14ac:dyDescent="0.25">
      <c r="A25" s="290"/>
      <c r="B25" s="290"/>
      <c r="C25" s="290"/>
      <c r="D25" s="290"/>
      <c r="E25" s="290"/>
      <c r="F25" s="290"/>
      <c r="G25" s="220">
        <f t="shared" si="2"/>
        <v>0</v>
      </c>
      <c r="H25" s="220">
        <f t="shared" si="3"/>
        <v>0</v>
      </c>
      <c r="I25" s="221" t="e">
        <f>IF(A25="Total",VLOOKUP(B25,CORRESPONDANCE[#All],2,FALSE),I26)</f>
        <v>#REF!</v>
      </c>
      <c r="J25" s="222" t="str">
        <f t="shared" si="0"/>
        <v/>
      </c>
      <c r="K25" s="44" t="str">
        <f t="shared" si="1"/>
        <v xml:space="preserve">VR7 - </v>
      </c>
      <c r="L25" s="44" t="e">
        <f>+VLOOKUP(K25,TL[],4,FALSE)</f>
        <v>#N/A</v>
      </c>
    </row>
    <row r="26" spans="1:12" ht="15" x14ac:dyDescent="0.25">
      <c r="A26" s="290"/>
      <c r="B26" s="290"/>
      <c r="C26" s="290"/>
      <c r="D26" s="290"/>
      <c r="E26" s="290"/>
      <c r="F26" s="290"/>
      <c r="G26" s="220">
        <f t="shared" si="2"/>
        <v>0</v>
      </c>
      <c r="H26" s="220">
        <f t="shared" si="3"/>
        <v>0</v>
      </c>
      <c r="I26" s="221" t="e">
        <f>IF(A26="Total",VLOOKUP(B26,CORRESPONDANCE[#All],2,FALSE),I27)</f>
        <v>#REF!</v>
      </c>
      <c r="J26" s="222" t="str">
        <f t="shared" si="0"/>
        <v/>
      </c>
      <c r="K26" s="44" t="str">
        <f t="shared" si="1"/>
        <v xml:space="preserve">VR7 - </v>
      </c>
      <c r="L26" s="44" t="e">
        <f>+VLOOKUP(K26,TL[],4,FALSE)</f>
        <v>#N/A</v>
      </c>
    </row>
    <row r="27" spans="1:12" ht="15" x14ac:dyDescent="0.25">
      <c r="A27" s="290"/>
      <c r="B27" s="290"/>
      <c r="C27" s="290"/>
      <c r="D27" s="290"/>
      <c r="E27" s="290"/>
      <c r="F27" s="290"/>
      <c r="G27" s="220">
        <f t="shared" si="2"/>
        <v>0</v>
      </c>
      <c r="H27" s="220">
        <f t="shared" si="3"/>
        <v>0</v>
      </c>
      <c r="I27" s="221" t="e">
        <f>IF(A27="Total",VLOOKUP(B27,CORRESPONDANCE[#All],2,FALSE),I28)</f>
        <v>#REF!</v>
      </c>
      <c r="J27" s="222" t="str">
        <f t="shared" si="0"/>
        <v/>
      </c>
      <c r="K27" s="44" t="str">
        <f t="shared" si="1"/>
        <v xml:space="preserve">VR7 - </v>
      </c>
      <c r="L27" s="44" t="e">
        <f>+VLOOKUP(K27,TL[],4,FALSE)</f>
        <v>#N/A</v>
      </c>
    </row>
    <row r="28" spans="1:12" ht="15" x14ac:dyDescent="0.25">
      <c r="A28" s="290"/>
      <c r="B28" s="290"/>
      <c r="C28" s="290"/>
      <c r="D28" s="290"/>
      <c r="E28" s="290"/>
      <c r="F28" s="290"/>
      <c r="G28" s="220">
        <f t="shared" si="2"/>
        <v>0</v>
      </c>
      <c r="H28" s="220">
        <f t="shared" si="3"/>
        <v>0</v>
      </c>
      <c r="I28" s="221" t="e">
        <f>IF(A28="Total",VLOOKUP(B28,CORRESPONDANCE[#All],2,FALSE),I29)</f>
        <v>#REF!</v>
      </c>
      <c r="J28" s="222" t="str">
        <f t="shared" si="0"/>
        <v/>
      </c>
      <c r="K28" s="44" t="str">
        <f t="shared" si="1"/>
        <v xml:space="preserve">VR7 - </v>
      </c>
      <c r="L28" s="44" t="e">
        <f>+VLOOKUP(K28,TL[],4,FALSE)</f>
        <v>#N/A</v>
      </c>
    </row>
    <row r="29" spans="1:12" ht="15" x14ac:dyDescent="0.25">
      <c r="A29" s="290"/>
      <c r="B29" s="290"/>
      <c r="C29" s="290"/>
      <c r="D29" s="290"/>
      <c r="E29" s="290"/>
      <c r="F29" s="290"/>
      <c r="G29" s="220">
        <f t="shared" si="2"/>
        <v>0</v>
      </c>
      <c r="H29" s="220">
        <f t="shared" si="3"/>
        <v>0</v>
      </c>
      <c r="I29" s="221" t="e">
        <f>IF(A29="Total",VLOOKUP(B29,CORRESPONDANCE[#All],2,FALSE),I30)</f>
        <v>#REF!</v>
      </c>
      <c r="J29" s="222" t="str">
        <f t="shared" si="0"/>
        <v/>
      </c>
      <c r="K29" s="44" t="str">
        <f t="shared" si="1"/>
        <v xml:space="preserve">VR7 - </v>
      </c>
      <c r="L29" s="44" t="e">
        <f>+VLOOKUP(K29,TL[],4,FALSE)</f>
        <v>#N/A</v>
      </c>
    </row>
    <row r="30" spans="1:12" ht="15" x14ac:dyDescent="0.25">
      <c r="A30" s="290"/>
      <c r="B30" s="290"/>
      <c r="C30" s="290"/>
      <c r="D30" s="290"/>
      <c r="E30" s="290"/>
      <c r="F30" s="290"/>
      <c r="G30" s="220">
        <f t="shared" si="2"/>
        <v>0</v>
      </c>
      <c r="H30" s="220">
        <f t="shared" si="3"/>
        <v>0</v>
      </c>
      <c r="I30" s="221" t="e">
        <f>IF(A30="Total",VLOOKUP(B30,CORRESPONDANCE[#All],2,FALSE),I31)</f>
        <v>#REF!</v>
      </c>
      <c r="J30" s="222" t="str">
        <f t="shared" si="0"/>
        <v/>
      </c>
      <c r="K30" s="44" t="str">
        <f t="shared" si="1"/>
        <v xml:space="preserve">VR7 - </v>
      </c>
      <c r="L30" s="44" t="e">
        <f>+VLOOKUP(K30,TL[],4,FALSE)</f>
        <v>#N/A</v>
      </c>
    </row>
    <row r="31" spans="1:12" ht="15" x14ac:dyDescent="0.25">
      <c r="A31" s="290"/>
      <c r="B31" s="290"/>
      <c r="C31" s="290"/>
      <c r="D31" s="290"/>
      <c r="E31" s="290"/>
      <c r="F31" s="290"/>
      <c r="G31" s="220">
        <f t="shared" si="2"/>
        <v>0</v>
      </c>
      <c r="H31" s="220">
        <f t="shared" si="3"/>
        <v>0</v>
      </c>
      <c r="I31" s="221" t="e">
        <f>IF(A31="Total",VLOOKUP(B31,CORRESPONDANCE[#All],2,FALSE),I32)</f>
        <v>#REF!</v>
      </c>
      <c r="J31" s="222" t="str">
        <f t="shared" si="0"/>
        <v/>
      </c>
      <c r="K31" s="44" t="str">
        <f t="shared" si="1"/>
        <v xml:space="preserve">VR7 - </v>
      </c>
      <c r="L31" s="44" t="e">
        <f>+VLOOKUP(K31,TL[],4,FALSE)</f>
        <v>#N/A</v>
      </c>
    </row>
    <row r="32" spans="1:12" ht="15" x14ac:dyDescent="0.25">
      <c r="A32" s="290"/>
      <c r="B32" s="290"/>
      <c r="C32" s="290"/>
      <c r="D32" s="290"/>
      <c r="E32" s="290"/>
      <c r="F32" s="290"/>
      <c r="G32" s="220">
        <f t="shared" si="2"/>
        <v>0</v>
      </c>
      <c r="H32" s="220">
        <f t="shared" si="3"/>
        <v>0</v>
      </c>
      <c r="I32" s="221" t="e">
        <f>IF(A32="Total",VLOOKUP(B32,CORRESPONDANCE[#All],2,FALSE),I33)</f>
        <v>#REF!</v>
      </c>
      <c r="J32" s="222" t="str">
        <f t="shared" si="0"/>
        <v/>
      </c>
      <c r="K32" s="44" t="str">
        <f t="shared" si="1"/>
        <v xml:space="preserve">VR7 - </v>
      </c>
      <c r="L32" s="44" t="e">
        <f>+VLOOKUP(K32,TL[],4,FALSE)</f>
        <v>#N/A</v>
      </c>
    </row>
    <row r="33" spans="1:12" ht="15" x14ac:dyDescent="0.25">
      <c r="A33" s="290"/>
      <c r="B33" s="290"/>
      <c r="C33" s="290"/>
      <c r="D33" s="290"/>
      <c r="E33" s="290"/>
      <c r="F33" s="290"/>
      <c r="G33" s="220">
        <f t="shared" si="2"/>
        <v>0</v>
      </c>
      <c r="H33" s="220">
        <f t="shared" si="3"/>
        <v>0</v>
      </c>
      <c r="I33" s="221" t="e">
        <f>IF(A33="Total",VLOOKUP(B33,CORRESPONDANCE[#All],2,FALSE),I34)</f>
        <v>#REF!</v>
      </c>
      <c r="J33" s="222" t="str">
        <f t="shared" si="0"/>
        <v/>
      </c>
      <c r="K33" s="44" t="str">
        <f t="shared" si="1"/>
        <v xml:space="preserve">VR7 - </v>
      </c>
      <c r="L33" s="44" t="e">
        <f>+VLOOKUP(K33,TL[],4,FALSE)</f>
        <v>#N/A</v>
      </c>
    </row>
    <row r="34" spans="1:12" ht="15" x14ac:dyDescent="0.25">
      <c r="A34" s="290"/>
      <c r="B34" s="290"/>
      <c r="C34" s="290"/>
      <c r="D34" s="290"/>
      <c r="E34" s="290"/>
      <c r="F34" s="290"/>
      <c r="G34" s="220">
        <f t="shared" si="2"/>
        <v>0</v>
      </c>
      <c r="H34" s="220">
        <f t="shared" si="3"/>
        <v>0</v>
      </c>
      <c r="I34" s="221" t="e">
        <f>IF(A34="Total",VLOOKUP(B34,CORRESPONDANCE[#All],2,FALSE),I35)</f>
        <v>#REF!</v>
      </c>
      <c r="J34" s="222" t="str">
        <f t="shared" si="0"/>
        <v/>
      </c>
      <c r="K34" s="44" t="str">
        <f t="shared" si="1"/>
        <v xml:space="preserve">VR7 - </v>
      </c>
      <c r="L34" s="44" t="e">
        <f>+VLOOKUP(K34,TL[],4,FALSE)</f>
        <v>#N/A</v>
      </c>
    </row>
    <row r="35" spans="1:12" ht="15" x14ac:dyDescent="0.25">
      <c r="A35" s="290"/>
      <c r="B35" s="290"/>
      <c r="C35" s="290"/>
      <c r="D35" s="290"/>
      <c r="E35" s="290"/>
      <c r="F35" s="290"/>
      <c r="G35" s="220">
        <f t="shared" si="2"/>
        <v>0</v>
      </c>
      <c r="H35" s="220">
        <f t="shared" si="3"/>
        <v>0</v>
      </c>
      <c r="I35" s="221" t="e">
        <f>IF(A35="Total",VLOOKUP(B35,CORRESPONDANCE[#All],2,FALSE),I36)</f>
        <v>#REF!</v>
      </c>
      <c r="J35" s="222" t="str">
        <f t="shared" si="0"/>
        <v/>
      </c>
      <c r="K35" s="44" t="str">
        <f t="shared" si="1"/>
        <v xml:space="preserve">VR7 - </v>
      </c>
      <c r="L35" s="44" t="e">
        <f>+VLOOKUP(K35,TL[],4,FALSE)</f>
        <v>#N/A</v>
      </c>
    </row>
    <row r="36" spans="1:12" ht="15" x14ac:dyDescent="0.25">
      <c r="A36" s="290"/>
      <c r="B36" s="290"/>
      <c r="C36" s="290"/>
      <c r="D36" s="290"/>
      <c r="E36" s="290"/>
      <c r="F36" s="290"/>
      <c r="G36" s="220">
        <f t="shared" si="2"/>
        <v>0</v>
      </c>
      <c r="H36" s="220">
        <f t="shared" si="3"/>
        <v>0</v>
      </c>
      <c r="I36" s="221" t="e">
        <f>IF(A36="Total",VLOOKUP(B36,CORRESPONDANCE[#All],2,FALSE),I37)</f>
        <v>#REF!</v>
      </c>
      <c r="J36" s="222" t="str">
        <f t="shared" si="0"/>
        <v/>
      </c>
      <c r="K36" s="44" t="str">
        <f t="shared" si="1"/>
        <v xml:space="preserve">VR7 - </v>
      </c>
      <c r="L36" s="44" t="e">
        <f>+VLOOKUP(K36,TL[],4,FALSE)</f>
        <v>#N/A</v>
      </c>
    </row>
    <row r="37" spans="1:12" ht="15" x14ac:dyDescent="0.25">
      <c r="A37" s="290"/>
      <c r="B37" s="290"/>
      <c r="C37" s="290"/>
      <c r="D37" s="290"/>
      <c r="E37" s="290"/>
      <c r="F37" s="290"/>
      <c r="G37" s="220">
        <f t="shared" si="2"/>
        <v>0</v>
      </c>
      <c r="H37" s="220">
        <f t="shared" si="3"/>
        <v>0</v>
      </c>
      <c r="I37" s="221" t="e">
        <f>IF(A37="Total",VLOOKUP(B37,CORRESPONDANCE[#All],2,FALSE),I38)</f>
        <v>#REF!</v>
      </c>
      <c r="J37" s="222" t="str">
        <f t="shared" si="0"/>
        <v/>
      </c>
      <c r="K37" s="44" t="str">
        <f t="shared" si="1"/>
        <v xml:space="preserve">VR7 - </v>
      </c>
      <c r="L37" s="44" t="e">
        <f>+VLOOKUP(K37,TL[],4,FALSE)</f>
        <v>#N/A</v>
      </c>
    </row>
    <row r="38" spans="1:12" ht="15" x14ac:dyDescent="0.25">
      <c r="A38" s="290"/>
      <c r="B38" s="290"/>
      <c r="C38" s="290"/>
      <c r="D38" s="290"/>
      <c r="E38" s="290"/>
      <c r="F38" s="290"/>
      <c r="G38" s="220">
        <f t="shared" si="2"/>
        <v>0</v>
      </c>
      <c r="H38" s="220">
        <f t="shared" si="3"/>
        <v>0</v>
      </c>
      <c r="I38" s="221" t="e">
        <f>IF(A38="Total",VLOOKUP(B38,CORRESPONDANCE[#All],2,FALSE),I39)</f>
        <v>#REF!</v>
      </c>
      <c r="J38" s="222" t="str">
        <f t="shared" si="0"/>
        <v/>
      </c>
      <c r="K38" s="44" t="str">
        <f t="shared" si="1"/>
        <v xml:space="preserve">VR7 - </v>
      </c>
      <c r="L38" s="44" t="e">
        <f>+VLOOKUP(K38,TL[],4,FALSE)</f>
        <v>#N/A</v>
      </c>
    </row>
    <row r="39" spans="1:12" ht="15" x14ac:dyDescent="0.25">
      <c r="A39" s="290"/>
      <c r="B39" s="290"/>
      <c r="C39" s="290"/>
      <c r="D39" s="290"/>
      <c r="E39" s="290"/>
      <c r="F39" s="290"/>
      <c r="G39" s="220">
        <f t="shared" si="2"/>
        <v>0</v>
      </c>
      <c r="H39" s="220">
        <f t="shared" si="3"/>
        <v>0</v>
      </c>
      <c r="I39" s="221" t="e">
        <f>IF(A39="Total",VLOOKUP(B39,CORRESPONDANCE[#All],2,FALSE),I40)</f>
        <v>#REF!</v>
      </c>
      <c r="J39" s="222" t="str">
        <f t="shared" si="0"/>
        <v/>
      </c>
      <c r="K39" s="44" t="str">
        <f t="shared" si="1"/>
        <v xml:space="preserve">VR7 - </v>
      </c>
      <c r="L39" s="44" t="e">
        <f>+VLOOKUP(K39,TL[],4,FALSE)</f>
        <v>#N/A</v>
      </c>
    </row>
    <row r="40" spans="1:12" ht="15" x14ac:dyDescent="0.25">
      <c r="A40" s="290"/>
      <c r="B40" s="290"/>
      <c r="C40" s="290"/>
      <c r="D40" s="290"/>
      <c r="E40" s="290"/>
      <c r="F40" s="290"/>
      <c r="G40" s="220">
        <f t="shared" si="2"/>
        <v>0</v>
      </c>
      <c r="H40" s="220">
        <f t="shared" si="3"/>
        <v>0</v>
      </c>
      <c r="I40" s="221" t="e">
        <f>IF(A40="Total",VLOOKUP(B40,CORRESPONDANCE[#All],2,FALSE),I41)</f>
        <v>#REF!</v>
      </c>
      <c r="J40" s="222" t="str">
        <f t="shared" si="0"/>
        <v/>
      </c>
      <c r="K40" s="44" t="str">
        <f t="shared" si="1"/>
        <v xml:space="preserve">VR7 - </v>
      </c>
      <c r="L40" s="44" t="e">
        <f>+VLOOKUP(K40,TL[],4,FALSE)</f>
        <v>#N/A</v>
      </c>
    </row>
    <row r="41" spans="1:12" ht="15" x14ac:dyDescent="0.25">
      <c r="A41" s="290"/>
      <c r="B41" s="290"/>
      <c r="C41" s="290"/>
      <c r="D41" s="290"/>
      <c r="E41" s="290"/>
      <c r="F41" s="290"/>
      <c r="G41" s="220">
        <f t="shared" si="2"/>
        <v>0</v>
      </c>
      <c r="H41" s="220">
        <f t="shared" si="3"/>
        <v>0</v>
      </c>
      <c r="I41" s="221" t="e">
        <f>IF(A41="Total",VLOOKUP(B41,CORRESPONDANCE[#All],2,FALSE),I42)</f>
        <v>#REF!</v>
      </c>
      <c r="J41" s="222" t="str">
        <f t="shared" si="0"/>
        <v/>
      </c>
      <c r="K41" s="44" t="str">
        <f t="shared" si="1"/>
        <v xml:space="preserve">VR7 - </v>
      </c>
      <c r="L41" s="44" t="e">
        <f>+VLOOKUP(K41,TL[],4,FALSE)</f>
        <v>#N/A</v>
      </c>
    </row>
    <row r="42" spans="1:12" ht="15" x14ac:dyDescent="0.25">
      <c r="A42" s="290"/>
      <c r="B42" s="290"/>
      <c r="C42" s="290"/>
      <c r="D42" s="290"/>
      <c r="E42" s="290"/>
      <c r="F42" s="290"/>
      <c r="G42" s="220">
        <f t="shared" si="2"/>
        <v>0</v>
      </c>
      <c r="H42" s="220">
        <f t="shared" si="3"/>
        <v>0</v>
      </c>
      <c r="I42" s="221" t="e">
        <f>IF(A42="Total",VLOOKUP(B42,CORRESPONDANCE[#All],2,FALSE),I43)</f>
        <v>#REF!</v>
      </c>
      <c r="J42" s="222" t="str">
        <f t="shared" si="0"/>
        <v/>
      </c>
      <c r="K42" s="44" t="str">
        <f t="shared" si="1"/>
        <v xml:space="preserve">VR7 - </v>
      </c>
      <c r="L42" s="44" t="e">
        <f>+VLOOKUP(K42,TL[],4,FALSE)</f>
        <v>#N/A</v>
      </c>
    </row>
    <row r="43" spans="1:12" ht="15" x14ac:dyDescent="0.25">
      <c r="A43" s="290"/>
      <c r="B43" s="290"/>
      <c r="C43" s="290"/>
      <c r="D43" s="290"/>
      <c r="E43" s="290"/>
      <c r="F43" s="290"/>
      <c r="G43" s="220">
        <f t="shared" si="2"/>
        <v>0</v>
      </c>
      <c r="H43" s="220">
        <f t="shared" si="3"/>
        <v>0</v>
      </c>
      <c r="I43" s="221" t="e">
        <f>IF(A43="Total",VLOOKUP(B43,CORRESPONDANCE[#All],2,FALSE),I44)</f>
        <v>#REF!</v>
      </c>
      <c r="J43" s="222" t="str">
        <f t="shared" si="0"/>
        <v/>
      </c>
      <c r="K43" s="44" t="str">
        <f t="shared" si="1"/>
        <v xml:space="preserve">VR7 - </v>
      </c>
      <c r="L43" s="44" t="e">
        <f>+VLOOKUP(K43,TL[],4,FALSE)</f>
        <v>#N/A</v>
      </c>
    </row>
    <row r="44" spans="1:12" ht="15" x14ac:dyDescent="0.25">
      <c r="A44" s="290"/>
      <c r="B44" s="290"/>
      <c r="C44" s="290"/>
      <c r="D44" s="290"/>
      <c r="E44" s="290"/>
      <c r="F44" s="290"/>
      <c r="G44" s="220">
        <f t="shared" si="2"/>
        <v>0</v>
      </c>
      <c r="H44" s="220">
        <f t="shared" si="3"/>
        <v>0</v>
      </c>
      <c r="I44" s="221" t="e">
        <f>IF(A44="Total",VLOOKUP(B44,CORRESPONDANCE[#All],2,FALSE),I45)</f>
        <v>#REF!</v>
      </c>
      <c r="J44" s="222" t="str">
        <f t="shared" si="0"/>
        <v/>
      </c>
      <c r="K44" s="44" t="str">
        <f t="shared" si="1"/>
        <v xml:space="preserve">VR7 - </v>
      </c>
      <c r="L44" s="44" t="e">
        <f>+VLOOKUP(K44,TL[],4,FALSE)</f>
        <v>#N/A</v>
      </c>
    </row>
    <row r="45" spans="1:12" ht="15" x14ac:dyDescent="0.25">
      <c r="A45" s="290"/>
      <c r="B45" s="290"/>
      <c r="C45" s="290"/>
      <c r="D45" s="290"/>
      <c r="E45" s="290"/>
      <c r="F45" s="290"/>
      <c r="G45" s="220">
        <f t="shared" si="2"/>
        <v>0</v>
      </c>
      <c r="H45" s="220">
        <f t="shared" si="3"/>
        <v>0</v>
      </c>
      <c r="I45" s="221" t="e">
        <f>IF(A45="Total",VLOOKUP(B45,CORRESPONDANCE[#All],2,FALSE),I46)</f>
        <v>#REF!</v>
      </c>
      <c r="J45" s="222" t="str">
        <f t="shared" si="0"/>
        <v/>
      </c>
      <c r="K45" s="44" t="str">
        <f t="shared" si="1"/>
        <v xml:space="preserve">VR7 - </v>
      </c>
      <c r="L45" s="44" t="e">
        <f>+VLOOKUP(K45,TL[],4,FALSE)</f>
        <v>#N/A</v>
      </c>
    </row>
    <row r="46" spans="1:12" ht="15" x14ac:dyDescent="0.25">
      <c r="A46" s="290"/>
      <c r="B46" s="290"/>
      <c r="C46" s="290"/>
      <c r="D46" s="290"/>
      <c r="E46" s="290"/>
      <c r="F46" s="290"/>
      <c r="G46" s="220">
        <f t="shared" si="2"/>
        <v>0</v>
      </c>
      <c r="H46" s="220">
        <f t="shared" si="3"/>
        <v>0</v>
      </c>
      <c r="I46" s="221" t="e">
        <f>IF(A46="Total",VLOOKUP(B46,CORRESPONDANCE[#All],2,FALSE),I47)</f>
        <v>#REF!</v>
      </c>
      <c r="J46" s="222" t="str">
        <f t="shared" si="0"/>
        <v/>
      </c>
      <c r="K46" s="44" t="str">
        <f t="shared" si="1"/>
        <v xml:space="preserve">VR7 - </v>
      </c>
      <c r="L46" s="44" t="e">
        <f>+VLOOKUP(K46,TL[],4,FALSE)</f>
        <v>#N/A</v>
      </c>
    </row>
    <row r="47" spans="1:12" ht="15" x14ac:dyDescent="0.25">
      <c r="A47" s="290"/>
      <c r="B47" s="290"/>
      <c r="C47" s="290"/>
      <c r="D47" s="290"/>
      <c r="E47" s="290"/>
      <c r="F47" s="290"/>
      <c r="G47" s="220">
        <f t="shared" si="2"/>
        <v>0</v>
      </c>
      <c r="H47" s="220">
        <f t="shared" si="3"/>
        <v>0</v>
      </c>
      <c r="I47" s="221" t="e">
        <f>IF(A47="Total",VLOOKUP(B47,CORRESPONDANCE[#All],2,FALSE),I48)</f>
        <v>#REF!</v>
      </c>
      <c r="J47" s="222" t="str">
        <f t="shared" si="0"/>
        <v/>
      </c>
      <c r="K47" s="44" t="str">
        <f t="shared" si="1"/>
        <v xml:space="preserve">VR7 - </v>
      </c>
      <c r="L47" s="44" t="e">
        <f>+VLOOKUP(K47,TL[],4,FALSE)</f>
        <v>#N/A</v>
      </c>
    </row>
    <row r="48" spans="1:12" ht="15" x14ac:dyDescent="0.25">
      <c r="A48" s="290"/>
      <c r="B48" s="290"/>
      <c r="C48" s="290"/>
      <c r="D48" s="290"/>
      <c r="E48" s="290"/>
      <c r="F48" s="290"/>
      <c r="G48" s="220">
        <f t="shared" si="2"/>
        <v>0</v>
      </c>
      <c r="H48" s="220">
        <f t="shared" si="3"/>
        <v>0</v>
      </c>
      <c r="I48" s="221" t="e">
        <f>IF(A48="Total",VLOOKUP(B48,CORRESPONDANCE[#All],2,FALSE),I49)</f>
        <v>#REF!</v>
      </c>
      <c r="J48" s="222" t="str">
        <f t="shared" si="0"/>
        <v/>
      </c>
      <c r="K48" s="44" t="str">
        <f t="shared" si="1"/>
        <v xml:space="preserve">VR7 - </v>
      </c>
      <c r="L48" s="44" t="e">
        <f>+VLOOKUP(K48,TL[],4,FALSE)</f>
        <v>#N/A</v>
      </c>
    </row>
    <row r="49" spans="1:12" ht="15" x14ac:dyDescent="0.25">
      <c r="A49" s="290"/>
      <c r="B49" s="290"/>
      <c r="C49" s="290"/>
      <c r="D49" s="290"/>
      <c r="E49" s="290"/>
      <c r="F49" s="290"/>
      <c r="G49" s="220">
        <f t="shared" si="2"/>
        <v>0</v>
      </c>
      <c r="H49" s="220">
        <f t="shared" si="3"/>
        <v>0</v>
      </c>
      <c r="I49" s="221" t="e">
        <f>IF(A49="Total",VLOOKUP(B49,CORRESPONDANCE[#All],2,FALSE),I50)</f>
        <v>#REF!</v>
      </c>
      <c r="J49" s="222" t="str">
        <f t="shared" si="0"/>
        <v/>
      </c>
      <c r="K49" s="44" t="str">
        <f t="shared" si="1"/>
        <v xml:space="preserve">VR7 - </v>
      </c>
      <c r="L49" s="44" t="e">
        <f>+VLOOKUP(K49,TL[],4,FALSE)</f>
        <v>#N/A</v>
      </c>
    </row>
    <row r="50" spans="1:12" ht="15" x14ac:dyDescent="0.25">
      <c r="A50" s="290"/>
      <c r="B50" s="290"/>
      <c r="C50" s="290"/>
      <c r="D50" s="290"/>
      <c r="E50" s="290"/>
      <c r="F50" s="290"/>
      <c r="G50" s="220">
        <f t="shared" si="2"/>
        <v>0</v>
      </c>
      <c r="H50" s="220">
        <f t="shared" si="3"/>
        <v>0</v>
      </c>
      <c r="I50" s="221" t="e">
        <f>IF(A50="Total",VLOOKUP(B50,CORRESPONDANCE[#All],2,FALSE),I51)</f>
        <v>#REF!</v>
      </c>
      <c r="J50" s="222" t="str">
        <f t="shared" si="0"/>
        <v/>
      </c>
      <c r="K50" s="44" t="str">
        <f t="shared" si="1"/>
        <v xml:space="preserve">VR7 - </v>
      </c>
      <c r="L50" s="44" t="e">
        <f>+VLOOKUP(K50,TL[],4,FALSE)</f>
        <v>#N/A</v>
      </c>
    </row>
    <row r="51" spans="1:12" ht="15" x14ac:dyDescent="0.25">
      <c r="A51" s="290"/>
      <c r="B51" s="290"/>
      <c r="C51" s="290"/>
      <c r="D51" s="290"/>
      <c r="E51" s="290"/>
      <c r="F51" s="290"/>
      <c r="G51" s="220">
        <f t="shared" si="2"/>
        <v>0</v>
      </c>
      <c r="H51" s="220">
        <f t="shared" si="3"/>
        <v>0</v>
      </c>
      <c r="I51" s="221" t="e">
        <f>IF(A51="Total",VLOOKUP(B51,CORRESPONDANCE[#All],2,FALSE),I52)</f>
        <v>#REF!</v>
      </c>
      <c r="J51" s="222" t="str">
        <f t="shared" si="0"/>
        <v/>
      </c>
      <c r="K51" s="44" t="str">
        <f t="shared" si="1"/>
        <v xml:space="preserve">VR7 - </v>
      </c>
      <c r="L51" s="44" t="e">
        <f>+VLOOKUP(K51,TL[],4,FALSE)</f>
        <v>#N/A</v>
      </c>
    </row>
    <row r="52" spans="1:12" ht="15" x14ac:dyDescent="0.25">
      <c r="A52" s="290"/>
      <c r="B52" s="290"/>
      <c r="C52" s="290"/>
      <c r="D52" s="290"/>
      <c r="E52" s="290"/>
      <c r="F52" s="290"/>
      <c r="G52" s="220">
        <f t="shared" si="2"/>
        <v>0</v>
      </c>
      <c r="H52" s="220">
        <f t="shared" si="3"/>
        <v>0</v>
      </c>
      <c r="I52" s="221" t="e">
        <f>IF(A52="Total",VLOOKUP(B52,CORRESPONDANCE[#All],2,FALSE),I53)</f>
        <v>#REF!</v>
      </c>
      <c r="J52" s="222" t="str">
        <f t="shared" si="0"/>
        <v/>
      </c>
      <c r="K52" s="44" t="str">
        <f t="shared" si="1"/>
        <v xml:space="preserve">VR7 - </v>
      </c>
      <c r="L52" s="44" t="e">
        <f>+VLOOKUP(K52,TL[],4,FALSE)</f>
        <v>#N/A</v>
      </c>
    </row>
    <row r="53" spans="1:12" ht="15" x14ac:dyDescent="0.25">
      <c r="A53" s="290"/>
      <c r="B53" s="290"/>
      <c r="C53" s="290"/>
      <c r="D53" s="290"/>
      <c r="E53" s="290"/>
      <c r="F53" s="290"/>
      <c r="G53" s="220">
        <f t="shared" si="2"/>
        <v>0</v>
      </c>
      <c r="H53" s="220">
        <f t="shared" si="3"/>
        <v>0</v>
      </c>
      <c r="I53" s="221" t="e">
        <f>IF(A53="Total",VLOOKUP(B53,CORRESPONDANCE[#All],2,FALSE),I54)</f>
        <v>#REF!</v>
      </c>
      <c r="J53" s="222" t="str">
        <f t="shared" si="0"/>
        <v/>
      </c>
      <c r="K53" s="44" t="str">
        <f t="shared" si="1"/>
        <v xml:space="preserve">VR7 - </v>
      </c>
      <c r="L53" s="44" t="e">
        <f>+VLOOKUP(K53,TL[],4,FALSE)</f>
        <v>#N/A</v>
      </c>
    </row>
    <row r="54" spans="1:12" ht="15" x14ac:dyDescent="0.25">
      <c r="A54" s="290"/>
      <c r="B54" s="290"/>
      <c r="C54" s="290"/>
      <c r="D54" s="290"/>
      <c r="E54" s="290"/>
      <c r="F54" s="290"/>
      <c r="G54" s="220">
        <f t="shared" si="2"/>
        <v>0</v>
      </c>
      <c r="H54" s="220">
        <f t="shared" si="3"/>
        <v>0</v>
      </c>
      <c r="I54" s="221" t="e">
        <f>IF(A54="Total",VLOOKUP(B54,CORRESPONDANCE[#All],2,FALSE),I55)</f>
        <v>#REF!</v>
      </c>
      <c r="J54" s="222" t="str">
        <f t="shared" si="0"/>
        <v/>
      </c>
      <c r="K54" s="44" t="str">
        <f t="shared" si="1"/>
        <v xml:space="preserve">VR7 - </v>
      </c>
      <c r="L54" s="44" t="e">
        <f>+VLOOKUP(K54,TL[],4,FALSE)</f>
        <v>#N/A</v>
      </c>
    </row>
    <row r="55" spans="1:12" ht="15" x14ac:dyDescent="0.25">
      <c r="A55" s="290"/>
      <c r="B55" s="290"/>
      <c r="C55" s="290"/>
      <c r="D55" s="290"/>
      <c r="E55" s="290"/>
      <c r="F55" s="290"/>
      <c r="G55" s="220">
        <f t="shared" si="2"/>
        <v>0</v>
      </c>
      <c r="H55" s="220">
        <f t="shared" si="3"/>
        <v>0</v>
      </c>
      <c r="I55" s="221" t="e">
        <f>IF(A55="Total",VLOOKUP(B55,CORRESPONDANCE[#All],2,FALSE),I56)</f>
        <v>#REF!</v>
      </c>
      <c r="J55" s="222" t="str">
        <f t="shared" si="0"/>
        <v/>
      </c>
      <c r="K55" s="44" t="str">
        <f t="shared" si="1"/>
        <v xml:space="preserve">VR7 - </v>
      </c>
      <c r="L55" s="44" t="e">
        <f>+VLOOKUP(K55,TL[],4,FALSE)</f>
        <v>#N/A</v>
      </c>
    </row>
    <row r="56" spans="1:12" ht="15" x14ac:dyDescent="0.25">
      <c r="A56" s="290"/>
      <c r="B56" s="290"/>
      <c r="C56" s="290"/>
      <c r="D56" s="290"/>
      <c r="E56" s="290"/>
      <c r="F56" s="290"/>
      <c r="G56" s="220">
        <f t="shared" si="2"/>
        <v>0</v>
      </c>
      <c r="H56" s="220">
        <f t="shared" si="3"/>
        <v>0</v>
      </c>
      <c r="I56" s="221" t="e">
        <f>IF(A56="Total",VLOOKUP(B56,CORRESPONDANCE[#All],2,FALSE),I57)</f>
        <v>#REF!</v>
      </c>
      <c r="J56" s="222" t="str">
        <f t="shared" si="0"/>
        <v/>
      </c>
      <c r="K56" s="44" t="str">
        <f t="shared" si="1"/>
        <v xml:space="preserve">VR7 - </v>
      </c>
      <c r="L56" s="44" t="e">
        <f>+VLOOKUP(K56,TL[],4,FALSE)</f>
        <v>#N/A</v>
      </c>
    </row>
    <row r="57" spans="1:12" ht="15" x14ac:dyDescent="0.25">
      <c r="A57" s="290"/>
      <c r="B57" s="290"/>
      <c r="C57" s="290"/>
      <c r="D57" s="290"/>
      <c r="E57" s="290"/>
      <c r="F57" s="290"/>
      <c r="G57" s="220">
        <f t="shared" si="2"/>
        <v>0</v>
      </c>
      <c r="H57" s="220">
        <f t="shared" si="3"/>
        <v>0</v>
      </c>
      <c r="I57" s="221" t="e">
        <f>IF(A57="Total",VLOOKUP(B57,CORRESPONDANCE[#All],2,FALSE),I58)</f>
        <v>#REF!</v>
      </c>
      <c r="J57" s="222" t="str">
        <f t="shared" si="0"/>
        <v/>
      </c>
      <c r="K57" s="44" t="str">
        <f t="shared" si="1"/>
        <v xml:space="preserve">VR7 - </v>
      </c>
      <c r="L57" s="44" t="e">
        <f>+VLOOKUP(K57,TL[],4,FALSE)</f>
        <v>#N/A</v>
      </c>
    </row>
    <row r="58" spans="1:12" ht="15" x14ac:dyDescent="0.25">
      <c r="A58" s="290"/>
      <c r="B58" s="290"/>
      <c r="C58" s="290"/>
      <c r="D58" s="290"/>
      <c r="E58" s="290"/>
      <c r="F58" s="290"/>
      <c r="G58" s="220">
        <f t="shared" si="2"/>
        <v>0</v>
      </c>
      <c r="H58" s="220">
        <f t="shared" si="3"/>
        <v>0</v>
      </c>
      <c r="I58" s="221" t="e">
        <f>IF(A58="Total",VLOOKUP(B58,CORRESPONDANCE[#All],2,FALSE),I59)</f>
        <v>#REF!</v>
      </c>
      <c r="J58" s="222" t="str">
        <f t="shared" si="0"/>
        <v/>
      </c>
      <c r="K58" s="44" t="str">
        <f t="shared" si="1"/>
        <v xml:space="preserve">VR7 - </v>
      </c>
      <c r="L58" s="44" t="e">
        <f>+VLOOKUP(K58,TL[],4,FALSE)</f>
        <v>#N/A</v>
      </c>
    </row>
    <row r="59" spans="1:12" ht="15" x14ac:dyDescent="0.25">
      <c r="A59" s="290"/>
      <c r="B59" s="290"/>
      <c r="C59" s="290"/>
      <c r="D59" s="290"/>
      <c r="E59" s="290"/>
      <c r="F59" s="290"/>
      <c r="G59" s="220">
        <f t="shared" si="2"/>
        <v>0</v>
      </c>
      <c r="H59" s="220">
        <f t="shared" si="3"/>
        <v>0</v>
      </c>
      <c r="I59" s="221" t="e">
        <f>IF(A59="Total",VLOOKUP(B59,CORRESPONDANCE[#All],2,FALSE),I60)</f>
        <v>#REF!</v>
      </c>
      <c r="J59" s="222" t="str">
        <f t="shared" si="0"/>
        <v/>
      </c>
      <c r="K59" s="44" t="str">
        <f t="shared" si="1"/>
        <v xml:space="preserve">VR7 - </v>
      </c>
      <c r="L59" s="44" t="e">
        <f>+VLOOKUP(K59,TL[],4,FALSE)</f>
        <v>#N/A</v>
      </c>
    </row>
    <row r="60" spans="1:12" ht="15" x14ac:dyDescent="0.25">
      <c r="A60" s="290"/>
      <c r="B60" s="290"/>
      <c r="C60" s="290"/>
      <c r="D60" s="290"/>
      <c r="E60" s="290"/>
      <c r="F60" s="290"/>
      <c r="G60" s="220">
        <f t="shared" si="2"/>
        <v>0</v>
      </c>
      <c r="H60" s="220">
        <f t="shared" si="3"/>
        <v>0</v>
      </c>
      <c r="I60" s="221" t="e">
        <f>IF(A60="Total",VLOOKUP(B60,CORRESPONDANCE[#All],2,FALSE),I61)</f>
        <v>#REF!</v>
      </c>
      <c r="J60" s="222" t="str">
        <f t="shared" si="0"/>
        <v/>
      </c>
      <c r="K60" s="44" t="str">
        <f t="shared" si="1"/>
        <v xml:space="preserve">VR7 - </v>
      </c>
      <c r="L60" s="44" t="e">
        <f>+VLOOKUP(K60,TL[],4,FALSE)</f>
        <v>#N/A</v>
      </c>
    </row>
    <row r="61" spans="1:12" ht="15" x14ac:dyDescent="0.25">
      <c r="A61" s="290"/>
      <c r="B61" s="290"/>
      <c r="C61" s="290"/>
      <c r="D61" s="290"/>
      <c r="E61" s="290"/>
      <c r="F61" s="290"/>
      <c r="G61" s="220">
        <f t="shared" si="2"/>
        <v>0</v>
      </c>
      <c r="H61" s="220">
        <f t="shared" si="3"/>
        <v>0</v>
      </c>
      <c r="I61" s="221" t="e">
        <f>IF(A61="Total",VLOOKUP(B61,CORRESPONDANCE[#All],2,FALSE),I62)</f>
        <v>#REF!</v>
      </c>
      <c r="J61" s="222" t="str">
        <f t="shared" si="0"/>
        <v/>
      </c>
      <c r="K61" s="44" t="str">
        <f t="shared" si="1"/>
        <v xml:space="preserve">VR7 - </v>
      </c>
      <c r="L61" s="44" t="e">
        <f>+VLOOKUP(K61,TL[],4,FALSE)</f>
        <v>#N/A</v>
      </c>
    </row>
    <row r="62" spans="1:12" ht="15" x14ac:dyDescent="0.25">
      <c r="A62" s="290"/>
      <c r="B62" s="290"/>
      <c r="C62" s="290"/>
      <c r="D62" s="290"/>
      <c r="E62" s="290"/>
      <c r="F62" s="290"/>
      <c r="G62" s="220">
        <f t="shared" si="2"/>
        <v>0</v>
      </c>
      <c r="H62" s="220">
        <f t="shared" si="3"/>
        <v>0</v>
      </c>
      <c r="I62" s="221" t="e">
        <f>IF(A62="Total",VLOOKUP(B62,CORRESPONDANCE[#All],2,FALSE),I63)</f>
        <v>#REF!</v>
      </c>
      <c r="J62" s="222" t="str">
        <f t="shared" si="0"/>
        <v/>
      </c>
      <c r="K62" s="44" t="str">
        <f t="shared" si="1"/>
        <v xml:space="preserve">VR7 - </v>
      </c>
      <c r="L62" s="44" t="e">
        <f>+VLOOKUP(K62,TL[],4,FALSE)</f>
        <v>#N/A</v>
      </c>
    </row>
    <row r="63" spans="1:12" ht="15" x14ac:dyDescent="0.25">
      <c r="A63" s="290"/>
      <c r="B63" s="290"/>
      <c r="C63" s="290"/>
      <c r="D63" s="290"/>
      <c r="E63" s="290"/>
      <c r="F63" s="290"/>
      <c r="G63" s="220">
        <f t="shared" si="2"/>
        <v>0</v>
      </c>
      <c r="H63" s="220">
        <f t="shared" si="3"/>
        <v>0</v>
      </c>
      <c r="I63" s="221" t="e">
        <f>IF(A63="Total",VLOOKUP(B63,CORRESPONDANCE[#All],2,FALSE),I64)</f>
        <v>#REF!</v>
      </c>
      <c r="J63" s="222" t="str">
        <f t="shared" si="0"/>
        <v/>
      </c>
      <c r="K63" s="44" t="str">
        <f t="shared" si="1"/>
        <v xml:space="preserve">VR7 - </v>
      </c>
      <c r="L63" s="44" t="e">
        <f>+VLOOKUP(K63,TL[],4,FALSE)</f>
        <v>#N/A</v>
      </c>
    </row>
    <row r="64" spans="1:12" ht="15" x14ac:dyDescent="0.25">
      <c r="A64" s="290"/>
      <c r="B64" s="290"/>
      <c r="C64" s="290"/>
      <c r="D64" s="290"/>
      <c r="E64" s="290"/>
      <c r="F64" s="290"/>
      <c r="G64" s="220">
        <f t="shared" si="2"/>
        <v>0</v>
      </c>
      <c r="H64" s="220">
        <f t="shared" si="3"/>
        <v>0</v>
      </c>
      <c r="I64" s="221" t="e">
        <f>IF(A64="Total",VLOOKUP(B64,CORRESPONDANCE[#All],2,FALSE),I65)</f>
        <v>#REF!</v>
      </c>
      <c r="J64" s="222" t="str">
        <f t="shared" si="0"/>
        <v/>
      </c>
      <c r="K64" s="44" t="str">
        <f t="shared" si="1"/>
        <v xml:space="preserve">VR7 - </v>
      </c>
      <c r="L64" s="44" t="e">
        <f>+VLOOKUP(K64,TL[],4,FALSE)</f>
        <v>#N/A</v>
      </c>
    </row>
    <row r="65" spans="1:12" ht="15" x14ac:dyDescent="0.25">
      <c r="A65" s="290"/>
      <c r="B65" s="290"/>
      <c r="C65" s="290"/>
      <c r="D65" s="290"/>
      <c r="E65" s="290"/>
      <c r="F65" s="290"/>
      <c r="G65" s="220">
        <f t="shared" si="2"/>
        <v>0</v>
      </c>
      <c r="H65" s="220">
        <f t="shared" si="3"/>
        <v>0</v>
      </c>
      <c r="I65" s="221" t="e">
        <f>IF(A65="Total",VLOOKUP(B65,CORRESPONDANCE[#All],2,FALSE),I66)</f>
        <v>#REF!</v>
      </c>
      <c r="J65" s="222" t="str">
        <f t="shared" si="0"/>
        <v/>
      </c>
      <c r="K65" s="44" t="str">
        <f t="shared" si="1"/>
        <v xml:space="preserve">VR7 - </v>
      </c>
      <c r="L65" s="44" t="e">
        <f>+VLOOKUP(K65,TL[],4,FALSE)</f>
        <v>#N/A</v>
      </c>
    </row>
    <row r="66" spans="1:12" ht="15" x14ac:dyDescent="0.25">
      <c r="A66" s="290"/>
      <c r="B66" s="290"/>
      <c r="C66" s="290"/>
      <c r="D66" s="290"/>
      <c r="E66" s="290"/>
      <c r="F66" s="290"/>
      <c r="G66" s="220">
        <f t="shared" si="2"/>
        <v>0</v>
      </c>
      <c r="H66" s="220">
        <f t="shared" si="3"/>
        <v>0</v>
      </c>
      <c r="I66" s="221" t="e">
        <f>IF(A66="Total",VLOOKUP(B66,CORRESPONDANCE[#All],2,FALSE),I67)</f>
        <v>#REF!</v>
      </c>
      <c r="J66" s="222" t="str">
        <f t="shared" si="0"/>
        <v/>
      </c>
      <c r="K66" s="44" t="str">
        <f t="shared" si="1"/>
        <v xml:space="preserve">VR7 - </v>
      </c>
      <c r="L66" s="44" t="e">
        <f>+VLOOKUP(K66,TL[],4,FALSE)</f>
        <v>#N/A</v>
      </c>
    </row>
    <row r="67" spans="1:12" ht="15" x14ac:dyDescent="0.25">
      <c r="A67" s="290"/>
      <c r="B67" s="290"/>
      <c r="C67" s="290"/>
      <c r="D67" s="290"/>
      <c r="E67" s="290"/>
      <c r="F67" s="290"/>
      <c r="G67" s="220">
        <f t="shared" si="2"/>
        <v>0</v>
      </c>
      <c r="H67" s="220">
        <f t="shared" si="3"/>
        <v>0</v>
      </c>
      <c r="I67" s="221" t="e">
        <f>IF(A67="Total",VLOOKUP(B67,CORRESPONDANCE[#All],2,FALSE),I68)</f>
        <v>#REF!</v>
      </c>
      <c r="J67" s="222" t="str">
        <f t="shared" ref="J67:J130" si="4">LEFT(A67,1)</f>
        <v/>
      </c>
      <c r="K67" s="44" t="str">
        <f t="shared" ref="K67:K130" si="5">"VR7"&amp;" - "&amp;A67</f>
        <v xml:space="preserve">VR7 - </v>
      </c>
      <c r="L67" s="44" t="e">
        <f>+VLOOKUP(K67,TL[],4,FALSE)</f>
        <v>#N/A</v>
      </c>
    </row>
    <row r="68" spans="1:12" ht="15" x14ac:dyDescent="0.25">
      <c r="A68" s="290"/>
      <c r="B68" s="290"/>
      <c r="C68" s="290"/>
      <c r="D68" s="290"/>
      <c r="E68" s="290"/>
      <c r="F68" s="290"/>
      <c r="G68" s="220">
        <f t="shared" si="2"/>
        <v>0</v>
      </c>
      <c r="H68" s="220">
        <f t="shared" si="3"/>
        <v>0</v>
      </c>
      <c r="I68" s="221" t="e">
        <f>IF(A68="Total",VLOOKUP(B68,CORRESPONDANCE[#All],2,FALSE),I69)</f>
        <v>#REF!</v>
      </c>
      <c r="J68" s="222" t="str">
        <f t="shared" si="4"/>
        <v/>
      </c>
      <c r="K68" s="44" t="str">
        <f t="shared" si="5"/>
        <v xml:space="preserve">VR7 - </v>
      </c>
      <c r="L68" s="44" t="e">
        <f>+VLOOKUP(K68,TL[],4,FALSE)</f>
        <v>#N/A</v>
      </c>
    </row>
    <row r="69" spans="1:12" ht="15" x14ac:dyDescent="0.25">
      <c r="A69" s="290"/>
      <c r="B69" s="290"/>
      <c r="C69" s="290"/>
      <c r="D69" s="290"/>
      <c r="E69" s="290"/>
      <c r="F69" s="290"/>
      <c r="G69" s="220">
        <f t="shared" si="2"/>
        <v>0</v>
      </c>
      <c r="H69" s="220">
        <f t="shared" si="3"/>
        <v>0</v>
      </c>
      <c r="I69" s="221" t="e">
        <f>IF(A69="Total",VLOOKUP(B69,CORRESPONDANCE[#All],2,FALSE),I70)</f>
        <v>#REF!</v>
      </c>
      <c r="J69" s="222" t="str">
        <f t="shared" si="4"/>
        <v/>
      </c>
      <c r="K69" s="44" t="str">
        <f t="shared" si="5"/>
        <v xml:space="preserve">VR7 - </v>
      </c>
      <c r="L69" s="44" t="e">
        <f>+VLOOKUP(K69,TL[],4,FALSE)</f>
        <v>#N/A</v>
      </c>
    </row>
    <row r="70" spans="1:12" ht="15" x14ac:dyDescent="0.25">
      <c r="A70" s="290"/>
      <c r="B70" s="290"/>
      <c r="C70" s="290"/>
      <c r="D70" s="290"/>
      <c r="E70" s="290"/>
      <c r="F70" s="290"/>
      <c r="G70" s="220">
        <f t="shared" ref="G70:G133" si="6">SUM(C70)-SUM(D70)</f>
        <v>0</v>
      </c>
      <c r="H70" s="220">
        <f t="shared" ref="H70:H133" si="7">SUM(E70)-SUM(F70)</f>
        <v>0</v>
      </c>
      <c r="I70" s="221" t="e">
        <f>IF(A70="Total",VLOOKUP(B70,CORRESPONDANCE[#All],2,FALSE),I71)</f>
        <v>#REF!</v>
      </c>
      <c r="J70" s="222" t="str">
        <f t="shared" si="4"/>
        <v/>
      </c>
      <c r="K70" s="44" t="str">
        <f t="shared" si="5"/>
        <v xml:space="preserve">VR7 - </v>
      </c>
      <c r="L70" s="44" t="e">
        <f>+VLOOKUP(K70,TL[],4,FALSE)</f>
        <v>#N/A</v>
      </c>
    </row>
    <row r="71" spans="1:12" ht="15" x14ac:dyDescent="0.25">
      <c r="A71" s="290"/>
      <c r="B71" s="290"/>
      <c r="C71" s="290"/>
      <c r="D71" s="290"/>
      <c r="E71" s="290"/>
      <c r="F71" s="290"/>
      <c r="G71" s="220">
        <f t="shared" si="6"/>
        <v>0</v>
      </c>
      <c r="H71" s="220">
        <f t="shared" si="7"/>
        <v>0</v>
      </c>
      <c r="I71" s="221" t="e">
        <f>IF(A71="Total",VLOOKUP(B71,CORRESPONDANCE[#All],2,FALSE),I72)</f>
        <v>#REF!</v>
      </c>
      <c r="J71" s="222" t="str">
        <f t="shared" si="4"/>
        <v/>
      </c>
      <c r="K71" s="44" t="str">
        <f t="shared" si="5"/>
        <v xml:space="preserve">VR7 - </v>
      </c>
      <c r="L71" s="44" t="e">
        <f>+VLOOKUP(K71,TL[],4,FALSE)</f>
        <v>#N/A</v>
      </c>
    </row>
    <row r="72" spans="1:12" ht="15" x14ac:dyDescent="0.25">
      <c r="A72" s="290"/>
      <c r="B72" s="290"/>
      <c r="C72" s="290"/>
      <c r="D72" s="290"/>
      <c r="E72" s="290"/>
      <c r="F72" s="290"/>
      <c r="G72" s="220">
        <f t="shared" si="6"/>
        <v>0</v>
      </c>
      <c r="H72" s="220">
        <f t="shared" si="7"/>
        <v>0</v>
      </c>
      <c r="I72" s="221" t="e">
        <f>IF(A72="Total",VLOOKUP(B72,CORRESPONDANCE[#All],2,FALSE),I73)</f>
        <v>#REF!</v>
      </c>
      <c r="J72" s="222" t="str">
        <f t="shared" si="4"/>
        <v/>
      </c>
      <c r="K72" s="44" t="str">
        <f t="shared" si="5"/>
        <v xml:space="preserve">VR7 - </v>
      </c>
      <c r="L72" s="44" t="e">
        <f>+VLOOKUP(K72,TL[],4,FALSE)</f>
        <v>#N/A</v>
      </c>
    </row>
    <row r="73" spans="1:12" ht="15" x14ac:dyDescent="0.25">
      <c r="A73" s="290"/>
      <c r="B73" s="290"/>
      <c r="C73" s="290"/>
      <c r="D73" s="290"/>
      <c r="E73" s="290"/>
      <c r="F73" s="290"/>
      <c r="G73" s="220">
        <f t="shared" si="6"/>
        <v>0</v>
      </c>
      <c r="H73" s="220">
        <f t="shared" si="7"/>
        <v>0</v>
      </c>
      <c r="I73" s="221" t="e">
        <f>IF(A73="Total",VLOOKUP(B73,CORRESPONDANCE[#All],2,FALSE),I74)</f>
        <v>#REF!</v>
      </c>
      <c r="J73" s="222" t="str">
        <f t="shared" si="4"/>
        <v/>
      </c>
      <c r="K73" s="44" t="str">
        <f t="shared" si="5"/>
        <v xml:space="preserve">VR7 - </v>
      </c>
      <c r="L73" s="44" t="e">
        <f>+VLOOKUP(K73,TL[],4,FALSE)</f>
        <v>#N/A</v>
      </c>
    </row>
    <row r="74" spans="1:12" ht="15" x14ac:dyDescent="0.25">
      <c r="A74" s="290"/>
      <c r="B74" s="290"/>
      <c r="C74" s="290"/>
      <c r="D74" s="290"/>
      <c r="E74" s="290"/>
      <c r="F74" s="290"/>
      <c r="G74" s="220">
        <f t="shared" si="6"/>
        <v>0</v>
      </c>
      <c r="H74" s="220">
        <f t="shared" si="7"/>
        <v>0</v>
      </c>
      <c r="I74" s="221" t="e">
        <f>IF(A74="Total",VLOOKUP(B74,CORRESPONDANCE[#All],2,FALSE),I75)</f>
        <v>#REF!</v>
      </c>
      <c r="J74" s="222" t="str">
        <f t="shared" si="4"/>
        <v/>
      </c>
      <c r="K74" s="44" t="str">
        <f t="shared" si="5"/>
        <v xml:space="preserve">VR7 - </v>
      </c>
      <c r="L74" s="44" t="e">
        <f>+VLOOKUP(K74,TL[],4,FALSE)</f>
        <v>#N/A</v>
      </c>
    </row>
    <row r="75" spans="1:12" ht="15" x14ac:dyDescent="0.25">
      <c r="A75" s="290"/>
      <c r="B75" s="290"/>
      <c r="C75" s="290"/>
      <c r="D75" s="290"/>
      <c r="E75" s="290"/>
      <c r="F75" s="290"/>
      <c r="G75" s="220">
        <f t="shared" si="6"/>
        <v>0</v>
      </c>
      <c r="H75" s="220">
        <f t="shared" si="7"/>
        <v>0</v>
      </c>
      <c r="I75" s="221" t="e">
        <f>IF(A75="Total",VLOOKUP(B75,CORRESPONDANCE[#All],2,FALSE),I76)</f>
        <v>#REF!</v>
      </c>
      <c r="J75" s="222" t="str">
        <f t="shared" si="4"/>
        <v/>
      </c>
      <c r="K75" s="44" t="str">
        <f t="shared" si="5"/>
        <v xml:space="preserve">VR7 - </v>
      </c>
      <c r="L75" s="44" t="e">
        <f>+VLOOKUP(K75,TL[],4,FALSE)</f>
        <v>#N/A</v>
      </c>
    </row>
    <row r="76" spans="1:12" ht="15" x14ac:dyDescent="0.25">
      <c r="A76" s="290"/>
      <c r="B76" s="290"/>
      <c r="C76" s="290"/>
      <c r="D76" s="290"/>
      <c r="E76" s="290"/>
      <c r="F76" s="290"/>
      <c r="G76" s="220">
        <f t="shared" si="6"/>
        <v>0</v>
      </c>
      <c r="H76" s="220">
        <f t="shared" si="7"/>
        <v>0</v>
      </c>
      <c r="I76" s="221" t="e">
        <f>IF(A76="Total",VLOOKUP(B76,CORRESPONDANCE[#All],2,FALSE),I77)</f>
        <v>#REF!</v>
      </c>
      <c r="J76" s="222" t="str">
        <f t="shared" si="4"/>
        <v/>
      </c>
      <c r="K76" s="44" t="str">
        <f t="shared" si="5"/>
        <v xml:space="preserve">VR7 - </v>
      </c>
      <c r="L76" s="44" t="e">
        <f>+VLOOKUP(K76,TL[],4,FALSE)</f>
        <v>#N/A</v>
      </c>
    </row>
    <row r="77" spans="1:12" ht="15" x14ac:dyDescent="0.25">
      <c r="A77" s="290"/>
      <c r="B77" s="290"/>
      <c r="C77" s="290"/>
      <c r="D77" s="290"/>
      <c r="E77" s="290"/>
      <c r="F77" s="290"/>
      <c r="G77" s="220">
        <f t="shared" si="6"/>
        <v>0</v>
      </c>
      <c r="H77" s="220">
        <f t="shared" si="7"/>
        <v>0</v>
      </c>
      <c r="I77" s="221" t="e">
        <f>IF(A77="Total",VLOOKUP(B77,CORRESPONDANCE[#All],2,FALSE),I78)</f>
        <v>#REF!</v>
      </c>
      <c r="J77" s="222" t="str">
        <f t="shared" si="4"/>
        <v/>
      </c>
      <c r="K77" s="44" t="str">
        <f t="shared" si="5"/>
        <v xml:space="preserve">VR7 - </v>
      </c>
      <c r="L77" s="44" t="e">
        <f>+VLOOKUP(K77,TL[],4,FALSE)</f>
        <v>#N/A</v>
      </c>
    </row>
    <row r="78" spans="1:12" ht="15" x14ac:dyDescent="0.25">
      <c r="A78" s="290"/>
      <c r="B78" s="290"/>
      <c r="C78" s="290"/>
      <c r="D78" s="290"/>
      <c r="E78" s="290"/>
      <c r="F78" s="290"/>
      <c r="G78" s="220">
        <f t="shared" si="6"/>
        <v>0</v>
      </c>
      <c r="H78" s="220">
        <f t="shared" si="7"/>
        <v>0</v>
      </c>
      <c r="I78" s="221" t="e">
        <f>IF(A78="Total",VLOOKUP(B78,CORRESPONDANCE[#All],2,FALSE),I79)</f>
        <v>#REF!</v>
      </c>
      <c r="J78" s="222" t="str">
        <f t="shared" si="4"/>
        <v/>
      </c>
      <c r="K78" s="44" t="str">
        <f t="shared" si="5"/>
        <v xml:space="preserve">VR7 - </v>
      </c>
      <c r="L78" s="44" t="e">
        <f>+VLOOKUP(K78,TL[],4,FALSE)</f>
        <v>#N/A</v>
      </c>
    </row>
    <row r="79" spans="1:12" ht="15" x14ac:dyDescent="0.25">
      <c r="A79" s="290"/>
      <c r="B79" s="290"/>
      <c r="C79" s="290"/>
      <c r="D79" s="290"/>
      <c r="E79" s="290"/>
      <c r="F79" s="290"/>
      <c r="G79" s="220">
        <f t="shared" si="6"/>
        <v>0</v>
      </c>
      <c r="H79" s="220">
        <f t="shared" si="7"/>
        <v>0</v>
      </c>
      <c r="I79" s="221" t="e">
        <f>IF(A79="Total",VLOOKUP(B79,CORRESPONDANCE[#All],2,FALSE),I80)</f>
        <v>#REF!</v>
      </c>
      <c r="J79" s="222" t="str">
        <f t="shared" si="4"/>
        <v/>
      </c>
      <c r="K79" s="44" t="str">
        <f t="shared" si="5"/>
        <v xml:space="preserve">VR7 - </v>
      </c>
      <c r="L79" s="44" t="e">
        <f>+VLOOKUP(K79,TL[],4,FALSE)</f>
        <v>#N/A</v>
      </c>
    </row>
    <row r="80" spans="1:12" ht="15" x14ac:dyDescent="0.25">
      <c r="A80" s="290"/>
      <c r="B80" s="290"/>
      <c r="C80" s="290"/>
      <c r="D80" s="290"/>
      <c r="E80" s="290"/>
      <c r="F80" s="290"/>
      <c r="G80" s="220">
        <f t="shared" si="6"/>
        <v>0</v>
      </c>
      <c r="H80" s="220">
        <f t="shared" si="7"/>
        <v>0</v>
      </c>
      <c r="I80" s="221" t="e">
        <f>IF(A80="Total",VLOOKUP(B80,CORRESPONDANCE[#All],2,FALSE),I81)</f>
        <v>#REF!</v>
      </c>
      <c r="J80" s="222" t="str">
        <f t="shared" si="4"/>
        <v/>
      </c>
      <c r="K80" s="44" t="str">
        <f t="shared" si="5"/>
        <v xml:space="preserve">VR7 - </v>
      </c>
      <c r="L80" s="44" t="e">
        <f>+VLOOKUP(K80,TL[],4,FALSE)</f>
        <v>#N/A</v>
      </c>
    </row>
    <row r="81" spans="1:12" ht="15" x14ac:dyDescent="0.25">
      <c r="A81" s="290"/>
      <c r="B81" s="290"/>
      <c r="C81" s="290"/>
      <c r="D81" s="290"/>
      <c r="E81" s="290"/>
      <c r="F81" s="290"/>
      <c r="G81" s="220">
        <f t="shared" si="6"/>
        <v>0</v>
      </c>
      <c r="H81" s="220">
        <f t="shared" si="7"/>
        <v>0</v>
      </c>
      <c r="I81" s="221" t="e">
        <f>IF(A81="Total",VLOOKUP(B81,CORRESPONDANCE[#All],2,FALSE),I82)</f>
        <v>#REF!</v>
      </c>
      <c r="J81" s="222" t="str">
        <f t="shared" si="4"/>
        <v/>
      </c>
      <c r="K81" s="44" t="str">
        <f t="shared" si="5"/>
        <v xml:space="preserve">VR7 - </v>
      </c>
      <c r="L81" s="44" t="e">
        <f>+VLOOKUP(K81,TL[],4,FALSE)</f>
        <v>#N/A</v>
      </c>
    </row>
    <row r="82" spans="1:12" ht="15" x14ac:dyDescent="0.25">
      <c r="A82" s="290"/>
      <c r="B82" s="290"/>
      <c r="C82" s="290"/>
      <c r="D82" s="290"/>
      <c r="E82" s="290"/>
      <c r="F82" s="290"/>
      <c r="G82" s="220">
        <f t="shared" si="6"/>
        <v>0</v>
      </c>
      <c r="H82" s="220">
        <f t="shared" si="7"/>
        <v>0</v>
      </c>
      <c r="I82" s="221" t="e">
        <f>IF(A82="Total",VLOOKUP(B82,CORRESPONDANCE[#All],2,FALSE),I83)</f>
        <v>#REF!</v>
      </c>
      <c r="J82" s="222" t="str">
        <f t="shared" si="4"/>
        <v/>
      </c>
      <c r="K82" s="44" t="str">
        <f t="shared" si="5"/>
        <v xml:space="preserve">VR7 - </v>
      </c>
      <c r="L82" s="44" t="e">
        <f>+VLOOKUP(K82,TL[],4,FALSE)</f>
        <v>#N/A</v>
      </c>
    </row>
    <row r="83" spans="1:12" ht="15" x14ac:dyDescent="0.25">
      <c r="A83" s="290"/>
      <c r="B83" s="290"/>
      <c r="C83" s="290"/>
      <c r="D83" s="290"/>
      <c r="E83" s="290"/>
      <c r="F83" s="290"/>
      <c r="G83" s="220">
        <f t="shared" si="6"/>
        <v>0</v>
      </c>
      <c r="H83" s="220">
        <f t="shared" si="7"/>
        <v>0</v>
      </c>
      <c r="I83" s="221" t="e">
        <f>IF(A83="Total",VLOOKUP(B83,CORRESPONDANCE[#All],2,FALSE),I84)</f>
        <v>#REF!</v>
      </c>
      <c r="J83" s="222" t="str">
        <f t="shared" si="4"/>
        <v/>
      </c>
      <c r="K83" s="44" t="str">
        <f t="shared" si="5"/>
        <v xml:space="preserve">VR7 - </v>
      </c>
      <c r="L83" s="44" t="e">
        <f>+VLOOKUP(K83,TL[],4,FALSE)</f>
        <v>#N/A</v>
      </c>
    </row>
    <row r="84" spans="1:12" ht="15" x14ac:dyDescent="0.25">
      <c r="A84" s="290"/>
      <c r="B84" s="290"/>
      <c r="C84" s="290"/>
      <c r="D84" s="290"/>
      <c r="E84" s="290"/>
      <c r="F84" s="290"/>
      <c r="G84" s="220">
        <f t="shared" si="6"/>
        <v>0</v>
      </c>
      <c r="H84" s="220">
        <f t="shared" si="7"/>
        <v>0</v>
      </c>
      <c r="I84" s="221" t="e">
        <f>IF(A84="Total",VLOOKUP(B84,CORRESPONDANCE[#All],2,FALSE),I85)</f>
        <v>#REF!</v>
      </c>
      <c r="J84" s="222" t="str">
        <f t="shared" si="4"/>
        <v/>
      </c>
      <c r="K84" s="44" t="str">
        <f t="shared" si="5"/>
        <v xml:space="preserve">VR7 - </v>
      </c>
      <c r="L84" s="44" t="e">
        <f>+VLOOKUP(K84,TL[],4,FALSE)</f>
        <v>#N/A</v>
      </c>
    </row>
    <row r="85" spans="1:12" ht="15" x14ac:dyDescent="0.25">
      <c r="A85" s="290"/>
      <c r="B85" s="290"/>
      <c r="C85" s="290"/>
      <c r="D85" s="290"/>
      <c r="E85" s="290"/>
      <c r="F85" s="290"/>
      <c r="G85" s="220">
        <f t="shared" si="6"/>
        <v>0</v>
      </c>
      <c r="H85" s="220">
        <f t="shared" si="7"/>
        <v>0</v>
      </c>
      <c r="I85" s="221" t="e">
        <f>IF(A85="Total",VLOOKUP(B85,CORRESPONDANCE[#All],2,FALSE),I86)</f>
        <v>#REF!</v>
      </c>
      <c r="J85" s="222" t="str">
        <f t="shared" si="4"/>
        <v/>
      </c>
      <c r="K85" s="44" t="str">
        <f t="shared" si="5"/>
        <v xml:space="preserve">VR7 - </v>
      </c>
      <c r="L85" s="44" t="e">
        <f>+VLOOKUP(K85,TL[],4,FALSE)</f>
        <v>#N/A</v>
      </c>
    </row>
    <row r="86" spans="1:12" ht="15" x14ac:dyDescent="0.25">
      <c r="A86" s="290"/>
      <c r="B86" s="290"/>
      <c r="C86" s="290"/>
      <c r="D86" s="290"/>
      <c r="E86" s="290"/>
      <c r="F86" s="290"/>
      <c r="G86" s="220">
        <f t="shared" si="6"/>
        <v>0</v>
      </c>
      <c r="H86" s="220">
        <f t="shared" si="7"/>
        <v>0</v>
      </c>
      <c r="I86" s="221" t="e">
        <f>IF(A86="Total",VLOOKUP(B86,CORRESPONDANCE[#All],2,FALSE),I87)</f>
        <v>#REF!</v>
      </c>
      <c r="J86" s="222" t="str">
        <f t="shared" si="4"/>
        <v/>
      </c>
      <c r="K86" s="44" t="str">
        <f t="shared" si="5"/>
        <v xml:space="preserve">VR7 - </v>
      </c>
      <c r="L86" s="44" t="e">
        <f>+VLOOKUP(K86,TL[],4,FALSE)</f>
        <v>#N/A</v>
      </c>
    </row>
    <row r="87" spans="1:12" ht="15" x14ac:dyDescent="0.25">
      <c r="A87" s="290"/>
      <c r="B87" s="290"/>
      <c r="C87" s="290"/>
      <c r="D87" s="290"/>
      <c r="E87" s="290"/>
      <c r="F87" s="290"/>
      <c r="G87" s="220">
        <f t="shared" si="6"/>
        <v>0</v>
      </c>
      <c r="H87" s="220">
        <f t="shared" si="7"/>
        <v>0</v>
      </c>
      <c r="I87" s="221" t="e">
        <f>IF(A87="Total",VLOOKUP(B87,CORRESPONDANCE[#All],2,FALSE),I88)</f>
        <v>#REF!</v>
      </c>
      <c r="J87" s="222" t="str">
        <f t="shared" si="4"/>
        <v/>
      </c>
      <c r="K87" s="44" t="str">
        <f t="shared" si="5"/>
        <v xml:space="preserve">VR7 - </v>
      </c>
      <c r="L87" s="44" t="e">
        <f>+VLOOKUP(K87,TL[],4,FALSE)</f>
        <v>#N/A</v>
      </c>
    </row>
    <row r="88" spans="1:12" ht="15" x14ac:dyDescent="0.25">
      <c r="A88" s="290"/>
      <c r="B88" s="290"/>
      <c r="C88" s="290"/>
      <c r="D88" s="290"/>
      <c r="E88" s="290"/>
      <c r="F88" s="290"/>
      <c r="G88" s="220">
        <f t="shared" si="6"/>
        <v>0</v>
      </c>
      <c r="H88" s="220">
        <f t="shared" si="7"/>
        <v>0</v>
      </c>
      <c r="I88" s="221" t="e">
        <f>IF(A88="Total",VLOOKUP(B88,CORRESPONDANCE[#All],2,FALSE),I89)</f>
        <v>#REF!</v>
      </c>
      <c r="J88" s="222" t="str">
        <f t="shared" si="4"/>
        <v/>
      </c>
      <c r="K88" s="44" t="str">
        <f t="shared" si="5"/>
        <v xml:space="preserve">VR7 - </v>
      </c>
      <c r="L88" s="44" t="e">
        <f>+VLOOKUP(K88,TL[],4,FALSE)</f>
        <v>#N/A</v>
      </c>
    </row>
    <row r="89" spans="1:12" ht="15" x14ac:dyDescent="0.25">
      <c r="A89" s="290"/>
      <c r="B89" s="290"/>
      <c r="C89" s="290"/>
      <c r="D89" s="290"/>
      <c r="E89" s="290"/>
      <c r="F89" s="290"/>
      <c r="G89" s="220">
        <f t="shared" si="6"/>
        <v>0</v>
      </c>
      <c r="H89" s="220">
        <f t="shared" si="7"/>
        <v>0</v>
      </c>
      <c r="I89" s="221" t="e">
        <f>IF(A89="Total",VLOOKUP(B89,CORRESPONDANCE[#All],2,FALSE),I90)</f>
        <v>#REF!</v>
      </c>
      <c r="J89" s="222" t="str">
        <f t="shared" si="4"/>
        <v/>
      </c>
      <c r="K89" s="44" t="str">
        <f t="shared" si="5"/>
        <v xml:space="preserve">VR7 - </v>
      </c>
      <c r="L89" s="44" t="e">
        <f>+VLOOKUP(K89,TL[],4,FALSE)</f>
        <v>#N/A</v>
      </c>
    </row>
    <row r="90" spans="1:12" ht="15" x14ac:dyDescent="0.25">
      <c r="A90" s="290"/>
      <c r="B90" s="290"/>
      <c r="C90" s="290"/>
      <c r="D90" s="290"/>
      <c r="E90" s="290"/>
      <c r="F90" s="290"/>
      <c r="G90" s="220">
        <f t="shared" si="6"/>
        <v>0</v>
      </c>
      <c r="H90" s="220">
        <f t="shared" si="7"/>
        <v>0</v>
      </c>
      <c r="I90" s="221" t="e">
        <f>IF(A90="Total",VLOOKUP(B90,CORRESPONDANCE[#All],2,FALSE),I91)</f>
        <v>#REF!</v>
      </c>
      <c r="J90" s="222" t="str">
        <f t="shared" si="4"/>
        <v/>
      </c>
      <c r="K90" s="44" t="str">
        <f t="shared" si="5"/>
        <v xml:space="preserve">VR7 - </v>
      </c>
      <c r="L90" s="44" t="e">
        <f>+VLOOKUP(K90,TL[],4,FALSE)</f>
        <v>#N/A</v>
      </c>
    </row>
    <row r="91" spans="1:12" ht="15" x14ac:dyDescent="0.25">
      <c r="A91" s="290"/>
      <c r="B91" s="290"/>
      <c r="C91" s="290"/>
      <c r="D91" s="290"/>
      <c r="E91" s="290"/>
      <c r="F91" s="290"/>
      <c r="G91" s="220">
        <f t="shared" si="6"/>
        <v>0</v>
      </c>
      <c r="H91" s="220">
        <f t="shared" si="7"/>
        <v>0</v>
      </c>
      <c r="I91" s="221" t="e">
        <f>IF(A91="Total",VLOOKUP(B91,CORRESPONDANCE[#All],2,FALSE),I92)</f>
        <v>#REF!</v>
      </c>
      <c r="J91" s="222" t="str">
        <f t="shared" si="4"/>
        <v/>
      </c>
      <c r="K91" s="44" t="str">
        <f t="shared" si="5"/>
        <v xml:space="preserve">VR7 - </v>
      </c>
      <c r="L91" s="44" t="e">
        <f>+VLOOKUP(K91,TL[],4,FALSE)</f>
        <v>#N/A</v>
      </c>
    </row>
    <row r="92" spans="1:12" ht="15" x14ac:dyDescent="0.25">
      <c r="A92" s="290"/>
      <c r="B92" s="290"/>
      <c r="C92" s="290"/>
      <c r="D92" s="290"/>
      <c r="E92" s="290"/>
      <c r="F92" s="290"/>
      <c r="G92" s="220">
        <f t="shared" si="6"/>
        <v>0</v>
      </c>
      <c r="H92" s="220">
        <f t="shared" si="7"/>
        <v>0</v>
      </c>
      <c r="I92" s="221" t="e">
        <f>IF(A92="Total",VLOOKUP(B92,CORRESPONDANCE[#All],2,FALSE),I93)</f>
        <v>#REF!</v>
      </c>
      <c r="J92" s="222" t="str">
        <f t="shared" si="4"/>
        <v/>
      </c>
      <c r="K92" s="44" t="str">
        <f t="shared" si="5"/>
        <v xml:space="preserve">VR7 - </v>
      </c>
      <c r="L92" s="44" t="e">
        <f>+VLOOKUP(K92,TL[],4,FALSE)</f>
        <v>#N/A</v>
      </c>
    </row>
    <row r="93" spans="1:12" ht="15" x14ac:dyDescent="0.25">
      <c r="A93" s="290"/>
      <c r="B93" s="290"/>
      <c r="C93" s="290"/>
      <c r="D93" s="290"/>
      <c r="E93" s="290"/>
      <c r="F93" s="290"/>
      <c r="G93" s="220">
        <f t="shared" si="6"/>
        <v>0</v>
      </c>
      <c r="H93" s="220">
        <f t="shared" si="7"/>
        <v>0</v>
      </c>
      <c r="I93" s="221" t="e">
        <f>IF(A93="Total",VLOOKUP(B93,CORRESPONDANCE[#All],2,FALSE),I94)</f>
        <v>#REF!</v>
      </c>
      <c r="J93" s="222" t="str">
        <f t="shared" si="4"/>
        <v/>
      </c>
      <c r="K93" s="44" t="str">
        <f t="shared" si="5"/>
        <v xml:space="preserve">VR7 - </v>
      </c>
      <c r="L93" s="44" t="e">
        <f>+VLOOKUP(K93,TL[],4,FALSE)</f>
        <v>#N/A</v>
      </c>
    </row>
    <row r="94" spans="1:12" ht="15" x14ac:dyDescent="0.25">
      <c r="A94" s="290"/>
      <c r="B94" s="290"/>
      <c r="C94" s="290"/>
      <c r="D94" s="290"/>
      <c r="E94" s="290"/>
      <c r="F94" s="290"/>
      <c r="G94" s="220">
        <f t="shared" si="6"/>
        <v>0</v>
      </c>
      <c r="H94" s="220">
        <f t="shared" si="7"/>
        <v>0</v>
      </c>
      <c r="I94" s="221" t="e">
        <f>IF(A94="Total",VLOOKUP(B94,CORRESPONDANCE[#All],2,FALSE),I95)</f>
        <v>#REF!</v>
      </c>
      <c r="J94" s="222" t="str">
        <f t="shared" si="4"/>
        <v/>
      </c>
      <c r="K94" s="44" t="str">
        <f t="shared" si="5"/>
        <v xml:space="preserve">VR7 - </v>
      </c>
      <c r="L94" s="44" t="e">
        <f>+VLOOKUP(K94,TL[],4,FALSE)</f>
        <v>#N/A</v>
      </c>
    </row>
    <row r="95" spans="1:12" ht="15" x14ac:dyDescent="0.25">
      <c r="A95" s="290"/>
      <c r="B95" s="290"/>
      <c r="C95" s="290"/>
      <c r="D95" s="290"/>
      <c r="E95" s="290"/>
      <c r="F95" s="290"/>
      <c r="G95" s="220">
        <f t="shared" si="6"/>
        <v>0</v>
      </c>
      <c r="H95" s="220">
        <f t="shared" si="7"/>
        <v>0</v>
      </c>
      <c r="I95" s="221" t="e">
        <f>IF(A95="Total",VLOOKUP(B95,CORRESPONDANCE[#All],2,FALSE),I96)</f>
        <v>#REF!</v>
      </c>
      <c r="J95" s="222" t="str">
        <f t="shared" si="4"/>
        <v/>
      </c>
      <c r="K95" s="44" t="str">
        <f t="shared" si="5"/>
        <v xml:space="preserve">VR7 - </v>
      </c>
      <c r="L95" s="44" t="e">
        <f>+VLOOKUP(K95,TL[],4,FALSE)</f>
        <v>#N/A</v>
      </c>
    </row>
    <row r="96" spans="1:12" ht="15" x14ac:dyDescent="0.25">
      <c r="A96" s="290"/>
      <c r="B96" s="290"/>
      <c r="C96" s="290"/>
      <c r="D96" s="290"/>
      <c r="E96" s="290"/>
      <c r="F96" s="290"/>
      <c r="G96" s="220">
        <f t="shared" si="6"/>
        <v>0</v>
      </c>
      <c r="H96" s="220">
        <f t="shared" si="7"/>
        <v>0</v>
      </c>
      <c r="I96" s="221" t="e">
        <f>IF(A96="Total",VLOOKUP(B96,CORRESPONDANCE[#All],2,FALSE),I97)</f>
        <v>#REF!</v>
      </c>
      <c r="J96" s="222" t="str">
        <f t="shared" si="4"/>
        <v/>
      </c>
      <c r="K96" s="44" t="str">
        <f t="shared" si="5"/>
        <v xml:space="preserve">VR7 - </v>
      </c>
      <c r="L96" s="44" t="e">
        <f>+VLOOKUP(K96,TL[],4,FALSE)</f>
        <v>#N/A</v>
      </c>
    </row>
    <row r="97" spans="1:12" ht="15" x14ac:dyDescent="0.25">
      <c r="A97" s="290"/>
      <c r="B97" s="290"/>
      <c r="C97" s="290"/>
      <c r="D97" s="290"/>
      <c r="E97" s="290"/>
      <c r="F97" s="290"/>
      <c r="G97" s="220">
        <f t="shared" si="6"/>
        <v>0</v>
      </c>
      <c r="H97" s="220">
        <f t="shared" si="7"/>
        <v>0</v>
      </c>
      <c r="I97" s="221" t="e">
        <f>IF(A97="Total",VLOOKUP(B97,CORRESPONDANCE[#All],2,FALSE),I98)</f>
        <v>#REF!</v>
      </c>
      <c r="J97" s="222" t="str">
        <f t="shared" si="4"/>
        <v/>
      </c>
      <c r="K97" s="44" t="str">
        <f t="shared" si="5"/>
        <v xml:space="preserve">VR7 - </v>
      </c>
      <c r="L97" s="44" t="e">
        <f>+VLOOKUP(K97,TL[],4,FALSE)</f>
        <v>#N/A</v>
      </c>
    </row>
    <row r="98" spans="1:12" ht="15" x14ac:dyDescent="0.25">
      <c r="A98" s="290"/>
      <c r="B98" s="290"/>
      <c r="C98" s="290"/>
      <c r="D98" s="290"/>
      <c r="E98" s="290"/>
      <c r="F98" s="290"/>
      <c r="G98" s="220">
        <f t="shared" si="6"/>
        <v>0</v>
      </c>
      <c r="H98" s="220">
        <f t="shared" si="7"/>
        <v>0</v>
      </c>
      <c r="I98" s="221" t="e">
        <f>IF(A98="Total",VLOOKUP(B98,CORRESPONDANCE[#All],2,FALSE),I99)</f>
        <v>#REF!</v>
      </c>
      <c r="J98" s="222" t="str">
        <f t="shared" si="4"/>
        <v/>
      </c>
      <c r="K98" s="44" t="str">
        <f t="shared" si="5"/>
        <v xml:space="preserve">VR7 - </v>
      </c>
      <c r="L98" s="44" t="e">
        <f>+VLOOKUP(K98,TL[],4,FALSE)</f>
        <v>#N/A</v>
      </c>
    </row>
    <row r="99" spans="1:12" ht="15" x14ac:dyDescent="0.25">
      <c r="A99" s="290"/>
      <c r="B99" s="290"/>
      <c r="C99" s="290"/>
      <c r="D99" s="290"/>
      <c r="E99" s="290"/>
      <c r="F99" s="290"/>
      <c r="G99" s="220">
        <f t="shared" si="6"/>
        <v>0</v>
      </c>
      <c r="H99" s="220">
        <f t="shared" si="7"/>
        <v>0</v>
      </c>
      <c r="I99" s="221" t="e">
        <f>IF(A99="Total",VLOOKUP(B99,CORRESPONDANCE[#All],2,FALSE),I100)</f>
        <v>#REF!</v>
      </c>
      <c r="J99" s="222" t="str">
        <f t="shared" si="4"/>
        <v/>
      </c>
      <c r="K99" s="44" t="str">
        <f t="shared" si="5"/>
        <v xml:space="preserve">VR7 - </v>
      </c>
      <c r="L99" s="44" t="e">
        <f>+VLOOKUP(K99,TL[],4,FALSE)</f>
        <v>#N/A</v>
      </c>
    </row>
    <row r="100" spans="1:12" ht="15" x14ac:dyDescent="0.25">
      <c r="A100" s="290"/>
      <c r="B100" s="290"/>
      <c r="C100" s="290"/>
      <c r="D100" s="290"/>
      <c r="E100" s="290"/>
      <c r="F100" s="290"/>
      <c r="G100" s="220">
        <f t="shared" si="6"/>
        <v>0</v>
      </c>
      <c r="H100" s="220">
        <f t="shared" si="7"/>
        <v>0</v>
      </c>
      <c r="I100" s="221" t="e">
        <f>IF(A100="Total",VLOOKUP(B100,CORRESPONDANCE[#All],2,FALSE),I101)</f>
        <v>#REF!</v>
      </c>
      <c r="J100" s="222" t="str">
        <f t="shared" si="4"/>
        <v/>
      </c>
      <c r="K100" s="44" t="str">
        <f t="shared" si="5"/>
        <v xml:space="preserve">VR7 - </v>
      </c>
      <c r="L100" s="44" t="e">
        <f>+VLOOKUP(K100,TL[],4,FALSE)</f>
        <v>#N/A</v>
      </c>
    </row>
    <row r="101" spans="1:12" ht="15" x14ac:dyDescent="0.25">
      <c r="A101" s="290"/>
      <c r="B101" s="290"/>
      <c r="C101" s="290"/>
      <c r="D101" s="290"/>
      <c r="E101" s="290"/>
      <c r="F101" s="290"/>
      <c r="G101" s="220">
        <f t="shared" si="6"/>
        <v>0</v>
      </c>
      <c r="H101" s="220">
        <f t="shared" si="7"/>
        <v>0</v>
      </c>
      <c r="I101" s="221" t="e">
        <f>IF(A101="Total",VLOOKUP(B101,CORRESPONDANCE[#All],2,FALSE),I102)</f>
        <v>#REF!</v>
      </c>
      <c r="J101" s="222" t="str">
        <f t="shared" si="4"/>
        <v/>
      </c>
      <c r="K101" s="44" t="str">
        <f t="shared" si="5"/>
        <v xml:space="preserve">VR7 - </v>
      </c>
      <c r="L101" s="44" t="e">
        <f>+VLOOKUP(K101,TL[],4,FALSE)</f>
        <v>#N/A</v>
      </c>
    </row>
    <row r="102" spans="1:12" ht="15" x14ac:dyDescent="0.25">
      <c r="A102" s="290"/>
      <c r="B102" s="290"/>
      <c r="C102" s="290"/>
      <c r="D102" s="290"/>
      <c r="E102" s="290"/>
      <c r="F102" s="290"/>
      <c r="G102" s="220">
        <f t="shared" si="6"/>
        <v>0</v>
      </c>
      <c r="H102" s="220">
        <f t="shared" si="7"/>
        <v>0</v>
      </c>
      <c r="I102" s="221" t="e">
        <f>IF(A102="Total",VLOOKUP(B102,CORRESPONDANCE[#All],2,FALSE),I103)</f>
        <v>#REF!</v>
      </c>
      <c r="J102" s="222" t="str">
        <f t="shared" si="4"/>
        <v/>
      </c>
      <c r="K102" s="44" t="str">
        <f t="shared" si="5"/>
        <v xml:space="preserve">VR7 - </v>
      </c>
      <c r="L102" s="44" t="e">
        <f>+VLOOKUP(K102,TL[],4,FALSE)</f>
        <v>#N/A</v>
      </c>
    </row>
    <row r="103" spans="1:12" ht="15" x14ac:dyDescent="0.25">
      <c r="A103" s="290"/>
      <c r="B103" s="290"/>
      <c r="C103" s="290"/>
      <c r="D103" s="290"/>
      <c r="E103" s="290"/>
      <c r="F103" s="290"/>
      <c r="G103" s="220">
        <f t="shared" si="6"/>
        <v>0</v>
      </c>
      <c r="H103" s="220">
        <f t="shared" si="7"/>
        <v>0</v>
      </c>
      <c r="I103" s="221" t="e">
        <f>IF(A103="Total",VLOOKUP(B103,CORRESPONDANCE[#All],2,FALSE),I104)</f>
        <v>#REF!</v>
      </c>
      <c r="J103" s="222" t="str">
        <f t="shared" si="4"/>
        <v/>
      </c>
      <c r="K103" s="44" t="str">
        <f t="shared" si="5"/>
        <v xml:space="preserve">VR7 - </v>
      </c>
      <c r="L103" s="44" t="e">
        <f>+VLOOKUP(K103,TL[],4,FALSE)</f>
        <v>#N/A</v>
      </c>
    </row>
    <row r="104" spans="1:12" ht="15" x14ac:dyDescent="0.25">
      <c r="A104" s="290"/>
      <c r="B104" s="290"/>
      <c r="C104" s="290"/>
      <c r="D104" s="290"/>
      <c r="E104" s="290"/>
      <c r="F104" s="290"/>
      <c r="G104" s="220">
        <f t="shared" si="6"/>
        <v>0</v>
      </c>
      <c r="H104" s="220">
        <f t="shared" si="7"/>
        <v>0</v>
      </c>
      <c r="I104" s="221" t="e">
        <f>IF(A104="Total",VLOOKUP(B104,CORRESPONDANCE[#All],2,FALSE),I105)</f>
        <v>#REF!</v>
      </c>
      <c r="J104" s="222" t="str">
        <f t="shared" si="4"/>
        <v/>
      </c>
      <c r="K104" s="44" t="str">
        <f t="shared" si="5"/>
        <v xml:space="preserve">VR7 - </v>
      </c>
      <c r="L104" s="44" t="e">
        <f>+VLOOKUP(K104,TL[],4,FALSE)</f>
        <v>#N/A</v>
      </c>
    </row>
    <row r="105" spans="1:12" ht="15" x14ac:dyDescent="0.25">
      <c r="A105" s="290"/>
      <c r="B105" s="290"/>
      <c r="C105" s="290"/>
      <c r="D105" s="290"/>
      <c r="E105" s="290"/>
      <c r="F105" s="290"/>
      <c r="G105" s="220">
        <f t="shared" si="6"/>
        <v>0</v>
      </c>
      <c r="H105" s="220">
        <f t="shared" si="7"/>
        <v>0</v>
      </c>
      <c r="I105" s="221" t="e">
        <f>IF(A105="Total",VLOOKUP(B105,CORRESPONDANCE[#All],2,FALSE),I106)</f>
        <v>#REF!</v>
      </c>
      <c r="J105" s="222" t="str">
        <f t="shared" si="4"/>
        <v/>
      </c>
      <c r="K105" s="44" t="str">
        <f t="shared" si="5"/>
        <v xml:space="preserve">VR7 - </v>
      </c>
      <c r="L105" s="44" t="e">
        <f>+VLOOKUP(K105,TL[],4,FALSE)</f>
        <v>#N/A</v>
      </c>
    </row>
    <row r="106" spans="1:12" ht="15" x14ac:dyDescent="0.25">
      <c r="A106" s="290"/>
      <c r="B106" s="290"/>
      <c r="C106" s="290"/>
      <c r="D106" s="290"/>
      <c r="E106" s="290"/>
      <c r="F106" s="290"/>
      <c r="G106" s="220">
        <f t="shared" si="6"/>
        <v>0</v>
      </c>
      <c r="H106" s="220">
        <f t="shared" si="7"/>
        <v>0</v>
      </c>
      <c r="I106" s="221" t="e">
        <f>IF(A106="Total",VLOOKUP(B106,CORRESPONDANCE[#All],2,FALSE),I107)</f>
        <v>#REF!</v>
      </c>
      <c r="J106" s="222" t="str">
        <f t="shared" si="4"/>
        <v/>
      </c>
      <c r="K106" s="44" t="str">
        <f t="shared" si="5"/>
        <v xml:space="preserve">VR7 - </v>
      </c>
      <c r="L106" s="44" t="e">
        <f>+VLOOKUP(K106,TL[],4,FALSE)</f>
        <v>#N/A</v>
      </c>
    </row>
    <row r="107" spans="1:12" ht="15" x14ac:dyDescent="0.25">
      <c r="A107" s="290"/>
      <c r="B107" s="290"/>
      <c r="C107" s="290"/>
      <c r="D107" s="290"/>
      <c r="E107" s="290"/>
      <c r="F107" s="290"/>
      <c r="G107" s="220">
        <f t="shared" si="6"/>
        <v>0</v>
      </c>
      <c r="H107" s="220">
        <f t="shared" si="7"/>
        <v>0</v>
      </c>
      <c r="I107" s="221" t="e">
        <f>IF(A107="Total",VLOOKUP(B107,CORRESPONDANCE[#All],2,FALSE),I108)</f>
        <v>#REF!</v>
      </c>
      <c r="J107" s="222" t="str">
        <f t="shared" si="4"/>
        <v/>
      </c>
      <c r="K107" s="44" t="str">
        <f t="shared" si="5"/>
        <v xml:space="preserve">VR7 - </v>
      </c>
      <c r="L107" s="44" t="e">
        <f>+VLOOKUP(K107,TL[],4,FALSE)</f>
        <v>#N/A</v>
      </c>
    </row>
    <row r="108" spans="1:12" ht="15" x14ac:dyDescent="0.25">
      <c r="A108" s="290"/>
      <c r="B108" s="290"/>
      <c r="C108" s="290"/>
      <c r="D108" s="290"/>
      <c r="E108" s="290"/>
      <c r="F108" s="290"/>
      <c r="G108" s="220">
        <f t="shared" si="6"/>
        <v>0</v>
      </c>
      <c r="H108" s="220">
        <f t="shared" si="7"/>
        <v>0</v>
      </c>
      <c r="I108" s="221" t="e">
        <f>IF(A108="Total",VLOOKUP(B108,CORRESPONDANCE[#All],2,FALSE),I109)</f>
        <v>#REF!</v>
      </c>
      <c r="J108" s="222" t="str">
        <f t="shared" si="4"/>
        <v/>
      </c>
      <c r="K108" s="44" t="str">
        <f t="shared" si="5"/>
        <v xml:space="preserve">VR7 - </v>
      </c>
      <c r="L108" s="44" t="e">
        <f>+VLOOKUP(K108,TL[],4,FALSE)</f>
        <v>#N/A</v>
      </c>
    </row>
    <row r="109" spans="1:12" ht="15" x14ac:dyDescent="0.25">
      <c r="A109" s="290"/>
      <c r="B109" s="290"/>
      <c r="C109" s="290"/>
      <c r="D109" s="290"/>
      <c r="E109" s="290"/>
      <c r="F109" s="290"/>
      <c r="G109" s="220">
        <f t="shared" si="6"/>
        <v>0</v>
      </c>
      <c r="H109" s="220">
        <f t="shared" si="7"/>
        <v>0</v>
      </c>
      <c r="I109" s="221" t="e">
        <f>IF(A109="Total",VLOOKUP(B109,CORRESPONDANCE[#All],2,FALSE),I110)</f>
        <v>#REF!</v>
      </c>
      <c r="J109" s="222" t="str">
        <f t="shared" si="4"/>
        <v/>
      </c>
      <c r="K109" s="44" t="str">
        <f t="shared" si="5"/>
        <v xml:space="preserve">VR7 - </v>
      </c>
      <c r="L109" s="44" t="e">
        <f>+VLOOKUP(K109,TL[],4,FALSE)</f>
        <v>#N/A</v>
      </c>
    </row>
    <row r="110" spans="1:12" ht="15" x14ac:dyDescent="0.25">
      <c r="A110" s="290"/>
      <c r="B110" s="290"/>
      <c r="C110" s="290"/>
      <c r="D110" s="290"/>
      <c r="E110" s="290"/>
      <c r="F110" s="290"/>
      <c r="G110" s="220">
        <f t="shared" si="6"/>
        <v>0</v>
      </c>
      <c r="H110" s="220">
        <f t="shared" si="7"/>
        <v>0</v>
      </c>
      <c r="I110" s="221" t="e">
        <f>IF(A110="Total",VLOOKUP(B110,CORRESPONDANCE[#All],2,FALSE),I111)</f>
        <v>#REF!</v>
      </c>
      <c r="J110" s="222" t="str">
        <f t="shared" si="4"/>
        <v/>
      </c>
      <c r="K110" s="44" t="str">
        <f t="shared" si="5"/>
        <v xml:space="preserve">VR7 - </v>
      </c>
      <c r="L110" s="44" t="e">
        <f>+VLOOKUP(K110,TL[],4,FALSE)</f>
        <v>#N/A</v>
      </c>
    </row>
    <row r="111" spans="1:12" ht="15" x14ac:dyDescent="0.25">
      <c r="A111" s="290"/>
      <c r="B111" s="290"/>
      <c r="C111" s="290"/>
      <c r="D111" s="290"/>
      <c r="E111" s="290"/>
      <c r="F111" s="290"/>
      <c r="G111" s="220">
        <f t="shared" si="6"/>
        <v>0</v>
      </c>
      <c r="H111" s="220">
        <f t="shared" si="7"/>
        <v>0</v>
      </c>
      <c r="I111" s="221" t="e">
        <f>IF(A111="Total",VLOOKUP(B111,CORRESPONDANCE[#All],2,FALSE),I112)</f>
        <v>#REF!</v>
      </c>
      <c r="J111" s="222" t="str">
        <f t="shared" si="4"/>
        <v/>
      </c>
      <c r="K111" s="44" t="str">
        <f t="shared" si="5"/>
        <v xml:space="preserve">VR7 - </v>
      </c>
      <c r="L111" s="44" t="e">
        <f>+VLOOKUP(K111,TL[],4,FALSE)</f>
        <v>#N/A</v>
      </c>
    </row>
    <row r="112" spans="1:12" ht="15" x14ac:dyDescent="0.25">
      <c r="A112" s="290"/>
      <c r="B112" s="290"/>
      <c r="C112" s="290"/>
      <c r="D112" s="290"/>
      <c r="E112" s="290"/>
      <c r="F112" s="290"/>
      <c r="G112" s="220">
        <f t="shared" si="6"/>
        <v>0</v>
      </c>
      <c r="H112" s="220">
        <f t="shared" si="7"/>
        <v>0</v>
      </c>
      <c r="I112" s="221" t="e">
        <f>IF(A112="Total",VLOOKUP(B112,CORRESPONDANCE[#All],2,FALSE),I113)</f>
        <v>#REF!</v>
      </c>
      <c r="J112" s="222" t="str">
        <f t="shared" si="4"/>
        <v/>
      </c>
      <c r="K112" s="44" t="str">
        <f t="shared" si="5"/>
        <v xml:space="preserve">VR7 - </v>
      </c>
      <c r="L112" s="44" t="e">
        <f>+VLOOKUP(K112,TL[],4,FALSE)</f>
        <v>#N/A</v>
      </c>
    </row>
    <row r="113" spans="1:12" ht="15" x14ac:dyDescent="0.25">
      <c r="A113" s="290"/>
      <c r="B113" s="290"/>
      <c r="C113" s="290"/>
      <c r="D113" s="290"/>
      <c r="E113" s="290"/>
      <c r="F113" s="290"/>
      <c r="G113" s="220">
        <f t="shared" si="6"/>
        <v>0</v>
      </c>
      <c r="H113" s="220">
        <f t="shared" si="7"/>
        <v>0</v>
      </c>
      <c r="I113" s="221" t="e">
        <f>IF(A113="Total",VLOOKUP(B113,CORRESPONDANCE[#All],2,FALSE),I114)</f>
        <v>#REF!</v>
      </c>
      <c r="J113" s="222" t="str">
        <f t="shared" si="4"/>
        <v/>
      </c>
      <c r="K113" s="44" t="str">
        <f t="shared" si="5"/>
        <v xml:space="preserve">VR7 - </v>
      </c>
      <c r="L113" s="44" t="e">
        <f>+VLOOKUP(K113,TL[],4,FALSE)</f>
        <v>#N/A</v>
      </c>
    </row>
    <row r="114" spans="1:12" ht="15" x14ac:dyDescent="0.25">
      <c r="A114" s="290"/>
      <c r="B114" s="290"/>
      <c r="C114" s="290"/>
      <c r="D114" s="290"/>
      <c r="E114" s="290"/>
      <c r="F114" s="290"/>
      <c r="G114" s="220">
        <f t="shared" si="6"/>
        <v>0</v>
      </c>
      <c r="H114" s="220">
        <f t="shared" si="7"/>
        <v>0</v>
      </c>
      <c r="I114" s="221" t="e">
        <f>IF(A114="Total",VLOOKUP(B114,CORRESPONDANCE[#All],2,FALSE),I115)</f>
        <v>#REF!</v>
      </c>
      <c r="J114" s="222" t="str">
        <f t="shared" si="4"/>
        <v/>
      </c>
      <c r="K114" s="44" t="str">
        <f t="shared" si="5"/>
        <v xml:space="preserve">VR7 - </v>
      </c>
      <c r="L114" s="44" t="e">
        <f>+VLOOKUP(K114,TL[],4,FALSE)</f>
        <v>#N/A</v>
      </c>
    </row>
    <row r="115" spans="1:12" ht="15" x14ac:dyDescent="0.25">
      <c r="A115" s="290"/>
      <c r="B115" s="290"/>
      <c r="C115" s="290"/>
      <c r="D115" s="290"/>
      <c r="E115" s="290"/>
      <c r="F115" s="290"/>
      <c r="G115" s="220">
        <f t="shared" si="6"/>
        <v>0</v>
      </c>
      <c r="H115" s="220">
        <f t="shared" si="7"/>
        <v>0</v>
      </c>
      <c r="I115" s="221" t="e">
        <f>IF(A115="Total",VLOOKUP(B115,CORRESPONDANCE[#All],2,FALSE),I116)</f>
        <v>#REF!</v>
      </c>
      <c r="J115" s="222" t="str">
        <f t="shared" si="4"/>
        <v/>
      </c>
      <c r="K115" s="44" t="str">
        <f t="shared" si="5"/>
        <v xml:space="preserve">VR7 - </v>
      </c>
      <c r="L115" s="44" t="e">
        <f>+VLOOKUP(K115,TL[],4,FALSE)</f>
        <v>#N/A</v>
      </c>
    </row>
    <row r="116" spans="1:12" ht="15" x14ac:dyDescent="0.25">
      <c r="A116" s="290"/>
      <c r="B116" s="290"/>
      <c r="C116" s="290"/>
      <c r="D116" s="290"/>
      <c r="E116" s="290"/>
      <c r="F116" s="290"/>
      <c r="G116" s="220">
        <f t="shared" si="6"/>
        <v>0</v>
      </c>
      <c r="H116" s="220">
        <f t="shared" si="7"/>
        <v>0</v>
      </c>
      <c r="I116" s="221" t="e">
        <f>IF(A116="Total",VLOOKUP(B116,CORRESPONDANCE[#All],2,FALSE),I117)</f>
        <v>#REF!</v>
      </c>
      <c r="J116" s="222" t="str">
        <f t="shared" si="4"/>
        <v/>
      </c>
      <c r="K116" s="44" t="str">
        <f t="shared" si="5"/>
        <v xml:space="preserve">VR7 - </v>
      </c>
      <c r="L116" s="44" t="e">
        <f>+VLOOKUP(K116,TL[],4,FALSE)</f>
        <v>#N/A</v>
      </c>
    </row>
    <row r="117" spans="1:12" ht="15" x14ac:dyDescent="0.25">
      <c r="A117" s="290"/>
      <c r="B117" s="290"/>
      <c r="C117" s="290"/>
      <c r="D117" s="290"/>
      <c r="E117" s="290"/>
      <c r="F117" s="290"/>
      <c r="G117" s="220">
        <f t="shared" si="6"/>
        <v>0</v>
      </c>
      <c r="H117" s="220">
        <f t="shared" si="7"/>
        <v>0</v>
      </c>
      <c r="I117" s="221" t="e">
        <f>IF(A117="Total",VLOOKUP(B117,CORRESPONDANCE[#All],2,FALSE),I118)</f>
        <v>#REF!</v>
      </c>
      <c r="J117" s="222" t="str">
        <f t="shared" si="4"/>
        <v/>
      </c>
      <c r="K117" s="44" t="str">
        <f t="shared" si="5"/>
        <v xml:space="preserve">VR7 - </v>
      </c>
      <c r="L117" s="44" t="e">
        <f>+VLOOKUP(K117,TL[],4,FALSE)</f>
        <v>#N/A</v>
      </c>
    </row>
    <row r="118" spans="1:12" ht="15" x14ac:dyDescent="0.25">
      <c r="A118" s="290"/>
      <c r="B118" s="290"/>
      <c r="C118" s="290"/>
      <c r="D118" s="290"/>
      <c r="E118" s="290"/>
      <c r="F118" s="290"/>
      <c r="G118" s="220">
        <f t="shared" si="6"/>
        <v>0</v>
      </c>
      <c r="H118" s="220">
        <f t="shared" si="7"/>
        <v>0</v>
      </c>
      <c r="I118" s="221" t="e">
        <f>IF(A118="Total",VLOOKUP(B118,CORRESPONDANCE[#All],2,FALSE),I119)</f>
        <v>#REF!</v>
      </c>
      <c r="J118" s="222" t="str">
        <f t="shared" si="4"/>
        <v/>
      </c>
      <c r="K118" s="44" t="str">
        <f t="shared" si="5"/>
        <v xml:space="preserve">VR7 - </v>
      </c>
      <c r="L118" s="44" t="e">
        <f>+VLOOKUP(K118,TL[],4,FALSE)</f>
        <v>#N/A</v>
      </c>
    </row>
    <row r="119" spans="1:12" ht="15" x14ac:dyDescent="0.25">
      <c r="A119" s="290"/>
      <c r="B119" s="290"/>
      <c r="C119" s="290"/>
      <c r="D119" s="290"/>
      <c r="E119" s="290"/>
      <c r="F119" s="290"/>
      <c r="G119" s="220">
        <f t="shared" si="6"/>
        <v>0</v>
      </c>
      <c r="H119" s="220">
        <f t="shared" si="7"/>
        <v>0</v>
      </c>
      <c r="I119" s="221" t="e">
        <f>IF(A119="Total",VLOOKUP(B119,CORRESPONDANCE[#All],2,FALSE),I120)</f>
        <v>#REF!</v>
      </c>
      <c r="J119" s="222" t="str">
        <f t="shared" si="4"/>
        <v/>
      </c>
      <c r="K119" s="44" t="str">
        <f t="shared" si="5"/>
        <v xml:space="preserve">VR7 - </v>
      </c>
      <c r="L119" s="44" t="e">
        <f>+VLOOKUP(K119,TL[],4,FALSE)</f>
        <v>#N/A</v>
      </c>
    </row>
    <row r="120" spans="1:12" ht="15" x14ac:dyDescent="0.25">
      <c r="A120" s="290"/>
      <c r="B120" s="290"/>
      <c r="C120" s="290"/>
      <c r="D120" s="290"/>
      <c r="E120" s="290"/>
      <c r="F120" s="290"/>
      <c r="G120" s="220">
        <f t="shared" si="6"/>
        <v>0</v>
      </c>
      <c r="H120" s="220">
        <f t="shared" si="7"/>
        <v>0</v>
      </c>
      <c r="I120" s="221" t="e">
        <f>IF(A120="Total",VLOOKUP(B120,CORRESPONDANCE[#All],2,FALSE),I121)</f>
        <v>#REF!</v>
      </c>
      <c r="J120" s="222" t="str">
        <f t="shared" si="4"/>
        <v/>
      </c>
      <c r="K120" s="44" t="str">
        <f t="shared" si="5"/>
        <v xml:space="preserve">VR7 - </v>
      </c>
      <c r="L120" s="44" t="e">
        <f>+VLOOKUP(K120,TL[],4,FALSE)</f>
        <v>#N/A</v>
      </c>
    </row>
    <row r="121" spans="1:12" ht="15" x14ac:dyDescent="0.25">
      <c r="A121" s="290"/>
      <c r="B121" s="290"/>
      <c r="C121" s="290"/>
      <c r="D121" s="290"/>
      <c r="E121" s="290"/>
      <c r="F121" s="290"/>
      <c r="G121" s="220">
        <f t="shared" si="6"/>
        <v>0</v>
      </c>
      <c r="H121" s="220">
        <f t="shared" si="7"/>
        <v>0</v>
      </c>
      <c r="I121" s="221" t="e">
        <f>IF(A121="Total",VLOOKUP(B121,CORRESPONDANCE[#All],2,FALSE),I122)</f>
        <v>#REF!</v>
      </c>
      <c r="J121" s="222" t="str">
        <f t="shared" si="4"/>
        <v/>
      </c>
      <c r="K121" s="44" t="str">
        <f t="shared" si="5"/>
        <v xml:space="preserve">VR7 - </v>
      </c>
      <c r="L121" s="44" t="e">
        <f>+VLOOKUP(K121,TL[],4,FALSE)</f>
        <v>#N/A</v>
      </c>
    </row>
    <row r="122" spans="1:12" ht="15" x14ac:dyDescent="0.25">
      <c r="A122" s="290"/>
      <c r="B122" s="290"/>
      <c r="C122" s="290"/>
      <c r="D122" s="290"/>
      <c r="E122" s="290"/>
      <c r="F122" s="290"/>
      <c r="G122" s="220">
        <f t="shared" si="6"/>
        <v>0</v>
      </c>
      <c r="H122" s="220">
        <f t="shared" si="7"/>
        <v>0</v>
      </c>
      <c r="I122" s="221" t="e">
        <f>IF(A122="Total",VLOOKUP(B122,CORRESPONDANCE[#All],2,FALSE),I123)</f>
        <v>#REF!</v>
      </c>
      <c r="J122" s="222" t="str">
        <f t="shared" si="4"/>
        <v/>
      </c>
      <c r="K122" s="44" t="str">
        <f t="shared" si="5"/>
        <v xml:space="preserve">VR7 - </v>
      </c>
      <c r="L122" s="44" t="e">
        <f>+VLOOKUP(K122,TL[],4,FALSE)</f>
        <v>#N/A</v>
      </c>
    </row>
    <row r="123" spans="1:12" ht="15" x14ac:dyDescent="0.25">
      <c r="A123" s="290"/>
      <c r="B123" s="290"/>
      <c r="C123" s="290"/>
      <c r="D123" s="290"/>
      <c r="E123" s="290"/>
      <c r="F123" s="290"/>
      <c r="G123" s="220">
        <f t="shared" si="6"/>
        <v>0</v>
      </c>
      <c r="H123" s="220">
        <f t="shared" si="7"/>
        <v>0</v>
      </c>
      <c r="I123" s="221" t="e">
        <f>IF(A123="Total",VLOOKUP(B123,CORRESPONDANCE[#All],2,FALSE),I124)</f>
        <v>#REF!</v>
      </c>
      <c r="J123" s="222" t="str">
        <f t="shared" si="4"/>
        <v/>
      </c>
      <c r="K123" s="44" t="str">
        <f t="shared" si="5"/>
        <v xml:space="preserve">VR7 - </v>
      </c>
      <c r="L123" s="44" t="e">
        <f>+VLOOKUP(K123,TL[],4,FALSE)</f>
        <v>#N/A</v>
      </c>
    </row>
    <row r="124" spans="1:12" ht="15" x14ac:dyDescent="0.25">
      <c r="A124" s="290"/>
      <c r="B124" s="290"/>
      <c r="C124" s="290"/>
      <c r="D124" s="290"/>
      <c r="E124" s="290"/>
      <c r="F124" s="290"/>
      <c r="G124" s="220">
        <f t="shared" si="6"/>
        <v>0</v>
      </c>
      <c r="H124" s="220">
        <f t="shared" si="7"/>
        <v>0</v>
      </c>
      <c r="I124" s="221" t="e">
        <f>IF(A124="Total",VLOOKUP(B124,CORRESPONDANCE[#All],2,FALSE),I125)</f>
        <v>#REF!</v>
      </c>
      <c r="J124" s="222" t="str">
        <f t="shared" si="4"/>
        <v/>
      </c>
      <c r="K124" s="44" t="str">
        <f t="shared" si="5"/>
        <v xml:space="preserve">VR7 - </v>
      </c>
      <c r="L124" s="44" t="e">
        <f>+VLOOKUP(K124,TL[],4,FALSE)</f>
        <v>#N/A</v>
      </c>
    </row>
    <row r="125" spans="1:12" ht="15" x14ac:dyDescent="0.25">
      <c r="A125" s="290"/>
      <c r="B125" s="290"/>
      <c r="C125" s="290"/>
      <c r="D125" s="290"/>
      <c r="E125" s="290"/>
      <c r="F125" s="290"/>
      <c r="G125" s="220">
        <f t="shared" si="6"/>
        <v>0</v>
      </c>
      <c r="H125" s="220">
        <f t="shared" si="7"/>
        <v>0</v>
      </c>
      <c r="I125" s="221" t="e">
        <f>IF(A125="Total",VLOOKUP(B125,CORRESPONDANCE[#All],2,FALSE),I126)</f>
        <v>#REF!</v>
      </c>
      <c r="J125" s="222" t="str">
        <f t="shared" si="4"/>
        <v/>
      </c>
      <c r="K125" s="44" t="str">
        <f t="shared" si="5"/>
        <v xml:space="preserve">VR7 - </v>
      </c>
      <c r="L125" s="44" t="e">
        <f>+VLOOKUP(K125,TL[],4,FALSE)</f>
        <v>#N/A</v>
      </c>
    </row>
    <row r="126" spans="1:12" ht="15" x14ac:dyDescent="0.25">
      <c r="A126" s="290"/>
      <c r="B126" s="290"/>
      <c r="C126" s="290"/>
      <c r="D126" s="290"/>
      <c r="E126" s="290"/>
      <c r="F126" s="290"/>
      <c r="G126" s="220">
        <f t="shared" si="6"/>
        <v>0</v>
      </c>
      <c r="H126" s="220">
        <f t="shared" si="7"/>
        <v>0</v>
      </c>
      <c r="I126" s="221" t="e">
        <f>IF(A126="Total",VLOOKUP(B126,CORRESPONDANCE[#All],2,FALSE),I127)</f>
        <v>#REF!</v>
      </c>
      <c r="J126" s="222" t="str">
        <f t="shared" si="4"/>
        <v/>
      </c>
      <c r="K126" s="44" t="str">
        <f t="shared" si="5"/>
        <v xml:space="preserve">VR7 - </v>
      </c>
      <c r="L126" s="44" t="e">
        <f>+VLOOKUP(K126,TL[],4,FALSE)</f>
        <v>#N/A</v>
      </c>
    </row>
    <row r="127" spans="1:12" ht="15" x14ac:dyDescent="0.25">
      <c r="A127" s="290"/>
      <c r="B127" s="290"/>
      <c r="C127" s="290"/>
      <c r="D127" s="290"/>
      <c r="E127" s="290"/>
      <c r="F127" s="290"/>
      <c r="G127" s="220">
        <f t="shared" si="6"/>
        <v>0</v>
      </c>
      <c r="H127" s="220">
        <f t="shared" si="7"/>
        <v>0</v>
      </c>
      <c r="I127" s="221" t="e">
        <f>IF(A127="Total",VLOOKUP(B127,CORRESPONDANCE[#All],2,FALSE),I128)</f>
        <v>#REF!</v>
      </c>
      <c r="J127" s="222" t="str">
        <f t="shared" si="4"/>
        <v/>
      </c>
      <c r="K127" s="44" t="str">
        <f t="shared" si="5"/>
        <v xml:space="preserve">VR7 - </v>
      </c>
      <c r="L127" s="44" t="e">
        <f>+VLOOKUP(K127,TL[],4,FALSE)</f>
        <v>#N/A</v>
      </c>
    </row>
    <row r="128" spans="1:12" ht="15" x14ac:dyDescent="0.25">
      <c r="A128" s="290"/>
      <c r="B128" s="290"/>
      <c r="C128" s="290"/>
      <c r="D128" s="290"/>
      <c r="E128" s="290"/>
      <c r="F128" s="290"/>
      <c r="G128" s="220">
        <f t="shared" si="6"/>
        <v>0</v>
      </c>
      <c r="H128" s="220">
        <f t="shared" si="7"/>
        <v>0</v>
      </c>
      <c r="I128" s="221" t="e">
        <f>IF(A128="Total",VLOOKUP(B128,CORRESPONDANCE[#All],2,FALSE),I129)</f>
        <v>#REF!</v>
      </c>
      <c r="J128" s="222" t="str">
        <f t="shared" si="4"/>
        <v/>
      </c>
      <c r="K128" s="44" t="str">
        <f t="shared" si="5"/>
        <v xml:space="preserve">VR7 - </v>
      </c>
      <c r="L128" s="44" t="e">
        <f>+VLOOKUP(K128,TL[],4,FALSE)</f>
        <v>#N/A</v>
      </c>
    </row>
    <row r="129" spans="1:12" ht="15" x14ac:dyDescent="0.25">
      <c r="A129" s="290"/>
      <c r="B129" s="290"/>
      <c r="C129" s="290"/>
      <c r="D129" s="290"/>
      <c r="E129" s="290"/>
      <c r="F129" s="290"/>
      <c r="G129" s="220">
        <f t="shared" si="6"/>
        <v>0</v>
      </c>
      <c r="H129" s="220">
        <f t="shared" si="7"/>
        <v>0</v>
      </c>
      <c r="I129" s="221" t="e">
        <f>IF(A129="Total",VLOOKUP(B129,CORRESPONDANCE[#All],2,FALSE),I130)</f>
        <v>#REF!</v>
      </c>
      <c r="J129" s="222" t="str">
        <f t="shared" si="4"/>
        <v/>
      </c>
      <c r="K129" s="44" t="str">
        <f t="shared" si="5"/>
        <v xml:space="preserve">VR7 - </v>
      </c>
      <c r="L129" s="44" t="e">
        <f>+VLOOKUP(K129,TL[],4,FALSE)</f>
        <v>#N/A</v>
      </c>
    </row>
    <row r="130" spans="1:12" ht="15" x14ac:dyDescent="0.25">
      <c r="A130" s="290"/>
      <c r="B130" s="290"/>
      <c r="C130" s="290"/>
      <c r="D130" s="290"/>
      <c r="E130" s="290"/>
      <c r="F130" s="290"/>
      <c r="G130" s="220">
        <f t="shared" si="6"/>
        <v>0</v>
      </c>
      <c r="H130" s="220">
        <f t="shared" si="7"/>
        <v>0</v>
      </c>
      <c r="I130" s="221" t="e">
        <f>IF(A130="Total",VLOOKUP(B130,CORRESPONDANCE[#All],2,FALSE),I131)</f>
        <v>#REF!</v>
      </c>
      <c r="J130" s="222" t="str">
        <f t="shared" si="4"/>
        <v/>
      </c>
      <c r="K130" s="44" t="str">
        <f t="shared" si="5"/>
        <v xml:space="preserve">VR7 - </v>
      </c>
      <c r="L130" s="44" t="e">
        <f>+VLOOKUP(K130,TL[],4,FALSE)</f>
        <v>#N/A</v>
      </c>
    </row>
    <row r="131" spans="1:12" ht="15" x14ac:dyDescent="0.25">
      <c r="A131" s="290"/>
      <c r="B131" s="290"/>
      <c r="C131" s="290"/>
      <c r="D131" s="290"/>
      <c r="E131" s="290"/>
      <c r="F131" s="290"/>
      <c r="G131" s="220">
        <f t="shared" si="6"/>
        <v>0</v>
      </c>
      <c r="H131" s="220">
        <f t="shared" si="7"/>
        <v>0</v>
      </c>
      <c r="I131" s="221" t="e">
        <f>IF(A131="Total",VLOOKUP(B131,CORRESPONDANCE[#All],2,FALSE),I132)</f>
        <v>#REF!</v>
      </c>
      <c r="J131" s="222" t="str">
        <f t="shared" ref="J131:J171" si="8">LEFT(A131,1)</f>
        <v/>
      </c>
      <c r="K131" s="44" t="str">
        <f t="shared" ref="K131:K171" si="9">"VR7"&amp;" - "&amp;A131</f>
        <v xml:space="preserve">VR7 - </v>
      </c>
      <c r="L131" s="44" t="e">
        <f>+VLOOKUP(K131,TL[],4,FALSE)</f>
        <v>#N/A</v>
      </c>
    </row>
    <row r="132" spans="1:12" ht="15" x14ac:dyDescent="0.25">
      <c r="A132" s="290"/>
      <c r="B132" s="290"/>
      <c r="C132" s="290"/>
      <c r="D132" s="290"/>
      <c r="E132" s="290"/>
      <c r="F132" s="290"/>
      <c r="G132" s="220">
        <f t="shared" si="6"/>
        <v>0</v>
      </c>
      <c r="H132" s="220">
        <f t="shared" si="7"/>
        <v>0</v>
      </c>
      <c r="I132" s="221" t="e">
        <f>IF(A132="Total",VLOOKUP(B132,CORRESPONDANCE[#All],2,FALSE),I133)</f>
        <v>#REF!</v>
      </c>
      <c r="J132" s="222" t="str">
        <f t="shared" si="8"/>
        <v/>
      </c>
      <c r="K132" s="44" t="str">
        <f t="shared" si="9"/>
        <v xml:space="preserve">VR7 - </v>
      </c>
      <c r="L132" s="44" t="e">
        <f>+VLOOKUP(K132,TL[],4,FALSE)</f>
        <v>#N/A</v>
      </c>
    </row>
    <row r="133" spans="1:12" ht="15" x14ac:dyDescent="0.25">
      <c r="A133" s="290"/>
      <c r="B133" s="290"/>
      <c r="C133" s="290"/>
      <c r="D133" s="290"/>
      <c r="E133" s="290"/>
      <c r="F133" s="290"/>
      <c r="G133" s="220">
        <f t="shared" si="6"/>
        <v>0</v>
      </c>
      <c r="H133" s="220">
        <f t="shared" si="7"/>
        <v>0</v>
      </c>
      <c r="I133" s="221" t="e">
        <f>IF(A133="Total",VLOOKUP(B133,CORRESPONDANCE[#All],2,FALSE),I134)</f>
        <v>#REF!</v>
      </c>
      <c r="J133" s="222" t="str">
        <f t="shared" si="8"/>
        <v/>
      </c>
      <c r="K133" s="44" t="str">
        <f t="shared" si="9"/>
        <v xml:space="preserve">VR7 - </v>
      </c>
      <c r="L133" s="44" t="e">
        <f>+VLOOKUP(K133,TL[],4,FALSE)</f>
        <v>#N/A</v>
      </c>
    </row>
    <row r="134" spans="1:12" ht="15" x14ac:dyDescent="0.25">
      <c r="A134" s="290"/>
      <c r="B134" s="290"/>
      <c r="C134" s="290"/>
      <c r="D134" s="290"/>
      <c r="E134" s="290"/>
      <c r="F134" s="290"/>
      <c r="G134" s="220">
        <f t="shared" ref="G134:G171" si="10">SUM(C134)-SUM(D134)</f>
        <v>0</v>
      </c>
      <c r="H134" s="220">
        <f t="shared" ref="H134:H171" si="11">SUM(E134)-SUM(F134)</f>
        <v>0</v>
      </c>
      <c r="I134" s="221" t="e">
        <f>IF(A134="Total",VLOOKUP(B134,CORRESPONDANCE[#All],2,FALSE),I135)</f>
        <v>#REF!</v>
      </c>
      <c r="J134" s="222" t="str">
        <f t="shared" si="8"/>
        <v/>
      </c>
      <c r="K134" s="44" t="str">
        <f t="shared" si="9"/>
        <v xml:space="preserve">VR7 - </v>
      </c>
      <c r="L134" s="44" t="e">
        <f>+VLOOKUP(K134,TL[],4,FALSE)</f>
        <v>#N/A</v>
      </c>
    </row>
    <row r="135" spans="1:12" ht="15" x14ac:dyDescent="0.25">
      <c r="A135" s="290"/>
      <c r="B135" s="290"/>
      <c r="C135" s="290"/>
      <c r="D135" s="290"/>
      <c r="E135" s="290"/>
      <c r="F135" s="290"/>
      <c r="G135" s="220">
        <f t="shared" si="10"/>
        <v>0</v>
      </c>
      <c r="H135" s="220">
        <f t="shared" si="11"/>
        <v>0</v>
      </c>
      <c r="I135" s="221" t="e">
        <f>IF(A135="Total",VLOOKUP(B135,CORRESPONDANCE[#All],2,FALSE),I136)</f>
        <v>#REF!</v>
      </c>
      <c r="J135" s="222" t="str">
        <f t="shared" si="8"/>
        <v/>
      </c>
      <c r="K135" s="44" t="str">
        <f t="shared" si="9"/>
        <v xml:space="preserve">VR7 - </v>
      </c>
      <c r="L135" s="44" t="e">
        <f>+VLOOKUP(K135,TL[],4,FALSE)</f>
        <v>#N/A</v>
      </c>
    </row>
    <row r="136" spans="1:12" ht="15" x14ac:dyDescent="0.25">
      <c r="A136" s="290"/>
      <c r="B136" s="290"/>
      <c r="C136" s="290"/>
      <c r="D136" s="290"/>
      <c r="E136" s="290"/>
      <c r="F136" s="290"/>
      <c r="G136" s="220">
        <f t="shared" si="10"/>
        <v>0</v>
      </c>
      <c r="H136" s="220">
        <f t="shared" si="11"/>
        <v>0</v>
      </c>
      <c r="I136" s="221" t="e">
        <f>IF(A136="Total",VLOOKUP(B136,CORRESPONDANCE[#All],2,FALSE),I137)</f>
        <v>#REF!</v>
      </c>
      <c r="J136" s="222" t="str">
        <f t="shared" si="8"/>
        <v/>
      </c>
      <c r="K136" s="44" t="str">
        <f t="shared" si="9"/>
        <v xml:space="preserve">VR7 - </v>
      </c>
      <c r="L136" s="44" t="e">
        <f>+VLOOKUP(K136,TL[],4,FALSE)</f>
        <v>#N/A</v>
      </c>
    </row>
    <row r="137" spans="1:12" ht="15" x14ac:dyDescent="0.25">
      <c r="A137" s="290"/>
      <c r="B137" s="290"/>
      <c r="C137" s="290"/>
      <c r="D137" s="290"/>
      <c r="E137" s="290"/>
      <c r="F137" s="290"/>
      <c r="G137" s="220">
        <f t="shared" si="10"/>
        <v>0</v>
      </c>
      <c r="H137" s="220">
        <f t="shared" si="11"/>
        <v>0</v>
      </c>
      <c r="I137" s="221" t="e">
        <f>IF(A137="Total",VLOOKUP(B137,CORRESPONDANCE[#All],2,FALSE),I138)</f>
        <v>#REF!</v>
      </c>
      <c r="J137" s="222" t="str">
        <f t="shared" si="8"/>
        <v/>
      </c>
      <c r="K137" s="44" t="str">
        <f t="shared" si="9"/>
        <v xml:space="preserve">VR7 - </v>
      </c>
      <c r="L137" s="44" t="e">
        <f>+VLOOKUP(K137,TL[],4,FALSE)</f>
        <v>#N/A</v>
      </c>
    </row>
    <row r="138" spans="1:12" ht="15" x14ac:dyDescent="0.25">
      <c r="A138" s="290"/>
      <c r="B138" s="290"/>
      <c r="C138" s="290"/>
      <c r="D138" s="290"/>
      <c r="E138" s="290"/>
      <c r="F138" s="290"/>
      <c r="G138" s="220">
        <f t="shared" si="10"/>
        <v>0</v>
      </c>
      <c r="H138" s="220">
        <f t="shared" si="11"/>
        <v>0</v>
      </c>
      <c r="I138" s="221" t="e">
        <f>IF(A138="Total",VLOOKUP(B138,CORRESPONDANCE[#All],2,FALSE),I139)</f>
        <v>#REF!</v>
      </c>
      <c r="J138" s="222" t="str">
        <f t="shared" si="8"/>
        <v/>
      </c>
      <c r="K138" s="44" t="str">
        <f t="shared" si="9"/>
        <v xml:space="preserve">VR7 - </v>
      </c>
      <c r="L138" s="44" t="e">
        <f>+VLOOKUP(K138,TL[],4,FALSE)</f>
        <v>#N/A</v>
      </c>
    </row>
    <row r="139" spans="1:12" ht="15" x14ac:dyDescent="0.25">
      <c r="A139" s="290"/>
      <c r="B139" s="290"/>
      <c r="C139" s="290"/>
      <c r="D139" s="290"/>
      <c r="E139" s="290"/>
      <c r="F139" s="290"/>
      <c r="G139" s="220">
        <f t="shared" si="10"/>
        <v>0</v>
      </c>
      <c r="H139" s="220">
        <f t="shared" si="11"/>
        <v>0</v>
      </c>
      <c r="I139" s="221" t="e">
        <f>IF(A139="Total",VLOOKUP(B139,CORRESPONDANCE[#All],2,FALSE),I140)</f>
        <v>#REF!</v>
      </c>
      <c r="J139" s="222" t="str">
        <f t="shared" si="8"/>
        <v/>
      </c>
      <c r="K139" s="44" t="str">
        <f t="shared" si="9"/>
        <v xml:space="preserve">VR7 - </v>
      </c>
      <c r="L139" s="44" t="e">
        <f>+VLOOKUP(K139,TL[],4,FALSE)</f>
        <v>#N/A</v>
      </c>
    </row>
    <row r="140" spans="1:12" ht="15" x14ac:dyDescent="0.25">
      <c r="A140" s="290"/>
      <c r="B140" s="290"/>
      <c r="C140" s="290"/>
      <c r="D140" s="290"/>
      <c r="E140" s="290"/>
      <c r="F140" s="290"/>
      <c r="G140" s="220">
        <f t="shared" si="10"/>
        <v>0</v>
      </c>
      <c r="H140" s="220">
        <f t="shared" si="11"/>
        <v>0</v>
      </c>
      <c r="I140" s="221" t="e">
        <f>IF(A140="Total",VLOOKUP(B140,CORRESPONDANCE[#All],2,FALSE),I141)</f>
        <v>#REF!</v>
      </c>
      <c r="J140" s="222" t="str">
        <f t="shared" si="8"/>
        <v/>
      </c>
      <c r="K140" s="44" t="str">
        <f t="shared" si="9"/>
        <v xml:space="preserve">VR7 - </v>
      </c>
      <c r="L140" s="44" t="e">
        <f>+VLOOKUP(K140,TL[],4,FALSE)</f>
        <v>#N/A</v>
      </c>
    </row>
    <row r="141" spans="1:12" ht="15" x14ac:dyDescent="0.25">
      <c r="A141" s="290"/>
      <c r="B141" s="290"/>
      <c r="C141" s="290"/>
      <c r="D141" s="290"/>
      <c r="E141" s="290"/>
      <c r="F141" s="290"/>
      <c r="G141" s="220">
        <f t="shared" si="10"/>
        <v>0</v>
      </c>
      <c r="H141" s="220">
        <f t="shared" si="11"/>
        <v>0</v>
      </c>
      <c r="I141" s="221" t="e">
        <f>IF(A141="Total",VLOOKUP(B141,CORRESPONDANCE[#All],2,FALSE),I142)</f>
        <v>#REF!</v>
      </c>
      <c r="J141" s="222" t="str">
        <f t="shared" si="8"/>
        <v/>
      </c>
      <c r="K141" s="44" t="str">
        <f t="shared" si="9"/>
        <v xml:space="preserve">VR7 - </v>
      </c>
      <c r="L141" s="44" t="e">
        <f>+VLOOKUP(K141,TL[],4,FALSE)</f>
        <v>#N/A</v>
      </c>
    </row>
    <row r="142" spans="1:12" ht="15" x14ac:dyDescent="0.25">
      <c r="A142" s="290"/>
      <c r="B142" s="290"/>
      <c r="C142" s="290"/>
      <c r="D142" s="290"/>
      <c r="E142" s="290"/>
      <c r="F142" s="290"/>
      <c r="G142" s="220">
        <f t="shared" si="10"/>
        <v>0</v>
      </c>
      <c r="H142" s="220">
        <f t="shared" si="11"/>
        <v>0</v>
      </c>
      <c r="I142" s="221" t="e">
        <f>IF(A142="Total",VLOOKUP(B142,CORRESPONDANCE[#All],2,FALSE),#REF!)</f>
        <v>#REF!</v>
      </c>
      <c r="J142" s="222" t="str">
        <f t="shared" si="8"/>
        <v/>
      </c>
      <c r="K142" s="44" t="str">
        <f t="shared" si="9"/>
        <v xml:space="preserve">VR7 - </v>
      </c>
      <c r="L142" s="44" t="e">
        <f>+VLOOKUP(K142,TL[],4,FALSE)</f>
        <v>#N/A</v>
      </c>
    </row>
    <row r="143" spans="1:12" ht="15" x14ac:dyDescent="0.25">
      <c r="A143" s="290"/>
      <c r="B143" s="290"/>
      <c r="C143" s="290"/>
      <c r="D143" s="290"/>
      <c r="E143" s="290"/>
      <c r="F143" s="290"/>
      <c r="G143" s="220">
        <f t="shared" si="10"/>
        <v>0</v>
      </c>
      <c r="H143" s="220">
        <f t="shared" si="11"/>
        <v>0</v>
      </c>
      <c r="I143" s="221">
        <f>IF(A143="Total",VLOOKUP(B143,CORRESPONDANCE[#All],2,FALSE),I144)</f>
        <v>0</v>
      </c>
      <c r="J143" s="222" t="str">
        <f t="shared" si="8"/>
        <v/>
      </c>
      <c r="K143" s="44" t="str">
        <f t="shared" si="9"/>
        <v xml:space="preserve">VR7 - </v>
      </c>
      <c r="L143" s="44" t="e">
        <f>+VLOOKUP(K143,TL[],4,FALSE)</f>
        <v>#N/A</v>
      </c>
    </row>
    <row r="144" spans="1:12" ht="15" x14ac:dyDescent="0.25">
      <c r="A144" s="290"/>
      <c r="B144" s="290"/>
      <c r="C144" s="290"/>
      <c r="D144" s="290"/>
      <c r="E144" s="290"/>
      <c r="F144" s="290"/>
      <c r="G144" s="220">
        <f t="shared" si="10"/>
        <v>0</v>
      </c>
      <c r="H144" s="220">
        <f t="shared" si="11"/>
        <v>0</v>
      </c>
      <c r="I144" s="221">
        <f>IF(A144="Total",VLOOKUP(B144,CORRESPONDANCE[#All],2,FALSE),I145)</f>
        <v>0</v>
      </c>
      <c r="J144" s="222" t="str">
        <f t="shared" si="8"/>
        <v/>
      </c>
      <c r="K144" s="44" t="str">
        <f t="shared" si="9"/>
        <v xml:space="preserve">VR7 - </v>
      </c>
      <c r="L144" s="44" t="e">
        <f>+VLOOKUP(K144,TL[],4,FALSE)</f>
        <v>#N/A</v>
      </c>
    </row>
    <row r="145" spans="1:12" ht="15" x14ac:dyDescent="0.25">
      <c r="A145" s="290"/>
      <c r="B145" s="290"/>
      <c r="C145" s="290"/>
      <c r="D145" s="290"/>
      <c r="E145" s="290"/>
      <c r="F145" s="290"/>
      <c r="G145" s="220">
        <f t="shared" si="10"/>
        <v>0</v>
      </c>
      <c r="H145" s="220">
        <f t="shared" si="11"/>
        <v>0</v>
      </c>
      <c r="I145" s="221">
        <f>IF(A145="Total",VLOOKUP(B145,CORRESPONDANCE[#All],2,FALSE),I146)</f>
        <v>0</v>
      </c>
      <c r="J145" s="222" t="str">
        <f t="shared" si="8"/>
        <v/>
      </c>
      <c r="K145" s="44" t="str">
        <f t="shared" si="9"/>
        <v xml:space="preserve">VR7 - </v>
      </c>
      <c r="L145" s="44" t="e">
        <f>+VLOOKUP(K145,TL[],4,FALSE)</f>
        <v>#N/A</v>
      </c>
    </row>
    <row r="146" spans="1:12" ht="15" x14ac:dyDescent="0.25">
      <c r="A146" s="290"/>
      <c r="B146" s="290"/>
      <c r="C146" s="290"/>
      <c r="D146" s="290"/>
      <c r="E146" s="290"/>
      <c r="F146" s="290"/>
      <c r="G146" s="220">
        <f t="shared" si="10"/>
        <v>0</v>
      </c>
      <c r="H146" s="220">
        <f t="shared" si="11"/>
        <v>0</v>
      </c>
      <c r="I146" s="221">
        <f>IF(A146="Total",VLOOKUP(B146,CORRESPONDANCE[#All],2,FALSE),I147)</f>
        <v>0</v>
      </c>
      <c r="J146" s="222" t="str">
        <f t="shared" si="8"/>
        <v/>
      </c>
      <c r="K146" s="44" t="str">
        <f t="shared" si="9"/>
        <v xml:space="preserve">VR7 - </v>
      </c>
      <c r="L146" s="44" t="e">
        <f>+VLOOKUP(K146,TL[],4,FALSE)</f>
        <v>#N/A</v>
      </c>
    </row>
    <row r="147" spans="1:12" ht="15" x14ac:dyDescent="0.25">
      <c r="A147" s="290"/>
      <c r="B147" s="290"/>
      <c r="C147" s="290"/>
      <c r="D147" s="290"/>
      <c r="E147" s="290"/>
      <c r="F147" s="290"/>
      <c r="G147" s="220">
        <f t="shared" si="10"/>
        <v>0</v>
      </c>
      <c r="H147" s="220">
        <f t="shared" si="11"/>
        <v>0</v>
      </c>
      <c r="I147" s="221">
        <f>IF(A147="Total",VLOOKUP(B147,CORRESPONDANCE[#All],2,FALSE),I148)</f>
        <v>0</v>
      </c>
      <c r="J147" s="222" t="str">
        <f t="shared" si="8"/>
        <v/>
      </c>
      <c r="K147" s="44" t="str">
        <f t="shared" si="9"/>
        <v xml:space="preserve">VR7 - </v>
      </c>
      <c r="L147" s="44" t="e">
        <f>+VLOOKUP(K147,TL[],4,FALSE)</f>
        <v>#N/A</v>
      </c>
    </row>
    <row r="148" spans="1:12" ht="15" x14ac:dyDescent="0.25">
      <c r="A148" s="290"/>
      <c r="B148" s="290"/>
      <c r="C148" s="290"/>
      <c r="D148" s="290"/>
      <c r="E148" s="290"/>
      <c r="F148" s="290"/>
      <c r="G148" s="220">
        <f t="shared" si="10"/>
        <v>0</v>
      </c>
      <c r="H148" s="220">
        <f t="shared" si="11"/>
        <v>0</v>
      </c>
      <c r="I148" s="221">
        <f>IF(A148="Total",VLOOKUP(B148,CORRESPONDANCE[#All],2,FALSE),I149)</f>
        <v>0</v>
      </c>
      <c r="J148" s="222" t="str">
        <f t="shared" si="8"/>
        <v/>
      </c>
      <c r="K148" s="44" t="str">
        <f t="shared" si="9"/>
        <v xml:space="preserve">VR7 - </v>
      </c>
      <c r="L148" s="44" t="e">
        <f>+VLOOKUP(K148,TL[],4,FALSE)</f>
        <v>#N/A</v>
      </c>
    </row>
    <row r="149" spans="1:12" ht="15" x14ac:dyDescent="0.25">
      <c r="A149" s="290"/>
      <c r="B149" s="290"/>
      <c r="C149" s="290"/>
      <c r="D149" s="290"/>
      <c r="E149" s="290"/>
      <c r="F149" s="290"/>
      <c r="G149" s="220">
        <f t="shared" si="10"/>
        <v>0</v>
      </c>
      <c r="H149" s="220">
        <f t="shared" si="11"/>
        <v>0</v>
      </c>
      <c r="I149" s="221">
        <f>IF(A149="Total",VLOOKUP(B149,CORRESPONDANCE[#All],2,FALSE),I150)</f>
        <v>0</v>
      </c>
      <c r="J149" s="222" t="str">
        <f t="shared" si="8"/>
        <v/>
      </c>
      <c r="K149" s="44" t="str">
        <f t="shared" si="9"/>
        <v xml:space="preserve">VR7 - </v>
      </c>
      <c r="L149" s="44" t="e">
        <f>+VLOOKUP(K149,TL[],4,FALSE)</f>
        <v>#N/A</v>
      </c>
    </row>
    <row r="150" spans="1:12" ht="15" x14ac:dyDescent="0.25">
      <c r="A150" s="290"/>
      <c r="B150" s="290"/>
      <c r="C150" s="290"/>
      <c r="D150" s="290"/>
      <c r="E150" s="290"/>
      <c r="F150" s="290"/>
      <c r="G150" s="220">
        <f t="shared" si="10"/>
        <v>0</v>
      </c>
      <c r="H150" s="220">
        <f t="shared" si="11"/>
        <v>0</v>
      </c>
      <c r="I150" s="221">
        <f>IF(A150="Total",VLOOKUP(B150,CORRESPONDANCE[#All],2,FALSE),I151)</f>
        <v>0</v>
      </c>
      <c r="J150" s="222" t="str">
        <f t="shared" si="8"/>
        <v/>
      </c>
      <c r="K150" s="44" t="str">
        <f t="shared" si="9"/>
        <v xml:space="preserve">VR7 - </v>
      </c>
      <c r="L150" s="44" t="e">
        <f>+VLOOKUP(K150,TL[],4,FALSE)</f>
        <v>#N/A</v>
      </c>
    </row>
    <row r="151" spans="1:12" ht="15" x14ac:dyDescent="0.25">
      <c r="A151" s="290"/>
      <c r="B151" s="290"/>
      <c r="C151" s="290"/>
      <c r="D151" s="290"/>
      <c r="E151" s="290"/>
      <c r="F151" s="290"/>
      <c r="G151" s="220">
        <f t="shared" si="10"/>
        <v>0</v>
      </c>
      <c r="H151" s="220">
        <f t="shared" si="11"/>
        <v>0</v>
      </c>
      <c r="I151" s="221">
        <f>IF(A151="Total",VLOOKUP(B151,CORRESPONDANCE[#All],2,FALSE),I152)</f>
        <v>0</v>
      </c>
      <c r="J151" s="222" t="str">
        <f t="shared" si="8"/>
        <v/>
      </c>
      <c r="K151" s="44" t="str">
        <f t="shared" si="9"/>
        <v xml:space="preserve">VR7 - </v>
      </c>
      <c r="L151" s="44" t="e">
        <f>+VLOOKUP(K151,TL[],4,FALSE)</f>
        <v>#N/A</v>
      </c>
    </row>
    <row r="152" spans="1:12" ht="15" x14ac:dyDescent="0.25">
      <c r="A152" s="290"/>
      <c r="B152" s="290"/>
      <c r="C152" s="290"/>
      <c r="D152" s="290"/>
      <c r="E152" s="290"/>
      <c r="F152" s="290"/>
      <c r="G152" s="220">
        <f t="shared" si="10"/>
        <v>0</v>
      </c>
      <c r="H152" s="220">
        <f t="shared" si="11"/>
        <v>0</v>
      </c>
      <c r="I152" s="221">
        <f>IF(A152="Total",VLOOKUP(B152,CORRESPONDANCE[#All],2,FALSE),I153)</f>
        <v>0</v>
      </c>
      <c r="J152" s="222" t="str">
        <f t="shared" si="8"/>
        <v/>
      </c>
      <c r="K152" s="44" t="str">
        <f t="shared" si="9"/>
        <v xml:space="preserve">VR7 - </v>
      </c>
      <c r="L152" s="44" t="e">
        <f>+VLOOKUP(K152,TL[],4,FALSE)</f>
        <v>#N/A</v>
      </c>
    </row>
    <row r="153" spans="1:12" ht="15" x14ac:dyDescent="0.25">
      <c r="A153" s="290"/>
      <c r="B153" s="290"/>
      <c r="C153" s="290"/>
      <c r="D153" s="290"/>
      <c r="E153" s="290"/>
      <c r="F153" s="290"/>
      <c r="G153" s="220">
        <f t="shared" si="10"/>
        <v>0</v>
      </c>
      <c r="H153" s="220">
        <f t="shared" si="11"/>
        <v>0</v>
      </c>
      <c r="I153" s="221">
        <f>IF(A153="Total",VLOOKUP(B153,CORRESPONDANCE[#All],2,FALSE),I154)</f>
        <v>0</v>
      </c>
      <c r="J153" s="222" t="str">
        <f t="shared" si="8"/>
        <v/>
      </c>
      <c r="K153" s="44" t="str">
        <f t="shared" si="9"/>
        <v xml:space="preserve">VR7 - </v>
      </c>
      <c r="L153" s="44" t="e">
        <f>+VLOOKUP(K153,TL[],4,FALSE)</f>
        <v>#N/A</v>
      </c>
    </row>
    <row r="154" spans="1:12" ht="15" x14ac:dyDescent="0.25">
      <c r="A154" s="290"/>
      <c r="B154" s="290"/>
      <c r="C154" s="290"/>
      <c r="D154" s="290"/>
      <c r="E154" s="290"/>
      <c r="F154" s="290"/>
      <c r="G154" s="220">
        <f t="shared" si="10"/>
        <v>0</v>
      </c>
      <c r="H154" s="220">
        <f t="shared" si="11"/>
        <v>0</v>
      </c>
      <c r="I154" s="221">
        <f>IF(A154="Total",VLOOKUP(B154,CORRESPONDANCE[#All],2,FALSE),I155)</f>
        <v>0</v>
      </c>
      <c r="J154" s="222" t="str">
        <f t="shared" si="8"/>
        <v/>
      </c>
      <c r="K154" s="44" t="str">
        <f t="shared" si="9"/>
        <v xml:space="preserve">VR7 - </v>
      </c>
      <c r="L154" s="44" t="e">
        <f>+VLOOKUP(K154,TL[],4,FALSE)</f>
        <v>#N/A</v>
      </c>
    </row>
    <row r="155" spans="1:12" ht="15" x14ac:dyDescent="0.25">
      <c r="A155" s="290"/>
      <c r="B155" s="290"/>
      <c r="C155" s="290"/>
      <c r="D155" s="290"/>
      <c r="E155" s="290"/>
      <c r="F155" s="290"/>
      <c r="G155" s="220">
        <f t="shared" si="10"/>
        <v>0</v>
      </c>
      <c r="H155" s="220">
        <f t="shared" si="11"/>
        <v>0</v>
      </c>
      <c r="I155" s="221">
        <f>IF(A155="Total",VLOOKUP(B155,CORRESPONDANCE[#All],2,FALSE),I156)</f>
        <v>0</v>
      </c>
      <c r="J155" s="222" t="str">
        <f t="shared" si="8"/>
        <v/>
      </c>
      <c r="K155" s="44" t="str">
        <f t="shared" si="9"/>
        <v xml:space="preserve">VR7 - </v>
      </c>
      <c r="L155" s="44" t="e">
        <f>+VLOOKUP(K155,TL[],4,FALSE)</f>
        <v>#N/A</v>
      </c>
    </row>
    <row r="156" spans="1:12" ht="15" x14ac:dyDescent="0.25">
      <c r="A156" s="290"/>
      <c r="B156" s="290"/>
      <c r="C156" s="290"/>
      <c r="D156" s="290"/>
      <c r="E156" s="290"/>
      <c r="F156" s="290"/>
      <c r="G156" s="220">
        <f t="shared" si="10"/>
        <v>0</v>
      </c>
      <c r="H156" s="220">
        <f t="shared" si="11"/>
        <v>0</v>
      </c>
      <c r="I156" s="221">
        <f>IF(A156="Total",VLOOKUP(B156,CORRESPONDANCE[#All],2,FALSE),I157)</f>
        <v>0</v>
      </c>
      <c r="J156" s="222" t="str">
        <f t="shared" si="8"/>
        <v/>
      </c>
      <c r="K156" s="44" t="str">
        <f t="shared" si="9"/>
        <v xml:space="preserve">VR7 - </v>
      </c>
      <c r="L156" s="44" t="e">
        <f>+VLOOKUP(K156,TL[],4,FALSE)</f>
        <v>#N/A</v>
      </c>
    </row>
    <row r="157" spans="1:12" ht="15" x14ac:dyDescent="0.25">
      <c r="A157" s="290"/>
      <c r="B157" s="290"/>
      <c r="C157" s="290"/>
      <c r="D157" s="290"/>
      <c r="E157" s="290"/>
      <c r="F157" s="290"/>
      <c r="G157" s="220">
        <f t="shared" si="10"/>
        <v>0</v>
      </c>
      <c r="H157" s="220">
        <f t="shared" si="11"/>
        <v>0</v>
      </c>
      <c r="I157" s="221">
        <f>IF(A157="Total",VLOOKUP(B157,CORRESPONDANCE[#All],2,FALSE),I158)</f>
        <v>0</v>
      </c>
      <c r="J157" s="222" t="str">
        <f t="shared" si="8"/>
        <v/>
      </c>
      <c r="K157" s="44" t="str">
        <f t="shared" si="9"/>
        <v xml:space="preserve">VR7 - </v>
      </c>
      <c r="L157" s="44" t="e">
        <f>+VLOOKUP(K157,TL[],4,FALSE)</f>
        <v>#N/A</v>
      </c>
    </row>
    <row r="158" spans="1:12" ht="15" x14ac:dyDescent="0.25">
      <c r="A158" s="290"/>
      <c r="B158" s="290"/>
      <c r="C158" s="290"/>
      <c r="D158" s="290"/>
      <c r="E158" s="290"/>
      <c r="F158" s="290"/>
      <c r="G158" s="220">
        <f t="shared" si="10"/>
        <v>0</v>
      </c>
      <c r="H158" s="220">
        <f t="shared" si="11"/>
        <v>0</v>
      </c>
      <c r="I158" s="221">
        <f>IF(A158="Total",VLOOKUP(B158,CORRESPONDANCE[#All],2,FALSE),I159)</f>
        <v>0</v>
      </c>
      <c r="J158" s="222" t="str">
        <f t="shared" si="8"/>
        <v/>
      </c>
      <c r="K158" s="44" t="str">
        <f t="shared" si="9"/>
        <v xml:space="preserve">VR7 - </v>
      </c>
      <c r="L158" s="44" t="e">
        <f>+VLOOKUP(K158,TL[],4,FALSE)</f>
        <v>#N/A</v>
      </c>
    </row>
    <row r="159" spans="1:12" ht="15" x14ac:dyDescent="0.25">
      <c r="A159" s="290"/>
      <c r="B159" s="290"/>
      <c r="C159" s="290"/>
      <c r="D159" s="290"/>
      <c r="E159" s="290"/>
      <c r="F159" s="290"/>
      <c r="G159" s="220">
        <f t="shared" si="10"/>
        <v>0</v>
      </c>
      <c r="H159" s="220">
        <f t="shared" si="11"/>
        <v>0</v>
      </c>
      <c r="I159" s="221">
        <f>IF(A159="Total",VLOOKUP(B159,CORRESPONDANCE[#All],2,FALSE),I160)</f>
        <v>0</v>
      </c>
      <c r="J159" s="222" t="str">
        <f t="shared" si="8"/>
        <v/>
      </c>
      <c r="K159" s="44" t="str">
        <f t="shared" si="9"/>
        <v xml:space="preserve">VR7 - </v>
      </c>
      <c r="L159" s="44" t="e">
        <f>+VLOOKUP(K159,TL[],4,FALSE)</f>
        <v>#N/A</v>
      </c>
    </row>
    <row r="160" spans="1:12" ht="15" x14ac:dyDescent="0.25">
      <c r="A160" s="290"/>
      <c r="B160" s="290"/>
      <c r="C160" s="290"/>
      <c r="D160" s="290"/>
      <c r="E160" s="290"/>
      <c r="F160" s="290"/>
      <c r="G160" s="220">
        <f t="shared" si="10"/>
        <v>0</v>
      </c>
      <c r="H160" s="220">
        <f t="shared" si="11"/>
        <v>0</v>
      </c>
      <c r="I160" s="221">
        <f>IF(A160="Total",VLOOKUP(B160,CORRESPONDANCE[#All],2,FALSE),I161)</f>
        <v>0</v>
      </c>
      <c r="J160" s="222" t="str">
        <f t="shared" si="8"/>
        <v/>
      </c>
      <c r="K160" s="44" t="str">
        <f t="shared" si="9"/>
        <v xml:space="preserve">VR7 - </v>
      </c>
      <c r="L160" s="44" t="e">
        <f>+VLOOKUP(K160,TL[],4,FALSE)</f>
        <v>#N/A</v>
      </c>
    </row>
    <row r="161" spans="1:12" ht="15" x14ac:dyDescent="0.25">
      <c r="A161" s="290"/>
      <c r="B161" s="290"/>
      <c r="C161" s="290"/>
      <c r="D161" s="290"/>
      <c r="E161" s="290"/>
      <c r="F161" s="290"/>
      <c r="G161" s="220">
        <f t="shared" si="10"/>
        <v>0</v>
      </c>
      <c r="H161" s="220">
        <f t="shared" si="11"/>
        <v>0</v>
      </c>
      <c r="I161" s="221">
        <f>IF(A161="Total",VLOOKUP(B161,CORRESPONDANCE[#All],2,FALSE),I162)</f>
        <v>0</v>
      </c>
      <c r="J161" s="222" t="str">
        <f t="shared" si="8"/>
        <v/>
      </c>
      <c r="K161" s="44" t="str">
        <f t="shared" si="9"/>
        <v xml:space="preserve">VR7 - </v>
      </c>
      <c r="L161" s="44" t="e">
        <f>+VLOOKUP(K161,TL[],4,FALSE)</f>
        <v>#N/A</v>
      </c>
    </row>
    <row r="162" spans="1:12" ht="15" x14ac:dyDescent="0.25">
      <c r="A162" s="290"/>
      <c r="B162" s="290"/>
      <c r="C162" s="290"/>
      <c r="D162" s="290"/>
      <c r="E162" s="290"/>
      <c r="F162" s="290"/>
      <c r="G162" s="220">
        <f t="shared" si="10"/>
        <v>0</v>
      </c>
      <c r="H162" s="220">
        <f t="shared" si="11"/>
        <v>0</v>
      </c>
      <c r="I162" s="221">
        <f>IF(A162="Total",VLOOKUP(B162,CORRESPONDANCE[#All],2,FALSE),I163)</f>
        <v>0</v>
      </c>
      <c r="J162" s="222" t="str">
        <f t="shared" si="8"/>
        <v/>
      </c>
      <c r="K162" s="44" t="str">
        <f t="shared" si="9"/>
        <v xml:space="preserve">VR7 - </v>
      </c>
      <c r="L162" s="44" t="e">
        <f>+VLOOKUP(K162,TL[],4,FALSE)</f>
        <v>#N/A</v>
      </c>
    </row>
    <row r="163" spans="1:12" ht="15" x14ac:dyDescent="0.25">
      <c r="A163" s="290"/>
      <c r="B163" s="290"/>
      <c r="C163" s="290"/>
      <c r="D163" s="290"/>
      <c r="E163" s="290"/>
      <c r="F163" s="290"/>
      <c r="G163" s="220">
        <f t="shared" si="10"/>
        <v>0</v>
      </c>
      <c r="H163" s="220">
        <f t="shared" si="11"/>
        <v>0</v>
      </c>
      <c r="I163" s="221">
        <f>IF(A163="Total",VLOOKUP(B163,CORRESPONDANCE[#All],2,FALSE),I164)</f>
        <v>0</v>
      </c>
      <c r="J163" s="222" t="str">
        <f t="shared" si="8"/>
        <v/>
      </c>
      <c r="K163" s="44" t="str">
        <f t="shared" si="9"/>
        <v xml:space="preserve">VR7 - </v>
      </c>
      <c r="L163" s="44" t="e">
        <f>+VLOOKUP(K163,TL[],4,FALSE)</f>
        <v>#N/A</v>
      </c>
    </row>
    <row r="164" spans="1:12" ht="15" x14ac:dyDescent="0.25">
      <c r="A164" s="290"/>
      <c r="B164" s="290"/>
      <c r="C164" s="290"/>
      <c r="D164" s="290"/>
      <c r="E164" s="290"/>
      <c r="F164" s="290"/>
      <c r="G164" s="220">
        <f t="shared" si="10"/>
        <v>0</v>
      </c>
      <c r="H164" s="220">
        <f t="shared" si="11"/>
        <v>0</v>
      </c>
      <c r="I164" s="221">
        <f>IF(A164="Total",VLOOKUP(B164,CORRESPONDANCE[#All],2,FALSE),I165)</f>
        <v>0</v>
      </c>
      <c r="J164" s="222" t="str">
        <f t="shared" si="8"/>
        <v/>
      </c>
      <c r="K164" s="44" t="str">
        <f t="shared" si="9"/>
        <v xml:space="preserve">VR7 - </v>
      </c>
      <c r="L164" s="44" t="e">
        <f>+VLOOKUP(K164,TL[],4,FALSE)</f>
        <v>#N/A</v>
      </c>
    </row>
    <row r="165" spans="1:12" ht="15" x14ac:dyDescent="0.25">
      <c r="A165" s="290"/>
      <c r="B165" s="290"/>
      <c r="C165" s="290"/>
      <c r="D165" s="290"/>
      <c r="E165" s="290"/>
      <c r="F165" s="290"/>
      <c r="G165" s="220">
        <f t="shared" si="10"/>
        <v>0</v>
      </c>
      <c r="H165" s="220">
        <f t="shared" si="11"/>
        <v>0</v>
      </c>
      <c r="I165" s="221">
        <f>IF(A165="Total",VLOOKUP(B165,CORRESPONDANCE[#All],2,FALSE),I166)</f>
        <v>0</v>
      </c>
      <c r="J165" s="222" t="str">
        <f t="shared" si="8"/>
        <v/>
      </c>
      <c r="K165" s="44" t="str">
        <f t="shared" si="9"/>
        <v xml:space="preserve">VR7 - </v>
      </c>
      <c r="L165" s="44" t="e">
        <f>+VLOOKUP(K165,TL[],4,FALSE)</f>
        <v>#N/A</v>
      </c>
    </row>
    <row r="166" spans="1:12" ht="15" x14ac:dyDescent="0.25">
      <c r="A166" s="290"/>
      <c r="B166" s="290"/>
      <c r="C166" s="290"/>
      <c r="D166" s="290"/>
      <c r="E166" s="290"/>
      <c r="F166" s="290"/>
      <c r="G166" s="220">
        <f t="shared" si="10"/>
        <v>0</v>
      </c>
      <c r="H166" s="220">
        <f t="shared" si="11"/>
        <v>0</v>
      </c>
      <c r="I166" s="221">
        <f>IF(A166="Total",VLOOKUP(B166,CORRESPONDANCE[#All],2,FALSE),I167)</f>
        <v>0</v>
      </c>
      <c r="J166" s="222" t="str">
        <f t="shared" si="8"/>
        <v/>
      </c>
      <c r="K166" s="44" t="str">
        <f t="shared" si="9"/>
        <v xml:space="preserve">VR7 - </v>
      </c>
      <c r="L166" s="44" t="e">
        <f>+VLOOKUP(K166,TL[],4,FALSE)</f>
        <v>#N/A</v>
      </c>
    </row>
    <row r="167" spans="1:12" ht="15" x14ac:dyDescent="0.25">
      <c r="A167" s="290"/>
      <c r="B167" s="290"/>
      <c r="C167" s="290"/>
      <c r="D167" s="290"/>
      <c r="E167" s="290"/>
      <c r="F167" s="290"/>
      <c r="G167" s="220">
        <f t="shared" si="10"/>
        <v>0</v>
      </c>
      <c r="H167" s="220">
        <f t="shared" si="11"/>
        <v>0</v>
      </c>
      <c r="I167" s="221">
        <f>IF(A167="Total",VLOOKUP(B167,CORRESPONDANCE[#All],2,FALSE),I168)</f>
        <v>0</v>
      </c>
      <c r="J167" s="222" t="str">
        <f t="shared" si="8"/>
        <v/>
      </c>
      <c r="K167" s="44" t="str">
        <f t="shared" si="9"/>
        <v xml:space="preserve">VR7 - </v>
      </c>
      <c r="L167" s="44" t="e">
        <f>+VLOOKUP(K167,TL[],4,FALSE)</f>
        <v>#N/A</v>
      </c>
    </row>
    <row r="168" spans="1:12" ht="15" x14ac:dyDescent="0.25">
      <c r="A168" s="290"/>
      <c r="B168" s="290"/>
      <c r="C168" s="290"/>
      <c r="D168" s="290"/>
      <c r="E168" s="290"/>
      <c r="F168" s="290"/>
      <c r="G168" s="220">
        <f t="shared" si="10"/>
        <v>0</v>
      </c>
      <c r="H168" s="220">
        <f t="shared" si="11"/>
        <v>0</v>
      </c>
      <c r="I168" s="221">
        <f>IF(A168="Total",VLOOKUP(B168,CORRESPONDANCE[#All],2,FALSE),I169)</f>
        <v>0</v>
      </c>
      <c r="J168" s="222" t="str">
        <f t="shared" si="8"/>
        <v/>
      </c>
      <c r="K168" s="44" t="str">
        <f t="shared" si="9"/>
        <v xml:space="preserve">VR7 - </v>
      </c>
      <c r="L168" s="44" t="e">
        <f>+VLOOKUP(K168,TL[],4,FALSE)</f>
        <v>#N/A</v>
      </c>
    </row>
    <row r="169" spans="1:12" ht="15" x14ac:dyDescent="0.25">
      <c r="A169" s="290"/>
      <c r="B169" s="290"/>
      <c r="C169" s="290"/>
      <c r="D169" s="290"/>
      <c r="E169" s="290"/>
      <c r="F169" s="290"/>
      <c r="G169" s="220">
        <f t="shared" si="10"/>
        <v>0</v>
      </c>
      <c r="H169" s="220">
        <f t="shared" si="11"/>
        <v>0</v>
      </c>
      <c r="I169" s="221">
        <f>IF(A169="Total",VLOOKUP(B169,CORRESPONDANCE[#All],2,FALSE),I170)</f>
        <v>0</v>
      </c>
      <c r="J169" s="222" t="str">
        <f t="shared" si="8"/>
        <v/>
      </c>
      <c r="K169" s="44" t="str">
        <f t="shared" si="9"/>
        <v xml:space="preserve">VR7 - </v>
      </c>
      <c r="L169" s="44" t="e">
        <f>+VLOOKUP(K169,TL[],4,FALSE)</f>
        <v>#N/A</v>
      </c>
    </row>
    <row r="170" spans="1:12" ht="15" x14ac:dyDescent="0.25">
      <c r="A170" s="290"/>
      <c r="B170" s="290"/>
      <c r="C170" s="290"/>
      <c r="D170" s="290"/>
      <c r="E170" s="290"/>
      <c r="F170" s="290"/>
      <c r="G170" s="220">
        <f t="shared" si="10"/>
        <v>0</v>
      </c>
      <c r="H170" s="220">
        <f t="shared" si="11"/>
        <v>0</v>
      </c>
      <c r="I170" s="221">
        <f>IF(A170="Total",VLOOKUP(B170,CORRESPONDANCE[#All],2,FALSE),I171)</f>
        <v>0</v>
      </c>
      <c r="J170" s="222" t="str">
        <f t="shared" si="8"/>
        <v/>
      </c>
      <c r="K170" s="44" t="str">
        <f t="shared" si="9"/>
        <v xml:space="preserve">VR7 - </v>
      </c>
      <c r="L170" s="44" t="e">
        <f>+VLOOKUP(K170,TL[],4,FALSE)</f>
        <v>#N/A</v>
      </c>
    </row>
    <row r="171" spans="1:12" ht="15" x14ac:dyDescent="0.25">
      <c r="A171" s="290"/>
      <c r="B171" s="290"/>
      <c r="C171" s="290"/>
      <c r="D171" s="290"/>
      <c r="E171" s="290"/>
      <c r="F171" s="290"/>
      <c r="G171" s="220">
        <f t="shared" si="10"/>
        <v>0</v>
      </c>
      <c r="H171" s="220">
        <f t="shared" si="11"/>
        <v>0</v>
      </c>
      <c r="I171" s="221">
        <f>IF(A171="Total",VLOOKUP(B171,CORRESPONDANCE[#All],2,FALSE),I172)</f>
        <v>0</v>
      </c>
      <c r="J171" s="222" t="str">
        <f t="shared" si="8"/>
        <v/>
      </c>
      <c r="K171" s="44" t="str">
        <f t="shared" si="9"/>
        <v xml:space="preserve">VR7 - </v>
      </c>
      <c r="L171" s="44" t="e">
        <f>+VLOOKUP(K171,TL[],4,FALSE)</f>
        <v>#N/A</v>
      </c>
    </row>
    <row r="172" spans="1:12" ht="15" x14ac:dyDescent="0.25">
      <c r="A172" s="290"/>
      <c r="B172" s="290"/>
      <c r="C172" s="290"/>
      <c r="D172" s="290"/>
      <c r="E172" s="290"/>
      <c r="F172" s="290"/>
      <c r="G172" s="220">
        <f t="shared" ref="G172:G189" si="12">SUM(C172)-SUM(D172)</f>
        <v>0</v>
      </c>
      <c r="H172" s="220">
        <f t="shared" ref="H172:H189" si="13">SUM(E172)-SUM(F172)</f>
        <v>0</v>
      </c>
      <c r="I172" s="221">
        <f>IF(A172="Total",VLOOKUP(B172,CORRESPONDANCE[#All],2,FALSE),I173)</f>
        <v>0</v>
      </c>
      <c r="J172" s="222" t="str">
        <f t="shared" ref="J172:J189" si="14">LEFT(A172,1)</f>
        <v/>
      </c>
      <c r="K172" s="44" t="str">
        <f t="shared" ref="K172:K189" si="15">"VR7"&amp;" - "&amp;A172</f>
        <v xml:space="preserve">VR7 - </v>
      </c>
      <c r="L172" s="44" t="e">
        <f>+VLOOKUP(K172,TL[],4,FALSE)</f>
        <v>#N/A</v>
      </c>
    </row>
    <row r="173" spans="1:12" ht="15" x14ac:dyDescent="0.25">
      <c r="A173" s="290"/>
      <c r="B173" s="290"/>
      <c r="C173" s="290"/>
      <c r="D173" s="290"/>
      <c r="E173" s="290"/>
      <c r="F173" s="290"/>
      <c r="G173" s="220">
        <f t="shared" si="12"/>
        <v>0</v>
      </c>
      <c r="H173" s="220">
        <f t="shared" si="13"/>
        <v>0</v>
      </c>
      <c r="I173" s="221">
        <f>IF(A173="Total",VLOOKUP(B173,CORRESPONDANCE[#All],2,FALSE),I174)</f>
        <v>0</v>
      </c>
      <c r="J173" s="222" t="str">
        <f t="shared" si="14"/>
        <v/>
      </c>
      <c r="K173" s="44" t="str">
        <f t="shared" si="15"/>
        <v xml:space="preserve">VR7 - </v>
      </c>
      <c r="L173" s="44" t="e">
        <f>+VLOOKUP(K173,TL[],4,FALSE)</f>
        <v>#N/A</v>
      </c>
    </row>
    <row r="174" spans="1:12" ht="15" x14ac:dyDescent="0.25">
      <c r="A174" s="290"/>
      <c r="B174" s="290"/>
      <c r="C174" s="290"/>
      <c r="D174" s="290"/>
      <c r="E174" s="290"/>
      <c r="F174" s="290"/>
      <c r="G174" s="220">
        <f t="shared" si="12"/>
        <v>0</v>
      </c>
      <c r="H174" s="220">
        <f t="shared" si="13"/>
        <v>0</v>
      </c>
      <c r="I174" s="221">
        <f>IF(A174="Total",VLOOKUP(B174,CORRESPONDANCE[#All],2,FALSE),I175)</f>
        <v>0</v>
      </c>
      <c r="J174" s="222" t="str">
        <f t="shared" si="14"/>
        <v/>
      </c>
      <c r="K174" s="44" t="str">
        <f t="shared" si="15"/>
        <v xml:space="preserve">VR7 - </v>
      </c>
      <c r="L174" s="44" t="e">
        <f>+VLOOKUP(K174,TL[],4,FALSE)</f>
        <v>#N/A</v>
      </c>
    </row>
    <row r="175" spans="1:12" ht="15" x14ac:dyDescent="0.25">
      <c r="A175" s="290"/>
      <c r="B175" s="290"/>
      <c r="C175" s="290"/>
      <c r="D175" s="290"/>
      <c r="E175" s="290"/>
      <c r="F175" s="290"/>
      <c r="G175" s="220">
        <f t="shared" si="12"/>
        <v>0</v>
      </c>
      <c r="H175" s="220">
        <f t="shared" si="13"/>
        <v>0</v>
      </c>
      <c r="I175" s="221">
        <f>IF(A175="Total",VLOOKUP(B175,CORRESPONDANCE[#All],2,FALSE),I176)</f>
        <v>0</v>
      </c>
      <c r="J175" s="222" t="str">
        <f t="shared" si="14"/>
        <v/>
      </c>
      <c r="K175" s="44" t="str">
        <f t="shared" si="15"/>
        <v xml:space="preserve">VR7 - </v>
      </c>
      <c r="L175" s="44" t="e">
        <f>+VLOOKUP(K175,TL[],4,FALSE)</f>
        <v>#N/A</v>
      </c>
    </row>
    <row r="176" spans="1:12" ht="15" x14ac:dyDescent="0.25">
      <c r="A176" s="290"/>
      <c r="B176" s="290"/>
      <c r="C176" s="290"/>
      <c r="D176" s="290"/>
      <c r="E176" s="290"/>
      <c r="F176" s="290"/>
      <c r="G176" s="220">
        <f t="shared" si="12"/>
        <v>0</v>
      </c>
      <c r="H176" s="220">
        <f t="shared" si="13"/>
        <v>0</v>
      </c>
      <c r="I176" s="221">
        <f>IF(A176="Total",VLOOKUP(B176,CORRESPONDANCE[#All],2,FALSE),I177)</f>
        <v>0</v>
      </c>
      <c r="J176" s="222" t="str">
        <f t="shared" si="14"/>
        <v/>
      </c>
      <c r="K176" s="44" t="str">
        <f t="shared" si="15"/>
        <v xml:space="preserve">VR7 - </v>
      </c>
      <c r="L176" s="44" t="e">
        <f>+VLOOKUP(K176,TL[],4,FALSE)</f>
        <v>#N/A</v>
      </c>
    </row>
    <row r="177" spans="1:12" ht="15" x14ac:dyDescent="0.25">
      <c r="A177" s="290"/>
      <c r="B177" s="290"/>
      <c r="C177" s="290"/>
      <c r="D177" s="290"/>
      <c r="E177" s="290"/>
      <c r="F177" s="290"/>
      <c r="G177" s="220">
        <f t="shared" si="12"/>
        <v>0</v>
      </c>
      <c r="H177" s="220">
        <f t="shared" si="13"/>
        <v>0</v>
      </c>
      <c r="I177" s="221">
        <f>IF(A177="Total",VLOOKUP(B177,CORRESPONDANCE[#All],2,FALSE),I178)</f>
        <v>0</v>
      </c>
      <c r="J177" s="222" t="str">
        <f t="shared" si="14"/>
        <v/>
      </c>
      <c r="K177" s="44" t="str">
        <f t="shared" si="15"/>
        <v xml:space="preserve">VR7 - </v>
      </c>
      <c r="L177" s="44" t="e">
        <f>+VLOOKUP(K177,TL[],4,FALSE)</f>
        <v>#N/A</v>
      </c>
    </row>
    <row r="178" spans="1:12" ht="15" x14ac:dyDescent="0.25">
      <c r="A178" s="290"/>
      <c r="B178" s="290"/>
      <c r="C178" s="290"/>
      <c r="D178" s="290"/>
      <c r="E178" s="290"/>
      <c r="F178" s="290"/>
      <c r="G178" s="220">
        <f t="shared" si="12"/>
        <v>0</v>
      </c>
      <c r="H178" s="220">
        <f t="shared" si="13"/>
        <v>0</v>
      </c>
      <c r="I178" s="221">
        <f>IF(A178="Total",VLOOKUP(B178,CORRESPONDANCE[#All],2,FALSE),I179)</f>
        <v>0</v>
      </c>
      <c r="J178" s="222" t="str">
        <f t="shared" si="14"/>
        <v/>
      </c>
      <c r="K178" s="44" t="str">
        <f t="shared" si="15"/>
        <v xml:space="preserve">VR7 - </v>
      </c>
      <c r="L178" s="44" t="e">
        <f>+VLOOKUP(K178,TL[],4,FALSE)</f>
        <v>#N/A</v>
      </c>
    </row>
    <row r="179" spans="1:12" ht="15" x14ac:dyDescent="0.25">
      <c r="A179" s="290"/>
      <c r="B179" s="290"/>
      <c r="C179" s="290"/>
      <c r="D179" s="290"/>
      <c r="E179" s="290"/>
      <c r="F179" s="290"/>
      <c r="G179" s="220">
        <f t="shared" si="12"/>
        <v>0</v>
      </c>
      <c r="H179" s="220">
        <f t="shared" si="13"/>
        <v>0</v>
      </c>
      <c r="I179" s="221">
        <f>IF(A179="Total",VLOOKUP(B179,CORRESPONDANCE[#All],2,FALSE),I180)</f>
        <v>0</v>
      </c>
      <c r="J179" s="222" t="str">
        <f t="shared" si="14"/>
        <v/>
      </c>
      <c r="K179" s="44" t="str">
        <f t="shared" si="15"/>
        <v xml:space="preserve">VR7 - </v>
      </c>
      <c r="L179" s="44" t="e">
        <f>+VLOOKUP(K179,TL[],4,FALSE)</f>
        <v>#N/A</v>
      </c>
    </row>
    <row r="180" spans="1:12" ht="15" x14ac:dyDescent="0.25">
      <c r="A180" s="290"/>
      <c r="B180" s="290"/>
      <c r="C180" s="290"/>
      <c r="D180" s="290"/>
      <c r="E180" s="290"/>
      <c r="F180" s="290"/>
      <c r="G180" s="220">
        <f t="shared" si="12"/>
        <v>0</v>
      </c>
      <c r="H180" s="220">
        <f t="shared" si="13"/>
        <v>0</v>
      </c>
      <c r="I180" s="221">
        <f>IF(A180="Total",VLOOKUP(B180,CORRESPONDANCE[#All],2,FALSE),I181)</f>
        <v>0</v>
      </c>
      <c r="J180" s="222" t="str">
        <f t="shared" si="14"/>
        <v/>
      </c>
      <c r="K180" s="44" t="str">
        <f t="shared" si="15"/>
        <v xml:space="preserve">VR7 - </v>
      </c>
      <c r="L180" s="44" t="e">
        <f>+VLOOKUP(K180,TL[],4,FALSE)</f>
        <v>#N/A</v>
      </c>
    </row>
    <row r="181" spans="1:12" ht="15" x14ac:dyDescent="0.25">
      <c r="A181" s="290"/>
      <c r="B181" s="290"/>
      <c r="C181" s="290"/>
      <c r="D181" s="290"/>
      <c r="E181" s="290"/>
      <c r="F181" s="290"/>
      <c r="G181" s="220">
        <f t="shared" si="12"/>
        <v>0</v>
      </c>
      <c r="H181" s="220">
        <f t="shared" si="13"/>
        <v>0</v>
      </c>
      <c r="I181" s="221">
        <f>IF(A181="Total",VLOOKUP(B181,CORRESPONDANCE[#All],2,FALSE),I182)</f>
        <v>0</v>
      </c>
      <c r="J181" s="222" t="str">
        <f t="shared" si="14"/>
        <v/>
      </c>
      <c r="K181" s="44" t="str">
        <f t="shared" si="15"/>
        <v xml:space="preserve">VR7 - </v>
      </c>
      <c r="L181" s="44" t="e">
        <f>+VLOOKUP(K181,TL[],4,FALSE)</f>
        <v>#N/A</v>
      </c>
    </row>
    <row r="182" spans="1:12" ht="15" x14ac:dyDescent="0.25">
      <c r="A182" s="290"/>
      <c r="B182" s="290"/>
      <c r="C182" s="290"/>
      <c r="D182" s="290"/>
      <c r="E182" s="290"/>
      <c r="F182" s="290"/>
      <c r="G182" s="220">
        <f t="shared" si="12"/>
        <v>0</v>
      </c>
      <c r="H182" s="220">
        <f t="shared" si="13"/>
        <v>0</v>
      </c>
      <c r="I182" s="221">
        <f>IF(A182="Total",VLOOKUP(B182,CORRESPONDANCE[#All],2,FALSE),I183)</f>
        <v>0</v>
      </c>
      <c r="J182" s="222" t="str">
        <f t="shared" si="14"/>
        <v/>
      </c>
      <c r="K182" s="44" t="str">
        <f t="shared" si="15"/>
        <v xml:space="preserve">VR7 - </v>
      </c>
      <c r="L182" s="44" t="e">
        <f>+VLOOKUP(K182,TL[],4,FALSE)</f>
        <v>#N/A</v>
      </c>
    </row>
    <row r="183" spans="1:12" ht="15" x14ac:dyDescent="0.25">
      <c r="A183" s="290"/>
      <c r="B183" s="290"/>
      <c r="C183" s="290"/>
      <c r="D183" s="290"/>
      <c r="E183" s="290"/>
      <c r="F183" s="290"/>
      <c r="G183" s="220">
        <f t="shared" si="12"/>
        <v>0</v>
      </c>
      <c r="H183" s="220">
        <f t="shared" si="13"/>
        <v>0</v>
      </c>
      <c r="I183" s="221">
        <f>IF(A183="Total",VLOOKUP(B183,CORRESPONDANCE[#All],2,FALSE),I184)</f>
        <v>0</v>
      </c>
      <c r="J183" s="222" t="str">
        <f t="shared" si="14"/>
        <v/>
      </c>
      <c r="K183" s="44" t="str">
        <f t="shared" si="15"/>
        <v xml:space="preserve">VR7 - </v>
      </c>
      <c r="L183" s="44" t="e">
        <f>+VLOOKUP(K183,TL[],4,FALSE)</f>
        <v>#N/A</v>
      </c>
    </row>
    <row r="184" spans="1:12" ht="15" x14ac:dyDescent="0.25">
      <c r="A184" s="290"/>
      <c r="B184" s="290"/>
      <c r="C184" s="290"/>
      <c r="D184" s="290"/>
      <c r="E184" s="290"/>
      <c r="F184" s="290"/>
      <c r="G184" s="220">
        <f t="shared" si="12"/>
        <v>0</v>
      </c>
      <c r="H184" s="220">
        <f t="shared" si="13"/>
        <v>0</v>
      </c>
      <c r="I184" s="221">
        <f>IF(A184="Total",VLOOKUP(B184,CORRESPONDANCE[#All],2,FALSE),I185)</f>
        <v>0</v>
      </c>
      <c r="J184" s="222" t="str">
        <f t="shared" si="14"/>
        <v/>
      </c>
      <c r="K184" s="44" t="str">
        <f t="shared" si="15"/>
        <v xml:space="preserve">VR7 - </v>
      </c>
      <c r="L184" s="44" t="e">
        <f>+VLOOKUP(K184,TL[],4,FALSE)</f>
        <v>#N/A</v>
      </c>
    </row>
    <row r="185" spans="1:12" ht="15" x14ac:dyDescent="0.25">
      <c r="A185" s="290"/>
      <c r="B185" s="290"/>
      <c r="C185" s="290"/>
      <c r="D185" s="290"/>
      <c r="E185" s="290"/>
      <c r="F185" s="290"/>
      <c r="G185" s="220">
        <f t="shared" si="12"/>
        <v>0</v>
      </c>
      <c r="H185" s="220">
        <f t="shared" si="13"/>
        <v>0</v>
      </c>
      <c r="I185" s="221">
        <f>IF(A185="Total",VLOOKUP(B185,CORRESPONDANCE[#All],2,FALSE),I186)</f>
        <v>0</v>
      </c>
      <c r="J185" s="222" t="str">
        <f t="shared" si="14"/>
        <v/>
      </c>
      <c r="K185" s="44" t="str">
        <f t="shared" si="15"/>
        <v xml:space="preserve">VR7 - </v>
      </c>
      <c r="L185" s="44" t="e">
        <f>+VLOOKUP(K185,TL[],4,FALSE)</f>
        <v>#N/A</v>
      </c>
    </row>
    <row r="186" spans="1:12" ht="15" x14ac:dyDescent="0.25">
      <c r="A186" s="290"/>
      <c r="B186" s="290"/>
      <c r="C186" s="290"/>
      <c r="D186" s="290"/>
      <c r="E186" s="290"/>
      <c r="F186" s="290"/>
      <c r="G186" s="220">
        <f t="shared" si="12"/>
        <v>0</v>
      </c>
      <c r="H186" s="220">
        <f t="shared" si="13"/>
        <v>0</v>
      </c>
      <c r="I186" s="221">
        <f>IF(A186="Total",VLOOKUP(B186,CORRESPONDANCE[#All],2,FALSE),I187)</f>
        <v>0</v>
      </c>
      <c r="J186" s="222" t="str">
        <f t="shared" si="14"/>
        <v/>
      </c>
      <c r="K186" s="44" t="str">
        <f t="shared" si="15"/>
        <v xml:space="preserve">VR7 - </v>
      </c>
      <c r="L186" s="44" t="e">
        <f>+VLOOKUP(K186,TL[],4,FALSE)</f>
        <v>#N/A</v>
      </c>
    </row>
    <row r="187" spans="1:12" ht="15" x14ac:dyDescent="0.25">
      <c r="A187" s="290"/>
      <c r="B187" s="290"/>
      <c r="C187" s="290"/>
      <c r="D187" s="290"/>
      <c r="E187" s="290"/>
      <c r="F187" s="290"/>
      <c r="G187" s="220">
        <f t="shared" si="12"/>
        <v>0</v>
      </c>
      <c r="H187" s="220">
        <f t="shared" si="13"/>
        <v>0</v>
      </c>
      <c r="I187" s="221">
        <f>IF(A187="Total",VLOOKUP(B187,CORRESPONDANCE[#All],2,FALSE),I188)</f>
        <v>0</v>
      </c>
      <c r="J187" s="222" t="str">
        <f t="shared" si="14"/>
        <v/>
      </c>
      <c r="K187" s="44" t="str">
        <f t="shared" si="15"/>
        <v xml:space="preserve">VR7 - </v>
      </c>
      <c r="L187" s="44" t="e">
        <f>+VLOOKUP(K187,TL[],4,FALSE)</f>
        <v>#N/A</v>
      </c>
    </row>
    <row r="188" spans="1:12" ht="15" x14ac:dyDescent="0.25">
      <c r="A188" s="290"/>
      <c r="B188" s="290"/>
      <c r="C188" s="290"/>
      <c r="D188" s="290"/>
      <c r="E188" s="290"/>
      <c r="F188" s="290"/>
      <c r="G188" s="220">
        <f t="shared" si="12"/>
        <v>0</v>
      </c>
      <c r="H188" s="220">
        <f t="shared" si="13"/>
        <v>0</v>
      </c>
      <c r="I188" s="221">
        <f>IF(A188="Total",VLOOKUP(B188,CORRESPONDANCE[#All],2,FALSE),I189)</f>
        <v>0</v>
      </c>
      <c r="J188" s="222" t="str">
        <f t="shared" si="14"/>
        <v/>
      </c>
      <c r="K188" s="44" t="str">
        <f t="shared" si="15"/>
        <v xml:space="preserve">VR7 - </v>
      </c>
      <c r="L188" s="44" t="e">
        <f>+VLOOKUP(K188,TL[],4,FALSE)</f>
        <v>#N/A</v>
      </c>
    </row>
    <row r="189" spans="1:12" ht="15" x14ac:dyDescent="0.25">
      <c r="A189" s="290"/>
      <c r="B189" s="290"/>
      <c r="C189" s="290"/>
      <c r="D189" s="290"/>
      <c r="E189" s="290"/>
      <c r="F189" s="290"/>
      <c r="G189" s="220">
        <f t="shared" si="12"/>
        <v>0</v>
      </c>
      <c r="H189" s="220">
        <f t="shared" si="13"/>
        <v>0</v>
      </c>
      <c r="I189" s="221">
        <f>IF(A189="Total",VLOOKUP(B189,CORRESPONDANCE[#All],2,FALSE),I190)</f>
        <v>0</v>
      </c>
      <c r="J189" s="222" t="str">
        <f t="shared" si="14"/>
        <v/>
      </c>
      <c r="K189" s="44" t="str">
        <f t="shared" si="15"/>
        <v xml:space="preserve">VR7 - </v>
      </c>
      <c r="L189" s="44" t="e">
        <f>+VLOOKUP(K189,TL[],4,FALSE)</f>
        <v>#N/A</v>
      </c>
    </row>
    <row r="190" spans="1:12" ht="15" x14ac:dyDescent="0.25">
      <c r="A190" s="290"/>
      <c r="B190" s="290"/>
      <c r="C190" s="290"/>
      <c r="D190" s="290"/>
      <c r="E190" s="290"/>
      <c r="F190" s="290"/>
      <c r="G190" s="220">
        <f>SUM(C190)-SUM(D190)</f>
        <v>0</v>
      </c>
      <c r="H190" s="220">
        <f>SUM(E190)-SUM(F190)</f>
        <v>0</v>
      </c>
      <c r="I190" s="221">
        <f>IF(A190="Total",VLOOKUP(B190,CORRESPONDANCE[#All],2,FALSE),I191)</f>
        <v>0</v>
      </c>
      <c r="J190" s="222" t="str">
        <f>LEFT(A190,1)</f>
        <v/>
      </c>
      <c r="K190" s="44" t="str">
        <f>"VR7"&amp;" - "&amp;A190</f>
        <v xml:space="preserve">VR7 - </v>
      </c>
      <c r="L190" s="44" t="e">
        <f>+VLOOKUP(K190,TL[],4,FALSE)</f>
        <v>#N/A</v>
      </c>
    </row>
    <row r="191" spans="1:12" ht="15" x14ac:dyDescent="0.25">
      <c r="A191" s="290"/>
      <c r="B191" s="290"/>
      <c r="C191" s="290"/>
      <c r="D191" s="290"/>
      <c r="E191" s="290"/>
      <c r="F191" s="290"/>
      <c r="G191" s="220">
        <f>SUM(C191)-SUM(D191)</f>
        <v>0</v>
      </c>
      <c r="H191" s="220">
        <f>SUM(E191)-SUM(F191)</f>
        <v>0</v>
      </c>
      <c r="I191" s="221">
        <f>IF(A191="Total",VLOOKUP(B191,CORRESPONDANCE[#All],2,FALSE),I192)</f>
        <v>0</v>
      </c>
      <c r="J191" s="222" t="str">
        <f>LEFT(A191,1)</f>
        <v/>
      </c>
      <c r="K191" s="44" t="str">
        <f>"VR7"&amp;" - "&amp;A191</f>
        <v xml:space="preserve">VR7 - </v>
      </c>
      <c r="L191" s="44" t="e">
        <f>+VLOOKUP(K191,TL[],4,FALSE)</f>
        <v>#N/A</v>
      </c>
    </row>
    <row r="192" spans="1:12" ht="15" x14ac:dyDescent="0.25">
      <c r="A192" s="290"/>
      <c r="B192" s="290"/>
      <c r="C192" s="290"/>
      <c r="D192" s="290"/>
      <c r="E192" s="290"/>
      <c r="F192" s="290"/>
      <c r="G192" s="220">
        <f>SUM(C192)-SUM(D192)</f>
        <v>0</v>
      </c>
      <c r="H192" s="220">
        <f>SUM(E192)-SUM(F192)</f>
        <v>0</v>
      </c>
      <c r="I192" s="221">
        <f>IF(A192="Total",VLOOKUP(B192,CORRESPONDANCE[#All],2,FALSE),I193)</f>
        <v>0</v>
      </c>
      <c r="J192" s="222" t="str">
        <f>LEFT(A192,1)</f>
        <v/>
      </c>
      <c r="K192" s="44" t="str">
        <f>"VR7"&amp;" - "&amp;A192</f>
        <v xml:space="preserve">VR7 - </v>
      </c>
      <c r="L192" s="44" t="e">
        <f>+VLOOKUP(K192,TL[],4,FALSE)</f>
        <v>#N/A</v>
      </c>
    </row>
    <row r="193" spans="1:12" ht="15" x14ac:dyDescent="0.25">
      <c r="A193" s="290"/>
      <c r="B193" s="290"/>
      <c r="C193" s="290"/>
      <c r="D193" s="290"/>
      <c r="E193" s="290"/>
      <c r="F193" s="290"/>
      <c r="G193" s="220">
        <f>SUM(C193)-SUM(D193)</f>
        <v>0</v>
      </c>
      <c r="H193" s="220">
        <f>SUM(E193)-SUM(F193)</f>
        <v>0</v>
      </c>
      <c r="I193" s="221">
        <f>IF(A193="Total",VLOOKUP(B193,CORRESPONDANCE[#All],2,FALSE),I194)</f>
        <v>0</v>
      </c>
      <c r="J193" s="222" t="str">
        <f>LEFT(A193,1)</f>
        <v/>
      </c>
      <c r="K193" s="44" t="str">
        <f>"VR7"&amp;" - "&amp;A193</f>
        <v xml:space="preserve">VR7 - </v>
      </c>
      <c r="L193" s="44" t="e">
        <f>+VLOOKUP(K193,TL[],4,FALSE)</f>
        <v>#N/A</v>
      </c>
    </row>
    <row r="194" spans="1:12" ht="15" x14ac:dyDescent="0.25">
      <c r="A194" s="290"/>
      <c r="B194" s="290"/>
      <c r="C194" s="290"/>
      <c r="D194" s="290"/>
      <c r="E194" s="290"/>
      <c r="F194" s="290"/>
      <c r="G194" s="220">
        <f t="shared" ref="G194:G257" si="16">SUM(C194)-SUM(D194)</f>
        <v>0</v>
      </c>
      <c r="H194" s="220">
        <f t="shared" ref="H194:H257" si="17">SUM(E194)-SUM(F194)</f>
        <v>0</v>
      </c>
      <c r="I194" s="221">
        <f>IF(A194="Total",VLOOKUP(B194,CORRESPONDANCE[#All],2,FALSE),I195)</f>
        <v>0</v>
      </c>
      <c r="J194" s="222" t="str">
        <f t="shared" ref="J194:J257" si="18">LEFT(A194,1)</f>
        <v/>
      </c>
      <c r="K194" s="44" t="str">
        <f t="shared" ref="K194:K257" si="19">"VR7"&amp;" - "&amp;A194</f>
        <v xml:space="preserve">VR7 - </v>
      </c>
      <c r="L194" s="44" t="e">
        <f>+VLOOKUP(K194,TL[],4,FALSE)</f>
        <v>#N/A</v>
      </c>
    </row>
    <row r="195" spans="1:12" ht="15" x14ac:dyDescent="0.25">
      <c r="A195" s="290"/>
      <c r="B195" s="290"/>
      <c r="C195" s="290"/>
      <c r="D195" s="290"/>
      <c r="E195" s="290"/>
      <c r="F195" s="290"/>
      <c r="G195" s="220">
        <f t="shared" si="16"/>
        <v>0</v>
      </c>
      <c r="H195" s="220">
        <f t="shared" si="17"/>
        <v>0</v>
      </c>
      <c r="I195" s="221">
        <f>IF(A195="Total",VLOOKUP(B195,CORRESPONDANCE[#All],2,FALSE),I196)</f>
        <v>0</v>
      </c>
      <c r="J195" s="222" t="str">
        <f t="shared" si="18"/>
        <v/>
      </c>
      <c r="K195" s="44" t="str">
        <f t="shared" si="19"/>
        <v xml:space="preserve">VR7 - </v>
      </c>
      <c r="L195" s="44" t="e">
        <f>+VLOOKUP(K195,TL[],4,FALSE)</f>
        <v>#N/A</v>
      </c>
    </row>
    <row r="196" spans="1:12" ht="15" x14ac:dyDescent="0.25">
      <c r="A196" s="290"/>
      <c r="B196" s="290"/>
      <c r="C196" s="290"/>
      <c r="D196" s="290"/>
      <c r="E196" s="290"/>
      <c r="F196" s="290"/>
      <c r="G196" s="220">
        <f t="shared" si="16"/>
        <v>0</v>
      </c>
      <c r="H196" s="220">
        <f t="shared" si="17"/>
        <v>0</v>
      </c>
      <c r="I196" s="221">
        <f>IF(A196="Total",VLOOKUP(B196,CORRESPONDANCE[#All],2,FALSE),I197)</f>
        <v>0</v>
      </c>
      <c r="J196" s="222" t="str">
        <f t="shared" si="18"/>
        <v/>
      </c>
      <c r="K196" s="44" t="str">
        <f t="shared" si="19"/>
        <v xml:space="preserve">VR7 - </v>
      </c>
      <c r="L196" s="44" t="e">
        <f>+VLOOKUP(K196,TL[],4,FALSE)</f>
        <v>#N/A</v>
      </c>
    </row>
    <row r="197" spans="1:12" ht="15" x14ac:dyDescent="0.25">
      <c r="A197" s="290"/>
      <c r="B197" s="290"/>
      <c r="C197" s="290"/>
      <c r="D197" s="290"/>
      <c r="E197" s="290"/>
      <c r="F197" s="290"/>
      <c r="G197" s="220">
        <f t="shared" si="16"/>
        <v>0</v>
      </c>
      <c r="H197" s="220">
        <f t="shared" si="17"/>
        <v>0</v>
      </c>
      <c r="I197" s="221">
        <f>IF(A197="Total",VLOOKUP(B197,CORRESPONDANCE[#All],2,FALSE),I198)</f>
        <v>0</v>
      </c>
      <c r="J197" s="222" t="str">
        <f t="shared" si="18"/>
        <v/>
      </c>
      <c r="K197" s="44" t="str">
        <f t="shared" si="19"/>
        <v xml:space="preserve">VR7 - </v>
      </c>
      <c r="L197" s="44" t="e">
        <f>+VLOOKUP(K197,TL[],4,FALSE)</f>
        <v>#N/A</v>
      </c>
    </row>
    <row r="198" spans="1:12" ht="15" x14ac:dyDescent="0.25">
      <c r="A198" s="290"/>
      <c r="B198" s="290"/>
      <c r="C198" s="290"/>
      <c r="D198" s="290"/>
      <c r="E198" s="290"/>
      <c r="F198" s="290"/>
      <c r="G198" s="220">
        <f t="shared" si="16"/>
        <v>0</v>
      </c>
      <c r="H198" s="220">
        <f t="shared" si="17"/>
        <v>0</v>
      </c>
      <c r="I198" s="221">
        <f>IF(A198="Total",VLOOKUP(B198,CORRESPONDANCE[#All],2,FALSE),I199)</f>
        <v>0</v>
      </c>
      <c r="J198" s="222" t="str">
        <f t="shared" si="18"/>
        <v/>
      </c>
      <c r="K198" s="44" t="str">
        <f t="shared" si="19"/>
        <v xml:space="preserve">VR7 - </v>
      </c>
      <c r="L198" s="44" t="e">
        <f>+VLOOKUP(K198,TL[],4,FALSE)</f>
        <v>#N/A</v>
      </c>
    </row>
    <row r="199" spans="1:12" ht="15" x14ac:dyDescent="0.25">
      <c r="A199" s="290"/>
      <c r="B199" s="290"/>
      <c r="C199" s="290"/>
      <c r="D199" s="290"/>
      <c r="E199" s="290"/>
      <c r="F199" s="290"/>
      <c r="G199" s="220">
        <f t="shared" si="16"/>
        <v>0</v>
      </c>
      <c r="H199" s="220">
        <f t="shared" si="17"/>
        <v>0</v>
      </c>
      <c r="I199" s="221">
        <f>IF(A199="Total",VLOOKUP(B199,CORRESPONDANCE[#All],2,FALSE),I200)</f>
        <v>0</v>
      </c>
      <c r="J199" s="222" t="str">
        <f t="shared" si="18"/>
        <v/>
      </c>
      <c r="K199" s="44" t="str">
        <f t="shared" si="19"/>
        <v xml:space="preserve">VR7 - </v>
      </c>
      <c r="L199" s="44" t="e">
        <f>+VLOOKUP(K199,TL[],4,FALSE)</f>
        <v>#N/A</v>
      </c>
    </row>
    <row r="200" spans="1:12" ht="15" x14ac:dyDescent="0.25">
      <c r="A200" s="290"/>
      <c r="B200" s="290"/>
      <c r="C200" s="290"/>
      <c r="D200" s="290"/>
      <c r="E200" s="290"/>
      <c r="F200" s="290"/>
      <c r="G200" s="220">
        <f t="shared" si="16"/>
        <v>0</v>
      </c>
      <c r="H200" s="220">
        <f t="shared" si="17"/>
        <v>0</v>
      </c>
      <c r="I200" s="221">
        <f>IF(A200="Total",VLOOKUP(B200,CORRESPONDANCE[#All],2,FALSE),I201)</f>
        <v>0</v>
      </c>
      <c r="J200" s="222" t="str">
        <f t="shared" si="18"/>
        <v/>
      </c>
      <c r="K200" s="44" t="str">
        <f t="shared" si="19"/>
        <v xml:space="preserve">VR7 - </v>
      </c>
      <c r="L200" s="44" t="e">
        <f>+VLOOKUP(K200,TL[],4,FALSE)</f>
        <v>#N/A</v>
      </c>
    </row>
    <row r="201" spans="1:12" ht="15" x14ac:dyDescent="0.25">
      <c r="A201" s="290"/>
      <c r="B201" s="290"/>
      <c r="C201" s="290"/>
      <c r="D201" s="290"/>
      <c r="E201" s="290"/>
      <c r="F201" s="290"/>
      <c r="G201" s="220">
        <f t="shared" si="16"/>
        <v>0</v>
      </c>
      <c r="H201" s="220">
        <f t="shared" si="17"/>
        <v>0</v>
      </c>
      <c r="I201" s="221">
        <f>IF(A201="Total",VLOOKUP(B201,CORRESPONDANCE[#All],2,FALSE),I202)</f>
        <v>0</v>
      </c>
      <c r="J201" s="222" t="str">
        <f t="shared" si="18"/>
        <v/>
      </c>
      <c r="K201" s="44" t="str">
        <f t="shared" si="19"/>
        <v xml:space="preserve">VR7 - </v>
      </c>
      <c r="L201" s="44" t="e">
        <f>+VLOOKUP(K201,TL[],4,FALSE)</f>
        <v>#N/A</v>
      </c>
    </row>
    <row r="202" spans="1:12" ht="15" x14ac:dyDescent="0.25">
      <c r="A202" s="290"/>
      <c r="B202" s="290"/>
      <c r="C202" s="290"/>
      <c r="D202" s="290"/>
      <c r="E202" s="290"/>
      <c r="F202" s="290"/>
      <c r="G202" s="220">
        <f t="shared" si="16"/>
        <v>0</v>
      </c>
      <c r="H202" s="220">
        <f t="shared" si="17"/>
        <v>0</v>
      </c>
      <c r="I202" s="221">
        <f>IF(A202="Total",VLOOKUP(B202,CORRESPONDANCE[#All],2,FALSE),I203)</f>
        <v>0</v>
      </c>
      <c r="J202" s="222" t="str">
        <f t="shared" si="18"/>
        <v/>
      </c>
      <c r="K202" s="44" t="str">
        <f t="shared" si="19"/>
        <v xml:space="preserve">VR7 - </v>
      </c>
      <c r="L202" s="44" t="e">
        <f>+VLOOKUP(K202,TL[],4,FALSE)</f>
        <v>#N/A</v>
      </c>
    </row>
    <row r="203" spans="1:12" ht="15" x14ac:dyDescent="0.25">
      <c r="A203" s="290"/>
      <c r="B203" s="290"/>
      <c r="C203" s="290"/>
      <c r="D203" s="290"/>
      <c r="E203" s="290"/>
      <c r="F203" s="290"/>
      <c r="G203" s="220">
        <f t="shared" si="16"/>
        <v>0</v>
      </c>
      <c r="H203" s="220">
        <f t="shared" si="17"/>
        <v>0</v>
      </c>
      <c r="I203" s="221">
        <f>IF(A203="Total",VLOOKUP(B203,CORRESPONDANCE[#All],2,FALSE),I204)</f>
        <v>0</v>
      </c>
      <c r="J203" s="222" t="str">
        <f t="shared" si="18"/>
        <v/>
      </c>
      <c r="K203" s="44" t="str">
        <f t="shared" si="19"/>
        <v xml:space="preserve">VR7 - </v>
      </c>
      <c r="L203" s="44" t="e">
        <f>+VLOOKUP(K203,TL[],4,FALSE)</f>
        <v>#N/A</v>
      </c>
    </row>
    <row r="204" spans="1:12" ht="15" x14ac:dyDescent="0.25">
      <c r="A204" s="290"/>
      <c r="B204" s="290"/>
      <c r="C204" s="290"/>
      <c r="D204" s="290"/>
      <c r="E204" s="290"/>
      <c r="F204" s="290"/>
      <c r="G204" s="220">
        <f t="shared" si="16"/>
        <v>0</v>
      </c>
      <c r="H204" s="220">
        <f t="shared" si="17"/>
        <v>0</v>
      </c>
      <c r="I204" s="221">
        <f>IF(A204="Total",VLOOKUP(B204,CORRESPONDANCE[#All],2,FALSE),I205)</f>
        <v>0</v>
      </c>
      <c r="J204" s="222" t="str">
        <f t="shared" si="18"/>
        <v/>
      </c>
      <c r="K204" s="44" t="str">
        <f t="shared" si="19"/>
        <v xml:space="preserve">VR7 - </v>
      </c>
      <c r="L204" s="44" t="e">
        <f>+VLOOKUP(K204,TL[],4,FALSE)</f>
        <v>#N/A</v>
      </c>
    </row>
    <row r="205" spans="1:12" ht="15" x14ac:dyDescent="0.25">
      <c r="A205" s="290"/>
      <c r="B205" s="290"/>
      <c r="C205" s="290"/>
      <c r="D205" s="290"/>
      <c r="E205" s="290"/>
      <c r="F205" s="290"/>
      <c r="G205" s="220">
        <f t="shared" si="16"/>
        <v>0</v>
      </c>
      <c r="H205" s="220">
        <f t="shared" si="17"/>
        <v>0</v>
      </c>
      <c r="I205" s="221">
        <f>IF(A205="Total",VLOOKUP(B205,CORRESPONDANCE[#All],2,FALSE),I206)</f>
        <v>0</v>
      </c>
      <c r="J205" s="222" t="str">
        <f t="shared" si="18"/>
        <v/>
      </c>
      <c r="K205" s="44" t="str">
        <f t="shared" si="19"/>
        <v xml:space="preserve">VR7 - </v>
      </c>
      <c r="L205" s="44" t="e">
        <f>+VLOOKUP(K205,TL[],4,FALSE)</f>
        <v>#N/A</v>
      </c>
    </row>
    <row r="206" spans="1:12" ht="15" x14ac:dyDescent="0.25">
      <c r="A206" s="290"/>
      <c r="B206" s="290"/>
      <c r="C206" s="290"/>
      <c r="D206" s="290"/>
      <c r="E206" s="290"/>
      <c r="F206" s="290"/>
      <c r="G206" s="220">
        <f t="shared" si="16"/>
        <v>0</v>
      </c>
      <c r="H206" s="220">
        <f t="shared" si="17"/>
        <v>0</v>
      </c>
      <c r="I206" s="221">
        <f>IF(A206="Total",VLOOKUP(B206,CORRESPONDANCE[#All],2,FALSE),I207)</f>
        <v>0</v>
      </c>
      <c r="J206" s="222" t="str">
        <f t="shared" si="18"/>
        <v/>
      </c>
      <c r="K206" s="44" t="str">
        <f t="shared" si="19"/>
        <v xml:space="preserve">VR7 - </v>
      </c>
      <c r="L206" s="44" t="e">
        <f>+VLOOKUP(K206,TL[],4,FALSE)</f>
        <v>#N/A</v>
      </c>
    </row>
    <row r="207" spans="1:12" ht="15" x14ac:dyDescent="0.25">
      <c r="A207" s="290"/>
      <c r="B207" s="290"/>
      <c r="C207" s="290"/>
      <c r="D207" s="290"/>
      <c r="E207" s="290"/>
      <c r="F207" s="290"/>
      <c r="G207" s="220">
        <f t="shared" si="16"/>
        <v>0</v>
      </c>
      <c r="H207" s="220">
        <f t="shared" si="17"/>
        <v>0</v>
      </c>
      <c r="I207" s="221">
        <f>IF(A207="Total",VLOOKUP(B207,CORRESPONDANCE[#All],2,FALSE),I208)</f>
        <v>0</v>
      </c>
      <c r="J207" s="222" t="str">
        <f t="shared" si="18"/>
        <v/>
      </c>
      <c r="K207" s="44" t="str">
        <f t="shared" si="19"/>
        <v xml:space="preserve">VR7 - </v>
      </c>
      <c r="L207" s="44" t="e">
        <f>+VLOOKUP(K207,TL[],4,FALSE)</f>
        <v>#N/A</v>
      </c>
    </row>
    <row r="208" spans="1:12" ht="15" x14ac:dyDescent="0.25">
      <c r="A208" s="290"/>
      <c r="B208" s="290"/>
      <c r="C208" s="290"/>
      <c r="D208" s="290"/>
      <c r="E208" s="290"/>
      <c r="F208" s="290"/>
      <c r="G208" s="220">
        <f t="shared" si="16"/>
        <v>0</v>
      </c>
      <c r="H208" s="220">
        <f t="shared" si="17"/>
        <v>0</v>
      </c>
      <c r="I208" s="221">
        <f>IF(A208="Total",VLOOKUP(B208,CORRESPONDANCE[#All],2,FALSE),I209)</f>
        <v>0</v>
      </c>
      <c r="J208" s="222" t="str">
        <f t="shared" si="18"/>
        <v/>
      </c>
      <c r="K208" s="44" t="str">
        <f t="shared" si="19"/>
        <v xml:space="preserve">VR7 - </v>
      </c>
      <c r="L208" s="44" t="e">
        <f>+VLOOKUP(K208,TL[],4,FALSE)</f>
        <v>#N/A</v>
      </c>
    </row>
    <row r="209" spans="1:12" ht="15" x14ac:dyDescent="0.25">
      <c r="A209" s="290"/>
      <c r="B209" s="290"/>
      <c r="C209" s="290"/>
      <c r="D209" s="290"/>
      <c r="E209" s="290"/>
      <c r="F209" s="290"/>
      <c r="G209" s="220">
        <f t="shared" si="16"/>
        <v>0</v>
      </c>
      <c r="H209" s="220">
        <f t="shared" si="17"/>
        <v>0</v>
      </c>
      <c r="I209" s="221">
        <f>IF(A209="Total",VLOOKUP(B209,CORRESPONDANCE[#All],2,FALSE),I210)</f>
        <v>0</v>
      </c>
      <c r="J209" s="222" t="str">
        <f t="shared" si="18"/>
        <v/>
      </c>
      <c r="K209" s="44" t="str">
        <f t="shared" si="19"/>
        <v xml:space="preserve">VR7 - </v>
      </c>
      <c r="L209" s="44" t="e">
        <f>+VLOOKUP(K209,TL[],4,FALSE)</f>
        <v>#N/A</v>
      </c>
    </row>
    <row r="210" spans="1:12" ht="15" x14ac:dyDescent="0.25">
      <c r="A210" s="290"/>
      <c r="B210" s="290"/>
      <c r="C210" s="290"/>
      <c r="D210" s="290"/>
      <c r="E210" s="290"/>
      <c r="F210" s="290"/>
      <c r="G210" s="220">
        <f t="shared" si="16"/>
        <v>0</v>
      </c>
      <c r="H210" s="220">
        <f t="shared" si="17"/>
        <v>0</v>
      </c>
      <c r="I210" s="221">
        <f>IF(A210="Total",VLOOKUP(B210,CORRESPONDANCE[#All],2,FALSE),I211)</f>
        <v>0</v>
      </c>
      <c r="J210" s="222" t="str">
        <f t="shared" si="18"/>
        <v/>
      </c>
      <c r="K210" s="44" t="str">
        <f t="shared" si="19"/>
        <v xml:space="preserve">VR7 - </v>
      </c>
      <c r="L210" s="44" t="e">
        <f>+VLOOKUP(K210,TL[],4,FALSE)</f>
        <v>#N/A</v>
      </c>
    </row>
    <row r="211" spans="1:12" ht="15" x14ac:dyDescent="0.25">
      <c r="A211" s="290"/>
      <c r="B211" s="290"/>
      <c r="C211" s="290"/>
      <c r="D211" s="290"/>
      <c r="E211" s="290"/>
      <c r="F211" s="290"/>
      <c r="G211" s="220">
        <f t="shared" si="16"/>
        <v>0</v>
      </c>
      <c r="H211" s="220">
        <f t="shared" si="17"/>
        <v>0</v>
      </c>
      <c r="I211" s="221">
        <f>IF(A211="Total",VLOOKUP(B211,CORRESPONDANCE[#All],2,FALSE),I212)</f>
        <v>0</v>
      </c>
      <c r="J211" s="222" t="str">
        <f t="shared" si="18"/>
        <v/>
      </c>
      <c r="K211" s="44" t="str">
        <f t="shared" si="19"/>
        <v xml:space="preserve">VR7 - </v>
      </c>
      <c r="L211" s="44" t="e">
        <f>+VLOOKUP(K211,TL[],4,FALSE)</f>
        <v>#N/A</v>
      </c>
    </row>
    <row r="212" spans="1:12" ht="15" x14ac:dyDescent="0.25">
      <c r="A212" s="290"/>
      <c r="B212" s="290"/>
      <c r="C212" s="290"/>
      <c r="D212" s="290"/>
      <c r="E212" s="290"/>
      <c r="F212" s="290"/>
      <c r="G212" s="220">
        <f t="shared" si="16"/>
        <v>0</v>
      </c>
      <c r="H212" s="220">
        <f t="shared" si="17"/>
        <v>0</v>
      </c>
      <c r="I212" s="221">
        <f>IF(A212="Total",VLOOKUP(B212,CORRESPONDANCE[#All],2,FALSE),I213)</f>
        <v>0</v>
      </c>
      <c r="J212" s="222" t="str">
        <f t="shared" si="18"/>
        <v/>
      </c>
      <c r="K212" s="44" t="str">
        <f t="shared" si="19"/>
        <v xml:space="preserve">VR7 - </v>
      </c>
      <c r="L212" s="44" t="e">
        <f>+VLOOKUP(K212,TL[],4,FALSE)</f>
        <v>#N/A</v>
      </c>
    </row>
    <row r="213" spans="1:12" ht="15" x14ac:dyDescent="0.25">
      <c r="A213" s="290"/>
      <c r="B213" s="290"/>
      <c r="C213" s="290"/>
      <c r="D213" s="290"/>
      <c r="E213" s="290"/>
      <c r="F213" s="290"/>
      <c r="G213" s="220">
        <f t="shared" si="16"/>
        <v>0</v>
      </c>
      <c r="H213" s="220">
        <f t="shared" si="17"/>
        <v>0</v>
      </c>
      <c r="I213" s="221">
        <f>IF(A213="Total",VLOOKUP(B213,CORRESPONDANCE[#All],2,FALSE),I214)</f>
        <v>0</v>
      </c>
      <c r="J213" s="222" t="str">
        <f t="shared" si="18"/>
        <v/>
      </c>
      <c r="K213" s="44" t="str">
        <f t="shared" si="19"/>
        <v xml:space="preserve">VR7 - </v>
      </c>
      <c r="L213" s="44" t="e">
        <f>+VLOOKUP(K213,TL[],4,FALSE)</f>
        <v>#N/A</v>
      </c>
    </row>
    <row r="214" spans="1:12" ht="15" x14ac:dyDescent="0.25">
      <c r="A214" s="290"/>
      <c r="B214" s="290"/>
      <c r="C214" s="290"/>
      <c r="D214" s="290"/>
      <c r="E214" s="290"/>
      <c r="F214" s="290"/>
      <c r="G214" s="220">
        <f t="shared" si="16"/>
        <v>0</v>
      </c>
      <c r="H214" s="220">
        <f t="shared" si="17"/>
        <v>0</v>
      </c>
      <c r="I214" s="221">
        <f>IF(A214="Total",VLOOKUP(B214,CORRESPONDANCE[#All],2,FALSE),I215)</f>
        <v>0</v>
      </c>
      <c r="J214" s="222" t="str">
        <f t="shared" si="18"/>
        <v/>
      </c>
      <c r="K214" s="44" t="str">
        <f t="shared" si="19"/>
        <v xml:space="preserve">VR7 - </v>
      </c>
      <c r="L214" s="44" t="e">
        <f>+VLOOKUP(K214,TL[],4,FALSE)</f>
        <v>#N/A</v>
      </c>
    </row>
    <row r="215" spans="1:12" ht="15" x14ac:dyDescent="0.25">
      <c r="A215" s="290"/>
      <c r="B215" s="290"/>
      <c r="C215" s="290"/>
      <c r="D215" s="290"/>
      <c r="E215" s="290"/>
      <c r="F215" s="290"/>
      <c r="G215" s="220">
        <f t="shared" si="16"/>
        <v>0</v>
      </c>
      <c r="H215" s="220">
        <f t="shared" si="17"/>
        <v>0</v>
      </c>
      <c r="I215" s="221">
        <f>IF(A215="Total",VLOOKUP(B215,CORRESPONDANCE[#All],2,FALSE),I216)</f>
        <v>0</v>
      </c>
      <c r="J215" s="222" t="str">
        <f t="shared" si="18"/>
        <v/>
      </c>
      <c r="K215" s="44" t="str">
        <f t="shared" si="19"/>
        <v xml:space="preserve">VR7 - </v>
      </c>
      <c r="L215" s="44" t="e">
        <f>+VLOOKUP(K215,TL[],4,FALSE)</f>
        <v>#N/A</v>
      </c>
    </row>
    <row r="216" spans="1:12" ht="15" x14ac:dyDescent="0.25">
      <c r="A216" s="290"/>
      <c r="B216" s="290"/>
      <c r="C216" s="290"/>
      <c r="D216" s="290"/>
      <c r="E216" s="290"/>
      <c r="F216" s="290"/>
      <c r="G216" s="220">
        <f t="shared" si="16"/>
        <v>0</v>
      </c>
      <c r="H216" s="220">
        <f t="shared" si="17"/>
        <v>0</v>
      </c>
      <c r="I216" s="221">
        <f>IF(A216="Total",VLOOKUP(B216,CORRESPONDANCE[#All],2,FALSE),I217)</f>
        <v>0</v>
      </c>
      <c r="J216" s="222" t="str">
        <f t="shared" si="18"/>
        <v/>
      </c>
      <c r="K216" s="44" t="str">
        <f t="shared" si="19"/>
        <v xml:space="preserve">VR7 - </v>
      </c>
      <c r="L216" s="44" t="e">
        <f>+VLOOKUP(K216,TL[],4,FALSE)</f>
        <v>#N/A</v>
      </c>
    </row>
    <row r="217" spans="1:12" ht="15" x14ac:dyDescent="0.25">
      <c r="A217" s="290"/>
      <c r="B217" s="290"/>
      <c r="C217" s="290"/>
      <c r="D217" s="290"/>
      <c r="E217" s="290"/>
      <c r="F217" s="290"/>
      <c r="G217" s="220">
        <f t="shared" si="16"/>
        <v>0</v>
      </c>
      <c r="H217" s="220">
        <f t="shared" si="17"/>
        <v>0</v>
      </c>
      <c r="I217" s="221">
        <f>IF(A217="Total",VLOOKUP(B217,CORRESPONDANCE[#All],2,FALSE),I218)</f>
        <v>0</v>
      </c>
      <c r="J217" s="222" t="str">
        <f t="shared" si="18"/>
        <v/>
      </c>
      <c r="K217" s="44" t="str">
        <f t="shared" si="19"/>
        <v xml:space="preserve">VR7 - </v>
      </c>
      <c r="L217" s="44" t="e">
        <f>+VLOOKUP(K217,TL[],4,FALSE)</f>
        <v>#N/A</v>
      </c>
    </row>
    <row r="218" spans="1:12" ht="15" x14ac:dyDescent="0.25">
      <c r="A218" s="290"/>
      <c r="B218" s="290"/>
      <c r="C218" s="290"/>
      <c r="D218" s="290"/>
      <c r="E218" s="290"/>
      <c r="F218" s="290"/>
      <c r="G218" s="220">
        <f t="shared" si="16"/>
        <v>0</v>
      </c>
      <c r="H218" s="220">
        <f t="shared" si="17"/>
        <v>0</v>
      </c>
      <c r="I218" s="221">
        <f>IF(A218="Total",VLOOKUP(B218,CORRESPONDANCE[#All],2,FALSE),I219)</f>
        <v>0</v>
      </c>
      <c r="J218" s="222" t="str">
        <f t="shared" si="18"/>
        <v/>
      </c>
      <c r="K218" s="44" t="str">
        <f t="shared" si="19"/>
        <v xml:space="preserve">VR7 - </v>
      </c>
      <c r="L218" s="44" t="e">
        <f>+VLOOKUP(K218,TL[],4,FALSE)</f>
        <v>#N/A</v>
      </c>
    </row>
    <row r="219" spans="1:12" ht="15" x14ac:dyDescent="0.25">
      <c r="A219" s="290"/>
      <c r="B219" s="290"/>
      <c r="C219" s="290"/>
      <c r="D219" s="290"/>
      <c r="E219" s="290"/>
      <c r="F219" s="290"/>
      <c r="G219" s="220">
        <f t="shared" si="16"/>
        <v>0</v>
      </c>
      <c r="H219" s="220">
        <f t="shared" si="17"/>
        <v>0</v>
      </c>
      <c r="I219" s="221">
        <f>IF(A219="Total",VLOOKUP(B219,CORRESPONDANCE[#All],2,FALSE),I220)</f>
        <v>0</v>
      </c>
      <c r="J219" s="222" t="str">
        <f t="shared" si="18"/>
        <v/>
      </c>
      <c r="K219" s="44" t="str">
        <f t="shared" si="19"/>
        <v xml:space="preserve">VR7 - </v>
      </c>
      <c r="L219" s="44" t="e">
        <f>+VLOOKUP(K219,TL[],4,FALSE)</f>
        <v>#N/A</v>
      </c>
    </row>
    <row r="220" spans="1:12" ht="15" x14ac:dyDescent="0.25">
      <c r="A220" s="290"/>
      <c r="B220" s="290"/>
      <c r="C220" s="290"/>
      <c r="D220" s="290"/>
      <c r="E220" s="290"/>
      <c r="F220" s="290"/>
      <c r="G220" s="220">
        <f t="shared" si="16"/>
        <v>0</v>
      </c>
      <c r="H220" s="220">
        <f t="shared" si="17"/>
        <v>0</v>
      </c>
      <c r="I220" s="221">
        <f>IF(A220="Total",VLOOKUP(B220,CORRESPONDANCE[#All],2,FALSE),I221)</f>
        <v>0</v>
      </c>
      <c r="J220" s="222" t="str">
        <f t="shared" si="18"/>
        <v/>
      </c>
      <c r="K220" s="44" t="str">
        <f t="shared" si="19"/>
        <v xml:space="preserve">VR7 - </v>
      </c>
      <c r="L220" s="44" t="e">
        <f>+VLOOKUP(K220,TL[],4,FALSE)</f>
        <v>#N/A</v>
      </c>
    </row>
    <row r="221" spans="1:12" ht="15" x14ac:dyDescent="0.25">
      <c r="A221" s="290"/>
      <c r="B221" s="290"/>
      <c r="C221" s="290"/>
      <c r="D221" s="290"/>
      <c r="E221" s="290"/>
      <c r="F221" s="290"/>
      <c r="G221" s="220">
        <f t="shared" si="16"/>
        <v>0</v>
      </c>
      <c r="H221" s="220">
        <f t="shared" si="17"/>
        <v>0</v>
      </c>
      <c r="I221" s="221">
        <f>IF(A221="Total",VLOOKUP(B221,CORRESPONDANCE[#All],2,FALSE),I222)</f>
        <v>0</v>
      </c>
      <c r="J221" s="222" t="str">
        <f t="shared" si="18"/>
        <v/>
      </c>
      <c r="K221" s="44" t="str">
        <f t="shared" si="19"/>
        <v xml:space="preserve">VR7 - </v>
      </c>
      <c r="L221" s="44" t="e">
        <f>+VLOOKUP(K221,TL[],4,FALSE)</f>
        <v>#N/A</v>
      </c>
    </row>
    <row r="222" spans="1:12" ht="15" x14ac:dyDescent="0.25">
      <c r="A222" s="290"/>
      <c r="B222" s="290"/>
      <c r="C222" s="290"/>
      <c r="D222" s="290"/>
      <c r="E222" s="290"/>
      <c r="F222" s="290"/>
      <c r="G222" s="220">
        <f t="shared" si="16"/>
        <v>0</v>
      </c>
      <c r="H222" s="220">
        <f t="shared" si="17"/>
        <v>0</v>
      </c>
      <c r="I222" s="221">
        <f>IF(A222="Total",VLOOKUP(B222,CORRESPONDANCE[#All],2,FALSE),I223)</f>
        <v>0</v>
      </c>
      <c r="J222" s="222" t="str">
        <f t="shared" si="18"/>
        <v/>
      </c>
      <c r="K222" s="44" t="str">
        <f t="shared" si="19"/>
        <v xml:space="preserve">VR7 - </v>
      </c>
      <c r="L222" s="44" t="e">
        <f>+VLOOKUP(K222,TL[],4,FALSE)</f>
        <v>#N/A</v>
      </c>
    </row>
    <row r="223" spans="1:12" ht="15" x14ac:dyDescent="0.25">
      <c r="A223" s="290"/>
      <c r="B223" s="290"/>
      <c r="C223" s="290"/>
      <c r="D223" s="290"/>
      <c r="E223" s="290"/>
      <c r="F223" s="290"/>
      <c r="G223" s="220">
        <f t="shared" si="16"/>
        <v>0</v>
      </c>
      <c r="H223" s="220">
        <f t="shared" si="17"/>
        <v>0</v>
      </c>
      <c r="I223" s="221">
        <f>IF(A223="Total",VLOOKUP(B223,CORRESPONDANCE[#All],2,FALSE),I224)</f>
        <v>0</v>
      </c>
      <c r="J223" s="222" t="str">
        <f t="shared" si="18"/>
        <v/>
      </c>
      <c r="K223" s="44" t="str">
        <f t="shared" si="19"/>
        <v xml:space="preserve">VR7 - </v>
      </c>
      <c r="L223" s="44" t="e">
        <f>+VLOOKUP(K223,TL[],4,FALSE)</f>
        <v>#N/A</v>
      </c>
    </row>
    <row r="224" spans="1:12" ht="15" x14ac:dyDescent="0.25">
      <c r="A224" s="290"/>
      <c r="B224" s="290"/>
      <c r="C224" s="290"/>
      <c r="D224" s="290"/>
      <c r="E224" s="290"/>
      <c r="F224" s="290"/>
      <c r="G224" s="220">
        <f t="shared" si="16"/>
        <v>0</v>
      </c>
      <c r="H224" s="220">
        <f t="shared" si="17"/>
        <v>0</v>
      </c>
      <c r="I224" s="221">
        <f>IF(A224="Total",VLOOKUP(B224,CORRESPONDANCE[#All],2,FALSE),I225)</f>
        <v>0</v>
      </c>
      <c r="J224" s="222" t="str">
        <f t="shared" si="18"/>
        <v/>
      </c>
      <c r="K224" s="44" t="str">
        <f t="shared" si="19"/>
        <v xml:space="preserve">VR7 - </v>
      </c>
      <c r="L224" s="44" t="e">
        <f>+VLOOKUP(K224,TL[],4,FALSE)</f>
        <v>#N/A</v>
      </c>
    </row>
    <row r="225" spans="1:12" ht="15" x14ac:dyDescent="0.25">
      <c r="A225" s="290"/>
      <c r="B225" s="290"/>
      <c r="C225" s="290"/>
      <c r="D225" s="290"/>
      <c r="E225" s="290"/>
      <c r="F225" s="290"/>
      <c r="G225" s="220">
        <f t="shared" si="16"/>
        <v>0</v>
      </c>
      <c r="H225" s="220">
        <f t="shared" si="17"/>
        <v>0</v>
      </c>
      <c r="I225" s="221">
        <f>IF(A225="Total",VLOOKUP(B225,CORRESPONDANCE[#All],2,FALSE),I226)</f>
        <v>0</v>
      </c>
      <c r="J225" s="222" t="str">
        <f t="shared" si="18"/>
        <v/>
      </c>
      <c r="K225" s="44" t="str">
        <f t="shared" si="19"/>
        <v xml:space="preserve">VR7 - </v>
      </c>
      <c r="L225" s="44" t="e">
        <f>+VLOOKUP(K225,TL[],4,FALSE)</f>
        <v>#N/A</v>
      </c>
    </row>
    <row r="226" spans="1:12" ht="15" x14ac:dyDescent="0.25">
      <c r="A226" s="290"/>
      <c r="B226" s="290"/>
      <c r="C226" s="290"/>
      <c r="D226" s="290"/>
      <c r="E226" s="290"/>
      <c r="F226" s="290"/>
      <c r="G226" s="220">
        <f t="shared" si="16"/>
        <v>0</v>
      </c>
      <c r="H226" s="220">
        <f t="shared" si="17"/>
        <v>0</v>
      </c>
      <c r="I226" s="221">
        <f>IF(A226="Total",VLOOKUP(B226,CORRESPONDANCE[#All],2,FALSE),I227)</f>
        <v>0</v>
      </c>
      <c r="J226" s="222" t="str">
        <f t="shared" si="18"/>
        <v/>
      </c>
      <c r="K226" s="44" t="str">
        <f t="shared" si="19"/>
        <v xml:space="preserve">VR7 - </v>
      </c>
      <c r="L226" s="44" t="e">
        <f>+VLOOKUP(K226,TL[],4,FALSE)</f>
        <v>#N/A</v>
      </c>
    </row>
    <row r="227" spans="1:12" ht="15" x14ac:dyDescent="0.25">
      <c r="A227" s="290"/>
      <c r="B227" s="290"/>
      <c r="C227" s="290"/>
      <c r="D227" s="290"/>
      <c r="E227" s="290"/>
      <c r="F227" s="290"/>
      <c r="G227" s="220">
        <f t="shared" si="16"/>
        <v>0</v>
      </c>
      <c r="H227" s="220">
        <f t="shared" si="17"/>
        <v>0</v>
      </c>
      <c r="I227" s="221">
        <f>IF(A227="Total",VLOOKUP(B227,CORRESPONDANCE[#All],2,FALSE),I228)</f>
        <v>0</v>
      </c>
      <c r="J227" s="222" t="str">
        <f t="shared" si="18"/>
        <v/>
      </c>
      <c r="K227" s="44" t="str">
        <f t="shared" si="19"/>
        <v xml:space="preserve">VR7 - </v>
      </c>
      <c r="L227" s="44" t="e">
        <f>+VLOOKUP(K227,TL[],4,FALSE)</f>
        <v>#N/A</v>
      </c>
    </row>
    <row r="228" spans="1:12" ht="15" x14ac:dyDescent="0.25">
      <c r="A228" s="290"/>
      <c r="B228" s="290"/>
      <c r="C228" s="290"/>
      <c r="D228" s="290"/>
      <c r="E228" s="290"/>
      <c r="F228" s="290"/>
      <c r="G228" s="220">
        <f t="shared" si="16"/>
        <v>0</v>
      </c>
      <c r="H228" s="220">
        <f t="shared" si="17"/>
        <v>0</v>
      </c>
      <c r="I228" s="221">
        <f>IF(A228="Total",VLOOKUP(B228,CORRESPONDANCE[#All],2,FALSE),I229)</f>
        <v>0</v>
      </c>
      <c r="J228" s="222" t="str">
        <f t="shared" si="18"/>
        <v/>
      </c>
      <c r="K228" s="44" t="str">
        <f t="shared" si="19"/>
        <v xml:space="preserve">VR7 - </v>
      </c>
      <c r="L228" s="44" t="e">
        <f>+VLOOKUP(K228,TL[],4,FALSE)</f>
        <v>#N/A</v>
      </c>
    </row>
    <row r="229" spans="1:12" ht="15" x14ac:dyDescent="0.25">
      <c r="A229" s="290"/>
      <c r="B229" s="290"/>
      <c r="C229" s="290"/>
      <c r="D229" s="290"/>
      <c r="E229" s="290"/>
      <c r="F229" s="290"/>
      <c r="G229" s="220">
        <f t="shared" si="16"/>
        <v>0</v>
      </c>
      <c r="H229" s="220">
        <f t="shared" si="17"/>
        <v>0</v>
      </c>
      <c r="I229" s="221">
        <f>IF(A229="Total",VLOOKUP(B229,CORRESPONDANCE[#All],2,FALSE),I230)</f>
        <v>0</v>
      </c>
      <c r="J229" s="222" t="str">
        <f t="shared" si="18"/>
        <v/>
      </c>
      <c r="K229" s="44" t="str">
        <f t="shared" si="19"/>
        <v xml:space="preserve">VR7 - </v>
      </c>
      <c r="L229" s="44" t="e">
        <f>+VLOOKUP(K229,TL[],4,FALSE)</f>
        <v>#N/A</v>
      </c>
    </row>
    <row r="230" spans="1:12" ht="15" x14ac:dyDescent="0.25">
      <c r="A230" s="290"/>
      <c r="B230" s="290"/>
      <c r="C230" s="290"/>
      <c r="D230" s="290"/>
      <c r="E230" s="290"/>
      <c r="F230" s="290"/>
      <c r="G230" s="220">
        <f t="shared" si="16"/>
        <v>0</v>
      </c>
      <c r="H230" s="220">
        <f t="shared" si="17"/>
        <v>0</v>
      </c>
      <c r="I230" s="221">
        <f>IF(A230="Total",VLOOKUP(B230,CORRESPONDANCE[#All],2,FALSE),I231)</f>
        <v>0</v>
      </c>
      <c r="J230" s="222" t="str">
        <f t="shared" si="18"/>
        <v/>
      </c>
      <c r="K230" s="44" t="str">
        <f t="shared" si="19"/>
        <v xml:space="preserve">VR7 - </v>
      </c>
      <c r="L230" s="44" t="e">
        <f>+VLOOKUP(K230,TL[],4,FALSE)</f>
        <v>#N/A</v>
      </c>
    </row>
    <row r="231" spans="1:12" ht="15" x14ac:dyDescent="0.25">
      <c r="A231" s="290"/>
      <c r="B231" s="290"/>
      <c r="C231" s="290"/>
      <c r="D231" s="290"/>
      <c r="E231" s="290"/>
      <c r="F231" s="290"/>
      <c r="G231" s="220">
        <f t="shared" si="16"/>
        <v>0</v>
      </c>
      <c r="H231" s="220">
        <f t="shared" si="17"/>
        <v>0</v>
      </c>
      <c r="I231" s="221">
        <f>IF(A231="Total",VLOOKUP(B231,CORRESPONDANCE[#All],2,FALSE),I232)</f>
        <v>0</v>
      </c>
      <c r="J231" s="222" t="str">
        <f t="shared" si="18"/>
        <v/>
      </c>
      <c r="K231" s="44" t="str">
        <f t="shared" si="19"/>
        <v xml:space="preserve">VR7 - </v>
      </c>
      <c r="L231" s="44" t="e">
        <f>+VLOOKUP(K231,TL[],4,FALSE)</f>
        <v>#N/A</v>
      </c>
    </row>
    <row r="232" spans="1:12" ht="15" x14ac:dyDescent="0.25">
      <c r="A232" s="290"/>
      <c r="B232" s="290"/>
      <c r="C232" s="290"/>
      <c r="D232" s="290"/>
      <c r="E232" s="290"/>
      <c r="F232" s="290"/>
      <c r="G232" s="220">
        <f t="shared" si="16"/>
        <v>0</v>
      </c>
      <c r="H232" s="220">
        <f t="shared" si="17"/>
        <v>0</v>
      </c>
      <c r="I232" s="221">
        <f>IF(A232="Total",VLOOKUP(B232,CORRESPONDANCE[#All],2,FALSE),I233)</f>
        <v>0</v>
      </c>
      <c r="J232" s="222" t="str">
        <f t="shared" si="18"/>
        <v/>
      </c>
      <c r="K232" s="44" t="str">
        <f t="shared" si="19"/>
        <v xml:space="preserve">VR7 - </v>
      </c>
      <c r="L232" s="44" t="e">
        <f>+VLOOKUP(K232,TL[],4,FALSE)</f>
        <v>#N/A</v>
      </c>
    </row>
    <row r="233" spans="1:12" ht="15" x14ac:dyDescent="0.25">
      <c r="A233" s="290"/>
      <c r="B233" s="290"/>
      <c r="C233" s="290"/>
      <c r="D233" s="290"/>
      <c r="E233" s="290"/>
      <c r="F233" s="290"/>
      <c r="G233" s="220">
        <f t="shared" si="16"/>
        <v>0</v>
      </c>
      <c r="H233" s="220">
        <f t="shared" si="17"/>
        <v>0</v>
      </c>
      <c r="I233" s="221">
        <f>IF(A233="Total",VLOOKUP(B233,CORRESPONDANCE[#All],2,FALSE),I234)</f>
        <v>0</v>
      </c>
      <c r="J233" s="222" t="str">
        <f t="shared" si="18"/>
        <v/>
      </c>
      <c r="K233" s="44" t="str">
        <f t="shared" si="19"/>
        <v xml:space="preserve">VR7 - </v>
      </c>
      <c r="L233" s="44" t="e">
        <f>+VLOOKUP(K233,TL[],4,FALSE)</f>
        <v>#N/A</v>
      </c>
    </row>
    <row r="234" spans="1:12" ht="15" x14ac:dyDescent="0.25">
      <c r="A234" s="290"/>
      <c r="B234" s="290"/>
      <c r="C234" s="290"/>
      <c r="D234" s="290"/>
      <c r="E234" s="290"/>
      <c r="F234" s="290"/>
      <c r="G234" s="220">
        <f t="shared" si="16"/>
        <v>0</v>
      </c>
      <c r="H234" s="220">
        <f t="shared" si="17"/>
        <v>0</v>
      </c>
      <c r="I234" s="221">
        <f>IF(A234="Total",VLOOKUP(B234,CORRESPONDANCE[#All],2,FALSE),I235)</f>
        <v>0</v>
      </c>
      <c r="J234" s="222" t="str">
        <f t="shared" si="18"/>
        <v/>
      </c>
      <c r="K234" s="44" t="str">
        <f t="shared" si="19"/>
        <v xml:space="preserve">VR7 - </v>
      </c>
      <c r="L234" s="44" t="e">
        <f>+VLOOKUP(K234,TL[],4,FALSE)</f>
        <v>#N/A</v>
      </c>
    </row>
    <row r="235" spans="1:12" ht="15" x14ac:dyDescent="0.25">
      <c r="A235" s="290"/>
      <c r="B235" s="290"/>
      <c r="C235" s="290"/>
      <c r="D235" s="290"/>
      <c r="E235" s="290"/>
      <c r="F235" s="290"/>
      <c r="G235" s="220">
        <f t="shared" si="16"/>
        <v>0</v>
      </c>
      <c r="H235" s="220">
        <f t="shared" si="17"/>
        <v>0</v>
      </c>
      <c r="I235" s="221">
        <f>IF(A235="Total",VLOOKUP(B235,CORRESPONDANCE[#All],2,FALSE),I236)</f>
        <v>0</v>
      </c>
      <c r="J235" s="222" t="str">
        <f t="shared" si="18"/>
        <v/>
      </c>
      <c r="K235" s="44" t="str">
        <f t="shared" si="19"/>
        <v xml:space="preserve">VR7 - </v>
      </c>
      <c r="L235" s="44" t="e">
        <f>+VLOOKUP(K235,TL[],4,FALSE)</f>
        <v>#N/A</v>
      </c>
    </row>
    <row r="236" spans="1:12" ht="15" x14ac:dyDescent="0.25">
      <c r="A236" s="290"/>
      <c r="B236" s="290"/>
      <c r="C236" s="290"/>
      <c r="D236" s="290"/>
      <c r="E236" s="290"/>
      <c r="F236" s="290"/>
      <c r="G236" s="220">
        <f t="shared" si="16"/>
        <v>0</v>
      </c>
      <c r="H236" s="220">
        <f t="shared" si="17"/>
        <v>0</v>
      </c>
      <c r="I236" s="221">
        <f>IF(A236="Total",VLOOKUP(B236,CORRESPONDANCE[#All],2,FALSE),I237)</f>
        <v>0</v>
      </c>
      <c r="J236" s="222" t="str">
        <f t="shared" si="18"/>
        <v/>
      </c>
      <c r="K236" s="44" t="str">
        <f t="shared" si="19"/>
        <v xml:space="preserve">VR7 - </v>
      </c>
      <c r="L236" s="44" t="e">
        <f>+VLOOKUP(K236,TL[],4,FALSE)</f>
        <v>#N/A</v>
      </c>
    </row>
    <row r="237" spans="1:12" ht="15" x14ac:dyDescent="0.25">
      <c r="A237" s="290"/>
      <c r="B237" s="290"/>
      <c r="C237" s="290"/>
      <c r="D237" s="290"/>
      <c r="E237" s="290"/>
      <c r="F237" s="290"/>
      <c r="G237" s="220">
        <f t="shared" si="16"/>
        <v>0</v>
      </c>
      <c r="H237" s="220">
        <f t="shared" si="17"/>
        <v>0</v>
      </c>
      <c r="I237" s="221">
        <f>IF(A237="Total",VLOOKUP(B237,CORRESPONDANCE[#All],2,FALSE),I238)</f>
        <v>0</v>
      </c>
      <c r="J237" s="222" t="str">
        <f t="shared" si="18"/>
        <v/>
      </c>
      <c r="K237" s="44" t="str">
        <f t="shared" si="19"/>
        <v xml:space="preserve">VR7 - </v>
      </c>
      <c r="L237" s="44" t="e">
        <f>+VLOOKUP(K237,TL[],4,FALSE)</f>
        <v>#N/A</v>
      </c>
    </row>
    <row r="238" spans="1:12" ht="15" x14ac:dyDescent="0.25">
      <c r="A238" s="290"/>
      <c r="B238" s="290"/>
      <c r="C238" s="290"/>
      <c r="D238" s="290"/>
      <c r="E238" s="290"/>
      <c r="F238" s="290"/>
      <c r="G238" s="220">
        <f t="shared" si="16"/>
        <v>0</v>
      </c>
      <c r="H238" s="220">
        <f t="shared" si="17"/>
        <v>0</v>
      </c>
      <c r="I238" s="221">
        <f>IF(A238="Total",VLOOKUP(B238,CORRESPONDANCE[#All],2,FALSE),I239)</f>
        <v>0</v>
      </c>
      <c r="J238" s="222" t="str">
        <f t="shared" si="18"/>
        <v/>
      </c>
      <c r="K238" s="44" t="str">
        <f t="shared" si="19"/>
        <v xml:space="preserve">VR7 - </v>
      </c>
      <c r="L238" s="44" t="e">
        <f>+VLOOKUP(K238,TL[],4,FALSE)</f>
        <v>#N/A</v>
      </c>
    </row>
    <row r="239" spans="1:12" ht="15" x14ac:dyDescent="0.25">
      <c r="A239" s="290"/>
      <c r="B239" s="290"/>
      <c r="C239" s="290"/>
      <c r="D239" s="290"/>
      <c r="E239" s="290"/>
      <c r="F239" s="290"/>
      <c r="G239" s="220">
        <f t="shared" si="16"/>
        <v>0</v>
      </c>
      <c r="H239" s="220">
        <f t="shared" si="17"/>
        <v>0</v>
      </c>
      <c r="I239" s="221">
        <f>IF(A239="Total",VLOOKUP(B239,CORRESPONDANCE[#All],2,FALSE),I240)</f>
        <v>0</v>
      </c>
      <c r="J239" s="222" t="str">
        <f t="shared" si="18"/>
        <v/>
      </c>
      <c r="K239" s="44" t="str">
        <f t="shared" si="19"/>
        <v xml:space="preserve">VR7 - </v>
      </c>
      <c r="L239" s="44" t="e">
        <f>+VLOOKUP(K239,TL[],4,FALSE)</f>
        <v>#N/A</v>
      </c>
    </row>
    <row r="240" spans="1:12" ht="15" x14ac:dyDescent="0.25">
      <c r="A240" s="290"/>
      <c r="B240" s="290"/>
      <c r="C240" s="290"/>
      <c r="D240" s="290"/>
      <c r="E240" s="290"/>
      <c r="F240" s="290"/>
      <c r="G240" s="220">
        <f t="shared" si="16"/>
        <v>0</v>
      </c>
      <c r="H240" s="220">
        <f t="shared" si="17"/>
        <v>0</v>
      </c>
      <c r="I240" s="221">
        <f>IF(A240="Total",VLOOKUP(B240,CORRESPONDANCE[#All],2,FALSE),I241)</f>
        <v>0</v>
      </c>
      <c r="J240" s="222" t="str">
        <f t="shared" si="18"/>
        <v/>
      </c>
      <c r="K240" s="44" t="str">
        <f t="shared" si="19"/>
        <v xml:space="preserve">VR7 - </v>
      </c>
      <c r="L240" s="44" t="e">
        <f>+VLOOKUP(K240,TL[],4,FALSE)</f>
        <v>#N/A</v>
      </c>
    </row>
    <row r="241" spans="1:12" ht="15" x14ac:dyDescent="0.25">
      <c r="A241" s="290"/>
      <c r="B241" s="290"/>
      <c r="C241" s="290"/>
      <c r="D241" s="290"/>
      <c r="E241" s="290"/>
      <c r="F241" s="290"/>
      <c r="G241" s="220">
        <f t="shared" si="16"/>
        <v>0</v>
      </c>
      <c r="H241" s="220">
        <f t="shared" si="17"/>
        <v>0</v>
      </c>
      <c r="I241" s="221">
        <f>IF(A241="Total",VLOOKUP(B241,CORRESPONDANCE[#All],2,FALSE),I242)</f>
        <v>0</v>
      </c>
      <c r="J241" s="222" t="str">
        <f t="shared" si="18"/>
        <v/>
      </c>
      <c r="K241" s="44" t="str">
        <f t="shared" si="19"/>
        <v xml:space="preserve">VR7 - </v>
      </c>
      <c r="L241" s="44" t="e">
        <f>+VLOOKUP(K241,TL[],4,FALSE)</f>
        <v>#N/A</v>
      </c>
    </row>
    <row r="242" spans="1:12" ht="15" x14ac:dyDescent="0.25">
      <c r="A242" s="290"/>
      <c r="B242" s="290"/>
      <c r="C242" s="290"/>
      <c r="D242" s="290"/>
      <c r="E242" s="290"/>
      <c r="F242" s="290"/>
      <c r="G242" s="220">
        <f t="shared" si="16"/>
        <v>0</v>
      </c>
      <c r="H242" s="220">
        <f t="shared" si="17"/>
        <v>0</v>
      </c>
      <c r="I242" s="221">
        <f>IF(A242="Total",VLOOKUP(B242,CORRESPONDANCE[#All],2,FALSE),I243)</f>
        <v>0</v>
      </c>
      <c r="J242" s="222" t="str">
        <f t="shared" si="18"/>
        <v/>
      </c>
      <c r="K242" s="44" t="str">
        <f t="shared" si="19"/>
        <v xml:space="preserve">VR7 - </v>
      </c>
      <c r="L242" s="44" t="e">
        <f>+VLOOKUP(K242,TL[],4,FALSE)</f>
        <v>#N/A</v>
      </c>
    </row>
    <row r="243" spans="1:12" ht="15" x14ac:dyDescent="0.25">
      <c r="A243" s="290"/>
      <c r="B243" s="290"/>
      <c r="C243" s="290"/>
      <c r="D243" s="290"/>
      <c r="E243" s="290"/>
      <c r="F243" s="290"/>
      <c r="G243" s="220">
        <f t="shared" si="16"/>
        <v>0</v>
      </c>
      <c r="H243" s="220">
        <f t="shared" si="17"/>
        <v>0</v>
      </c>
      <c r="I243" s="221">
        <f>IF(A243="Total",VLOOKUP(B243,CORRESPONDANCE[#All],2,FALSE),I244)</f>
        <v>0</v>
      </c>
      <c r="J243" s="222" t="str">
        <f t="shared" si="18"/>
        <v/>
      </c>
      <c r="K243" s="44" t="str">
        <f t="shared" si="19"/>
        <v xml:space="preserve">VR7 - </v>
      </c>
      <c r="L243" s="44" t="e">
        <f>+VLOOKUP(K243,TL[],4,FALSE)</f>
        <v>#N/A</v>
      </c>
    </row>
    <row r="244" spans="1:12" ht="15" x14ac:dyDescent="0.25">
      <c r="A244" s="290"/>
      <c r="B244" s="290"/>
      <c r="C244" s="290"/>
      <c r="D244" s="290"/>
      <c r="E244" s="290"/>
      <c r="F244" s="290"/>
      <c r="G244" s="220">
        <f t="shared" si="16"/>
        <v>0</v>
      </c>
      <c r="H244" s="220">
        <f t="shared" si="17"/>
        <v>0</v>
      </c>
      <c r="I244" s="221">
        <f>IF(A244="Total",VLOOKUP(B244,CORRESPONDANCE[#All],2,FALSE),I245)</f>
        <v>0</v>
      </c>
      <c r="J244" s="222" t="str">
        <f t="shared" si="18"/>
        <v/>
      </c>
      <c r="K244" s="44" t="str">
        <f t="shared" si="19"/>
        <v xml:space="preserve">VR7 - </v>
      </c>
      <c r="L244" s="44" t="e">
        <f>+VLOOKUP(K244,TL[],4,FALSE)</f>
        <v>#N/A</v>
      </c>
    </row>
    <row r="245" spans="1:12" ht="15" x14ac:dyDescent="0.25">
      <c r="A245" s="290"/>
      <c r="B245" s="290"/>
      <c r="C245" s="290"/>
      <c r="D245" s="290"/>
      <c r="E245" s="290"/>
      <c r="F245" s="290"/>
      <c r="G245" s="220">
        <f t="shared" si="16"/>
        <v>0</v>
      </c>
      <c r="H245" s="220">
        <f t="shared" si="17"/>
        <v>0</v>
      </c>
      <c r="I245" s="221">
        <f>IF(A245="Total",VLOOKUP(B245,CORRESPONDANCE[#All],2,FALSE),I246)</f>
        <v>0</v>
      </c>
      <c r="J245" s="222" t="str">
        <f t="shared" si="18"/>
        <v/>
      </c>
      <c r="K245" s="44" t="str">
        <f t="shared" si="19"/>
        <v xml:space="preserve">VR7 - </v>
      </c>
      <c r="L245" s="44" t="e">
        <f>+VLOOKUP(K245,TL[],4,FALSE)</f>
        <v>#N/A</v>
      </c>
    </row>
    <row r="246" spans="1:12" ht="15" x14ac:dyDescent="0.25">
      <c r="A246" s="290"/>
      <c r="B246" s="290"/>
      <c r="C246" s="290"/>
      <c r="D246" s="290"/>
      <c r="E246" s="290"/>
      <c r="F246" s="290"/>
      <c r="G246" s="220">
        <f t="shared" si="16"/>
        <v>0</v>
      </c>
      <c r="H246" s="220">
        <f t="shared" si="17"/>
        <v>0</v>
      </c>
      <c r="I246" s="221">
        <f>IF(A246="Total",VLOOKUP(B246,CORRESPONDANCE[#All],2,FALSE),I247)</f>
        <v>0</v>
      </c>
      <c r="J246" s="222" t="str">
        <f t="shared" si="18"/>
        <v/>
      </c>
      <c r="K246" s="44" t="str">
        <f t="shared" si="19"/>
        <v xml:space="preserve">VR7 - </v>
      </c>
      <c r="L246" s="44" t="e">
        <f>+VLOOKUP(K246,TL[],4,FALSE)</f>
        <v>#N/A</v>
      </c>
    </row>
    <row r="247" spans="1:12" ht="15" x14ac:dyDescent="0.25">
      <c r="A247" s="290"/>
      <c r="B247" s="290"/>
      <c r="C247" s="290"/>
      <c r="D247" s="290"/>
      <c r="E247" s="290"/>
      <c r="F247" s="290"/>
      <c r="G247" s="220">
        <f t="shared" si="16"/>
        <v>0</v>
      </c>
      <c r="H247" s="220">
        <f t="shared" si="17"/>
        <v>0</v>
      </c>
      <c r="I247" s="221">
        <f>IF(A247="Total",VLOOKUP(B247,CORRESPONDANCE[#All],2,FALSE),I248)</f>
        <v>0</v>
      </c>
      <c r="J247" s="222" t="str">
        <f t="shared" si="18"/>
        <v/>
      </c>
      <c r="K247" s="44" t="str">
        <f t="shared" si="19"/>
        <v xml:space="preserve">VR7 - </v>
      </c>
      <c r="L247" s="44" t="e">
        <f>+VLOOKUP(K247,TL[],4,FALSE)</f>
        <v>#N/A</v>
      </c>
    </row>
    <row r="248" spans="1:12" ht="15" x14ac:dyDescent="0.25">
      <c r="A248" s="290"/>
      <c r="B248" s="290"/>
      <c r="C248" s="290"/>
      <c r="D248" s="290"/>
      <c r="E248" s="290"/>
      <c r="F248" s="290"/>
      <c r="G248" s="220">
        <f t="shared" si="16"/>
        <v>0</v>
      </c>
      <c r="H248" s="220">
        <f t="shared" si="17"/>
        <v>0</v>
      </c>
      <c r="I248" s="221">
        <f>IF(A248="Total",VLOOKUP(B248,CORRESPONDANCE[#All],2,FALSE),I249)</f>
        <v>0</v>
      </c>
      <c r="J248" s="222" t="str">
        <f t="shared" si="18"/>
        <v/>
      </c>
      <c r="K248" s="44" t="str">
        <f t="shared" si="19"/>
        <v xml:space="preserve">VR7 - </v>
      </c>
      <c r="L248" s="44" t="e">
        <f>+VLOOKUP(K248,TL[],4,FALSE)</f>
        <v>#N/A</v>
      </c>
    </row>
    <row r="249" spans="1:12" ht="15" x14ac:dyDescent="0.25">
      <c r="A249" s="290"/>
      <c r="B249" s="290"/>
      <c r="C249" s="290"/>
      <c r="D249" s="290"/>
      <c r="E249" s="290"/>
      <c r="F249" s="290"/>
      <c r="G249" s="220">
        <f t="shared" si="16"/>
        <v>0</v>
      </c>
      <c r="H249" s="220">
        <f t="shared" si="17"/>
        <v>0</v>
      </c>
      <c r="I249" s="221">
        <f>IF(A249="Total",VLOOKUP(B249,CORRESPONDANCE[#All],2,FALSE),I250)</f>
        <v>0</v>
      </c>
      <c r="J249" s="222" t="str">
        <f t="shared" si="18"/>
        <v/>
      </c>
      <c r="K249" s="44" t="str">
        <f t="shared" si="19"/>
        <v xml:space="preserve">VR7 - </v>
      </c>
      <c r="L249" s="44" t="e">
        <f>+VLOOKUP(K249,TL[],4,FALSE)</f>
        <v>#N/A</v>
      </c>
    </row>
    <row r="250" spans="1:12" ht="15" x14ac:dyDescent="0.25">
      <c r="A250" s="290"/>
      <c r="B250" s="290"/>
      <c r="C250" s="290"/>
      <c r="D250" s="290"/>
      <c r="E250" s="290"/>
      <c r="F250" s="290"/>
      <c r="G250" s="220">
        <f t="shared" si="16"/>
        <v>0</v>
      </c>
      <c r="H250" s="220">
        <f t="shared" si="17"/>
        <v>0</v>
      </c>
      <c r="I250" s="221">
        <f>IF(A250="Total",VLOOKUP(B250,CORRESPONDANCE[#All],2,FALSE),I251)</f>
        <v>0</v>
      </c>
      <c r="J250" s="222" t="str">
        <f t="shared" si="18"/>
        <v/>
      </c>
      <c r="K250" s="44" t="str">
        <f t="shared" si="19"/>
        <v xml:space="preserve">VR7 - </v>
      </c>
      <c r="L250" s="44" t="e">
        <f>+VLOOKUP(K250,TL[],4,FALSE)</f>
        <v>#N/A</v>
      </c>
    </row>
    <row r="251" spans="1:12" ht="15" x14ac:dyDescent="0.25">
      <c r="A251" s="290"/>
      <c r="B251" s="290"/>
      <c r="C251" s="290"/>
      <c r="D251" s="290"/>
      <c r="E251" s="290"/>
      <c r="F251" s="290"/>
      <c r="G251" s="220">
        <f t="shared" si="16"/>
        <v>0</v>
      </c>
      <c r="H251" s="220">
        <f t="shared" si="17"/>
        <v>0</v>
      </c>
      <c r="I251" s="221">
        <f>IF(A251="Total",VLOOKUP(B251,CORRESPONDANCE[#All],2,FALSE),I252)</f>
        <v>0</v>
      </c>
      <c r="J251" s="222" t="str">
        <f t="shared" si="18"/>
        <v/>
      </c>
      <c r="K251" s="44" t="str">
        <f t="shared" si="19"/>
        <v xml:space="preserve">VR7 - </v>
      </c>
      <c r="L251" s="44" t="e">
        <f>+VLOOKUP(K251,TL[],4,FALSE)</f>
        <v>#N/A</v>
      </c>
    </row>
    <row r="252" spans="1:12" ht="15" x14ac:dyDescent="0.25">
      <c r="A252" s="290"/>
      <c r="B252" s="290"/>
      <c r="C252" s="290"/>
      <c r="D252" s="290"/>
      <c r="E252" s="290"/>
      <c r="F252" s="290"/>
      <c r="G252" s="220">
        <f t="shared" si="16"/>
        <v>0</v>
      </c>
      <c r="H252" s="220">
        <f t="shared" si="17"/>
        <v>0</v>
      </c>
      <c r="I252" s="221">
        <f>IF(A252="Total",VLOOKUP(B252,CORRESPONDANCE[#All],2,FALSE),I253)</f>
        <v>0</v>
      </c>
      <c r="J252" s="222" t="str">
        <f t="shared" si="18"/>
        <v/>
      </c>
      <c r="K252" s="44" t="str">
        <f t="shared" si="19"/>
        <v xml:space="preserve">VR7 - </v>
      </c>
      <c r="L252" s="44" t="e">
        <f>+VLOOKUP(K252,TL[],4,FALSE)</f>
        <v>#N/A</v>
      </c>
    </row>
    <row r="253" spans="1:12" ht="15" x14ac:dyDescent="0.25">
      <c r="A253" s="290"/>
      <c r="B253" s="290"/>
      <c r="C253" s="290"/>
      <c r="D253" s="290"/>
      <c r="E253" s="290"/>
      <c r="F253" s="290"/>
      <c r="G253" s="220">
        <f t="shared" si="16"/>
        <v>0</v>
      </c>
      <c r="H253" s="220">
        <f t="shared" si="17"/>
        <v>0</v>
      </c>
      <c r="I253" s="221">
        <f>IF(A253="Total",VLOOKUP(B253,CORRESPONDANCE[#All],2,FALSE),I254)</f>
        <v>0</v>
      </c>
      <c r="J253" s="222" t="str">
        <f t="shared" si="18"/>
        <v/>
      </c>
      <c r="K253" s="44" t="str">
        <f t="shared" si="19"/>
        <v xml:space="preserve">VR7 - </v>
      </c>
      <c r="L253" s="44" t="e">
        <f>+VLOOKUP(K253,TL[],4,FALSE)</f>
        <v>#N/A</v>
      </c>
    </row>
    <row r="254" spans="1:12" ht="15" x14ac:dyDescent="0.25">
      <c r="A254" s="290"/>
      <c r="B254" s="290"/>
      <c r="C254" s="290"/>
      <c r="D254" s="290"/>
      <c r="E254" s="290"/>
      <c r="F254" s="290"/>
      <c r="G254" s="220">
        <f t="shared" si="16"/>
        <v>0</v>
      </c>
      <c r="H254" s="220">
        <f t="shared" si="17"/>
        <v>0</v>
      </c>
      <c r="I254" s="221">
        <f>IF(A254="Total",VLOOKUP(B254,CORRESPONDANCE[#All],2,FALSE),I255)</f>
        <v>0</v>
      </c>
      <c r="J254" s="222" t="str">
        <f t="shared" si="18"/>
        <v/>
      </c>
      <c r="K254" s="44" t="str">
        <f t="shared" si="19"/>
        <v xml:space="preserve">VR7 - </v>
      </c>
      <c r="L254" s="44" t="e">
        <f>+VLOOKUP(K254,TL[],4,FALSE)</f>
        <v>#N/A</v>
      </c>
    </row>
    <row r="255" spans="1:12" ht="15" x14ac:dyDescent="0.25">
      <c r="A255" s="290"/>
      <c r="B255" s="290"/>
      <c r="C255" s="290"/>
      <c r="D255" s="290"/>
      <c r="E255" s="290"/>
      <c r="F255" s="290"/>
      <c r="G255" s="220">
        <f t="shared" si="16"/>
        <v>0</v>
      </c>
      <c r="H255" s="220">
        <f t="shared" si="17"/>
        <v>0</v>
      </c>
      <c r="I255" s="221">
        <f>IF(A255="Total",VLOOKUP(B255,CORRESPONDANCE[#All],2,FALSE),I256)</f>
        <v>0</v>
      </c>
      <c r="J255" s="222" t="str">
        <f t="shared" si="18"/>
        <v/>
      </c>
      <c r="K255" s="44" t="str">
        <f t="shared" si="19"/>
        <v xml:space="preserve">VR7 - </v>
      </c>
      <c r="L255" s="44" t="e">
        <f>+VLOOKUP(K255,TL[],4,FALSE)</f>
        <v>#N/A</v>
      </c>
    </row>
    <row r="256" spans="1:12" ht="15" x14ac:dyDescent="0.25">
      <c r="A256" s="290"/>
      <c r="B256" s="290"/>
      <c r="C256" s="290"/>
      <c r="D256" s="290"/>
      <c r="E256" s="290"/>
      <c r="F256" s="290"/>
      <c r="G256" s="220">
        <f t="shared" si="16"/>
        <v>0</v>
      </c>
      <c r="H256" s="220">
        <f t="shared" si="17"/>
        <v>0</v>
      </c>
      <c r="I256" s="221">
        <f>IF(A256="Total",VLOOKUP(B256,CORRESPONDANCE[#All],2,FALSE),I257)</f>
        <v>0</v>
      </c>
      <c r="J256" s="222" t="str">
        <f t="shared" si="18"/>
        <v/>
      </c>
      <c r="K256" s="44" t="str">
        <f t="shared" si="19"/>
        <v xml:space="preserve">VR7 - </v>
      </c>
      <c r="L256" s="44" t="e">
        <f>+VLOOKUP(K256,TL[],4,FALSE)</f>
        <v>#N/A</v>
      </c>
    </row>
    <row r="257" spans="1:12" ht="15" x14ac:dyDescent="0.25">
      <c r="A257" s="290"/>
      <c r="B257" s="290"/>
      <c r="C257" s="290"/>
      <c r="D257" s="290"/>
      <c r="E257" s="290"/>
      <c r="F257" s="290"/>
      <c r="G257" s="220">
        <f t="shared" si="16"/>
        <v>0</v>
      </c>
      <c r="H257" s="220">
        <f t="shared" si="17"/>
        <v>0</v>
      </c>
      <c r="I257" s="221">
        <f>IF(A257="Total",VLOOKUP(B257,CORRESPONDANCE[#All],2,FALSE),I258)</f>
        <v>0</v>
      </c>
      <c r="J257" s="222" t="str">
        <f t="shared" si="18"/>
        <v/>
      </c>
      <c r="K257" s="44" t="str">
        <f t="shared" si="19"/>
        <v xml:space="preserve">VR7 - </v>
      </c>
      <c r="L257" s="44" t="e">
        <f>+VLOOKUP(K257,TL[],4,FALSE)</f>
        <v>#N/A</v>
      </c>
    </row>
    <row r="258" spans="1:12" ht="15" x14ac:dyDescent="0.25">
      <c r="A258" s="290"/>
      <c r="B258" s="290"/>
      <c r="C258" s="290"/>
      <c r="D258" s="290"/>
      <c r="E258" s="290"/>
      <c r="F258" s="290"/>
      <c r="G258" s="220">
        <f t="shared" ref="G258:G291" si="20">SUM(C258)-SUM(D258)</f>
        <v>0</v>
      </c>
      <c r="H258" s="220">
        <f t="shared" ref="H258:H291" si="21">SUM(E258)-SUM(F258)</f>
        <v>0</v>
      </c>
      <c r="I258" s="221">
        <f>IF(A258="Total",VLOOKUP(B258,CORRESPONDANCE[#All],2,FALSE),I259)</f>
        <v>0</v>
      </c>
      <c r="J258" s="222" t="str">
        <f t="shared" ref="J258:J291" si="22">LEFT(A258,1)</f>
        <v/>
      </c>
      <c r="K258" s="44" t="str">
        <f t="shared" ref="K258:K291" si="23">"VR7"&amp;" - "&amp;A258</f>
        <v xml:space="preserve">VR7 - </v>
      </c>
      <c r="L258" s="44" t="e">
        <f>+VLOOKUP(K258,TL[],4,FALSE)</f>
        <v>#N/A</v>
      </c>
    </row>
    <row r="259" spans="1:12" ht="15" x14ac:dyDescent="0.25">
      <c r="A259" s="290"/>
      <c r="B259" s="290"/>
      <c r="C259" s="290"/>
      <c r="D259" s="290"/>
      <c r="E259" s="290"/>
      <c r="F259" s="290"/>
      <c r="G259" s="220">
        <f t="shared" si="20"/>
        <v>0</v>
      </c>
      <c r="H259" s="220">
        <f t="shared" si="21"/>
        <v>0</v>
      </c>
      <c r="I259" s="221">
        <f>IF(A259="Total",VLOOKUP(B259,CORRESPONDANCE[#All],2,FALSE),I260)</f>
        <v>0</v>
      </c>
      <c r="J259" s="222" t="str">
        <f t="shared" si="22"/>
        <v/>
      </c>
      <c r="K259" s="44" t="str">
        <f t="shared" si="23"/>
        <v xml:space="preserve">VR7 - </v>
      </c>
      <c r="L259" s="44" t="e">
        <f>+VLOOKUP(K259,TL[],4,FALSE)</f>
        <v>#N/A</v>
      </c>
    </row>
    <row r="260" spans="1:12" ht="15" x14ac:dyDescent="0.25">
      <c r="A260" s="290"/>
      <c r="B260" s="290"/>
      <c r="C260" s="290"/>
      <c r="D260" s="290"/>
      <c r="E260" s="290"/>
      <c r="F260" s="290"/>
      <c r="G260" s="220">
        <f t="shared" si="20"/>
        <v>0</v>
      </c>
      <c r="H260" s="220">
        <f t="shared" si="21"/>
        <v>0</v>
      </c>
      <c r="I260" s="221">
        <f>IF(A260="Total",VLOOKUP(B260,CORRESPONDANCE[#All],2,FALSE),I261)</f>
        <v>0</v>
      </c>
      <c r="J260" s="222" t="str">
        <f t="shared" si="22"/>
        <v/>
      </c>
      <c r="K260" s="44" t="str">
        <f t="shared" si="23"/>
        <v xml:space="preserve">VR7 - </v>
      </c>
      <c r="L260" s="44" t="e">
        <f>+VLOOKUP(K260,TL[],4,FALSE)</f>
        <v>#N/A</v>
      </c>
    </row>
    <row r="261" spans="1:12" ht="15" x14ac:dyDescent="0.25">
      <c r="A261" s="290"/>
      <c r="B261" s="290"/>
      <c r="C261" s="290"/>
      <c r="D261" s="290"/>
      <c r="E261" s="290"/>
      <c r="F261" s="290"/>
      <c r="G261" s="220">
        <f t="shared" si="20"/>
        <v>0</v>
      </c>
      <c r="H261" s="220">
        <f t="shared" si="21"/>
        <v>0</v>
      </c>
      <c r="I261" s="221">
        <f>IF(A261="Total",VLOOKUP(B261,CORRESPONDANCE[#All],2,FALSE),I262)</f>
        <v>0</v>
      </c>
      <c r="J261" s="222" t="str">
        <f t="shared" si="22"/>
        <v/>
      </c>
      <c r="K261" s="44" t="str">
        <f t="shared" si="23"/>
        <v xml:space="preserve">VR7 - </v>
      </c>
      <c r="L261" s="44" t="e">
        <f>+VLOOKUP(K261,TL[],4,FALSE)</f>
        <v>#N/A</v>
      </c>
    </row>
    <row r="262" spans="1:12" ht="15" x14ac:dyDescent="0.25">
      <c r="A262" s="290"/>
      <c r="B262" s="290"/>
      <c r="C262" s="290"/>
      <c r="D262" s="290"/>
      <c r="E262" s="290"/>
      <c r="F262" s="290"/>
      <c r="G262" s="220">
        <f t="shared" si="20"/>
        <v>0</v>
      </c>
      <c r="H262" s="220">
        <f t="shared" si="21"/>
        <v>0</v>
      </c>
      <c r="I262" s="221">
        <f>IF(A262="Total",VLOOKUP(B262,CORRESPONDANCE[#All],2,FALSE),I263)</f>
        <v>0</v>
      </c>
      <c r="J262" s="222" t="str">
        <f t="shared" si="22"/>
        <v/>
      </c>
      <c r="K262" s="44" t="str">
        <f t="shared" si="23"/>
        <v xml:space="preserve">VR7 - </v>
      </c>
      <c r="L262" s="44" t="e">
        <f>+VLOOKUP(K262,TL[],4,FALSE)</f>
        <v>#N/A</v>
      </c>
    </row>
    <row r="263" spans="1:12" ht="15" x14ac:dyDescent="0.25">
      <c r="A263" s="290"/>
      <c r="B263" s="290"/>
      <c r="C263" s="290"/>
      <c r="D263" s="290"/>
      <c r="E263" s="290"/>
      <c r="F263" s="290"/>
      <c r="G263" s="220">
        <f t="shared" si="20"/>
        <v>0</v>
      </c>
      <c r="H263" s="220">
        <f t="shared" si="21"/>
        <v>0</v>
      </c>
      <c r="I263" s="221">
        <f>IF(A263="Total",VLOOKUP(B263,CORRESPONDANCE[#All],2,FALSE),I264)</f>
        <v>0</v>
      </c>
      <c r="J263" s="222" t="str">
        <f t="shared" si="22"/>
        <v/>
      </c>
      <c r="K263" s="44" t="str">
        <f t="shared" si="23"/>
        <v xml:space="preserve">VR7 - </v>
      </c>
      <c r="L263" s="44" t="e">
        <f>+VLOOKUP(K263,TL[],4,FALSE)</f>
        <v>#N/A</v>
      </c>
    </row>
    <row r="264" spans="1:12" ht="15" x14ac:dyDescent="0.25">
      <c r="A264" s="290"/>
      <c r="B264" s="290"/>
      <c r="C264" s="290"/>
      <c r="D264" s="290"/>
      <c r="E264" s="290"/>
      <c r="F264" s="290"/>
      <c r="G264" s="220">
        <f t="shared" si="20"/>
        <v>0</v>
      </c>
      <c r="H264" s="220">
        <f t="shared" si="21"/>
        <v>0</v>
      </c>
      <c r="I264" s="221">
        <f>IF(A264="Total",VLOOKUP(B264,CORRESPONDANCE[#All],2,FALSE),I265)</f>
        <v>0</v>
      </c>
      <c r="J264" s="222" t="str">
        <f t="shared" si="22"/>
        <v/>
      </c>
      <c r="K264" s="44" t="str">
        <f t="shared" si="23"/>
        <v xml:space="preserve">VR7 - </v>
      </c>
      <c r="L264" s="44" t="e">
        <f>+VLOOKUP(K264,TL[],4,FALSE)</f>
        <v>#N/A</v>
      </c>
    </row>
    <row r="265" spans="1:12" ht="15" x14ac:dyDescent="0.25">
      <c r="A265" s="290"/>
      <c r="B265" s="290"/>
      <c r="C265" s="290"/>
      <c r="D265" s="290"/>
      <c r="E265" s="290"/>
      <c r="F265" s="290"/>
      <c r="G265" s="220">
        <f t="shared" si="20"/>
        <v>0</v>
      </c>
      <c r="H265" s="220">
        <f t="shared" si="21"/>
        <v>0</v>
      </c>
      <c r="I265" s="221">
        <f>IF(A265="Total",VLOOKUP(B265,CORRESPONDANCE[#All],2,FALSE),I266)</f>
        <v>0</v>
      </c>
      <c r="J265" s="222" t="str">
        <f t="shared" si="22"/>
        <v/>
      </c>
      <c r="K265" s="44" t="str">
        <f t="shared" si="23"/>
        <v xml:space="preserve">VR7 - </v>
      </c>
      <c r="L265" s="44" t="e">
        <f>+VLOOKUP(K265,TL[],4,FALSE)</f>
        <v>#N/A</v>
      </c>
    </row>
    <row r="266" spans="1:12" ht="15" x14ac:dyDescent="0.25">
      <c r="A266" s="290"/>
      <c r="B266" s="290"/>
      <c r="C266" s="290"/>
      <c r="D266" s="290"/>
      <c r="E266" s="290"/>
      <c r="F266" s="290"/>
      <c r="G266" s="220">
        <f t="shared" si="20"/>
        <v>0</v>
      </c>
      <c r="H266" s="220">
        <f t="shared" si="21"/>
        <v>0</v>
      </c>
      <c r="I266" s="221">
        <f>IF(A266="Total",VLOOKUP(B266,CORRESPONDANCE[#All],2,FALSE),I267)</f>
        <v>0</v>
      </c>
      <c r="J266" s="222" t="str">
        <f t="shared" si="22"/>
        <v/>
      </c>
      <c r="K266" s="44" t="str">
        <f t="shared" si="23"/>
        <v xml:space="preserve">VR7 - </v>
      </c>
      <c r="L266" s="44" t="e">
        <f>+VLOOKUP(K266,TL[],4,FALSE)</f>
        <v>#N/A</v>
      </c>
    </row>
    <row r="267" spans="1:12" ht="15" x14ac:dyDescent="0.25">
      <c r="A267" s="290"/>
      <c r="B267" s="290"/>
      <c r="C267" s="290"/>
      <c r="D267" s="290"/>
      <c r="E267" s="290"/>
      <c r="F267" s="290"/>
      <c r="G267" s="220">
        <f t="shared" si="20"/>
        <v>0</v>
      </c>
      <c r="H267" s="220">
        <f t="shared" si="21"/>
        <v>0</v>
      </c>
      <c r="I267" s="221">
        <f>IF(A267="Total",VLOOKUP(B267,CORRESPONDANCE[#All],2,FALSE),I268)</f>
        <v>0</v>
      </c>
      <c r="J267" s="222" t="str">
        <f t="shared" si="22"/>
        <v/>
      </c>
      <c r="K267" s="44" t="str">
        <f t="shared" si="23"/>
        <v xml:space="preserve">VR7 - </v>
      </c>
      <c r="L267" s="44" t="e">
        <f>+VLOOKUP(K267,TL[],4,FALSE)</f>
        <v>#N/A</v>
      </c>
    </row>
    <row r="268" spans="1:12" ht="15" x14ac:dyDescent="0.25">
      <c r="A268" s="290"/>
      <c r="B268" s="290"/>
      <c r="C268" s="290"/>
      <c r="D268" s="290"/>
      <c r="E268" s="290"/>
      <c r="F268" s="290"/>
      <c r="G268" s="220">
        <f t="shared" si="20"/>
        <v>0</v>
      </c>
      <c r="H268" s="220">
        <f t="shared" si="21"/>
        <v>0</v>
      </c>
      <c r="I268" s="221">
        <f>IF(A268="Total",VLOOKUP(B268,CORRESPONDANCE[#All],2,FALSE),I269)</f>
        <v>0</v>
      </c>
      <c r="J268" s="222" t="str">
        <f t="shared" si="22"/>
        <v/>
      </c>
      <c r="K268" s="44" t="str">
        <f t="shared" si="23"/>
        <v xml:space="preserve">VR7 - </v>
      </c>
      <c r="L268" s="44" t="e">
        <f>+VLOOKUP(K268,TL[],4,FALSE)</f>
        <v>#N/A</v>
      </c>
    </row>
    <row r="269" spans="1:12" ht="15" x14ac:dyDescent="0.25">
      <c r="A269" s="290"/>
      <c r="B269" s="290"/>
      <c r="C269" s="290"/>
      <c r="D269" s="290"/>
      <c r="E269" s="290"/>
      <c r="F269" s="290"/>
      <c r="G269" s="220">
        <f t="shared" si="20"/>
        <v>0</v>
      </c>
      <c r="H269" s="220">
        <f t="shared" si="21"/>
        <v>0</v>
      </c>
      <c r="I269" s="221">
        <f>IF(A269="Total",VLOOKUP(B269,CORRESPONDANCE[#All],2,FALSE),I270)</f>
        <v>0</v>
      </c>
      <c r="J269" s="222" t="str">
        <f t="shared" si="22"/>
        <v/>
      </c>
      <c r="K269" s="44" t="str">
        <f t="shared" si="23"/>
        <v xml:space="preserve">VR7 - </v>
      </c>
      <c r="L269" s="44" t="e">
        <f>+VLOOKUP(K269,TL[],4,FALSE)</f>
        <v>#N/A</v>
      </c>
    </row>
    <row r="270" spans="1:12" ht="15" x14ac:dyDescent="0.25">
      <c r="A270" s="290"/>
      <c r="B270" s="290"/>
      <c r="C270" s="290"/>
      <c r="D270" s="290"/>
      <c r="E270" s="290"/>
      <c r="F270" s="290"/>
      <c r="G270" s="220">
        <f t="shared" si="20"/>
        <v>0</v>
      </c>
      <c r="H270" s="220">
        <f t="shared" si="21"/>
        <v>0</v>
      </c>
      <c r="I270" s="221">
        <f>IF(A270="Total",VLOOKUP(B270,CORRESPONDANCE[#All],2,FALSE),I271)</f>
        <v>0</v>
      </c>
      <c r="J270" s="222" t="str">
        <f t="shared" si="22"/>
        <v/>
      </c>
      <c r="K270" s="44" t="str">
        <f t="shared" si="23"/>
        <v xml:space="preserve">VR7 - </v>
      </c>
      <c r="L270" s="44" t="e">
        <f>+VLOOKUP(K270,TL[],4,FALSE)</f>
        <v>#N/A</v>
      </c>
    </row>
    <row r="271" spans="1:12" ht="15" x14ac:dyDescent="0.25">
      <c r="A271" s="290"/>
      <c r="B271" s="290"/>
      <c r="C271" s="290"/>
      <c r="D271" s="290"/>
      <c r="E271" s="290"/>
      <c r="F271" s="290"/>
      <c r="G271" s="220">
        <f t="shared" si="20"/>
        <v>0</v>
      </c>
      <c r="H271" s="220">
        <f t="shared" si="21"/>
        <v>0</v>
      </c>
      <c r="I271" s="221">
        <f>IF(A271="Total",VLOOKUP(B271,CORRESPONDANCE[#All],2,FALSE),I272)</f>
        <v>0</v>
      </c>
      <c r="J271" s="222" t="str">
        <f t="shared" si="22"/>
        <v/>
      </c>
      <c r="K271" s="44" t="str">
        <f t="shared" si="23"/>
        <v xml:space="preserve">VR7 - </v>
      </c>
      <c r="L271" s="44" t="e">
        <f>+VLOOKUP(K271,TL[],4,FALSE)</f>
        <v>#N/A</v>
      </c>
    </row>
    <row r="272" spans="1:12" ht="15" x14ac:dyDescent="0.25">
      <c r="A272" s="290"/>
      <c r="B272" s="290"/>
      <c r="C272" s="290"/>
      <c r="D272" s="290"/>
      <c r="E272" s="290"/>
      <c r="F272" s="290"/>
      <c r="G272" s="220">
        <f t="shared" si="20"/>
        <v>0</v>
      </c>
      <c r="H272" s="220">
        <f t="shared" si="21"/>
        <v>0</v>
      </c>
      <c r="I272" s="221">
        <f>IF(A272="Total",VLOOKUP(B272,CORRESPONDANCE[#All],2,FALSE),I273)</f>
        <v>0</v>
      </c>
      <c r="J272" s="222" t="str">
        <f t="shared" si="22"/>
        <v/>
      </c>
      <c r="K272" s="44" t="str">
        <f t="shared" si="23"/>
        <v xml:space="preserve">VR7 - </v>
      </c>
      <c r="L272" s="44" t="e">
        <f>+VLOOKUP(K272,TL[],4,FALSE)</f>
        <v>#N/A</v>
      </c>
    </row>
    <row r="273" spans="1:12" ht="15" x14ac:dyDescent="0.25">
      <c r="A273" s="290"/>
      <c r="B273" s="290"/>
      <c r="C273" s="290"/>
      <c r="D273" s="290"/>
      <c r="E273" s="290"/>
      <c r="F273" s="290"/>
      <c r="G273" s="220">
        <f t="shared" si="20"/>
        <v>0</v>
      </c>
      <c r="H273" s="220">
        <f t="shared" si="21"/>
        <v>0</v>
      </c>
      <c r="I273" s="221">
        <f>IF(A273="Total",VLOOKUP(B273,CORRESPONDANCE[#All],2,FALSE),I274)</f>
        <v>0</v>
      </c>
      <c r="J273" s="222" t="str">
        <f t="shared" si="22"/>
        <v/>
      </c>
      <c r="K273" s="44" t="str">
        <f t="shared" si="23"/>
        <v xml:space="preserve">VR7 - </v>
      </c>
      <c r="L273" s="44" t="e">
        <f>+VLOOKUP(K273,TL[],4,FALSE)</f>
        <v>#N/A</v>
      </c>
    </row>
    <row r="274" spans="1:12" ht="15" x14ac:dyDescent="0.25">
      <c r="A274" s="290"/>
      <c r="B274" s="290"/>
      <c r="C274" s="290"/>
      <c r="D274" s="290"/>
      <c r="E274" s="290"/>
      <c r="F274" s="290"/>
      <c r="G274" s="220">
        <f t="shared" si="20"/>
        <v>0</v>
      </c>
      <c r="H274" s="220">
        <f t="shared" si="21"/>
        <v>0</v>
      </c>
      <c r="I274" s="221">
        <f>IF(A274="Total",VLOOKUP(B274,CORRESPONDANCE[#All],2,FALSE),I275)</f>
        <v>0</v>
      </c>
      <c r="J274" s="222" t="str">
        <f t="shared" si="22"/>
        <v/>
      </c>
      <c r="K274" s="44" t="str">
        <f t="shared" si="23"/>
        <v xml:space="preserve">VR7 - </v>
      </c>
      <c r="L274" s="44" t="e">
        <f>+VLOOKUP(K274,TL[],4,FALSE)</f>
        <v>#N/A</v>
      </c>
    </row>
    <row r="275" spans="1:12" ht="15" x14ac:dyDescent="0.25">
      <c r="A275" s="290"/>
      <c r="B275" s="290"/>
      <c r="C275" s="290"/>
      <c r="D275" s="290"/>
      <c r="E275" s="290"/>
      <c r="F275" s="290"/>
      <c r="G275" s="220">
        <f t="shared" si="20"/>
        <v>0</v>
      </c>
      <c r="H275" s="220">
        <f t="shared" si="21"/>
        <v>0</v>
      </c>
      <c r="I275" s="221">
        <f>IF(A275="Total",VLOOKUP(B275,CORRESPONDANCE[#All],2,FALSE),I276)</f>
        <v>0</v>
      </c>
      <c r="J275" s="222" t="str">
        <f t="shared" si="22"/>
        <v/>
      </c>
      <c r="K275" s="44" t="str">
        <f t="shared" si="23"/>
        <v xml:space="preserve">VR7 - </v>
      </c>
      <c r="L275" s="44" t="e">
        <f>+VLOOKUP(K275,TL[],4,FALSE)</f>
        <v>#N/A</v>
      </c>
    </row>
    <row r="276" spans="1:12" ht="15" x14ac:dyDescent="0.25">
      <c r="A276" s="290"/>
      <c r="B276" s="290"/>
      <c r="C276" s="290"/>
      <c r="D276" s="290"/>
      <c r="E276" s="290"/>
      <c r="F276" s="290"/>
      <c r="G276" s="220">
        <f t="shared" si="20"/>
        <v>0</v>
      </c>
      <c r="H276" s="220">
        <f t="shared" si="21"/>
        <v>0</v>
      </c>
      <c r="I276" s="221">
        <f>IF(A276="Total",VLOOKUP(B276,CORRESPONDANCE[#All],2,FALSE),I277)</f>
        <v>0</v>
      </c>
      <c r="J276" s="222" t="str">
        <f t="shared" si="22"/>
        <v/>
      </c>
      <c r="K276" s="44" t="str">
        <f t="shared" si="23"/>
        <v xml:space="preserve">VR7 - </v>
      </c>
      <c r="L276" s="44" t="e">
        <f>+VLOOKUP(K276,TL[],4,FALSE)</f>
        <v>#N/A</v>
      </c>
    </row>
    <row r="277" spans="1:12" ht="15" x14ac:dyDescent="0.25">
      <c r="A277" s="290"/>
      <c r="B277" s="290"/>
      <c r="C277" s="290"/>
      <c r="D277" s="290"/>
      <c r="E277" s="290"/>
      <c r="F277" s="290"/>
      <c r="G277" s="220">
        <f t="shared" si="20"/>
        <v>0</v>
      </c>
      <c r="H277" s="220">
        <f t="shared" si="21"/>
        <v>0</v>
      </c>
      <c r="I277" s="221">
        <f>IF(A277="Total",VLOOKUP(B277,CORRESPONDANCE[#All],2,FALSE),I278)</f>
        <v>0</v>
      </c>
      <c r="J277" s="222" t="str">
        <f t="shared" si="22"/>
        <v/>
      </c>
      <c r="K277" s="44" t="str">
        <f t="shared" si="23"/>
        <v xml:space="preserve">VR7 - </v>
      </c>
      <c r="L277" s="44" t="e">
        <f>+VLOOKUP(K277,TL[],4,FALSE)</f>
        <v>#N/A</v>
      </c>
    </row>
    <row r="278" spans="1:12" ht="15" x14ac:dyDescent="0.25">
      <c r="A278" s="290"/>
      <c r="B278" s="290"/>
      <c r="C278" s="290"/>
      <c r="D278" s="290"/>
      <c r="E278" s="290"/>
      <c r="F278" s="290"/>
      <c r="G278" s="220">
        <f t="shared" si="20"/>
        <v>0</v>
      </c>
      <c r="H278" s="220">
        <f t="shared" si="21"/>
        <v>0</v>
      </c>
      <c r="I278" s="221">
        <f>IF(A278="Total",VLOOKUP(B278,CORRESPONDANCE[#All],2,FALSE),I279)</f>
        <v>0</v>
      </c>
      <c r="J278" s="222" t="str">
        <f t="shared" si="22"/>
        <v/>
      </c>
      <c r="K278" s="44" t="str">
        <f t="shared" si="23"/>
        <v xml:space="preserve">VR7 - </v>
      </c>
      <c r="L278" s="44" t="e">
        <f>+VLOOKUP(K278,TL[],4,FALSE)</f>
        <v>#N/A</v>
      </c>
    </row>
    <row r="279" spans="1:12" ht="15" x14ac:dyDescent="0.25">
      <c r="A279" s="290"/>
      <c r="B279" s="290"/>
      <c r="C279" s="290"/>
      <c r="D279" s="290"/>
      <c r="E279" s="290"/>
      <c r="F279" s="290"/>
      <c r="G279" s="220">
        <f t="shared" si="20"/>
        <v>0</v>
      </c>
      <c r="H279" s="220">
        <f t="shared" si="21"/>
        <v>0</v>
      </c>
      <c r="I279" s="221">
        <f>IF(A279="Total",VLOOKUP(B279,CORRESPONDANCE[#All],2,FALSE),I280)</f>
        <v>0</v>
      </c>
      <c r="J279" s="222" t="str">
        <f t="shared" si="22"/>
        <v/>
      </c>
      <c r="K279" s="44" t="str">
        <f t="shared" si="23"/>
        <v xml:space="preserve">VR7 - </v>
      </c>
      <c r="L279" s="44" t="e">
        <f>+VLOOKUP(K279,TL[],4,FALSE)</f>
        <v>#N/A</v>
      </c>
    </row>
    <row r="280" spans="1:12" ht="15" x14ac:dyDescent="0.25">
      <c r="A280" s="290"/>
      <c r="B280" s="290"/>
      <c r="C280" s="290"/>
      <c r="D280" s="290"/>
      <c r="E280" s="290"/>
      <c r="F280" s="290"/>
      <c r="G280" s="220">
        <f t="shared" si="20"/>
        <v>0</v>
      </c>
      <c r="H280" s="220">
        <f t="shared" si="21"/>
        <v>0</v>
      </c>
      <c r="I280" s="221">
        <f>IF(A280="Total",VLOOKUP(B280,CORRESPONDANCE[#All],2,FALSE),I281)</f>
        <v>0</v>
      </c>
      <c r="J280" s="222" t="str">
        <f t="shared" si="22"/>
        <v/>
      </c>
      <c r="K280" s="44" t="str">
        <f t="shared" si="23"/>
        <v xml:space="preserve">VR7 - </v>
      </c>
      <c r="L280" s="44" t="e">
        <f>+VLOOKUP(K280,TL[],4,FALSE)</f>
        <v>#N/A</v>
      </c>
    </row>
    <row r="281" spans="1:12" ht="15" x14ac:dyDescent="0.25">
      <c r="A281" s="290"/>
      <c r="B281" s="290"/>
      <c r="C281" s="290"/>
      <c r="D281" s="290"/>
      <c r="E281" s="290"/>
      <c r="F281" s="290"/>
      <c r="G281" s="220">
        <f t="shared" si="20"/>
        <v>0</v>
      </c>
      <c r="H281" s="220">
        <f t="shared" si="21"/>
        <v>0</v>
      </c>
      <c r="I281" s="221">
        <f>IF(A281="Total",VLOOKUP(B281,CORRESPONDANCE[#All],2,FALSE),I282)</f>
        <v>0</v>
      </c>
      <c r="J281" s="222" t="str">
        <f t="shared" si="22"/>
        <v/>
      </c>
      <c r="K281" s="44" t="str">
        <f t="shared" si="23"/>
        <v xml:space="preserve">VR7 - </v>
      </c>
      <c r="L281" s="44" t="e">
        <f>+VLOOKUP(K281,TL[],4,FALSE)</f>
        <v>#N/A</v>
      </c>
    </row>
    <row r="282" spans="1:12" ht="15" x14ac:dyDescent="0.25">
      <c r="A282" s="290"/>
      <c r="B282" s="290"/>
      <c r="C282" s="290"/>
      <c r="D282" s="290"/>
      <c r="E282" s="290"/>
      <c r="F282" s="290"/>
      <c r="G282" s="220">
        <f t="shared" si="20"/>
        <v>0</v>
      </c>
      <c r="H282" s="220">
        <f t="shared" si="21"/>
        <v>0</v>
      </c>
      <c r="I282" s="221">
        <f>IF(A282="Total",VLOOKUP(B282,CORRESPONDANCE[#All],2,FALSE),I283)</f>
        <v>0</v>
      </c>
      <c r="J282" s="222" t="str">
        <f t="shared" si="22"/>
        <v/>
      </c>
      <c r="K282" s="44" t="str">
        <f t="shared" si="23"/>
        <v xml:space="preserve">VR7 - </v>
      </c>
      <c r="L282" s="44" t="e">
        <f>+VLOOKUP(K282,TL[],4,FALSE)</f>
        <v>#N/A</v>
      </c>
    </row>
    <row r="283" spans="1:12" ht="15" x14ac:dyDescent="0.25">
      <c r="A283" s="290"/>
      <c r="B283" s="290"/>
      <c r="C283" s="290"/>
      <c r="D283" s="290"/>
      <c r="E283" s="290"/>
      <c r="F283" s="290"/>
      <c r="G283" s="220">
        <f t="shared" si="20"/>
        <v>0</v>
      </c>
      <c r="H283" s="220">
        <f t="shared" si="21"/>
        <v>0</v>
      </c>
      <c r="I283" s="221">
        <f>IF(A283="Total",VLOOKUP(B283,CORRESPONDANCE[#All],2,FALSE),I284)</f>
        <v>0</v>
      </c>
      <c r="J283" s="222" t="str">
        <f t="shared" si="22"/>
        <v/>
      </c>
      <c r="K283" s="44" t="str">
        <f t="shared" si="23"/>
        <v xml:space="preserve">VR7 - </v>
      </c>
      <c r="L283" s="44" t="e">
        <f>+VLOOKUP(K283,TL[],4,FALSE)</f>
        <v>#N/A</v>
      </c>
    </row>
    <row r="284" spans="1:12" ht="15" x14ac:dyDescent="0.25">
      <c r="A284" s="290"/>
      <c r="B284" s="290"/>
      <c r="C284" s="290"/>
      <c r="D284" s="290"/>
      <c r="E284" s="290"/>
      <c r="F284" s="290"/>
      <c r="G284" s="220">
        <f t="shared" si="20"/>
        <v>0</v>
      </c>
      <c r="H284" s="220">
        <f t="shared" si="21"/>
        <v>0</v>
      </c>
      <c r="I284" s="221">
        <f>IF(A284="Total",VLOOKUP(B284,CORRESPONDANCE[#All],2,FALSE),I285)</f>
        <v>0</v>
      </c>
      <c r="J284" s="222" t="str">
        <f t="shared" si="22"/>
        <v/>
      </c>
      <c r="K284" s="44" t="str">
        <f t="shared" si="23"/>
        <v xml:space="preserve">VR7 - </v>
      </c>
      <c r="L284" s="44" t="e">
        <f>+VLOOKUP(K284,TL[],4,FALSE)</f>
        <v>#N/A</v>
      </c>
    </row>
    <row r="285" spans="1:12" ht="15" x14ac:dyDescent="0.25">
      <c r="A285" s="290"/>
      <c r="B285" s="290"/>
      <c r="C285" s="290"/>
      <c r="D285" s="290"/>
      <c r="E285" s="290"/>
      <c r="F285" s="290"/>
      <c r="G285" s="220">
        <f t="shared" si="20"/>
        <v>0</v>
      </c>
      <c r="H285" s="220">
        <f t="shared" si="21"/>
        <v>0</v>
      </c>
      <c r="I285" s="221">
        <f>IF(A285="Total",VLOOKUP(B285,CORRESPONDANCE[#All],2,FALSE),I286)</f>
        <v>0</v>
      </c>
      <c r="J285" s="222" t="str">
        <f t="shared" si="22"/>
        <v/>
      </c>
      <c r="K285" s="44" t="str">
        <f t="shared" si="23"/>
        <v xml:space="preserve">VR7 - </v>
      </c>
      <c r="L285" s="44" t="e">
        <f>+VLOOKUP(K285,TL[],4,FALSE)</f>
        <v>#N/A</v>
      </c>
    </row>
    <row r="286" spans="1:12" ht="15" x14ac:dyDescent="0.25">
      <c r="A286" s="290"/>
      <c r="B286" s="290"/>
      <c r="C286" s="290"/>
      <c r="D286" s="290"/>
      <c r="E286" s="290"/>
      <c r="F286" s="290"/>
      <c r="G286" s="220">
        <f t="shared" si="20"/>
        <v>0</v>
      </c>
      <c r="H286" s="220">
        <f t="shared" si="21"/>
        <v>0</v>
      </c>
      <c r="I286" s="221">
        <f>IF(A286="Total",VLOOKUP(B286,CORRESPONDANCE[#All],2,FALSE),I287)</f>
        <v>0</v>
      </c>
      <c r="J286" s="222" t="str">
        <f t="shared" si="22"/>
        <v/>
      </c>
      <c r="K286" s="44" t="str">
        <f t="shared" si="23"/>
        <v xml:space="preserve">VR7 - </v>
      </c>
      <c r="L286" s="44" t="e">
        <f>+VLOOKUP(K286,TL[],4,FALSE)</f>
        <v>#N/A</v>
      </c>
    </row>
    <row r="287" spans="1:12" ht="15" x14ac:dyDescent="0.25">
      <c r="A287" s="290"/>
      <c r="B287" s="290"/>
      <c r="C287" s="290"/>
      <c r="D287" s="290"/>
      <c r="E287" s="290"/>
      <c r="F287" s="290"/>
      <c r="G287" s="220">
        <f t="shared" si="20"/>
        <v>0</v>
      </c>
      <c r="H287" s="220">
        <f t="shared" si="21"/>
        <v>0</v>
      </c>
      <c r="I287" s="221">
        <f>IF(A287="Total",VLOOKUP(B287,CORRESPONDANCE[#All],2,FALSE),I288)</f>
        <v>0</v>
      </c>
      <c r="J287" s="222" t="str">
        <f t="shared" si="22"/>
        <v/>
      </c>
      <c r="K287" s="44" t="str">
        <f t="shared" si="23"/>
        <v xml:space="preserve">VR7 - </v>
      </c>
      <c r="L287" s="44" t="e">
        <f>+VLOOKUP(K287,TL[],4,FALSE)</f>
        <v>#N/A</v>
      </c>
    </row>
    <row r="288" spans="1:12" ht="15" x14ac:dyDescent="0.25">
      <c r="A288" s="290"/>
      <c r="B288" s="290"/>
      <c r="C288" s="290"/>
      <c r="D288" s="290"/>
      <c r="E288" s="290"/>
      <c r="F288" s="290"/>
      <c r="G288" s="220">
        <f t="shared" si="20"/>
        <v>0</v>
      </c>
      <c r="H288" s="220">
        <f t="shared" si="21"/>
        <v>0</v>
      </c>
      <c r="I288" s="221">
        <f>IF(A288="Total",VLOOKUP(B288,CORRESPONDANCE[#All],2,FALSE),I289)</f>
        <v>0</v>
      </c>
      <c r="J288" s="222" t="str">
        <f t="shared" si="22"/>
        <v/>
      </c>
      <c r="K288" s="44" t="str">
        <f t="shared" si="23"/>
        <v xml:space="preserve">VR7 - </v>
      </c>
      <c r="L288" s="44" t="e">
        <f>+VLOOKUP(K288,TL[],4,FALSE)</f>
        <v>#N/A</v>
      </c>
    </row>
    <row r="289" spans="1:12" ht="15" x14ac:dyDescent="0.25">
      <c r="A289" s="290"/>
      <c r="B289" s="290"/>
      <c r="C289" s="290"/>
      <c r="D289" s="290"/>
      <c r="E289" s="290"/>
      <c r="F289" s="290"/>
      <c r="G289" s="220">
        <f t="shared" si="20"/>
        <v>0</v>
      </c>
      <c r="H289" s="220">
        <f t="shared" si="21"/>
        <v>0</v>
      </c>
      <c r="I289" s="221">
        <f>IF(A289="Total",VLOOKUP(B289,CORRESPONDANCE[#All],2,FALSE),I290)</f>
        <v>0</v>
      </c>
      <c r="J289" s="222" t="str">
        <f t="shared" si="22"/>
        <v/>
      </c>
      <c r="K289" s="44" t="str">
        <f t="shared" si="23"/>
        <v xml:space="preserve">VR7 - </v>
      </c>
      <c r="L289" s="44" t="e">
        <f>+VLOOKUP(K289,TL[],4,FALSE)</f>
        <v>#N/A</v>
      </c>
    </row>
    <row r="290" spans="1:12" ht="15" x14ac:dyDescent="0.25">
      <c r="A290" s="290"/>
      <c r="B290" s="290"/>
      <c r="C290" s="290"/>
      <c r="D290" s="290"/>
      <c r="E290" s="290"/>
      <c r="F290" s="290"/>
      <c r="G290" s="220">
        <f t="shared" si="20"/>
        <v>0</v>
      </c>
      <c r="H290" s="220">
        <f t="shared" si="21"/>
        <v>0</v>
      </c>
      <c r="I290" s="221">
        <f>IF(A290="Total",VLOOKUP(B290,CORRESPONDANCE[#All],2,FALSE),I291)</f>
        <v>0</v>
      </c>
      <c r="J290" s="222" t="str">
        <f t="shared" si="22"/>
        <v/>
      </c>
      <c r="K290" s="44" t="str">
        <f t="shared" si="23"/>
        <v xml:space="preserve">VR7 - </v>
      </c>
      <c r="L290" s="44" t="e">
        <f>+VLOOKUP(K290,TL[],4,FALSE)</f>
        <v>#N/A</v>
      </c>
    </row>
    <row r="291" spans="1:12" ht="15" x14ac:dyDescent="0.25">
      <c r="A291" s="290"/>
      <c r="B291" s="290"/>
      <c r="C291" s="290"/>
      <c r="D291" s="290"/>
      <c r="E291" s="290"/>
      <c r="F291" s="290"/>
      <c r="G291" s="220">
        <f t="shared" si="20"/>
        <v>0</v>
      </c>
      <c r="H291" s="220">
        <f t="shared" si="21"/>
        <v>0</v>
      </c>
      <c r="I291" s="221">
        <f>IF(A291="Total",VLOOKUP(B291,CORRESPONDANCE[#All],2,FALSE),I292)</f>
        <v>0</v>
      </c>
      <c r="J291" s="222" t="str">
        <f t="shared" si="22"/>
        <v/>
      </c>
      <c r="K291" s="44" t="str">
        <f t="shared" si="23"/>
        <v xml:space="preserve">VR7 - </v>
      </c>
      <c r="L291" s="44" t="e">
        <f>+VLOOKUP(K291,TL[],4,FALSE)</f>
        <v>#N/A</v>
      </c>
    </row>
    <row r="292" spans="1:12" ht="15" x14ac:dyDescent="0.25">
      <c r="A292" s="290"/>
      <c r="B292" s="290"/>
      <c r="C292" s="290"/>
      <c r="D292" s="290"/>
      <c r="E292" s="290"/>
      <c r="F292" s="290"/>
    </row>
    <row r="293" spans="1:12" ht="15" x14ac:dyDescent="0.25">
      <c r="A293" s="290"/>
      <c r="B293" s="290"/>
      <c r="C293" s="290"/>
      <c r="D293" s="290"/>
      <c r="E293" s="290"/>
      <c r="F293" s="290"/>
    </row>
    <row r="294" spans="1:12" ht="15" x14ac:dyDescent="0.25">
      <c r="A294" s="290"/>
      <c r="B294" s="290"/>
      <c r="C294" s="290"/>
      <c r="D294" s="290"/>
      <c r="E294" s="290"/>
      <c r="F294" s="290"/>
    </row>
    <row r="295" spans="1:12" ht="15" x14ac:dyDescent="0.25">
      <c r="A295" s="290"/>
      <c r="B295" s="290"/>
      <c r="C295" s="290"/>
      <c r="D295" s="290"/>
      <c r="E295" s="290"/>
      <c r="F295" s="290"/>
    </row>
    <row r="296" spans="1:12" ht="15" x14ac:dyDescent="0.25">
      <c r="A296" s="290"/>
      <c r="B296" s="290"/>
      <c r="C296" s="290"/>
      <c r="D296" s="290"/>
      <c r="E296" s="290"/>
      <c r="F296" s="290"/>
    </row>
    <row r="297" spans="1:12" ht="15" x14ac:dyDescent="0.25">
      <c r="A297" s="290"/>
      <c r="B297" s="290"/>
      <c r="C297" s="290"/>
      <c r="D297" s="290"/>
      <c r="E297" s="290"/>
      <c r="F297" s="290"/>
    </row>
    <row r="298" spans="1:12" ht="15" x14ac:dyDescent="0.25">
      <c r="A298" s="290"/>
      <c r="B298" s="290"/>
      <c r="C298" s="290"/>
      <c r="D298" s="290"/>
      <c r="E298" s="290"/>
      <c r="F298" s="290"/>
    </row>
    <row r="299" spans="1:12" ht="15" x14ac:dyDescent="0.25">
      <c r="A299" s="290"/>
      <c r="B299" s="290"/>
      <c r="C299" s="290"/>
      <c r="D299" s="290"/>
      <c r="E299" s="290"/>
      <c r="F299" s="290"/>
    </row>
    <row r="300" spans="1:12" ht="15" x14ac:dyDescent="0.25">
      <c r="A300" s="290"/>
      <c r="B300" s="290"/>
      <c r="C300" s="290"/>
      <c r="D300" s="290"/>
      <c r="E300" s="290"/>
      <c r="F300" s="290"/>
    </row>
    <row r="301" spans="1:12" ht="15" x14ac:dyDescent="0.25">
      <c r="A301" s="290"/>
      <c r="B301" s="290"/>
      <c r="C301" s="290"/>
      <c r="D301" s="290"/>
      <c r="E301" s="290"/>
      <c r="F301" s="290"/>
    </row>
    <row r="302" spans="1:12" ht="15" x14ac:dyDescent="0.25">
      <c r="A302" s="290"/>
      <c r="B302" s="290"/>
      <c r="C302" s="290"/>
      <c r="D302" s="290"/>
      <c r="E302" s="290"/>
      <c r="F302" s="290"/>
    </row>
    <row r="303" spans="1:12" ht="15" x14ac:dyDescent="0.25">
      <c r="A303" s="290"/>
      <c r="B303" s="290"/>
      <c r="C303" s="290"/>
      <c r="D303" s="290"/>
      <c r="E303" s="290"/>
      <c r="F303" s="290"/>
    </row>
    <row r="304" spans="1:12" ht="15" x14ac:dyDescent="0.25">
      <c r="A304" s="290"/>
      <c r="B304" s="290"/>
      <c r="C304" s="290"/>
      <c r="D304" s="290"/>
      <c r="E304" s="290"/>
      <c r="F304" s="290"/>
    </row>
  </sheetData>
  <autoFilter ref="A1:L291" xr:uid="{E371BFA6-4080-4494-874A-C9390FA65B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9E7-E62B-4C01-8872-52BDA37841F5}">
  <sheetPr>
    <tabColor theme="7" tint="0.59999389629810485"/>
  </sheetPr>
  <dimension ref="A1:L328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5703125" style="224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1793</v>
      </c>
      <c r="B2" t="s">
        <v>64</v>
      </c>
      <c r="C2">
        <v>8593.67</v>
      </c>
      <c r="D2" t="s">
        <v>6961</v>
      </c>
      <c r="E2">
        <v>8593.67</v>
      </c>
      <c r="F2" t="s">
        <v>6961</v>
      </c>
      <c r="G2" s="220">
        <f>SUM(C2)-SUM(D2)</f>
        <v>8593.67</v>
      </c>
      <c r="H2" s="220">
        <f>SUM(E2)-SUM(F2)</f>
        <v>8593.67</v>
      </c>
      <c r="I2" s="221">
        <f>IF(A2="Total",VLOOKUP(B2,CORRESPONDANCE[#All],2,FALSE),I3)</f>
        <v>2</v>
      </c>
      <c r="J2" s="222" t="str">
        <f>LEFT(A2,1)</f>
        <v>7</v>
      </c>
      <c r="K2" s="44" t="str">
        <f>"TURVILLA"&amp;" - "&amp;A2</f>
        <v>TURVILLA - 701001</v>
      </c>
      <c r="L2" s="44" t="str">
        <f>+VLOOKUP(K2,TL[],4,FALSE)</f>
        <v>01</v>
      </c>
    </row>
    <row r="3" spans="1:12" x14ac:dyDescent="0.2">
      <c r="A3" t="s">
        <v>1797</v>
      </c>
      <c r="B3" t="s">
        <v>2431</v>
      </c>
      <c r="C3" t="s">
        <v>6961</v>
      </c>
      <c r="D3">
        <v>2024.06</v>
      </c>
      <c r="E3" t="s">
        <v>6961</v>
      </c>
      <c r="F3">
        <v>2024.06</v>
      </c>
      <c r="G3" s="220">
        <f>SUM(C3)-SUM(D3)</f>
        <v>-2024.06</v>
      </c>
      <c r="H3" s="220">
        <f>SUM(E3)-SUM(F3)</f>
        <v>-2024.06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"TURVILLA"&amp;" - "&amp;A3</f>
        <v>TURVILLA - 701002</v>
      </c>
      <c r="L3" s="44" t="str">
        <f>+VLOOKUP(K3,TL[],4,FALSE)</f>
        <v>01</v>
      </c>
    </row>
    <row r="4" spans="1:12" x14ac:dyDescent="0.2">
      <c r="A4" t="s">
        <v>2046</v>
      </c>
      <c r="B4" t="s">
        <v>2432</v>
      </c>
      <c r="C4" t="s">
        <v>6961</v>
      </c>
      <c r="D4">
        <v>1230.77</v>
      </c>
      <c r="E4" t="s">
        <v>6961</v>
      </c>
      <c r="F4">
        <v>1230.77</v>
      </c>
      <c r="G4" s="220">
        <f>SUM(C4)-SUM(D4)</f>
        <v>-1230.77</v>
      </c>
      <c r="H4" s="220">
        <f>SUM(E4)-SUM(F4)</f>
        <v>-1230.77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TURVILLA - 701004</v>
      </c>
      <c r="L4" s="44" t="str">
        <f>+VLOOKUP(K4,TL[],4,FALSE)</f>
        <v>01</v>
      </c>
    </row>
    <row r="5" spans="1:12" x14ac:dyDescent="0.2">
      <c r="A5" t="s">
        <v>1800</v>
      </c>
      <c r="B5" t="s">
        <v>2475</v>
      </c>
      <c r="C5" t="s">
        <v>6961</v>
      </c>
      <c r="D5">
        <v>463206.78</v>
      </c>
      <c r="E5" t="s">
        <v>6961</v>
      </c>
      <c r="F5">
        <v>463206.78</v>
      </c>
      <c r="G5" s="220">
        <f>SUM(C5)-SUM(D5)</f>
        <v>-463206.78</v>
      </c>
      <c r="H5" s="220">
        <f>SUM(E5)-SUM(F5)</f>
        <v>-463206.78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TURVILLA - 701005</v>
      </c>
      <c r="L5" s="44" t="str">
        <f>+VLOOKUP(K5,TL[],4,FALSE)</f>
        <v>01</v>
      </c>
    </row>
    <row r="6" spans="1:12" x14ac:dyDescent="0.2">
      <c r="A6" t="s">
        <v>197</v>
      </c>
      <c r="B6" t="s">
        <v>2514</v>
      </c>
      <c r="C6" t="s">
        <v>6961</v>
      </c>
      <c r="D6">
        <v>457867.94</v>
      </c>
      <c r="E6" t="s">
        <v>6961</v>
      </c>
      <c r="F6">
        <v>457867.94</v>
      </c>
      <c r="G6" s="220">
        <f t="shared" ref="G6:G69" si="2">SUM(C6)-SUM(D6)</f>
        <v>-457867.94</v>
      </c>
      <c r="H6" s="220">
        <f t="shared" ref="H6:H69" si="3">SUM(E6)-SUM(F6)</f>
        <v>-457867.94</v>
      </c>
      <c r="I6" s="221">
        <f>IF(A6="Total",VLOOKUP(B6,CORRESPONDANCE[#All],2,FALSE),I7)</f>
        <v>2</v>
      </c>
      <c r="J6" s="222" t="str">
        <f t="shared" si="0"/>
        <v>T</v>
      </c>
      <c r="K6" s="44" t="str">
        <f t="shared" si="1"/>
        <v>TURVILLA - Total</v>
      </c>
      <c r="L6" s="44" t="e">
        <f>+VLOOKUP(K6,TL[],4,FALSE)</f>
        <v>#N/A</v>
      </c>
    </row>
    <row r="7" spans="1:12" x14ac:dyDescent="0.2">
      <c r="A7" t="s">
        <v>1607</v>
      </c>
      <c r="B7" t="s">
        <v>2211</v>
      </c>
      <c r="C7">
        <v>103513.01</v>
      </c>
      <c r="D7" t="s">
        <v>6961</v>
      </c>
      <c r="E7">
        <v>103513.01</v>
      </c>
      <c r="F7" t="s">
        <v>6961</v>
      </c>
      <c r="G7" s="220">
        <f t="shared" si="2"/>
        <v>103513.01</v>
      </c>
      <c r="H7" s="220">
        <f t="shared" si="3"/>
        <v>103513.01</v>
      </c>
      <c r="I7" s="221">
        <f>IF(A7="Total",VLOOKUP(B7,CORRESPONDANCE[#All],2,FALSE),I8)</f>
        <v>3</v>
      </c>
      <c r="J7" s="222" t="str">
        <f t="shared" si="0"/>
        <v>6</v>
      </c>
      <c r="K7" s="44" t="str">
        <f t="shared" si="1"/>
        <v>TURVILLA - 601100</v>
      </c>
      <c r="L7" s="44" t="str">
        <f>+VLOOKUP(K7,TL[],4,FALSE)</f>
        <v>06</v>
      </c>
    </row>
    <row r="8" spans="1:12" x14ac:dyDescent="0.2">
      <c r="A8" t="s">
        <v>1780</v>
      </c>
      <c r="B8" t="s">
        <v>2371</v>
      </c>
      <c r="C8">
        <v>2459.92</v>
      </c>
      <c r="D8" t="s">
        <v>6961</v>
      </c>
      <c r="E8">
        <v>2459.92</v>
      </c>
      <c r="F8" t="s">
        <v>6961</v>
      </c>
      <c r="G8" s="220">
        <f t="shared" si="2"/>
        <v>2459.92</v>
      </c>
      <c r="H8" s="220">
        <f t="shared" si="3"/>
        <v>2459.92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TURVILLA - 603100</v>
      </c>
      <c r="L8" s="44" t="str">
        <f>+VLOOKUP(K8,TL[],4,FALSE)</f>
        <v>06</v>
      </c>
    </row>
    <row r="9" spans="1:12" x14ac:dyDescent="0.2">
      <c r="A9" t="s">
        <v>5937</v>
      </c>
      <c r="B9" t="s">
        <v>2462</v>
      </c>
      <c r="C9">
        <v>1591</v>
      </c>
      <c r="D9" t="s">
        <v>6961</v>
      </c>
      <c r="E9">
        <v>1591</v>
      </c>
      <c r="F9" t="s">
        <v>6961</v>
      </c>
      <c r="G9" s="220">
        <f t="shared" si="2"/>
        <v>1591</v>
      </c>
      <c r="H9" s="220">
        <f t="shared" si="3"/>
        <v>1591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TURVILLA - 635210</v>
      </c>
      <c r="L9" s="44" t="str">
        <f>+VLOOKUP(K9,TL[],4,FALSE)</f>
        <v>09</v>
      </c>
    </row>
    <row r="10" spans="1:12" x14ac:dyDescent="0.2">
      <c r="A10" t="s">
        <v>1735</v>
      </c>
      <c r="B10" t="s">
        <v>2179</v>
      </c>
      <c r="C10" t="s">
        <v>6961</v>
      </c>
      <c r="D10">
        <v>3244.68</v>
      </c>
      <c r="E10" t="s">
        <v>6961</v>
      </c>
      <c r="F10">
        <v>3244.68</v>
      </c>
      <c r="G10" s="220">
        <f t="shared" si="2"/>
        <v>-3244.68</v>
      </c>
      <c r="H10" s="220">
        <f t="shared" si="3"/>
        <v>-3244.68</v>
      </c>
      <c r="I10" s="221">
        <f>IF(A10="Total",VLOOKUP(B10,CORRESPONDANCE[#All],2,FALSE),I11)</f>
        <v>3</v>
      </c>
      <c r="J10" s="222" t="str">
        <f t="shared" si="0"/>
        <v>7</v>
      </c>
      <c r="K10" s="44" t="str">
        <f t="shared" si="1"/>
        <v>TURVILLA - 708000</v>
      </c>
      <c r="L10" s="44" t="str">
        <f>+VLOOKUP(K10,TL[],4,FALSE)</f>
        <v>06</v>
      </c>
    </row>
    <row r="11" spans="1:12" x14ac:dyDescent="0.2">
      <c r="A11" t="s">
        <v>197</v>
      </c>
      <c r="B11" t="s">
        <v>2516</v>
      </c>
      <c r="C11">
        <v>104319.25</v>
      </c>
      <c r="D11" t="s">
        <v>6961</v>
      </c>
      <c r="E11">
        <v>104319.25</v>
      </c>
      <c r="F11" t="s">
        <v>6961</v>
      </c>
      <c r="G11" s="220">
        <f t="shared" si="2"/>
        <v>104319.25</v>
      </c>
      <c r="H11" s="220">
        <f t="shared" si="3"/>
        <v>104319.25</v>
      </c>
      <c r="I11" s="221">
        <f>IF(A11="Total",VLOOKUP(B11,CORRESPONDANCE[#All],2,FALSE),I12)</f>
        <v>3</v>
      </c>
      <c r="J11" s="222" t="str">
        <f t="shared" si="0"/>
        <v>T</v>
      </c>
      <c r="K11" s="44" t="str">
        <f t="shared" si="1"/>
        <v>TURVILLA - Total</v>
      </c>
      <c r="L11" s="44" t="e">
        <f>+VLOOKUP(K11,TL[],4,FALSE)</f>
        <v>#N/A</v>
      </c>
    </row>
    <row r="12" spans="1:12" x14ac:dyDescent="0.2">
      <c r="A12" t="s">
        <v>1789</v>
      </c>
      <c r="B12" t="s">
        <v>160</v>
      </c>
      <c r="C12">
        <v>1982.79</v>
      </c>
      <c r="D12" t="s">
        <v>6961</v>
      </c>
      <c r="E12">
        <v>1982.79</v>
      </c>
      <c r="F12" t="s">
        <v>6961</v>
      </c>
      <c r="G12" s="220">
        <f t="shared" si="2"/>
        <v>1982.79</v>
      </c>
      <c r="H12" s="220">
        <f t="shared" si="3"/>
        <v>1982.79</v>
      </c>
      <c r="I12" s="221">
        <f>IF(A12="Total",VLOOKUP(B12,CORRESPONDANCE[#All],2,FALSE),I13)</f>
        <v>4</v>
      </c>
      <c r="J12" s="222" t="str">
        <f t="shared" si="0"/>
        <v>6</v>
      </c>
      <c r="K12" s="44" t="str">
        <f t="shared" si="1"/>
        <v>TURVILLA - 601103</v>
      </c>
      <c r="L12" s="44" t="str">
        <f>+VLOOKUP(K12,TL[],4,FALSE)</f>
        <v>08</v>
      </c>
    </row>
    <row r="13" spans="1:12" x14ac:dyDescent="0.2">
      <c r="A13" t="s">
        <v>197</v>
      </c>
      <c r="B13" t="s">
        <v>2517</v>
      </c>
      <c r="C13">
        <v>1982.79</v>
      </c>
      <c r="D13" t="s">
        <v>6961</v>
      </c>
      <c r="E13">
        <v>1982.79</v>
      </c>
      <c r="F13" t="s">
        <v>6961</v>
      </c>
      <c r="G13" s="220">
        <f t="shared" si="2"/>
        <v>1982.79</v>
      </c>
      <c r="H13" s="220">
        <f t="shared" si="3"/>
        <v>1982.79</v>
      </c>
      <c r="I13" s="221">
        <f>IF(A13="Total",VLOOKUP(B13,CORRESPONDANCE[#All],2,FALSE),I14)</f>
        <v>4</v>
      </c>
      <c r="J13" s="222" t="str">
        <f t="shared" si="0"/>
        <v>T</v>
      </c>
      <c r="K13" s="44" t="str">
        <f t="shared" si="1"/>
        <v>TURVILLA - Total</v>
      </c>
      <c r="L13" s="44" t="e">
        <f>+VLOOKUP(K13,TL[],4,FALSE)</f>
        <v>#N/A</v>
      </c>
    </row>
    <row r="14" spans="1:12" x14ac:dyDescent="0.2">
      <c r="A14" t="s">
        <v>1790</v>
      </c>
      <c r="B14" t="s">
        <v>225</v>
      </c>
      <c r="C14">
        <v>2641.78</v>
      </c>
      <c r="D14" t="s">
        <v>6961</v>
      </c>
      <c r="E14">
        <v>2641.78</v>
      </c>
      <c r="F14" t="s">
        <v>6961</v>
      </c>
      <c r="G14" s="220">
        <f t="shared" si="2"/>
        <v>2641.78</v>
      </c>
      <c r="H14" s="220">
        <f t="shared" si="3"/>
        <v>2641.78</v>
      </c>
      <c r="I14" s="221">
        <f>IF(A14="Total",VLOOKUP(B14,CORRESPONDANCE[#All],2,FALSE),I15)</f>
        <v>5</v>
      </c>
      <c r="J14" s="222" t="str">
        <f t="shared" si="0"/>
        <v>6</v>
      </c>
      <c r="K14" s="44" t="str">
        <f t="shared" si="1"/>
        <v>TURVILLA - 601102</v>
      </c>
      <c r="L14" s="44" t="str">
        <f>+VLOOKUP(K14,TL[],4,FALSE)</f>
        <v>07</v>
      </c>
    </row>
    <row r="15" spans="1:12" x14ac:dyDescent="0.2">
      <c r="A15" t="s">
        <v>197</v>
      </c>
      <c r="B15" t="s">
        <v>2518</v>
      </c>
      <c r="C15">
        <v>2641.78</v>
      </c>
      <c r="D15" t="s">
        <v>6961</v>
      </c>
      <c r="E15">
        <v>2641.78</v>
      </c>
      <c r="F15" t="s">
        <v>6961</v>
      </c>
      <c r="G15" s="220">
        <f t="shared" si="2"/>
        <v>2641.78</v>
      </c>
      <c r="H15" s="220">
        <f t="shared" si="3"/>
        <v>2641.78</v>
      </c>
      <c r="I15" s="221">
        <f>IF(A15="Total",VLOOKUP(B15,CORRESPONDANCE[#All],2,FALSE),I16)</f>
        <v>5</v>
      </c>
      <c r="J15" s="222" t="str">
        <f t="shared" si="0"/>
        <v>T</v>
      </c>
      <c r="K15" s="44" t="str">
        <f t="shared" si="1"/>
        <v>TURVILLA - Total</v>
      </c>
      <c r="L15" s="44" t="e">
        <f>+VLOOKUP(K15,TL[],4,FALSE)</f>
        <v>#N/A</v>
      </c>
    </row>
    <row r="16" spans="1:12" x14ac:dyDescent="0.2">
      <c r="A16" t="s">
        <v>1630</v>
      </c>
      <c r="B16" t="s">
        <v>2212</v>
      </c>
      <c r="C16">
        <v>10628.82</v>
      </c>
      <c r="D16" t="s">
        <v>6961</v>
      </c>
      <c r="E16">
        <v>10628.82</v>
      </c>
      <c r="F16" t="s">
        <v>6961</v>
      </c>
      <c r="G16" s="220">
        <f t="shared" si="2"/>
        <v>10628.82</v>
      </c>
      <c r="H16" s="220">
        <f t="shared" si="3"/>
        <v>10628.82</v>
      </c>
      <c r="I16" s="221">
        <f>IF(A16="Total",VLOOKUP(B16,CORRESPONDANCE[#All],2,FALSE),I17)</f>
        <v>6</v>
      </c>
      <c r="J16" s="222" t="str">
        <f t="shared" si="0"/>
        <v>6</v>
      </c>
      <c r="K16" s="44" t="str">
        <f t="shared" si="1"/>
        <v>TURVILLA - 602201</v>
      </c>
      <c r="L16" s="44" t="str">
        <f>+VLOOKUP(K16,TL[],4,FALSE)</f>
        <v>03</v>
      </c>
    </row>
    <row r="17" spans="1:12" x14ac:dyDescent="0.2">
      <c r="A17" t="s">
        <v>1781</v>
      </c>
      <c r="B17" t="s">
        <v>2402</v>
      </c>
      <c r="C17" t="s">
        <v>6961</v>
      </c>
      <c r="D17">
        <v>1014.83</v>
      </c>
      <c r="E17" t="s">
        <v>6961</v>
      </c>
      <c r="F17">
        <v>1014.83</v>
      </c>
      <c r="G17" s="220">
        <f t="shared" si="2"/>
        <v>-1014.83</v>
      </c>
      <c r="H17" s="220">
        <f t="shared" si="3"/>
        <v>-1014.83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TURVILLA - 603200</v>
      </c>
      <c r="L17" s="44" t="str">
        <f>+VLOOKUP(K17,TL[],4,FALSE)</f>
        <v>03</v>
      </c>
    </row>
    <row r="18" spans="1:12" x14ac:dyDescent="0.2">
      <c r="A18" t="s">
        <v>197</v>
      </c>
      <c r="B18" t="s">
        <v>2519</v>
      </c>
      <c r="C18">
        <v>9613.99</v>
      </c>
      <c r="D18" t="s">
        <v>6961</v>
      </c>
      <c r="E18">
        <v>9613.99</v>
      </c>
      <c r="F18" t="s">
        <v>6961</v>
      </c>
      <c r="G18" s="220">
        <f t="shared" si="2"/>
        <v>9613.99</v>
      </c>
      <c r="H18" s="220">
        <f t="shared" si="3"/>
        <v>9613.99</v>
      </c>
      <c r="I18" s="221">
        <f>IF(A18="Total",VLOOKUP(B18,CORRESPONDANCE[#All],2,FALSE),I19)</f>
        <v>6</v>
      </c>
      <c r="J18" s="222" t="str">
        <f t="shared" si="0"/>
        <v>T</v>
      </c>
      <c r="K18" s="44" t="str">
        <f t="shared" si="1"/>
        <v>TURVILLA - Total</v>
      </c>
      <c r="L18" s="44" t="e">
        <f>+VLOOKUP(K18,TL[],4,FALSE)</f>
        <v>#N/A</v>
      </c>
    </row>
    <row r="19" spans="1:12" x14ac:dyDescent="0.2">
      <c r="A19" t="s">
        <v>6279</v>
      </c>
      <c r="B19" t="s">
        <v>2965</v>
      </c>
      <c r="C19">
        <v>418.2</v>
      </c>
      <c r="D19" t="s">
        <v>6961</v>
      </c>
      <c r="E19">
        <v>418.2</v>
      </c>
      <c r="F19" t="s">
        <v>6961</v>
      </c>
      <c r="G19" s="220">
        <f t="shared" si="2"/>
        <v>418.2</v>
      </c>
      <c r="H19" s="220">
        <f t="shared" si="3"/>
        <v>418.2</v>
      </c>
      <c r="I19" s="221" t="str">
        <f>IF(A19="Total",VLOOKUP(B19,CORRESPONDANCE[#All],2,FALSE),I20)</f>
        <v>6.1</v>
      </c>
      <c r="J19" s="222" t="str">
        <f t="shared" si="0"/>
        <v>6</v>
      </c>
      <c r="K19" s="44" t="str">
        <f t="shared" si="1"/>
        <v>TURVILLA - 602612</v>
      </c>
      <c r="L19" s="44" t="str">
        <f>+VLOOKUP(K19,TL[],4,FALSE)</f>
        <v>06</v>
      </c>
    </row>
    <row r="20" spans="1:12" x14ac:dyDescent="0.2">
      <c r="A20" t="s">
        <v>1782</v>
      </c>
      <c r="B20" t="s">
        <v>6864</v>
      </c>
      <c r="C20" t="s">
        <v>6961</v>
      </c>
      <c r="D20">
        <v>2204.39</v>
      </c>
      <c r="E20" t="s">
        <v>6961</v>
      </c>
      <c r="F20">
        <v>2204.39</v>
      </c>
      <c r="G20" s="220">
        <f t="shared" si="2"/>
        <v>-2204.39</v>
      </c>
      <c r="H20" s="220">
        <f t="shared" si="3"/>
        <v>-2204.39</v>
      </c>
      <c r="I20" s="221" t="str">
        <f>IF(A20="Total",VLOOKUP(B20,CORRESPONDANCE[#All],2,FALSE),I21)</f>
        <v>6.1</v>
      </c>
      <c r="J20" s="222" t="str">
        <f t="shared" si="0"/>
        <v>6</v>
      </c>
      <c r="K20" s="44" t="str">
        <f t="shared" si="1"/>
        <v>TURVILLA - 603201</v>
      </c>
      <c r="L20" s="44" t="str">
        <f>+VLOOKUP(K20,TL[],4,FALSE)</f>
        <v>06</v>
      </c>
    </row>
    <row r="21" spans="1:12" x14ac:dyDescent="0.2">
      <c r="A21" t="s">
        <v>197</v>
      </c>
      <c r="B21" t="s">
        <v>3010</v>
      </c>
      <c r="C21" t="s">
        <v>6961</v>
      </c>
      <c r="D21">
        <v>1786.19</v>
      </c>
      <c r="E21" t="s">
        <v>6961</v>
      </c>
      <c r="F21">
        <v>1786.19</v>
      </c>
      <c r="G21" s="220">
        <f t="shared" si="2"/>
        <v>-1786.19</v>
      </c>
      <c r="H21" s="220">
        <f t="shared" si="3"/>
        <v>-1786.19</v>
      </c>
      <c r="I21" s="221" t="str">
        <f>IF(A21="Total",VLOOKUP(B21,CORRESPONDANCE[#All],2,FALSE),I22)</f>
        <v>6.1</v>
      </c>
      <c r="J21" s="222" t="str">
        <f t="shared" si="0"/>
        <v>T</v>
      </c>
      <c r="K21" s="44" t="str">
        <f t="shared" si="1"/>
        <v>TURVILLA - Total</v>
      </c>
      <c r="L21" s="44" t="e">
        <f>+VLOOKUP(K21,TL[],4,FALSE)</f>
        <v>#N/A</v>
      </c>
    </row>
    <row r="22" spans="1:12" x14ac:dyDescent="0.2">
      <c r="A22" t="s">
        <v>2520</v>
      </c>
      <c r="B22" t="s">
        <v>2190</v>
      </c>
      <c r="C22">
        <v>61533.25</v>
      </c>
      <c r="D22" t="s">
        <v>6961</v>
      </c>
      <c r="E22">
        <v>61533.25</v>
      </c>
      <c r="F22" t="s">
        <v>6961</v>
      </c>
      <c r="G22" s="220">
        <f t="shared" si="2"/>
        <v>61533.25</v>
      </c>
      <c r="H22" s="220">
        <f t="shared" si="3"/>
        <v>61533.25</v>
      </c>
      <c r="I22" s="221">
        <f>IF(A22="Total",VLOOKUP(B22,CORRESPONDANCE[#All],2,FALSE),I23)</f>
        <v>8</v>
      </c>
      <c r="J22" s="222" t="str">
        <f t="shared" si="0"/>
        <v>6</v>
      </c>
      <c r="K22" s="44" t="str">
        <f t="shared" si="1"/>
        <v>TURVILLA - 641030</v>
      </c>
      <c r="L22" s="44" t="str">
        <f>+VLOOKUP(K22,TL[],4,FALSE)</f>
        <v>10</v>
      </c>
    </row>
    <row r="23" spans="1:12" x14ac:dyDescent="0.2">
      <c r="A23" t="s">
        <v>2521</v>
      </c>
      <c r="B23" t="s">
        <v>1295</v>
      </c>
      <c r="C23">
        <v>2266.14</v>
      </c>
      <c r="D23" t="s">
        <v>6961</v>
      </c>
      <c r="E23">
        <v>2266.14</v>
      </c>
      <c r="F23" t="s">
        <v>6961</v>
      </c>
      <c r="G23" s="220">
        <f t="shared" si="2"/>
        <v>2266.14</v>
      </c>
      <c r="H23" s="220">
        <f t="shared" si="3"/>
        <v>2266.14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TURVILLA - 641063</v>
      </c>
      <c r="L23" s="44" t="str">
        <f>+VLOOKUP(K23,TL[],4,FALSE)</f>
        <v>10</v>
      </c>
    </row>
    <row r="24" spans="1:12" x14ac:dyDescent="0.2">
      <c r="A24" t="s">
        <v>1996</v>
      </c>
      <c r="B24" t="s">
        <v>2209</v>
      </c>
      <c r="C24">
        <v>2555.52</v>
      </c>
      <c r="D24" t="s">
        <v>6961</v>
      </c>
      <c r="E24">
        <v>2555.52</v>
      </c>
      <c r="F24" t="s">
        <v>6961</v>
      </c>
      <c r="G24" s="220">
        <f t="shared" si="2"/>
        <v>2555.52</v>
      </c>
      <c r="H24" s="220">
        <f t="shared" si="3"/>
        <v>2555.52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TURVILLA - 641230</v>
      </c>
      <c r="L24" s="44" t="str">
        <f>+VLOOKUP(K24,TL[],4,FALSE)</f>
        <v>10</v>
      </c>
    </row>
    <row r="25" spans="1:12" x14ac:dyDescent="0.2">
      <c r="A25" t="s">
        <v>2522</v>
      </c>
      <c r="B25" t="s">
        <v>2182</v>
      </c>
      <c r="C25">
        <v>741.49</v>
      </c>
      <c r="D25" t="s">
        <v>6961</v>
      </c>
      <c r="E25">
        <v>741.49</v>
      </c>
      <c r="F25" t="s">
        <v>6961</v>
      </c>
      <c r="G25" s="220">
        <f t="shared" si="2"/>
        <v>741.49</v>
      </c>
      <c r="H25" s="220">
        <f t="shared" si="3"/>
        <v>741.49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TURVILLA - 641410</v>
      </c>
      <c r="L25" s="44" t="str">
        <f>+VLOOKUP(K25,TL[],4,FALSE)</f>
        <v>10</v>
      </c>
    </row>
    <row r="26" spans="1:12" x14ac:dyDescent="0.2">
      <c r="A26" t="s">
        <v>2745</v>
      </c>
      <c r="B26" t="s">
        <v>6017</v>
      </c>
      <c r="C26" t="s">
        <v>6961</v>
      </c>
      <c r="D26">
        <v>224.57</v>
      </c>
      <c r="E26" t="s">
        <v>6961</v>
      </c>
      <c r="F26">
        <v>224.57</v>
      </c>
      <c r="G26" s="220">
        <f t="shared" si="2"/>
        <v>-224.57</v>
      </c>
      <c r="H26" s="220">
        <f t="shared" si="3"/>
        <v>-224.57</v>
      </c>
      <c r="I26" s="221">
        <f>IF(A26="Total",VLOOKUP(B26,CORRESPONDANCE[#All],2,FALSE),I27)</f>
        <v>8</v>
      </c>
      <c r="J26" s="222" t="str">
        <f t="shared" si="0"/>
        <v>7</v>
      </c>
      <c r="K26" s="44" t="str">
        <f t="shared" si="1"/>
        <v>TURVILLA - 708850</v>
      </c>
      <c r="L26" s="44" t="str">
        <f>+VLOOKUP(K26,TL[],4,FALSE)</f>
        <v>10</v>
      </c>
    </row>
    <row r="27" spans="1:12" x14ac:dyDescent="0.2">
      <c r="A27" t="s">
        <v>1746</v>
      </c>
      <c r="B27" t="s">
        <v>2476</v>
      </c>
      <c r="C27" t="s">
        <v>6961</v>
      </c>
      <c r="D27">
        <v>2266.14</v>
      </c>
      <c r="E27" t="s">
        <v>6961</v>
      </c>
      <c r="F27">
        <v>2266.14</v>
      </c>
      <c r="G27" s="220">
        <f t="shared" si="2"/>
        <v>-2266.14</v>
      </c>
      <c r="H27" s="220">
        <f t="shared" si="3"/>
        <v>-2266.14</v>
      </c>
      <c r="I27" s="221">
        <f>IF(A27="Total",VLOOKUP(B27,CORRESPONDANCE[#All],2,FALSE),I28)</f>
        <v>8</v>
      </c>
      <c r="J27" s="222" t="str">
        <f t="shared" si="0"/>
        <v>7</v>
      </c>
      <c r="K27" s="44" t="str">
        <f t="shared" si="1"/>
        <v>TURVILLA - 726100</v>
      </c>
      <c r="L27" s="44" t="str">
        <f>+VLOOKUP(K27,TL[],4,FALSE)</f>
        <v>10</v>
      </c>
    </row>
    <row r="28" spans="1:12" x14ac:dyDescent="0.2">
      <c r="A28" t="s">
        <v>197</v>
      </c>
      <c r="B28" t="s">
        <v>2523</v>
      </c>
      <c r="C28">
        <v>64605.69</v>
      </c>
      <c r="D28" t="s">
        <v>6961</v>
      </c>
      <c r="E28">
        <v>64605.69</v>
      </c>
      <c r="F28" t="s">
        <v>6961</v>
      </c>
      <c r="G28" s="220">
        <f t="shared" si="2"/>
        <v>64605.69</v>
      </c>
      <c r="H28" s="220">
        <f t="shared" si="3"/>
        <v>64605.69</v>
      </c>
      <c r="I28" s="221">
        <f>IF(A28="Total",VLOOKUP(B28,CORRESPONDANCE[#All],2,FALSE),I29)</f>
        <v>8</v>
      </c>
      <c r="J28" s="222" t="str">
        <f t="shared" si="0"/>
        <v>T</v>
      </c>
      <c r="K28" s="44" t="str">
        <f t="shared" si="1"/>
        <v>TURVILLA - Total</v>
      </c>
      <c r="L28" s="44" t="e">
        <f>+VLOOKUP(K28,TL[],4,FALSE)</f>
        <v>#N/A</v>
      </c>
    </row>
    <row r="29" spans="1:12" x14ac:dyDescent="0.2">
      <c r="A29" t="s">
        <v>2524</v>
      </c>
      <c r="B29" t="s">
        <v>2194</v>
      </c>
      <c r="C29">
        <v>3478.75</v>
      </c>
      <c r="D29" t="s">
        <v>6961</v>
      </c>
      <c r="E29">
        <v>3478.75</v>
      </c>
      <c r="F29" t="s">
        <v>6961</v>
      </c>
      <c r="G29" s="220">
        <f t="shared" si="2"/>
        <v>3478.75</v>
      </c>
      <c r="H29" s="220">
        <f t="shared" si="3"/>
        <v>3478.75</v>
      </c>
      <c r="I29" s="221">
        <f>IF(A29="Total",VLOOKUP(B29,CORRESPONDANCE[#All],2,FALSE),I30)</f>
        <v>9</v>
      </c>
      <c r="J29" s="222" t="str">
        <f t="shared" si="0"/>
        <v>6</v>
      </c>
      <c r="K29" s="44" t="str">
        <f t="shared" si="1"/>
        <v>TURVILLA - 645130</v>
      </c>
      <c r="L29" s="44" t="str">
        <f>+VLOOKUP(K29,TL[],4,FALSE)</f>
        <v>10</v>
      </c>
    </row>
    <row r="30" spans="1:12" x14ac:dyDescent="0.2">
      <c r="A30" t="s">
        <v>2525</v>
      </c>
      <c r="B30" t="s">
        <v>2193</v>
      </c>
      <c r="C30">
        <v>1021.79</v>
      </c>
      <c r="D30" t="s">
        <v>6961</v>
      </c>
      <c r="E30">
        <v>1021.79</v>
      </c>
      <c r="F30" t="s">
        <v>6961</v>
      </c>
      <c r="G30" s="220">
        <f t="shared" si="2"/>
        <v>1021.79</v>
      </c>
      <c r="H30" s="220">
        <f t="shared" si="3"/>
        <v>1021.79</v>
      </c>
      <c r="I30" s="221">
        <f>IF(A30="Total",VLOOKUP(B30,CORRESPONDANCE[#All],2,FALSE),I31)</f>
        <v>9</v>
      </c>
      <c r="J30" s="222" t="str">
        <f t="shared" si="0"/>
        <v>6</v>
      </c>
      <c r="K30" s="44" t="str">
        <f t="shared" si="1"/>
        <v>TURVILLA - 645330</v>
      </c>
      <c r="L30" s="44" t="str">
        <f>+VLOOKUP(K30,TL[],4,FALSE)</f>
        <v>10</v>
      </c>
    </row>
    <row r="31" spans="1:12" x14ac:dyDescent="0.2">
      <c r="A31" t="s">
        <v>2526</v>
      </c>
      <c r="B31" t="s">
        <v>2188</v>
      </c>
      <c r="C31">
        <v>2039.24</v>
      </c>
      <c r="D31" t="s">
        <v>6961</v>
      </c>
      <c r="E31">
        <v>2039.24</v>
      </c>
      <c r="F31" t="s">
        <v>6961</v>
      </c>
      <c r="G31" s="220">
        <f t="shared" si="2"/>
        <v>2039.24</v>
      </c>
      <c r="H31" s="220">
        <f t="shared" si="3"/>
        <v>2039.24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TURVILLA - 645430</v>
      </c>
      <c r="L31" s="44" t="str">
        <f>+VLOOKUP(K31,TL[],4,FALSE)</f>
        <v>10</v>
      </c>
    </row>
    <row r="32" spans="1:12" x14ac:dyDescent="0.2">
      <c r="A32" t="s">
        <v>2527</v>
      </c>
      <c r="B32" t="s">
        <v>231</v>
      </c>
      <c r="C32">
        <v>708.84</v>
      </c>
      <c r="D32" t="s">
        <v>6961</v>
      </c>
      <c r="E32">
        <v>708.84</v>
      </c>
      <c r="F32" t="s">
        <v>6961</v>
      </c>
      <c r="G32" s="220">
        <f t="shared" si="2"/>
        <v>708.84</v>
      </c>
      <c r="H32" s="220">
        <f t="shared" si="3"/>
        <v>708.84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TURVILLA - 645530</v>
      </c>
      <c r="L32" s="44" t="str">
        <f>+VLOOKUP(K32,TL[],4,FALSE)</f>
        <v>10</v>
      </c>
    </row>
    <row r="33" spans="1:12" x14ac:dyDescent="0.2">
      <c r="A33" t="s">
        <v>2009</v>
      </c>
      <c r="B33" t="s">
        <v>2262</v>
      </c>
      <c r="C33">
        <v>341.97</v>
      </c>
      <c r="D33" t="s">
        <v>6961</v>
      </c>
      <c r="E33">
        <v>341.97</v>
      </c>
      <c r="F33" t="s">
        <v>6961</v>
      </c>
      <c r="G33" s="220">
        <f t="shared" si="2"/>
        <v>341.97</v>
      </c>
      <c r="H33" s="220">
        <f t="shared" si="3"/>
        <v>341.97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TURVILLA - 645830</v>
      </c>
      <c r="L33" s="44" t="str">
        <f>+VLOOKUP(K33,TL[],4,FALSE)</f>
        <v>10</v>
      </c>
    </row>
    <row r="34" spans="1:12" x14ac:dyDescent="0.2">
      <c r="A34" t="s">
        <v>6008</v>
      </c>
      <c r="B34" t="s">
        <v>7057</v>
      </c>
      <c r="C34" t="s">
        <v>6961</v>
      </c>
      <c r="D34">
        <v>48.08</v>
      </c>
      <c r="E34" t="s">
        <v>6961</v>
      </c>
      <c r="F34">
        <v>48.08</v>
      </c>
      <c r="G34" s="220">
        <f t="shared" si="2"/>
        <v>-48.08</v>
      </c>
      <c r="H34" s="220">
        <f t="shared" si="3"/>
        <v>-48.08</v>
      </c>
      <c r="I34" s="221">
        <f>IF(A34="Total",VLOOKUP(B34,CORRESPONDANCE[#All],2,FALSE),I35)</f>
        <v>9</v>
      </c>
      <c r="J34" s="222" t="str">
        <f t="shared" si="0"/>
        <v>7</v>
      </c>
      <c r="K34" s="44" t="str">
        <f t="shared" si="1"/>
        <v>TURVILLA - 708823</v>
      </c>
      <c r="L34" s="44" t="str">
        <f>+VLOOKUP(K34,TL[],4,FALSE)</f>
        <v>39</v>
      </c>
    </row>
    <row r="35" spans="1:12" x14ac:dyDescent="0.2">
      <c r="A35" t="s">
        <v>197</v>
      </c>
      <c r="B35" t="s">
        <v>2529</v>
      </c>
      <c r="C35">
        <v>7542.51</v>
      </c>
      <c r="D35" t="s">
        <v>6961</v>
      </c>
      <c r="E35">
        <v>7542.51</v>
      </c>
      <c r="F35" t="s">
        <v>6961</v>
      </c>
      <c r="G35" s="220">
        <f t="shared" si="2"/>
        <v>7542.51</v>
      </c>
      <c r="H35" s="220">
        <f t="shared" si="3"/>
        <v>7542.51</v>
      </c>
      <c r="I35" s="221">
        <f>IF(A35="Total",VLOOKUP(B35,CORRESPONDANCE[#All],2,FALSE),I36)</f>
        <v>9</v>
      </c>
      <c r="J35" s="222" t="str">
        <f t="shared" si="0"/>
        <v>T</v>
      </c>
      <c r="K35" s="44" t="str">
        <f t="shared" si="1"/>
        <v>TURVILLA - Total</v>
      </c>
      <c r="L35" s="44" t="e">
        <f>+VLOOKUP(K35,TL[],4,FALSE)</f>
        <v>#N/A</v>
      </c>
    </row>
    <row r="36" spans="1:12" x14ac:dyDescent="0.2">
      <c r="A36" t="s">
        <v>6469</v>
      </c>
      <c r="B36" t="s">
        <v>2246</v>
      </c>
      <c r="C36">
        <v>38.67</v>
      </c>
      <c r="D36" t="s">
        <v>6961</v>
      </c>
      <c r="E36">
        <v>38.67</v>
      </c>
      <c r="F36" t="s">
        <v>6961</v>
      </c>
      <c r="G36" s="220">
        <f t="shared" si="2"/>
        <v>38.67</v>
      </c>
      <c r="H36" s="220">
        <f t="shared" si="3"/>
        <v>38.67</v>
      </c>
      <c r="I36" s="221">
        <f>IF(A36="Total",VLOOKUP(B36,CORRESPONDANCE[#All],2,FALSE),I37)</f>
        <v>10</v>
      </c>
      <c r="J36" s="222" t="str">
        <f t="shared" si="0"/>
        <v>6</v>
      </c>
      <c r="K36" s="44" t="str">
        <f t="shared" si="1"/>
        <v>TURVILLA - 621407</v>
      </c>
      <c r="L36" s="44" t="e">
        <f>+VLOOKUP(K36,TL[],4,FALSE)</f>
        <v>#N/A</v>
      </c>
    </row>
    <row r="37" spans="1:12" x14ac:dyDescent="0.2">
      <c r="A37" t="s">
        <v>2530</v>
      </c>
      <c r="B37" t="s">
        <v>2463</v>
      </c>
      <c r="C37">
        <v>22625.69</v>
      </c>
      <c r="D37" t="s">
        <v>6961</v>
      </c>
      <c r="E37">
        <v>22625.69</v>
      </c>
      <c r="F37" t="s">
        <v>6961</v>
      </c>
      <c r="G37" s="220">
        <f t="shared" si="2"/>
        <v>22625.69</v>
      </c>
      <c r="H37" s="220">
        <f t="shared" si="3"/>
        <v>22625.69</v>
      </c>
      <c r="I37" s="221">
        <f>IF(A37="Total",VLOOKUP(B37,CORRESPONDANCE[#All],2,FALSE),I38)</f>
        <v>10</v>
      </c>
      <c r="J37" s="222" t="str">
        <f t="shared" si="0"/>
        <v>6</v>
      </c>
      <c r="K37" s="44" t="str">
        <f t="shared" si="1"/>
        <v>TURVILLA - 641020</v>
      </c>
      <c r="L37" s="44" t="str">
        <f>+VLOOKUP(K37,TL[],4,FALSE)</f>
        <v>11</v>
      </c>
    </row>
    <row r="38" spans="1:12" x14ac:dyDescent="0.2">
      <c r="A38" t="s">
        <v>2531</v>
      </c>
      <c r="B38" t="s">
        <v>2464</v>
      </c>
      <c r="C38">
        <v>341.82</v>
      </c>
      <c r="D38" t="s">
        <v>6961</v>
      </c>
      <c r="E38">
        <v>341.82</v>
      </c>
      <c r="F38" t="s">
        <v>6961</v>
      </c>
      <c r="G38" s="220">
        <f t="shared" si="2"/>
        <v>341.82</v>
      </c>
      <c r="H38" s="220">
        <f t="shared" si="3"/>
        <v>341.82</v>
      </c>
      <c r="I38" s="221">
        <f>IF(A38="Total",VLOOKUP(B38,CORRESPONDANCE[#All],2,FALSE),I39)</f>
        <v>10</v>
      </c>
      <c r="J38" s="222" t="str">
        <f t="shared" si="0"/>
        <v>6</v>
      </c>
      <c r="K38" s="44" t="str">
        <f t="shared" si="1"/>
        <v>TURVILLA - 641064</v>
      </c>
      <c r="L38" s="44" t="str">
        <f>+VLOOKUP(K38,TL[],4,FALSE)</f>
        <v>11</v>
      </c>
    </row>
    <row r="39" spans="1:12" x14ac:dyDescent="0.2">
      <c r="A39" t="s">
        <v>1783</v>
      </c>
      <c r="B39" t="s">
        <v>2465</v>
      </c>
      <c r="C39">
        <v>1409.4</v>
      </c>
      <c r="D39" t="s">
        <v>6961</v>
      </c>
      <c r="E39">
        <v>1409.4</v>
      </c>
      <c r="F39" t="s">
        <v>6961</v>
      </c>
      <c r="G39" s="220">
        <f t="shared" si="2"/>
        <v>1409.4</v>
      </c>
      <c r="H39" s="220">
        <f t="shared" si="3"/>
        <v>1409.4</v>
      </c>
      <c r="I39" s="221">
        <f>IF(A39="Total",VLOOKUP(B39,CORRESPONDANCE[#All],2,FALSE),I40)</f>
        <v>10</v>
      </c>
      <c r="J39" s="222" t="str">
        <f t="shared" si="0"/>
        <v>6</v>
      </c>
      <c r="K39" s="44" t="str">
        <f t="shared" si="1"/>
        <v>TURVILLA - 641220</v>
      </c>
      <c r="L39" s="44" t="str">
        <f>+VLOOKUP(K39,TL[],4,FALSE)</f>
        <v>11</v>
      </c>
    </row>
    <row r="40" spans="1:12" x14ac:dyDescent="0.2">
      <c r="A40" t="s">
        <v>1751</v>
      </c>
      <c r="B40" t="s">
        <v>2466</v>
      </c>
      <c r="C40">
        <v>190.78</v>
      </c>
      <c r="D40" t="s">
        <v>6961</v>
      </c>
      <c r="E40">
        <v>190.78</v>
      </c>
      <c r="F40" t="s">
        <v>6961</v>
      </c>
      <c r="G40" s="220">
        <f t="shared" si="2"/>
        <v>190.78</v>
      </c>
      <c r="H40" s="220">
        <f t="shared" si="3"/>
        <v>190.78</v>
      </c>
      <c r="I40" s="221">
        <f>IF(A40="Total",VLOOKUP(B40,CORRESPONDANCE[#All],2,FALSE),I41)</f>
        <v>10</v>
      </c>
      <c r="J40" s="222" t="str">
        <f t="shared" si="0"/>
        <v>6</v>
      </c>
      <c r="K40" s="44" t="str">
        <f t="shared" si="1"/>
        <v>TURVILLA - 641411</v>
      </c>
      <c r="L40" s="44" t="str">
        <f>+VLOOKUP(K40,TL[],4,FALSE)</f>
        <v>11</v>
      </c>
    </row>
    <row r="41" spans="1:12" x14ac:dyDescent="0.2">
      <c r="A41" t="s">
        <v>3354</v>
      </c>
      <c r="B41" t="s">
        <v>2271</v>
      </c>
      <c r="C41" t="s">
        <v>6961</v>
      </c>
      <c r="D41">
        <v>2588.67</v>
      </c>
      <c r="E41" t="s">
        <v>6961</v>
      </c>
      <c r="F41">
        <v>2588.67</v>
      </c>
      <c r="G41" s="220">
        <f t="shared" si="2"/>
        <v>-2588.67</v>
      </c>
      <c r="H41" s="220">
        <f t="shared" si="3"/>
        <v>-2588.67</v>
      </c>
      <c r="I41" s="221">
        <f>IF(A41="Total",VLOOKUP(B41,CORRESPONDANCE[#All],2,FALSE),I42)</f>
        <v>10</v>
      </c>
      <c r="J41" s="222" t="str">
        <f t="shared" si="0"/>
        <v>7</v>
      </c>
      <c r="K41" s="44" t="str">
        <f t="shared" si="1"/>
        <v>TURVILLA - 708840</v>
      </c>
      <c r="L41" s="44" t="str">
        <f>+VLOOKUP(K41,TL[],4,FALSE)</f>
        <v>11</v>
      </c>
    </row>
    <row r="42" spans="1:12" x14ac:dyDescent="0.2">
      <c r="A42" t="s">
        <v>1748</v>
      </c>
      <c r="B42" t="s">
        <v>1066</v>
      </c>
      <c r="C42" t="s">
        <v>6961</v>
      </c>
      <c r="D42">
        <v>341.82</v>
      </c>
      <c r="E42" t="s">
        <v>6961</v>
      </c>
      <c r="F42">
        <v>341.82</v>
      </c>
      <c r="G42" s="220">
        <f t="shared" si="2"/>
        <v>-341.82</v>
      </c>
      <c r="H42" s="220">
        <f t="shared" si="3"/>
        <v>-341.82</v>
      </c>
      <c r="I42" s="221">
        <f>IF(A42="Total",VLOOKUP(B42,CORRESPONDANCE[#All],2,FALSE),I43)</f>
        <v>10</v>
      </c>
      <c r="J42" s="222" t="str">
        <f t="shared" si="0"/>
        <v>7</v>
      </c>
      <c r="K42" s="44" t="str">
        <f t="shared" si="1"/>
        <v>TURVILLA - 726110</v>
      </c>
      <c r="L42" s="44" t="str">
        <f>+VLOOKUP(K42,TL[],4,FALSE)</f>
        <v>11</v>
      </c>
    </row>
    <row r="43" spans="1:12" x14ac:dyDescent="0.2">
      <c r="A43" t="s">
        <v>197</v>
      </c>
      <c r="B43" t="s">
        <v>2532</v>
      </c>
      <c r="C43">
        <v>21675.87</v>
      </c>
      <c r="D43" t="s">
        <v>6961</v>
      </c>
      <c r="E43">
        <v>21675.87</v>
      </c>
      <c r="F43" t="s">
        <v>6961</v>
      </c>
      <c r="G43" s="220">
        <f t="shared" si="2"/>
        <v>21675.87</v>
      </c>
      <c r="H43" s="220">
        <f t="shared" si="3"/>
        <v>21675.87</v>
      </c>
      <c r="I43" s="221">
        <f>IF(A43="Total",VLOOKUP(B43,CORRESPONDANCE[#All],2,FALSE),I44)</f>
        <v>10</v>
      </c>
      <c r="J43" s="222" t="str">
        <f t="shared" si="0"/>
        <v>T</v>
      </c>
      <c r="K43" s="44" t="str">
        <f t="shared" si="1"/>
        <v>TURVILLA - Total</v>
      </c>
      <c r="L43" s="44" t="e">
        <f>+VLOOKUP(K43,TL[],4,FALSE)</f>
        <v>#N/A</v>
      </c>
    </row>
    <row r="44" spans="1:12" x14ac:dyDescent="0.2">
      <c r="A44" t="s">
        <v>7023</v>
      </c>
      <c r="B44" t="s">
        <v>7100</v>
      </c>
      <c r="C44">
        <v>10.99</v>
      </c>
      <c r="D44" t="s">
        <v>6961</v>
      </c>
      <c r="E44">
        <v>10.99</v>
      </c>
      <c r="F44" t="s">
        <v>6961</v>
      </c>
      <c r="G44" s="220">
        <f t="shared" si="2"/>
        <v>10.99</v>
      </c>
      <c r="H44" s="220">
        <f t="shared" si="3"/>
        <v>10.99</v>
      </c>
      <c r="I44" s="221">
        <f>IF(A44="Total",VLOOKUP(B44,CORRESPONDANCE[#All],2,FALSE),I45)</f>
        <v>11</v>
      </c>
      <c r="J44" s="222" t="str">
        <f t="shared" si="0"/>
        <v>6</v>
      </c>
      <c r="K44" s="44" t="str">
        <f t="shared" si="1"/>
        <v>TURVILLA - 621408</v>
      </c>
      <c r="L44" s="44" t="e">
        <f>+VLOOKUP(K44,TL[],4,FALSE)</f>
        <v>#N/A</v>
      </c>
    </row>
    <row r="45" spans="1:12" x14ac:dyDescent="0.2">
      <c r="A45" t="s">
        <v>2534</v>
      </c>
      <c r="B45" t="s">
        <v>2467</v>
      </c>
      <c r="C45">
        <v>3724.88</v>
      </c>
      <c r="D45" t="s">
        <v>6961</v>
      </c>
      <c r="E45">
        <v>3724.88</v>
      </c>
      <c r="F45" t="s">
        <v>6961</v>
      </c>
      <c r="G45" s="220">
        <f t="shared" si="2"/>
        <v>3724.88</v>
      </c>
      <c r="H45" s="220">
        <f t="shared" si="3"/>
        <v>3724.88</v>
      </c>
      <c r="I45" s="221">
        <f>IF(A45="Total",VLOOKUP(B45,CORRESPONDANCE[#All],2,FALSE),I46)</f>
        <v>11</v>
      </c>
      <c r="J45" s="222" t="str">
        <f t="shared" si="0"/>
        <v>6</v>
      </c>
      <c r="K45" s="44" t="str">
        <f t="shared" si="1"/>
        <v>TURVILLA - 645120</v>
      </c>
      <c r="L45" s="44" t="str">
        <f>+VLOOKUP(K45,TL[],4,FALSE)</f>
        <v>12</v>
      </c>
    </row>
    <row r="46" spans="1:12" x14ac:dyDescent="0.2">
      <c r="A46" t="s">
        <v>2535</v>
      </c>
      <c r="B46" t="s">
        <v>2468</v>
      </c>
      <c r="C46">
        <v>888.1</v>
      </c>
      <c r="D46" t="s">
        <v>6961</v>
      </c>
      <c r="E46">
        <v>888.1</v>
      </c>
      <c r="F46" t="s">
        <v>6961</v>
      </c>
      <c r="G46" s="220">
        <f t="shared" si="2"/>
        <v>888.1</v>
      </c>
      <c r="H46" s="220">
        <f t="shared" si="3"/>
        <v>888.1</v>
      </c>
      <c r="I46" s="221">
        <f>IF(A46="Total",VLOOKUP(B46,CORRESPONDANCE[#All],2,FALSE),I47)</f>
        <v>11</v>
      </c>
      <c r="J46" s="222" t="str">
        <f t="shared" si="0"/>
        <v>6</v>
      </c>
      <c r="K46" s="44" t="str">
        <f t="shared" si="1"/>
        <v>TURVILLA - 645320</v>
      </c>
      <c r="L46" s="44" t="str">
        <f>+VLOOKUP(K46,TL[],4,FALSE)</f>
        <v>12</v>
      </c>
    </row>
    <row r="47" spans="1:12" x14ac:dyDescent="0.2">
      <c r="A47" t="s">
        <v>2536</v>
      </c>
      <c r="B47" t="s">
        <v>2469</v>
      </c>
      <c r="C47">
        <v>739.35</v>
      </c>
      <c r="D47" t="s">
        <v>6961</v>
      </c>
      <c r="E47">
        <v>739.35</v>
      </c>
      <c r="F47" t="s">
        <v>6961</v>
      </c>
      <c r="G47" s="220">
        <f t="shared" si="2"/>
        <v>739.35</v>
      </c>
      <c r="H47" s="220">
        <f t="shared" si="3"/>
        <v>739.35</v>
      </c>
      <c r="I47" s="221">
        <f>IF(A47="Total",VLOOKUP(B47,CORRESPONDANCE[#All],2,FALSE),I48)</f>
        <v>11</v>
      </c>
      <c r="J47" s="222" t="str">
        <f t="shared" si="0"/>
        <v>6</v>
      </c>
      <c r="K47" s="44" t="str">
        <f t="shared" si="1"/>
        <v>TURVILLA - 645420</v>
      </c>
      <c r="L47" s="44" t="str">
        <f>+VLOOKUP(K47,TL[],4,FALSE)</f>
        <v>12</v>
      </c>
    </row>
    <row r="48" spans="1:12" x14ac:dyDescent="0.2">
      <c r="A48" t="s">
        <v>2537</v>
      </c>
      <c r="B48" t="s">
        <v>273</v>
      </c>
      <c r="C48">
        <v>198.91</v>
      </c>
      <c r="D48" t="s">
        <v>6961</v>
      </c>
      <c r="E48">
        <v>198.91</v>
      </c>
      <c r="F48" t="s">
        <v>6961</v>
      </c>
      <c r="G48" s="220">
        <f t="shared" si="2"/>
        <v>198.91</v>
      </c>
      <c r="H48" s="220">
        <f t="shared" si="3"/>
        <v>198.91</v>
      </c>
      <c r="I48" s="221">
        <f>IF(A48="Total",VLOOKUP(B48,CORRESPONDANCE[#All],2,FALSE),I49)</f>
        <v>11</v>
      </c>
      <c r="J48" s="222" t="str">
        <f t="shared" si="0"/>
        <v>6</v>
      </c>
      <c r="K48" s="44" t="str">
        <f t="shared" si="1"/>
        <v>TURVILLA - 645520</v>
      </c>
      <c r="L48" s="44" t="str">
        <f>+VLOOKUP(K48,TL[],4,FALSE)</f>
        <v>12</v>
      </c>
    </row>
    <row r="49" spans="1:12" x14ac:dyDescent="0.2">
      <c r="A49" t="s">
        <v>2008</v>
      </c>
      <c r="B49" t="s">
        <v>2470</v>
      </c>
      <c r="C49">
        <v>364.21</v>
      </c>
      <c r="D49" t="s">
        <v>6961</v>
      </c>
      <c r="E49">
        <v>364.21</v>
      </c>
      <c r="F49" t="s">
        <v>6961</v>
      </c>
      <c r="G49" s="220">
        <f t="shared" si="2"/>
        <v>364.21</v>
      </c>
      <c r="H49" s="220">
        <f t="shared" si="3"/>
        <v>364.21</v>
      </c>
      <c r="I49" s="221">
        <f>IF(A49="Total",VLOOKUP(B49,CORRESPONDANCE[#All],2,FALSE),I50)</f>
        <v>11</v>
      </c>
      <c r="J49" s="222" t="str">
        <f t="shared" si="0"/>
        <v>6</v>
      </c>
      <c r="K49" s="44" t="str">
        <f t="shared" si="1"/>
        <v>TURVILLA - 645820</v>
      </c>
      <c r="L49" s="44" t="str">
        <f>+VLOOKUP(K49,TL[],4,FALSE)</f>
        <v>12</v>
      </c>
    </row>
    <row r="50" spans="1:12" x14ac:dyDescent="0.2">
      <c r="A50" t="s">
        <v>3352</v>
      </c>
      <c r="B50" t="s">
        <v>2270</v>
      </c>
      <c r="C50" t="s">
        <v>6961</v>
      </c>
      <c r="D50">
        <v>731.24</v>
      </c>
      <c r="E50" t="s">
        <v>6961</v>
      </c>
      <c r="F50">
        <v>731.24</v>
      </c>
      <c r="G50" s="220">
        <f t="shared" si="2"/>
        <v>-731.24</v>
      </c>
      <c r="H50" s="220">
        <f t="shared" si="3"/>
        <v>-731.24</v>
      </c>
      <c r="I50" s="221">
        <f>IF(A50="Total",VLOOKUP(B50,CORRESPONDANCE[#All],2,FALSE),I51)</f>
        <v>11</v>
      </c>
      <c r="J50" s="222" t="str">
        <f t="shared" si="0"/>
        <v>7</v>
      </c>
      <c r="K50" s="44" t="str">
        <f t="shared" si="1"/>
        <v>TURVILLA - 708830</v>
      </c>
      <c r="L50" s="44" t="str">
        <f>+VLOOKUP(K50,TL[],4,FALSE)</f>
        <v>12</v>
      </c>
    </row>
    <row r="51" spans="1:12" x14ac:dyDescent="0.2">
      <c r="A51" t="s">
        <v>197</v>
      </c>
      <c r="B51" t="s">
        <v>2539</v>
      </c>
      <c r="C51">
        <v>5195.2</v>
      </c>
      <c r="D51" t="s">
        <v>6961</v>
      </c>
      <c r="E51">
        <v>5195.2</v>
      </c>
      <c r="F51" t="s">
        <v>6961</v>
      </c>
      <c r="G51" s="220">
        <f t="shared" si="2"/>
        <v>5195.2</v>
      </c>
      <c r="H51" s="220">
        <f t="shared" si="3"/>
        <v>5195.2</v>
      </c>
      <c r="I51" s="221">
        <f>IF(A51="Total",VLOOKUP(B51,CORRESPONDANCE[#All],2,FALSE),I52)</f>
        <v>11</v>
      </c>
      <c r="J51" s="222" t="str">
        <f t="shared" si="0"/>
        <v>T</v>
      </c>
      <c r="K51" s="44" t="str">
        <f t="shared" si="1"/>
        <v>TURVILLA - Total</v>
      </c>
      <c r="L51" s="44" t="e">
        <f>+VLOOKUP(K51,TL[],4,FALSE)</f>
        <v>#N/A</v>
      </c>
    </row>
    <row r="52" spans="1:12" x14ac:dyDescent="0.2">
      <c r="A52" t="s">
        <v>4946</v>
      </c>
      <c r="B52" t="s">
        <v>2435</v>
      </c>
      <c r="C52">
        <v>11700</v>
      </c>
      <c r="D52" t="s">
        <v>6961</v>
      </c>
      <c r="E52">
        <v>11700</v>
      </c>
      <c r="F52" t="s">
        <v>6961</v>
      </c>
      <c r="G52" s="220">
        <f t="shared" si="2"/>
        <v>11700</v>
      </c>
      <c r="H52" s="220">
        <f t="shared" si="3"/>
        <v>11700</v>
      </c>
      <c r="I52" s="221">
        <f>IF(A52="Total",VLOOKUP(B52,CORRESPONDANCE[#All],2,FALSE),I53)</f>
        <v>15</v>
      </c>
      <c r="J52" s="222" t="str">
        <f t="shared" si="0"/>
        <v>6</v>
      </c>
      <c r="K52" s="44" t="str">
        <f t="shared" si="1"/>
        <v>TURVILLA - 611006</v>
      </c>
      <c r="L52" s="44" t="str">
        <f>+VLOOKUP(K52,TL[],4,FALSE)</f>
        <v>19</v>
      </c>
    </row>
    <row r="53" spans="1:12" x14ac:dyDescent="0.2">
      <c r="A53" t="s">
        <v>197</v>
      </c>
      <c r="B53" t="s">
        <v>2544</v>
      </c>
      <c r="C53">
        <v>11700</v>
      </c>
      <c r="D53" t="s">
        <v>6961</v>
      </c>
      <c r="E53">
        <v>11700</v>
      </c>
      <c r="F53" t="s">
        <v>6961</v>
      </c>
      <c r="G53" s="220">
        <f t="shared" si="2"/>
        <v>11700</v>
      </c>
      <c r="H53" s="220">
        <f t="shared" si="3"/>
        <v>11700</v>
      </c>
      <c r="I53" s="221">
        <f>IF(A53="Total",VLOOKUP(B53,CORRESPONDANCE[#All],2,FALSE),I54)</f>
        <v>15</v>
      </c>
      <c r="J53" s="222" t="str">
        <f t="shared" si="0"/>
        <v>T</v>
      </c>
      <c r="K53" s="44" t="str">
        <f t="shared" si="1"/>
        <v>TURVILLA - Total</v>
      </c>
      <c r="L53" s="44" t="e">
        <f>+VLOOKUP(K53,TL[],4,FALSE)</f>
        <v>#N/A</v>
      </c>
    </row>
    <row r="54" spans="1:12" x14ac:dyDescent="0.2">
      <c r="A54" t="s">
        <v>4951</v>
      </c>
      <c r="B54" t="s">
        <v>2437</v>
      </c>
      <c r="C54">
        <v>33</v>
      </c>
      <c r="D54" t="s">
        <v>6961</v>
      </c>
      <c r="E54">
        <v>33</v>
      </c>
      <c r="F54" t="s">
        <v>6961</v>
      </c>
      <c r="G54" s="220">
        <f t="shared" si="2"/>
        <v>33</v>
      </c>
      <c r="H54" s="220">
        <f t="shared" si="3"/>
        <v>33</v>
      </c>
      <c r="I54" s="221">
        <f>IF(A54="Total",VLOOKUP(B54,CORRESPONDANCE[#All],2,FALSE),I55)</f>
        <v>16</v>
      </c>
      <c r="J54" s="222" t="str">
        <f t="shared" si="0"/>
        <v>6</v>
      </c>
      <c r="K54" s="44" t="str">
        <f t="shared" si="1"/>
        <v>TURVILLA - 611009</v>
      </c>
      <c r="L54" s="44" t="str">
        <f>+VLOOKUP(K54,TL[],4,FALSE)</f>
        <v>16</v>
      </c>
    </row>
    <row r="55" spans="1:12" x14ac:dyDescent="0.2">
      <c r="A55" t="s">
        <v>197</v>
      </c>
      <c r="B55" t="s">
        <v>2545</v>
      </c>
      <c r="C55">
        <v>33</v>
      </c>
      <c r="D55" t="s">
        <v>6961</v>
      </c>
      <c r="E55">
        <v>33</v>
      </c>
      <c r="F55" t="s">
        <v>6961</v>
      </c>
      <c r="G55" s="220">
        <f t="shared" si="2"/>
        <v>33</v>
      </c>
      <c r="H55" s="220">
        <f t="shared" si="3"/>
        <v>33</v>
      </c>
      <c r="I55" s="221">
        <f>IF(A55="Total",VLOOKUP(B55,CORRESPONDANCE[#All],2,FALSE),I56)</f>
        <v>16</v>
      </c>
      <c r="J55" s="222" t="str">
        <f t="shared" si="0"/>
        <v>T</v>
      </c>
      <c r="K55" s="44" t="str">
        <f t="shared" si="1"/>
        <v>TURVILLA - Total</v>
      </c>
      <c r="L55" s="44" t="e">
        <f>+VLOOKUP(K55,TL[],4,FALSE)</f>
        <v>#N/A</v>
      </c>
    </row>
    <row r="56" spans="1:12" x14ac:dyDescent="0.2">
      <c r="A56" t="s">
        <v>5092</v>
      </c>
      <c r="B56" t="s">
        <v>258</v>
      </c>
      <c r="C56">
        <v>821.7</v>
      </c>
      <c r="D56" t="s">
        <v>6961</v>
      </c>
      <c r="E56">
        <v>821.7</v>
      </c>
      <c r="F56" t="s">
        <v>6961</v>
      </c>
      <c r="G56" s="220">
        <f t="shared" si="2"/>
        <v>821.7</v>
      </c>
      <c r="H56" s="220">
        <f t="shared" si="3"/>
        <v>821.7</v>
      </c>
      <c r="I56" s="221">
        <f>IF(A56="Total",VLOOKUP(B56,CORRESPONDANCE[#All],2,FALSE),I57)</f>
        <v>17</v>
      </c>
      <c r="J56" s="222" t="str">
        <f t="shared" si="0"/>
        <v>6</v>
      </c>
      <c r="K56" s="44" t="str">
        <f t="shared" si="1"/>
        <v>TURVILLA - 627100</v>
      </c>
      <c r="L56" s="44" t="str">
        <f>+VLOOKUP(K56,TL[],4,FALSE)</f>
        <v>37</v>
      </c>
    </row>
    <row r="57" spans="1:12" x14ac:dyDescent="0.2">
      <c r="A57" t="s">
        <v>5926</v>
      </c>
      <c r="B57" t="s">
        <v>2459</v>
      </c>
      <c r="C57">
        <v>214.9</v>
      </c>
      <c r="D57" t="s">
        <v>6961</v>
      </c>
      <c r="E57">
        <v>214.9</v>
      </c>
      <c r="F57" t="s">
        <v>6961</v>
      </c>
      <c r="G57" s="220">
        <f t="shared" si="2"/>
        <v>214.9</v>
      </c>
      <c r="H57" s="220">
        <f t="shared" si="3"/>
        <v>214.9</v>
      </c>
      <c r="I57" s="221">
        <f>IF(A57="Total",VLOOKUP(B57,CORRESPONDANCE[#All],2,FALSE),I58)</f>
        <v>17</v>
      </c>
      <c r="J57" s="222" t="str">
        <f t="shared" si="0"/>
        <v>6</v>
      </c>
      <c r="K57" s="44" t="str">
        <f t="shared" si="1"/>
        <v>TURVILLA - 627201</v>
      </c>
      <c r="L57" s="44" t="str">
        <f>+VLOOKUP(K57,TL[],4,FALSE)</f>
        <v>37</v>
      </c>
    </row>
    <row r="58" spans="1:12" x14ac:dyDescent="0.2">
      <c r="A58" t="s">
        <v>5927</v>
      </c>
      <c r="B58" t="s">
        <v>5928</v>
      </c>
      <c r="C58">
        <v>1855.1</v>
      </c>
      <c r="D58" t="s">
        <v>6961</v>
      </c>
      <c r="E58">
        <v>1855.1</v>
      </c>
      <c r="F58" t="s">
        <v>6961</v>
      </c>
      <c r="G58" s="220">
        <f t="shared" si="2"/>
        <v>1855.1</v>
      </c>
      <c r="H58" s="220">
        <f t="shared" si="3"/>
        <v>1855.1</v>
      </c>
      <c r="I58" s="221">
        <f>IF(A58="Total",VLOOKUP(B58,CORRESPONDANCE[#All],2,FALSE),I59)</f>
        <v>17</v>
      </c>
      <c r="J58" s="222" t="str">
        <f t="shared" si="0"/>
        <v>6</v>
      </c>
      <c r="K58" s="44" t="str">
        <f t="shared" si="1"/>
        <v>TURVILLA - 627300</v>
      </c>
      <c r="L58" s="44" t="str">
        <f>+VLOOKUP(K58,TL[],4,FALSE)</f>
        <v>37</v>
      </c>
    </row>
    <row r="59" spans="1:12" x14ac:dyDescent="0.2">
      <c r="A59" t="s">
        <v>5094</v>
      </c>
      <c r="B59" t="s">
        <v>5929</v>
      </c>
      <c r="C59">
        <v>228.58</v>
      </c>
      <c r="D59" t="s">
        <v>6961</v>
      </c>
      <c r="E59">
        <v>228.58</v>
      </c>
      <c r="F59" t="s">
        <v>6961</v>
      </c>
      <c r="G59" s="220">
        <f t="shared" si="2"/>
        <v>228.58</v>
      </c>
      <c r="H59" s="220">
        <f t="shared" si="3"/>
        <v>228.58</v>
      </c>
      <c r="I59" s="221">
        <f>IF(A59="Total",VLOOKUP(B59,CORRESPONDANCE[#All],2,FALSE),I60)</f>
        <v>17</v>
      </c>
      <c r="J59" s="222" t="str">
        <f t="shared" si="0"/>
        <v>6</v>
      </c>
      <c r="K59" s="44" t="str">
        <f t="shared" si="1"/>
        <v>TURVILLA - 627500</v>
      </c>
      <c r="L59" s="44" t="str">
        <f>+VLOOKUP(K59,TL[],4,FALSE)</f>
        <v>37</v>
      </c>
    </row>
    <row r="60" spans="1:12" x14ac:dyDescent="0.2">
      <c r="A60" t="s">
        <v>1600</v>
      </c>
      <c r="B60" t="s">
        <v>238</v>
      </c>
      <c r="C60">
        <v>1602.73</v>
      </c>
      <c r="D60" t="s">
        <v>6961</v>
      </c>
      <c r="E60">
        <v>1602.73</v>
      </c>
      <c r="F60" t="s">
        <v>6961</v>
      </c>
      <c r="G60" s="220">
        <f t="shared" si="2"/>
        <v>1602.73</v>
      </c>
      <c r="H60" s="220">
        <f t="shared" si="3"/>
        <v>1602.73</v>
      </c>
      <c r="I60" s="221">
        <f>IF(A60="Total",VLOOKUP(B60,CORRESPONDANCE[#All],2,FALSE),I61)</f>
        <v>17</v>
      </c>
      <c r="J60" s="222" t="str">
        <f t="shared" si="0"/>
        <v>6</v>
      </c>
      <c r="K60" s="44" t="str">
        <f t="shared" si="1"/>
        <v>TURVILLA - 627802</v>
      </c>
      <c r="L60" s="44" t="str">
        <f>+VLOOKUP(K60,TL[],4,FALSE)</f>
        <v>37</v>
      </c>
    </row>
    <row r="61" spans="1:12" x14ac:dyDescent="0.2">
      <c r="A61" t="s">
        <v>5932</v>
      </c>
      <c r="B61" t="s">
        <v>1072</v>
      </c>
      <c r="C61">
        <v>19.97</v>
      </c>
      <c r="D61" t="s">
        <v>6961</v>
      </c>
      <c r="E61">
        <v>19.97</v>
      </c>
      <c r="F61" t="s">
        <v>6961</v>
      </c>
      <c r="G61" s="220">
        <f t="shared" si="2"/>
        <v>19.97</v>
      </c>
      <c r="H61" s="220">
        <f t="shared" si="3"/>
        <v>19.97</v>
      </c>
      <c r="I61" s="221">
        <f>IF(A61="Total",VLOOKUP(B61,CORRESPONDANCE[#All],2,FALSE),I62)</f>
        <v>17</v>
      </c>
      <c r="J61" s="222" t="str">
        <f t="shared" si="0"/>
        <v>6</v>
      </c>
      <c r="K61" s="44" t="str">
        <f t="shared" si="1"/>
        <v>TURVILLA - 627806</v>
      </c>
      <c r="L61" s="44" t="str">
        <f>+VLOOKUP(K61,TL[],4,FALSE)</f>
        <v>37</v>
      </c>
    </row>
    <row r="62" spans="1:12" x14ac:dyDescent="0.2">
      <c r="A62" t="s">
        <v>197</v>
      </c>
      <c r="B62" t="s">
        <v>2546</v>
      </c>
      <c r="C62">
        <v>4742.9799999999996</v>
      </c>
      <c r="D62" t="s">
        <v>6961</v>
      </c>
      <c r="E62">
        <v>4742.9799999999996</v>
      </c>
      <c r="F62" t="s">
        <v>6961</v>
      </c>
      <c r="G62" s="220">
        <f t="shared" si="2"/>
        <v>4742.9799999999996</v>
      </c>
      <c r="H62" s="220">
        <f t="shared" si="3"/>
        <v>4742.9799999999996</v>
      </c>
      <c r="I62" s="221">
        <f>IF(A62="Total",VLOOKUP(B62,CORRESPONDANCE[#All],2,FALSE),I63)</f>
        <v>17</v>
      </c>
      <c r="J62" s="222" t="str">
        <f t="shared" si="0"/>
        <v>T</v>
      </c>
      <c r="K62" s="44" t="str">
        <f t="shared" si="1"/>
        <v>TURVILLA - Total</v>
      </c>
      <c r="L62" s="44" t="e">
        <f>+VLOOKUP(K62,TL[],4,FALSE)</f>
        <v>#N/A</v>
      </c>
    </row>
    <row r="63" spans="1:12" x14ac:dyDescent="0.2">
      <c r="A63" t="s">
        <v>1895</v>
      </c>
      <c r="B63" t="s">
        <v>2427</v>
      </c>
      <c r="C63">
        <v>1350.94</v>
      </c>
      <c r="D63" t="s">
        <v>6961</v>
      </c>
      <c r="E63">
        <v>1350.94</v>
      </c>
      <c r="F63" t="s">
        <v>6961</v>
      </c>
      <c r="G63" s="220">
        <f t="shared" si="2"/>
        <v>1350.94</v>
      </c>
      <c r="H63" s="220">
        <f t="shared" si="3"/>
        <v>1350.94</v>
      </c>
      <c r="I63" s="221">
        <f>IF(A63="Total",VLOOKUP(B63,CORRESPONDANCE[#All],2,FALSE),I64)</f>
        <v>18</v>
      </c>
      <c r="J63" s="222" t="str">
        <f t="shared" si="0"/>
        <v>6</v>
      </c>
      <c r="K63" s="44" t="str">
        <f t="shared" si="1"/>
        <v>TURVILLA - 606301</v>
      </c>
      <c r="L63" s="44" t="str">
        <f>+VLOOKUP(K63,TL[],4,FALSE)</f>
        <v>19</v>
      </c>
    </row>
    <row r="64" spans="1:12" x14ac:dyDescent="0.2">
      <c r="A64" t="s">
        <v>1922</v>
      </c>
      <c r="B64" t="s">
        <v>2448</v>
      </c>
      <c r="C64">
        <v>531.79999999999995</v>
      </c>
      <c r="D64" t="s">
        <v>6961</v>
      </c>
      <c r="E64">
        <v>531.79999999999995</v>
      </c>
      <c r="F64" t="s">
        <v>6961</v>
      </c>
      <c r="G64" s="220">
        <f t="shared" si="2"/>
        <v>531.79999999999995</v>
      </c>
      <c r="H64" s="220">
        <f t="shared" si="3"/>
        <v>531.79999999999995</v>
      </c>
      <c r="I64" s="221">
        <f>IF(A64="Total",VLOOKUP(B64,CORRESPONDANCE[#All],2,FALSE),I65)</f>
        <v>18</v>
      </c>
      <c r="J64" s="222" t="str">
        <f t="shared" si="0"/>
        <v>6</v>
      </c>
      <c r="K64" s="44" t="str">
        <f t="shared" si="1"/>
        <v>TURVILLA - 615001</v>
      </c>
      <c r="L64" s="44" t="str">
        <f>+VLOOKUP(K64,TL[],4,FALSE)</f>
        <v>19</v>
      </c>
    </row>
    <row r="65" spans="1:12" x14ac:dyDescent="0.2">
      <c r="A65" t="s">
        <v>197</v>
      </c>
      <c r="B65" t="s">
        <v>2547</v>
      </c>
      <c r="C65">
        <v>1882.74</v>
      </c>
      <c r="D65" t="s">
        <v>6961</v>
      </c>
      <c r="E65">
        <v>1882.74</v>
      </c>
      <c r="F65" t="s">
        <v>6961</v>
      </c>
      <c r="G65" s="220">
        <f t="shared" si="2"/>
        <v>1882.74</v>
      </c>
      <c r="H65" s="220">
        <f t="shared" si="3"/>
        <v>1882.74</v>
      </c>
      <c r="I65" s="221">
        <f>IF(A65="Total",VLOOKUP(B65,CORRESPONDANCE[#All],2,FALSE),I66)</f>
        <v>18</v>
      </c>
      <c r="J65" s="222" t="str">
        <f t="shared" si="0"/>
        <v>T</v>
      </c>
      <c r="K65" s="44" t="str">
        <f t="shared" si="1"/>
        <v>TURVILLA - Total</v>
      </c>
      <c r="L65" s="44" t="e">
        <f>+VLOOKUP(K65,TL[],4,FALSE)</f>
        <v>#N/A</v>
      </c>
    </row>
    <row r="66" spans="1:12" x14ac:dyDescent="0.2">
      <c r="A66" t="s">
        <v>1902</v>
      </c>
      <c r="B66" t="s">
        <v>1158</v>
      </c>
      <c r="C66">
        <v>384</v>
      </c>
      <c r="D66" t="s">
        <v>6961</v>
      </c>
      <c r="E66">
        <v>384</v>
      </c>
      <c r="F66" t="s">
        <v>6961</v>
      </c>
      <c r="G66" s="220">
        <f t="shared" si="2"/>
        <v>384</v>
      </c>
      <c r="H66" s="220">
        <f t="shared" si="3"/>
        <v>384</v>
      </c>
      <c r="I66" s="221">
        <f>IF(A66="Total",VLOOKUP(B66,CORRESPONDANCE[#All],2,FALSE),I67)</f>
        <v>19</v>
      </c>
      <c r="J66" s="222" t="str">
        <f t="shared" si="0"/>
        <v>6</v>
      </c>
      <c r="K66" s="44" t="str">
        <f t="shared" si="1"/>
        <v>TURVILLA - 611005</v>
      </c>
      <c r="L66" s="44" t="str">
        <f>+VLOOKUP(K66,TL[],4,FALSE)</f>
        <v>16</v>
      </c>
    </row>
    <row r="67" spans="1:12" x14ac:dyDescent="0.2">
      <c r="A67" t="s">
        <v>4948</v>
      </c>
      <c r="B67" t="s">
        <v>2436</v>
      </c>
      <c r="C67">
        <v>378.81</v>
      </c>
      <c r="D67" t="s">
        <v>6961</v>
      </c>
      <c r="E67">
        <v>378.81</v>
      </c>
      <c r="F67" t="s">
        <v>6961</v>
      </c>
      <c r="G67" s="220">
        <f t="shared" si="2"/>
        <v>378.81</v>
      </c>
      <c r="H67" s="220">
        <f t="shared" si="3"/>
        <v>378.81</v>
      </c>
      <c r="I67" s="221">
        <f>IF(A67="Total",VLOOKUP(B67,CORRESPONDANCE[#All],2,FALSE),I68)</f>
        <v>19</v>
      </c>
      <c r="J67" s="222" t="str">
        <f t="shared" ref="J67:J130" si="4">LEFT(A67,1)</f>
        <v>6</v>
      </c>
      <c r="K67" s="44" t="str">
        <f t="shared" ref="K67:K130" si="5">"TURVILLA"&amp;" - "&amp;A67</f>
        <v>TURVILLA - 611007</v>
      </c>
      <c r="L67" s="44" t="str">
        <f>+VLOOKUP(K67,TL[],4,FALSE)</f>
        <v>16</v>
      </c>
    </row>
    <row r="68" spans="1:12" x14ac:dyDescent="0.2">
      <c r="A68" t="s">
        <v>2548</v>
      </c>
      <c r="B68" t="s">
        <v>2438</v>
      </c>
      <c r="C68">
        <v>240</v>
      </c>
      <c r="D68" t="s">
        <v>6961</v>
      </c>
      <c r="E68">
        <v>240</v>
      </c>
      <c r="F68" t="s">
        <v>6961</v>
      </c>
      <c r="G68" s="220">
        <f t="shared" si="2"/>
        <v>240</v>
      </c>
      <c r="H68" s="220">
        <f t="shared" si="3"/>
        <v>240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TURVILLA - 611012</v>
      </c>
      <c r="L68" s="44" t="str">
        <f>+VLOOKUP(K68,TL[],4,FALSE)</f>
        <v>32</v>
      </c>
    </row>
    <row r="69" spans="1:12" x14ac:dyDescent="0.2">
      <c r="A69" t="s">
        <v>5852</v>
      </c>
      <c r="B69" t="s">
        <v>2439</v>
      </c>
      <c r="C69">
        <v>168</v>
      </c>
      <c r="D69" t="s">
        <v>6961</v>
      </c>
      <c r="E69">
        <v>168</v>
      </c>
      <c r="F69" t="s">
        <v>6961</v>
      </c>
      <c r="G69" s="220">
        <f t="shared" si="2"/>
        <v>168</v>
      </c>
      <c r="H69" s="220">
        <f t="shared" si="3"/>
        <v>168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TURVILLA - 611024</v>
      </c>
      <c r="L69" s="44" t="str">
        <f>+VLOOKUP(K69,TL[],4,FALSE)</f>
        <v>16</v>
      </c>
    </row>
    <row r="70" spans="1:12" x14ac:dyDescent="0.2">
      <c r="A70" t="s">
        <v>2550</v>
      </c>
      <c r="B70" t="s">
        <v>219</v>
      </c>
      <c r="C70">
        <v>273.41000000000003</v>
      </c>
      <c r="D70" t="s">
        <v>6961</v>
      </c>
      <c r="E70">
        <v>273.41000000000003</v>
      </c>
      <c r="F70" t="s">
        <v>6961</v>
      </c>
      <c r="G70" s="220">
        <f t="shared" ref="G70:G133" si="6">SUM(C70)-SUM(D70)</f>
        <v>273.41000000000003</v>
      </c>
      <c r="H70" s="220">
        <f t="shared" ref="H70:H133" si="7">SUM(E70)-SUM(F70)</f>
        <v>273.41000000000003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TURVILLA - 613330</v>
      </c>
      <c r="L70" s="44" t="str">
        <f>+VLOOKUP(K70,TL[],4,FALSE)</f>
        <v>16</v>
      </c>
    </row>
    <row r="71" spans="1:12" x14ac:dyDescent="0.2">
      <c r="A71" t="s">
        <v>5863</v>
      </c>
      <c r="B71" t="s">
        <v>2226</v>
      </c>
      <c r="C71">
        <v>240</v>
      </c>
      <c r="D71" t="s">
        <v>6961</v>
      </c>
      <c r="E71">
        <v>240</v>
      </c>
      <c r="F71" t="s">
        <v>6961</v>
      </c>
      <c r="G71" s="220">
        <f t="shared" si="6"/>
        <v>240</v>
      </c>
      <c r="H71" s="220">
        <f t="shared" si="7"/>
        <v>240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TURVILLA - 613340</v>
      </c>
      <c r="L71" s="44" t="str">
        <f>+VLOOKUP(K71,TL[],4,FALSE)</f>
        <v>16</v>
      </c>
    </row>
    <row r="72" spans="1:12" x14ac:dyDescent="0.2">
      <c r="A72" t="s">
        <v>2552</v>
      </c>
      <c r="B72" t="s">
        <v>1568</v>
      </c>
      <c r="C72">
        <v>46</v>
      </c>
      <c r="D72" t="s">
        <v>6961</v>
      </c>
      <c r="E72">
        <v>46</v>
      </c>
      <c r="F72" t="s">
        <v>6961</v>
      </c>
      <c r="G72" s="220">
        <f t="shared" si="6"/>
        <v>46</v>
      </c>
      <c r="H72" s="220">
        <f t="shared" si="7"/>
        <v>46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TURVILLA - 613360</v>
      </c>
      <c r="L72" s="44" t="str">
        <f>+VLOOKUP(K72,TL[],4,FALSE)</f>
        <v>16</v>
      </c>
    </row>
    <row r="73" spans="1:12" x14ac:dyDescent="0.2">
      <c r="A73" t="s">
        <v>1627</v>
      </c>
      <c r="B73" t="s">
        <v>2449</v>
      </c>
      <c r="C73">
        <v>500</v>
      </c>
      <c r="D73" t="s">
        <v>6961</v>
      </c>
      <c r="E73">
        <v>500</v>
      </c>
      <c r="F73" t="s">
        <v>6961</v>
      </c>
      <c r="G73" s="220">
        <f t="shared" si="6"/>
        <v>500</v>
      </c>
      <c r="H73" s="220">
        <f t="shared" si="7"/>
        <v>500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TURVILLA - 615600</v>
      </c>
      <c r="L73" s="44" t="str">
        <f>+VLOOKUP(K73,TL[],4,FALSE)</f>
        <v>16</v>
      </c>
    </row>
    <row r="74" spans="1:12" x14ac:dyDescent="0.2">
      <c r="A74" t="s">
        <v>4995</v>
      </c>
      <c r="B74" t="s">
        <v>5867</v>
      </c>
      <c r="C74">
        <v>73.17</v>
      </c>
      <c r="D74" t="s">
        <v>6961</v>
      </c>
      <c r="E74">
        <v>73.17</v>
      </c>
      <c r="F74" t="s">
        <v>6961</v>
      </c>
      <c r="G74" s="220">
        <f t="shared" si="6"/>
        <v>73.17</v>
      </c>
      <c r="H74" s="220">
        <f t="shared" si="7"/>
        <v>73.17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TURVILLA - 615601</v>
      </c>
      <c r="L74" s="44" t="str">
        <f>+VLOOKUP(K74,TL[],4,FALSE)</f>
        <v>16</v>
      </c>
    </row>
    <row r="75" spans="1:12" x14ac:dyDescent="0.2">
      <c r="A75" t="s">
        <v>5868</v>
      </c>
      <c r="B75" t="s">
        <v>2810</v>
      </c>
      <c r="C75">
        <v>668.42</v>
      </c>
      <c r="D75" t="s">
        <v>6961</v>
      </c>
      <c r="E75">
        <v>668.42</v>
      </c>
      <c r="F75" t="s">
        <v>6961</v>
      </c>
      <c r="G75" s="220">
        <f t="shared" si="6"/>
        <v>668.42</v>
      </c>
      <c r="H75" s="220">
        <f t="shared" si="7"/>
        <v>668.42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TURVILLA - 615602</v>
      </c>
      <c r="L75" s="44" t="str">
        <f>+VLOOKUP(K75,TL[],4,FALSE)</f>
        <v>16</v>
      </c>
    </row>
    <row r="76" spans="1:12" x14ac:dyDescent="0.2">
      <c r="A76" t="s">
        <v>2553</v>
      </c>
      <c r="B76" t="s">
        <v>2175</v>
      </c>
      <c r="C76">
        <v>120</v>
      </c>
      <c r="D76" t="s">
        <v>6961</v>
      </c>
      <c r="E76">
        <v>120</v>
      </c>
      <c r="F76" t="s">
        <v>6961</v>
      </c>
      <c r="G76" s="220">
        <f t="shared" si="6"/>
        <v>120</v>
      </c>
      <c r="H76" s="220">
        <f t="shared" si="7"/>
        <v>120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TURVILLA - 615609</v>
      </c>
      <c r="L76" s="44" t="str">
        <f>+VLOOKUP(K76,TL[],4,FALSE)</f>
        <v>16</v>
      </c>
    </row>
    <row r="77" spans="1:12" x14ac:dyDescent="0.2">
      <c r="A77" t="s">
        <v>1779</v>
      </c>
      <c r="B77" t="s">
        <v>234</v>
      </c>
      <c r="C77">
        <v>27.5</v>
      </c>
      <c r="D77" t="s">
        <v>6961</v>
      </c>
      <c r="E77">
        <v>27.5</v>
      </c>
      <c r="F77" t="s">
        <v>6961</v>
      </c>
      <c r="G77" s="220">
        <f t="shared" si="6"/>
        <v>27.5</v>
      </c>
      <c r="H77" s="220">
        <f t="shared" si="7"/>
        <v>27.5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TURVILLA - 615610</v>
      </c>
      <c r="L77" s="44" t="str">
        <f>+VLOOKUP(K77,TL[],4,FALSE)</f>
        <v>16</v>
      </c>
    </row>
    <row r="78" spans="1:12" x14ac:dyDescent="0.2">
      <c r="A78" t="s">
        <v>1598</v>
      </c>
      <c r="B78" t="s">
        <v>240</v>
      </c>
      <c r="C78">
        <v>78.319999999999993</v>
      </c>
      <c r="D78" t="s">
        <v>6961</v>
      </c>
      <c r="E78">
        <v>78.319999999999993</v>
      </c>
      <c r="F78" t="s">
        <v>6961</v>
      </c>
      <c r="G78" s="220">
        <f t="shared" si="6"/>
        <v>78.319999999999993</v>
      </c>
      <c r="H78" s="220">
        <f t="shared" si="7"/>
        <v>78.319999999999993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TURVILLA - 615615</v>
      </c>
      <c r="L78" s="44" t="str">
        <f>+VLOOKUP(K78,TL[],4,FALSE)</f>
        <v>16</v>
      </c>
    </row>
    <row r="79" spans="1:12" x14ac:dyDescent="0.2">
      <c r="A79" t="s">
        <v>1625</v>
      </c>
      <c r="B79" t="s">
        <v>229</v>
      </c>
      <c r="C79">
        <v>365</v>
      </c>
      <c r="D79" t="s">
        <v>6961</v>
      </c>
      <c r="E79">
        <v>365</v>
      </c>
      <c r="F79" t="s">
        <v>6961</v>
      </c>
      <c r="G79" s="220">
        <f t="shared" si="6"/>
        <v>365</v>
      </c>
      <c r="H79" s="220">
        <f t="shared" si="7"/>
        <v>365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TURVILLA - 615616</v>
      </c>
      <c r="L79" s="44" t="str">
        <f>+VLOOKUP(K79,TL[],4,FALSE)</f>
        <v>16</v>
      </c>
    </row>
    <row r="80" spans="1:12" x14ac:dyDescent="0.2">
      <c r="A80" t="s">
        <v>1595</v>
      </c>
      <c r="B80" t="s">
        <v>211</v>
      </c>
      <c r="C80">
        <v>419</v>
      </c>
      <c r="D80" t="s">
        <v>6961</v>
      </c>
      <c r="E80">
        <v>419</v>
      </c>
      <c r="F80" t="s">
        <v>6961</v>
      </c>
      <c r="G80" s="220">
        <f t="shared" si="6"/>
        <v>419</v>
      </c>
      <c r="H80" s="220">
        <f t="shared" si="7"/>
        <v>419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TURVILLA - 615621</v>
      </c>
      <c r="L80" s="44" t="str">
        <f>+VLOOKUP(K80,TL[],4,FALSE)</f>
        <v>16</v>
      </c>
    </row>
    <row r="81" spans="1:12" x14ac:dyDescent="0.2">
      <c r="A81" t="s">
        <v>1938</v>
      </c>
      <c r="B81" t="s">
        <v>1401</v>
      </c>
      <c r="C81">
        <v>49</v>
      </c>
      <c r="D81" t="s">
        <v>6961</v>
      </c>
      <c r="E81">
        <v>49</v>
      </c>
      <c r="F81" t="s">
        <v>6961</v>
      </c>
      <c r="G81" s="220">
        <f t="shared" si="6"/>
        <v>49</v>
      </c>
      <c r="H81" s="220">
        <f t="shared" si="7"/>
        <v>49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TURVILLA - 615626</v>
      </c>
      <c r="L81" s="44" t="str">
        <f>+VLOOKUP(K81,TL[],4,FALSE)</f>
        <v>16</v>
      </c>
    </row>
    <row r="82" spans="1:12" x14ac:dyDescent="0.2">
      <c r="A82" t="s">
        <v>1613</v>
      </c>
      <c r="B82" t="s">
        <v>2233</v>
      </c>
      <c r="C82">
        <v>149</v>
      </c>
      <c r="D82" t="s">
        <v>6961</v>
      </c>
      <c r="E82">
        <v>149</v>
      </c>
      <c r="F82" t="s">
        <v>6961</v>
      </c>
      <c r="G82" s="220">
        <f t="shared" si="6"/>
        <v>149</v>
      </c>
      <c r="H82" s="220">
        <f t="shared" si="7"/>
        <v>149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TURVILLA - 615632</v>
      </c>
      <c r="L82" s="44" t="str">
        <f>+VLOOKUP(K82,TL[],4,FALSE)</f>
        <v>16</v>
      </c>
    </row>
    <row r="83" spans="1:12" x14ac:dyDescent="0.2">
      <c r="A83" t="s">
        <v>1795</v>
      </c>
      <c r="B83" t="s">
        <v>233</v>
      </c>
      <c r="C83">
        <v>90</v>
      </c>
      <c r="D83" t="s">
        <v>6961</v>
      </c>
      <c r="E83">
        <v>90</v>
      </c>
      <c r="F83" t="s">
        <v>6961</v>
      </c>
      <c r="G83" s="220">
        <f t="shared" si="6"/>
        <v>90</v>
      </c>
      <c r="H83" s="220">
        <f t="shared" si="7"/>
        <v>90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TURVILLA - 615634</v>
      </c>
      <c r="L83" s="44" t="str">
        <f>+VLOOKUP(K83,TL[],4,FALSE)</f>
        <v>16</v>
      </c>
    </row>
    <row r="84" spans="1:12" x14ac:dyDescent="0.2">
      <c r="A84" t="s">
        <v>1628</v>
      </c>
      <c r="B84" t="s">
        <v>2236</v>
      </c>
      <c r="C84">
        <v>162.66999999999999</v>
      </c>
      <c r="D84" t="s">
        <v>6961</v>
      </c>
      <c r="E84">
        <v>162.66999999999999</v>
      </c>
      <c r="F84" t="s">
        <v>6961</v>
      </c>
      <c r="G84" s="220">
        <f t="shared" si="6"/>
        <v>162.66999999999999</v>
      </c>
      <c r="H84" s="220">
        <f t="shared" si="7"/>
        <v>162.66999999999999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TURVILLA - 615637</v>
      </c>
      <c r="L84" s="44" t="str">
        <f>+VLOOKUP(K84,TL[],4,FALSE)</f>
        <v>16</v>
      </c>
    </row>
    <row r="85" spans="1:12" x14ac:dyDescent="0.2">
      <c r="A85" t="s">
        <v>1941</v>
      </c>
      <c r="B85" t="s">
        <v>2450</v>
      </c>
      <c r="C85">
        <v>73.58</v>
      </c>
      <c r="D85" t="s">
        <v>6961</v>
      </c>
      <c r="E85">
        <v>73.58</v>
      </c>
      <c r="F85" t="s">
        <v>6961</v>
      </c>
      <c r="G85" s="220">
        <f t="shared" si="6"/>
        <v>73.58</v>
      </c>
      <c r="H85" s="220">
        <f t="shared" si="7"/>
        <v>73.58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TURVILLA - 615638</v>
      </c>
      <c r="L85" s="44" t="str">
        <f>+VLOOKUP(K85,TL[],4,FALSE)</f>
        <v>16</v>
      </c>
    </row>
    <row r="86" spans="1:12" x14ac:dyDescent="0.2">
      <c r="A86" t="s">
        <v>2554</v>
      </c>
      <c r="B86" t="s">
        <v>2451</v>
      </c>
      <c r="C86">
        <v>1750</v>
      </c>
      <c r="D86" t="s">
        <v>6961</v>
      </c>
      <c r="E86">
        <v>1750</v>
      </c>
      <c r="F86" t="s">
        <v>6961</v>
      </c>
      <c r="G86" s="220">
        <f t="shared" si="6"/>
        <v>1750</v>
      </c>
      <c r="H86" s="220">
        <f t="shared" si="7"/>
        <v>1750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TURVILLA - 615645</v>
      </c>
      <c r="L86" s="44" t="str">
        <f>+VLOOKUP(K86,TL[],4,FALSE)</f>
        <v>16</v>
      </c>
    </row>
    <row r="87" spans="1:12" x14ac:dyDescent="0.2">
      <c r="A87" t="s">
        <v>2555</v>
      </c>
      <c r="B87" t="s">
        <v>2204</v>
      </c>
      <c r="C87">
        <v>120</v>
      </c>
      <c r="D87" t="s">
        <v>6961</v>
      </c>
      <c r="E87">
        <v>120</v>
      </c>
      <c r="F87" t="s">
        <v>6961</v>
      </c>
      <c r="G87" s="220">
        <f t="shared" si="6"/>
        <v>120</v>
      </c>
      <c r="H87" s="220">
        <f t="shared" si="7"/>
        <v>120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TURVILLA - 615647</v>
      </c>
      <c r="L87" s="44" t="str">
        <f>+VLOOKUP(K87,TL[],4,FALSE)</f>
        <v>16</v>
      </c>
    </row>
    <row r="88" spans="1:12" x14ac:dyDescent="0.2">
      <c r="A88" t="s">
        <v>2556</v>
      </c>
      <c r="B88" t="s">
        <v>2237</v>
      </c>
      <c r="C88">
        <v>20</v>
      </c>
      <c r="D88" t="s">
        <v>6961</v>
      </c>
      <c r="E88">
        <v>20</v>
      </c>
      <c r="F88" t="s">
        <v>6961</v>
      </c>
      <c r="G88" s="220">
        <f t="shared" si="6"/>
        <v>20</v>
      </c>
      <c r="H88" s="220">
        <f t="shared" si="7"/>
        <v>20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TURVILLA - 615651</v>
      </c>
      <c r="L88" s="44" t="str">
        <f>+VLOOKUP(K88,TL[],4,FALSE)</f>
        <v>16</v>
      </c>
    </row>
    <row r="89" spans="1:12" x14ac:dyDescent="0.2">
      <c r="A89" t="s">
        <v>2557</v>
      </c>
      <c r="B89" t="s">
        <v>2238</v>
      </c>
      <c r="C89">
        <v>63.12</v>
      </c>
      <c r="D89" t="s">
        <v>6961</v>
      </c>
      <c r="E89">
        <v>63.12</v>
      </c>
      <c r="F89" t="s">
        <v>6961</v>
      </c>
      <c r="G89" s="220">
        <f t="shared" si="6"/>
        <v>63.12</v>
      </c>
      <c r="H89" s="220">
        <f t="shared" si="7"/>
        <v>63.12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TURVILLA - 615652</v>
      </c>
      <c r="L89" s="44" t="str">
        <f>+VLOOKUP(K89,TL[],4,FALSE)</f>
        <v>16</v>
      </c>
    </row>
    <row r="90" spans="1:12" x14ac:dyDescent="0.2">
      <c r="A90" t="s">
        <v>2558</v>
      </c>
      <c r="B90" t="s">
        <v>2239</v>
      </c>
      <c r="C90">
        <v>249</v>
      </c>
      <c r="D90" t="s">
        <v>6961</v>
      </c>
      <c r="E90">
        <v>249</v>
      </c>
      <c r="F90" t="s">
        <v>6961</v>
      </c>
      <c r="G90" s="220">
        <f t="shared" si="6"/>
        <v>249</v>
      </c>
      <c r="H90" s="220">
        <f t="shared" si="7"/>
        <v>249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TURVILLA - 615653</v>
      </c>
      <c r="L90" s="44" t="str">
        <f>+VLOOKUP(K90,TL[],4,FALSE)</f>
        <v>16</v>
      </c>
    </row>
    <row r="91" spans="1:12" x14ac:dyDescent="0.2">
      <c r="A91" t="s">
        <v>2559</v>
      </c>
      <c r="B91" t="s">
        <v>1486</v>
      </c>
      <c r="C91">
        <v>65</v>
      </c>
      <c r="D91" t="s">
        <v>6961</v>
      </c>
      <c r="E91">
        <v>65</v>
      </c>
      <c r="F91" t="s">
        <v>6961</v>
      </c>
      <c r="G91" s="220">
        <f t="shared" si="6"/>
        <v>65</v>
      </c>
      <c r="H91" s="220">
        <f t="shared" si="7"/>
        <v>65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TURVILLA - 615654</v>
      </c>
      <c r="L91" s="44" t="str">
        <f>+VLOOKUP(K91,TL[],4,FALSE)</f>
        <v>16</v>
      </c>
    </row>
    <row r="92" spans="1:12" x14ac:dyDescent="0.2">
      <c r="A92" t="s">
        <v>2560</v>
      </c>
      <c r="B92" t="s">
        <v>2240</v>
      </c>
      <c r="C92">
        <v>220</v>
      </c>
      <c r="D92" t="s">
        <v>6961</v>
      </c>
      <c r="E92">
        <v>220</v>
      </c>
      <c r="F92" t="s">
        <v>6961</v>
      </c>
      <c r="G92" s="220">
        <f t="shared" si="6"/>
        <v>220</v>
      </c>
      <c r="H92" s="220">
        <f t="shared" si="7"/>
        <v>220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TURVILLA - 615655</v>
      </c>
      <c r="L92" s="44" t="str">
        <f>+VLOOKUP(K92,TL[],4,FALSE)</f>
        <v>16</v>
      </c>
    </row>
    <row r="93" spans="1:12" x14ac:dyDescent="0.2">
      <c r="A93" t="s">
        <v>2561</v>
      </c>
      <c r="B93" t="s">
        <v>2241</v>
      </c>
      <c r="C93">
        <v>139</v>
      </c>
      <c r="D93" t="s">
        <v>6961</v>
      </c>
      <c r="E93">
        <v>139</v>
      </c>
      <c r="F93" t="s">
        <v>6961</v>
      </c>
      <c r="G93" s="220">
        <f t="shared" si="6"/>
        <v>139</v>
      </c>
      <c r="H93" s="220">
        <f t="shared" si="7"/>
        <v>139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TURVILLA - 615656</v>
      </c>
      <c r="L93" s="44" t="str">
        <f>+VLOOKUP(K93,TL[],4,FALSE)</f>
        <v>16</v>
      </c>
    </row>
    <row r="94" spans="1:12" x14ac:dyDescent="0.2">
      <c r="A94" t="s">
        <v>2562</v>
      </c>
      <c r="B94" t="s">
        <v>7059</v>
      </c>
      <c r="C94">
        <v>219.96</v>
      </c>
      <c r="D94" t="s">
        <v>6961</v>
      </c>
      <c r="E94">
        <v>219.96</v>
      </c>
      <c r="F94" t="s">
        <v>6961</v>
      </c>
      <c r="G94" s="220">
        <f t="shared" si="6"/>
        <v>219.96</v>
      </c>
      <c r="H94" s="220">
        <f t="shared" si="7"/>
        <v>219.96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TURVILLA - 615657</v>
      </c>
      <c r="L94" s="44" t="str">
        <f>+VLOOKUP(K94,TL[],4,FALSE)</f>
        <v>16</v>
      </c>
    </row>
    <row r="95" spans="1:12" x14ac:dyDescent="0.2">
      <c r="A95" t="s">
        <v>2563</v>
      </c>
      <c r="B95" t="s">
        <v>1482</v>
      </c>
      <c r="C95">
        <v>19</v>
      </c>
      <c r="D95" t="s">
        <v>6961</v>
      </c>
      <c r="E95">
        <v>19</v>
      </c>
      <c r="F95" t="s">
        <v>6961</v>
      </c>
      <c r="G95" s="220">
        <f t="shared" si="6"/>
        <v>19</v>
      </c>
      <c r="H95" s="220">
        <f t="shared" si="7"/>
        <v>19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TURVILLA - 615658</v>
      </c>
      <c r="L95" s="44" t="str">
        <f>+VLOOKUP(K95,TL[],4,FALSE)</f>
        <v>16</v>
      </c>
    </row>
    <row r="96" spans="1:12" x14ac:dyDescent="0.2">
      <c r="A96" t="s">
        <v>2752</v>
      </c>
      <c r="B96" t="s">
        <v>7060</v>
      </c>
      <c r="C96">
        <v>219</v>
      </c>
      <c r="D96" t="s">
        <v>6961</v>
      </c>
      <c r="E96">
        <v>219</v>
      </c>
      <c r="F96" t="s">
        <v>6961</v>
      </c>
      <c r="G96" s="220">
        <f t="shared" si="6"/>
        <v>219</v>
      </c>
      <c r="H96" s="220">
        <f t="shared" si="7"/>
        <v>219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TURVILLA - 615661</v>
      </c>
      <c r="L96" s="44" t="str">
        <f>+VLOOKUP(K96,TL[],4,FALSE)</f>
        <v>16</v>
      </c>
    </row>
    <row r="97" spans="1:12" x14ac:dyDescent="0.2">
      <c r="A97" t="s">
        <v>2753</v>
      </c>
      <c r="B97" t="s">
        <v>7061</v>
      </c>
      <c r="C97">
        <v>46.67</v>
      </c>
      <c r="D97" t="s">
        <v>6961</v>
      </c>
      <c r="E97">
        <v>46.67</v>
      </c>
      <c r="F97" t="s">
        <v>6961</v>
      </c>
      <c r="G97" s="220">
        <f t="shared" si="6"/>
        <v>46.67</v>
      </c>
      <c r="H97" s="220">
        <f t="shared" si="7"/>
        <v>46.67</v>
      </c>
      <c r="I97" s="221">
        <f>IF(A97="Total",VLOOKUP(B97,CORRESPONDANCE[#All],2,FALSE),I98)</f>
        <v>19</v>
      </c>
      <c r="J97" s="222" t="str">
        <f t="shared" si="4"/>
        <v>6</v>
      </c>
      <c r="K97" s="44" t="str">
        <f t="shared" si="5"/>
        <v>TURVILLA - 615663</v>
      </c>
      <c r="L97" s="44" t="str">
        <f>+VLOOKUP(K97,TL[],4,FALSE)</f>
        <v>16</v>
      </c>
    </row>
    <row r="98" spans="1:12" x14ac:dyDescent="0.2">
      <c r="A98" t="s">
        <v>2755</v>
      </c>
      <c r="B98" t="s">
        <v>7108</v>
      </c>
      <c r="C98">
        <v>73.23</v>
      </c>
      <c r="D98" t="s">
        <v>6961</v>
      </c>
      <c r="E98">
        <v>73.23</v>
      </c>
      <c r="F98" t="s">
        <v>6961</v>
      </c>
      <c r="G98" s="220">
        <f t="shared" si="6"/>
        <v>73.23</v>
      </c>
      <c r="H98" s="220">
        <f t="shared" si="7"/>
        <v>73.23</v>
      </c>
      <c r="I98" s="221">
        <f>IF(A98="Total",VLOOKUP(B98,CORRESPONDANCE[#All],2,FALSE),I99)</f>
        <v>19</v>
      </c>
      <c r="J98" s="222" t="str">
        <f t="shared" si="4"/>
        <v>6</v>
      </c>
      <c r="K98" s="44" t="str">
        <f t="shared" si="5"/>
        <v>TURVILLA - 615665</v>
      </c>
      <c r="L98" s="44" t="e">
        <f>+VLOOKUP(K98,TL[],4,FALSE)</f>
        <v>#N/A</v>
      </c>
    </row>
    <row r="99" spans="1:12" x14ac:dyDescent="0.2">
      <c r="A99" t="s">
        <v>5088</v>
      </c>
      <c r="B99" t="s">
        <v>7132</v>
      </c>
      <c r="C99">
        <v>15.89</v>
      </c>
      <c r="D99" t="s">
        <v>6961</v>
      </c>
      <c r="E99">
        <v>15.89</v>
      </c>
      <c r="F99" t="s">
        <v>6961</v>
      </c>
      <c r="G99" s="220">
        <f t="shared" si="6"/>
        <v>15.89</v>
      </c>
      <c r="H99" s="220">
        <f t="shared" si="7"/>
        <v>15.89</v>
      </c>
      <c r="I99" s="221">
        <f>IF(A99="Total",VLOOKUP(B99,CORRESPONDANCE[#All],2,FALSE),I100)</f>
        <v>19</v>
      </c>
      <c r="J99" s="222" t="str">
        <f t="shared" si="4"/>
        <v>6</v>
      </c>
      <c r="K99" s="44" t="str">
        <f t="shared" si="5"/>
        <v>TURVILLA - 626008</v>
      </c>
      <c r="L99" s="44" t="e">
        <f>+VLOOKUP(K99,TL[],4,FALSE)</f>
        <v>#N/A</v>
      </c>
    </row>
    <row r="100" spans="1:12" x14ac:dyDescent="0.2">
      <c r="A100" t="s">
        <v>1610</v>
      </c>
      <c r="B100" t="s">
        <v>5970</v>
      </c>
      <c r="C100">
        <v>625</v>
      </c>
      <c r="D100" t="s">
        <v>6961</v>
      </c>
      <c r="E100">
        <v>625</v>
      </c>
      <c r="F100" t="s">
        <v>6961</v>
      </c>
      <c r="G100" s="220">
        <f t="shared" si="6"/>
        <v>625</v>
      </c>
      <c r="H100" s="220">
        <f t="shared" si="7"/>
        <v>625</v>
      </c>
      <c r="I100" s="221">
        <f>IF(A100="Total",VLOOKUP(B100,CORRESPONDANCE[#All],2,FALSE),I101)</f>
        <v>19</v>
      </c>
      <c r="J100" s="222" t="str">
        <f t="shared" si="4"/>
        <v>6</v>
      </c>
      <c r="K100" s="44" t="str">
        <f t="shared" si="5"/>
        <v>TURVILLA - 647500</v>
      </c>
      <c r="L100" s="44" t="str">
        <f>+VLOOKUP(K100,TL[],4,FALSE)</f>
        <v>16</v>
      </c>
    </row>
    <row r="101" spans="1:12" x14ac:dyDescent="0.2">
      <c r="A101" t="s">
        <v>1796</v>
      </c>
      <c r="B101" t="s">
        <v>5972</v>
      </c>
      <c r="C101">
        <v>75</v>
      </c>
      <c r="D101" t="s">
        <v>6961</v>
      </c>
      <c r="E101">
        <v>75</v>
      </c>
      <c r="F101" t="s">
        <v>6961</v>
      </c>
      <c r="G101" s="220">
        <f t="shared" si="6"/>
        <v>75</v>
      </c>
      <c r="H101" s="220">
        <f t="shared" si="7"/>
        <v>75</v>
      </c>
      <c r="I101" s="221">
        <f>IF(A101="Total",VLOOKUP(B101,CORRESPONDANCE[#All],2,FALSE),I102)</f>
        <v>19</v>
      </c>
      <c r="J101" s="222" t="str">
        <f t="shared" si="4"/>
        <v>6</v>
      </c>
      <c r="K101" s="44" t="str">
        <f t="shared" si="5"/>
        <v>TURVILLA - 651003</v>
      </c>
      <c r="L101" s="44">
        <f>+VLOOKUP(K101,TL[],4,FALSE)</f>
        <v>0</v>
      </c>
    </row>
    <row r="102" spans="1:12" x14ac:dyDescent="0.2">
      <c r="A102" t="s">
        <v>7123</v>
      </c>
      <c r="B102" t="s">
        <v>7124</v>
      </c>
      <c r="C102">
        <v>247.65</v>
      </c>
      <c r="D102" t="s">
        <v>6961</v>
      </c>
      <c r="E102">
        <v>247.65</v>
      </c>
      <c r="F102" t="s">
        <v>6961</v>
      </c>
      <c r="G102" s="220">
        <f t="shared" si="6"/>
        <v>247.65</v>
      </c>
      <c r="H102" s="220">
        <f t="shared" si="7"/>
        <v>247.65</v>
      </c>
      <c r="I102" s="221">
        <f>IF(A102="Total",VLOOKUP(B102,CORRESPONDANCE[#All],2,FALSE),I103)</f>
        <v>19</v>
      </c>
      <c r="J102" s="222" t="str">
        <f t="shared" si="4"/>
        <v>6</v>
      </c>
      <c r="K102" s="44" t="str">
        <f t="shared" si="5"/>
        <v>TURVILLA - 651700</v>
      </c>
      <c r="L102" s="44" t="e">
        <f>+VLOOKUP(K102,TL[],4,FALSE)</f>
        <v>#N/A</v>
      </c>
    </row>
    <row r="103" spans="1:12" x14ac:dyDescent="0.2">
      <c r="A103" t="s">
        <v>3339</v>
      </c>
      <c r="B103" t="s">
        <v>3340</v>
      </c>
      <c r="C103">
        <v>1</v>
      </c>
      <c r="D103" t="s">
        <v>6961</v>
      </c>
      <c r="E103">
        <v>1</v>
      </c>
      <c r="F103" t="s">
        <v>6961</v>
      </c>
      <c r="G103" s="220">
        <f t="shared" si="6"/>
        <v>1</v>
      </c>
      <c r="H103" s="220">
        <f t="shared" si="7"/>
        <v>1</v>
      </c>
      <c r="I103" s="221">
        <f>IF(A103="Total",VLOOKUP(B103,CORRESPONDANCE[#All],2,FALSE),I104)</f>
        <v>19</v>
      </c>
      <c r="J103" s="222" t="str">
        <f t="shared" si="4"/>
        <v>7</v>
      </c>
      <c r="K103" s="44" t="str">
        <f t="shared" si="5"/>
        <v>TURVILLA - 703100</v>
      </c>
      <c r="L103" s="44" t="str">
        <f>+VLOOKUP(K103,TL[],4,FALSE)</f>
        <v>06</v>
      </c>
    </row>
    <row r="104" spans="1:12" x14ac:dyDescent="0.2">
      <c r="A104" t="s">
        <v>197</v>
      </c>
      <c r="B104" t="s">
        <v>2567</v>
      </c>
      <c r="C104">
        <v>8674.4</v>
      </c>
      <c r="D104" t="s">
        <v>6961</v>
      </c>
      <c r="E104">
        <v>8674.4</v>
      </c>
      <c r="F104" t="s">
        <v>6961</v>
      </c>
      <c r="G104" s="220">
        <f t="shared" si="6"/>
        <v>8674.4</v>
      </c>
      <c r="H104" s="220">
        <f t="shared" si="7"/>
        <v>8674.4</v>
      </c>
      <c r="I104" s="221">
        <f>IF(A104="Total",VLOOKUP(B104,CORRESPONDANCE[#All],2,FALSE),I105)</f>
        <v>19</v>
      </c>
      <c r="J104" s="222" t="str">
        <f t="shared" si="4"/>
        <v>T</v>
      </c>
      <c r="K104" s="44" t="str">
        <f t="shared" si="5"/>
        <v>TURVILLA - Total</v>
      </c>
      <c r="L104" s="44" t="e">
        <f>+VLOOKUP(K104,TL[],4,FALSE)</f>
        <v>#N/A</v>
      </c>
    </row>
    <row r="105" spans="1:12" x14ac:dyDescent="0.2">
      <c r="A105" t="s">
        <v>1738</v>
      </c>
      <c r="B105" t="s">
        <v>2455</v>
      </c>
      <c r="C105">
        <v>2745.93</v>
      </c>
      <c r="D105" t="s">
        <v>6961</v>
      </c>
      <c r="E105">
        <v>2745.93</v>
      </c>
      <c r="F105" t="s">
        <v>6961</v>
      </c>
      <c r="G105" s="220">
        <f t="shared" si="6"/>
        <v>2745.93</v>
      </c>
      <c r="H105" s="220">
        <f t="shared" si="7"/>
        <v>2745.93</v>
      </c>
      <c r="I105" s="221">
        <f>IF(A105="Total",VLOOKUP(B105,CORRESPONDANCE[#All],2,FALSE),I106)</f>
        <v>21</v>
      </c>
      <c r="J105" s="222" t="str">
        <f t="shared" si="4"/>
        <v>6</v>
      </c>
      <c r="K105" s="44" t="str">
        <f t="shared" si="5"/>
        <v>TURVILLA - 622800</v>
      </c>
      <c r="L105" s="44" t="str">
        <f>+VLOOKUP(K105,TL[],4,FALSE)</f>
        <v>32</v>
      </c>
    </row>
    <row r="106" spans="1:12" x14ac:dyDescent="0.2">
      <c r="A106" t="s">
        <v>2760</v>
      </c>
      <c r="B106" t="s">
        <v>5898</v>
      </c>
      <c r="C106">
        <v>62.96</v>
      </c>
      <c r="D106" t="s">
        <v>6961</v>
      </c>
      <c r="E106">
        <v>62.96</v>
      </c>
      <c r="F106" t="s">
        <v>6961</v>
      </c>
      <c r="G106" s="220">
        <f t="shared" si="6"/>
        <v>62.96</v>
      </c>
      <c r="H106" s="220">
        <f t="shared" si="7"/>
        <v>62.96</v>
      </c>
      <c r="I106" s="221">
        <f>IF(A106="Total",VLOOKUP(B106,CORRESPONDANCE[#All],2,FALSE),I107)</f>
        <v>21</v>
      </c>
      <c r="J106" s="222" t="str">
        <f t="shared" si="4"/>
        <v>6</v>
      </c>
      <c r="K106" s="44" t="str">
        <f t="shared" si="5"/>
        <v>TURVILLA - 622810</v>
      </c>
      <c r="L106" s="44" t="str">
        <f>+VLOOKUP(K106,TL[],4,FALSE)</f>
        <v>32</v>
      </c>
    </row>
    <row r="107" spans="1:12" x14ac:dyDescent="0.2">
      <c r="A107" t="s">
        <v>197</v>
      </c>
      <c r="B107" t="s">
        <v>2568</v>
      </c>
      <c r="C107">
        <v>2808.89</v>
      </c>
      <c r="D107" t="s">
        <v>6961</v>
      </c>
      <c r="E107">
        <v>2808.89</v>
      </c>
      <c r="F107" t="s">
        <v>6961</v>
      </c>
      <c r="G107" s="220">
        <f t="shared" si="6"/>
        <v>2808.89</v>
      </c>
      <c r="H107" s="220">
        <f t="shared" si="7"/>
        <v>2808.89</v>
      </c>
      <c r="I107" s="221">
        <f>IF(A107="Total",VLOOKUP(B107,CORRESPONDANCE[#All],2,FALSE),I108)</f>
        <v>21</v>
      </c>
      <c r="J107" s="222" t="str">
        <f t="shared" si="4"/>
        <v>T</v>
      </c>
      <c r="K107" s="44" t="str">
        <f t="shared" si="5"/>
        <v>TURVILLA - Total</v>
      </c>
      <c r="L107" s="44" t="e">
        <f>+VLOOKUP(K107,TL[],4,FALSE)</f>
        <v>#N/A</v>
      </c>
    </row>
    <row r="108" spans="1:12" x14ac:dyDescent="0.2">
      <c r="A108" t="s">
        <v>1594</v>
      </c>
      <c r="B108" t="s">
        <v>2352</v>
      </c>
      <c r="C108">
        <v>18397.91</v>
      </c>
      <c r="D108" t="s">
        <v>6961</v>
      </c>
      <c r="E108">
        <v>18397.91</v>
      </c>
      <c r="F108" t="s">
        <v>6961</v>
      </c>
      <c r="G108" s="220">
        <f t="shared" si="6"/>
        <v>18397.91</v>
      </c>
      <c r="H108" s="220">
        <f t="shared" si="7"/>
        <v>18397.91</v>
      </c>
      <c r="I108" s="221">
        <f>IF(A108="Total",VLOOKUP(B108,CORRESPONDANCE[#All],2,FALSE),I109)</f>
        <v>22</v>
      </c>
      <c r="J108" s="222" t="str">
        <f t="shared" si="4"/>
        <v>6</v>
      </c>
      <c r="K108" s="44" t="str">
        <f t="shared" si="5"/>
        <v>TURVILLA - 623000</v>
      </c>
      <c r="L108" s="44" t="str">
        <f>+VLOOKUP(K108,TL[],4,FALSE)</f>
        <v>14</v>
      </c>
    </row>
    <row r="109" spans="1:12" x14ac:dyDescent="0.2">
      <c r="A109" t="s">
        <v>197</v>
      </c>
      <c r="B109" t="s">
        <v>2569</v>
      </c>
      <c r="C109">
        <v>18397.91</v>
      </c>
      <c r="D109" t="s">
        <v>6961</v>
      </c>
      <c r="E109">
        <v>18397.91</v>
      </c>
      <c r="F109" t="s">
        <v>6961</v>
      </c>
      <c r="G109" s="220">
        <f t="shared" si="6"/>
        <v>18397.91</v>
      </c>
      <c r="H109" s="220">
        <f t="shared" si="7"/>
        <v>18397.91</v>
      </c>
      <c r="I109" s="221">
        <f>IF(A109="Total",VLOOKUP(B109,CORRESPONDANCE[#All],2,FALSE),I110)</f>
        <v>22</v>
      </c>
      <c r="J109" s="222" t="str">
        <f t="shared" si="4"/>
        <v>T</v>
      </c>
      <c r="K109" s="44" t="str">
        <f t="shared" si="5"/>
        <v>TURVILLA - Total</v>
      </c>
      <c r="L109" s="44" t="e">
        <f>+VLOOKUP(K109,TL[],4,FALSE)</f>
        <v>#N/A</v>
      </c>
    </row>
    <row r="110" spans="1:12" x14ac:dyDescent="0.2">
      <c r="A110" t="s">
        <v>2570</v>
      </c>
      <c r="B110" t="s">
        <v>2248</v>
      </c>
      <c r="C110">
        <v>2700</v>
      </c>
      <c r="D110" t="s">
        <v>6961</v>
      </c>
      <c r="E110">
        <v>2700</v>
      </c>
      <c r="F110" t="s">
        <v>6961</v>
      </c>
      <c r="G110" s="220">
        <f t="shared" si="6"/>
        <v>2700</v>
      </c>
      <c r="H110" s="220">
        <f t="shared" si="7"/>
        <v>2700</v>
      </c>
      <c r="I110" s="221">
        <f>IF(A110="Total",VLOOKUP(B110,CORRESPONDANCE[#All],2,FALSE),I111)</f>
        <v>23</v>
      </c>
      <c r="J110" s="222" t="str">
        <f t="shared" si="4"/>
        <v>6</v>
      </c>
      <c r="K110" s="44" t="str">
        <f t="shared" si="5"/>
        <v>TURVILLA - 623050</v>
      </c>
      <c r="L110" s="44" t="str">
        <f>+VLOOKUP(K110,TL[],4,FALSE)</f>
        <v>15</v>
      </c>
    </row>
    <row r="111" spans="1:12" x14ac:dyDescent="0.2">
      <c r="A111" t="s">
        <v>1788</v>
      </c>
      <c r="B111" t="s">
        <v>226</v>
      </c>
      <c r="C111">
        <v>4573.01</v>
      </c>
      <c r="D111" t="s">
        <v>6961</v>
      </c>
      <c r="E111">
        <v>4573.01</v>
      </c>
      <c r="F111" t="s">
        <v>6961</v>
      </c>
      <c r="G111" s="220">
        <f t="shared" si="6"/>
        <v>4573.01</v>
      </c>
      <c r="H111" s="220">
        <f t="shared" si="7"/>
        <v>4573.01</v>
      </c>
      <c r="I111" s="221">
        <f>IF(A111="Total",VLOOKUP(B111,CORRESPONDANCE[#All],2,FALSE),I112)</f>
        <v>23</v>
      </c>
      <c r="J111" s="222" t="str">
        <f t="shared" si="4"/>
        <v>6</v>
      </c>
      <c r="K111" s="44" t="str">
        <f t="shared" si="5"/>
        <v>TURVILLA - 623401</v>
      </c>
      <c r="L111" s="44" t="str">
        <f>+VLOOKUP(K111,TL[],4,FALSE)</f>
        <v>15</v>
      </c>
    </row>
    <row r="112" spans="1:12" x14ac:dyDescent="0.2">
      <c r="A112" t="s">
        <v>1633</v>
      </c>
      <c r="B112" t="s">
        <v>2249</v>
      </c>
      <c r="C112">
        <v>2037.23</v>
      </c>
      <c r="D112" t="s">
        <v>6961</v>
      </c>
      <c r="E112">
        <v>2037.23</v>
      </c>
      <c r="F112" t="s">
        <v>6961</v>
      </c>
      <c r="G112" s="220">
        <f t="shared" si="6"/>
        <v>2037.23</v>
      </c>
      <c r="H112" s="220">
        <f t="shared" si="7"/>
        <v>2037.23</v>
      </c>
      <c r="I112" s="221">
        <f>IF(A112="Total",VLOOKUP(B112,CORRESPONDANCE[#All],2,FALSE),I113)</f>
        <v>23</v>
      </c>
      <c r="J112" s="222" t="str">
        <f t="shared" si="4"/>
        <v>6</v>
      </c>
      <c r="K112" s="44" t="str">
        <f t="shared" si="5"/>
        <v>TURVILLA - 623415</v>
      </c>
      <c r="L112" s="44" t="str">
        <f>+VLOOKUP(K112,TL[],4,FALSE)</f>
        <v>15</v>
      </c>
    </row>
    <row r="113" spans="1:12" x14ac:dyDescent="0.2">
      <c r="A113" t="s">
        <v>3360</v>
      </c>
      <c r="B113" t="s">
        <v>3361</v>
      </c>
      <c r="C113" t="s">
        <v>6961</v>
      </c>
      <c r="D113" t="s">
        <v>6961</v>
      </c>
      <c r="E113" t="s">
        <v>6961</v>
      </c>
      <c r="F113" t="s">
        <v>6961</v>
      </c>
      <c r="G113" s="220">
        <f t="shared" si="6"/>
        <v>0</v>
      </c>
      <c r="H113" s="220">
        <f t="shared" si="7"/>
        <v>0</v>
      </c>
      <c r="I113" s="221">
        <f>IF(A113="Total",VLOOKUP(B113,CORRESPONDANCE[#All],2,FALSE),I114)</f>
        <v>23</v>
      </c>
      <c r="J113" s="222" t="str">
        <f t="shared" si="4"/>
        <v>7</v>
      </c>
      <c r="K113" s="44" t="str">
        <f t="shared" si="5"/>
        <v>TURVILLA - 708890</v>
      </c>
      <c r="L113" s="44" t="str">
        <f>+VLOOKUP(K113,TL[],4,FALSE)</f>
        <v>15</v>
      </c>
    </row>
    <row r="114" spans="1:12" x14ac:dyDescent="0.2">
      <c r="A114" t="s">
        <v>197</v>
      </c>
      <c r="B114" t="s">
        <v>2572</v>
      </c>
      <c r="C114">
        <v>9310.24</v>
      </c>
      <c r="D114" t="s">
        <v>6961</v>
      </c>
      <c r="E114">
        <v>9310.24</v>
      </c>
      <c r="F114" t="s">
        <v>6961</v>
      </c>
      <c r="G114" s="220">
        <f t="shared" si="6"/>
        <v>9310.24</v>
      </c>
      <c r="H114" s="220">
        <f t="shared" si="7"/>
        <v>9310.24</v>
      </c>
      <c r="I114" s="221">
        <f>IF(A114="Total",VLOOKUP(B114,CORRESPONDANCE[#All],2,FALSE),I115)</f>
        <v>23</v>
      </c>
      <c r="J114" s="222" t="str">
        <f t="shared" si="4"/>
        <v>T</v>
      </c>
      <c r="K114" s="44" t="str">
        <f t="shared" si="5"/>
        <v>TURVILLA - Total</v>
      </c>
      <c r="L114" s="44" t="e">
        <f>+VLOOKUP(K114,TL[],4,FALSE)</f>
        <v>#N/A</v>
      </c>
    </row>
    <row r="115" spans="1:12" x14ac:dyDescent="0.2">
      <c r="A115" t="s">
        <v>2573</v>
      </c>
      <c r="B115" t="s">
        <v>2217</v>
      </c>
      <c r="C115">
        <v>1076</v>
      </c>
      <c r="D115" t="s">
        <v>6961</v>
      </c>
      <c r="E115">
        <v>1076</v>
      </c>
      <c r="F115" t="s">
        <v>6961</v>
      </c>
      <c r="G115" s="220">
        <f t="shared" si="6"/>
        <v>1076</v>
      </c>
      <c r="H115" s="220">
        <f t="shared" si="7"/>
        <v>1076</v>
      </c>
      <c r="I115" s="221">
        <f>IF(A115="Total",VLOOKUP(B115,CORRESPONDANCE[#All],2,FALSE),I116)</f>
        <v>24</v>
      </c>
      <c r="J115" s="222" t="str">
        <f t="shared" si="4"/>
        <v>6</v>
      </c>
      <c r="K115" s="44" t="str">
        <f t="shared" si="5"/>
        <v>TURVILLA - 606110</v>
      </c>
      <c r="L115" s="44" t="str">
        <f>+VLOOKUP(K115,TL[],4,FALSE)</f>
        <v>20</v>
      </c>
    </row>
    <row r="116" spans="1:12" x14ac:dyDescent="0.2">
      <c r="A116" t="s">
        <v>2574</v>
      </c>
      <c r="B116" t="s">
        <v>2434</v>
      </c>
      <c r="C116">
        <v>11573</v>
      </c>
      <c r="D116" t="s">
        <v>6961</v>
      </c>
      <c r="E116">
        <v>11573</v>
      </c>
      <c r="F116" t="s">
        <v>6961</v>
      </c>
      <c r="G116" s="220">
        <f t="shared" si="6"/>
        <v>11573</v>
      </c>
      <c r="H116" s="220">
        <f t="shared" si="7"/>
        <v>11573</v>
      </c>
      <c r="I116" s="221">
        <f>IF(A116="Total",VLOOKUP(B116,CORRESPONDANCE[#All],2,FALSE),I117)</f>
        <v>24</v>
      </c>
      <c r="J116" s="222" t="str">
        <f t="shared" si="4"/>
        <v>6</v>
      </c>
      <c r="K116" s="44" t="str">
        <f t="shared" si="5"/>
        <v>TURVILLA - 606120</v>
      </c>
      <c r="L116" s="44" t="str">
        <f>+VLOOKUP(K116,TL[],4,FALSE)</f>
        <v>20</v>
      </c>
    </row>
    <row r="117" spans="1:12" x14ac:dyDescent="0.2">
      <c r="A117" t="s">
        <v>2826</v>
      </c>
      <c r="B117" t="s">
        <v>2219</v>
      </c>
      <c r="C117">
        <v>250</v>
      </c>
      <c r="D117" t="s">
        <v>6961</v>
      </c>
      <c r="E117">
        <v>250</v>
      </c>
      <c r="F117" t="s">
        <v>6961</v>
      </c>
      <c r="G117" s="220">
        <f t="shared" si="6"/>
        <v>250</v>
      </c>
      <c r="H117" s="220">
        <f t="shared" si="7"/>
        <v>250</v>
      </c>
      <c r="I117" s="221">
        <f>IF(A117="Total",VLOOKUP(B117,CORRESPONDANCE[#All],2,FALSE),I118)</f>
        <v>24</v>
      </c>
      <c r="J117" s="222" t="str">
        <f t="shared" si="4"/>
        <v>6</v>
      </c>
      <c r="K117" s="44" t="str">
        <f t="shared" si="5"/>
        <v>TURVILLA - 606130</v>
      </c>
      <c r="L117" s="44" t="str">
        <f>+VLOOKUP(K117,TL[],4,FALSE)</f>
        <v>20</v>
      </c>
    </row>
    <row r="118" spans="1:12" x14ac:dyDescent="0.2">
      <c r="A118" t="s">
        <v>1965</v>
      </c>
      <c r="B118" t="s">
        <v>2458</v>
      </c>
      <c r="C118">
        <v>70</v>
      </c>
      <c r="D118" t="s">
        <v>6961</v>
      </c>
      <c r="E118">
        <v>70</v>
      </c>
      <c r="F118" t="s">
        <v>6961</v>
      </c>
      <c r="G118" s="220">
        <f t="shared" si="6"/>
        <v>70</v>
      </c>
      <c r="H118" s="220">
        <f t="shared" si="7"/>
        <v>70</v>
      </c>
      <c r="I118" s="221">
        <f>IF(A118="Total",VLOOKUP(B118,CORRESPONDANCE[#All],2,FALSE),I119)</f>
        <v>24</v>
      </c>
      <c r="J118" s="222" t="str">
        <f t="shared" si="4"/>
        <v>6</v>
      </c>
      <c r="K118" s="44" t="str">
        <f t="shared" si="5"/>
        <v>TURVILLA - 626003</v>
      </c>
      <c r="L118" s="44" t="str">
        <f>+VLOOKUP(K118,TL[],4,FALSE)</f>
        <v>20</v>
      </c>
    </row>
    <row r="119" spans="1:12" x14ac:dyDescent="0.2">
      <c r="A119" t="s">
        <v>197</v>
      </c>
      <c r="B119" t="s">
        <v>2576</v>
      </c>
      <c r="C119">
        <v>12969</v>
      </c>
      <c r="D119" t="s">
        <v>6961</v>
      </c>
      <c r="E119">
        <v>12969</v>
      </c>
      <c r="F119" t="s">
        <v>6961</v>
      </c>
      <c r="G119" s="220">
        <f t="shared" si="6"/>
        <v>12969</v>
      </c>
      <c r="H119" s="220">
        <f t="shared" si="7"/>
        <v>12969</v>
      </c>
      <c r="I119" s="221">
        <f>IF(A119="Total",VLOOKUP(B119,CORRESPONDANCE[#All],2,FALSE),I120)</f>
        <v>24</v>
      </c>
      <c r="J119" s="222" t="str">
        <f t="shared" si="4"/>
        <v>T</v>
      </c>
      <c r="K119" s="44" t="str">
        <f t="shared" si="5"/>
        <v>TURVILLA - Total</v>
      </c>
      <c r="L119" s="44" t="e">
        <f>+VLOOKUP(K119,TL[],4,FALSE)</f>
        <v>#N/A</v>
      </c>
    </row>
    <row r="120" spans="1:12" x14ac:dyDescent="0.2">
      <c r="A120" t="s">
        <v>1634</v>
      </c>
      <c r="B120" t="s">
        <v>161</v>
      </c>
      <c r="C120">
        <v>175.92</v>
      </c>
      <c r="D120" t="s">
        <v>6961</v>
      </c>
      <c r="E120">
        <v>175.92</v>
      </c>
      <c r="F120" t="s">
        <v>6961</v>
      </c>
      <c r="G120" s="220">
        <f t="shared" si="6"/>
        <v>175.92</v>
      </c>
      <c r="H120" s="220">
        <f t="shared" si="7"/>
        <v>175.92</v>
      </c>
      <c r="I120" s="221">
        <f>IF(A120="Total",VLOOKUP(B120,CORRESPONDANCE[#All],2,FALSE),I121)</f>
        <v>25</v>
      </c>
      <c r="J120" s="222" t="str">
        <f t="shared" si="4"/>
        <v>6</v>
      </c>
      <c r="K120" s="44" t="str">
        <f t="shared" si="5"/>
        <v>TURVILLA - 602610</v>
      </c>
      <c r="L120" s="44" t="str">
        <f>+VLOOKUP(K120,TL[],4,FALSE)</f>
        <v>18</v>
      </c>
    </row>
    <row r="121" spans="1:12" x14ac:dyDescent="0.2">
      <c r="A121" t="s">
        <v>1616</v>
      </c>
      <c r="B121" t="s">
        <v>2430</v>
      </c>
      <c r="C121">
        <v>3982.17</v>
      </c>
      <c r="D121" t="s">
        <v>6961</v>
      </c>
      <c r="E121">
        <v>3982.17</v>
      </c>
      <c r="F121" t="s">
        <v>6961</v>
      </c>
      <c r="G121" s="220">
        <f t="shared" si="6"/>
        <v>3982.17</v>
      </c>
      <c r="H121" s="220">
        <f t="shared" si="7"/>
        <v>3982.17</v>
      </c>
      <c r="I121" s="221">
        <f>IF(A121="Total",VLOOKUP(B121,CORRESPONDANCE[#All],2,FALSE),I122)</f>
        <v>25</v>
      </c>
      <c r="J121" s="222" t="str">
        <f t="shared" si="4"/>
        <v>6</v>
      </c>
      <c r="K121" s="44" t="str">
        <f t="shared" si="5"/>
        <v>TURVILLA - 606302</v>
      </c>
      <c r="L121" s="44" t="str">
        <f>+VLOOKUP(K121,TL[],4,FALSE)</f>
        <v>18</v>
      </c>
    </row>
    <row r="122" spans="1:12" x14ac:dyDescent="0.2">
      <c r="A122" t="s">
        <v>1612</v>
      </c>
      <c r="B122" t="s">
        <v>214</v>
      </c>
      <c r="C122">
        <v>43.16</v>
      </c>
      <c r="D122" t="s">
        <v>6961</v>
      </c>
      <c r="E122">
        <v>43.16</v>
      </c>
      <c r="F122" t="s">
        <v>6961</v>
      </c>
      <c r="G122" s="220">
        <f t="shared" si="6"/>
        <v>43.16</v>
      </c>
      <c r="H122" s="220">
        <f t="shared" si="7"/>
        <v>43.16</v>
      </c>
      <c r="I122" s="221">
        <f>IF(A122="Total",VLOOKUP(B122,CORRESPONDANCE[#All],2,FALSE),I123)</f>
        <v>25</v>
      </c>
      <c r="J122" s="222" t="str">
        <f t="shared" si="4"/>
        <v>6</v>
      </c>
      <c r="K122" s="44" t="str">
        <f t="shared" si="5"/>
        <v>TURVILLA - 606401</v>
      </c>
      <c r="L122" s="44" t="str">
        <f>+VLOOKUP(K122,TL[],4,FALSE)</f>
        <v>21</v>
      </c>
    </row>
    <row r="123" spans="1:12" x14ac:dyDescent="0.2">
      <c r="A123" t="s">
        <v>197</v>
      </c>
      <c r="B123" t="s">
        <v>2578</v>
      </c>
      <c r="C123">
        <v>4201.25</v>
      </c>
      <c r="D123" t="s">
        <v>6961</v>
      </c>
      <c r="E123">
        <v>4201.25</v>
      </c>
      <c r="F123" t="s">
        <v>6961</v>
      </c>
      <c r="G123" s="220">
        <f t="shared" si="6"/>
        <v>4201.25</v>
      </c>
      <c r="H123" s="220">
        <f t="shared" si="7"/>
        <v>4201.25</v>
      </c>
      <c r="I123" s="221">
        <f>IF(A123="Total",VLOOKUP(B123,CORRESPONDANCE[#All],2,FALSE),I124)</f>
        <v>25</v>
      </c>
      <c r="J123" s="222" t="str">
        <f t="shared" si="4"/>
        <v>T</v>
      </c>
      <c r="K123" s="44" t="str">
        <f t="shared" si="5"/>
        <v>TURVILLA - Total</v>
      </c>
      <c r="L123" s="44" t="e">
        <f>+VLOOKUP(K123,TL[],4,FALSE)</f>
        <v>#N/A</v>
      </c>
    </row>
    <row r="124" spans="1:12" x14ac:dyDescent="0.2">
      <c r="A124" t="s">
        <v>1960</v>
      </c>
      <c r="B124" t="s">
        <v>7062</v>
      </c>
      <c r="C124">
        <v>314.23</v>
      </c>
      <c r="D124" t="s">
        <v>6961</v>
      </c>
      <c r="E124">
        <v>314.23</v>
      </c>
      <c r="F124" t="s">
        <v>6961</v>
      </c>
      <c r="G124" s="220">
        <f t="shared" si="6"/>
        <v>314.23</v>
      </c>
      <c r="H124" s="220">
        <f t="shared" si="7"/>
        <v>314.23</v>
      </c>
      <c r="I124" s="221">
        <f>IF(A124="Total",VLOOKUP(B124,CORRESPONDANCE[#All],2,FALSE),I125)</f>
        <v>26</v>
      </c>
      <c r="J124" s="222" t="str">
        <f t="shared" si="4"/>
        <v>6</v>
      </c>
      <c r="K124" s="44" t="str">
        <f t="shared" si="5"/>
        <v>TURVILLA - 625103</v>
      </c>
      <c r="L124" s="44" t="str">
        <f>+VLOOKUP(K124,TL[],4,FALSE)</f>
        <v>51</v>
      </c>
    </row>
    <row r="125" spans="1:12" x14ac:dyDescent="0.2">
      <c r="A125" t="s">
        <v>197</v>
      </c>
      <c r="B125" t="s">
        <v>2580</v>
      </c>
      <c r="C125">
        <v>314.23</v>
      </c>
      <c r="D125" t="s">
        <v>6961</v>
      </c>
      <c r="E125">
        <v>314.23</v>
      </c>
      <c r="F125" t="s">
        <v>6961</v>
      </c>
      <c r="G125" s="220">
        <f t="shared" si="6"/>
        <v>314.23</v>
      </c>
      <c r="H125" s="220">
        <f t="shared" si="7"/>
        <v>314.23</v>
      </c>
      <c r="I125" s="221">
        <f>IF(A125="Total",VLOOKUP(B125,CORRESPONDANCE[#All],2,FALSE),I126)</f>
        <v>26</v>
      </c>
      <c r="J125" s="222" t="str">
        <f t="shared" si="4"/>
        <v>T</v>
      </c>
      <c r="K125" s="44" t="str">
        <f t="shared" si="5"/>
        <v>TURVILLA - Total</v>
      </c>
      <c r="L125" s="44" t="e">
        <f>+VLOOKUP(K125,TL[],4,FALSE)</f>
        <v>#N/A</v>
      </c>
    </row>
    <row r="126" spans="1:12" x14ac:dyDescent="0.2">
      <c r="A126" t="s">
        <v>4900</v>
      </c>
      <c r="B126" t="s">
        <v>146</v>
      </c>
      <c r="C126">
        <v>1845.49</v>
      </c>
      <c r="D126" t="s">
        <v>6961</v>
      </c>
      <c r="E126">
        <v>1845.49</v>
      </c>
      <c r="F126" t="s">
        <v>6961</v>
      </c>
      <c r="G126" s="220">
        <f t="shared" si="6"/>
        <v>1845.49</v>
      </c>
      <c r="H126" s="220">
        <f t="shared" si="7"/>
        <v>1845.49</v>
      </c>
      <c r="I126" s="221">
        <f>IF(A126="Total",VLOOKUP(B126,CORRESPONDANCE[#All],2,FALSE),I127)</f>
        <v>27</v>
      </c>
      <c r="J126" s="222" t="str">
        <f t="shared" si="4"/>
        <v>6</v>
      </c>
      <c r="K126" s="44" t="str">
        <f t="shared" si="5"/>
        <v>TURVILLA - 606320</v>
      </c>
      <c r="L126" s="44" t="str">
        <f>+VLOOKUP(K126,TL[],4,FALSE)</f>
        <v>17</v>
      </c>
    </row>
    <row r="127" spans="1:12" x14ac:dyDescent="0.2">
      <c r="A127" t="s">
        <v>1959</v>
      </c>
      <c r="B127" t="s">
        <v>2456</v>
      </c>
      <c r="C127">
        <v>500</v>
      </c>
      <c r="D127" t="s">
        <v>6961</v>
      </c>
      <c r="E127">
        <v>500</v>
      </c>
      <c r="F127" t="s">
        <v>6961</v>
      </c>
      <c r="G127" s="220">
        <f t="shared" si="6"/>
        <v>500</v>
      </c>
      <c r="H127" s="220">
        <f t="shared" si="7"/>
        <v>500</v>
      </c>
      <c r="I127" s="221">
        <f>IF(A127="Total",VLOOKUP(B127,CORRESPONDANCE[#All],2,FALSE),I128)</f>
        <v>27</v>
      </c>
      <c r="J127" s="222" t="str">
        <f t="shared" si="4"/>
        <v>6</v>
      </c>
      <c r="K127" s="44" t="str">
        <f t="shared" si="5"/>
        <v>TURVILLA - 625102</v>
      </c>
      <c r="L127" s="44" t="str">
        <f>+VLOOKUP(K127,TL[],4,FALSE)</f>
        <v>51</v>
      </c>
    </row>
    <row r="128" spans="1:12" x14ac:dyDescent="0.2">
      <c r="A128" t="s">
        <v>1619</v>
      </c>
      <c r="B128" t="s">
        <v>33</v>
      </c>
      <c r="C128">
        <v>286</v>
      </c>
      <c r="D128" t="s">
        <v>6961</v>
      </c>
      <c r="E128">
        <v>286</v>
      </c>
      <c r="F128" t="s">
        <v>6961</v>
      </c>
      <c r="G128" s="220">
        <f t="shared" si="6"/>
        <v>286</v>
      </c>
      <c r="H128" s="220">
        <f t="shared" si="7"/>
        <v>286</v>
      </c>
      <c r="I128" s="221">
        <f>IF(A128="Total",VLOOKUP(B128,CORRESPONDANCE[#All],2,FALSE),I129)</f>
        <v>27</v>
      </c>
      <c r="J128" s="222" t="str">
        <f t="shared" si="4"/>
        <v>6</v>
      </c>
      <c r="K128" s="44" t="str">
        <f t="shared" si="5"/>
        <v>TURVILLA - 628300</v>
      </c>
      <c r="L128" s="44" t="str">
        <f>+VLOOKUP(K128,TL[],4,FALSE)</f>
        <v>23</v>
      </c>
    </row>
    <row r="129" spans="1:12" x14ac:dyDescent="0.2">
      <c r="A129" t="s">
        <v>5238</v>
      </c>
      <c r="B129" t="s">
        <v>2471</v>
      </c>
      <c r="C129">
        <v>667</v>
      </c>
      <c r="D129" t="s">
        <v>6961</v>
      </c>
      <c r="E129">
        <v>667</v>
      </c>
      <c r="F129" t="s">
        <v>6961</v>
      </c>
      <c r="G129" s="220">
        <f t="shared" si="6"/>
        <v>667</v>
      </c>
      <c r="H129" s="220">
        <f t="shared" si="7"/>
        <v>667</v>
      </c>
      <c r="I129" s="221">
        <f>IF(A129="Total",VLOOKUP(B129,CORRESPONDANCE[#All],2,FALSE),I130)</f>
        <v>27</v>
      </c>
      <c r="J129" s="222" t="str">
        <f t="shared" si="4"/>
        <v>6</v>
      </c>
      <c r="K129" s="44" t="str">
        <f t="shared" si="5"/>
        <v>TURVILLA - 647200</v>
      </c>
      <c r="L129" s="44" t="str">
        <f>+VLOOKUP(K129,TL[],4,FALSE)</f>
        <v>39</v>
      </c>
    </row>
    <row r="130" spans="1:12" x14ac:dyDescent="0.2">
      <c r="A130" t="s">
        <v>1743</v>
      </c>
      <c r="B130" t="s">
        <v>164</v>
      </c>
      <c r="C130">
        <v>0.03</v>
      </c>
      <c r="D130" t="s">
        <v>6961</v>
      </c>
      <c r="E130">
        <v>0.03</v>
      </c>
      <c r="F130" t="s">
        <v>6961</v>
      </c>
      <c r="G130" s="220">
        <f t="shared" si="6"/>
        <v>0.03</v>
      </c>
      <c r="H130" s="220">
        <f t="shared" si="7"/>
        <v>0.03</v>
      </c>
      <c r="I130" s="221">
        <f>IF(A130="Total",VLOOKUP(B130,CORRESPONDANCE[#All],2,FALSE),I131)</f>
        <v>27</v>
      </c>
      <c r="J130" s="222" t="str">
        <f t="shared" si="4"/>
        <v>6</v>
      </c>
      <c r="K130" s="44" t="str">
        <f t="shared" si="5"/>
        <v>TURVILLA - 658000</v>
      </c>
      <c r="L130" s="44" t="str">
        <f>+VLOOKUP(K130,TL[],4,FALSE)</f>
        <v>39</v>
      </c>
    </row>
    <row r="131" spans="1:12" x14ac:dyDescent="0.2">
      <c r="A131" t="s">
        <v>1801</v>
      </c>
      <c r="B131" t="s">
        <v>31</v>
      </c>
      <c r="C131">
        <v>100.3</v>
      </c>
      <c r="D131" t="s">
        <v>6961</v>
      </c>
      <c r="E131">
        <v>100.3</v>
      </c>
      <c r="F131" t="s">
        <v>6961</v>
      </c>
      <c r="G131" s="220">
        <f t="shared" si="6"/>
        <v>100.3</v>
      </c>
      <c r="H131" s="220">
        <f t="shared" si="7"/>
        <v>100.3</v>
      </c>
      <c r="I131" s="221">
        <f>IF(A131="Total",VLOOKUP(B131,CORRESPONDANCE[#All],2,FALSE),I132)</f>
        <v>27</v>
      </c>
      <c r="J131" s="222" t="str">
        <f t="shared" ref="J131:J169" si="8">LEFT(A131,1)</f>
        <v>6</v>
      </c>
      <c r="K131" s="44" t="str">
        <f t="shared" ref="K131:K169" si="9">"TURVILLA"&amp;" - "&amp;A131</f>
        <v>TURVILLA - 671100</v>
      </c>
      <c r="L131" s="44" t="str">
        <f>+VLOOKUP(K131,TL[],4,FALSE)</f>
        <v>22</v>
      </c>
    </row>
    <row r="132" spans="1:12" x14ac:dyDescent="0.2">
      <c r="A132" t="s">
        <v>1798</v>
      </c>
      <c r="B132" t="s">
        <v>31</v>
      </c>
      <c r="C132" t="s">
        <v>6961</v>
      </c>
      <c r="D132">
        <v>207.84</v>
      </c>
      <c r="E132" t="s">
        <v>6961</v>
      </c>
      <c r="F132">
        <v>207.84</v>
      </c>
      <c r="G132" s="220">
        <f t="shared" si="6"/>
        <v>-207.84</v>
      </c>
      <c r="H132" s="220">
        <f t="shared" si="7"/>
        <v>-207.84</v>
      </c>
      <c r="I132" s="221">
        <f>IF(A132="Total",VLOOKUP(B132,CORRESPONDANCE[#All],2,FALSE),I133)</f>
        <v>27</v>
      </c>
      <c r="J132" s="222" t="str">
        <f t="shared" si="8"/>
        <v>7</v>
      </c>
      <c r="K132" s="44" t="str">
        <f t="shared" si="9"/>
        <v>TURVILLA - 771100</v>
      </c>
      <c r="L132" s="44" t="str">
        <f>+VLOOKUP(K132,TL[],4,FALSE)</f>
        <v>22</v>
      </c>
    </row>
    <row r="133" spans="1:12" x14ac:dyDescent="0.2">
      <c r="A133" t="s">
        <v>197</v>
      </c>
      <c r="B133" t="s">
        <v>2583</v>
      </c>
      <c r="C133">
        <v>3190.98</v>
      </c>
      <c r="D133" t="s">
        <v>6961</v>
      </c>
      <c r="E133">
        <v>3190.98</v>
      </c>
      <c r="F133" t="s">
        <v>6961</v>
      </c>
      <c r="G133" s="220">
        <f t="shared" si="6"/>
        <v>3190.98</v>
      </c>
      <c r="H133" s="220">
        <f t="shared" si="7"/>
        <v>3190.98</v>
      </c>
      <c r="I133" s="221">
        <f>IF(A133="Total",VLOOKUP(B133,CORRESPONDANCE[#All],2,FALSE),I134)</f>
        <v>27</v>
      </c>
      <c r="J133" s="222" t="str">
        <f t="shared" si="8"/>
        <v>T</v>
      </c>
      <c r="K133" s="44" t="str">
        <f t="shared" si="9"/>
        <v>TURVILLA - Total</v>
      </c>
      <c r="L133" s="44" t="e">
        <f>+VLOOKUP(K133,TL[],4,FALSE)</f>
        <v>#N/A</v>
      </c>
    </row>
    <row r="134" spans="1:12" x14ac:dyDescent="0.2">
      <c r="A134" t="s">
        <v>1587</v>
      </c>
      <c r="B134" t="s">
        <v>2440</v>
      </c>
      <c r="C134">
        <v>65303.63</v>
      </c>
      <c r="D134" t="s">
        <v>6961</v>
      </c>
      <c r="E134">
        <v>65303.63</v>
      </c>
      <c r="F134" t="s">
        <v>6961</v>
      </c>
      <c r="G134" s="220">
        <f t="shared" ref="G134:G169" si="10">SUM(C134)-SUM(D134)</f>
        <v>65303.63</v>
      </c>
      <c r="H134" s="220">
        <f t="shared" ref="H134:H169" si="11">SUM(E134)-SUM(F134)</f>
        <v>65303.63</v>
      </c>
      <c r="I134" s="221">
        <f>IF(A134="Total",VLOOKUP(B134,CORRESPONDANCE[#All],2,FALSE),I135)</f>
        <v>29</v>
      </c>
      <c r="J134" s="222" t="str">
        <f t="shared" si="8"/>
        <v>6</v>
      </c>
      <c r="K134" s="44" t="str">
        <f t="shared" si="9"/>
        <v>TURVILLA - 613200</v>
      </c>
      <c r="L134" s="44" t="str">
        <f>+VLOOKUP(K134,TL[],4,FALSE)</f>
        <v>30</v>
      </c>
    </row>
    <row r="135" spans="1:12" x14ac:dyDescent="0.2">
      <c r="A135" t="s">
        <v>197</v>
      </c>
      <c r="B135" t="s">
        <v>2584</v>
      </c>
      <c r="C135">
        <v>65303.63</v>
      </c>
      <c r="D135" t="s">
        <v>6961</v>
      </c>
      <c r="E135">
        <v>65303.63</v>
      </c>
      <c r="F135" t="s">
        <v>6961</v>
      </c>
      <c r="G135" s="220">
        <f t="shared" si="10"/>
        <v>65303.63</v>
      </c>
      <c r="H135" s="220">
        <f t="shared" si="11"/>
        <v>65303.63</v>
      </c>
      <c r="I135" s="221">
        <f>IF(A135="Total",VLOOKUP(B135,CORRESPONDANCE[#All],2,FALSE),I136)</f>
        <v>29</v>
      </c>
      <c r="J135" s="222" t="str">
        <f t="shared" si="8"/>
        <v>T</v>
      </c>
      <c r="K135" s="44" t="str">
        <f t="shared" si="9"/>
        <v>TURVILLA - Total</v>
      </c>
      <c r="L135" s="44" t="e">
        <f>+VLOOKUP(K135,TL[],4,FALSE)</f>
        <v>#N/A</v>
      </c>
    </row>
    <row r="136" spans="1:12" x14ac:dyDescent="0.2">
      <c r="A136" t="s">
        <v>5853</v>
      </c>
      <c r="B136" t="s">
        <v>2441</v>
      </c>
      <c r="C136">
        <v>1813.68</v>
      </c>
      <c r="D136" t="s">
        <v>6961</v>
      </c>
      <c r="E136">
        <v>1813.68</v>
      </c>
      <c r="F136" t="s">
        <v>6961</v>
      </c>
      <c r="G136" s="220">
        <f t="shared" si="10"/>
        <v>1813.68</v>
      </c>
      <c r="H136" s="220">
        <f t="shared" si="11"/>
        <v>1813.68</v>
      </c>
      <c r="I136" s="221">
        <f>IF(A136="Total",VLOOKUP(B136,CORRESPONDANCE[#All],2,FALSE),I137)</f>
        <v>30</v>
      </c>
      <c r="J136" s="222" t="str">
        <f t="shared" si="8"/>
        <v>6</v>
      </c>
      <c r="K136" s="44" t="str">
        <f t="shared" si="9"/>
        <v>TURVILLA - 613201</v>
      </c>
      <c r="L136" s="44" t="str">
        <f>+VLOOKUP(K136,TL[],4,FALSE)</f>
        <v>30</v>
      </c>
    </row>
    <row r="137" spans="1:12" x14ac:dyDescent="0.2">
      <c r="A137" t="s">
        <v>197</v>
      </c>
      <c r="B137" t="s">
        <v>2811</v>
      </c>
      <c r="C137">
        <v>1813.68</v>
      </c>
      <c r="D137" t="s">
        <v>6961</v>
      </c>
      <c r="E137">
        <v>1813.68</v>
      </c>
      <c r="F137" t="s">
        <v>6961</v>
      </c>
      <c r="G137" s="220">
        <f t="shared" si="10"/>
        <v>1813.68</v>
      </c>
      <c r="H137" s="220">
        <f t="shared" si="11"/>
        <v>1813.68</v>
      </c>
      <c r="I137" s="221">
        <f>IF(A137="Total",VLOOKUP(B137,CORRESPONDANCE[#All],2,FALSE),I138)</f>
        <v>30</v>
      </c>
      <c r="J137" s="222" t="str">
        <f t="shared" si="8"/>
        <v>T</v>
      </c>
      <c r="K137" s="44" t="str">
        <f t="shared" si="9"/>
        <v>TURVILLA - Total</v>
      </c>
      <c r="L137" s="44" t="e">
        <f>+VLOOKUP(K137,TL[],4,FALSE)</f>
        <v>#N/A</v>
      </c>
    </row>
    <row r="138" spans="1:12" x14ac:dyDescent="0.2">
      <c r="A138" t="s">
        <v>5854</v>
      </c>
      <c r="B138" t="s">
        <v>2812</v>
      </c>
      <c r="C138" t="s">
        <v>6961</v>
      </c>
      <c r="D138">
        <v>2709.87</v>
      </c>
      <c r="E138" t="s">
        <v>6961</v>
      </c>
      <c r="F138">
        <v>2709.87</v>
      </c>
      <c r="G138" s="220">
        <f t="shared" si="10"/>
        <v>-2709.87</v>
      </c>
      <c r="H138" s="220">
        <f t="shared" si="11"/>
        <v>-2709.87</v>
      </c>
      <c r="I138" s="221">
        <f>IF(A138="Total",VLOOKUP(B138,CORRESPONDANCE[#All],2,FALSE),I139)</f>
        <v>31</v>
      </c>
      <c r="J138" s="222" t="str">
        <f t="shared" si="8"/>
        <v>6</v>
      </c>
      <c r="K138" s="44" t="str">
        <f t="shared" si="9"/>
        <v>TURVILLA - 613202</v>
      </c>
      <c r="L138" s="44" t="str">
        <f>+VLOOKUP(K138,TL[],4,FALSE)</f>
        <v>30</v>
      </c>
    </row>
    <row r="139" spans="1:12" x14ac:dyDescent="0.2">
      <c r="A139" t="s">
        <v>1604</v>
      </c>
      <c r="B139" t="s">
        <v>2473</v>
      </c>
      <c r="C139" t="s">
        <v>6961</v>
      </c>
      <c r="D139">
        <v>324.69</v>
      </c>
      <c r="E139" t="s">
        <v>6961</v>
      </c>
      <c r="F139">
        <v>324.69</v>
      </c>
      <c r="G139" s="220">
        <f t="shared" si="10"/>
        <v>-324.69</v>
      </c>
      <c r="H139" s="220">
        <f t="shared" si="11"/>
        <v>-324.69</v>
      </c>
      <c r="I139" s="221">
        <f>IF(A139="Total",VLOOKUP(B139,CORRESPONDANCE[#All],2,FALSE),I140)</f>
        <v>31</v>
      </c>
      <c r="J139" s="222" t="str">
        <f t="shared" si="8"/>
        <v>6</v>
      </c>
      <c r="K139" s="44" t="str">
        <f t="shared" si="9"/>
        <v>TURVILLA - 651200</v>
      </c>
      <c r="L139" s="44" t="str">
        <f>+VLOOKUP(K139,TL[],4,FALSE)</f>
        <v>30</v>
      </c>
    </row>
    <row r="140" spans="1:12" x14ac:dyDescent="0.2">
      <c r="A140" t="s">
        <v>1606</v>
      </c>
      <c r="B140" t="s">
        <v>2201</v>
      </c>
      <c r="C140" t="s">
        <v>6961</v>
      </c>
      <c r="D140">
        <v>910.93</v>
      </c>
      <c r="E140" t="s">
        <v>6961</v>
      </c>
      <c r="F140">
        <v>910.93</v>
      </c>
      <c r="G140" s="220">
        <f t="shared" si="10"/>
        <v>-910.93</v>
      </c>
      <c r="H140" s="220">
        <f t="shared" si="11"/>
        <v>-910.93</v>
      </c>
      <c r="I140" s="221">
        <f>IF(A140="Total",VLOOKUP(B140,CORRESPONDANCE[#All],2,FALSE),I141)</f>
        <v>31</v>
      </c>
      <c r="J140" s="222" t="str">
        <f t="shared" si="8"/>
        <v>6</v>
      </c>
      <c r="K140" s="44" t="str">
        <f t="shared" si="9"/>
        <v>TURVILLA - 651210</v>
      </c>
      <c r="L140" s="44" t="str">
        <f>+VLOOKUP(K140,TL[],4,FALSE)</f>
        <v>31</v>
      </c>
    </row>
    <row r="141" spans="1:12" x14ac:dyDescent="0.2">
      <c r="A141" t="s">
        <v>197</v>
      </c>
      <c r="B141" t="s">
        <v>2585</v>
      </c>
      <c r="C141" t="s">
        <v>6961</v>
      </c>
      <c r="D141">
        <v>3945.49</v>
      </c>
      <c r="E141" t="s">
        <v>6961</v>
      </c>
      <c r="F141">
        <v>3945.49</v>
      </c>
      <c r="G141" s="220">
        <f t="shared" si="10"/>
        <v>-3945.49</v>
      </c>
      <c r="H141" s="220">
        <f t="shared" si="11"/>
        <v>-3945.49</v>
      </c>
      <c r="I141" s="221">
        <f>IF(A141="Total",VLOOKUP(B141,CORRESPONDANCE[#All],2,FALSE),I142)</f>
        <v>31</v>
      </c>
      <c r="J141" s="222" t="str">
        <f t="shared" si="8"/>
        <v>T</v>
      </c>
      <c r="K141" s="44" t="str">
        <f t="shared" si="9"/>
        <v>TURVILLA - Total</v>
      </c>
      <c r="L141" s="44" t="e">
        <f>+VLOOKUP(K141,TL[],4,FALSE)</f>
        <v>#N/A</v>
      </c>
    </row>
    <row r="142" spans="1:12" x14ac:dyDescent="0.2">
      <c r="A142" t="s">
        <v>1784</v>
      </c>
      <c r="B142" t="s">
        <v>2228</v>
      </c>
      <c r="C142">
        <v>816</v>
      </c>
      <c r="D142" t="s">
        <v>6961</v>
      </c>
      <c r="E142">
        <v>816</v>
      </c>
      <c r="F142" t="s">
        <v>6961</v>
      </c>
      <c r="G142" s="220">
        <f t="shared" si="10"/>
        <v>816</v>
      </c>
      <c r="H142" s="220">
        <f t="shared" si="11"/>
        <v>816</v>
      </c>
      <c r="I142" s="221">
        <f>IF(A142="Total",VLOOKUP(B142,CORRESPONDANCE[#All],2,FALSE),I143)</f>
        <v>33</v>
      </c>
      <c r="J142" s="222" t="str">
        <f t="shared" si="8"/>
        <v>6</v>
      </c>
      <c r="K142" s="44" t="str">
        <f t="shared" si="9"/>
        <v>TURVILLA - 614100</v>
      </c>
      <c r="L142" s="44" t="str">
        <f>+VLOOKUP(K142,TL[],4,FALSE)</f>
        <v>34</v>
      </c>
    </row>
    <row r="143" spans="1:12" x14ac:dyDescent="0.2">
      <c r="A143" t="s">
        <v>197</v>
      </c>
      <c r="B143" t="s">
        <v>2586</v>
      </c>
      <c r="C143">
        <v>816</v>
      </c>
      <c r="D143" t="s">
        <v>6961</v>
      </c>
      <c r="E143">
        <v>816</v>
      </c>
      <c r="F143" t="s">
        <v>6961</v>
      </c>
      <c r="G143" s="220">
        <f t="shared" si="10"/>
        <v>816</v>
      </c>
      <c r="H143" s="220">
        <f t="shared" si="11"/>
        <v>816</v>
      </c>
      <c r="I143" s="221">
        <f>IF(A143="Total",VLOOKUP(B143,CORRESPONDANCE[#All],2,FALSE),I144)</f>
        <v>33</v>
      </c>
      <c r="J143" s="222" t="str">
        <f t="shared" si="8"/>
        <v>T</v>
      </c>
      <c r="K143" s="44" t="str">
        <f t="shared" si="9"/>
        <v>TURVILLA - Total</v>
      </c>
      <c r="L143" s="44" t="e">
        <f>+VLOOKUP(K143,TL[],4,FALSE)</f>
        <v>#N/A</v>
      </c>
    </row>
    <row r="144" spans="1:12" x14ac:dyDescent="0.2">
      <c r="A144" t="s">
        <v>2825</v>
      </c>
      <c r="B144" t="s">
        <v>2472</v>
      </c>
      <c r="C144">
        <v>23322.080000000002</v>
      </c>
      <c r="D144" t="s">
        <v>6961</v>
      </c>
      <c r="E144">
        <v>23322.080000000002</v>
      </c>
      <c r="F144" t="s">
        <v>6961</v>
      </c>
      <c r="G144" s="220">
        <f t="shared" si="10"/>
        <v>23322.080000000002</v>
      </c>
      <c r="H144" s="220">
        <f t="shared" si="11"/>
        <v>23322.080000000002</v>
      </c>
      <c r="I144" s="221">
        <f>IF(A144="Total",VLOOKUP(B144,CORRESPONDANCE[#All],2,FALSE),I145)</f>
        <v>34</v>
      </c>
      <c r="J144" s="222" t="str">
        <f t="shared" si="8"/>
        <v>6</v>
      </c>
      <c r="K144" s="44" t="str">
        <f t="shared" si="9"/>
        <v>TURVILLA - 651000</v>
      </c>
      <c r="L144" s="44" t="str">
        <f>+VLOOKUP(K144,TL[],4,FALSE)</f>
        <v>31</v>
      </c>
    </row>
    <row r="145" spans="1:12" x14ac:dyDescent="0.2">
      <c r="A145" t="s">
        <v>197</v>
      </c>
      <c r="B145" t="s">
        <v>2588</v>
      </c>
      <c r="C145">
        <v>23322.080000000002</v>
      </c>
      <c r="D145" t="s">
        <v>6961</v>
      </c>
      <c r="E145">
        <v>23322.080000000002</v>
      </c>
      <c r="F145" t="s">
        <v>6961</v>
      </c>
      <c r="G145" s="220">
        <f t="shared" si="10"/>
        <v>23322.080000000002</v>
      </c>
      <c r="H145" s="220">
        <f t="shared" si="11"/>
        <v>23322.080000000002</v>
      </c>
      <c r="I145" s="221">
        <f>IF(A145="Total",VLOOKUP(B145,CORRESPONDANCE[#All],2,FALSE),I146)</f>
        <v>34</v>
      </c>
      <c r="J145" s="222" t="str">
        <f t="shared" si="8"/>
        <v>T</v>
      </c>
      <c r="K145" s="44" t="str">
        <f t="shared" si="9"/>
        <v>TURVILLA - Total</v>
      </c>
      <c r="L145" s="44" t="e">
        <f>+VLOOKUP(K145,TL[],4,FALSE)</f>
        <v>#N/A</v>
      </c>
    </row>
    <row r="146" spans="1:12" x14ac:dyDescent="0.2">
      <c r="A146" t="s">
        <v>1622</v>
      </c>
      <c r="B146" t="s">
        <v>2454</v>
      </c>
      <c r="C146">
        <v>860</v>
      </c>
      <c r="D146" t="s">
        <v>6961</v>
      </c>
      <c r="E146">
        <v>860</v>
      </c>
      <c r="F146" t="s">
        <v>6961</v>
      </c>
      <c r="G146" s="220">
        <f t="shared" si="10"/>
        <v>860</v>
      </c>
      <c r="H146" s="220">
        <f t="shared" si="11"/>
        <v>860</v>
      </c>
      <c r="I146" s="221">
        <f>IF(A146="Total",VLOOKUP(B146,CORRESPONDANCE[#All],2,FALSE),I147)</f>
        <v>35</v>
      </c>
      <c r="J146" s="222" t="str">
        <f t="shared" si="8"/>
        <v>6</v>
      </c>
      <c r="K146" s="44" t="str">
        <f t="shared" si="9"/>
        <v>TURVILLA - 622600</v>
      </c>
      <c r="L146" s="44" t="str">
        <f>+VLOOKUP(K146,TL[],4,FALSE)</f>
        <v>32</v>
      </c>
    </row>
    <row r="147" spans="1:12" x14ac:dyDescent="0.2">
      <c r="A147" t="s">
        <v>2589</v>
      </c>
      <c r="B147" t="s">
        <v>162</v>
      </c>
      <c r="C147">
        <v>58</v>
      </c>
      <c r="D147" t="s">
        <v>6961</v>
      </c>
      <c r="E147">
        <v>58</v>
      </c>
      <c r="F147" t="s">
        <v>6961</v>
      </c>
      <c r="G147" s="220">
        <f t="shared" si="10"/>
        <v>58</v>
      </c>
      <c r="H147" s="220">
        <f t="shared" si="11"/>
        <v>58</v>
      </c>
      <c r="I147" s="221">
        <f>IF(A147="Total",VLOOKUP(B147,CORRESPONDANCE[#All],2,FALSE),I148)</f>
        <v>35</v>
      </c>
      <c r="J147" s="222" t="str">
        <f t="shared" si="8"/>
        <v>6</v>
      </c>
      <c r="K147" s="44" t="str">
        <f t="shared" si="9"/>
        <v>TURVILLA - 622660</v>
      </c>
      <c r="L147" s="44" t="str">
        <f>+VLOOKUP(K147,TL[],4,FALSE)</f>
        <v>32</v>
      </c>
    </row>
    <row r="148" spans="1:12" x14ac:dyDescent="0.2">
      <c r="A148" t="s">
        <v>2590</v>
      </c>
      <c r="B148" t="s">
        <v>227</v>
      </c>
      <c r="C148">
        <v>500</v>
      </c>
      <c r="D148" t="s">
        <v>6961</v>
      </c>
      <c r="E148">
        <v>500</v>
      </c>
      <c r="F148" t="s">
        <v>6961</v>
      </c>
      <c r="G148" s="220">
        <f t="shared" si="10"/>
        <v>500</v>
      </c>
      <c r="H148" s="220">
        <f t="shared" si="11"/>
        <v>500</v>
      </c>
      <c r="I148" s="221">
        <f>IF(A148="Total",VLOOKUP(B148,CORRESPONDANCE[#All],2,FALSE),I149)</f>
        <v>35</v>
      </c>
      <c r="J148" s="222" t="str">
        <f t="shared" si="8"/>
        <v>6</v>
      </c>
      <c r="K148" s="44" t="str">
        <f t="shared" si="9"/>
        <v>TURVILLA - 622661</v>
      </c>
      <c r="L148" s="44" t="str">
        <f>+VLOOKUP(K148,TL[],4,FALSE)</f>
        <v>32</v>
      </c>
    </row>
    <row r="149" spans="1:12" x14ac:dyDescent="0.2">
      <c r="A149" t="s">
        <v>7112</v>
      </c>
      <c r="B149" t="s">
        <v>1205</v>
      </c>
      <c r="C149">
        <v>271.33</v>
      </c>
      <c r="D149" t="s">
        <v>6961</v>
      </c>
      <c r="E149">
        <v>271.33</v>
      </c>
      <c r="F149" t="s">
        <v>6961</v>
      </c>
      <c r="G149" s="220">
        <f t="shared" si="10"/>
        <v>271.33</v>
      </c>
      <c r="H149" s="220">
        <f t="shared" si="11"/>
        <v>271.33</v>
      </c>
      <c r="I149" s="221">
        <f>IF(A149="Total",VLOOKUP(B149,CORRESPONDANCE[#All],2,FALSE),I150)</f>
        <v>35</v>
      </c>
      <c r="J149" s="222" t="str">
        <f t="shared" si="8"/>
        <v>6</v>
      </c>
      <c r="K149" s="44" t="str">
        <f t="shared" si="9"/>
        <v>TURVILLA - 622662</v>
      </c>
      <c r="L149" s="44" t="e">
        <f>+VLOOKUP(K149,TL[],4,FALSE)</f>
        <v>#N/A</v>
      </c>
    </row>
    <row r="150" spans="1:12" x14ac:dyDescent="0.2">
      <c r="A150" t="s">
        <v>197</v>
      </c>
      <c r="B150" t="s">
        <v>2591</v>
      </c>
      <c r="C150">
        <v>1689.33</v>
      </c>
      <c r="D150" t="s">
        <v>6961</v>
      </c>
      <c r="E150">
        <v>1689.33</v>
      </c>
      <c r="F150" t="s">
        <v>6961</v>
      </c>
      <c r="G150" s="220">
        <f t="shared" si="10"/>
        <v>1689.33</v>
      </c>
      <c r="H150" s="220">
        <f t="shared" si="11"/>
        <v>1689.33</v>
      </c>
      <c r="I150" s="221">
        <f>IF(A150="Total",VLOOKUP(B150,CORRESPONDANCE[#All],2,FALSE),I151)</f>
        <v>35</v>
      </c>
      <c r="J150" s="222" t="str">
        <f t="shared" si="8"/>
        <v>T</v>
      </c>
      <c r="K150" s="44" t="str">
        <f t="shared" si="9"/>
        <v>TURVILLA - Total</v>
      </c>
      <c r="L150" s="44" t="e">
        <f>+VLOOKUP(K150,TL[],4,FALSE)</f>
        <v>#N/A</v>
      </c>
    </row>
    <row r="151" spans="1:12" x14ac:dyDescent="0.2">
      <c r="A151" t="s">
        <v>1731</v>
      </c>
      <c r="B151" t="s">
        <v>217</v>
      </c>
      <c r="C151">
        <v>19.559999999999999</v>
      </c>
      <c r="D151" t="s">
        <v>6961</v>
      </c>
      <c r="E151">
        <v>19.559999999999999</v>
      </c>
      <c r="F151" t="s">
        <v>6961</v>
      </c>
      <c r="G151" s="220">
        <f t="shared" si="10"/>
        <v>19.559999999999999</v>
      </c>
      <c r="H151" s="220">
        <f t="shared" si="11"/>
        <v>19.559999999999999</v>
      </c>
      <c r="I151" s="221">
        <f>IF(A151="Total",VLOOKUP(B151,CORRESPONDANCE[#All],2,FALSE),I152)</f>
        <v>36</v>
      </c>
      <c r="J151" s="222" t="str">
        <f t="shared" si="8"/>
        <v>6</v>
      </c>
      <c r="K151" s="44" t="str">
        <f t="shared" si="9"/>
        <v>TURVILLA - 616003</v>
      </c>
      <c r="L151" s="44" t="str">
        <f>+VLOOKUP(K151,TL[],4,FALSE)</f>
        <v>33</v>
      </c>
    </row>
    <row r="152" spans="1:12" x14ac:dyDescent="0.2">
      <c r="A152" t="s">
        <v>5005</v>
      </c>
      <c r="B152" t="s">
        <v>2453</v>
      </c>
      <c r="C152">
        <v>2100</v>
      </c>
      <c r="D152" t="s">
        <v>6961</v>
      </c>
      <c r="E152">
        <v>2100</v>
      </c>
      <c r="F152" t="s">
        <v>6961</v>
      </c>
      <c r="G152" s="220">
        <f t="shared" si="10"/>
        <v>2100</v>
      </c>
      <c r="H152" s="220">
        <f t="shared" si="11"/>
        <v>2100</v>
      </c>
      <c r="I152" s="221">
        <f>IF(A152="Total",VLOOKUP(B152,CORRESPONDANCE[#All],2,FALSE),I153)</f>
        <v>36</v>
      </c>
      <c r="J152" s="222" t="str">
        <f t="shared" si="8"/>
        <v>6</v>
      </c>
      <c r="K152" s="44" t="str">
        <f t="shared" si="9"/>
        <v>TURVILLA - 616100</v>
      </c>
      <c r="L152" s="44" t="str">
        <f>+VLOOKUP(K152,TL[],4,FALSE)</f>
        <v>33</v>
      </c>
    </row>
    <row r="153" spans="1:12" x14ac:dyDescent="0.2">
      <c r="A153" t="s">
        <v>197</v>
      </c>
      <c r="B153" t="s">
        <v>2592</v>
      </c>
      <c r="C153">
        <v>2119.56</v>
      </c>
      <c r="D153" t="s">
        <v>6961</v>
      </c>
      <c r="E153">
        <v>2119.56</v>
      </c>
      <c r="F153" t="s">
        <v>6961</v>
      </c>
      <c r="G153" s="220">
        <f t="shared" si="10"/>
        <v>2119.56</v>
      </c>
      <c r="H153" s="220">
        <f t="shared" si="11"/>
        <v>2119.56</v>
      </c>
      <c r="I153" s="221">
        <f>IF(A153="Total",VLOOKUP(B153,CORRESPONDANCE[#All],2,FALSE),I154)</f>
        <v>36</v>
      </c>
      <c r="J153" s="222" t="str">
        <f t="shared" si="8"/>
        <v>T</v>
      </c>
      <c r="K153" s="44" t="str">
        <f t="shared" si="9"/>
        <v>TURVILLA - Total</v>
      </c>
      <c r="L153" s="44" t="e">
        <f>+VLOOKUP(K153,TL[],4,FALSE)</f>
        <v>#N/A</v>
      </c>
    </row>
    <row r="154" spans="1:12" x14ac:dyDescent="0.2">
      <c r="A154" t="s">
        <v>5117</v>
      </c>
      <c r="B154" t="s">
        <v>331</v>
      </c>
      <c r="C154">
        <v>507.71</v>
      </c>
      <c r="D154" t="s">
        <v>6961</v>
      </c>
      <c r="E154">
        <v>507.71</v>
      </c>
      <c r="F154" t="s">
        <v>6961</v>
      </c>
      <c r="G154" s="220">
        <f t="shared" si="10"/>
        <v>507.71</v>
      </c>
      <c r="H154" s="220">
        <f t="shared" si="11"/>
        <v>507.71</v>
      </c>
      <c r="I154" s="221">
        <f>IF(A154="Total",VLOOKUP(B154,CORRESPONDANCE[#All],2,FALSE),I155)</f>
        <v>37</v>
      </c>
      <c r="J154" s="222" t="str">
        <f t="shared" si="8"/>
        <v>6</v>
      </c>
      <c r="K154" s="44" t="str">
        <f t="shared" si="9"/>
        <v>TURVILLA - 631200</v>
      </c>
      <c r="L154" s="44" t="str">
        <f>+VLOOKUP(K154,TL[],4,FALSE)</f>
        <v>34</v>
      </c>
    </row>
    <row r="155" spans="1:12" x14ac:dyDescent="0.2">
      <c r="A155" t="s">
        <v>5935</v>
      </c>
      <c r="B155" t="s">
        <v>2256</v>
      </c>
      <c r="C155">
        <v>630</v>
      </c>
      <c r="D155" t="s">
        <v>6961</v>
      </c>
      <c r="E155">
        <v>630</v>
      </c>
      <c r="F155" t="s">
        <v>6961</v>
      </c>
      <c r="G155" s="220">
        <f t="shared" si="10"/>
        <v>630</v>
      </c>
      <c r="H155" s="220">
        <f t="shared" si="11"/>
        <v>630</v>
      </c>
      <c r="I155" s="221">
        <f>IF(A155="Total",VLOOKUP(B155,CORRESPONDANCE[#All],2,FALSE),I156)</f>
        <v>37</v>
      </c>
      <c r="J155" s="222" t="str">
        <f t="shared" si="8"/>
        <v>6</v>
      </c>
      <c r="K155" s="44" t="str">
        <f t="shared" si="9"/>
        <v>TURVILLA - 631310</v>
      </c>
      <c r="L155" s="44" t="str">
        <f>+VLOOKUP(K155,TL[],4,FALSE)</f>
        <v>34</v>
      </c>
    </row>
    <row r="156" spans="1:12" x14ac:dyDescent="0.2">
      <c r="A156" t="s">
        <v>1730</v>
      </c>
      <c r="B156" t="s">
        <v>2257</v>
      </c>
      <c r="C156">
        <v>870.92</v>
      </c>
      <c r="D156" t="s">
        <v>6961</v>
      </c>
      <c r="E156">
        <v>870.92</v>
      </c>
      <c r="F156" t="s">
        <v>6961</v>
      </c>
      <c r="G156" s="220">
        <f t="shared" si="10"/>
        <v>870.92</v>
      </c>
      <c r="H156" s="220">
        <f t="shared" si="11"/>
        <v>870.92</v>
      </c>
      <c r="I156" s="221">
        <f>IF(A156="Total",VLOOKUP(B156,CORRESPONDANCE[#All],2,FALSE),I157)</f>
        <v>37</v>
      </c>
      <c r="J156" s="222" t="str">
        <f t="shared" si="8"/>
        <v>6</v>
      </c>
      <c r="K156" s="44" t="str">
        <f t="shared" si="9"/>
        <v>TURVILLA - 633300</v>
      </c>
      <c r="L156" s="44" t="str">
        <f>+VLOOKUP(K156,TL[],4,FALSE)</f>
        <v>34</v>
      </c>
    </row>
    <row r="157" spans="1:12" x14ac:dyDescent="0.2">
      <c r="A157" t="s">
        <v>1976</v>
      </c>
      <c r="B157" t="s">
        <v>220</v>
      </c>
      <c r="C157">
        <v>387.22</v>
      </c>
      <c r="D157" t="s">
        <v>6961</v>
      </c>
      <c r="E157">
        <v>387.22</v>
      </c>
      <c r="F157" t="s">
        <v>6961</v>
      </c>
      <c r="G157" s="220">
        <f t="shared" si="10"/>
        <v>387.22</v>
      </c>
      <c r="H157" s="220">
        <f t="shared" si="11"/>
        <v>387.22</v>
      </c>
      <c r="I157" s="221">
        <f>IF(A157="Total",VLOOKUP(B157,CORRESPONDANCE[#All],2,FALSE),I158)</f>
        <v>37</v>
      </c>
      <c r="J157" s="222" t="str">
        <f t="shared" si="8"/>
        <v>6</v>
      </c>
      <c r="K157" s="44" t="str">
        <f t="shared" si="9"/>
        <v>TURVILLA - 633400</v>
      </c>
      <c r="L157" s="44" t="str">
        <f>+VLOOKUP(K157,TL[],4,FALSE)</f>
        <v>34</v>
      </c>
    </row>
    <row r="158" spans="1:12" x14ac:dyDescent="0.2">
      <c r="A158" t="s">
        <v>1729</v>
      </c>
      <c r="B158" t="s">
        <v>2258</v>
      </c>
      <c r="C158">
        <v>77.45</v>
      </c>
      <c r="D158" t="s">
        <v>6961</v>
      </c>
      <c r="E158">
        <v>77.45</v>
      </c>
      <c r="F158" t="s">
        <v>6961</v>
      </c>
      <c r="G158" s="220">
        <f t="shared" si="10"/>
        <v>77.45</v>
      </c>
      <c r="H158" s="220">
        <f t="shared" si="11"/>
        <v>77.45</v>
      </c>
      <c r="I158" s="221">
        <f>IF(A158="Total",VLOOKUP(B158,CORRESPONDANCE[#All],2,FALSE),I159)</f>
        <v>37</v>
      </c>
      <c r="J158" s="222" t="str">
        <f t="shared" si="8"/>
        <v>6</v>
      </c>
      <c r="K158" s="44" t="str">
        <f t="shared" si="9"/>
        <v>TURVILLA - 633500</v>
      </c>
      <c r="L158" s="44" t="str">
        <f>+VLOOKUP(K158,TL[],4,FALSE)</f>
        <v>34</v>
      </c>
    </row>
    <row r="159" spans="1:12" x14ac:dyDescent="0.2">
      <c r="A159" t="s">
        <v>1786</v>
      </c>
      <c r="B159" t="s">
        <v>168</v>
      </c>
      <c r="C159">
        <v>315</v>
      </c>
      <c r="D159" t="s">
        <v>6961</v>
      </c>
      <c r="E159">
        <v>315</v>
      </c>
      <c r="F159" t="s">
        <v>6961</v>
      </c>
      <c r="G159" s="220">
        <f t="shared" si="10"/>
        <v>315</v>
      </c>
      <c r="H159" s="220">
        <f t="shared" si="11"/>
        <v>315</v>
      </c>
      <c r="I159" s="221">
        <f>IF(A159="Total",VLOOKUP(B159,CORRESPONDANCE[#All],2,FALSE),I160)</f>
        <v>37</v>
      </c>
      <c r="J159" s="222" t="str">
        <f t="shared" si="8"/>
        <v>6</v>
      </c>
      <c r="K159" s="44" t="str">
        <f t="shared" si="9"/>
        <v>TURVILLA - 635111</v>
      </c>
      <c r="L159" s="44" t="str">
        <f>+VLOOKUP(K159,TL[],4,FALSE)</f>
        <v>34</v>
      </c>
    </row>
    <row r="160" spans="1:12" x14ac:dyDescent="0.2">
      <c r="A160" t="s">
        <v>1732</v>
      </c>
      <c r="B160" t="s">
        <v>165</v>
      </c>
      <c r="C160">
        <v>700</v>
      </c>
      <c r="D160" t="s">
        <v>6961</v>
      </c>
      <c r="E160">
        <v>700</v>
      </c>
      <c r="F160" t="s">
        <v>6961</v>
      </c>
      <c r="G160" s="220">
        <f t="shared" si="10"/>
        <v>700</v>
      </c>
      <c r="H160" s="220">
        <f t="shared" si="11"/>
        <v>700</v>
      </c>
      <c r="I160" s="221">
        <f>IF(A160="Total",VLOOKUP(B160,CORRESPONDANCE[#All],2,FALSE),I161)</f>
        <v>37</v>
      </c>
      <c r="J160" s="222" t="str">
        <f t="shared" si="8"/>
        <v>6</v>
      </c>
      <c r="K160" s="44" t="str">
        <f t="shared" si="9"/>
        <v>TURVILLA - 635112</v>
      </c>
      <c r="L160" s="44" t="str">
        <f>+VLOOKUP(K160,TL[],4,FALSE)</f>
        <v>34</v>
      </c>
    </row>
    <row r="161" spans="1:12" x14ac:dyDescent="0.2">
      <c r="A161" t="s">
        <v>5137</v>
      </c>
      <c r="B161" t="s">
        <v>2461</v>
      </c>
      <c r="C161">
        <v>137</v>
      </c>
      <c r="D161" t="s">
        <v>6961</v>
      </c>
      <c r="E161">
        <v>137</v>
      </c>
      <c r="F161" t="s">
        <v>6961</v>
      </c>
      <c r="G161" s="220">
        <f t="shared" si="10"/>
        <v>137</v>
      </c>
      <c r="H161" s="220">
        <f t="shared" si="11"/>
        <v>137</v>
      </c>
      <c r="I161" s="221">
        <f>IF(A161="Total",VLOOKUP(B161,CORRESPONDANCE[#All],2,FALSE),I162)</f>
        <v>37</v>
      </c>
      <c r="J161" s="222" t="str">
        <f t="shared" si="8"/>
        <v>6</v>
      </c>
      <c r="K161" s="44" t="str">
        <f t="shared" si="9"/>
        <v>TURVILLA - 635200</v>
      </c>
      <c r="L161" s="44" t="str">
        <f>+VLOOKUP(K161,TL[],4,FALSE)</f>
        <v>34</v>
      </c>
    </row>
    <row r="162" spans="1:12" x14ac:dyDescent="0.2">
      <c r="A162" t="s">
        <v>197</v>
      </c>
      <c r="B162" t="s">
        <v>2593</v>
      </c>
      <c r="C162">
        <v>3625.3</v>
      </c>
      <c r="D162" t="s">
        <v>6961</v>
      </c>
      <c r="E162">
        <v>3625.3</v>
      </c>
      <c r="F162" t="s">
        <v>6961</v>
      </c>
      <c r="G162" s="220">
        <f t="shared" si="10"/>
        <v>3625.3</v>
      </c>
      <c r="H162" s="220">
        <f t="shared" si="11"/>
        <v>3625.3</v>
      </c>
      <c r="I162" s="221">
        <f>IF(A162="Total",VLOOKUP(B162,CORRESPONDANCE[#All],2,FALSE),I163)</f>
        <v>37</v>
      </c>
      <c r="J162" s="222" t="str">
        <f t="shared" si="8"/>
        <v>T</v>
      </c>
      <c r="K162" s="44" t="str">
        <f t="shared" si="9"/>
        <v>TURVILLA - Total</v>
      </c>
      <c r="L162" s="44" t="e">
        <f>+VLOOKUP(K162,TL[],4,FALSE)</f>
        <v>#N/A</v>
      </c>
    </row>
    <row r="163" spans="1:12" x14ac:dyDescent="0.2">
      <c r="A163" t="s">
        <v>2026</v>
      </c>
      <c r="B163" t="s">
        <v>173</v>
      </c>
      <c r="C163">
        <v>24500</v>
      </c>
      <c r="D163" t="s">
        <v>6961</v>
      </c>
      <c r="E163">
        <v>24500</v>
      </c>
      <c r="F163" t="s">
        <v>6961</v>
      </c>
      <c r="G163" s="220">
        <f t="shared" si="10"/>
        <v>24500</v>
      </c>
      <c r="H163" s="220">
        <f t="shared" si="11"/>
        <v>24500</v>
      </c>
      <c r="I163" s="221">
        <f>IF(A163="Total",VLOOKUP(B163,CORRESPONDANCE[#All],2,FALSE),I164)</f>
        <v>38</v>
      </c>
      <c r="J163" s="222" t="str">
        <f t="shared" si="8"/>
        <v>6</v>
      </c>
      <c r="K163" s="44" t="str">
        <f t="shared" si="9"/>
        <v>TURVILLA - 681120</v>
      </c>
      <c r="L163" s="44" t="str">
        <f>+VLOOKUP(K163,TL[],4,FALSE)</f>
        <v>36</v>
      </c>
    </row>
    <row r="164" spans="1:12" x14ac:dyDescent="0.2">
      <c r="A164" t="s">
        <v>197</v>
      </c>
      <c r="B164" t="s">
        <v>2594</v>
      </c>
      <c r="C164">
        <v>24500</v>
      </c>
      <c r="D164" t="s">
        <v>6961</v>
      </c>
      <c r="E164">
        <v>24500</v>
      </c>
      <c r="F164" t="s">
        <v>6961</v>
      </c>
      <c r="G164" s="220">
        <f t="shared" si="10"/>
        <v>24500</v>
      </c>
      <c r="H164" s="220">
        <f t="shared" si="11"/>
        <v>24500</v>
      </c>
      <c r="I164" s="221">
        <f>IF(A164="Total",VLOOKUP(B164,CORRESPONDANCE[#All],2,FALSE),I165)</f>
        <v>38</v>
      </c>
      <c r="J164" s="222" t="str">
        <f t="shared" si="8"/>
        <v>T</v>
      </c>
      <c r="K164" s="44" t="str">
        <f t="shared" si="9"/>
        <v>TURVILLA - Total</v>
      </c>
      <c r="L164" s="44" t="e">
        <f>+VLOOKUP(K164,TL[],4,FALSE)</f>
        <v>#N/A</v>
      </c>
    </row>
    <row r="165" spans="1:12" x14ac:dyDescent="0.2">
      <c r="A165" t="s">
        <v>5864</v>
      </c>
      <c r="B165" t="s">
        <v>2447</v>
      </c>
      <c r="C165">
        <v>444.38</v>
      </c>
      <c r="D165" t="s">
        <v>6961</v>
      </c>
      <c r="E165">
        <v>444.38</v>
      </c>
      <c r="F165" t="s">
        <v>6961</v>
      </c>
      <c r="G165" s="220">
        <f t="shared" si="10"/>
        <v>444.38</v>
      </c>
      <c r="H165" s="220">
        <f t="shared" si="11"/>
        <v>444.38</v>
      </c>
      <c r="I165" s="221">
        <f>IF(A165="Total",VLOOKUP(B165,CORRESPONDANCE[#All],2,FALSE),I166)</f>
        <v>39</v>
      </c>
      <c r="J165" s="222" t="str">
        <f t="shared" si="8"/>
        <v>6</v>
      </c>
      <c r="K165" s="44" t="str">
        <f t="shared" si="9"/>
        <v>TURVILLA - 613361</v>
      </c>
      <c r="L165" s="44" t="str">
        <f>+VLOOKUP(K165,TL[],4,FALSE)</f>
        <v>16</v>
      </c>
    </row>
    <row r="166" spans="1:12" x14ac:dyDescent="0.2">
      <c r="A166" t="s">
        <v>7058</v>
      </c>
      <c r="B166" t="s">
        <v>2952</v>
      </c>
      <c r="C166">
        <v>265.33</v>
      </c>
      <c r="D166" t="s">
        <v>6961</v>
      </c>
      <c r="E166">
        <v>265.33</v>
      </c>
      <c r="F166" t="s">
        <v>6961</v>
      </c>
      <c r="G166" s="220">
        <f t="shared" si="10"/>
        <v>265.33</v>
      </c>
      <c r="H166" s="220">
        <f t="shared" si="11"/>
        <v>265.33</v>
      </c>
      <c r="I166" s="221">
        <f>IF(A166="Total",VLOOKUP(B166,CORRESPONDANCE[#All],2,FALSE),I167)</f>
        <v>39</v>
      </c>
      <c r="J166" s="222" t="str">
        <f t="shared" si="8"/>
        <v>6</v>
      </c>
      <c r="K166" s="44" t="str">
        <f t="shared" si="9"/>
        <v>TURVILLA - 613380</v>
      </c>
      <c r="L166" s="44" t="e">
        <f>+VLOOKUP(K166,TL[],4,FALSE)</f>
        <v>#N/A</v>
      </c>
    </row>
    <row r="167" spans="1:12" x14ac:dyDescent="0.2">
      <c r="A167" t="s">
        <v>197</v>
      </c>
      <c r="B167" t="s">
        <v>3028</v>
      </c>
      <c r="C167">
        <v>709.71</v>
      </c>
      <c r="D167" t="s">
        <v>6961</v>
      </c>
      <c r="E167">
        <v>709.71</v>
      </c>
      <c r="F167" t="s">
        <v>6961</v>
      </c>
      <c r="G167" s="220">
        <f t="shared" si="10"/>
        <v>709.71</v>
      </c>
      <c r="H167" s="220">
        <f t="shared" si="11"/>
        <v>709.71</v>
      </c>
      <c r="I167" s="221">
        <f>IF(A167="Total",VLOOKUP(B167,CORRESPONDANCE[#All],2,FALSE),I168)</f>
        <v>39</v>
      </c>
      <c r="J167" s="222" t="str">
        <f t="shared" si="8"/>
        <v>T</v>
      </c>
      <c r="K167" s="44" t="str">
        <f t="shared" si="9"/>
        <v>TURVILLA - Total</v>
      </c>
      <c r="L167" s="44" t="e">
        <f>+VLOOKUP(K167,TL[],4,FALSE)</f>
        <v>#N/A</v>
      </c>
    </row>
    <row r="168" spans="1:12" x14ac:dyDescent="0.2">
      <c r="A168" t="s">
        <v>1947</v>
      </c>
      <c r="B168" t="s">
        <v>7063</v>
      </c>
      <c r="C168">
        <v>429.58</v>
      </c>
      <c r="D168" t="s">
        <v>6961</v>
      </c>
      <c r="E168">
        <v>429.58</v>
      </c>
      <c r="F168" t="s">
        <v>6961</v>
      </c>
      <c r="G168" s="220">
        <f t="shared" si="10"/>
        <v>429.58</v>
      </c>
      <c r="H168" s="220">
        <f t="shared" si="11"/>
        <v>429.58</v>
      </c>
      <c r="I168" s="221">
        <f>IF(A168="Total",VLOOKUP(B168,CORRESPONDANCE[#All],2,FALSE),I169)</f>
        <v>40</v>
      </c>
      <c r="J168" s="222" t="str">
        <f t="shared" si="8"/>
        <v>6</v>
      </c>
      <c r="K168" s="44" t="str">
        <f t="shared" si="9"/>
        <v>TURVILLA - 621402</v>
      </c>
      <c r="L168" s="44" t="str">
        <f>+VLOOKUP(K168,TL[],4,FALSE)</f>
        <v>39</v>
      </c>
    </row>
    <row r="169" spans="1:12" x14ac:dyDescent="0.2">
      <c r="A169" t="s">
        <v>197</v>
      </c>
      <c r="B169" t="s">
        <v>2603</v>
      </c>
      <c r="C169">
        <v>429.58</v>
      </c>
      <c r="D169" t="s">
        <v>6961</v>
      </c>
      <c r="E169">
        <v>429.58</v>
      </c>
      <c r="F169" t="s">
        <v>6961</v>
      </c>
      <c r="G169" s="220">
        <f t="shared" si="10"/>
        <v>429.58</v>
      </c>
      <c r="H169" s="220">
        <f t="shared" si="11"/>
        <v>429.58</v>
      </c>
      <c r="I169" s="221">
        <f>IF(A169="Total",VLOOKUP(B169,CORRESPONDANCE[#All],2,FALSE),I170)</f>
        <v>40</v>
      </c>
      <c r="J169" s="222" t="str">
        <f t="shared" si="8"/>
        <v>T</v>
      </c>
      <c r="K169" s="44" t="str">
        <f t="shared" si="9"/>
        <v>TURVILLA - Total</v>
      </c>
      <c r="L169" s="44" t="e">
        <f>+VLOOKUP(K169,TL[],4,FALSE)</f>
        <v>#N/A</v>
      </c>
    </row>
    <row r="170" spans="1:12" x14ac:dyDescent="0.2">
      <c r="A170" t="s">
        <v>1721</v>
      </c>
      <c r="B170" t="s">
        <v>2474</v>
      </c>
      <c r="C170">
        <v>559.09</v>
      </c>
      <c r="D170" t="s">
        <v>6961</v>
      </c>
      <c r="E170">
        <v>559.09</v>
      </c>
      <c r="F170" t="s">
        <v>6961</v>
      </c>
      <c r="G170" s="220">
        <f t="shared" ref="G170:G190" si="12">SUM(C170)-SUM(D170)</f>
        <v>559.09</v>
      </c>
      <c r="H170" s="220">
        <f t="shared" ref="H170:H190" si="13">SUM(E170)-SUM(F170)</f>
        <v>559.09</v>
      </c>
      <c r="I170" s="221">
        <f>IF(A170="Total",VLOOKUP(B170,CORRESPONDANCE[#All],2,FALSE),I171)</f>
        <v>42</v>
      </c>
      <c r="J170" s="222" t="str">
        <f t="shared" ref="J170:J190" si="14">LEFT(A170,1)</f>
        <v>6</v>
      </c>
      <c r="K170" s="44" t="str">
        <f t="shared" ref="K170:K190" si="15">"TURVILLA"&amp;" - "&amp;A170</f>
        <v>TURVILLA - 661100</v>
      </c>
      <c r="L170" s="44" t="str">
        <f>+VLOOKUP(K170,TL[],4,FALSE)</f>
        <v>37</v>
      </c>
    </row>
    <row r="171" spans="1:12" x14ac:dyDescent="0.2">
      <c r="A171" t="s">
        <v>197</v>
      </c>
      <c r="B171" t="s">
        <v>2604</v>
      </c>
      <c r="C171">
        <v>559.09</v>
      </c>
      <c r="D171" t="s">
        <v>6961</v>
      </c>
      <c r="E171">
        <v>559.09</v>
      </c>
      <c r="F171" t="s">
        <v>6961</v>
      </c>
      <c r="G171" s="220">
        <f t="shared" si="12"/>
        <v>559.09</v>
      </c>
      <c r="H171" s="220">
        <f t="shared" si="13"/>
        <v>559.09</v>
      </c>
      <c r="I171" s="221">
        <f>IF(A171="Total",VLOOKUP(B171,CORRESPONDANCE[#All],2,FALSE),I172)</f>
        <v>42</v>
      </c>
      <c r="J171" s="222" t="str">
        <f t="shared" si="14"/>
        <v>T</v>
      </c>
      <c r="K171" s="44" t="str">
        <f t="shared" si="15"/>
        <v>TURVILLA - Total</v>
      </c>
      <c r="L171" s="44" t="e">
        <f>+VLOOKUP(K171,TL[],4,FALSE)</f>
        <v>#N/A</v>
      </c>
    </row>
    <row r="172" spans="1:12" x14ac:dyDescent="0.2">
      <c r="A172" t="s">
        <v>2605</v>
      </c>
      <c r="B172" t="s">
        <v>2200</v>
      </c>
      <c r="C172">
        <v>31053</v>
      </c>
      <c r="D172" t="s">
        <v>6961</v>
      </c>
      <c r="E172">
        <v>31053</v>
      </c>
      <c r="F172" t="s">
        <v>6961</v>
      </c>
      <c r="G172" s="220">
        <f t="shared" si="12"/>
        <v>31053</v>
      </c>
      <c r="H172" s="220">
        <f t="shared" si="13"/>
        <v>31053</v>
      </c>
      <c r="I172" s="221">
        <f>IF(A172="Total",VLOOKUP(B172,CORRESPONDANCE[#All],2,FALSE),I173)</f>
        <v>46</v>
      </c>
      <c r="J172" s="222" t="str">
        <f t="shared" si="14"/>
        <v>6</v>
      </c>
      <c r="K172" s="44" t="str">
        <f t="shared" si="15"/>
        <v>TURVILLA - 628220</v>
      </c>
      <c r="L172" s="44" t="str">
        <f>+VLOOKUP(K172,TL[],4,FALSE)</f>
        <v>51</v>
      </c>
    </row>
    <row r="173" spans="1:12" x14ac:dyDescent="0.2">
      <c r="A173" t="s">
        <v>2606</v>
      </c>
      <c r="B173" t="s">
        <v>2154</v>
      </c>
      <c r="C173">
        <v>834</v>
      </c>
      <c r="D173" t="s">
        <v>6961</v>
      </c>
      <c r="E173">
        <v>834</v>
      </c>
      <c r="F173" t="s">
        <v>6961</v>
      </c>
      <c r="G173" s="220">
        <f t="shared" si="12"/>
        <v>834</v>
      </c>
      <c r="H173" s="220">
        <f t="shared" si="13"/>
        <v>834</v>
      </c>
      <c r="I173" s="221">
        <f>IF(A173="Total",VLOOKUP(B173,CORRESPONDANCE[#All],2,FALSE),I174)</f>
        <v>46</v>
      </c>
      <c r="J173" s="222" t="str">
        <f t="shared" si="14"/>
        <v>6</v>
      </c>
      <c r="K173" s="44" t="str">
        <f t="shared" si="15"/>
        <v>TURVILLA - 628500</v>
      </c>
      <c r="L173" s="44" t="str">
        <f>+VLOOKUP(K173,TL[],4,FALSE)</f>
        <v>51</v>
      </c>
    </row>
    <row r="174" spans="1:12" x14ac:dyDescent="0.2">
      <c r="A174" t="s">
        <v>197</v>
      </c>
      <c r="B174" t="s">
        <v>2607</v>
      </c>
      <c r="C174">
        <v>31887</v>
      </c>
      <c r="D174" t="s">
        <v>6961</v>
      </c>
      <c r="E174">
        <v>31887</v>
      </c>
      <c r="F174" t="s">
        <v>6961</v>
      </c>
      <c r="G174" s="220">
        <f t="shared" si="12"/>
        <v>31887</v>
      </c>
      <c r="H174" s="220">
        <f t="shared" si="13"/>
        <v>31887</v>
      </c>
      <c r="I174" s="221">
        <f>IF(A174="Total",VLOOKUP(B174,CORRESPONDANCE[#All],2,FALSE),I175)</f>
        <v>46</v>
      </c>
      <c r="J174" s="222" t="str">
        <f t="shared" si="14"/>
        <v>T</v>
      </c>
      <c r="K174" s="44" t="str">
        <f t="shared" si="15"/>
        <v>TURVILLA - Total</v>
      </c>
      <c r="L174" s="44" t="e">
        <f>+VLOOKUP(K174,TL[],4,FALSE)</f>
        <v>#N/A</v>
      </c>
    </row>
    <row r="175" spans="1:12" x14ac:dyDescent="0.2">
      <c r="A175" t="s">
        <v>1794</v>
      </c>
      <c r="B175" t="s">
        <v>64</v>
      </c>
      <c r="C175" t="s">
        <v>6961</v>
      </c>
      <c r="D175">
        <v>8593.67</v>
      </c>
      <c r="E175" t="s">
        <v>6961</v>
      </c>
      <c r="F175">
        <v>8593.67</v>
      </c>
      <c r="G175" s="220">
        <f t="shared" si="12"/>
        <v>-8593.67</v>
      </c>
      <c r="H175" s="220">
        <f t="shared" si="13"/>
        <v>-8593.67</v>
      </c>
      <c r="I175" s="221" t="str">
        <f>IF(A175="Total",VLOOKUP(B175,CORRESPONDANCE[#All],2,FALSE),I176)</f>
        <v>41.1</v>
      </c>
      <c r="J175" s="222" t="str">
        <f t="shared" si="14"/>
        <v>7</v>
      </c>
      <c r="K175" s="44" t="str">
        <f t="shared" si="15"/>
        <v>TURVILLA - 702300</v>
      </c>
      <c r="L175" s="44" t="str">
        <f>+VLOOKUP(K175,TL[],4,FALSE)</f>
        <v>60</v>
      </c>
    </row>
    <row r="176" spans="1:12" x14ac:dyDescent="0.2">
      <c r="A176" t="s">
        <v>197</v>
      </c>
      <c r="B176" t="s">
        <v>2609</v>
      </c>
      <c r="C176" t="s">
        <v>6961</v>
      </c>
      <c r="D176">
        <v>8593.67</v>
      </c>
      <c r="E176" t="s">
        <v>6961</v>
      </c>
      <c r="F176">
        <v>8593.67</v>
      </c>
      <c r="G176" s="220">
        <f t="shared" si="12"/>
        <v>-8593.67</v>
      </c>
      <c r="H176" s="220">
        <f t="shared" si="13"/>
        <v>-8593.67</v>
      </c>
      <c r="I176" s="221" t="str">
        <f>IF(A176="Total",VLOOKUP(B176,CORRESPONDANCE[#All],2,FALSE),I177)</f>
        <v>41.1</v>
      </c>
      <c r="J176" s="222" t="str">
        <f t="shared" si="14"/>
        <v>T</v>
      </c>
      <c r="K176" s="44" t="str">
        <f t="shared" si="15"/>
        <v>TURVILLA - Total</v>
      </c>
      <c r="L176" s="44" t="e">
        <f>+VLOOKUP(K176,TL[],4,FALSE)</f>
        <v>#N/A</v>
      </c>
    </row>
    <row r="177" spans="1:12" x14ac:dyDescent="0.2">
      <c r="A177" t="s">
        <v>1631</v>
      </c>
      <c r="B177" t="s">
        <v>2213</v>
      </c>
      <c r="C177">
        <v>4468.4799999999996</v>
      </c>
      <c r="D177" t="s">
        <v>6961</v>
      </c>
      <c r="E177">
        <v>4468.4799999999996</v>
      </c>
      <c r="F177" t="s">
        <v>6961</v>
      </c>
      <c r="G177" s="220">
        <f t="shared" si="12"/>
        <v>4468.4799999999996</v>
      </c>
      <c r="H177" s="220">
        <f t="shared" si="13"/>
        <v>4468.4799999999996</v>
      </c>
      <c r="I177" s="221" t="str">
        <f>IF(A177="Total",VLOOKUP(B177,CORRESPONDANCE[#All],2,FALSE),I178)</f>
        <v>41.2</v>
      </c>
      <c r="J177" s="222" t="str">
        <f t="shared" si="14"/>
        <v>6</v>
      </c>
      <c r="K177" s="44" t="str">
        <f t="shared" si="15"/>
        <v>TURVILLA - 602202</v>
      </c>
      <c r="L177" s="44" t="str">
        <f>+VLOOKUP(K177,TL[],4,FALSE)</f>
        <v>62</v>
      </c>
    </row>
    <row r="178" spans="1:12" x14ac:dyDescent="0.2">
      <c r="A178" t="s">
        <v>2830</v>
      </c>
      <c r="B178" t="s">
        <v>5835</v>
      </c>
      <c r="C178">
        <v>2071.58</v>
      </c>
      <c r="D178" t="s">
        <v>6961</v>
      </c>
      <c r="E178">
        <v>2071.58</v>
      </c>
      <c r="F178" t="s">
        <v>6961</v>
      </c>
      <c r="G178" s="220">
        <f t="shared" si="12"/>
        <v>2071.58</v>
      </c>
      <c r="H178" s="220">
        <f t="shared" si="13"/>
        <v>2071.58</v>
      </c>
      <c r="I178" s="221" t="str">
        <f>IF(A178="Total",VLOOKUP(B178,CORRESPONDANCE[#All],2,FALSE),I179)</f>
        <v>41.2</v>
      </c>
      <c r="J178" s="222" t="str">
        <f t="shared" si="14"/>
        <v>6</v>
      </c>
      <c r="K178" s="44" t="str">
        <f t="shared" si="15"/>
        <v>TURVILLA - 603202</v>
      </c>
      <c r="L178" s="44" t="str">
        <f>+VLOOKUP(K178,TL[],4,FALSE)</f>
        <v>62</v>
      </c>
    </row>
    <row r="179" spans="1:12" x14ac:dyDescent="0.2">
      <c r="A179" t="s">
        <v>2610</v>
      </c>
      <c r="B179" t="s">
        <v>2253</v>
      </c>
      <c r="C179">
        <v>216.74</v>
      </c>
      <c r="D179" t="s">
        <v>6961</v>
      </c>
      <c r="E179">
        <v>216.74</v>
      </c>
      <c r="F179" t="s">
        <v>6961</v>
      </c>
      <c r="G179" s="220">
        <f t="shared" si="12"/>
        <v>216.74</v>
      </c>
      <c r="H179" s="220">
        <f t="shared" si="13"/>
        <v>216.74</v>
      </c>
      <c r="I179" s="221" t="str">
        <f>IF(A179="Total",VLOOKUP(B179,CORRESPONDANCE[#All],2,FALSE),I180)</f>
        <v>41.2</v>
      </c>
      <c r="J179" s="222" t="str">
        <f t="shared" si="14"/>
        <v>6</v>
      </c>
      <c r="K179" s="44" t="str">
        <f t="shared" si="15"/>
        <v>TURVILLA - 628024</v>
      </c>
      <c r="L179" s="44" t="str">
        <f>+VLOOKUP(K179,TL[],4,FALSE)</f>
        <v>62</v>
      </c>
    </row>
    <row r="180" spans="1:12" x14ac:dyDescent="0.2">
      <c r="A180" t="s">
        <v>6959</v>
      </c>
      <c r="B180" t="s">
        <v>7064</v>
      </c>
      <c r="C180" t="s">
        <v>6961</v>
      </c>
      <c r="D180">
        <v>140.69999999999999</v>
      </c>
      <c r="E180" t="s">
        <v>6961</v>
      </c>
      <c r="F180">
        <v>140.69999999999999</v>
      </c>
      <c r="G180" s="220">
        <f t="shared" si="12"/>
        <v>-140.69999999999999</v>
      </c>
      <c r="H180" s="220">
        <f t="shared" si="13"/>
        <v>-140.69999999999999</v>
      </c>
      <c r="I180" s="221" t="str">
        <f>IF(A180="Total",VLOOKUP(B180,CORRESPONDANCE[#All],2,FALSE),I181)</f>
        <v>41.2</v>
      </c>
      <c r="J180" s="222" t="str">
        <f t="shared" si="14"/>
        <v>6</v>
      </c>
      <c r="K180" s="44" t="str">
        <f t="shared" si="15"/>
        <v>TURVILLA - 628025</v>
      </c>
      <c r="L180" s="44" t="e">
        <f>+VLOOKUP(K180,TL[],4,FALSE)</f>
        <v>#N/A</v>
      </c>
    </row>
    <row r="181" spans="1:12" x14ac:dyDescent="0.2">
      <c r="A181" t="s">
        <v>197</v>
      </c>
      <c r="B181" t="s">
        <v>2611</v>
      </c>
      <c r="C181">
        <v>6616.1</v>
      </c>
      <c r="D181" t="s">
        <v>6961</v>
      </c>
      <c r="E181">
        <v>6616.1</v>
      </c>
      <c r="F181" t="s">
        <v>6961</v>
      </c>
      <c r="G181" s="220">
        <f t="shared" si="12"/>
        <v>6616.1</v>
      </c>
      <c r="H181" s="220">
        <f t="shared" si="13"/>
        <v>6616.1</v>
      </c>
      <c r="I181" s="221" t="str">
        <f>IF(A181="Total",VLOOKUP(B181,CORRESPONDANCE[#All],2,FALSE),I182)</f>
        <v>41.2</v>
      </c>
      <c r="J181" s="222" t="str">
        <f t="shared" si="14"/>
        <v>T</v>
      </c>
      <c r="K181" s="44" t="str">
        <f t="shared" si="15"/>
        <v>TURVILLA - Total</v>
      </c>
      <c r="L181" s="44" t="e">
        <f>+VLOOKUP(K181,TL[],4,FALSE)</f>
        <v>#N/A</v>
      </c>
    </row>
    <row r="182" spans="1:12" x14ac:dyDescent="0.2">
      <c r="A182" t="s">
        <v>6961</v>
      </c>
      <c r="B182" t="s">
        <v>2612</v>
      </c>
      <c r="C182">
        <v>479014.2</v>
      </c>
      <c r="D182">
        <v>492013.73</v>
      </c>
      <c r="E182">
        <v>479014.2</v>
      </c>
      <c r="F182">
        <v>492013.73</v>
      </c>
      <c r="G182" s="220">
        <f t="shared" si="12"/>
        <v>-12999.52999999997</v>
      </c>
      <c r="H182" s="220">
        <f t="shared" si="13"/>
        <v>-12999.52999999997</v>
      </c>
      <c r="I182" s="221">
        <f>IF(A182="Total",VLOOKUP(B182,CORRESPONDANCE[#All],2,FALSE),I183)</f>
        <v>0</v>
      </c>
      <c r="J182" s="222" t="str">
        <f t="shared" si="14"/>
        <v/>
      </c>
      <c r="K182" s="44" t="str">
        <f t="shared" si="15"/>
        <v xml:space="preserve">TURVILLA - </v>
      </c>
      <c r="L182" s="44" t="e">
        <f>+VLOOKUP(K182,TL[],4,FALSE)</f>
        <v>#N/A</v>
      </c>
    </row>
    <row r="183" spans="1:12" x14ac:dyDescent="0.2">
      <c r="G183" s="220">
        <f t="shared" si="12"/>
        <v>0</v>
      </c>
      <c r="H183" s="220">
        <f t="shared" si="13"/>
        <v>0</v>
      </c>
      <c r="I183" s="221">
        <f>IF(A183="Total",VLOOKUP(B183,CORRESPONDANCE[#All],2,FALSE),I184)</f>
        <v>0</v>
      </c>
      <c r="J183" s="222" t="str">
        <f t="shared" si="14"/>
        <v/>
      </c>
      <c r="K183" s="44" t="str">
        <f t="shared" si="15"/>
        <v xml:space="preserve">TURVILLA - </v>
      </c>
      <c r="L183" s="44" t="e">
        <f>+VLOOKUP(K183,TL[],4,FALSE)</f>
        <v>#N/A</v>
      </c>
    </row>
    <row r="184" spans="1:12" x14ac:dyDescent="0.2">
      <c r="G184" s="220">
        <f t="shared" si="12"/>
        <v>0</v>
      </c>
      <c r="H184" s="220">
        <f t="shared" si="13"/>
        <v>0</v>
      </c>
      <c r="I184" s="221">
        <f>IF(A184="Total",VLOOKUP(B184,CORRESPONDANCE[#All],2,FALSE),I185)</f>
        <v>0</v>
      </c>
      <c r="J184" s="222" t="str">
        <f t="shared" si="14"/>
        <v/>
      </c>
      <c r="K184" s="44" t="str">
        <f t="shared" si="15"/>
        <v xml:space="preserve">TURVILLA - </v>
      </c>
      <c r="L184" s="44" t="e">
        <f>+VLOOKUP(K184,TL[],4,FALSE)</f>
        <v>#N/A</v>
      </c>
    </row>
    <row r="185" spans="1:12" x14ac:dyDescent="0.2">
      <c r="G185" s="220">
        <f t="shared" si="12"/>
        <v>0</v>
      </c>
      <c r="H185" s="220">
        <f t="shared" si="13"/>
        <v>0</v>
      </c>
      <c r="I185" s="221">
        <f>IF(A185="Total",VLOOKUP(B185,CORRESPONDANCE[#All],2,FALSE),I186)</f>
        <v>0</v>
      </c>
      <c r="J185" s="222" t="str">
        <f t="shared" si="14"/>
        <v/>
      </c>
      <c r="K185" s="44" t="str">
        <f t="shared" si="15"/>
        <v xml:space="preserve">TURVILLA - </v>
      </c>
      <c r="L185" s="44" t="e">
        <f>+VLOOKUP(K185,TL[],4,FALSE)</f>
        <v>#N/A</v>
      </c>
    </row>
    <row r="186" spans="1:12" x14ac:dyDescent="0.2">
      <c r="G186" s="220">
        <f t="shared" si="12"/>
        <v>0</v>
      </c>
      <c r="H186" s="220">
        <f t="shared" si="13"/>
        <v>0</v>
      </c>
      <c r="I186" s="221">
        <f>IF(A186="Total",VLOOKUP(B186,CORRESPONDANCE[#All],2,FALSE),I187)</f>
        <v>0</v>
      </c>
      <c r="J186" s="222" t="str">
        <f t="shared" si="14"/>
        <v/>
      </c>
      <c r="K186" s="44" t="str">
        <f t="shared" si="15"/>
        <v xml:space="preserve">TURVILLA - </v>
      </c>
      <c r="L186" s="44" t="e">
        <f>+VLOOKUP(K186,TL[],4,FALSE)</f>
        <v>#N/A</v>
      </c>
    </row>
    <row r="187" spans="1:12" x14ac:dyDescent="0.2">
      <c r="G187" s="220">
        <f t="shared" si="12"/>
        <v>0</v>
      </c>
      <c r="H187" s="220">
        <f t="shared" si="13"/>
        <v>0</v>
      </c>
      <c r="I187" s="221">
        <f>IF(A187="Total",VLOOKUP(B187,CORRESPONDANCE[#All],2,FALSE),I188)</f>
        <v>0</v>
      </c>
      <c r="J187" s="222" t="str">
        <f t="shared" si="14"/>
        <v/>
      </c>
      <c r="K187" s="44" t="str">
        <f t="shared" si="15"/>
        <v xml:space="preserve">TURVILLA - </v>
      </c>
      <c r="L187" s="44" t="e">
        <f>+VLOOKUP(K187,TL[],4,FALSE)</f>
        <v>#N/A</v>
      </c>
    </row>
    <row r="188" spans="1:12" x14ac:dyDescent="0.2">
      <c r="G188" s="220">
        <f t="shared" si="12"/>
        <v>0</v>
      </c>
      <c r="H188" s="220">
        <f t="shared" si="13"/>
        <v>0</v>
      </c>
      <c r="I188" s="221">
        <f>IF(A188="Total",VLOOKUP(B188,CORRESPONDANCE[#All],2,FALSE),I189)</f>
        <v>0</v>
      </c>
      <c r="J188" s="222" t="str">
        <f t="shared" si="14"/>
        <v/>
      </c>
      <c r="K188" s="44" t="str">
        <f t="shared" si="15"/>
        <v xml:space="preserve">TURVILLA - </v>
      </c>
      <c r="L188" s="44" t="e">
        <f>+VLOOKUP(K188,TL[],4,FALSE)</f>
        <v>#N/A</v>
      </c>
    </row>
    <row r="189" spans="1:12" x14ac:dyDescent="0.2">
      <c r="G189" s="220">
        <f t="shared" si="12"/>
        <v>0</v>
      </c>
      <c r="H189" s="220">
        <f t="shared" si="13"/>
        <v>0</v>
      </c>
      <c r="I189" s="221">
        <f>IF(A189="Total",VLOOKUP(B189,CORRESPONDANCE[#All],2,FALSE),I190)</f>
        <v>0</v>
      </c>
      <c r="J189" s="222" t="str">
        <f t="shared" si="14"/>
        <v/>
      </c>
      <c r="K189" s="44" t="str">
        <f t="shared" si="15"/>
        <v xml:space="preserve">TURVILLA - </v>
      </c>
      <c r="L189" s="44" t="e">
        <f>+VLOOKUP(K189,TL[],4,FALSE)</f>
        <v>#N/A</v>
      </c>
    </row>
    <row r="190" spans="1:12" x14ac:dyDescent="0.2">
      <c r="G190" s="220">
        <f t="shared" si="12"/>
        <v>0</v>
      </c>
      <c r="H190" s="220">
        <f t="shared" si="13"/>
        <v>0</v>
      </c>
      <c r="I190" s="221">
        <f>IF(A190="Total",VLOOKUP(B190,CORRESPONDANCE[#All],2,FALSE),I191)</f>
        <v>0</v>
      </c>
      <c r="J190" s="222" t="str">
        <f t="shared" si="14"/>
        <v/>
      </c>
      <c r="K190" s="44" t="str">
        <f t="shared" si="15"/>
        <v xml:space="preserve">TURVILLA - </v>
      </c>
      <c r="L190" s="44" t="e">
        <f>+VLOOKUP(K190,TL[],4,FALSE)</f>
        <v>#N/A</v>
      </c>
    </row>
    <row r="191" spans="1:12" x14ac:dyDescent="0.2">
      <c r="G191" s="220">
        <f t="shared" ref="G191:G203" si="16">SUM(C191)-SUM(D191)</f>
        <v>0</v>
      </c>
      <c r="H191" s="220">
        <f t="shared" ref="H191:H203" si="17">SUM(E191)-SUM(F191)</f>
        <v>0</v>
      </c>
      <c r="I191" s="221">
        <f>IF(A191="Total",VLOOKUP(B191,CORRESPONDANCE[#All],2,FALSE),I192)</f>
        <v>0</v>
      </c>
      <c r="J191" s="222" t="str">
        <f t="shared" ref="J191:J203" si="18">LEFT(A191,1)</f>
        <v/>
      </c>
      <c r="K191" s="44" t="str">
        <f t="shared" ref="K191:K203" si="19">"TURVILLA"&amp;" - "&amp;A191</f>
        <v xml:space="preserve">TURVILLA - </v>
      </c>
      <c r="L191" s="44" t="e">
        <f>+VLOOKUP(K191,TL[],4,FALSE)</f>
        <v>#N/A</v>
      </c>
    </row>
    <row r="192" spans="1:12" x14ac:dyDescent="0.2">
      <c r="G192" s="220">
        <f t="shared" si="16"/>
        <v>0</v>
      </c>
      <c r="H192" s="220">
        <f t="shared" si="17"/>
        <v>0</v>
      </c>
      <c r="I192" s="221">
        <f>IF(A192="Total",VLOOKUP(B192,CORRESPONDANCE[#All],2,FALSE),I193)</f>
        <v>0</v>
      </c>
      <c r="J192" s="222" t="str">
        <f t="shared" si="18"/>
        <v/>
      </c>
      <c r="K192" s="44" t="str">
        <f t="shared" si="19"/>
        <v xml:space="preserve">TURVILLA - </v>
      </c>
      <c r="L192" s="44" t="e">
        <f>+VLOOKUP(K192,TL[],4,FALSE)</f>
        <v>#N/A</v>
      </c>
    </row>
    <row r="193" spans="7:12" x14ac:dyDescent="0.2">
      <c r="G193" s="220">
        <f>SUM(C193)-SUM(D193)</f>
        <v>0</v>
      </c>
      <c r="H193" s="220">
        <f>SUM(E193)-SUM(F193)</f>
        <v>0</v>
      </c>
      <c r="I193" s="221">
        <f>IF(A193="Total",VLOOKUP(B193,CORRESPONDANCE[#All],2,FALSE),I194)</f>
        <v>0</v>
      </c>
      <c r="J193" s="222" t="str">
        <f>LEFT(A193,1)</f>
        <v/>
      </c>
      <c r="K193" s="44" t="str">
        <f>"TURVILLA"&amp;" - "&amp;A193</f>
        <v xml:space="preserve">TURVILLA - </v>
      </c>
      <c r="L193" s="44" t="e">
        <f>+VLOOKUP(K193,TL[],4,FALSE)</f>
        <v>#N/A</v>
      </c>
    </row>
    <row r="194" spans="7:12" x14ac:dyDescent="0.2">
      <c r="G194" s="220">
        <f t="shared" si="16"/>
        <v>0</v>
      </c>
      <c r="H194" s="220">
        <f t="shared" si="17"/>
        <v>0</v>
      </c>
      <c r="I194" s="221">
        <f>IF(A194="Total",VLOOKUP(B194,CORRESPONDANCE[#All],2,FALSE),I195)</f>
        <v>0</v>
      </c>
      <c r="J194" s="222" t="str">
        <f t="shared" si="18"/>
        <v/>
      </c>
      <c r="K194" s="44" t="str">
        <f t="shared" si="19"/>
        <v xml:space="preserve">TURVILLA - </v>
      </c>
      <c r="L194" s="44" t="e">
        <f>+VLOOKUP(K194,TL[],4,FALSE)</f>
        <v>#N/A</v>
      </c>
    </row>
    <row r="195" spans="7:12" x14ac:dyDescent="0.2">
      <c r="G195" s="220">
        <f t="shared" si="16"/>
        <v>0</v>
      </c>
      <c r="H195" s="220">
        <f t="shared" si="17"/>
        <v>0</v>
      </c>
      <c r="I195" s="221">
        <f>IF(A195="Total",VLOOKUP(B195,CORRESPONDANCE[#All],2,FALSE),I196)</f>
        <v>0</v>
      </c>
      <c r="J195" s="222" t="str">
        <f t="shared" si="18"/>
        <v/>
      </c>
      <c r="K195" s="44" t="str">
        <f t="shared" si="19"/>
        <v xml:space="preserve">TURVILLA - </v>
      </c>
      <c r="L195" s="44" t="e">
        <f>+VLOOKUP(K195,TL[],4,FALSE)</f>
        <v>#N/A</v>
      </c>
    </row>
    <row r="196" spans="7:12" x14ac:dyDescent="0.2">
      <c r="G196" s="220">
        <f t="shared" si="16"/>
        <v>0</v>
      </c>
      <c r="H196" s="220">
        <f t="shared" si="17"/>
        <v>0</v>
      </c>
      <c r="I196" s="221">
        <f>IF(A196="Total",VLOOKUP(B196,CORRESPONDANCE[#All],2,FALSE),I197)</f>
        <v>0</v>
      </c>
      <c r="J196" s="222" t="str">
        <f t="shared" si="18"/>
        <v/>
      </c>
      <c r="K196" s="44" t="str">
        <f t="shared" si="19"/>
        <v xml:space="preserve">TURVILLA - </v>
      </c>
      <c r="L196" s="44" t="e">
        <f>+VLOOKUP(K196,TL[],4,FALSE)</f>
        <v>#N/A</v>
      </c>
    </row>
    <row r="197" spans="7:12" x14ac:dyDescent="0.2">
      <c r="G197" s="220">
        <f t="shared" si="16"/>
        <v>0</v>
      </c>
      <c r="H197" s="220">
        <f t="shared" si="17"/>
        <v>0</v>
      </c>
      <c r="I197" s="221">
        <f>IF(A197="Total",VLOOKUP(B197,CORRESPONDANCE[#All],2,FALSE),I198)</f>
        <v>0</v>
      </c>
      <c r="J197" s="222" t="str">
        <f t="shared" si="18"/>
        <v/>
      </c>
      <c r="K197" s="44" t="str">
        <f t="shared" si="19"/>
        <v xml:space="preserve">TURVILLA - </v>
      </c>
      <c r="L197" s="44" t="e">
        <f>+VLOOKUP(K197,TL[],4,FALSE)</f>
        <v>#N/A</v>
      </c>
    </row>
    <row r="198" spans="7:12" x14ac:dyDescent="0.2">
      <c r="G198" s="220">
        <f t="shared" si="16"/>
        <v>0</v>
      </c>
      <c r="H198" s="220">
        <f t="shared" si="17"/>
        <v>0</v>
      </c>
      <c r="I198" s="221">
        <f>IF(A198="Total",VLOOKUP(B198,CORRESPONDANCE[#All],2,FALSE),I199)</f>
        <v>0</v>
      </c>
      <c r="J198" s="222" t="str">
        <f t="shared" si="18"/>
        <v/>
      </c>
      <c r="K198" s="44" t="str">
        <f t="shared" si="19"/>
        <v xml:space="preserve">TURVILLA - </v>
      </c>
      <c r="L198" s="44" t="e">
        <f>+VLOOKUP(K198,TL[],4,FALSE)</f>
        <v>#N/A</v>
      </c>
    </row>
    <row r="199" spans="7:12" x14ac:dyDescent="0.2">
      <c r="G199" s="220">
        <f t="shared" si="16"/>
        <v>0</v>
      </c>
      <c r="H199" s="220">
        <f t="shared" si="17"/>
        <v>0</v>
      </c>
      <c r="I199" s="221">
        <f>IF(A199="Total",VLOOKUP(B199,CORRESPONDANCE[#All],2,FALSE),I200)</f>
        <v>0</v>
      </c>
      <c r="J199" s="222" t="str">
        <f t="shared" si="18"/>
        <v/>
      </c>
      <c r="K199" s="44" t="str">
        <f t="shared" si="19"/>
        <v xml:space="preserve">TURVILLA - </v>
      </c>
      <c r="L199" s="44" t="e">
        <f>+VLOOKUP(K199,TL[],4,FALSE)</f>
        <v>#N/A</v>
      </c>
    </row>
    <row r="200" spans="7:12" x14ac:dyDescent="0.2">
      <c r="G200" s="220">
        <f t="shared" si="16"/>
        <v>0</v>
      </c>
      <c r="H200" s="220">
        <f t="shared" si="17"/>
        <v>0</v>
      </c>
      <c r="I200" s="221">
        <f>IF(A200="Total",VLOOKUP(B200,CORRESPONDANCE[#All],2,FALSE),I201)</f>
        <v>0</v>
      </c>
      <c r="J200" s="222" t="str">
        <f t="shared" si="18"/>
        <v/>
      </c>
      <c r="K200" s="44" t="str">
        <f t="shared" si="19"/>
        <v xml:space="preserve">TURVILLA - </v>
      </c>
      <c r="L200" s="44" t="e">
        <f>+VLOOKUP(K200,TL[],4,FALSE)</f>
        <v>#N/A</v>
      </c>
    </row>
    <row r="201" spans="7:12" x14ac:dyDescent="0.2">
      <c r="G201" s="220">
        <f t="shared" si="16"/>
        <v>0</v>
      </c>
      <c r="H201" s="220">
        <f t="shared" si="17"/>
        <v>0</v>
      </c>
      <c r="I201" s="221">
        <f>IF(A201="Total",VLOOKUP(B201,CORRESPONDANCE[#All],2,FALSE),I202)</f>
        <v>0</v>
      </c>
      <c r="J201" s="222" t="str">
        <f t="shared" si="18"/>
        <v/>
      </c>
      <c r="K201" s="44" t="str">
        <f t="shared" si="19"/>
        <v xml:space="preserve">TURVILLA - </v>
      </c>
      <c r="L201" s="44" t="e">
        <f>+VLOOKUP(K201,TL[],4,FALSE)</f>
        <v>#N/A</v>
      </c>
    </row>
    <row r="202" spans="7:12" x14ac:dyDescent="0.2">
      <c r="G202" s="220">
        <f t="shared" si="16"/>
        <v>0</v>
      </c>
      <c r="H202" s="220">
        <f t="shared" si="17"/>
        <v>0</v>
      </c>
      <c r="I202" s="221">
        <f>IF(A202="Total",VLOOKUP(B202,CORRESPONDANCE[#All],2,FALSE),I203)</f>
        <v>0</v>
      </c>
      <c r="J202" s="222" t="str">
        <f t="shared" si="18"/>
        <v/>
      </c>
      <c r="K202" s="44" t="str">
        <f t="shared" si="19"/>
        <v xml:space="preserve">TURVILLA - </v>
      </c>
      <c r="L202" s="44" t="e">
        <f>+VLOOKUP(K202,TL[],4,FALSE)</f>
        <v>#N/A</v>
      </c>
    </row>
    <row r="203" spans="7:12" x14ac:dyDescent="0.2">
      <c r="G203" s="220">
        <f t="shared" si="16"/>
        <v>0</v>
      </c>
      <c r="H203" s="220">
        <f t="shared" si="17"/>
        <v>0</v>
      </c>
      <c r="I203" s="221">
        <f>IF(A203="Total",VLOOKUP(B203,CORRESPONDANCE[#All],2,FALSE),I204)</f>
        <v>0</v>
      </c>
      <c r="J203" s="222" t="str">
        <f t="shared" si="18"/>
        <v/>
      </c>
      <c r="K203" s="44" t="str">
        <f t="shared" si="19"/>
        <v xml:space="preserve">TURVILLA - </v>
      </c>
      <c r="L203" s="44" t="e">
        <f>+VLOOKUP(K203,TL[],4,FALSE)</f>
        <v>#N/A</v>
      </c>
    </row>
    <row r="204" spans="7:12" x14ac:dyDescent="0.2">
      <c r="G204" s="220">
        <f t="shared" ref="G204:G205" si="20">SUM(C204)-SUM(D204)</f>
        <v>0</v>
      </c>
      <c r="H204" s="220">
        <f t="shared" ref="H204:H205" si="21">SUM(E204)-SUM(F204)</f>
        <v>0</v>
      </c>
      <c r="I204" s="221">
        <f>IF(A204="Total",VLOOKUP(B204,CORRESPONDANCE[#All],2,FALSE),I205)</f>
        <v>0</v>
      </c>
      <c r="J204" s="222" t="str">
        <f t="shared" ref="J204:J205" si="22">LEFT(A204,1)</f>
        <v/>
      </c>
      <c r="K204" s="44" t="str">
        <f t="shared" ref="K204:K205" si="23">"TURVILLA"&amp;" - "&amp;A204</f>
        <v xml:space="preserve">TURVILLA - </v>
      </c>
      <c r="L204" s="44" t="e">
        <f>+VLOOKUP(K204,TL[],4,FALSE)</f>
        <v>#N/A</v>
      </c>
    </row>
    <row r="205" spans="7:12" x14ac:dyDescent="0.2">
      <c r="G205" s="220">
        <f t="shared" si="20"/>
        <v>0</v>
      </c>
      <c r="H205" s="220">
        <f t="shared" si="21"/>
        <v>0</v>
      </c>
      <c r="I205" s="221">
        <f>IF(A205="Total",VLOOKUP(B205,CORRESPONDANCE[#All],2,FALSE),I206)</f>
        <v>0</v>
      </c>
      <c r="J205" s="222" t="str">
        <f t="shared" si="22"/>
        <v/>
      </c>
      <c r="K205" s="44" t="str">
        <f t="shared" si="23"/>
        <v xml:space="preserve">TURVILLA - </v>
      </c>
      <c r="L205" s="44" t="e">
        <f>+VLOOKUP(K205,TL[],4,FALSE)</f>
        <v>#N/A</v>
      </c>
    </row>
    <row r="206" spans="7:12" x14ac:dyDescent="0.2">
      <c r="G206" s="220">
        <f t="shared" ref="G206" si="24">SUM(C206)-SUM(D206)</f>
        <v>0</v>
      </c>
      <c r="H206" s="220">
        <f t="shared" ref="H206" si="25">SUM(E206)-SUM(F206)</f>
        <v>0</v>
      </c>
      <c r="I206" s="221">
        <f>IF(A206="Total",VLOOKUP(B206,CORRESPONDANCE[#All],2,FALSE),I207)</f>
        <v>0</v>
      </c>
      <c r="J206" s="222" t="str">
        <f t="shared" ref="J206" si="26">LEFT(A206,1)</f>
        <v/>
      </c>
      <c r="K206" s="44" t="str">
        <f t="shared" ref="K206" si="27">"TURVILLA"&amp;" - "&amp;A206</f>
        <v xml:space="preserve">TURVILLA - </v>
      </c>
      <c r="L206" s="44" t="e">
        <f>+VLOOKUP(K206,TL[],4,FALSE)</f>
        <v>#N/A</v>
      </c>
    </row>
    <row r="207" spans="7:12" x14ac:dyDescent="0.2">
      <c r="G207" s="220">
        <f t="shared" ref="G207:G270" si="28">SUM(C207)-SUM(D207)</f>
        <v>0</v>
      </c>
      <c r="H207" s="220">
        <f t="shared" ref="H207:H270" si="29">SUM(E207)-SUM(F207)</f>
        <v>0</v>
      </c>
      <c r="I207" s="221">
        <f>IF(A207="Total",VLOOKUP(B207,CORRESPONDANCE[#All],2,FALSE),I208)</f>
        <v>0</v>
      </c>
      <c r="J207" s="222" t="str">
        <f t="shared" ref="J207:J270" si="30">LEFT(A207,1)</f>
        <v/>
      </c>
      <c r="K207" s="44" t="str">
        <f t="shared" ref="K207:K270" si="31">"TURVILLA"&amp;" - "&amp;A207</f>
        <v xml:space="preserve">TURVILLA - </v>
      </c>
      <c r="L207" s="44" t="e">
        <f>+VLOOKUP(K207,TL[],4,FALSE)</f>
        <v>#N/A</v>
      </c>
    </row>
    <row r="208" spans="7:12" x14ac:dyDescent="0.2">
      <c r="G208" s="220">
        <f t="shared" si="28"/>
        <v>0</v>
      </c>
      <c r="H208" s="220">
        <f t="shared" si="29"/>
        <v>0</v>
      </c>
      <c r="I208" s="221">
        <f>IF(A208="Total",VLOOKUP(B208,CORRESPONDANCE[#All],2,FALSE),I209)</f>
        <v>0</v>
      </c>
      <c r="J208" s="222" t="str">
        <f t="shared" si="30"/>
        <v/>
      </c>
      <c r="K208" s="44" t="str">
        <f t="shared" si="31"/>
        <v xml:space="preserve">TURVILLA - </v>
      </c>
      <c r="L208" s="44" t="e">
        <f>+VLOOKUP(K208,TL[],4,FALSE)</f>
        <v>#N/A</v>
      </c>
    </row>
    <row r="209" spans="7:12" x14ac:dyDescent="0.2">
      <c r="G209" s="220">
        <f t="shared" si="28"/>
        <v>0</v>
      </c>
      <c r="H209" s="220">
        <f t="shared" si="29"/>
        <v>0</v>
      </c>
      <c r="I209" s="221">
        <f>IF(A209="Total",VLOOKUP(B209,CORRESPONDANCE[#All],2,FALSE),I210)</f>
        <v>0</v>
      </c>
      <c r="J209" s="222" t="str">
        <f t="shared" si="30"/>
        <v/>
      </c>
      <c r="K209" s="44" t="str">
        <f t="shared" si="31"/>
        <v xml:space="preserve">TURVILLA - </v>
      </c>
      <c r="L209" s="44" t="e">
        <f>+VLOOKUP(K209,TL[],4,FALSE)</f>
        <v>#N/A</v>
      </c>
    </row>
    <row r="210" spans="7:12" x14ac:dyDescent="0.2">
      <c r="G210" s="220">
        <f t="shared" si="28"/>
        <v>0</v>
      </c>
      <c r="H210" s="220">
        <f t="shared" si="29"/>
        <v>0</v>
      </c>
      <c r="I210" s="221">
        <f>IF(A210="Total",VLOOKUP(B210,CORRESPONDANCE[#All],2,FALSE),I211)</f>
        <v>0</v>
      </c>
      <c r="J210" s="222" t="str">
        <f t="shared" si="30"/>
        <v/>
      </c>
      <c r="K210" s="44" t="str">
        <f t="shared" si="31"/>
        <v xml:space="preserve">TURVILLA - </v>
      </c>
      <c r="L210" s="44" t="e">
        <f>+VLOOKUP(K210,TL[],4,FALSE)</f>
        <v>#N/A</v>
      </c>
    </row>
    <row r="211" spans="7:12" x14ac:dyDescent="0.2">
      <c r="G211" s="220">
        <f t="shared" si="28"/>
        <v>0</v>
      </c>
      <c r="H211" s="220">
        <f t="shared" si="29"/>
        <v>0</v>
      </c>
      <c r="I211" s="221">
        <f>IF(A211="Total",VLOOKUP(B211,CORRESPONDANCE[#All],2,FALSE),I212)</f>
        <v>0</v>
      </c>
      <c r="J211" s="222" t="str">
        <f t="shared" si="30"/>
        <v/>
      </c>
      <c r="K211" s="44" t="str">
        <f t="shared" si="31"/>
        <v xml:space="preserve">TURVILLA - </v>
      </c>
      <c r="L211" s="44" t="e">
        <f>+VLOOKUP(K211,TL[],4,FALSE)</f>
        <v>#N/A</v>
      </c>
    </row>
    <row r="212" spans="7:12" x14ac:dyDescent="0.2">
      <c r="G212" s="220">
        <f t="shared" si="28"/>
        <v>0</v>
      </c>
      <c r="H212" s="220">
        <f t="shared" si="29"/>
        <v>0</v>
      </c>
      <c r="I212" s="221">
        <f>IF(A212="Total",VLOOKUP(B212,CORRESPONDANCE[#All],2,FALSE),I213)</f>
        <v>0</v>
      </c>
      <c r="J212" s="222" t="str">
        <f t="shared" si="30"/>
        <v/>
      </c>
      <c r="K212" s="44" t="str">
        <f t="shared" si="31"/>
        <v xml:space="preserve">TURVILLA - </v>
      </c>
      <c r="L212" s="44" t="e">
        <f>+VLOOKUP(K212,TL[],4,FALSE)</f>
        <v>#N/A</v>
      </c>
    </row>
    <row r="213" spans="7:12" x14ac:dyDescent="0.2">
      <c r="G213" s="220">
        <f t="shared" si="28"/>
        <v>0</v>
      </c>
      <c r="H213" s="220">
        <f t="shared" si="29"/>
        <v>0</v>
      </c>
      <c r="I213" s="221">
        <f>IF(A213="Total",VLOOKUP(B213,CORRESPONDANCE[#All],2,FALSE),I214)</f>
        <v>0</v>
      </c>
      <c r="J213" s="222" t="str">
        <f t="shared" si="30"/>
        <v/>
      </c>
      <c r="K213" s="44" t="str">
        <f t="shared" si="31"/>
        <v xml:space="preserve">TURVILLA - </v>
      </c>
      <c r="L213" s="44" t="e">
        <f>+VLOOKUP(K213,TL[],4,FALSE)</f>
        <v>#N/A</v>
      </c>
    </row>
    <row r="214" spans="7:12" x14ac:dyDescent="0.2">
      <c r="G214" s="220">
        <f t="shared" si="28"/>
        <v>0</v>
      </c>
      <c r="H214" s="220">
        <f t="shared" si="29"/>
        <v>0</v>
      </c>
      <c r="I214" s="221">
        <f>IF(A214="Total",VLOOKUP(B214,CORRESPONDANCE[#All],2,FALSE),I215)</f>
        <v>0</v>
      </c>
      <c r="J214" s="222" t="str">
        <f t="shared" si="30"/>
        <v/>
      </c>
      <c r="K214" s="44" t="str">
        <f t="shared" si="31"/>
        <v xml:space="preserve">TURVILLA - </v>
      </c>
      <c r="L214" s="44" t="e">
        <f>+VLOOKUP(K214,TL[],4,FALSE)</f>
        <v>#N/A</v>
      </c>
    </row>
    <row r="215" spans="7:12" x14ac:dyDescent="0.2">
      <c r="G215" s="220">
        <f t="shared" si="28"/>
        <v>0</v>
      </c>
      <c r="H215" s="220">
        <f t="shared" si="29"/>
        <v>0</v>
      </c>
      <c r="I215" s="221">
        <f>IF(A215="Total",VLOOKUP(B215,CORRESPONDANCE[#All],2,FALSE),I216)</f>
        <v>0</v>
      </c>
      <c r="J215" s="222" t="str">
        <f t="shared" si="30"/>
        <v/>
      </c>
      <c r="K215" s="44" t="str">
        <f t="shared" si="31"/>
        <v xml:space="preserve">TURVILLA - </v>
      </c>
      <c r="L215" s="44" t="e">
        <f>+VLOOKUP(K215,TL[],4,FALSE)</f>
        <v>#N/A</v>
      </c>
    </row>
    <row r="216" spans="7:12" x14ac:dyDescent="0.2">
      <c r="G216" s="220">
        <f t="shared" si="28"/>
        <v>0</v>
      </c>
      <c r="H216" s="220">
        <f t="shared" si="29"/>
        <v>0</v>
      </c>
      <c r="I216" s="221">
        <f>IF(A216="Total",VLOOKUP(B216,CORRESPONDANCE[#All],2,FALSE),I217)</f>
        <v>0</v>
      </c>
      <c r="J216" s="222" t="str">
        <f t="shared" si="30"/>
        <v/>
      </c>
      <c r="K216" s="44" t="str">
        <f t="shared" si="31"/>
        <v xml:space="preserve">TURVILLA - </v>
      </c>
      <c r="L216" s="44" t="e">
        <f>+VLOOKUP(K216,TL[],4,FALSE)</f>
        <v>#N/A</v>
      </c>
    </row>
    <row r="217" spans="7:12" x14ac:dyDescent="0.2">
      <c r="G217" s="220">
        <f t="shared" si="28"/>
        <v>0</v>
      </c>
      <c r="H217" s="220">
        <f t="shared" si="29"/>
        <v>0</v>
      </c>
      <c r="I217" s="221">
        <f>IF(A217="Total",VLOOKUP(B217,CORRESPONDANCE[#All],2,FALSE),I218)</f>
        <v>0</v>
      </c>
      <c r="J217" s="222" t="str">
        <f t="shared" si="30"/>
        <v/>
      </c>
      <c r="K217" s="44" t="str">
        <f t="shared" si="31"/>
        <v xml:space="preserve">TURVILLA - </v>
      </c>
      <c r="L217" s="44" t="e">
        <f>+VLOOKUP(K217,TL[],4,FALSE)</f>
        <v>#N/A</v>
      </c>
    </row>
    <row r="218" spans="7:12" x14ac:dyDescent="0.2">
      <c r="G218" s="220">
        <f t="shared" si="28"/>
        <v>0</v>
      </c>
      <c r="H218" s="220">
        <f t="shared" si="29"/>
        <v>0</v>
      </c>
      <c r="I218" s="221">
        <f>IF(A218="Total",VLOOKUP(B218,CORRESPONDANCE[#All],2,FALSE),I219)</f>
        <v>0</v>
      </c>
      <c r="J218" s="222" t="str">
        <f t="shared" si="30"/>
        <v/>
      </c>
      <c r="K218" s="44" t="str">
        <f t="shared" si="31"/>
        <v xml:space="preserve">TURVILLA - </v>
      </c>
      <c r="L218" s="44" t="e">
        <f>+VLOOKUP(K218,TL[],4,FALSE)</f>
        <v>#N/A</v>
      </c>
    </row>
    <row r="219" spans="7:12" x14ac:dyDescent="0.2">
      <c r="G219" s="220">
        <f t="shared" si="28"/>
        <v>0</v>
      </c>
      <c r="H219" s="220">
        <f t="shared" si="29"/>
        <v>0</v>
      </c>
      <c r="I219" s="221">
        <f>IF(A219="Total",VLOOKUP(B219,CORRESPONDANCE[#All],2,FALSE),I220)</f>
        <v>0</v>
      </c>
      <c r="J219" s="222" t="str">
        <f t="shared" si="30"/>
        <v/>
      </c>
      <c r="K219" s="44" t="str">
        <f t="shared" si="31"/>
        <v xml:space="preserve">TURVILLA - </v>
      </c>
      <c r="L219" s="44" t="e">
        <f>+VLOOKUP(K219,TL[],4,FALSE)</f>
        <v>#N/A</v>
      </c>
    </row>
    <row r="220" spans="7:12" x14ac:dyDescent="0.2">
      <c r="G220" s="220">
        <f t="shared" si="28"/>
        <v>0</v>
      </c>
      <c r="H220" s="220">
        <f t="shared" si="29"/>
        <v>0</v>
      </c>
      <c r="I220" s="221">
        <f>IF(A220="Total",VLOOKUP(B220,CORRESPONDANCE[#All],2,FALSE),I221)</f>
        <v>0</v>
      </c>
      <c r="J220" s="222" t="str">
        <f t="shared" si="30"/>
        <v/>
      </c>
      <c r="K220" s="44" t="str">
        <f t="shared" si="31"/>
        <v xml:space="preserve">TURVILLA - </v>
      </c>
      <c r="L220" s="44" t="e">
        <f>+VLOOKUP(K220,TL[],4,FALSE)</f>
        <v>#N/A</v>
      </c>
    </row>
    <row r="221" spans="7:12" x14ac:dyDescent="0.2">
      <c r="G221" s="220">
        <f t="shared" si="28"/>
        <v>0</v>
      </c>
      <c r="H221" s="220">
        <f t="shared" si="29"/>
        <v>0</v>
      </c>
      <c r="I221" s="221">
        <f>IF(A221="Total",VLOOKUP(B221,CORRESPONDANCE[#All],2,FALSE),I222)</f>
        <v>0</v>
      </c>
      <c r="J221" s="222" t="str">
        <f t="shared" si="30"/>
        <v/>
      </c>
      <c r="K221" s="44" t="str">
        <f t="shared" si="31"/>
        <v xml:space="preserve">TURVILLA - </v>
      </c>
      <c r="L221" s="44" t="e">
        <f>+VLOOKUP(K221,TL[],4,FALSE)</f>
        <v>#N/A</v>
      </c>
    </row>
    <row r="222" spans="7:12" x14ac:dyDescent="0.2">
      <c r="G222" s="220">
        <f t="shared" si="28"/>
        <v>0</v>
      </c>
      <c r="H222" s="220">
        <f t="shared" si="29"/>
        <v>0</v>
      </c>
      <c r="I222" s="221">
        <f>IF(A222="Total",VLOOKUP(B222,CORRESPONDANCE[#All],2,FALSE),I223)</f>
        <v>0</v>
      </c>
      <c r="J222" s="222" t="str">
        <f t="shared" si="30"/>
        <v/>
      </c>
      <c r="K222" s="44" t="str">
        <f t="shared" si="31"/>
        <v xml:space="preserve">TURVILLA - </v>
      </c>
      <c r="L222" s="44" t="e">
        <f>+VLOOKUP(K222,TL[],4,FALSE)</f>
        <v>#N/A</v>
      </c>
    </row>
    <row r="223" spans="7:12" x14ac:dyDescent="0.2">
      <c r="G223" s="220">
        <f t="shared" si="28"/>
        <v>0</v>
      </c>
      <c r="H223" s="220">
        <f t="shared" si="29"/>
        <v>0</v>
      </c>
      <c r="I223" s="221">
        <f>IF(A223="Total",VLOOKUP(B223,CORRESPONDANCE[#All],2,FALSE),I224)</f>
        <v>0</v>
      </c>
      <c r="J223" s="222" t="str">
        <f t="shared" si="30"/>
        <v/>
      </c>
      <c r="K223" s="44" t="str">
        <f t="shared" si="31"/>
        <v xml:space="preserve">TURVILLA - </v>
      </c>
      <c r="L223" s="44" t="e">
        <f>+VLOOKUP(K223,TL[],4,FALSE)</f>
        <v>#N/A</v>
      </c>
    </row>
    <row r="224" spans="7:12" x14ac:dyDescent="0.2">
      <c r="G224" s="220">
        <f t="shared" si="28"/>
        <v>0</v>
      </c>
      <c r="H224" s="220">
        <f t="shared" si="29"/>
        <v>0</v>
      </c>
      <c r="I224" s="221">
        <f>IF(A224="Total",VLOOKUP(B224,CORRESPONDANCE[#All],2,FALSE),I225)</f>
        <v>0</v>
      </c>
      <c r="J224" s="222" t="str">
        <f t="shared" si="30"/>
        <v/>
      </c>
      <c r="K224" s="44" t="str">
        <f t="shared" si="31"/>
        <v xml:space="preserve">TURVILLA - </v>
      </c>
      <c r="L224" s="44" t="e">
        <f>+VLOOKUP(K224,TL[],4,FALSE)</f>
        <v>#N/A</v>
      </c>
    </row>
    <row r="225" spans="7:12" x14ac:dyDescent="0.2">
      <c r="G225" s="220">
        <f t="shared" si="28"/>
        <v>0</v>
      </c>
      <c r="H225" s="220">
        <f t="shared" si="29"/>
        <v>0</v>
      </c>
      <c r="I225" s="221">
        <f>IF(A225="Total",VLOOKUP(B225,CORRESPONDANCE[#All],2,FALSE),I226)</f>
        <v>0</v>
      </c>
      <c r="J225" s="222" t="str">
        <f t="shared" si="30"/>
        <v/>
      </c>
      <c r="K225" s="44" t="str">
        <f t="shared" si="31"/>
        <v xml:space="preserve">TURVILLA - </v>
      </c>
      <c r="L225" s="44" t="e">
        <f>+VLOOKUP(K225,TL[],4,FALSE)</f>
        <v>#N/A</v>
      </c>
    </row>
    <row r="226" spans="7:12" x14ac:dyDescent="0.2">
      <c r="G226" s="220">
        <f t="shared" si="28"/>
        <v>0</v>
      </c>
      <c r="H226" s="220">
        <f t="shared" si="29"/>
        <v>0</v>
      </c>
      <c r="I226" s="221">
        <f>IF(A226="Total",VLOOKUP(B226,CORRESPONDANCE[#All],2,FALSE),I227)</f>
        <v>0</v>
      </c>
      <c r="J226" s="222" t="str">
        <f t="shared" si="30"/>
        <v/>
      </c>
      <c r="K226" s="44" t="str">
        <f t="shared" si="31"/>
        <v xml:space="preserve">TURVILLA - </v>
      </c>
      <c r="L226" s="44" t="e">
        <f>+VLOOKUP(K226,TL[],4,FALSE)</f>
        <v>#N/A</v>
      </c>
    </row>
    <row r="227" spans="7:12" x14ac:dyDescent="0.2">
      <c r="G227" s="220">
        <f t="shared" si="28"/>
        <v>0</v>
      </c>
      <c r="H227" s="220">
        <f t="shared" si="29"/>
        <v>0</v>
      </c>
      <c r="I227" s="221">
        <f>IF(A227="Total",VLOOKUP(B227,CORRESPONDANCE[#All],2,FALSE),I228)</f>
        <v>0</v>
      </c>
      <c r="J227" s="222" t="str">
        <f t="shared" si="30"/>
        <v/>
      </c>
      <c r="K227" s="44" t="str">
        <f t="shared" si="31"/>
        <v xml:space="preserve">TURVILLA - </v>
      </c>
      <c r="L227" s="44" t="e">
        <f>+VLOOKUP(K227,TL[],4,FALSE)</f>
        <v>#N/A</v>
      </c>
    </row>
    <row r="228" spans="7:12" x14ac:dyDescent="0.2">
      <c r="G228" s="220">
        <f t="shared" si="28"/>
        <v>0</v>
      </c>
      <c r="H228" s="220">
        <f t="shared" si="29"/>
        <v>0</v>
      </c>
      <c r="I228" s="221">
        <f>IF(A228="Total",VLOOKUP(B228,CORRESPONDANCE[#All],2,FALSE),I229)</f>
        <v>0</v>
      </c>
      <c r="J228" s="222" t="str">
        <f t="shared" si="30"/>
        <v/>
      </c>
      <c r="K228" s="44" t="str">
        <f t="shared" si="31"/>
        <v xml:space="preserve">TURVILLA - </v>
      </c>
      <c r="L228" s="44" t="e">
        <f>+VLOOKUP(K228,TL[],4,FALSE)</f>
        <v>#N/A</v>
      </c>
    </row>
    <row r="229" spans="7:12" x14ac:dyDescent="0.2">
      <c r="G229" s="220">
        <f t="shared" si="28"/>
        <v>0</v>
      </c>
      <c r="H229" s="220">
        <f t="shared" si="29"/>
        <v>0</v>
      </c>
      <c r="I229" s="221">
        <f>IF(A229="Total",VLOOKUP(B229,CORRESPONDANCE[#All],2,FALSE),I230)</f>
        <v>0</v>
      </c>
      <c r="J229" s="222" t="str">
        <f t="shared" si="30"/>
        <v/>
      </c>
      <c r="K229" s="44" t="str">
        <f t="shared" si="31"/>
        <v xml:space="preserve">TURVILLA - </v>
      </c>
      <c r="L229" s="44" t="e">
        <f>+VLOOKUP(K229,TL[],4,FALSE)</f>
        <v>#N/A</v>
      </c>
    </row>
    <row r="230" spans="7:12" x14ac:dyDescent="0.2">
      <c r="G230" s="220">
        <f t="shared" si="28"/>
        <v>0</v>
      </c>
      <c r="H230" s="220">
        <f t="shared" si="29"/>
        <v>0</v>
      </c>
      <c r="I230" s="221">
        <f>IF(A230="Total",VLOOKUP(B230,CORRESPONDANCE[#All],2,FALSE),I231)</f>
        <v>0</v>
      </c>
      <c r="J230" s="222" t="str">
        <f t="shared" si="30"/>
        <v/>
      </c>
      <c r="K230" s="44" t="str">
        <f t="shared" si="31"/>
        <v xml:space="preserve">TURVILLA - </v>
      </c>
      <c r="L230" s="44" t="e">
        <f>+VLOOKUP(K230,TL[],4,FALSE)</f>
        <v>#N/A</v>
      </c>
    </row>
    <row r="231" spans="7:12" x14ac:dyDescent="0.2">
      <c r="G231" s="220">
        <f t="shared" si="28"/>
        <v>0</v>
      </c>
      <c r="H231" s="220">
        <f t="shared" si="29"/>
        <v>0</v>
      </c>
      <c r="I231" s="221">
        <f>IF(A231="Total",VLOOKUP(B231,CORRESPONDANCE[#All],2,FALSE),I232)</f>
        <v>0</v>
      </c>
      <c r="J231" s="222" t="str">
        <f t="shared" si="30"/>
        <v/>
      </c>
      <c r="K231" s="44" t="str">
        <f t="shared" si="31"/>
        <v xml:space="preserve">TURVILLA - </v>
      </c>
      <c r="L231" s="44" t="e">
        <f>+VLOOKUP(K231,TL[],4,FALSE)</f>
        <v>#N/A</v>
      </c>
    </row>
    <row r="232" spans="7:12" x14ac:dyDescent="0.2">
      <c r="G232" s="220">
        <f t="shared" si="28"/>
        <v>0</v>
      </c>
      <c r="H232" s="220">
        <f t="shared" si="29"/>
        <v>0</v>
      </c>
      <c r="I232" s="221">
        <f>IF(A232="Total",VLOOKUP(B232,CORRESPONDANCE[#All],2,FALSE),I233)</f>
        <v>0</v>
      </c>
      <c r="J232" s="222" t="str">
        <f t="shared" si="30"/>
        <v/>
      </c>
      <c r="K232" s="44" t="str">
        <f t="shared" si="31"/>
        <v xml:space="preserve">TURVILLA - </v>
      </c>
      <c r="L232" s="44" t="e">
        <f>+VLOOKUP(K232,TL[],4,FALSE)</f>
        <v>#N/A</v>
      </c>
    </row>
    <row r="233" spans="7:12" x14ac:dyDescent="0.2">
      <c r="G233" s="220">
        <f t="shared" si="28"/>
        <v>0</v>
      </c>
      <c r="H233" s="220">
        <f t="shared" si="29"/>
        <v>0</v>
      </c>
      <c r="I233" s="221">
        <f>IF(A233="Total",VLOOKUP(B233,CORRESPONDANCE[#All],2,FALSE),I234)</f>
        <v>0</v>
      </c>
      <c r="J233" s="222" t="str">
        <f t="shared" si="30"/>
        <v/>
      </c>
      <c r="K233" s="44" t="str">
        <f t="shared" si="31"/>
        <v xml:space="preserve">TURVILLA - </v>
      </c>
      <c r="L233" s="44" t="e">
        <f>+VLOOKUP(K233,TL[],4,FALSE)</f>
        <v>#N/A</v>
      </c>
    </row>
    <row r="234" spans="7:12" x14ac:dyDescent="0.2">
      <c r="G234" s="220">
        <f t="shared" si="28"/>
        <v>0</v>
      </c>
      <c r="H234" s="220">
        <f t="shared" si="29"/>
        <v>0</v>
      </c>
      <c r="I234" s="221">
        <f>IF(A234="Total",VLOOKUP(B234,CORRESPONDANCE[#All],2,FALSE),I235)</f>
        <v>0</v>
      </c>
      <c r="J234" s="222" t="str">
        <f t="shared" si="30"/>
        <v/>
      </c>
      <c r="K234" s="44" t="str">
        <f t="shared" si="31"/>
        <v xml:space="preserve">TURVILLA - </v>
      </c>
      <c r="L234" s="44" t="e">
        <f>+VLOOKUP(K234,TL[],4,FALSE)</f>
        <v>#N/A</v>
      </c>
    </row>
    <row r="235" spans="7:12" x14ac:dyDescent="0.2">
      <c r="G235" s="220">
        <f t="shared" si="28"/>
        <v>0</v>
      </c>
      <c r="H235" s="220">
        <f t="shared" si="29"/>
        <v>0</v>
      </c>
      <c r="I235" s="221">
        <f>IF(A235="Total",VLOOKUP(B235,CORRESPONDANCE[#All],2,FALSE),I236)</f>
        <v>0</v>
      </c>
      <c r="J235" s="222" t="str">
        <f t="shared" si="30"/>
        <v/>
      </c>
      <c r="K235" s="44" t="str">
        <f t="shared" si="31"/>
        <v xml:space="preserve">TURVILLA - </v>
      </c>
      <c r="L235" s="44" t="e">
        <f>+VLOOKUP(K235,TL[],4,FALSE)</f>
        <v>#N/A</v>
      </c>
    </row>
    <row r="236" spans="7:12" x14ac:dyDescent="0.2">
      <c r="G236" s="220">
        <f t="shared" si="28"/>
        <v>0</v>
      </c>
      <c r="H236" s="220">
        <f t="shared" si="29"/>
        <v>0</v>
      </c>
      <c r="I236" s="221">
        <f>IF(A236="Total",VLOOKUP(B236,CORRESPONDANCE[#All],2,FALSE),I237)</f>
        <v>0</v>
      </c>
      <c r="J236" s="222" t="str">
        <f t="shared" si="30"/>
        <v/>
      </c>
      <c r="K236" s="44" t="str">
        <f t="shared" si="31"/>
        <v xml:space="preserve">TURVILLA - </v>
      </c>
      <c r="L236" s="44" t="e">
        <f>+VLOOKUP(K236,TL[],4,FALSE)</f>
        <v>#N/A</v>
      </c>
    </row>
    <row r="237" spans="7:12" x14ac:dyDescent="0.2">
      <c r="G237" s="220">
        <f t="shared" si="28"/>
        <v>0</v>
      </c>
      <c r="H237" s="220">
        <f t="shared" si="29"/>
        <v>0</v>
      </c>
      <c r="I237" s="221">
        <f>IF(A237="Total",VLOOKUP(B237,CORRESPONDANCE[#All],2,FALSE),I238)</f>
        <v>0</v>
      </c>
      <c r="J237" s="222" t="str">
        <f t="shared" si="30"/>
        <v/>
      </c>
      <c r="K237" s="44" t="str">
        <f t="shared" si="31"/>
        <v xml:space="preserve">TURVILLA - </v>
      </c>
      <c r="L237" s="44" t="e">
        <f>+VLOOKUP(K237,TL[],4,FALSE)</f>
        <v>#N/A</v>
      </c>
    </row>
    <row r="238" spans="7:12" x14ac:dyDescent="0.2">
      <c r="G238" s="220">
        <f t="shared" si="28"/>
        <v>0</v>
      </c>
      <c r="H238" s="220">
        <f t="shared" si="29"/>
        <v>0</v>
      </c>
      <c r="I238" s="221">
        <f>IF(A238="Total",VLOOKUP(B238,CORRESPONDANCE[#All],2,FALSE),I239)</f>
        <v>0</v>
      </c>
      <c r="J238" s="222" t="str">
        <f t="shared" si="30"/>
        <v/>
      </c>
      <c r="K238" s="44" t="str">
        <f t="shared" si="31"/>
        <v xml:space="preserve">TURVILLA - </v>
      </c>
      <c r="L238" s="44" t="e">
        <f>+VLOOKUP(K238,TL[],4,FALSE)</f>
        <v>#N/A</v>
      </c>
    </row>
    <row r="239" spans="7:12" x14ac:dyDescent="0.2">
      <c r="G239" s="220">
        <f t="shared" si="28"/>
        <v>0</v>
      </c>
      <c r="H239" s="220">
        <f t="shared" si="29"/>
        <v>0</v>
      </c>
      <c r="I239" s="221">
        <f>IF(A239="Total",VLOOKUP(B239,CORRESPONDANCE[#All],2,FALSE),I240)</f>
        <v>0</v>
      </c>
      <c r="J239" s="222" t="str">
        <f t="shared" si="30"/>
        <v/>
      </c>
      <c r="K239" s="44" t="str">
        <f t="shared" si="31"/>
        <v xml:space="preserve">TURVILLA - </v>
      </c>
      <c r="L239" s="44" t="e">
        <f>+VLOOKUP(K239,TL[],4,FALSE)</f>
        <v>#N/A</v>
      </c>
    </row>
    <row r="240" spans="7:12" x14ac:dyDescent="0.2">
      <c r="G240" s="220">
        <f t="shared" si="28"/>
        <v>0</v>
      </c>
      <c r="H240" s="220">
        <f t="shared" si="29"/>
        <v>0</v>
      </c>
      <c r="I240" s="221">
        <f>IF(A240="Total",VLOOKUP(B240,CORRESPONDANCE[#All],2,FALSE),I241)</f>
        <v>0</v>
      </c>
      <c r="J240" s="222" t="str">
        <f t="shared" si="30"/>
        <v/>
      </c>
      <c r="K240" s="44" t="str">
        <f t="shared" si="31"/>
        <v xml:space="preserve">TURVILLA - </v>
      </c>
      <c r="L240" s="44" t="e">
        <f>+VLOOKUP(K240,TL[],4,FALSE)</f>
        <v>#N/A</v>
      </c>
    </row>
    <row r="241" spans="7:12" x14ac:dyDescent="0.2">
      <c r="G241" s="220">
        <f t="shared" si="28"/>
        <v>0</v>
      </c>
      <c r="H241" s="220">
        <f t="shared" si="29"/>
        <v>0</v>
      </c>
      <c r="I241" s="221">
        <f>IF(A241="Total",VLOOKUP(B241,CORRESPONDANCE[#All],2,FALSE),I242)</f>
        <v>0</v>
      </c>
      <c r="J241" s="222" t="str">
        <f t="shared" si="30"/>
        <v/>
      </c>
      <c r="K241" s="44" t="str">
        <f t="shared" si="31"/>
        <v xml:space="preserve">TURVILLA - </v>
      </c>
      <c r="L241" s="44" t="e">
        <f>+VLOOKUP(K241,TL[],4,FALSE)</f>
        <v>#N/A</v>
      </c>
    </row>
    <row r="242" spans="7:12" x14ac:dyDescent="0.2">
      <c r="G242" s="220">
        <f t="shared" si="28"/>
        <v>0</v>
      </c>
      <c r="H242" s="220">
        <f t="shared" si="29"/>
        <v>0</v>
      </c>
      <c r="I242" s="221">
        <f>IF(A242="Total",VLOOKUP(B242,CORRESPONDANCE[#All],2,FALSE),I243)</f>
        <v>0</v>
      </c>
      <c r="J242" s="222" t="str">
        <f t="shared" si="30"/>
        <v/>
      </c>
      <c r="K242" s="44" t="str">
        <f t="shared" si="31"/>
        <v xml:space="preserve">TURVILLA - </v>
      </c>
      <c r="L242" s="44" t="e">
        <f>+VLOOKUP(K242,TL[],4,FALSE)</f>
        <v>#N/A</v>
      </c>
    </row>
    <row r="243" spans="7:12" x14ac:dyDescent="0.2">
      <c r="G243" s="220">
        <f t="shared" si="28"/>
        <v>0</v>
      </c>
      <c r="H243" s="220">
        <f t="shared" si="29"/>
        <v>0</v>
      </c>
      <c r="I243" s="221">
        <f>IF(A243="Total",VLOOKUP(B243,CORRESPONDANCE[#All],2,FALSE),I244)</f>
        <v>0</v>
      </c>
      <c r="J243" s="222" t="str">
        <f t="shared" si="30"/>
        <v/>
      </c>
      <c r="K243" s="44" t="str">
        <f t="shared" si="31"/>
        <v xml:space="preserve">TURVILLA - </v>
      </c>
      <c r="L243" s="44" t="e">
        <f>+VLOOKUP(K243,TL[],4,FALSE)</f>
        <v>#N/A</v>
      </c>
    </row>
    <row r="244" spans="7:12" x14ac:dyDescent="0.2">
      <c r="G244" s="220">
        <f t="shared" si="28"/>
        <v>0</v>
      </c>
      <c r="H244" s="220">
        <f t="shared" si="29"/>
        <v>0</v>
      </c>
      <c r="I244" s="221">
        <f>IF(A244="Total",VLOOKUP(B244,CORRESPONDANCE[#All],2,FALSE),I245)</f>
        <v>0</v>
      </c>
      <c r="J244" s="222" t="str">
        <f t="shared" si="30"/>
        <v/>
      </c>
      <c r="K244" s="44" t="str">
        <f t="shared" si="31"/>
        <v xml:space="preserve">TURVILLA - </v>
      </c>
      <c r="L244" s="44" t="e">
        <f>+VLOOKUP(K244,TL[],4,FALSE)</f>
        <v>#N/A</v>
      </c>
    </row>
    <row r="245" spans="7:12" x14ac:dyDescent="0.2">
      <c r="G245" s="220">
        <f t="shared" si="28"/>
        <v>0</v>
      </c>
      <c r="H245" s="220">
        <f t="shared" si="29"/>
        <v>0</v>
      </c>
      <c r="I245" s="221">
        <f>IF(A245="Total",VLOOKUP(B245,CORRESPONDANCE[#All],2,FALSE),I246)</f>
        <v>0</v>
      </c>
      <c r="J245" s="222" t="str">
        <f t="shared" si="30"/>
        <v/>
      </c>
      <c r="K245" s="44" t="str">
        <f t="shared" si="31"/>
        <v xml:space="preserve">TURVILLA - </v>
      </c>
      <c r="L245" s="44" t="e">
        <f>+VLOOKUP(K245,TL[],4,FALSE)</f>
        <v>#N/A</v>
      </c>
    </row>
    <row r="246" spans="7:12" x14ac:dyDescent="0.2">
      <c r="G246" s="220">
        <f t="shared" si="28"/>
        <v>0</v>
      </c>
      <c r="H246" s="220">
        <f t="shared" si="29"/>
        <v>0</v>
      </c>
      <c r="I246" s="221">
        <f>IF(A246="Total",VLOOKUP(B246,CORRESPONDANCE[#All],2,FALSE),I247)</f>
        <v>0</v>
      </c>
      <c r="J246" s="222" t="str">
        <f t="shared" si="30"/>
        <v/>
      </c>
      <c r="K246" s="44" t="str">
        <f t="shared" si="31"/>
        <v xml:space="preserve">TURVILLA - </v>
      </c>
      <c r="L246" s="44" t="e">
        <f>+VLOOKUP(K246,TL[],4,FALSE)</f>
        <v>#N/A</v>
      </c>
    </row>
    <row r="247" spans="7:12" x14ac:dyDescent="0.2">
      <c r="G247" s="220">
        <f t="shared" si="28"/>
        <v>0</v>
      </c>
      <c r="H247" s="220">
        <f t="shared" si="29"/>
        <v>0</v>
      </c>
      <c r="I247" s="221">
        <f>IF(A247="Total",VLOOKUP(B247,CORRESPONDANCE[#All],2,FALSE),I248)</f>
        <v>0</v>
      </c>
      <c r="J247" s="222" t="str">
        <f t="shared" si="30"/>
        <v/>
      </c>
      <c r="K247" s="44" t="str">
        <f t="shared" si="31"/>
        <v xml:space="preserve">TURVILLA - </v>
      </c>
      <c r="L247" s="44" t="e">
        <f>+VLOOKUP(K247,TL[],4,FALSE)</f>
        <v>#N/A</v>
      </c>
    </row>
    <row r="248" spans="7:12" x14ac:dyDescent="0.2">
      <c r="G248" s="220">
        <f t="shared" si="28"/>
        <v>0</v>
      </c>
      <c r="H248" s="220">
        <f t="shared" si="29"/>
        <v>0</v>
      </c>
      <c r="I248" s="221">
        <f>IF(A248="Total",VLOOKUP(B248,CORRESPONDANCE[#All],2,FALSE),I249)</f>
        <v>0</v>
      </c>
      <c r="J248" s="222" t="str">
        <f t="shared" si="30"/>
        <v/>
      </c>
      <c r="K248" s="44" t="str">
        <f t="shared" si="31"/>
        <v xml:space="preserve">TURVILLA - </v>
      </c>
      <c r="L248" s="44" t="e">
        <f>+VLOOKUP(K248,TL[],4,FALSE)</f>
        <v>#N/A</v>
      </c>
    </row>
    <row r="249" spans="7:12" x14ac:dyDescent="0.2">
      <c r="G249" s="220">
        <f t="shared" si="28"/>
        <v>0</v>
      </c>
      <c r="H249" s="220">
        <f t="shared" si="29"/>
        <v>0</v>
      </c>
      <c r="I249" s="221">
        <f>IF(A249="Total",VLOOKUP(B249,CORRESPONDANCE[#All],2,FALSE),I250)</f>
        <v>0</v>
      </c>
      <c r="J249" s="222" t="str">
        <f t="shared" si="30"/>
        <v/>
      </c>
      <c r="K249" s="44" t="str">
        <f t="shared" si="31"/>
        <v xml:space="preserve">TURVILLA - </v>
      </c>
      <c r="L249" s="44" t="e">
        <f>+VLOOKUP(K249,TL[],4,FALSE)</f>
        <v>#N/A</v>
      </c>
    </row>
    <row r="250" spans="7:12" x14ac:dyDescent="0.2">
      <c r="G250" s="220">
        <f t="shared" si="28"/>
        <v>0</v>
      </c>
      <c r="H250" s="220">
        <f t="shared" si="29"/>
        <v>0</v>
      </c>
      <c r="I250" s="221">
        <f>IF(A250="Total",VLOOKUP(B250,CORRESPONDANCE[#All],2,FALSE),I251)</f>
        <v>0</v>
      </c>
      <c r="J250" s="222" t="str">
        <f t="shared" si="30"/>
        <v/>
      </c>
      <c r="K250" s="44" t="str">
        <f t="shared" si="31"/>
        <v xml:space="preserve">TURVILLA - </v>
      </c>
      <c r="L250" s="44" t="e">
        <f>+VLOOKUP(K250,TL[],4,FALSE)</f>
        <v>#N/A</v>
      </c>
    </row>
    <row r="251" spans="7:12" x14ac:dyDescent="0.2">
      <c r="G251" s="220">
        <f t="shared" si="28"/>
        <v>0</v>
      </c>
      <c r="H251" s="220">
        <f t="shared" si="29"/>
        <v>0</v>
      </c>
      <c r="I251" s="221">
        <f>IF(A251="Total",VLOOKUP(B251,CORRESPONDANCE[#All],2,FALSE),I252)</f>
        <v>0</v>
      </c>
      <c r="J251" s="222" t="str">
        <f t="shared" si="30"/>
        <v/>
      </c>
      <c r="K251" s="44" t="str">
        <f t="shared" si="31"/>
        <v xml:space="preserve">TURVILLA - </v>
      </c>
      <c r="L251" s="44" t="e">
        <f>+VLOOKUP(K251,TL[],4,FALSE)</f>
        <v>#N/A</v>
      </c>
    </row>
    <row r="252" spans="7:12" x14ac:dyDescent="0.2">
      <c r="G252" s="220">
        <f t="shared" si="28"/>
        <v>0</v>
      </c>
      <c r="H252" s="220">
        <f t="shared" si="29"/>
        <v>0</v>
      </c>
      <c r="I252" s="221">
        <f>IF(A252="Total",VLOOKUP(B252,CORRESPONDANCE[#All],2,FALSE),I253)</f>
        <v>0</v>
      </c>
      <c r="J252" s="222" t="str">
        <f t="shared" si="30"/>
        <v/>
      </c>
      <c r="K252" s="44" t="str">
        <f t="shared" si="31"/>
        <v xml:space="preserve">TURVILLA - </v>
      </c>
      <c r="L252" s="44" t="e">
        <f>+VLOOKUP(K252,TL[],4,FALSE)</f>
        <v>#N/A</v>
      </c>
    </row>
    <row r="253" spans="7:12" x14ac:dyDescent="0.2">
      <c r="G253" s="220">
        <f t="shared" si="28"/>
        <v>0</v>
      </c>
      <c r="H253" s="220">
        <f t="shared" si="29"/>
        <v>0</v>
      </c>
      <c r="I253" s="221">
        <f>IF(A253="Total",VLOOKUP(B253,CORRESPONDANCE[#All],2,FALSE),I254)</f>
        <v>0</v>
      </c>
      <c r="J253" s="222" t="str">
        <f t="shared" si="30"/>
        <v/>
      </c>
      <c r="K253" s="44" t="str">
        <f t="shared" si="31"/>
        <v xml:space="preserve">TURVILLA - </v>
      </c>
      <c r="L253" s="44" t="e">
        <f>+VLOOKUP(K253,TL[],4,FALSE)</f>
        <v>#N/A</v>
      </c>
    </row>
    <row r="254" spans="7:12" x14ac:dyDescent="0.2">
      <c r="G254" s="220">
        <f t="shared" si="28"/>
        <v>0</v>
      </c>
      <c r="H254" s="220">
        <f t="shared" si="29"/>
        <v>0</v>
      </c>
      <c r="I254" s="221">
        <f>IF(A254="Total",VLOOKUP(B254,CORRESPONDANCE[#All],2,FALSE),I255)</f>
        <v>0</v>
      </c>
      <c r="J254" s="222" t="str">
        <f t="shared" si="30"/>
        <v/>
      </c>
      <c r="K254" s="44" t="str">
        <f t="shared" si="31"/>
        <v xml:space="preserve">TURVILLA - </v>
      </c>
      <c r="L254" s="44" t="e">
        <f>+VLOOKUP(K254,TL[],4,FALSE)</f>
        <v>#N/A</v>
      </c>
    </row>
    <row r="255" spans="7:12" x14ac:dyDescent="0.2">
      <c r="G255" s="220">
        <f t="shared" si="28"/>
        <v>0</v>
      </c>
      <c r="H255" s="220">
        <f t="shared" si="29"/>
        <v>0</v>
      </c>
      <c r="I255" s="221">
        <f>IF(A255="Total",VLOOKUP(B255,CORRESPONDANCE[#All],2,FALSE),I256)</f>
        <v>0</v>
      </c>
      <c r="J255" s="222" t="str">
        <f t="shared" si="30"/>
        <v/>
      </c>
      <c r="K255" s="44" t="str">
        <f t="shared" si="31"/>
        <v xml:space="preserve">TURVILLA - </v>
      </c>
      <c r="L255" s="44" t="e">
        <f>+VLOOKUP(K255,TL[],4,FALSE)</f>
        <v>#N/A</v>
      </c>
    </row>
    <row r="256" spans="7:12" x14ac:dyDescent="0.2">
      <c r="G256" s="220">
        <f t="shared" si="28"/>
        <v>0</v>
      </c>
      <c r="H256" s="220">
        <f t="shared" si="29"/>
        <v>0</v>
      </c>
      <c r="I256" s="221">
        <f>IF(A256="Total",VLOOKUP(B256,CORRESPONDANCE[#All],2,FALSE),I257)</f>
        <v>0</v>
      </c>
      <c r="J256" s="222" t="str">
        <f t="shared" si="30"/>
        <v/>
      </c>
      <c r="K256" s="44" t="str">
        <f t="shared" si="31"/>
        <v xml:space="preserve">TURVILLA - </v>
      </c>
      <c r="L256" s="44" t="e">
        <f>+VLOOKUP(K256,TL[],4,FALSE)</f>
        <v>#N/A</v>
      </c>
    </row>
    <row r="257" spans="7:12" x14ac:dyDescent="0.2">
      <c r="G257" s="220">
        <f t="shared" si="28"/>
        <v>0</v>
      </c>
      <c r="H257" s="220">
        <f t="shared" si="29"/>
        <v>0</v>
      </c>
      <c r="I257" s="221">
        <f>IF(A257="Total",VLOOKUP(B257,CORRESPONDANCE[#All],2,FALSE),I258)</f>
        <v>0</v>
      </c>
      <c r="J257" s="222" t="str">
        <f t="shared" si="30"/>
        <v/>
      </c>
      <c r="K257" s="44" t="str">
        <f t="shared" si="31"/>
        <v xml:space="preserve">TURVILLA - </v>
      </c>
      <c r="L257" s="44" t="e">
        <f>+VLOOKUP(K257,TL[],4,FALSE)</f>
        <v>#N/A</v>
      </c>
    </row>
    <row r="258" spans="7:12" x14ac:dyDescent="0.2">
      <c r="G258" s="220">
        <f t="shared" si="28"/>
        <v>0</v>
      </c>
      <c r="H258" s="220">
        <f t="shared" si="29"/>
        <v>0</v>
      </c>
      <c r="I258" s="221">
        <f>IF(A258="Total",VLOOKUP(B258,CORRESPONDANCE[#All],2,FALSE),I259)</f>
        <v>0</v>
      </c>
      <c r="J258" s="222" t="str">
        <f t="shared" si="30"/>
        <v/>
      </c>
      <c r="K258" s="44" t="str">
        <f t="shared" si="31"/>
        <v xml:space="preserve">TURVILLA - </v>
      </c>
      <c r="L258" s="44" t="e">
        <f>+VLOOKUP(K258,TL[],4,FALSE)</f>
        <v>#N/A</v>
      </c>
    </row>
    <row r="259" spans="7:12" x14ac:dyDescent="0.2">
      <c r="G259" s="220">
        <f t="shared" si="28"/>
        <v>0</v>
      </c>
      <c r="H259" s="220">
        <f t="shared" si="29"/>
        <v>0</v>
      </c>
      <c r="I259" s="221">
        <f>IF(A259="Total",VLOOKUP(B259,CORRESPONDANCE[#All],2,FALSE),I260)</f>
        <v>0</v>
      </c>
      <c r="J259" s="222" t="str">
        <f t="shared" si="30"/>
        <v/>
      </c>
      <c r="K259" s="44" t="str">
        <f t="shared" si="31"/>
        <v xml:space="preserve">TURVILLA - </v>
      </c>
      <c r="L259" s="44" t="e">
        <f>+VLOOKUP(K259,TL[],4,FALSE)</f>
        <v>#N/A</v>
      </c>
    </row>
    <row r="260" spans="7:12" x14ac:dyDescent="0.2">
      <c r="G260" s="220">
        <f t="shared" si="28"/>
        <v>0</v>
      </c>
      <c r="H260" s="220">
        <f t="shared" si="29"/>
        <v>0</v>
      </c>
      <c r="I260" s="221">
        <f>IF(A260="Total",VLOOKUP(B260,CORRESPONDANCE[#All],2,FALSE),I261)</f>
        <v>0</v>
      </c>
      <c r="J260" s="222" t="str">
        <f t="shared" si="30"/>
        <v/>
      </c>
      <c r="K260" s="44" t="str">
        <f t="shared" si="31"/>
        <v xml:space="preserve">TURVILLA - </v>
      </c>
      <c r="L260" s="44" t="e">
        <f>+VLOOKUP(K260,TL[],4,FALSE)</f>
        <v>#N/A</v>
      </c>
    </row>
    <row r="261" spans="7:12" x14ac:dyDescent="0.2">
      <c r="G261" s="220">
        <f t="shared" si="28"/>
        <v>0</v>
      </c>
      <c r="H261" s="220">
        <f t="shared" si="29"/>
        <v>0</v>
      </c>
      <c r="I261" s="221">
        <f>IF(A261="Total",VLOOKUP(B261,CORRESPONDANCE[#All],2,FALSE),I262)</f>
        <v>0</v>
      </c>
      <c r="J261" s="222" t="str">
        <f t="shared" si="30"/>
        <v/>
      </c>
      <c r="K261" s="44" t="str">
        <f t="shared" si="31"/>
        <v xml:space="preserve">TURVILLA - </v>
      </c>
      <c r="L261" s="44" t="e">
        <f>+VLOOKUP(K261,TL[],4,FALSE)</f>
        <v>#N/A</v>
      </c>
    </row>
    <row r="262" spans="7:12" x14ac:dyDescent="0.2">
      <c r="G262" s="220">
        <f t="shared" si="28"/>
        <v>0</v>
      </c>
      <c r="H262" s="220">
        <f t="shared" si="29"/>
        <v>0</v>
      </c>
      <c r="I262" s="221">
        <f>IF(A262="Total",VLOOKUP(B262,CORRESPONDANCE[#All],2,FALSE),I263)</f>
        <v>0</v>
      </c>
      <c r="J262" s="222" t="str">
        <f t="shared" si="30"/>
        <v/>
      </c>
      <c r="K262" s="44" t="str">
        <f t="shared" si="31"/>
        <v xml:space="preserve">TURVILLA - </v>
      </c>
      <c r="L262" s="44" t="e">
        <f>+VLOOKUP(K262,TL[],4,FALSE)</f>
        <v>#N/A</v>
      </c>
    </row>
    <row r="263" spans="7:12" x14ac:dyDescent="0.2">
      <c r="G263" s="220">
        <f t="shared" si="28"/>
        <v>0</v>
      </c>
      <c r="H263" s="220">
        <f t="shared" si="29"/>
        <v>0</v>
      </c>
      <c r="I263" s="221">
        <f>IF(A263="Total",VLOOKUP(B263,CORRESPONDANCE[#All],2,FALSE),I264)</f>
        <v>0</v>
      </c>
      <c r="J263" s="222" t="str">
        <f t="shared" si="30"/>
        <v/>
      </c>
      <c r="K263" s="44" t="str">
        <f t="shared" si="31"/>
        <v xml:space="preserve">TURVILLA - </v>
      </c>
      <c r="L263" s="44" t="e">
        <f>+VLOOKUP(K263,TL[],4,FALSE)</f>
        <v>#N/A</v>
      </c>
    </row>
    <row r="264" spans="7:12" x14ac:dyDescent="0.2">
      <c r="G264" s="220">
        <f t="shared" si="28"/>
        <v>0</v>
      </c>
      <c r="H264" s="220">
        <f t="shared" si="29"/>
        <v>0</v>
      </c>
      <c r="I264" s="221">
        <f>IF(A264="Total",VLOOKUP(B264,CORRESPONDANCE[#All],2,FALSE),I265)</f>
        <v>0</v>
      </c>
      <c r="J264" s="222" t="str">
        <f t="shared" si="30"/>
        <v/>
      </c>
      <c r="K264" s="44" t="str">
        <f t="shared" si="31"/>
        <v xml:space="preserve">TURVILLA - </v>
      </c>
      <c r="L264" s="44" t="e">
        <f>+VLOOKUP(K264,TL[],4,FALSE)</f>
        <v>#N/A</v>
      </c>
    </row>
    <row r="265" spans="7:12" x14ac:dyDescent="0.2">
      <c r="G265" s="220">
        <f t="shared" si="28"/>
        <v>0</v>
      </c>
      <c r="H265" s="220">
        <f t="shared" si="29"/>
        <v>0</v>
      </c>
      <c r="I265" s="221">
        <f>IF(A265="Total",VLOOKUP(B265,CORRESPONDANCE[#All],2,FALSE),I266)</f>
        <v>0</v>
      </c>
      <c r="J265" s="222" t="str">
        <f t="shared" si="30"/>
        <v/>
      </c>
      <c r="K265" s="44" t="str">
        <f t="shared" si="31"/>
        <v xml:space="preserve">TURVILLA - </v>
      </c>
      <c r="L265" s="44" t="e">
        <f>+VLOOKUP(K265,TL[],4,FALSE)</f>
        <v>#N/A</v>
      </c>
    </row>
    <row r="266" spans="7:12" x14ac:dyDescent="0.2">
      <c r="G266" s="220">
        <f t="shared" si="28"/>
        <v>0</v>
      </c>
      <c r="H266" s="220">
        <f t="shared" si="29"/>
        <v>0</v>
      </c>
      <c r="I266" s="221">
        <f>IF(A266="Total",VLOOKUP(B266,CORRESPONDANCE[#All],2,FALSE),I267)</f>
        <v>0</v>
      </c>
      <c r="J266" s="222" t="str">
        <f t="shared" si="30"/>
        <v/>
      </c>
      <c r="K266" s="44" t="str">
        <f t="shared" si="31"/>
        <v xml:space="preserve">TURVILLA - </v>
      </c>
      <c r="L266" s="44" t="e">
        <f>+VLOOKUP(K266,TL[],4,FALSE)</f>
        <v>#N/A</v>
      </c>
    </row>
    <row r="267" spans="7:12" x14ac:dyDescent="0.2">
      <c r="G267" s="220">
        <f t="shared" si="28"/>
        <v>0</v>
      </c>
      <c r="H267" s="220">
        <f t="shared" si="29"/>
        <v>0</v>
      </c>
      <c r="I267" s="221">
        <f>IF(A267="Total",VLOOKUP(B267,CORRESPONDANCE[#All],2,FALSE),I268)</f>
        <v>0</v>
      </c>
      <c r="J267" s="222" t="str">
        <f t="shared" si="30"/>
        <v/>
      </c>
      <c r="K267" s="44" t="str">
        <f t="shared" si="31"/>
        <v xml:space="preserve">TURVILLA - </v>
      </c>
      <c r="L267" s="44" t="e">
        <f>+VLOOKUP(K267,TL[],4,FALSE)</f>
        <v>#N/A</v>
      </c>
    </row>
    <row r="268" spans="7:12" x14ac:dyDescent="0.2">
      <c r="G268" s="220">
        <f t="shared" si="28"/>
        <v>0</v>
      </c>
      <c r="H268" s="220">
        <f t="shared" si="29"/>
        <v>0</v>
      </c>
      <c r="I268" s="221">
        <f>IF(A268="Total",VLOOKUP(B268,CORRESPONDANCE[#All],2,FALSE),I269)</f>
        <v>0</v>
      </c>
      <c r="J268" s="222" t="str">
        <f t="shared" si="30"/>
        <v/>
      </c>
      <c r="K268" s="44" t="str">
        <f t="shared" si="31"/>
        <v xml:space="preserve">TURVILLA - </v>
      </c>
      <c r="L268" s="44" t="e">
        <f>+VLOOKUP(K268,TL[],4,FALSE)</f>
        <v>#N/A</v>
      </c>
    </row>
    <row r="269" spans="7:12" x14ac:dyDescent="0.2">
      <c r="G269" s="220">
        <f t="shared" si="28"/>
        <v>0</v>
      </c>
      <c r="H269" s="220">
        <f t="shared" si="29"/>
        <v>0</v>
      </c>
      <c r="I269" s="221">
        <f>IF(A269="Total",VLOOKUP(B269,CORRESPONDANCE[#All],2,FALSE),I270)</f>
        <v>0</v>
      </c>
      <c r="J269" s="222" t="str">
        <f t="shared" si="30"/>
        <v/>
      </c>
      <c r="K269" s="44" t="str">
        <f t="shared" si="31"/>
        <v xml:space="preserve">TURVILLA - </v>
      </c>
      <c r="L269" s="44" t="e">
        <f>+VLOOKUP(K269,TL[],4,FALSE)</f>
        <v>#N/A</v>
      </c>
    </row>
    <row r="270" spans="7:12" x14ac:dyDescent="0.2">
      <c r="G270" s="220">
        <f t="shared" si="28"/>
        <v>0</v>
      </c>
      <c r="H270" s="220">
        <f t="shared" si="29"/>
        <v>0</v>
      </c>
      <c r="I270" s="221">
        <f>IF(A270="Total",VLOOKUP(B270,CORRESPONDANCE[#All],2,FALSE),I271)</f>
        <v>0</v>
      </c>
      <c r="J270" s="222" t="str">
        <f t="shared" si="30"/>
        <v/>
      </c>
      <c r="K270" s="44" t="str">
        <f t="shared" si="31"/>
        <v xml:space="preserve">TURVILLA - </v>
      </c>
      <c r="L270" s="44" t="e">
        <f>+VLOOKUP(K270,TL[],4,FALSE)</f>
        <v>#N/A</v>
      </c>
    </row>
    <row r="271" spans="7:12" x14ac:dyDescent="0.2">
      <c r="G271" s="220">
        <f t="shared" ref="G271:G328" si="32">SUM(C271)-SUM(D271)</f>
        <v>0</v>
      </c>
      <c r="H271" s="220">
        <f t="shared" ref="H271:H328" si="33">SUM(E271)-SUM(F271)</f>
        <v>0</v>
      </c>
      <c r="I271" s="221">
        <f>IF(A271="Total",VLOOKUP(B271,CORRESPONDANCE[#All],2,FALSE),I272)</f>
        <v>0</v>
      </c>
      <c r="J271" s="222" t="str">
        <f t="shared" ref="J271:J328" si="34">LEFT(A271,1)</f>
        <v/>
      </c>
      <c r="K271" s="44" t="str">
        <f t="shared" ref="K271:K328" si="35">"TURVILLA"&amp;" - "&amp;A271</f>
        <v xml:space="preserve">TURVILLA - </v>
      </c>
      <c r="L271" s="44" t="e">
        <f>+VLOOKUP(K271,TL[],4,FALSE)</f>
        <v>#N/A</v>
      </c>
    </row>
    <row r="272" spans="7:12" x14ac:dyDescent="0.2">
      <c r="G272" s="220">
        <f t="shared" si="32"/>
        <v>0</v>
      </c>
      <c r="H272" s="220">
        <f t="shared" si="33"/>
        <v>0</v>
      </c>
      <c r="I272" s="221">
        <f>IF(A272="Total",VLOOKUP(B272,CORRESPONDANCE[#All],2,FALSE),I273)</f>
        <v>0</v>
      </c>
      <c r="J272" s="222" t="str">
        <f t="shared" si="34"/>
        <v/>
      </c>
      <c r="K272" s="44" t="str">
        <f t="shared" si="35"/>
        <v xml:space="preserve">TURVILLA - </v>
      </c>
      <c r="L272" s="44" t="e">
        <f>+VLOOKUP(K272,TL[],4,FALSE)</f>
        <v>#N/A</v>
      </c>
    </row>
    <row r="273" spans="7:12" x14ac:dyDescent="0.2">
      <c r="G273" s="220">
        <f t="shared" si="32"/>
        <v>0</v>
      </c>
      <c r="H273" s="220">
        <f t="shared" si="33"/>
        <v>0</v>
      </c>
      <c r="I273" s="221">
        <f>IF(A273="Total",VLOOKUP(B273,CORRESPONDANCE[#All],2,FALSE),I274)</f>
        <v>0</v>
      </c>
      <c r="J273" s="222" t="str">
        <f t="shared" si="34"/>
        <v/>
      </c>
      <c r="K273" s="44" t="str">
        <f t="shared" si="35"/>
        <v xml:space="preserve">TURVILLA - </v>
      </c>
      <c r="L273" s="44" t="e">
        <f>+VLOOKUP(K273,TL[],4,FALSE)</f>
        <v>#N/A</v>
      </c>
    </row>
    <row r="274" spans="7:12" x14ac:dyDescent="0.2">
      <c r="G274" s="220">
        <f t="shared" si="32"/>
        <v>0</v>
      </c>
      <c r="H274" s="220">
        <f t="shared" si="33"/>
        <v>0</v>
      </c>
      <c r="I274" s="221">
        <f>IF(A274="Total",VLOOKUP(B274,CORRESPONDANCE[#All],2,FALSE),I275)</f>
        <v>0</v>
      </c>
      <c r="J274" s="222" t="str">
        <f t="shared" si="34"/>
        <v/>
      </c>
      <c r="K274" s="44" t="str">
        <f t="shared" si="35"/>
        <v xml:space="preserve">TURVILLA - </v>
      </c>
      <c r="L274" s="44" t="e">
        <f>+VLOOKUP(K274,TL[],4,FALSE)</f>
        <v>#N/A</v>
      </c>
    </row>
    <row r="275" spans="7:12" x14ac:dyDescent="0.2">
      <c r="G275" s="220">
        <f t="shared" si="32"/>
        <v>0</v>
      </c>
      <c r="H275" s="220">
        <f t="shared" si="33"/>
        <v>0</v>
      </c>
      <c r="I275" s="221">
        <f>IF(A275="Total",VLOOKUP(B275,CORRESPONDANCE[#All],2,FALSE),I276)</f>
        <v>0</v>
      </c>
      <c r="J275" s="222" t="str">
        <f t="shared" si="34"/>
        <v/>
      </c>
      <c r="K275" s="44" t="str">
        <f t="shared" si="35"/>
        <v xml:space="preserve">TURVILLA - </v>
      </c>
      <c r="L275" s="44" t="e">
        <f>+VLOOKUP(K275,TL[],4,FALSE)</f>
        <v>#N/A</v>
      </c>
    </row>
    <row r="276" spans="7:12" x14ac:dyDescent="0.2">
      <c r="G276" s="220">
        <f t="shared" si="32"/>
        <v>0</v>
      </c>
      <c r="H276" s="220">
        <f t="shared" si="33"/>
        <v>0</v>
      </c>
      <c r="I276" s="221">
        <f>IF(A276="Total",VLOOKUP(B276,CORRESPONDANCE[#All],2,FALSE),I277)</f>
        <v>0</v>
      </c>
      <c r="J276" s="222" t="str">
        <f t="shared" si="34"/>
        <v/>
      </c>
      <c r="K276" s="44" t="str">
        <f t="shared" si="35"/>
        <v xml:space="preserve">TURVILLA - </v>
      </c>
      <c r="L276" s="44" t="e">
        <f>+VLOOKUP(K276,TL[],4,FALSE)</f>
        <v>#N/A</v>
      </c>
    </row>
    <row r="277" spans="7:12" x14ac:dyDescent="0.2">
      <c r="G277" s="220">
        <f t="shared" si="32"/>
        <v>0</v>
      </c>
      <c r="H277" s="220">
        <f t="shared" si="33"/>
        <v>0</v>
      </c>
      <c r="I277" s="221">
        <f>IF(A277="Total",VLOOKUP(B277,CORRESPONDANCE[#All],2,FALSE),I278)</f>
        <v>0</v>
      </c>
      <c r="J277" s="222" t="str">
        <f t="shared" si="34"/>
        <v/>
      </c>
      <c r="K277" s="44" t="str">
        <f t="shared" si="35"/>
        <v xml:space="preserve">TURVILLA - </v>
      </c>
      <c r="L277" s="44" t="e">
        <f>+VLOOKUP(K277,TL[],4,FALSE)</f>
        <v>#N/A</v>
      </c>
    </row>
    <row r="278" spans="7:12" x14ac:dyDescent="0.2">
      <c r="G278" s="220">
        <f t="shared" si="32"/>
        <v>0</v>
      </c>
      <c r="H278" s="220">
        <f t="shared" si="33"/>
        <v>0</v>
      </c>
      <c r="I278" s="221">
        <f>IF(A278="Total",VLOOKUP(B278,CORRESPONDANCE[#All],2,FALSE),I279)</f>
        <v>0</v>
      </c>
      <c r="J278" s="222" t="str">
        <f t="shared" si="34"/>
        <v/>
      </c>
      <c r="K278" s="44" t="str">
        <f t="shared" si="35"/>
        <v xml:space="preserve">TURVILLA - </v>
      </c>
      <c r="L278" s="44" t="e">
        <f>+VLOOKUP(K278,TL[],4,FALSE)</f>
        <v>#N/A</v>
      </c>
    </row>
    <row r="279" spans="7:12" x14ac:dyDescent="0.2">
      <c r="G279" s="220">
        <f t="shared" si="32"/>
        <v>0</v>
      </c>
      <c r="H279" s="220">
        <f t="shared" si="33"/>
        <v>0</v>
      </c>
      <c r="I279" s="221">
        <f>IF(A279="Total",VLOOKUP(B279,CORRESPONDANCE[#All],2,FALSE),I280)</f>
        <v>0</v>
      </c>
      <c r="J279" s="222" t="str">
        <f t="shared" si="34"/>
        <v/>
      </c>
      <c r="K279" s="44" t="str">
        <f t="shared" si="35"/>
        <v xml:space="preserve">TURVILLA - </v>
      </c>
      <c r="L279" s="44" t="e">
        <f>+VLOOKUP(K279,TL[],4,FALSE)</f>
        <v>#N/A</v>
      </c>
    </row>
    <row r="280" spans="7:12" x14ac:dyDescent="0.2">
      <c r="G280" s="220">
        <f t="shared" si="32"/>
        <v>0</v>
      </c>
      <c r="H280" s="220">
        <f t="shared" si="33"/>
        <v>0</v>
      </c>
      <c r="I280" s="221">
        <f>IF(A280="Total",VLOOKUP(B280,CORRESPONDANCE[#All],2,FALSE),I281)</f>
        <v>0</v>
      </c>
      <c r="J280" s="222" t="str">
        <f t="shared" si="34"/>
        <v/>
      </c>
      <c r="K280" s="44" t="str">
        <f t="shared" si="35"/>
        <v xml:space="preserve">TURVILLA - </v>
      </c>
      <c r="L280" s="44" t="e">
        <f>+VLOOKUP(K280,TL[],4,FALSE)</f>
        <v>#N/A</v>
      </c>
    </row>
    <row r="281" spans="7:12" x14ac:dyDescent="0.2">
      <c r="G281" s="220">
        <f t="shared" si="32"/>
        <v>0</v>
      </c>
      <c r="H281" s="220">
        <f t="shared" si="33"/>
        <v>0</v>
      </c>
      <c r="I281" s="221">
        <f>IF(A281="Total",VLOOKUP(B281,CORRESPONDANCE[#All],2,FALSE),I282)</f>
        <v>0</v>
      </c>
      <c r="J281" s="222" t="str">
        <f t="shared" si="34"/>
        <v/>
      </c>
      <c r="K281" s="44" t="str">
        <f t="shared" si="35"/>
        <v xml:space="preserve">TURVILLA - </v>
      </c>
      <c r="L281" s="44" t="e">
        <f>+VLOOKUP(K281,TL[],4,FALSE)</f>
        <v>#N/A</v>
      </c>
    </row>
    <row r="282" spans="7:12" x14ac:dyDescent="0.2">
      <c r="G282" s="220">
        <f t="shared" si="32"/>
        <v>0</v>
      </c>
      <c r="H282" s="220">
        <f t="shared" si="33"/>
        <v>0</v>
      </c>
      <c r="I282" s="221">
        <f>IF(A282="Total",VLOOKUP(B282,CORRESPONDANCE[#All],2,FALSE),I283)</f>
        <v>0</v>
      </c>
      <c r="J282" s="222" t="str">
        <f t="shared" si="34"/>
        <v/>
      </c>
      <c r="K282" s="44" t="str">
        <f t="shared" si="35"/>
        <v xml:space="preserve">TURVILLA - </v>
      </c>
      <c r="L282" s="44" t="e">
        <f>+VLOOKUP(K282,TL[],4,FALSE)</f>
        <v>#N/A</v>
      </c>
    </row>
    <row r="283" spans="7:12" x14ac:dyDescent="0.2">
      <c r="G283" s="220">
        <f t="shared" si="32"/>
        <v>0</v>
      </c>
      <c r="H283" s="220">
        <f t="shared" si="33"/>
        <v>0</v>
      </c>
      <c r="I283" s="221">
        <f>IF(A283="Total",VLOOKUP(B283,CORRESPONDANCE[#All],2,FALSE),I284)</f>
        <v>0</v>
      </c>
      <c r="J283" s="222" t="str">
        <f t="shared" si="34"/>
        <v/>
      </c>
      <c r="K283" s="44" t="str">
        <f t="shared" si="35"/>
        <v xml:space="preserve">TURVILLA - </v>
      </c>
      <c r="L283" s="44" t="e">
        <f>+VLOOKUP(K283,TL[],4,FALSE)</f>
        <v>#N/A</v>
      </c>
    </row>
    <row r="284" spans="7:12" x14ac:dyDescent="0.2">
      <c r="G284" s="220">
        <f t="shared" si="32"/>
        <v>0</v>
      </c>
      <c r="H284" s="220">
        <f t="shared" si="33"/>
        <v>0</v>
      </c>
      <c r="I284" s="221">
        <f>IF(A284="Total",VLOOKUP(B284,CORRESPONDANCE[#All],2,FALSE),I285)</f>
        <v>0</v>
      </c>
      <c r="J284" s="222" t="str">
        <f t="shared" si="34"/>
        <v/>
      </c>
      <c r="K284" s="44" t="str">
        <f t="shared" si="35"/>
        <v xml:space="preserve">TURVILLA - </v>
      </c>
      <c r="L284" s="44" t="e">
        <f>+VLOOKUP(K284,TL[],4,FALSE)</f>
        <v>#N/A</v>
      </c>
    </row>
    <row r="285" spans="7:12" x14ac:dyDescent="0.2">
      <c r="G285" s="220">
        <f t="shared" si="32"/>
        <v>0</v>
      </c>
      <c r="H285" s="220">
        <f t="shared" si="33"/>
        <v>0</v>
      </c>
      <c r="I285" s="221">
        <f>IF(A285="Total",VLOOKUP(B285,CORRESPONDANCE[#All],2,FALSE),I286)</f>
        <v>0</v>
      </c>
      <c r="J285" s="222" t="str">
        <f t="shared" si="34"/>
        <v/>
      </c>
      <c r="K285" s="44" t="str">
        <f t="shared" si="35"/>
        <v xml:space="preserve">TURVILLA - </v>
      </c>
      <c r="L285" s="44" t="e">
        <f>+VLOOKUP(K285,TL[],4,FALSE)</f>
        <v>#N/A</v>
      </c>
    </row>
    <row r="286" spans="7:12" x14ac:dyDescent="0.2">
      <c r="G286" s="220">
        <f t="shared" si="32"/>
        <v>0</v>
      </c>
      <c r="H286" s="220">
        <f t="shared" si="33"/>
        <v>0</v>
      </c>
      <c r="I286" s="221">
        <f>IF(A286="Total",VLOOKUP(B286,CORRESPONDANCE[#All],2,FALSE),I287)</f>
        <v>0</v>
      </c>
      <c r="J286" s="222" t="str">
        <f t="shared" si="34"/>
        <v/>
      </c>
      <c r="K286" s="44" t="str">
        <f t="shared" si="35"/>
        <v xml:space="preserve">TURVILLA - </v>
      </c>
      <c r="L286" s="44" t="e">
        <f>+VLOOKUP(K286,TL[],4,FALSE)</f>
        <v>#N/A</v>
      </c>
    </row>
    <row r="287" spans="7:12" x14ac:dyDescent="0.2">
      <c r="G287" s="220">
        <f t="shared" si="32"/>
        <v>0</v>
      </c>
      <c r="H287" s="220">
        <f t="shared" si="33"/>
        <v>0</v>
      </c>
      <c r="I287" s="221">
        <f>IF(A287="Total",VLOOKUP(B287,CORRESPONDANCE[#All],2,FALSE),I288)</f>
        <v>0</v>
      </c>
      <c r="J287" s="222" t="str">
        <f t="shared" si="34"/>
        <v/>
      </c>
      <c r="K287" s="44" t="str">
        <f t="shared" si="35"/>
        <v xml:space="preserve">TURVILLA - </v>
      </c>
      <c r="L287" s="44" t="e">
        <f>+VLOOKUP(K287,TL[],4,FALSE)</f>
        <v>#N/A</v>
      </c>
    </row>
    <row r="288" spans="7:12" x14ac:dyDescent="0.2">
      <c r="G288" s="220">
        <f t="shared" si="32"/>
        <v>0</v>
      </c>
      <c r="H288" s="220">
        <f t="shared" si="33"/>
        <v>0</v>
      </c>
      <c r="I288" s="221">
        <f>IF(A288="Total",VLOOKUP(B288,CORRESPONDANCE[#All],2,FALSE),I289)</f>
        <v>0</v>
      </c>
      <c r="J288" s="222" t="str">
        <f t="shared" si="34"/>
        <v/>
      </c>
      <c r="K288" s="44" t="str">
        <f t="shared" si="35"/>
        <v xml:space="preserve">TURVILLA - </v>
      </c>
      <c r="L288" s="44" t="e">
        <f>+VLOOKUP(K288,TL[],4,FALSE)</f>
        <v>#N/A</v>
      </c>
    </row>
    <row r="289" spans="7:12" x14ac:dyDescent="0.2">
      <c r="G289" s="220">
        <f t="shared" si="32"/>
        <v>0</v>
      </c>
      <c r="H289" s="220">
        <f t="shared" si="33"/>
        <v>0</v>
      </c>
      <c r="I289" s="221">
        <f>IF(A289="Total",VLOOKUP(B289,CORRESPONDANCE[#All],2,FALSE),I290)</f>
        <v>0</v>
      </c>
      <c r="J289" s="222" t="str">
        <f t="shared" si="34"/>
        <v/>
      </c>
      <c r="K289" s="44" t="str">
        <f t="shared" si="35"/>
        <v xml:space="preserve">TURVILLA - </v>
      </c>
      <c r="L289" s="44" t="e">
        <f>+VLOOKUP(K289,TL[],4,FALSE)</f>
        <v>#N/A</v>
      </c>
    </row>
    <row r="290" spans="7:12" x14ac:dyDescent="0.2">
      <c r="G290" s="220">
        <f t="shared" si="32"/>
        <v>0</v>
      </c>
      <c r="H290" s="220">
        <f t="shared" si="33"/>
        <v>0</v>
      </c>
      <c r="I290" s="221">
        <f>IF(A290="Total",VLOOKUP(B290,CORRESPONDANCE[#All],2,FALSE),I291)</f>
        <v>0</v>
      </c>
      <c r="J290" s="222" t="str">
        <f t="shared" si="34"/>
        <v/>
      </c>
      <c r="K290" s="44" t="str">
        <f t="shared" si="35"/>
        <v xml:space="preserve">TURVILLA - </v>
      </c>
      <c r="L290" s="44" t="e">
        <f>+VLOOKUP(K290,TL[],4,FALSE)</f>
        <v>#N/A</v>
      </c>
    </row>
    <row r="291" spans="7:12" x14ac:dyDescent="0.2">
      <c r="G291" s="220">
        <f t="shared" si="32"/>
        <v>0</v>
      </c>
      <c r="H291" s="220">
        <f t="shared" si="33"/>
        <v>0</v>
      </c>
      <c r="I291" s="221">
        <f>IF(A291="Total",VLOOKUP(B291,CORRESPONDANCE[#All],2,FALSE),I292)</f>
        <v>0</v>
      </c>
      <c r="J291" s="222" t="str">
        <f t="shared" si="34"/>
        <v/>
      </c>
      <c r="K291" s="44" t="str">
        <f t="shared" si="35"/>
        <v xml:space="preserve">TURVILLA - </v>
      </c>
      <c r="L291" s="44" t="e">
        <f>+VLOOKUP(K291,TL[],4,FALSE)</f>
        <v>#N/A</v>
      </c>
    </row>
    <row r="292" spans="7:12" x14ac:dyDescent="0.2">
      <c r="G292" s="220">
        <f t="shared" si="32"/>
        <v>0</v>
      </c>
      <c r="H292" s="220">
        <f t="shared" si="33"/>
        <v>0</v>
      </c>
      <c r="I292" s="221">
        <f>IF(A292="Total",VLOOKUP(B292,CORRESPONDANCE[#All],2,FALSE),I293)</f>
        <v>0</v>
      </c>
      <c r="J292" s="222" t="str">
        <f t="shared" si="34"/>
        <v/>
      </c>
      <c r="K292" s="44" t="str">
        <f t="shared" si="35"/>
        <v xml:space="preserve">TURVILLA - </v>
      </c>
      <c r="L292" s="44" t="e">
        <f>+VLOOKUP(K292,TL[],4,FALSE)</f>
        <v>#N/A</v>
      </c>
    </row>
    <row r="293" spans="7:12" x14ac:dyDescent="0.2">
      <c r="G293" s="220">
        <f t="shared" si="32"/>
        <v>0</v>
      </c>
      <c r="H293" s="220">
        <f t="shared" si="33"/>
        <v>0</v>
      </c>
      <c r="I293" s="221">
        <f>IF(A293="Total",VLOOKUP(B293,CORRESPONDANCE[#All],2,FALSE),I294)</f>
        <v>0</v>
      </c>
      <c r="J293" s="222" t="str">
        <f t="shared" si="34"/>
        <v/>
      </c>
      <c r="K293" s="44" t="str">
        <f t="shared" si="35"/>
        <v xml:space="preserve">TURVILLA - </v>
      </c>
      <c r="L293" s="44" t="e">
        <f>+VLOOKUP(K293,TL[],4,FALSE)</f>
        <v>#N/A</v>
      </c>
    </row>
    <row r="294" spans="7:12" x14ac:dyDescent="0.2">
      <c r="G294" s="220">
        <f t="shared" si="32"/>
        <v>0</v>
      </c>
      <c r="H294" s="220">
        <f t="shared" si="33"/>
        <v>0</v>
      </c>
      <c r="I294" s="221">
        <f>IF(A294="Total",VLOOKUP(B294,CORRESPONDANCE[#All],2,FALSE),I295)</f>
        <v>0</v>
      </c>
      <c r="J294" s="222" t="str">
        <f t="shared" si="34"/>
        <v/>
      </c>
      <c r="K294" s="44" t="str">
        <f t="shared" si="35"/>
        <v xml:space="preserve">TURVILLA - </v>
      </c>
      <c r="L294" s="44" t="e">
        <f>+VLOOKUP(K294,TL[],4,FALSE)</f>
        <v>#N/A</v>
      </c>
    </row>
    <row r="295" spans="7:12" x14ac:dyDescent="0.2">
      <c r="G295" s="220">
        <f t="shared" si="32"/>
        <v>0</v>
      </c>
      <c r="H295" s="220">
        <f t="shared" si="33"/>
        <v>0</v>
      </c>
      <c r="I295" s="221">
        <f>IF(A295="Total",VLOOKUP(B295,CORRESPONDANCE[#All],2,FALSE),I296)</f>
        <v>0</v>
      </c>
      <c r="J295" s="222" t="str">
        <f t="shared" si="34"/>
        <v/>
      </c>
      <c r="K295" s="44" t="str">
        <f t="shared" si="35"/>
        <v xml:space="preserve">TURVILLA - </v>
      </c>
      <c r="L295" s="44" t="e">
        <f>+VLOOKUP(K295,TL[],4,FALSE)</f>
        <v>#N/A</v>
      </c>
    </row>
    <row r="296" spans="7:12" x14ac:dyDescent="0.2">
      <c r="G296" s="220">
        <f t="shared" si="32"/>
        <v>0</v>
      </c>
      <c r="H296" s="220">
        <f t="shared" si="33"/>
        <v>0</v>
      </c>
      <c r="I296" s="221">
        <f>IF(A296="Total",VLOOKUP(B296,CORRESPONDANCE[#All],2,FALSE),I297)</f>
        <v>0</v>
      </c>
      <c r="J296" s="222" t="str">
        <f t="shared" si="34"/>
        <v/>
      </c>
      <c r="K296" s="44" t="str">
        <f t="shared" si="35"/>
        <v xml:space="preserve">TURVILLA - </v>
      </c>
      <c r="L296" s="44" t="e">
        <f>+VLOOKUP(K296,TL[],4,FALSE)</f>
        <v>#N/A</v>
      </c>
    </row>
    <row r="297" spans="7:12" x14ac:dyDescent="0.2">
      <c r="G297" s="220">
        <f t="shared" si="32"/>
        <v>0</v>
      </c>
      <c r="H297" s="220">
        <f t="shared" si="33"/>
        <v>0</v>
      </c>
      <c r="I297" s="221">
        <f>IF(A297="Total",VLOOKUP(B297,CORRESPONDANCE[#All],2,FALSE),I298)</f>
        <v>0</v>
      </c>
      <c r="J297" s="222" t="str">
        <f t="shared" si="34"/>
        <v/>
      </c>
      <c r="K297" s="44" t="str">
        <f t="shared" si="35"/>
        <v xml:space="preserve">TURVILLA - </v>
      </c>
      <c r="L297" s="44" t="e">
        <f>+VLOOKUP(K297,TL[],4,FALSE)</f>
        <v>#N/A</v>
      </c>
    </row>
    <row r="298" spans="7:12" x14ac:dyDescent="0.2">
      <c r="G298" s="220">
        <f t="shared" si="32"/>
        <v>0</v>
      </c>
      <c r="H298" s="220">
        <f t="shared" si="33"/>
        <v>0</v>
      </c>
      <c r="I298" s="221">
        <f>IF(A298="Total",VLOOKUP(B298,CORRESPONDANCE[#All],2,FALSE),I299)</f>
        <v>0</v>
      </c>
      <c r="J298" s="222" t="str">
        <f t="shared" si="34"/>
        <v/>
      </c>
      <c r="K298" s="44" t="str">
        <f t="shared" si="35"/>
        <v xml:space="preserve">TURVILLA - </v>
      </c>
      <c r="L298" s="44" t="e">
        <f>+VLOOKUP(K298,TL[],4,FALSE)</f>
        <v>#N/A</v>
      </c>
    </row>
    <row r="299" spans="7:12" x14ac:dyDescent="0.2">
      <c r="G299" s="220">
        <f t="shared" si="32"/>
        <v>0</v>
      </c>
      <c r="H299" s="220">
        <f t="shared" si="33"/>
        <v>0</v>
      </c>
      <c r="I299" s="221">
        <f>IF(A299="Total",VLOOKUP(B299,CORRESPONDANCE[#All],2,FALSE),I300)</f>
        <v>0</v>
      </c>
      <c r="J299" s="222" t="str">
        <f t="shared" si="34"/>
        <v/>
      </c>
      <c r="K299" s="44" t="str">
        <f t="shared" si="35"/>
        <v xml:space="preserve">TURVILLA - </v>
      </c>
      <c r="L299" s="44" t="e">
        <f>+VLOOKUP(K299,TL[],4,FALSE)</f>
        <v>#N/A</v>
      </c>
    </row>
    <row r="300" spans="7:12" x14ac:dyDescent="0.2">
      <c r="G300" s="220">
        <f t="shared" si="32"/>
        <v>0</v>
      </c>
      <c r="H300" s="220">
        <f t="shared" si="33"/>
        <v>0</v>
      </c>
      <c r="I300" s="221">
        <f>IF(A300="Total",VLOOKUP(B300,CORRESPONDANCE[#All],2,FALSE),I301)</f>
        <v>0</v>
      </c>
      <c r="J300" s="222" t="str">
        <f t="shared" si="34"/>
        <v/>
      </c>
      <c r="K300" s="44" t="str">
        <f t="shared" si="35"/>
        <v xml:space="preserve">TURVILLA - </v>
      </c>
      <c r="L300" s="44" t="e">
        <f>+VLOOKUP(K300,TL[],4,FALSE)</f>
        <v>#N/A</v>
      </c>
    </row>
    <row r="301" spans="7:12" x14ac:dyDescent="0.2">
      <c r="G301" s="220">
        <f t="shared" si="32"/>
        <v>0</v>
      </c>
      <c r="H301" s="220">
        <f t="shared" si="33"/>
        <v>0</v>
      </c>
      <c r="I301" s="221">
        <f>IF(A301="Total",VLOOKUP(B301,CORRESPONDANCE[#All],2,FALSE),I302)</f>
        <v>0</v>
      </c>
      <c r="J301" s="222" t="str">
        <f t="shared" si="34"/>
        <v/>
      </c>
      <c r="K301" s="44" t="str">
        <f t="shared" si="35"/>
        <v xml:space="preserve">TURVILLA - </v>
      </c>
      <c r="L301" s="44" t="e">
        <f>+VLOOKUP(K301,TL[],4,FALSE)</f>
        <v>#N/A</v>
      </c>
    </row>
    <row r="302" spans="7:12" x14ac:dyDescent="0.2">
      <c r="G302" s="220">
        <f t="shared" si="32"/>
        <v>0</v>
      </c>
      <c r="H302" s="220">
        <f t="shared" si="33"/>
        <v>0</v>
      </c>
      <c r="I302" s="221">
        <f>IF(A302="Total",VLOOKUP(B302,CORRESPONDANCE[#All],2,FALSE),I303)</f>
        <v>0</v>
      </c>
      <c r="J302" s="222" t="str">
        <f t="shared" si="34"/>
        <v/>
      </c>
      <c r="K302" s="44" t="str">
        <f t="shared" si="35"/>
        <v xml:space="preserve">TURVILLA - </v>
      </c>
      <c r="L302" s="44" t="e">
        <f>+VLOOKUP(K302,TL[],4,FALSE)</f>
        <v>#N/A</v>
      </c>
    </row>
    <row r="303" spans="7:12" x14ac:dyDescent="0.2">
      <c r="G303" s="220">
        <f t="shared" si="32"/>
        <v>0</v>
      </c>
      <c r="H303" s="220">
        <f t="shared" si="33"/>
        <v>0</v>
      </c>
      <c r="I303" s="221">
        <f>IF(A303="Total",VLOOKUP(B303,CORRESPONDANCE[#All],2,FALSE),I304)</f>
        <v>0</v>
      </c>
      <c r="J303" s="222" t="str">
        <f t="shared" si="34"/>
        <v/>
      </c>
      <c r="K303" s="44" t="str">
        <f t="shared" si="35"/>
        <v xml:space="preserve">TURVILLA - </v>
      </c>
      <c r="L303" s="44" t="e">
        <f>+VLOOKUP(K303,TL[],4,FALSE)</f>
        <v>#N/A</v>
      </c>
    </row>
    <row r="304" spans="7:12" x14ac:dyDescent="0.2">
      <c r="G304" s="220">
        <f t="shared" si="32"/>
        <v>0</v>
      </c>
      <c r="H304" s="220">
        <f t="shared" si="33"/>
        <v>0</v>
      </c>
      <c r="I304" s="221">
        <f>IF(A304="Total",VLOOKUP(B304,CORRESPONDANCE[#All],2,FALSE),I305)</f>
        <v>0</v>
      </c>
      <c r="J304" s="222" t="str">
        <f t="shared" si="34"/>
        <v/>
      </c>
      <c r="K304" s="44" t="str">
        <f t="shared" si="35"/>
        <v xml:space="preserve">TURVILLA - </v>
      </c>
      <c r="L304" s="44" t="e">
        <f>+VLOOKUP(K304,TL[],4,FALSE)</f>
        <v>#N/A</v>
      </c>
    </row>
    <row r="305" spans="7:12" x14ac:dyDescent="0.2">
      <c r="G305" s="220">
        <f t="shared" si="32"/>
        <v>0</v>
      </c>
      <c r="H305" s="220">
        <f t="shared" si="33"/>
        <v>0</v>
      </c>
      <c r="I305" s="221">
        <f>IF(A305="Total",VLOOKUP(B305,CORRESPONDANCE[#All],2,FALSE),I306)</f>
        <v>0</v>
      </c>
      <c r="J305" s="222" t="str">
        <f t="shared" si="34"/>
        <v/>
      </c>
      <c r="K305" s="44" t="str">
        <f t="shared" si="35"/>
        <v xml:space="preserve">TURVILLA - </v>
      </c>
      <c r="L305" s="44" t="e">
        <f>+VLOOKUP(K305,TL[],4,FALSE)</f>
        <v>#N/A</v>
      </c>
    </row>
    <row r="306" spans="7:12" x14ac:dyDescent="0.2">
      <c r="G306" s="220">
        <f t="shared" si="32"/>
        <v>0</v>
      </c>
      <c r="H306" s="220">
        <f t="shared" si="33"/>
        <v>0</v>
      </c>
      <c r="I306" s="221">
        <f>IF(A306="Total",VLOOKUP(B306,CORRESPONDANCE[#All],2,FALSE),I307)</f>
        <v>0</v>
      </c>
      <c r="J306" s="222" t="str">
        <f t="shared" si="34"/>
        <v/>
      </c>
      <c r="K306" s="44" t="str">
        <f t="shared" si="35"/>
        <v xml:space="preserve">TURVILLA - </v>
      </c>
      <c r="L306" s="44" t="e">
        <f>+VLOOKUP(K306,TL[],4,FALSE)</f>
        <v>#N/A</v>
      </c>
    </row>
    <row r="307" spans="7:12" x14ac:dyDescent="0.2">
      <c r="G307" s="220">
        <f t="shared" si="32"/>
        <v>0</v>
      </c>
      <c r="H307" s="220">
        <f t="shared" si="33"/>
        <v>0</v>
      </c>
      <c r="I307" s="221">
        <f>IF(A307="Total",VLOOKUP(B307,CORRESPONDANCE[#All],2,FALSE),I308)</f>
        <v>0</v>
      </c>
      <c r="J307" s="222" t="str">
        <f t="shared" si="34"/>
        <v/>
      </c>
      <c r="K307" s="44" t="str">
        <f t="shared" si="35"/>
        <v xml:space="preserve">TURVILLA - </v>
      </c>
      <c r="L307" s="44" t="e">
        <f>+VLOOKUP(K307,TL[],4,FALSE)</f>
        <v>#N/A</v>
      </c>
    </row>
    <row r="308" spans="7:12" x14ac:dyDescent="0.2">
      <c r="G308" s="220">
        <f t="shared" si="32"/>
        <v>0</v>
      </c>
      <c r="H308" s="220">
        <f t="shared" si="33"/>
        <v>0</v>
      </c>
      <c r="I308" s="221">
        <f>IF(A308="Total",VLOOKUP(B308,CORRESPONDANCE[#All],2,FALSE),I309)</f>
        <v>0</v>
      </c>
      <c r="J308" s="222" t="str">
        <f t="shared" si="34"/>
        <v/>
      </c>
      <c r="K308" s="44" t="str">
        <f t="shared" si="35"/>
        <v xml:space="preserve">TURVILLA - </v>
      </c>
      <c r="L308" s="44" t="e">
        <f>+VLOOKUP(K308,TL[],4,FALSE)</f>
        <v>#N/A</v>
      </c>
    </row>
    <row r="309" spans="7:12" x14ac:dyDescent="0.2">
      <c r="G309" s="220">
        <f t="shared" si="32"/>
        <v>0</v>
      </c>
      <c r="H309" s="220">
        <f t="shared" si="33"/>
        <v>0</v>
      </c>
      <c r="I309" s="221">
        <f>IF(A309="Total",VLOOKUP(B309,CORRESPONDANCE[#All],2,FALSE),I310)</f>
        <v>0</v>
      </c>
      <c r="J309" s="222" t="str">
        <f t="shared" si="34"/>
        <v/>
      </c>
      <c r="K309" s="44" t="str">
        <f t="shared" si="35"/>
        <v xml:space="preserve">TURVILLA - </v>
      </c>
      <c r="L309" s="44" t="e">
        <f>+VLOOKUP(K309,TL[],4,FALSE)</f>
        <v>#N/A</v>
      </c>
    </row>
    <row r="310" spans="7:12" x14ac:dyDescent="0.2">
      <c r="G310" s="220">
        <f t="shared" si="32"/>
        <v>0</v>
      </c>
      <c r="H310" s="220">
        <f t="shared" si="33"/>
        <v>0</v>
      </c>
      <c r="I310" s="221">
        <f>IF(A310="Total",VLOOKUP(B310,CORRESPONDANCE[#All],2,FALSE),I311)</f>
        <v>0</v>
      </c>
      <c r="J310" s="222" t="str">
        <f t="shared" si="34"/>
        <v/>
      </c>
      <c r="K310" s="44" t="str">
        <f t="shared" si="35"/>
        <v xml:space="preserve">TURVILLA - </v>
      </c>
      <c r="L310" s="44" t="e">
        <f>+VLOOKUP(K310,TL[],4,FALSE)</f>
        <v>#N/A</v>
      </c>
    </row>
    <row r="311" spans="7:12" x14ac:dyDescent="0.2">
      <c r="G311" s="220">
        <f t="shared" si="32"/>
        <v>0</v>
      </c>
      <c r="H311" s="220">
        <f t="shared" si="33"/>
        <v>0</v>
      </c>
      <c r="I311" s="221">
        <f>IF(A311="Total",VLOOKUP(B311,CORRESPONDANCE[#All],2,FALSE),I312)</f>
        <v>0</v>
      </c>
      <c r="J311" s="222" t="str">
        <f t="shared" si="34"/>
        <v/>
      </c>
      <c r="K311" s="44" t="str">
        <f t="shared" si="35"/>
        <v xml:space="preserve">TURVILLA - </v>
      </c>
      <c r="L311" s="44" t="e">
        <f>+VLOOKUP(K311,TL[],4,FALSE)</f>
        <v>#N/A</v>
      </c>
    </row>
    <row r="312" spans="7:12" x14ac:dyDescent="0.2">
      <c r="G312" s="220">
        <f t="shared" si="32"/>
        <v>0</v>
      </c>
      <c r="H312" s="220">
        <f t="shared" si="33"/>
        <v>0</v>
      </c>
      <c r="I312" s="221">
        <f>IF(A312="Total",VLOOKUP(B312,CORRESPONDANCE[#All],2,FALSE),I313)</f>
        <v>0</v>
      </c>
      <c r="J312" s="222" t="str">
        <f t="shared" si="34"/>
        <v/>
      </c>
      <c r="K312" s="44" t="str">
        <f t="shared" si="35"/>
        <v xml:space="preserve">TURVILLA - </v>
      </c>
      <c r="L312" s="44" t="e">
        <f>+VLOOKUP(K312,TL[],4,FALSE)</f>
        <v>#N/A</v>
      </c>
    </row>
    <row r="313" spans="7:12" x14ac:dyDescent="0.2">
      <c r="G313" s="220">
        <f t="shared" si="32"/>
        <v>0</v>
      </c>
      <c r="H313" s="220">
        <f t="shared" si="33"/>
        <v>0</v>
      </c>
      <c r="I313" s="221">
        <f>IF(A313="Total",VLOOKUP(B313,CORRESPONDANCE[#All],2,FALSE),I314)</f>
        <v>0</v>
      </c>
      <c r="J313" s="222" t="str">
        <f t="shared" si="34"/>
        <v/>
      </c>
      <c r="K313" s="44" t="str">
        <f t="shared" si="35"/>
        <v xml:space="preserve">TURVILLA - </v>
      </c>
      <c r="L313" s="44" t="e">
        <f>+VLOOKUP(K313,TL[],4,FALSE)</f>
        <v>#N/A</v>
      </c>
    </row>
    <row r="314" spans="7:12" x14ac:dyDescent="0.2">
      <c r="G314" s="220">
        <f t="shared" si="32"/>
        <v>0</v>
      </c>
      <c r="H314" s="220">
        <f t="shared" si="33"/>
        <v>0</v>
      </c>
      <c r="I314" s="221">
        <f>IF(A314="Total",VLOOKUP(B314,CORRESPONDANCE[#All],2,FALSE),I315)</f>
        <v>0</v>
      </c>
      <c r="J314" s="222" t="str">
        <f t="shared" si="34"/>
        <v/>
      </c>
      <c r="K314" s="44" t="str">
        <f t="shared" si="35"/>
        <v xml:space="preserve">TURVILLA - </v>
      </c>
      <c r="L314" s="44" t="e">
        <f>+VLOOKUP(K314,TL[],4,FALSE)</f>
        <v>#N/A</v>
      </c>
    </row>
    <row r="315" spans="7:12" x14ac:dyDescent="0.2">
      <c r="G315" s="220">
        <f t="shared" si="32"/>
        <v>0</v>
      </c>
      <c r="H315" s="220">
        <f t="shared" si="33"/>
        <v>0</v>
      </c>
      <c r="I315" s="221">
        <f>IF(A315="Total",VLOOKUP(B315,CORRESPONDANCE[#All],2,FALSE),I316)</f>
        <v>0</v>
      </c>
      <c r="J315" s="222" t="str">
        <f t="shared" si="34"/>
        <v/>
      </c>
      <c r="K315" s="44" t="str">
        <f t="shared" si="35"/>
        <v xml:space="preserve">TURVILLA - </v>
      </c>
      <c r="L315" s="44" t="e">
        <f>+VLOOKUP(K315,TL[],4,FALSE)</f>
        <v>#N/A</v>
      </c>
    </row>
    <row r="316" spans="7:12" x14ac:dyDescent="0.2">
      <c r="G316" s="220">
        <f t="shared" si="32"/>
        <v>0</v>
      </c>
      <c r="H316" s="220">
        <f t="shared" si="33"/>
        <v>0</v>
      </c>
      <c r="I316" s="221">
        <f>IF(A316="Total",VLOOKUP(B316,CORRESPONDANCE[#All],2,FALSE),I317)</f>
        <v>0</v>
      </c>
      <c r="J316" s="222" t="str">
        <f t="shared" si="34"/>
        <v/>
      </c>
      <c r="K316" s="44" t="str">
        <f t="shared" si="35"/>
        <v xml:space="preserve">TURVILLA - </v>
      </c>
      <c r="L316" s="44" t="e">
        <f>+VLOOKUP(K316,TL[],4,FALSE)</f>
        <v>#N/A</v>
      </c>
    </row>
    <row r="317" spans="7:12" x14ac:dyDescent="0.2">
      <c r="G317" s="220">
        <f t="shared" si="32"/>
        <v>0</v>
      </c>
      <c r="H317" s="220">
        <f t="shared" si="33"/>
        <v>0</v>
      </c>
      <c r="I317" s="221">
        <f>IF(A317="Total",VLOOKUP(B317,CORRESPONDANCE[#All],2,FALSE),I318)</f>
        <v>0</v>
      </c>
      <c r="J317" s="222" t="str">
        <f t="shared" si="34"/>
        <v/>
      </c>
      <c r="K317" s="44" t="str">
        <f t="shared" si="35"/>
        <v xml:space="preserve">TURVILLA - </v>
      </c>
      <c r="L317" s="44" t="e">
        <f>+VLOOKUP(K317,TL[],4,FALSE)</f>
        <v>#N/A</v>
      </c>
    </row>
    <row r="318" spans="7:12" x14ac:dyDescent="0.2">
      <c r="G318" s="220">
        <f t="shared" si="32"/>
        <v>0</v>
      </c>
      <c r="H318" s="220">
        <f t="shared" si="33"/>
        <v>0</v>
      </c>
      <c r="I318" s="221">
        <f>IF(A318="Total",VLOOKUP(B318,CORRESPONDANCE[#All],2,FALSE),I319)</f>
        <v>0</v>
      </c>
      <c r="J318" s="222" t="str">
        <f t="shared" si="34"/>
        <v/>
      </c>
      <c r="K318" s="44" t="str">
        <f t="shared" si="35"/>
        <v xml:space="preserve">TURVILLA - </v>
      </c>
      <c r="L318" s="44" t="e">
        <f>+VLOOKUP(K318,TL[],4,FALSE)</f>
        <v>#N/A</v>
      </c>
    </row>
    <row r="319" spans="7:12" x14ac:dyDescent="0.2">
      <c r="G319" s="220">
        <f t="shared" si="32"/>
        <v>0</v>
      </c>
      <c r="H319" s="220">
        <f t="shared" si="33"/>
        <v>0</v>
      </c>
      <c r="I319" s="221">
        <f>IF(A319="Total",VLOOKUP(B319,CORRESPONDANCE[#All],2,FALSE),I320)</f>
        <v>0</v>
      </c>
      <c r="J319" s="222" t="str">
        <f t="shared" si="34"/>
        <v/>
      </c>
      <c r="K319" s="44" t="str">
        <f t="shared" si="35"/>
        <v xml:space="preserve">TURVILLA - </v>
      </c>
      <c r="L319" s="44" t="e">
        <f>+VLOOKUP(K319,TL[],4,FALSE)</f>
        <v>#N/A</v>
      </c>
    </row>
    <row r="320" spans="7:12" x14ac:dyDescent="0.2">
      <c r="G320" s="220">
        <f t="shared" si="32"/>
        <v>0</v>
      </c>
      <c r="H320" s="220">
        <f t="shared" si="33"/>
        <v>0</v>
      </c>
      <c r="I320" s="221">
        <f>IF(A320="Total",VLOOKUP(B320,CORRESPONDANCE[#All],2,FALSE),I321)</f>
        <v>0</v>
      </c>
      <c r="J320" s="222" t="str">
        <f t="shared" si="34"/>
        <v/>
      </c>
      <c r="K320" s="44" t="str">
        <f t="shared" si="35"/>
        <v xml:space="preserve">TURVILLA - </v>
      </c>
      <c r="L320" s="44" t="e">
        <f>+VLOOKUP(K320,TL[],4,FALSE)</f>
        <v>#N/A</v>
      </c>
    </row>
    <row r="321" spans="7:12" x14ac:dyDescent="0.2">
      <c r="G321" s="220">
        <f t="shared" si="32"/>
        <v>0</v>
      </c>
      <c r="H321" s="220">
        <f t="shared" si="33"/>
        <v>0</v>
      </c>
      <c r="I321" s="221">
        <f>IF(A321="Total",VLOOKUP(B321,CORRESPONDANCE[#All],2,FALSE),I322)</f>
        <v>0</v>
      </c>
      <c r="J321" s="222" t="str">
        <f t="shared" si="34"/>
        <v/>
      </c>
      <c r="K321" s="44" t="str">
        <f t="shared" si="35"/>
        <v xml:space="preserve">TURVILLA - </v>
      </c>
      <c r="L321" s="44" t="e">
        <f>+VLOOKUP(K321,TL[],4,FALSE)</f>
        <v>#N/A</v>
      </c>
    </row>
    <row r="322" spans="7:12" x14ac:dyDescent="0.2">
      <c r="G322" s="220">
        <f t="shared" si="32"/>
        <v>0</v>
      </c>
      <c r="H322" s="220">
        <f t="shared" si="33"/>
        <v>0</v>
      </c>
      <c r="I322" s="221">
        <f>IF(A322="Total",VLOOKUP(B322,CORRESPONDANCE[#All],2,FALSE),I323)</f>
        <v>0</v>
      </c>
      <c r="J322" s="222" t="str">
        <f t="shared" si="34"/>
        <v/>
      </c>
      <c r="K322" s="44" t="str">
        <f t="shared" si="35"/>
        <v xml:space="preserve">TURVILLA - </v>
      </c>
      <c r="L322" s="44" t="e">
        <f>+VLOOKUP(K322,TL[],4,FALSE)</f>
        <v>#N/A</v>
      </c>
    </row>
    <row r="323" spans="7:12" x14ac:dyDescent="0.2">
      <c r="G323" s="220">
        <f t="shared" si="32"/>
        <v>0</v>
      </c>
      <c r="H323" s="220">
        <f t="shared" si="33"/>
        <v>0</v>
      </c>
      <c r="I323" s="221">
        <f>IF(A323="Total",VLOOKUP(B323,CORRESPONDANCE[#All],2,FALSE),I324)</f>
        <v>0</v>
      </c>
      <c r="J323" s="222" t="str">
        <f t="shared" si="34"/>
        <v/>
      </c>
      <c r="K323" s="44" t="str">
        <f t="shared" si="35"/>
        <v xml:space="preserve">TURVILLA - </v>
      </c>
      <c r="L323" s="44" t="e">
        <f>+VLOOKUP(K323,TL[],4,FALSE)</f>
        <v>#N/A</v>
      </c>
    </row>
    <row r="324" spans="7:12" x14ac:dyDescent="0.2">
      <c r="G324" s="220">
        <f t="shared" si="32"/>
        <v>0</v>
      </c>
      <c r="H324" s="220">
        <f t="shared" si="33"/>
        <v>0</v>
      </c>
      <c r="I324" s="221">
        <f>IF(A324="Total",VLOOKUP(B324,CORRESPONDANCE[#All],2,FALSE),I325)</f>
        <v>0</v>
      </c>
      <c r="J324" s="222" t="str">
        <f t="shared" si="34"/>
        <v/>
      </c>
      <c r="K324" s="44" t="str">
        <f t="shared" si="35"/>
        <v xml:space="preserve">TURVILLA - </v>
      </c>
      <c r="L324" s="44" t="e">
        <f>+VLOOKUP(K324,TL[],4,FALSE)</f>
        <v>#N/A</v>
      </c>
    </row>
    <row r="325" spans="7:12" x14ac:dyDescent="0.2">
      <c r="G325" s="220">
        <f t="shared" si="32"/>
        <v>0</v>
      </c>
      <c r="H325" s="220">
        <f t="shared" si="33"/>
        <v>0</v>
      </c>
      <c r="I325" s="221">
        <f>IF(A325="Total",VLOOKUP(B325,CORRESPONDANCE[#All],2,FALSE),I326)</f>
        <v>0</v>
      </c>
      <c r="J325" s="222" t="str">
        <f t="shared" si="34"/>
        <v/>
      </c>
      <c r="K325" s="44" t="str">
        <f t="shared" si="35"/>
        <v xml:space="preserve">TURVILLA - </v>
      </c>
      <c r="L325" s="44" t="e">
        <f>+VLOOKUP(K325,TL[],4,FALSE)</f>
        <v>#N/A</v>
      </c>
    </row>
    <row r="326" spans="7:12" x14ac:dyDescent="0.2">
      <c r="G326" s="220">
        <f t="shared" si="32"/>
        <v>0</v>
      </c>
      <c r="H326" s="220">
        <f t="shared" si="33"/>
        <v>0</v>
      </c>
      <c r="I326" s="221">
        <f>IF(A326="Total",VLOOKUP(B326,CORRESPONDANCE[#All],2,FALSE),I327)</f>
        <v>0</v>
      </c>
      <c r="J326" s="222" t="str">
        <f t="shared" si="34"/>
        <v/>
      </c>
      <c r="K326" s="44" t="str">
        <f t="shared" si="35"/>
        <v xml:space="preserve">TURVILLA - </v>
      </c>
      <c r="L326" s="44" t="e">
        <f>+VLOOKUP(K326,TL[],4,FALSE)</f>
        <v>#N/A</v>
      </c>
    </row>
    <row r="327" spans="7:12" x14ac:dyDescent="0.2">
      <c r="G327" s="220">
        <f t="shared" si="32"/>
        <v>0</v>
      </c>
      <c r="H327" s="220">
        <f t="shared" si="33"/>
        <v>0</v>
      </c>
      <c r="I327" s="221">
        <f>IF(A327="Total",VLOOKUP(B327,CORRESPONDANCE[#All],2,FALSE),I328)</f>
        <v>0</v>
      </c>
      <c r="J327" s="222" t="str">
        <f t="shared" si="34"/>
        <v/>
      </c>
      <c r="K327" s="44" t="str">
        <f t="shared" si="35"/>
        <v xml:space="preserve">TURVILLA - </v>
      </c>
      <c r="L327" s="44" t="e">
        <f>+VLOOKUP(K327,TL[],4,FALSE)</f>
        <v>#N/A</v>
      </c>
    </row>
    <row r="328" spans="7:12" x14ac:dyDescent="0.2">
      <c r="G328" s="220">
        <f t="shared" si="32"/>
        <v>0</v>
      </c>
      <c r="H328" s="220">
        <f t="shared" si="33"/>
        <v>0</v>
      </c>
      <c r="I328" s="221">
        <f>IF(A328="Total",VLOOKUP(B328,CORRESPONDANCE[#All],2,FALSE),I329)</f>
        <v>0</v>
      </c>
      <c r="J328" s="222" t="str">
        <f t="shared" si="34"/>
        <v/>
      </c>
      <c r="K328" s="44" t="str">
        <f t="shared" si="35"/>
        <v xml:space="preserve">TURVILLA - </v>
      </c>
      <c r="L328" s="44" t="e">
        <f>+VLOOKUP(K328,TL[],4,FALSE)</f>
        <v>#N/A</v>
      </c>
    </row>
  </sheetData>
  <autoFilter ref="A1:L203" xr:uid="{EDA249E7-E62B-4C01-8872-52BDA37841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375-655F-4CD8-B8EC-C8348ED16B11}">
  <sheetPr>
    <tabColor theme="7" tint="0.59999389629810485"/>
  </sheetPr>
  <dimension ref="A1:L272"/>
  <sheetViews>
    <sheetView zoomScale="85" zoomScaleNormal="85" workbookViewId="0">
      <selection activeCell="D9" sqref="D9"/>
    </sheetView>
  </sheetViews>
  <sheetFormatPr baseColWidth="10" defaultColWidth="11.5703125" defaultRowHeight="12.75" x14ac:dyDescent="0.2"/>
  <cols>
    <col min="1" max="1" width="11.5703125" style="225"/>
    <col min="2" max="2" width="46" style="215" bestFit="1" customWidth="1"/>
    <col min="3" max="6" width="13.28515625" style="216" customWidth="1"/>
    <col min="7" max="8" width="13.28515625" style="223" customWidth="1"/>
    <col min="9" max="9" width="11.5703125" style="224"/>
    <col min="10" max="16384" width="11.5703125" style="44"/>
  </cols>
  <sheetData>
    <row r="1" spans="1:12" ht="15" x14ac:dyDescent="0.25">
      <c r="A1" s="290"/>
      <c r="B1" s="290"/>
      <c r="C1" s="290"/>
      <c r="D1" s="290"/>
      <c r="E1" s="290"/>
      <c r="F1" s="290"/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ht="15" x14ac:dyDescent="0.25">
      <c r="A2" s="290"/>
      <c r="B2" s="290"/>
      <c r="C2" s="290"/>
      <c r="D2" s="290"/>
      <c r="E2" s="290"/>
      <c r="F2" s="290"/>
      <c r="G2" s="220">
        <f>SUM(C2)-SUM(D2)</f>
        <v>0</v>
      </c>
      <c r="H2" s="220">
        <f>SUM(E2)-SUM(F2)</f>
        <v>0</v>
      </c>
      <c r="I2" s="221">
        <f>IF(A2="Total",VLOOKUP(B2,CORRESPONDANCE[#All],2,FALSE),I3)</f>
        <v>0</v>
      </c>
      <c r="J2" s="222" t="str">
        <f t="shared" ref="J2:J65" si="0">LEFT(A2,1)</f>
        <v/>
      </c>
      <c r="K2" s="44" t="str">
        <f t="shared" ref="K2:K65" si="1">"HART"&amp;" - "&amp;A2</f>
        <v xml:space="preserve">HART - </v>
      </c>
      <c r="L2" s="44" t="e">
        <f>+VLOOKUP(K2,TL[],4,FALSE)</f>
        <v>#N/A</v>
      </c>
    </row>
    <row r="3" spans="1:12" ht="15" x14ac:dyDescent="0.25">
      <c r="A3" s="290"/>
      <c r="B3" s="290"/>
      <c r="C3" s="290"/>
      <c r="D3" s="290"/>
      <c r="E3" s="290"/>
      <c r="F3" s="290"/>
      <c r="G3" s="220">
        <f>SUM(C3)-SUM(D3)</f>
        <v>0</v>
      </c>
      <c r="H3" s="220">
        <f>SUM(E3)-SUM(F3)</f>
        <v>0</v>
      </c>
      <c r="I3" s="221">
        <f>IF(A3="Total",VLOOKUP(B3,CORRESPONDANCE[#All],2,FALSE),I4)</f>
        <v>0</v>
      </c>
      <c r="J3" s="222" t="str">
        <f t="shared" si="0"/>
        <v/>
      </c>
      <c r="K3" s="44" t="str">
        <f t="shared" si="1"/>
        <v xml:space="preserve">HART - </v>
      </c>
      <c r="L3" s="44" t="e">
        <f>+VLOOKUP(K3,TL[],4,FALSE)</f>
        <v>#N/A</v>
      </c>
    </row>
    <row r="4" spans="1:12" ht="15" x14ac:dyDescent="0.25">
      <c r="A4" s="290"/>
      <c r="B4" s="290"/>
      <c r="C4" s="290"/>
      <c r="D4" s="290"/>
      <c r="E4" s="290"/>
      <c r="F4" s="290"/>
      <c r="G4" s="220">
        <f>SUM(C4)-SUM(D4)</f>
        <v>0</v>
      </c>
      <c r="H4" s="220">
        <f>SUM(E4)-SUM(F4)</f>
        <v>0</v>
      </c>
      <c r="I4" s="221">
        <f>IF(A4="Total",VLOOKUP(B4,CORRESPONDANCE[#All],2,FALSE),I5)</f>
        <v>0</v>
      </c>
      <c r="J4" s="222" t="str">
        <f t="shared" si="0"/>
        <v/>
      </c>
      <c r="K4" s="44" t="str">
        <f t="shared" si="1"/>
        <v xml:space="preserve">HART - </v>
      </c>
      <c r="L4" s="44" t="e">
        <f>+VLOOKUP(K4,TL[],4,FALSE)</f>
        <v>#N/A</v>
      </c>
    </row>
    <row r="5" spans="1:12" ht="15" x14ac:dyDescent="0.25">
      <c r="A5" s="290"/>
      <c r="B5" s="290"/>
      <c r="C5" s="290"/>
      <c r="D5" s="290"/>
      <c r="E5" s="290"/>
      <c r="F5" s="290"/>
      <c r="G5" s="220">
        <f t="shared" ref="G5:G68" si="2">SUM(C5)-SUM(D5)</f>
        <v>0</v>
      </c>
      <c r="H5" s="220">
        <f t="shared" ref="H5:H68" si="3">SUM(E5)-SUM(F5)</f>
        <v>0</v>
      </c>
      <c r="I5" s="221">
        <f>IF(A5="Total",VLOOKUP(B5,CORRESPONDANCE[#All],2,FALSE),I6)</f>
        <v>0</v>
      </c>
      <c r="J5" s="222" t="str">
        <f t="shared" si="0"/>
        <v/>
      </c>
      <c r="K5" s="44" t="str">
        <f t="shared" si="1"/>
        <v xml:space="preserve">HART - </v>
      </c>
      <c r="L5" s="44" t="e">
        <f>+VLOOKUP(K5,TL[],4,FALSE)</f>
        <v>#N/A</v>
      </c>
    </row>
    <row r="6" spans="1:12" ht="15" x14ac:dyDescent="0.25">
      <c r="A6" s="290"/>
      <c r="B6" s="290"/>
      <c r="C6" s="290"/>
      <c r="D6" s="290"/>
      <c r="E6" s="290"/>
      <c r="F6" s="290"/>
      <c r="G6" s="220">
        <f t="shared" si="2"/>
        <v>0</v>
      </c>
      <c r="H6" s="220">
        <f t="shared" si="3"/>
        <v>0</v>
      </c>
      <c r="I6" s="221">
        <f>IF(A6="Total",VLOOKUP(B6,CORRESPONDANCE[#All],2,FALSE),I7)</f>
        <v>0</v>
      </c>
      <c r="J6" s="222" t="str">
        <f t="shared" si="0"/>
        <v/>
      </c>
      <c r="K6" s="44" t="str">
        <f t="shared" si="1"/>
        <v xml:space="preserve">HART - </v>
      </c>
      <c r="L6" s="44" t="e">
        <f>+VLOOKUP(K6,TL[],4,FALSE)</f>
        <v>#N/A</v>
      </c>
    </row>
    <row r="7" spans="1:12" ht="15" x14ac:dyDescent="0.25">
      <c r="A7" s="290"/>
      <c r="B7" s="290"/>
      <c r="C7" s="290"/>
      <c r="D7" s="290"/>
      <c r="E7" s="290"/>
      <c r="F7" s="290"/>
      <c r="G7" s="220">
        <f t="shared" si="2"/>
        <v>0</v>
      </c>
      <c r="H7" s="220">
        <f t="shared" si="3"/>
        <v>0</v>
      </c>
      <c r="I7" s="221">
        <f>IF(A7="Total",VLOOKUP(B7,CORRESPONDANCE[#All],2,FALSE),I8)</f>
        <v>0</v>
      </c>
      <c r="J7" s="222" t="str">
        <f t="shared" si="0"/>
        <v/>
      </c>
      <c r="K7" s="44" t="str">
        <f t="shared" si="1"/>
        <v xml:space="preserve">HART - </v>
      </c>
      <c r="L7" s="44" t="e">
        <f>+VLOOKUP(K7,TL[],4,FALSE)</f>
        <v>#N/A</v>
      </c>
    </row>
    <row r="8" spans="1:12" ht="15" x14ac:dyDescent="0.25">
      <c r="A8" s="290"/>
      <c r="B8" s="290"/>
      <c r="C8" s="290"/>
      <c r="D8" s="290"/>
      <c r="E8" s="290"/>
      <c r="F8" s="290"/>
      <c r="G8" s="220">
        <f t="shared" si="2"/>
        <v>0</v>
      </c>
      <c r="H8" s="220">
        <f t="shared" si="3"/>
        <v>0</v>
      </c>
      <c r="I8" s="221">
        <f>IF(A8="Total",VLOOKUP(B8,CORRESPONDANCE[#All],2,FALSE),I9)</f>
        <v>0</v>
      </c>
      <c r="J8" s="222" t="str">
        <f t="shared" si="0"/>
        <v/>
      </c>
      <c r="K8" s="44" t="str">
        <f t="shared" si="1"/>
        <v xml:space="preserve">HART - </v>
      </c>
      <c r="L8" s="44" t="e">
        <f>+VLOOKUP(K8,TL[],4,FALSE)</f>
        <v>#N/A</v>
      </c>
    </row>
    <row r="9" spans="1:12" ht="15" x14ac:dyDescent="0.25">
      <c r="A9" s="290"/>
      <c r="B9" s="290"/>
      <c r="C9" s="290"/>
      <c r="D9" s="290"/>
      <c r="E9" s="290"/>
      <c r="F9" s="290"/>
      <c r="G9" s="220">
        <f t="shared" si="2"/>
        <v>0</v>
      </c>
      <c r="H9" s="220">
        <f t="shared" si="3"/>
        <v>0</v>
      </c>
      <c r="I9" s="221">
        <f>IF(A9="Total",VLOOKUP(B9,CORRESPONDANCE[#All],2,FALSE),I10)</f>
        <v>0</v>
      </c>
      <c r="J9" s="222" t="str">
        <f t="shared" si="0"/>
        <v/>
      </c>
      <c r="K9" s="44" t="str">
        <f t="shared" si="1"/>
        <v xml:space="preserve">HART - </v>
      </c>
      <c r="L9" s="44" t="e">
        <f>+VLOOKUP(K9,TL[],4,FALSE)</f>
        <v>#N/A</v>
      </c>
    </row>
    <row r="10" spans="1:12" ht="15" x14ac:dyDescent="0.25">
      <c r="A10" s="290"/>
      <c r="B10" s="290"/>
      <c r="C10" s="290"/>
      <c r="D10" s="290"/>
      <c r="E10" s="290"/>
      <c r="F10" s="290"/>
      <c r="G10" s="220">
        <f t="shared" si="2"/>
        <v>0</v>
      </c>
      <c r="H10" s="220">
        <f t="shared" si="3"/>
        <v>0</v>
      </c>
      <c r="I10" s="221">
        <f>IF(A10="Total",VLOOKUP(B10,CORRESPONDANCE[#All],2,FALSE),I11)</f>
        <v>0</v>
      </c>
      <c r="J10" s="222" t="str">
        <f t="shared" si="0"/>
        <v/>
      </c>
      <c r="K10" s="44" t="str">
        <f t="shared" si="1"/>
        <v xml:space="preserve">HART - </v>
      </c>
      <c r="L10" s="44" t="e">
        <f>+VLOOKUP(K10,TL[],4,FALSE)</f>
        <v>#N/A</v>
      </c>
    </row>
    <row r="11" spans="1:12" ht="15" x14ac:dyDescent="0.25">
      <c r="A11" s="290"/>
      <c r="B11" s="290"/>
      <c r="C11" s="290"/>
      <c r="D11" s="290"/>
      <c r="E11" s="290"/>
      <c r="F11" s="290"/>
      <c r="G11" s="220">
        <f t="shared" si="2"/>
        <v>0</v>
      </c>
      <c r="H11" s="220">
        <f t="shared" si="3"/>
        <v>0</v>
      </c>
      <c r="I11" s="221">
        <f>IF(A11="Total",VLOOKUP(B11,CORRESPONDANCE[#All],2,FALSE),I12)</f>
        <v>0</v>
      </c>
      <c r="J11" s="222" t="str">
        <f t="shared" si="0"/>
        <v/>
      </c>
      <c r="K11" s="44" t="str">
        <f t="shared" si="1"/>
        <v xml:space="preserve">HART - </v>
      </c>
      <c r="L11" s="44" t="e">
        <f>+VLOOKUP(K11,TL[],4,FALSE)</f>
        <v>#N/A</v>
      </c>
    </row>
    <row r="12" spans="1:12" ht="15" x14ac:dyDescent="0.25">
      <c r="A12" s="290"/>
      <c r="B12" s="290"/>
      <c r="C12" s="290"/>
      <c r="D12" s="290"/>
      <c r="E12" s="290"/>
      <c r="F12" s="290"/>
      <c r="G12" s="220">
        <f t="shared" si="2"/>
        <v>0</v>
      </c>
      <c r="H12" s="220">
        <f t="shared" si="3"/>
        <v>0</v>
      </c>
      <c r="I12" s="221">
        <f>IF(A12="Total",VLOOKUP(B12,CORRESPONDANCE[#All],2,FALSE),I13)</f>
        <v>0</v>
      </c>
      <c r="J12" s="222" t="str">
        <f t="shared" si="0"/>
        <v/>
      </c>
      <c r="K12" s="44" t="str">
        <f t="shared" si="1"/>
        <v xml:space="preserve">HART - </v>
      </c>
      <c r="L12" s="44" t="e">
        <f>+VLOOKUP(K12,TL[],4,FALSE)</f>
        <v>#N/A</v>
      </c>
    </row>
    <row r="13" spans="1:12" ht="15" x14ac:dyDescent="0.25">
      <c r="A13" s="290"/>
      <c r="B13" s="290"/>
      <c r="C13" s="290"/>
      <c r="D13" s="290"/>
      <c r="E13" s="290"/>
      <c r="F13" s="290"/>
      <c r="G13" s="220">
        <f t="shared" si="2"/>
        <v>0</v>
      </c>
      <c r="H13" s="220">
        <f t="shared" si="3"/>
        <v>0</v>
      </c>
      <c r="I13" s="221">
        <f>IF(A13="Total",VLOOKUP(B13,CORRESPONDANCE[#All],2,FALSE),I14)</f>
        <v>0</v>
      </c>
      <c r="J13" s="222" t="str">
        <f t="shared" si="0"/>
        <v/>
      </c>
      <c r="K13" s="44" t="str">
        <f t="shared" si="1"/>
        <v xml:space="preserve">HART - </v>
      </c>
      <c r="L13" s="44" t="e">
        <f>+VLOOKUP(K13,TL[],4,FALSE)</f>
        <v>#N/A</v>
      </c>
    </row>
    <row r="14" spans="1:12" ht="15" x14ac:dyDescent="0.25">
      <c r="A14" s="290"/>
      <c r="B14" s="290"/>
      <c r="C14" s="290"/>
      <c r="D14" s="290"/>
      <c r="E14" s="290"/>
      <c r="F14" s="290"/>
      <c r="G14" s="220">
        <f t="shared" si="2"/>
        <v>0</v>
      </c>
      <c r="H14" s="220">
        <f t="shared" si="3"/>
        <v>0</v>
      </c>
      <c r="I14" s="221">
        <f>IF(A14="Total",VLOOKUP(B14,CORRESPONDANCE[#All],2,FALSE),I15)</f>
        <v>0</v>
      </c>
      <c r="J14" s="222" t="str">
        <f t="shared" si="0"/>
        <v/>
      </c>
      <c r="K14" s="44" t="str">
        <f t="shared" si="1"/>
        <v xml:space="preserve">HART - </v>
      </c>
      <c r="L14" s="44" t="e">
        <f>+VLOOKUP(K14,TL[],4,FALSE)</f>
        <v>#N/A</v>
      </c>
    </row>
    <row r="15" spans="1:12" ht="15" x14ac:dyDescent="0.25">
      <c r="A15" s="290"/>
      <c r="B15" s="290"/>
      <c r="C15" s="290"/>
      <c r="D15" s="290"/>
      <c r="E15" s="290"/>
      <c r="F15" s="290"/>
      <c r="G15" s="220">
        <f t="shared" si="2"/>
        <v>0</v>
      </c>
      <c r="H15" s="220">
        <f t="shared" si="3"/>
        <v>0</v>
      </c>
      <c r="I15" s="221">
        <f>IF(A15="Total",VLOOKUP(B15,CORRESPONDANCE[#All],2,FALSE),I16)</f>
        <v>0</v>
      </c>
      <c r="J15" s="222" t="str">
        <f t="shared" si="0"/>
        <v/>
      </c>
      <c r="K15" s="44" t="str">
        <f t="shared" si="1"/>
        <v xml:space="preserve">HART - </v>
      </c>
      <c r="L15" s="44" t="e">
        <f>+VLOOKUP(K15,TL[],4,FALSE)</f>
        <v>#N/A</v>
      </c>
    </row>
    <row r="16" spans="1:12" ht="15" x14ac:dyDescent="0.25">
      <c r="A16" s="290"/>
      <c r="B16" s="290"/>
      <c r="C16" s="290"/>
      <c r="D16" s="290"/>
      <c r="E16" s="290"/>
      <c r="F16" s="290"/>
      <c r="G16" s="220">
        <f t="shared" si="2"/>
        <v>0</v>
      </c>
      <c r="H16" s="220">
        <f t="shared" si="3"/>
        <v>0</v>
      </c>
      <c r="I16" s="221">
        <f>IF(A16="Total",VLOOKUP(B16,CORRESPONDANCE[#All],2,FALSE),I17)</f>
        <v>0</v>
      </c>
      <c r="J16" s="222" t="str">
        <f t="shared" si="0"/>
        <v/>
      </c>
      <c r="K16" s="44" t="str">
        <f t="shared" si="1"/>
        <v xml:space="preserve">HART - </v>
      </c>
      <c r="L16" s="44" t="e">
        <f>+VLOOKUP(K16,TL[],4,FALSE)</f>
        <v>#N/A</v>
      </c>
    </row>
    <row r="17" spans="1:12" ht="15" x14ac:dyDescent="0.25">
      <c r="A17" s="290"/>
      <c r="B17" s="290"/>
      <c r="C17" s="290"/>
      <c r="D17" s="290"/>
      <c r="E17" s="290"/>
      <c r="F17" s="290"/>
      <c r="G17" s="220">
        <f t="shared" si="2"/>
        <v>0</v>
      </c>
      <c r="H17" s="220">
        <f t="shared" si="3"/>
        <v>0</v>
      </c>
      <c r="I17" s="221">
        <f>IF(A17="Total",VLOOKUP(B17,CORRESPONDANCE[#All],2,FALSE),I18)</f>
        <v>0</v>
      </c>
      <c r="J17" s="222" t="str">
        <f t="shared" si="0"/>
        <v/>
      </c>
      <c r="K17" s="44" t="str">
        <f t="shared" si="1"/>
        <v xml:space="preserve">HART - </v>
      </c>
      <c r="L17" s="44" t="e">
        <f>+VLOOKUP(K17,TL[],4,FALSE)</f>
        <v>#N/A</v>
      </c>
    </row>
    <row r="18" spans="1:12" ht="15" x14ac:dyDescent="0.25">
      <c r="A18" s="290"/>
      <c r="B18" s="290"/>
      <c r="C18" s="290"/>
      <c r="D18" s="290"/>
      <c r="E18" s="290"/>
      <c r="F18" s="290"/>
      <c r="G18" s="220">
        <f t="shared" si="2"/>
        <v>0</v>
      </c>
      <c r="H18" s="220">
        <f t="shared" si="3"/>
        <v>0</v>
      </c>
      <c r="I18" s="221">
        <f>IF(A18="Total",VLOOKUP(B18,CORRESPONDANCE[#All],2,FALSE),I19)</f>
        <v>0</v>
      </c>
      <c r="J18" s="222" t="str">
        <f t="shared" si="0"/>
        <v/>
      </c>
      <c r="K18" s="44" t="str">
        <f t="shared" si="1"/>
        <v xml:space="preserve">HART - </v>
      </c>
      <c r="L18" s="44" t="e">
        <f>+VLOOKUP(K18,TL[],4,FALSE)</f>
        <v>#N/A</v>
      </c>
    </row>
    <row r="19" spans="1:12" ht="15" x14ac:dyDescent="0.25">
      <c r="A19" s="290"/>
      <c r="B19" s="290"/>
      <c r="C19" s="290"/>
      <c r="D19" s="290"/>
      <c r="E19" s="290"/>
      <c r="F19" s="290"/>
      <c r="G19" s="220">
        <f t="shared" si="2"/>
        <v>0</v>
      </c>
      <c r="H19" s="220">
        <f t="shared" si="3"/>
        <v>0</v>
      </c>
      <c r="I19" s="221">
        <f>IF(A19="Total",VLOOKUP(B19,CORRESPONDANCE[#All],2,FALSE),I20)</f>
        <v>0</v>
      </c>
      <c r="J19" s="222" t="str">
        <f t="shared" si="0"/>
        <v/>
      </c>
      <c r="K19" s="44" t="str">
        <f t="shared" si="1"/>
        <v xml:space="preserve">HART - </v>
      </c>
      <c r="L19" s="44" t="e">
        <f>+VLOOKUP(K19,TL[],4,FALSE)</f>
        <v>#N/A</v>
      </c>
    </row>
    <row r="20" spans="1:12" ht="15" x14ac:dyDescent="0.25">
      <c r="A20" s="290"/>
      <c r="B20" s="290"/>
      <c r="C20" s="290"/>
      <c r="D20" s="290"/>
      <c r="E20" s="290"/>
      <c r="F20" s="290"/>
      <c r="G20" s="220">
        <f t="shared" si="2"/>
        <v>0</v>
      </c>
      <c r="H20" s="220">
        <f t="shared" si="3"/>
        <v>0</v>
      </c>
      <c r="I20" s="221">
        <f>IF(A20="Total",VLOOKUP(B20,CORRESPONDANCE[#All],2,FALSE),I21)</f>
        <v>0</v>
      </c>
      <c r="J20" s="222" t="str">
        <f t="shared" si="0"/>
        <v/>
      </c>
      <c r="K20" s="44" t="str">
        <f t="shared" si="1"/>
        <v xml:space="preserve">HART - </v>
      </c>
      <c r="L20" s="44" t="e">
        <f>+VLOOKUP(K20,TL[],4,FALSE)</f>
        <v>#N/A</v>
      </c>
    </row>
    <row r="21" spans="1:12" ht="15" x14ac:dyDescent="0.25">
      <c r="A21" s="290"/>
      <c r="B21" s="290"/>
      <c r="C21" s="290"/>
      <c r="D21" s="290"/>
      <c r="E21" s="290"/>
      <c r="F21" s="290"/>
      <c r="G21" s="220">
        <f t="shared" si="2"/>
        <v>0</v>
      </c>
      <c r="H21" s="220">
        <f t="shared" si="3"/>
        <v>0</v>
      </c>
      <c r="I21" s="221">
        <f>IF(A21="Total",VLOOKUP(B21,CORRESPONDANCE[#All],2,FALSE),I22)</f>
        <v>0</v>
      </c>
      <c r="J21" s="222" t="str">
        <f t="shared" si="0"/>
        <v/>
      </c>
      <c r="K21" s="44" t="str">
        <f t="shared" si="1"/>
        <v xml:space="preserve">HART - </v>
      </c>
      <c r="L21" s="44" t="e">
        <f>+VLOOKUP(K21,TL[],4,FALSE)</f>
        <v>#N/A</v>
      </c>
    </row>
    <row r="22" spans="1:12" ht="15" x14ac:dyDescent="0.25">
      <c r="A22" s="290"/>
      <c r="B22" s="290"/>
      <c r="C22" s="290"/>
      <c r="D22" s="290"/>
      <c r="E22" s="290"/>
      <c r="F22" s="290"/>
      <c r="G22" s="220">
        <f t="shared" si="2"/>
        <v>0</v>
      </c>
      <c r="H22" s="220">
        <f t="shared" si="3"/>
        <v>0</v>
      </c>
      <c r="I22" s="221">
        <f>IF(A22="Total",VLOOKUP(B22,CORRESPONDANCE[#All],2,FALSE),I23)</f>
        <v>0</v>
      </c>
      <c r="J22" s="222" t="str">
        <f t="shared" si="0"/>
        <v/>
      </c>
      <c r="K22" s="44" t="str">
        <f t="shared" si="1"/>
        <v xml:space="preserve">HART - </v>
      </c>
      <c r="L22" s="44" t="e">
        <f>+VLOOKUP(K22,TL[],4,FALSE)</f>
        <v>#N/A</v>
      </c>
    </row>
    <row r="23" spans="1:12" ht="15" x14ac:dyDescent="0.25">
      <c r="A23" s="290"/>
      <c r="B23" s="290"/>
      <c r="C23" s="290"/>
      <c r="D23" s="290"/>
      <c r="E23" s="290"/>
      <c r="F23" s="290"/>
      <c r="G23" s="220">
        <f t="shared" si="2"/>
        <v>0</v>
      </c>
      <c r="H23" s="220">
        <f t="shared" si="3"/>
        <v>0</v>
      </c>
      <c r="I23" s="221">
        <f>IF(A23="Total",VLOOKUP(B23,CORRESPONDANCE[#All],2,FALSE),I24)</f>
        <v>0</v>
      </c>
      <c r="J23" s="222" t="str">
        <f t="shared" si="0"/>
        <v/>
      </c>
      <c r="K23" s="44" t="str">
        <f t="shared" si="1"/>
        <v xml:space="preserve">HART - </v>
      </c>
      <c r="L23" s="44" t="e">
        <f>+VLOOKUP(K23,TL[],4,FALSE)</f>
        <v>#N/A</v>
      </c>
    </row>
    <row r="24" spans="1:12" ht="15" x14ac:dyDescent="0.25">
      <c r="A24" s="290"/>
      <c r="B24" s="290"/>
      <c r="C24" s="290"/>
      <c r="D24" s="290"/>
      <c r="E24" s="290"/>
      <c r="F24" s="290"/>
      <c r="G24" s="220">
        <f t="shared" si="2"/>
        <v>0</v>
      </c>
      <c r="H24" s="220">
        <f t="shared" si="3"/>
        <v>0</v>
      </c>
      <c r="I24" s="221">
        <f>IF(A24="Total",VLOOKUP(B24,CORRESPONDANCE[#All],2,FALSE),I25)</f>
        <v>0</v>
      </c>
      <c r="J24" s="222" t="str">
        <f t="shared" si="0"/>
        <v/>
      </c>
      <c r="K24" s="44" t="str">
        <f t="shared" si="1"/>
        <v xml:space="preserve">HART - </v>
      </c>
      <c r="L24" s="44" t="e">
        <f>+VLOOKUP(K24,TL[],4,FALSE)</f>
        <v>#N/A</v>
      </c>
    </row>
    <row r="25" spans="1:12" ht="15" x14ac:dyDescent="0.25">
      <c r="A25" s="290"/>
      <c r="B25" s="290"/>
      <c r="C25" s="290"/>
      <c r="D25" s="290"/>
      <c r="E25" s="290"/>
      <c r="F25" s="290"/>
      <c r="G25" s="220">
        <f t="shared" si="2"/>
        <v>0</v>
      </c>
      <c r="H25" s="220">
        <f t="shared" si="3"/>
        <v>0</v>
      </c>
      <c r="I25" s="221">
        <f>IF(A25="Total",VLOOKUP(B25,CORRESPONDANCE[#All],2,FALSE),I26)</f>
        <v>0</v>
      </c>
      <c r="J25" s="222" t="str">
        <f t="shared" si="0"/>
        <v/>
      </c>
      <c r="K25" s="44" t="str">
        <f t="shared" si="1"/>
        <v xml:space="preserve">HART - </v>
      </c>
      <c r="L25" s="44" t="e">
        <f>+VLOOKUP(K25,TL[],4,FALSE)</f>
        <v>#N/A</v>
      </c>
    </row>
    <row r="26" spans="1:12" ht="15" x14ac:dyDescent="0.25">
      <c r="A26" s="290"/>
      <c r="B26" s="290"/>
      <c r="C26" s="290"/>
      <c r="D26" s="290"/>
      <c r="E26" s="290"/>
      <c r="F26" s="290"/>
      <c r="G26" s="220">
        <f t="shared" si="2"/>
        <v>0</v>
      </c>
      <c r="H26" s="220">
        <f t="shared" si="3"/>
        <v>0</v>
      </c>
      <c r="I26" s="221">
        <f>IF(A26="Total",VLOOKUP(B26,CORRESPONDANCE[#All],2,FALSE),I27)</f>
        <v>0</v>
      </c>
      <c r="J26" s="222" t="str">
        <f t="shared" si="0"/>
        <v/>
      </c>
      <c r="K26" s="44" t="str">
        <f t="shared" si="1"/>
        <v xml:space="preserve">HART - </v>
      </c>
      <c r="L26" s="44" t="e">
        <f>+VLOOKUP(K26,TL[],4,FALSE)</f>
        <v>#N/A</v>
      </c>
    </row>
    <row r="27" spans="1:12" ht="15" x14ac:dyDescent="0.25">
      <c r="A27" s="290"/>
      <c r="B27" s="290"/>
      <c r="C27" s="290"/>
      <c r="D27" s="290"/>
      <c r="E27" s="290"/>
      <c r="F27" s="290"/>
      <c r="G27" s="220">
        <f t="shared" si="2"/>
        <v>0</v>
      </c>
      <c r="H27" s="220">
        <f t="shared" si="3"/>
        <v>0</v>
      </c>
      <c r="I27" s="221">
        <f>IF(A27="Total",VLOOKUP(B27,CORRESPONDANCE[#All],2,FALSE),I28)</f>
        <v>0</v>
      </c>
      <c r="J27" s="222" t="str">
        <f t="shared" si="0"/>
        <v/>
      </c>
      <c r="K27" s="44" t="str">
        <f t="shared" si="1"/>
        <v xml:space="preserve">HART - </v>
      </c>
      <c r="L27" s="44" t="e">
        <f>+VLOOKUP(K27,TL[],4,FALSE)</f>
        <v>#N/A</v>
      </c>
    </row>
    <row r="28" spans="1:12" ht="15" x14ac:dyDescent="0.25">
      <c r="A28" s="290"/>
      <c r="B28" s="290"/>
      <c r="C28" s="290"/>
      <c r="D28" s="290"/>
      <c r="E28" s="290"/>
      <c r="F28" s="290"/>
      <c r="G28" s="220">
        <f t="shared" si="2"/>
        <v>0</v>
      </c>
      <c r="H28" s="220">
        <f t="shared" si="3"/>
        <v>0</v>
      </c>
      <c r="I28" s="221">
        <f>IF(A28="Total",VLOOKUP(B28,CORRESPONDANCE[#All],2,FALSE),I29)</f>
        <v>0</v>
      </c>
      <c r="J28" s="222" t="str">
        <f t="shared" si="0"/>
        <v/>
      </c>
      <c r="K28" s="44" t="str">
        <f t="shared" si="1"/>
        <v xml:space="preserve">HART - </v>
      </c>
      <c r="L28" s="44" t="e">
        <f>+VLOOKUP(K28,TL[],4,FALSE)</f>
        <v>#N/A</v>
      </c>
    </row>
    <row r="29" spans="1:12" ht="15" x14ac:dyDescent="0.25">
      <c r="A29" s="290"/>
      <c r="B29" s="290"/>
      <c r="C29" s="290"/>
      <c r="D29" s="290"/>
      <c r="E29" s="290"/>
      <c r="F29" s="290"/>
      <c r="G29" s="220">
        <f t="shared" si="2"/>
        <v>0</v>
      </c>
      <c r="H29" s="220">
        <f t="shared" si="3"/>
        <v>0</v>
      </c>
      <c r="I29" s="221">
        <f>IF(A29="Total",VLOOKUP(B29,CORRESPONDANCE[#All],2,FALSE),I30)</f>
        <v>0</v>
      </c>
      <c r="J29" s="222" t="str">
        <f t="shared" si="0"/>
        <v/>
      </c>
      <c r="K29" s="44" t="str">
        <f t="shared" si="1"/>
        <v xml:space="preserve">HART - </v>
      </c>
      <c r="L29" s="44" t="e">
        <f>+VLOOKUP(K29,TL[],4,FALSE)</f>
        <v>#N/A</v>
      </c>
    </row>
    <row r="30" spans="1:12" ht="15" x14ac:dyDescent="0.25">
      <c r="A30" s="290"/>
      <c r="B30" s="290"/>
      <c r="C30" s="290"/>
      <c r="D30" s="290"/>
      <c r="E30" s="290"/>
      <c r="F30" s="290"/>
      <c r="G30" s="220">
        <f t="shared" si="2"/>
        <v>0</v>
      </c>
      <c r="H30" s="220">
        <f t="shared" si="3"/>
        <v>0</v>
      </c>
      <c r="I30" s="221">
        <f>IF(A30="Total",VLOOKUP(B30,CORRESPONDANCE[#All],2,FALSE),I31)</f>
        <v>0</v>
      </c>
      <c r="J30" s="222" t="str">
        <f t="shared" si="0"/>
        <v/>
      </c>
      <c r="K30" s="44" t="str">
        <f t="shared" si="1"/>
        <v xml:space="preserve">HART - </v>
      </c>
      <c r="L30" s="44" t="e">
        <f>+VLOOKUP(K30,TL[],4,FALSE)</f>
        <v>#N/A</v>
      </c>
    </row>
    <row r="31" spans="1:12" ht="15" x14ac:dyDescent="0.25">
      <c r="A31" s="290"/>
      <c r="B31" s="290"/>
      <c r="C31" s="290"/>
      <c r="D31" s="290"/>
      <c r="E31" s="290"/>
      <c r="F31" s="290"/>
      <c r="G31" s="220">
        <f t="shared" si="2"/>
        <v>0</v>
      </c>
      <c r="H31" s="220">
        <f t="shared" si="3"/>
        <v>0</v>
      </c>
      <c r="I31" s="221">
        <f>IF(A31="Total",VLOOKUP(B31,CORRESPONDANCE[#All],2,FALSE),I32)</f>
        <v>0</v>
      </c>
      <c r="J31" s="222" t="str">
        <f t="shared" si="0"/>
        <v/>
      </c>
      <c r="K31" s="44" t="str">
        <f t="shared" si="1"/>
        <v xml:space="preserve">HART - </v>
      </c>
      <c r="L31" s="44" t="e">
        <f>+VLOOKUP(K31,TL[],4,FALSE)</f>
        <v>#N/A</v>
      </c>
    </row>
    <row r="32" spans="1:12" ht="15" x14ac:dyDescent="0.25">
      <c r="A32" s="290"/>
      <c r="B32" s="290"/>
      <c r="C32" s="290"/>
      <c r="D32" s="290"/>
      <c r="E32" s="290"/>
      <c r="F32" s="290"/>
      <c r="G32" s="220">
        <f t="shared" si="2"/>
        <v>0</v>
      </c>
      <c r="H32" s="220">
        <f t="shared" si="3"/>
        <v>0</v>
      </c>
      <c r="I32" s="221">
        <f>IF(A32="Total",VLOOKUP(B32,CORRESPONDANCE[#All],2,FALSE),I33)</f>
        <v>0</v>
      </c>
      <c r="J32" s="222" t="str">
        <f t="shared" si="0"/>
        <v/>
      </c>
      <c r="K32" s="44" t="str">
        <f t="shared" si="1"/>
        <v xml:space="preserve">HART - </v>
      </c>
      <c r="L32" s="44" t="e">
        <f>+VLOOKUP(K32,TL[],4,FALSE)</f>
        <v>#N/A</v>
      </c>
    </row>
    <row r="33" spans="1:12" ht="15" x14ac:dyDescent="0.25">
      <c r="A33" s="290"/>
      <c r="B33" s="290"/>
      <c r="C33" s="290"/>
      <c r="D33" s="290"/>
      <c r="E33" s="290"/>
      <c r="F33" s="290"/>
      <c r="G33" s="220">
        <f t="shared" si="2"/>
        <v>0</v>
      </c>
      <c r="H33" s="220">
        <f t="shared" si="3"/>
        <v>0</v>
      </c>
      <c r="I33" s="221">
        <f>IF(A33="Total",VLOOKUP(B33,CORRESPONDANCE[#All],2,FALSE),I34)</f>
        <v>0</v>
      </c>
      <c r="J33" s="222" t="str">
        <f t="shared" si="0"/>
        <v/>
      </c>
      <c r="K33" s="44" t="str">
        <f t="shared" si="1"/>
        <v xml:space="preserve">HART - </v>
      </c>
      <c r="L33" s="44" t="e">
        <f>+VLOOKUP(K33,TL[],4,FALSE)</f>
        <v>#N/A</v>
      </c>
    </row>
    <row r="34" spans="1:12" ht="15" x14ac:dyDescent="0.25">
      <c r="A34" s="290"/>
      <c r="B34" s="290"/>
      <c r="C34" s="290"/>
      <c r="D34" s="290"/>
      <c r="E34" s="290"/>
      <c r="F34" s="290"/>
      <c r="G34" s="220">
        <f t="shared" si="2"/>
        <v>0</v>
      </c>
      <c r="H34" s="220">
        <f t="shared" si="3"/>
        <v>0</v>
      </c>
      <c r="I34" s="221">
        <f>IF(A34="Total",VLOOKUP(B34,CORRESPONDANCE[#All],2,FALSE),I35)</f>
        <v>0</v>
      </c>
      <c r="J34" s="222" t="str">
        <f t="shared" si="0"/>
        <v/>
      </c>
      <c r="K34" s="44" t="str">
        <f t="shared" si="1"/>
        <v xml:space="preserve">HART - </v>
      </c>
      <c r="L34" s="44" t="e">
        <f>+VLOOKUP(K34,TL[],4,FALSE)</f>
        <v>#N/A</v>
      </c>
    </row>
    <row r="35" spans="1:12" ht="15" x14ac:dyDescent="0.25">
      <c r="A35" s="290"/>
      <c r="B35" s="290"/>
      <c r="C35" s="290"/>
      <c r="D35" s="290"/>
      <c r="E35" s="290"/>
      <c r="F35" s="290"/>
      <c r="G35" s="220">
        <f t="shared" si="2"/>
        <v>0</v>
      </c>
      <c r="H35" s="220">
        <f t="shared" si="3"/>
        <v>0</v>
      </c>
      <c r="I35" s="221">
        <f>IF(A35="Total",VLOOKUP(B35,CORRESPONDANCE[#All],2,FALSE),I36)</f>
        <v>0</v>
      </c>
      <c r="J35" s="222" t="str">
        <f t="shared" si="0"/>
        <v/>
      </c>
      <c r="K35" s="44" t="str">
        <f t="shared" si="1"/>
        <v xml:space="preserve">HART - </v>
      </c>
      <c r="L35" s="44" t="e">
        <f>+VLOOKUP(K35,TL[],4,FALSE)</f>
        <v>#N/A</v>
      </c>
    </row>
    <row r="36" spans="1:12" ht="15" x14ac:dyDescent="0.25">
      <c r="A36" s="290"/>
      <c r="B36" s="290"/>
      <c r="C36" s="290"/>
      <c r="D36" s="290"/>
      <c r="E36" s="290"/>
      <c r="F36" s="290"/>
      <c r="G36" s="220">
        <f t="shared" si="2"/>
        <v>0</v>
      </c>
      <c r="H36" s="220">
        <f t="shared" si="3"/>
        <v>0</v>
      </c>
      <c r="I36" s="221">
        <f>IF(A36="Total",VLOOKUP(B36,CORRESPONDANCE[#All],2,FALSE),I37)</f>
        <v>0</v>
      </c>
      <c r="J36" s="222" t="str">
        <f t="shared" si="0"/>
        <v/>
      </c>
      <c r="K36" s="44" t="str">
        <f t="shared" si="1"/>
        <v xml:space="preserve">HART - </v>
      </c>
      <c r="L36" s="44" t="e">
        <f>+VLOOKUP(K36,TL[],4,FALSE)</f>
        <v>#N/A</v>
      </c>
    </row>
    <row r="37" spans="1:12" ht="15" x14ac:dyDescent="0.25">
      <c r="A37" s="290"/>
      <c r="B37" s="290"/>
      <c r="C37" s="290"/>
      <c r="D37" s="290"/>
      <c r="E37" s="290"/>
      <c r="F37" s="290"/>
      <c r="G37" s="220">
        <f t="shared" si="2"/>
        <v>0</v>
      </c>
      <c r="H37" s="220">
        <f t="shared" si="3"/>
        <v>0</v>
      </c>
      <c r="I37" s="221">
        <f>IF(A37="Total",VLOOKUP(B37,CORRESPONDANCE[#All],2,FALSE),I38)</f>
        <v>0</v>
      </c>
      <c r="J37" s="222" t="str">
        <f t="shared" si="0"/>
        <v/>
      </c>
      <c r="K37" s="44" t="str">
        <f t="shared" si="1"/>
        <v xml:space="preserve">HART - </v>
      </c>
      <c r="L37" s="44" t="e">
        <f>+VLOOKUP(K37,TL[],4,FALSE)</f>
        <v>#N/A</v>
      </c>
    </row>
    <row r="38" spans="1:12" ht="15" x14ac:dyDescent="0.25">
      <c r="A38" s="290"/>
      <c r="B38" s="290"/>
      <c r="C38" s="290"/>
      <c r="D38" s="290"/>
      <c r="E38" s="290"/>
      <c r="F38" s="290"/>
      <c r="G38" s="220">
        <f t="shared" si="2"/>
        <v>0</v>
      </c>
      <c r="H38" s="220">
        <f t="shared" si="3"/>
        <v>0</v>
      </c>
      <c r="I38" s="221">
        <f>IF(A38="Total",VLOOKUP(B38,CORRESPONDANCE[#All],2,FALSE),I39)</f>
        <v>0</v>
      </c>
      <c r="J38" s="222" t="str">
        <f t="shared" si="0"/>
        <v/>
      </c>
      <c r="K38" s="44" t="str">
        <f t="shared" si="1"/>
        <v xml:space="preserve">HART - </v>
      </c>
      <c r="L38" s="44" t="e">
        <f>+VLOOKUP(K38,TL[],4,FALSE)</f>
        <v>#N/A</v>
      </c>
    </row>
    <row r="39" spans="1:12" ht="15" x14ac:dyDescent="0.25">
      <c r="A39" s="290"/>
      <c r="B39" s="290"/>
      <c r="C39" s="290"/>
      <c r="D39" s="290"/>
      <c r="E39" s="290"/>
      <c r="F39" s="290"/>
      <c r="G39" s="220">
        <f t="shared" si="2"/>
        <v>0</v>
      </c>
      <c r="H39" s="220">
        <f t="shared" si="3"/>
        <v>0</v>
      </c>
      <c r="I39" s="221">
        <f>IF(A39="Total",VLOOKUP(B39,CORRESPONDANCE[#All],2,FALSE),I40)</f>
        <v>0</v>
      </c>
      <c r="J39" s="222" t="str">
        <f t="shared" si="0"/>
        <v/>
      </c>
      <c r="K39" s="44" t="str">
        <f t="shared" si="1"/>
        <v xml:space="preserve">HART - </v>
      </c>
      <c r="L39" s="44" t="e">
        <f>+VLOOKUP(K39,TL[],4,FALSE)</f>
        <v>#N/A</v>
      </c>
    </row>
    <row r="40" spans="1:12" ht="15" x14ac:dyDescent="0.25">
      <c r="A40" s="290"/>
      <c r="B40" s="290"/>
      <c r="C40" s="290"/>
      <c r="D40" s="290"/>
      <c r="E40" s="290"/>
      <c r="F40" s="290"/>
      <c r="G40" s="220">
        <f t="shared" si="2"/>
        <v>0</v>
      </c>
      <c r="H40" s="220">
        <f t="shared" si="3"/>
        <v>0</v>
      </c>
      <c r="I40" s="221">
        <f>IF(A40="Total",VLOOKUP(B40,CORRESPONDANCE[#All],2,FALSE),I41)</f>
        <v>0</v>
      </c>
      <c r="J40" s="222" t="str">
        <f t="shared" si="0"/>
        <v/>
      </c>
      <c r="K40" s="44" t="str">
        <f t="shared" si="1"/>
        <v xml:space="preserve">HART - </v>
      </c>
      <c r="L40" s="44" t="e">
        <f>+VLOOKUP(K40,TL[],4,FALSE)</f>
        <v>#N/A</v>
      </c>
    </row>
    <row r="41" spans="1:12" ht="15" x14ac:dyDescent="0.25">
      <c r="A41" s="290"/>
      <c r="B41" s="290"/>
      <c r="C41" s="290"/>
      <c r="D41" s="290"/>
      <c r="E41" s="290"/>
      <c r="F41" s="290"/>
      <c r="G41" s="220">
        <f t="shared" si="2"/>
        <v>0</v>
      </c>
      <c r="H41" s="220">
        <f t="shared" si="3"/>
        <v>0</v>
      </c>
      <c r="I41" s="221">
        <f>IF(A41="Total",VLOOKUP(B41,CORRESPONDANCE[#All],2,FALSE),I42)</f>
        <v>0</v>
      </c>
      <c r="J41" s="222" t="str">
        <f t="shared" si="0"/>
        <v/>
      </c>
      <c r="K41" s="44" t="str">
        <f t="shared" si="1"/>
        <v xml:space="preserve">HART - </v>
      </c>
      <c r="L41" s="44" t="e">
        <f>+VLOOKUP(K41,TL[],4,FALSE)</f>
        <v>#N/A</v>
      </c>
    </row>
    <row r="42" spans="1:12" ht="15" x14ac:dyDescent="0.25">
      <c r="A42" s="290"/>
      <c r="B42" s="290"/>
      <c r="C42" s="290"/>
      <c r="D42" s="290"/>
      <c r="E42" s="290"/>
      <c r="F42" s="290"/>
      <c r="G42" s="220">
        <f t="shared" si="2"/>
        <v>0</v>
      </c>
      <c r="H42" s="220">
        <f t="shared" si="3"/>
        <v>0</v>
      </c>
      <c r="I42" s="221">
        <f>IF(A42="Total",VLOOKUP(B42,CORRESPONDANCE[#All],2,FALSE),I43)</f>
        <v>0</v>
      </c>
      <c r="J42" s="222" t="str">
        <f t="shared" si="0"/>
        <v/>
      </c>
      <c r="K42" s="44" t="str">
        <f t="shared" si="1"/>
        <v xml:space="preserve">HART - </v>
      </c>
      <c r="L42" s="44" t="e">
        <f>+VLOOKUP(K42,TL[],4,FALSE)</f>
        <v>#N/A</v>
      </c>
    </row>
    <row r="43" spans="1:12" ht="15" x14ac:dyDescent="0.25">
      <c r="A43" s="290"/>
      <c r="B43" s="290"/>
      <c r="C43" s="290"/>
      <c r="D43" s="290"/>
      <c r="E43" s="290"/>
      <c r="F43" s="290"/>
      <c r="G43" s="220">
        <f t="shared" si="2"/>
        <v>0</v>
      </c>
      <c r="H43" s="220">
        <f t="shared" si="3"/>
        <v>0</v>
      </c>
      <c r="I43" s="221">
        <f>IF(A43="Total",VLOOKUP(B43,CORRESPONDANCE[#All],2,FALSE),I44)</f>
        <v>0</v>
      </c>
      <c r="J43" s="222" t="str">
        <f t="shared" si="0"/>
        <v/>
      </c>
      <c r="K43" s="44" t="str">
        <f t="shared" si="1"/>
        <v xml:space="preserve">HART - </v>
      </c>
      <c r="L43" s="44" t="e">
        <f>+VLOOKUP(K43,TL[],4,FALSE)</f>
        <v>#N/A</v>
      </c>
    </row>
    <row r="44" spans="1:12" ht="15" x14ac:dyDescent="0.25">
      <c r="A44" s="290"/>
      <c r="B44" s="290"/>
      <c r="C44" s="290"/>
      <c r="D44" s="290"/>
      <c r="E44" s="290"/>
      <c r="F44" s="290"/>
      <c r="G44" s="220">
        <f t="shared" si="2"/>
        <v>0</v>
      </c>
      <c r="H44" s="220">
        <f t="shared" si="3"/>
        <v>0</v>
      </c>
      <c r="I44" s="221">
        <f>IF(A44="Total",VLOOKUP(B44,CORRESPONDANCE[#All],2,FALSE),I45)</f>
        <v>0</v>
      </c>
      <c r="J44" s="222" t="str">
        <f t="shared" si="0"/>
        <v/>
      </c>
      <c r="K44" s="44" t="str">
        <f t="shared" si="1"/>
        <v xml:space="preserve">HART - </v>
      </c>
      <c r="L44" s="44" t="e">
        <f>+VLOOKUP(K44,TL[],4,FALSE)</f>
        <v>#N/A</v>
      </c>
    </row>
    <row r="45" spans="1:12" ht="15" x14ac:dyDescent="0.25">
      <c r="A45" s="290"/>
      <c r="B45" s="290"/>
      <c r="C45" s="290"/>
      <c r="D45" s="290"/>
      <c r="E45" s="290"/>
      <c r="F45" s="290"/>
      <c r="G45" s="220">
        <f t="shared" si="2"/>
        <v>0</v>
      </c>
      <c r="H45" s="220">
        <f t="shared" si="3"/>
        <v>0</v>
      </c>
      <c r="I45" s="221">
        <f>IF(A45="Total",VLOOKUP(B45,CORRESPONDANCE[#All],2,FALSE),I46)</f>
        <v>0</v>
      </c>
      <c r="J45" s="222" t="str">
        <f t="shared" si="0"/>
        <v/>
      </c>
      <c r="K45" s="44" t="str">
        <f t="shared" si="1"/>
        <v xml:space="preserve">HART - </v>
      </c>
      <c r="L45" s="44" t="e">
        <f>+VLOOKUP(K45,TL[],4,FALSE)</f>
        <v>#N/A</v>
      </c>
    </row>
    <row r="46" spans="1:12" ht="15" x14ac:dyDescent="0.25">
      <c r="A46" s="290"/>
      <c r="B46" s="290"/>
      <c r="C46" s="290"/>
      <c r="D46" s="290"/>
      <c r="E46" s="290"/>
      <c r="F46" s="290"/>
      <c r="G46" s="220">
        <f t="shared" si="2"/>
        <v>0</v>
      </c>
      <c r="H46" s="220">
        <f t="shared" si="3"/>
        <v>0</v>
      </c>
      <c r="I46" s="221">
        <f>IF(A46="Total",VLOOKUP(B46,CORRESPONDANCE[#All],2,FALSE),I47)</f>
        <v>0</v>
      </c>
      <c r="J46" s="222" t="str">
        <f t="shared" si="0"/>
        <v/>
      </c>
      <c r="K46" s="44" t="str">
        <f t="shared" si="1"/>
        <v xml:space="preserve">HART - </v>
      </c>
      <c r="L46" s="44" t="e">
        <f>+VLOOKUP(K46,TL[],4,FALSE)</f>
        <v>#N/A</v>
      </c>
    </row>
    <row r="47" spans="1:12" ht="15" x14ac:dyDescent="0.25">
      <c r="A47" s="290"/>
      <c r="B47" s="290"/>
      <c r="C47" s="290"/>
      <c r="D47" s="290"/>
      <c r="E47" s="290"/>
      <c r="F47" s="290"/>
      <c r="G47" s="220">
        <f t="shared" si="2"/>
        <v>0</v>
      </c>
      <c r="H47" s="220">
        <f t="shared" si="3"/>
        <v>0</v>
      </c>
      <c r="I47" s="221">
        <f>IF(A47="Total",VLOOKUP(B47,CORRESPONDANCE[#All],2,FALSE),I48)</f>
        <v>0</v>
      </c>
      <c r="J47" s="222" t="str">
        <f t="shared" si="0"/>
        <v/>
      </c>
      <c r="K47" s="44" t="str">
        <f t="shared" si="1"/>
        <v xml:space="preserve">HART - </v>
      </c>
      <c r="L47" s="44" t="e">
        <f>+VLOOKUP(K47,TL[],4,FALSE)</f>
        <v>#N/A</v>
      </c>
    </row>
    <row r="48" spans="1:12" ht="15" x14ac:dyDescent="0.25">
      <c r="A48" s="290"/>
      <c r="B48" s="290"/>
      <c r="C48" s="290"/>
      <c r="D48" s="290"/>
      <c r="E48" s="290"/>
      <c r="F48" s="290"/>
      <c r="G48" s="220">
        <f t="shared" si="2"/>
        <v>0</v>
      </c>
      <c r="H48" s="220">
        <f t="shared" si="3"/>
        <v>0</v>
      </c>
      <c r="I48" s="221">
        <f>IF(A48="Total",VLOOKUP(B48,CORRESPONDANCE[#All],2,FALSE),I49)</f>
        <v>0</v>
      </c>
      <c r="J48" s="222" t="str">
        <f t="shared" si="0"/>
        <v/>
      </c>
      <c r="K48" s="44" t="str">
        <f t="shared" si="1"/>
        <v xml:space="preserve">HART - </v>
      </c>
      <c r="L48" s="44" t="e">
        <f>+VLOOKUP(K48,TL[],4,FALSE)</f>
        <v>#N/A</v>
      </c>
    </row>
    <row r="49" spans="1:12" ht="15" x14ac:dyDescent="0.25">
      <c r="A49" s="290"/>
      <c r="B49" s="290"/>
      <c r="C49" s="290"/>
      <c r="D49" s="290"/>
      <c r="E49" s="290"/>
      <c r="F49" s="290"/>
      <c r="G49" s="220">
        <f t="shared" si="2"/>
        <v>0</v>
      </c>
      <c r="H49" s="220">
        <f t="shared" si="3"/>
        <v>0</v>
      </c>
      <c r="I49" s="221">
        <f>IF(A49="Total",VLOOKUP(B49,CORRESPONDANCE[#All],2,FALSE),I50)</f>
        <v>0</v>
      </c>
      <c r="J49" s="222" t="str">
        <f t="shared" si="0"/>
        <v/>
      </c>
      <c r="K49" s="44" t="str">
        <f t="shared" si="1"/>
        <v xml:space="preserve">HART - </v>
      </c>
      <c r="L49" s="44" t="e">
        <f>+VLOOKUP(K49,TL[],4,FALSE)</f>
        <v>#N/A</v>
      </c>
    </row>
    <row r="50" spans="1:12" ht="15" x14ac:dyDescent="0.25">
      <c r="A50" s="290"/>
      <c r="B50" s="290"/>
      <c r="C50" s="290"/>
      <c r="D50" s="290"/>
      <c r="E50" s="290"/>
      <c r="F50" s="290"/>
      <c r="G50" s="220">
        <f t="shared" si="2"/>
        <v>0</v>
      </c>
      <c r="H50" s="220">
        <f t="shared" si="3"/>
        <v>0</v>
      </c>
      <c r="I50" s="221">
        <f>IF(A50="Total",VLOOKUP(B50,CORRESPONDANCE[#All],2,FALSE),I51)</f>
        <v>0</v>
      </c>
      <c r="J50" s="222" t="str">
        <f t="shared" si="0"/>
        <v/>
      </c>
      <c r="K50" s="44" t="str">
        <f t="shared" si="1"/>
        <v xml:space="preserve">HART - </v>
      </c>
      <c r="L50" s="44" t="e">
        <f>+VLOOKUP(K50,TL[],4,FALSE)</f>
        <v>#N/A</v>
      </c>
    </row>
    <row r="51" spans="1:12" ht="15" x14ac:dyDescent="0.25">
      <c r="A51" s="290"/>
      <c r="B51" s="290"/>
      <c r="C51" s="290"/>
      <c r="D51" s="290"/>
      <c r="E51" s="290"/>
      <c r="F51" s="290"/>
      <c r="G51" s="220">
        <f t="shared" si="2"/>
        <v>0</v>
      </c>
      <c r="H51" s="220">
        <f t="shared" si="3"/>
        <v>0</v>
      </c>
      <c r="I51" s="221">
        <f>IF(A51="Total",VLOOKUP(B51,CORRESPONDANCE[#All],2,FALSE),I52)</f>
        <v>0</v>
      </c>
      <c r="J51" s="222" t="str">
        <f t="shared" si="0"/>
        <v/>
      </c>
      <c r="K51" s="44" t="str">
        <f t="shared" si="1"/>
        <v xml:space="preserve">HART - </v>
      </c>
      <c r="L51" s="44" t="e">
        <f>+VLOOKUP(K51,TL[],4,FALSE)</f>
        <v>#N/A</v>
      </c>
    </row>
    <row r="52" spans="1:12" ht="15" x14ac:dyDescent="0.25">
      <c r="A52" s="290"/>
      <c r="B52" s="290"/>
      <c r="C52" s="290"/>
      <c r="D52" s="290"/>
      <c r="E52" s="290"/>
      <c r="F52" s="290"/>
      <c r="G52" s="220">
        <f t="shared" si="2"/>
        <v>0</v>
      </c>
      <c r="H52" s="220">
        <f t="shared" si="3"/>
        <v>0</v>
      </c>
      <c r="I52" s="221">
        <f>IF(A52="Total",VLOOKUP(B52,CORRESPONDANCE[#All],2,FALSE),I53)</f>
        <v>0</v>
      </c>
      <c r="J52" s="222" t="str">
        <f t="shared" si="0"/>
        <v/>
      </c>
      <c r="K52" s="44" t="str">
        <f t="shared" si="1"/>
        <v xml:space="preserve">HART - </v>
      </c>
      <c r="L52" s="44" t="e">
        <f>+VLOOKUP(K52,TL[],4,FALSE)</f>
        <v>#N/A</v>
      </c>
    </row>
    <row r="53" spans="1:12" ht="15" x14ac:dyDescent="0.25">
      <c r="A53" s="290"/>
      <c r="B53" s="290"/>
      <c r="C53" s="290"/>
      <c r="D53" s="290"/>
      <c r="E53" s="290"/>
      <c r="F53" s="290"/>
      <c r="G53" s="220">
        <f t="shared" si="2"/>
        <v>0</v>
      </c>
      <c r="H53" s="220">
        <f t="shared" si="3"/>
        <v>0</v>
      </c>
      <c r="I53" s="221">
        <f>IF(A53="Total",VLOOKUP(B53,CORRESPONDANCE[#All],2,FALSE),I54)</f>
        <v>0</v>
      </c>
      <c r="J53" s="222" t="str">
        <f t="shared" si="0"/>
        <v/>
      </c>
      <c r="K53" s="44" t="str">
        <f t="shared" si="1"/>
        <v xml:space="preserve">HART - </v>
      </c>
      <c r="L53" s="44" t="e">
        <f>+VLOOKUP(K53,TL[],4,FALSE)</f>
        <v>#N/A</v>
      </c>
    </row>
    <row r="54" spans="1:12" ht="15" x14ac:dyDescent="0.25">
      <c r="A54" s="290"/>
      <c r="B54" s="290"/>
      <c r="C54" s="290"/>
      <c r="D54" s="290"/>
      <c r="E54" s="290"/>
      <c r="F54" s="290"/>
      <c r="G54" s="220">
        <f t="shared" si="2"/>
        <v>0</v>
      </c>
      <c r="H54" s="220">
        <f t="shared" si="3"/>
        <v>0</v>
      </c>
      <c r="I54" s="221">
        <f>IF(A54="Total",VLOOKUP(B54,CORRESPONDANCE[#All],2,FALSE),I55)</f>
        <v>0</v>
      </c>
      <c r="J54" s="222" t="str">
        <f t="shared" si="0"/>
        <v/>
      </c>
      <c r="K54" s="44" t="str">
        <f t="shared" si="1"/>
        <v xml:space="preserve">HART - </v>
      </c>
      <c r="L54" s="44" t="e">
        <f>+VLOOKUP(K54,TL[],4,FALSE)</f>
        <v>#N/A</v>
      </c>
    </row>
    <row r="55" spans="1:12" ht="15" x14ac:dyDescent="0.25">
      <c r="A55" s="290"/>
      <c r="B55" s="290"/>
      <c r="C55" s="290"/>
      <c r="D55" s="290"/>
      <c r="E55" s="290"/>
      <c r="F55" s="290"/>
      <c r="G55" s="220">
        <f t="shared" si="2"/>
        <v>0</v>
      </c>
      <c r="H55" s="220">
        <f t="shared" si="3"/>
        <v>0</v>
      </c>
      <c r="I55" s="221">
        <f>IF(A55="Total",VLOOKUP(B55,CORRESPONDANCE[#All],2,FALSE),I56)</f>
        <v>0</v>
      </c>
      <c r="J55" s="222" t="str">
        <f t="shared" si="0"/>
        <v/>
      </c>
      <c r="K55" s="44" t="str">
        <f t="shared" si="1"/>
        <v xml:space="preserve">HART - </v>
      </c>
      <c r="L55" s="44" t="e">
        <f>+VLOOKUP(K55,TL[],4,FALSE)</f>
        <v>#N/A</v>
      </c>
    </row>
    <row r="56" spans="1:12" ht="15" x14ac:dyDescent="0.25">
      <c r="A56" s="290"/>
      <c r="B56" s="290"/>
      <c r="C56" s="290"/>
      <c r="D56" s="290"/>
      <c r="E56" s="290"/>
      <c r="F56" s="290"/>
      <c r="G56" s="220">
        <f t="shared" si="2"/>
        <v>0</v>
      </c>
      <c r="H56" s="220">
        <f t="shared" si="3"/>
        <v>0</v>
      </c>
      <c r="I56" s="221">
        <f>IF(A56="Total",VLOOKUP(B56,CORRESPONDANCE[#All],2,FALSE),I57)</f>
        <v>0</v>
      </c>
      <c r="J56" s="222" t="str">
        <f t="shared" si="0"/>
        <v/>
      </c>
      <c r="K56" s="44" t="str">
        <f t="shared" si="1"/>
        <v xml:space="preserve">HART - </v>
      </c>
      <c r="L56" s="44" t="e">
        <f>+VLOOKUP(K56,TL[],4,FALSE)</f>
        <v>#N/A</v>
      </c>
    </row>
    <row r="57" spans="1:12" ht="15" x14ac:dyDescent="0.25">
      <c r="A57" s="290"/>
      <c r="B57" s="290"/>
      <c r="C57" s="290"/>
      <c r="D57" s="290"/>
      <c r="E57" s="290"/>
      <c r="F57" s="290"/>
      <c r="G57" s="220">
        <f t="shared" si="2"/>
        <v>0</v>
      </c>
      <c r="H57" s="220">
        <f t="shared" si="3"/>
        <v>0</v>
      </c>
      <c r="I57" s="221">
        <f>IF(A57="Total",VLOOKUP(B57,CORRESPONDANCE[#All],2,FALSE),I58)</f>
        <v>0</v>
      </c>
      <c r="J57" s="222" t="str">
        <f t="shared" si="0"/>
        <v/>
      </c>
      <c r="K57" s="44" t="str">
        <f t="shared" si="1"/>
        <v xml:space="preserve">HART - </v>
      </c>
      <c r="L57" s="44" t="e">
        <f>+VLOOKUP(K57,TL[],4,FALSE)</f>
        <v>#N/A</v>
      </c>
    </row>
    <row r="58" spans="1:12" ht="15" x14ac:dyDescent="0.25">
      <c r="A58" s="290"/>
      <c r="B58" s="290"/>
      <c r="C58" s="290"/>
      <c r="D58" s="290"/>
      <c r="E58" s="290"/>
      <c r="F58" s="290"/>
      <c r="G58" s="220">
        <f t="shared" si="2"/>
        <v>0</v>
      </c>
      <c r="H58" s="220">
        <f t="shared" si="3"/>
        <v>0</v>
      </c>
      <c r="I58" s="221">
        <f>IF(A58="Total",VLOOKUP(B58,CORRESPONDANCE[#All],2,FALSE),I59)</f>
        <v>0</v>
      </c>
      <c r="J58" s="222" t="str">
        <f t="shared" si="0"/>
        <v/>
      </c>
      <c r="K58" s="44" t="str">
        <f t="shared" si="1"/>
        <v xml:space="preserve">HART - </v>
      </c>
      <c r="L58" s="44" t="e">
        <f>+VLOOKUP(K58,TL[],4,FALSE)</f>
        <v>#N/A</v>
      </c>
    </row>
    <row r="59" spans="1:12" ht="15" x14ac:dyDescent="0.25">
      <c r="A59" s="290"/>
      <c r="B59" s="290"/>
      <c r="C59" s="290"/>
      <c r="D59" s="290"/>
      <c r="E59" s="290"/>
      <c r="F59" s="290"/>
      <c r="G59" s="220">
        <f t="shared" si="2"/>
        <v>0</v>
      </c>
      <c r="H59" s="220">
        <f t="shared" si="3"/>
        <v>0</v>
      </c>
      <c r="I59" s="221">
        <f>IF(A59="Total",VLOOKUP(B59,CORRESPONDANCE[#All],2,FALSE),I60)</f>
        <v>0</v>
      </c>
      <c r="J59" s="222" t="str">
        <f t="shared" si="0"/>
        <v/>
      </c>
      <c r="K59" s="44" t="str">
        <f t="shared" si="1"/>
        <v xml:space="preserve">HART - </v>
      </c>
      <c r="L59" s="44" t="e">
        <f>+VLOOKUP(K59,TL[],4,FALSE)</f>
        <v>#N/A</v>
      </c>
    </row>
    <row r="60" spans="1:12" ht="15" x14ac:dyDescent="0.25">
      <c r="A60" s="290"/>
      <c r="B60" s="290"/>
      <c r="C60" s="290"/>
      <c r="D60" s="290"/>
      <c r="E60" s="290"/>
      <c r="F60" s="290"/>
      <c r="G60" s="220">
        <f t="shared" si="2"/>
        <v>0</v>
      </c>
      <c r="H60" s="220">
        <f t="shared" si="3"/>
        <v>0</v>
      </c>
      <c r="I60" s="221">
        <f>IF(A60="Total",VLOOKUP(B60,CORRESPONDANCE[#All],2,FALSE),I61)</f>
        <v>0</v>
      </c>
      <c r="J60" s="222" t="str">
        <f t="shared" si="0"/>
        <v/>
      </c>
      <c r="K60" s="44" t="str">
        <f t="shared" si="1"/>
        <v xml:space="preserve">HART - </v>
      </c>
      <c r="L60" s="44" t="e">
        <f>+VLOOKUP(K60,TL[],4,FALSE)</f>
        <v>#N/A</v>
      </c>
    </row>
    <row r="61" spans="1:12" ht="15" x14ac:dyDescent="0.25">
      <c r="A61" s="290"/>
      <c r="B61" s="290"/>
      <c r="C61" s="290"/>
      <c r="D61" s="290"/>
      <c r="E61" s="290"/>
      <c r="F61" s="290"/>
      <c r="G61" s="220">
        <f t="shared" si="2"/>
        <v>0</v>
      </c>
      <c r="H61" s="220">
        <f t="shared" si="3"/>
        <v>0</v>
      </c>
      <c r="I61" s="221">
        <f>IF(A61="Total",VLOOKUP(B61,CORRESPONDANCE[#All],2,FALSE),I62)</f>
        <v>0</v>
      </c>
      <c r="J61" s="222" t="str">
        <f t="shared" si="0"/>
        <v/>
      </c>
      <c r="K61" s="44" t="str">
        <f t="shared" si="1"/>
        <v xml:space="preserve">HART - </v>
      </c>
      <c r="L61" s="44" t="e">
        <f>+VLOOKUP(K61,TL[],4,FALSE)</f>
        <v>#N/A</v>
      </c>
    </row>
    <row r="62" spans="1:12" ht="15" x14ac:dyDescent="0.25">
      <c r="A62" s="290"/>
      <c r="B62" s="290"/>
      <c r="C62" s="290"/>
      <c r="D62" s="290"/>
      <c r="E62" s="290"/>
      <c r="F62" s="290"/>
      <c r="G62" s="220">
        <f t="shared" si="2"/>
        <v>0</v>
      </c>
      <c r="H62" s="220">
        <f t="shared" si="3"/>
        <v>0</v>
      </c>
      <c r="I62" s="221">
        <f>IF(A62="Total",VLOOKUP(B62,CORRESPONDANCE[#All],2,FALSE),I63)</f>
        <v>0</v>
      </c>
      <c r="J62" s="222" t="str">
        <f t="shared" si="0"/>
        <v/>
      </c>
      <c r="K62" s="44" t="str">
        <f t="shared" si="1"/>
        <v xml:space="preserve">HART - </v>
      </c>
      <c r="L62" s="44" t="e">
        <f>+VLOOKUP(K62,TL[],4,FALSE)</f>
        <v>#N/A</v>
      </c>
    </row>
    <row r="63" spans="1:12" ht="15" x14ac:dyDescent="0.25">
      <c r="A63" s="290"/>
      <c r="B63" s="290"/>
      <c r="C63" s="290"/>
      <c r="D63" s="290"/>
      <c r="E63" s="290"/>
      <c r="F63" s="290"/>
      <c r="G63" s="220">
        <f t="shared" si="2"/>
        <v>0</v>
      </c>
      <c r="H63" s="220">
        <f t="shared" si="3"/>
        <v>0</v>
      </c>
      <c r="I63" s="221">
        <f>IF(A63="Total",VLOOKUP(B63,CORRESPONDANCE[#All],2,FALSE),I64)</f>
        <v>0</v>
      </c>
      <c r="J63" s="222" t="str">
        <f t="shared" si="0"/>
        <v/>
      </c>
      <c r="K63" s="44" t="str">
        <f t="shared" si="1"/>
        <v xml:space="preserve">HART - </v>
      </c>
      <c r="L63" s="44" t="e">
        <f>+VLOOKUP(K63,TL[],4,FALSE)</f>
        <v>#N/A</v>
      </c>
    </row>
    <row r="64" spans="1:12" ht="15" x14ac:dyDescent="0.25">
      <c r="A64" s="290"/>
      <c r="B64" s="290"/>
      <c r="C64" s="290"/>
      <c r="D64" s="290"/>
      <c r="E64" s="290"/>
      <c r="F64" s="290"/>
      <c r="G64" s="220">
        <f t="shared" si="2"/>
        <v>0</v>
      </c>
      <c r="H64" s="220">
        <f t="shared" si="3"/>
        <v>0</v>
      </c>
      <c r="I64" s="221">
        <f>IF(A64="Total",VLOOKUP(B64,CORRESPONDANCE[#All],2,FALSE),I65)</f>
        <v>0</v>
      </c>
      <c r="J64" s="222" t="str">
        <f t="shared" si="0"/>
        <v/>
      </c>
      <c r="K64" s="44" t="str">
        <f t="shared" si="1"/>
        <v xml:space="preserve">HART - </v>
      </c>
      <c r="L64" s="44" t="e">
        <f>+VLOOKUP(K64,TL[],4,FALSE)</f>
        <v>#N/A</v>
      </c>
    </row>
    <row r="65" spans="1:12" ht="15" x14ac:dyDescent="0.25">
      <c r="A65" s="290"/>
      <c r="B65" s="290"/>
      <c r="C65" s="290"/>
      <c r="D65" s="290"/>
      <c r="E65" s="290"/>
      <c r="F65" s="290"/>
      <c r="G65" s="220">
        <f t="shared" si="2"/>
        <v>0</v>
      </c>
      <c r="H65" s="220">
        <f t="shared" si="3"/>
        <v>0</v>
      </c>
      <c r="I65" s="221">
        <f>IF(A65="Total",VLOOKUP(B65,CORRESPONDANCE[#All],2,FALSE),I66)</f>
        <v>0</v>
      </c>
      <c r="J65" s="222" t="str">
        <f t="shared" si="0"/>
        <v/>
      </c>
      <c r="K65" s="44" t="str">
        <f t="shared" si="1"/>
        <v xml:space="preserve">HART - </v>
      </c>
      <c r="L65" s="44" t="e">
        <f>+VLOOKUP(K65,TL[],4,FALSE)</f>
        <v>#N/A</v>
      </c>
    </row>
    <row r="66" spans="1:12" ht="15" x14ac:dyDescent="0.25">
      <c r="A66" s="290"/>
      <c r="B66" s="290"/>
      <c r="C66" s="290"/>
      <c r="D66" s="290"/>
      <c r="E66" s="290"/>
      <c r="F66" s="290"/>
      <c r="G66" s="220">
        <f t="shared" si="2"/>
        <v>0</v>
      </c>
      <c r="H66" s="220">
        <f t="shared" si="3"/>
        <v>0</v>
      </c>
      <c r="I66" s="221">
        <f>IF(A66="Total",VLOOKUP(B66,CORRESPONDANCE[#All],2,FALSE),I67)</f>
        <v>0</v>
      </c>
      <c r="J66" s="222" t="str">
        <f t="shared" ref="J66:J129" si="4">LEFT(A66,1)</f>
        <v/>
      </c>
      <c r="K66" s="44" t="str">
        <f t="shared" ref="K66:K129" si="5">"HART"&amp;" - "&amp;A66</f>
        <v xml:space="preserve">HART - </v>
      </c>
      <c r="L66" s="44" t="e">
        <f>+VLOOKUP(K66,TL[],4,FALSE)</f>
        <v>#N/A</v>
      </c>
    </row>
    <row r="67" spans="1:12" ht="15" x14ac:dyDescent="0.25">
      <c r="A67" s="290"/>
      <c r="B67" s="290"/>
      <c r="C67" s="290"/>
      <c r="D67" s="290"/>
      <c r="E67" s="290"/>
      <c r="F67" s="290"/>
      <c r="G67" s="220">
        <f t="shared" si="2"/>
        <v>0</v>
      </c>
      <c r="H67" s="220">
        <f t="shared" si="3"/>
        <v>0</v>
      </c>
      <c r="I67" s="221">
        <f>IF(A67="Total",VLOOKUP(B67,CORRESPONDANCE[#All],2,FALSE),I68)</f>
        <v>0</v>
      </c>
      <c r="J67" s="222" t="str">
        <f t="shared" si="4"/>
        <v/>
      </c>
      <c r="K67" s="44" t="str">
        <f t="shared" si="5"/>
        <v xml:space="preserve">HART - </v>
      </c>
      <c r="L67" s="44" t="e">
        <f>+VLOOKUP(K67,TL[],4,FALSE)</f>
        <v>#N/A</v>
      </c>
    </row>
    <row r="68" spans="1:12" ht="15" x14ac:dyDescent="0.25">
      <c r="A68" s="290"/>
      <c r="B68" s="290"/>
      <c r="C68" s="290"/>
      <c r="D68" s="290"/>
      <c r="E68" s="290"/>
      <c r="F68" s="290"/>
      <c r="G68" s="220">
        <f t="shared" si="2"/>
        <v>0</v>
      </c>
      <c r="H68" s="220">
        <f t="shared" si="3"/>
        <v>0</v>
      </c>
      <c r="I68" s="221">
        <f>IF(A68="Total",VLOOKUP(B68,CORRESPONDANCE[#All],2,FALSE),I69)</f>
        <v>0</v>
      </c>
      <c r="J68" s="222" t="str">
        <f t="shared" si="4"/>
        <v/>
      </c>
      <c r="K68" s="44" t="str">
        <f t="shared" si="5"/>
        <v xml:space="preserve">HART - </v>
      </c>
      <c r="L68" s="44" t="e">
        <f>+VLOOKUP(K68,TL[],4,FALSE)</f>
        <v>#N/A</v>
      </c>
    </row>
    <row r="69" spans="1:12" ht="15" x14ac:dyDescent="0.25">
      <c r="A69" s="290"/>
      <c r="B69" s="290"/>
      <c r="C69" s="290"/>
      <c r="D69" s="290"/>
      <c r="E69" s="290"/>
      <c r="F69" s="290"/>
      <c r="G69" s="220">
        <f t="shared" ref="G69:G132" si="6">SUM(C69)-SUM(D69)</f>
        <v>0</v>
      </c>
      <c r="H69" s="220">
        <f t="shared" ref="H69:H132" si="7">SUM(E69)-SUM(F69)</f>
        <v>0</v>
      </c>
      <c r="I69" s="221">
        <f>IF(A69="Total",VLOOKUP(B69,CORRESPONDANCE[#All],2,FALSE),I70)</f>
        <v>0</v>
      </c>
      <c r="J69" s="222" t="str">
        <f t="shared" si="4"/>
        <v/>
      </c>
      <c r="K69" s="44" t="str">
        <f t="shared" si="5"/>
        <v xml:space="preserve">HART - </v>
      </c>
      <c r="L69" s="44" t="e">
        <f>+VLOOKUP(K69,TL[],4,FALSE)</f>
        <v>#N/A</v>
      </c>
    </row>
    <row r="70" spans="1:12" ht="15" x14ac:dyDescent="0.25">
      <c r="A70" s="290"/>
      <c r="B70" s="290"/>
      <c r="C70" s="290"/>
      <c r="D70" s="290"/>
      <c r="E70" s="290"/>
      <c r="F70" s="290"/>
      <c r="G70" s="220">
        <f t="shared" si="6"/>
        <v>0</v>
      </c>
      <c r="H70" s="220">
        <f t="shared" si="7"/>
        <v>0</v>
      </c>
      <c r="I70" s="221">
        <f>IF(A70="Total",VLOOKUP(B70,CORRESPONDANCE[#All],2,FALSE),I71)</f>
        <v>0</v>
      </c>
      <c r="J70" s="222" t="str">
        <f t="shared" si="4"/>
        <v/>
      </c>
      <c r="K70" s="44" t="str">
        <f t="shared" si="5"/>
        <v xml:space="preserve">HART - </v>
      </c>
      <c r="L70" s="44" t="e">
        <f>+VLOOKUP(K70,TL[],4,FALSE)</f>
        <v>#N/A</v>
      </c>
    </row>
    <row r="71" spans="1:12" ht="15" x14ac:dyDescent="0.25">
      <c r="A71" s="290"/>
      <c r="B71" s="290"/>
      <c r="C71" s="290"/>
      <c r="D71" s="290"/>
      <c r="E71" s="290"/>
      <c r="F71" s="290"/>
      <c r="G71" s="220">
        <f t="shared" si="6"/>
        <v>0</v>
      </c>
      <c r="H71" s="220">
        <f t="shared" si="7"/>
        <v>0</v>
      </c>
      <c r="I71" s="221">
        <f>IF(A71="Total",VLOOKUP(B71,CORRESPONDANCE[#All],2,FALSE),I72)</f>
        <v>0</v>
      </c>
      <c r="J71" s="222" t="str">
        <f t="shared" si="4"/>
        <v/>
      </c>
      <c r="K71" s="44" t="str">
        <f t="shared" si="5"/>
        <v xml:space="preserve">HART - </v>
      </c>
      <c r="L71" s="44" t="e">
        <f>+VLOOKUP(K71,TL[],4,FALSE)</f>
        <v>#N/A</v>
      </c>
    </row>
    <row r="72" spans="1:12" ht="15" x14ac:dyDescent="0.25">
      <c r="A72" s="290"/>
      <c r="B72" s="290"/>
      <c r="C72" s="290"/>
      <c r="D72" s="290"/>
      <c r="E72" s="290"/>
      <c r="F72" s="290"/>
      <c r="G72" s="220">
        <f t="shared" si="6"/>
        <v>0</v>
      </c>
      <c r="H72" s="220">
        <f t="shared" si="7"/>
        <v>0</v>
      </c>
      <c r="I72" s="221">
        <f>IF(A72="Total",VLOOKUP(B72,CORRESPONDANCE[#All],2,FALSE),I73)</f>
        <v>0</v>
      </c>
      <c r="J72" s="222" t="str">
        <f t="shared" si="4"/>
        <v/>
      </c>
      <c r="K72" s="44" t="str">
        <f t="shared" si="5"/>
        <v xml:space="preserve">HART - </v>
      </c>
      <c r="L72" s="44" t="e">
        <f>+VLOOKUP(K72,TL[],4,FALSE)</f>
        <v>#N/A</v>
      </c>
    </row>
    <row r="73" spans="1:12" ht="15" x14ac:dyDescent="0.25">
      <c r="A73" s="290"/>
      <c r="B73" s="290"/>
      <c r="C73" s="290"/>
      <c r="D73" s="290"/>
      <c r="E73" s="290"/>
      <c r="F73" s="290"/>
      <c r="G73" s="220">
        <f t="shared" si="6"/>
        <v>0</v>
      </c>
      <c r="H73" s="220">
        <f t="shared" si="7"/>
        <v>0</v>
      </c>
      <c r="I73" s="221">
        <f>IF(A73="Total",VLOOKUP(B73,CORRESPONDANCE[#All],2,FALSE),I74)</f>
        <v>0</v>
      </c>
      <c r="J73" s="222" t="str">
        <f t="shared" si="4"/>
        <v/>
      </c>
      <c r="K73" s="44" t="str">
        <f t="shared" si="5"/>
        <v xml:space="preserve">HART - </v>
      </c>
      <c r="L73" s="44" t="e">
        <f>+VLOOKUP(K73,TL[],4,FALSE)</f>
        <v>#N/A</v>
      </c>
    </row>
    <row r="74" spans="1:12" ht="15" x14ac:dyDescent="0.25">
      <c r="A74" s="290"/>
      <c r="B74" s="290"/>
      <c r="C74" s="290"/>
      <c r="D74" s="290"/>
      <c r="E74" s="290"/>
      <c r="F74" s="290"/>
      <c r="G74" s="220">
        <f t="shared" si="6"/>
        <v>0</v>
      </c>
      <c r="H74" s="220">
        <f t="shared" si="7"/>
        <v>0</v>
      </c>
      <c r="I74" s="221">
        <f>IF(A74="Total",VLOOKUP(B74,CORRESPONDANCE[#All],2,FALSE),I75)</f>
        <v>0</v>
      </c>
      <c r="J74" s="222" t="str">
        <f t="shared" si="4"/>
        <v/>
      </c>
      <c r="K74" s="44" t="str">
        <f t="shared" si="5"/>
        <v xml:space="preserve">HART - </v>
      </c>
      <c r="L74" s="44" t="e">
        <f>+VLOOKUP(K74,TL[],4,FALSE)</f>
        <v>#N/A</v>
      </c>
    </row>
    <row r="75" spans="1:12" ht="15" x14ac:dyDescent="0.25">
      <c r="A75" s="290"/>
      <c r="B75" s="290"/>
      <c r="C75" s="290"/>
      <c r="D75" s="290"/>
      <c r="E75" s="290"/>
      <c r="F75" s="290"/>
      <c r="G75" s="220">
        <f t="shared" si="6"/>
        <v>0</v>
      </c>
      <c r="H75" s="220">
        <f t="shared" si="7"/>
        <v>0</v>
      </c>
      <c r="I75" s="221">
        <f>IF(A75="Total",VLOOKUP(B75,CORRESPONDANCE[#All],2,FALSE),I76)</f>
        <v>0</v>
      </c>
      <c r="J75" s="222" t="str">
        <f t="shared" si="4"/>
        <v/>
      </c>
      <c r="K75" s="44" t="str">
        <f t="shared" si="5"/>
        <v xml:space="preserve">HART - </v>
      </c>
      <c r="L75" s="44" t="e">
        <f>+VLOOKUP(K75,TL[],4,FALSE)</f>
        <v>#N/A</v>
      </c>
    </row>
    <row r="76" spans="1:12" ht="15" x14ac:dyDescent="0.25">
      <c r="A76" s="290"/>
      <c r="B76" s="290"/>
      <c r="C76" s="290"/>
      <c r="D76" s="290"/>
      <c r="E76" s="290"/>
      <c r="F76" s="290"/>
      <c r="G76" s="220">
        <f t="shared" si="6"/>
        <v>0</v>
      </c>
      <c r="H76" s="220">
        <f t="shared" si="7"/>
        <v>0</v>
      </c>
      <c r="I76" s="221">
        <f>IF(A76="Total",VLOOKUP(B76,CORRESPONDANCE[#All],2,FALSE),I77)</f>
        <v>0</v>
      </c>
      <c r="J76" s="222" t="str">
        <f t="shared" si="4"/>
        <v/>
      </c>
      <c r="K76" s="44" t="str">
        <f t="shared" si="5"/>
        <v xml:space="preserve">HART - </v>
      </c>
      <c r="L76" s="44" t="e">
        <f>+VLOOKUP(K76,TL[],4,FALSE)</f>
        <v>#N/A</v>
      </c>
    </row>
    <row r="77" spans="1:12" ht="15" x14ac:dyDescent="0.25">
      <c r="A77" s="290"/>
      <c r="B77" s="290"/>
      <c r="C77" s="290"/>
      <c r="D77" s="290"/>
      <c r="E77" s="290"/>
      <c r="F77" s="290"/>
      <c r="G77" s="220">
        <f t="shared" si="6"/>
        <v>0</v>
      </c>
      <c r="H77" s="220">
        <f t="shared" si="7"/>
        <v>0</v>
      </c>
      <c r="I77" s="221">
        <f>IF(A77="Total",VLOOKUP(B77,CORRESPONDANCE[#All],2,FALSE),I78)</f>
        <v>0</v>
      </c>
      <c r="J77" s="222" t="str">
        <f t="shared" si="4"/>
        <v/>
      </c>
      <c r="K77" s="44" t="str">
        <f t="shared" si="5"/>
        <v xml:space="preserve">HART - </v>
      </c>
      <c r="L77" s="44" t="e">
        <f>+VLOOKUP(K77,TL[],4,FALSE)</f>
        <v>#N/A</v>
      </c>
    </row>
    <row r="78" spans="1:12" ht="15" x14ac:dyDescent="0.25">
      <c r="A78" s="290"/>
      <c r="B78" s="290"/>
      <c r="C78" s="290"/>
      <c r="D78" s="290"/>
      <c r="E78" s="290"/>
      <c r="F78" s="290"/>
      <c r="G78" s="220">
        <f t="shared" si="6"/>
        <v>0</v>
      </c>
      <c r="H78" s="220">
        <f t="shared" si="7"/>
        <v>0</v>
      </c>
      <c r="I78" s="221">
        <f>IF(A78="Total",VLOOKUP(B78,CORRESPONDANCE[#All],2,FALSE),I79)</f>
        <v>0</v>
      </c>
      <c r="J78" s="222" t="str">
        <f t="shared" si="4"/>
        <v/>
      </c>
      <c r="K78" s="44" t="str">
        <f t="shared" si="5"/>
        <v xml:space="preserve">HART - </v>
      </c>
      <c r="L78" s="44" t="e">
        <f>+VLOOKUP(K78,TL[],4,FALSE)</f>
        <v>#N/A</v>
      </c>
    </row>
    <row r="79" spans="1:12" ht="15" x14ac:dyDescent="0.25">
      <c r="A79" s="290"/>
      <c r="B79" s="290"/>
      <c r="C79" s="290"/>
      <c r="D79" s="290"/>
      <c r="E79" s="290"/>
      <c r="F79" s="290"/>
      <c r="G79" s="220">
        <f t="shared" si="6"/>
        <v>0</v>
      </c>
      <c r="H79" s="220">
        <f t="shared" si="7"/>
        <v>0</v>
      </c>
      <c r="I79" s="221">
        <f>IF(A79="Total",VLOOKUP(B79,CORRESPONDANCE[#All],2,FALSE),I80)</f>
        <v>0</v>
      </c>
      <c r="J79" s="222" t="str">
        <f t="shared" si="4"/>
        <v/>
      </c>
      <c r="K79" s="44" t="str">
        <f t="shared" si="5"/>
        <v xml:space="preserve">HART - </v>
      </c>
      <c r="L79" s="44" t="e">
        <f>+VLOOKUP(K79,TL[],4,FALSE)</f>
        <v>#N/A</v>
      </c>
    </row>
    <row r="80" spans="1:12" ht="15" x14ac:dyDescent="0.25">
      <c r="A80" s="290"/>
      <c r="B80" s="290"/>
      <c r="C80" s="290"/>
      <c r="D80" s="290"/>
      <c r="E80" s="290"/>
      <c r="F80" s="290"/>
      <c r="G80" s="220">
        <f t="shared" si="6"/>
        <v>0</v>
      </c>
      <c r="H80" s="220">
        <f t="shared" si="7"/>
        <v>0</v>
      </c>
      <c r="I80" s="221">
        <f>IF(A80="Total",VLOOKUP(B80,CORRESPONDANCE[#All],2,FALSE),I81)</f>
        <v>0</v>
      </c>
      <c r="J80" s="222" t="str">
        <f t="shared" si="4"/>
        <v/>
      </c>
      <c r="K80" s="44" t="str">
        <f t="shared" si="5"/>
        <v xml:space="preserve">HART - </v>
      </c>
      <c r="L80" s="44" t="e">
        <f>+VLOOKUP(K80,TL[],4,FALSE)</f>
        <v>#N/A</v>
      </c>
    </row>
    <row r="81" spans="1:12" ht="15" x14ac:dyDescent="0.25">
      <c r="A81" s="290"/>
      <c r="B81" s="290"/>
      <c r="C81" s="290"/>
      <c r="D81" s="290"/>
      <c r="E81" s="290"/>
      <c r="F81" s="290"/>
      <c r="G81" s="220">
        <f t="shared" si="6"/>
        <v>0</v>
      </c>
      <c r="H81" s="220">
        <f t="shared" si="7"/>
        <v>0</v>
      </c>
      <c r="I81" s="221">
        <f>IF(A81="Total",VLOOKUP(B81,CORRESPONDANCE[#All],2,FALSE),I82)</f>
        <v>0</v>
      </c>
      <c r="J81" s="222" t="str">
        <f t="shared" si="4"/>
        <v/>
      </c>
      <c r="K81" s="44" t="str">
        <f t="shared" si="5"/>
        <v xml:space="preserve">HART - </v>
      </c>
      <c r="L81" s="44" t="e">
        <f>+VLOOKUP(K81,TL[],4,FALSE)</f>
        <v>#N/A</v>
      </c>
    </row>
    <row r="82" spans="1:12" ht="15" x14ac:dyDescent="0.25">
      <c r="A82" s="290"/>
      <c r="B82" s="290"/>
      <c r="C82" s="290"/>
      <c r="D82" s="290"/>
      <c r="E82" s="290"/>
      <c r="F82" s="290"/>
      <c r="G82" s="220">
        <f t="shared" si="6"/>
        <v>0</v>
      </c>
      <c r="H82" s="220">
        <f t="shared" si="7"/>
        <v>0</v>
      </c>
      <c r="I82" s="221">
        <f>IF(A82="Total",VLOOKUP(B82,CORRESPONDANCE[#All],2,FALSE),I83)</f>
        <v>0</v>
      </c>
      <c r="J82" s="222" t="str">
        <f t="shared" si="4"/>
        <v/>
      </c>
      <c r="K82" s="44" t="str">
        <f t="shared" si="5"/>
        <v xml:space="preserve">HART - </v>
      </c>
      <c r="L82" s="44" t="e">
        <f>+VLOOKUP(K82,TL[],4,FALSE)</f>
        <v>#N/A</v>
      </c>
    </row>
    <row r="83" spans="1:12" ht="15" x14ac:dyDescent="0.25">
      <c r="A83" s="290"/>
      <c r="B83" s="290"/>
      <c r="C83" s="290"/>
      <c r="D83" s="290"/>
      <c r="E83" s="290"/>
      <c r="F83" s="290"/>
      <c r="G83" s="220">
        <f t="shared" si="6"/>
        <v>0</v>
      </c>
      <c r="H83" s="220">
        <f t="shared" si="7"/>
        <v>0</v>
      </c>
      <c r="I83" s="221">
        <f>IF(A83="Total",VLOOKUP(B83,CORRESPONDANCE[#All],2,FALSE),I84)</f>
        <v>0</v>
      </c>
      <c r="J83" s="222" t="str">
        <f t="shared" si="4"/>
        <v/>
      </c>
      <c r="K83" s="44" t="str">
        <f t="shared" si="5"/>
        <v xml:space="preserve">HART - </v>
      </c>
      <c r="L83" s="44" t="e">
        <f>+VLOOKUP(K83,TL[],4,FALSE)</f>
        <v>#N/A</v>
      </c>
    </row>
    <row r="84" spans="1:12" ht="15" x14ac:dyDescent="0.25">
      <c r="A84" s="290"/>
      <c r="B84" s="290"/>
      <c r="C84" s="290"/>
      <c r="D84" s="290"/>
      <c r="E84" s="290"/>
      <c r="F84" s="290"/>
      <c r="G84" s="220">
        <f t="shared" si="6"/>
        <v>0</v>
      </c>
      <c r="H84" s="220">
        <f t="shared" si="7"/>
        <v>0</v>
      </c>
      <c r="I84" s="221">
        <f>IF(A84="Total",VLOOKUP(B84,CORRESPONDANCE[#All],2,FALSE),I85)</f>
        <v>0</v>
      </c>
      <c r="J84" s="222" t="str">
        <f t="shared" si="4"/>
        <v/>
      </c>
      <c r="K84" s="44" t="str">
        <f t="shared" si="5"/>
        <v xml:space="preserve">HART - </v>
      </c>
      <c r="L84" s="44" t="e">
        <f>+VLOOKUP(K84,TL[],4,FALSE)</f>
        <v>#N/A</v>
      </c>
    </row>
    <row r="85" spans="1:12" ht="15" x14ac:dyDescent="0.25">
      <c r="A85" s="290"/>
      <c r="B85" s="290"/>
      <c r="C85" s="290"/>
      <c r="D85" s="290"/>
      <c r="E85" s="290"/>
      <c r="F85" s="290"/>
      <c r="G85" s="220">
        <f t="shared" si="6"/>
        <v>0</v>
      </c>
      <c r="H85" s="220">
        <f t="shared" si="7"/>
        <v>0</v>
      </c>
      <c r="I85" s="221">
        <f>IF(A85="Total",VLOOKUP(B85,CORRESPONDANCE[#All],2,FALSE),I86)</f>
        <v>0</v>
      </c>
      <c r="J85" s="222" t="str">
        <f t="shared" si="4"/>
        <v/>
      </c>
      <c r="K85" s="44" t="str">
        <f t="shared" si="5"/>
        <v xml:space="preserve">HART - </v>
      </c>
      <c r="L85" s="44" t="e">
        <f>+VLOOKUP(K85,TL[],4,FALSE)</f>
        <v>#N/A</v>
      </c>
    </row>
    <row r="86" spans="1:12" ht="15" x14ac:dyDescent="0.25">
      <c r="A86" s="290"/>
      <c r="B86" s="290"/>
      <c r="C86" s="290"/>
      <c r="D86" s="290"/>
      <c r="E86" s="290"/>
      <c r="F86" s="290"/>
      <c r="G86" s="220">
        <f t="shared" si="6"/>
        <v>0</v>
      </c>
      <c r="H86" s="220">
        <f t="shared" si="7"/>
        <v>0</v>
      </c>
      <c r="I86" s="221">
        <f>IF(A86="Total",VLOOKUP(B86,CORRESPONDANCE[#All],2,FALSE),I87)</f>
        <v>0</v>
      </c>
      <c r="J86" s="222" t="str">
        <f t="shared" si="4"/>
        <v/>
      </c>
      <c r="K86" s="44" t="str">
        <f t="shared" si="5"/>
        <v xml:space="preserve">HART - </v>
      </c>
      <c r="L86" s="44" t="e">
        <f>+VLOOKUP(K86,TL[],4,FALSE)</f>
        <v>#N/A</v>
      </c>
    </row>
    <row r="87" spans="1:12" ht="15" x14ac:dyDescent="0.25">
      <c r="A87" s="290"/>
      <c r="B87" s="290"/>
      <c r="C87" s="290"/>
      <c r="D87" s="290"/>
      <c r="E87" s="290"/>
      <c r="F87" s="290"/>
      <c r="G87" s="220">
        <f t="shared" si="6"/>
        <v>0</v>
      </c>
      <c r="H87" s="220">
        <f t="shared" si="7"/>
        <v>0</v>
      </c>
      <c r="I87" s="221">
        <f>IF(A87="Total",VLOOKUP(B87,CORRESPONDANCE[#All],2,FALSE),I88)</f>
        <v>0</v>
      </c>
      <c r="J87" s="222" t="str">
        <f t="shared" si="4"/>
        <v/>
      </c>
      <c r="K87" s="44" t="str">
        <f t="shared" si="5"/>
        <v xml:space="preserve">HART - </v>
      </c>
      <c r="L87" s="44" t="e">
        <f>+VLOOKUP(K87,TL[],4,FALSE)</f>
        <v>#N/A</v>
      </c>
    </row>
    <row r="88" spans="1:12" ht="15" x14ac:dyDescent="0.25">
      <c r="A88" s="290"/>
      <c r="B88" s="290"/>
      <c r="C88" s="290"/>
      <c r="D88" s="290"/>
      <c r="E88" s="290"/>
      <c r="F88" s="290"/>
      <c r="G88" s="220">
        <f t="shared" si="6"/>
        <v>0</v>
      </c>
      <c r="H88" s="220">
        <f t="shared" si="7"/>
        <v>0</v>
      </c>
      <c r="I88" s="221">
        <f>IF(A88="Total",VLOOKUP(B88,CORRESPONDANCE[#All],2,FALSE),I89)</f>
        <v>0</v>
      </c>
      <c r="J88" s="222" t="str">
        <f t="shared" si="4"/>
        <v/>
      </c>
      <c r="K88" s="44" t="str">
        <f t="shared" si="5"/>
        <v xml:space="preserve">HART - </v>
      </c>
      <c r="L88" s="44" t="e">
        <f>+VLOOKUP(K88,TL[],4,FALSE)</f>
        <v>#N/A</v>
      </c>
    </row>
    <row r="89" spans="1:12" ht="15" x14ac:dyDescent="0.25">
      <c r="A89" s="290"/>
      <c r="B89" s="290"/>
      <c r="C89" s="290"/>
      <c r="D89" s="290"/>
      <c r="E89" s="290"/>
      <c r="F89" s="290"/>
      <c r="G89" s="220">
        <f t="shared" si="6"/>
        <v>0</v>
      </c>
      <c r="H89" s="220">
        <f t="shared" si="7"/>
        <v>0</v>
      </c>
      <c r="I89" s="221">
        <f>IF(A89="Total",VLOOKUP(B89,CORRESPONDANCE[#All],2,FALSE),I90)</f>
        <v>0</v>
      </c>
      <c r="J89" s="222" t="str">
        <f t="shared" si="4"/>
        <v/>
      </c>
      <c r="K89" s="44" t="str">
        <f t="shared" si="5"/>
        <v xml:space="preserve">HART - </v>
      </c>
      <c r="L89" s="44" t="e">
        <f>+VLOOKUP(K89,TL[],4,FALSE)</f>
        <v>#N/A</v>
      </c>
    </row>
    <row r="90" spans="1:12" ht="15" x14ac:dyDescent="0.25">
      <c r="A90" s="290"/>
      <c r="B90" s="290"/>
      <c r="C90" s="290"/>
      <c r="D90" s="290"/>
      <c r="E90" s="290"/>
      <c r="F90" s="290"/>
      <c r="G90" s="220">
        <f t="shared" si="6"/>
        <v>0</v>
      </c>
      <c r="H90" s="220">
        <f t="shared" si="7"/>
        <v>0</v>
      </c>
      <c r="I90" s="221">
        <f>IF(A90="Total",VLOOKUP(B90,CORRESPONDANCE[#All],2,FALSE),I91)</f>
        <v>0</v>
      </c>
      <c r="J90" s="222" t="str">
        <f t="shared" si="4"/>
        <v/>
      </c>
      <c r="K90" s="44" t="str">
        <f t="shared" si="5"/>
        <v xml:space="preserve">HART - </v>
      </c>
      <c r="L90" s="44" t="e">
        <f>+VLOOKUP(K90,TL[],4,FALSE)</f>
        <v>#N/A</v>
      </c>
    </row>
    <row r="91" spans="1:12" ht="15" x14ac:dyDescent="0.25">
      <c r="A91" s="290"/>
      <c r="B91" s="290"/>
      <c r="C91" s="290"/>
      <c r="D91" s="290"/>
      <c r="E91" s="290"/>
      <c r="F91" s="290"/>
      <c r="G91" s="220">
        <f t="shared" si="6"/>
        <v>0</v>
      </c>
      <c r="H91" s="220">
        <f t="shared" si="7"/>
        <v>0</v>
      </c>
      <c r="I91" s="221">
        <f>IF(A91="Total",VLOOKUP(B91,CORRESPONDANCE[#All],2,FALSE),I92)</f>
        <v>0</v>
      </c>
      <c r="J91" s="222" t="str">
        <f t="shared" si="4"/>
        <v/>
      </c>
      <c r="K91" s="44" t="str">
        <f t="shared" si="5"/>
        <v xml:space="preserve">HART - </v>
      </c>
      <c r="L91" s="44" t="e">
        <f>+VLOOKUP(K91,TL[],4,FALSE)</f>
        <v>#N/A</v>
      </c>
    </row>
    <row r="92" spans="1:12" ht="15" x14ac:dyDescent="0.25">
      <c r="A92" s="290"/>
      <c r="B92" s="290"/>
      <c r="C92" s="290"/>
      <c r="D92" s="290"/>
      <c r="E92" s="290"/>
      <c r="F92" s="290"/>
      <c r="G92" s="220">
        <f t="shared" si="6"/>
        <v>0</v>
      </c>
      <c r="H92" s="220">
        <f t="shared" si="7"/>
        <v>0</v>
      </c>
      <c r="I92" s="221">
        <f>IF(A92="Total",VLOOKUP(B92,CORRESPONDANCE[#All],2,FALSE),I93)</f>
        <v>0</v>
      </c>
      <c r="J92" s="222" t="str">
        <f t="shared" si="4"/>
        <v/>
      </c>
      <c r="K92" s="44" t="str">
        <f t="shared" si="5"/>
        <v xml:space="preserve">HART - </v>
      </c>
      <c r="L92" s="44" t="e">
        <f>+VLOOKUP(K92,TL[],4,FALSE)</f>
        <v>#N/A</v>
      </c>
    </row>
    <row r="93" spans="1:12" ht="15" x14ac:dyDescent="0.25">
      <c r="A93" s="290"/>
      <c r="B93" s="290"/>
      <c r="C93" s="290"/>
      <c r="D93" s="290"/>
      <c r="E93" s="290"/>
      <c r="F93" s="290"/>
      <c r="G93" s="220">
        <f t="shared" si="6"/>
        <v>0</v>
      </c>
      <c r="H93" s="220">
        <f t="shared" si="7"/>
        <v>0</v>
      </c>
      <c r="I93" s="221">
        <f>IF(A93="Total",VLOOKUP(B93,CORRESPONDANCE[#All],2,FALSE),I94)</f>
        <v>0</v>
      </c>
      <c r="J93" s="222" t="str">
        <f t="shared" si="4"/>
        <v/>
      </c>
      <c r="K93" s="44" t="str">
        <f t="shared" si="5"/>
        <v xml:space="preserve">HART - </v>
      </c>
      <c r="L93" s="44" t="e">
        <f>+VLOOKUP(K93,TL[],4,FALSE)</f>
        <v>#N/A</v>
      </c>
    </row>
    <row r="94" spans="1:12" ht="15" x14ac:dyDescent="0.25">
      <c r="A94" s="290"/>
      <c r="B94" s="290"/>
      <c r="C94" s="290"/>
      <c r="D94" s="290"/>
      <c r="E94" s="290"/>
      <c r="F94" s="290"/>
      <c r="G94" s="220">
        <f t="shared" si="6"/>
        <v>0</v>
      </c>
      <c r="H94" s="220">
        <f t="shared" si="7"/>
        <v>0</v>
      </c>
      <c r="I94" s="221">
        <f>IF(A94="Total",VLOOKUP(B94,CORRESPONDANCE[#All],2,FALSE),I95)</f>
        <v>0</v>
      </c>
      <c r="J94" s="222" t="str">
        <f t="shared" si="4"/>
        <v/>
      </c>
      <c r="K94" s="44" t="str">
        <f t="shared" si="5"/>
        <v xml:space="preserve">HART - </v>
      </c>
      <c r="L94" s="44" t="e">
        <f>+VLOOKUP(K94,TL[],4,FALSE)</f>
        <v>#N/A</v>
      </c>
    </row>
    <row r="95" spans="1:12" ht="15" x14ac:dyDescent="0.25">
      <c r="A95" s="290"/>
      <c r="B95" s="290"/>
      <c r="C95" s="290"/>
      <c r="D95" s="290"/>
      <c r="E95" s="290"/>
      <c r="F95" s="290"/>
      <c r="G95" s="220">
        <f t="shared" si="6"/>
        <v>0</v>
      </c>
      <c r="H95" s="220">
        <f t="shared" si="7"/>
        <v>0</v>
      </c>
      <c r="I95" s="221">
        <f>IF(A95="Total",VLOOKUP(B95,CORRESPONDANCE[#All],2,FALSE),I96)</f>
        <v>0</v>
      </c>
      <c r="J95" s="222" t="str">
        <f t="shared" si="4"/>
        <v/>
      </c>
      <c r="K95" s="44" t="str">
        <f t="shared" si="5"/>
        <v xml:space="preserve">HART - </v>
      </c>
      <c r="L95" s="44" t="e">
        <f>+VLOOKUP(K95,TL[],4,FALSE)</f>
        <v>#N/A</v>
      </c>
    </row>
    <row r="96" spans="1:12" ht="15" x14ac:dyDescent="0.25">
      <c r="A96" s="290"/>
      <c r="B96" s="290"/>
      <c r="C96" s="290"/>
      <c r="D96" s="290"/>
      <c r="E96" s="290"/>
      <c r="F96" s="290"/>
      <c r="G96" s="220">
        <f t="shared" si="6"/>
        <v>0</v>
      </c>
      <c r="H96" s="220">
        <f t="shared" si="7"/>
        <v>0</v>
      </c>
      <c r="I96" s="221">
        <f>IF(A96="Total",VLOOKUP(B96,CORRESPONDANCE[#All],2,FALSE),I97)</f>
        <v>0</v>
      </c>
      <c r="J96" s="222" t="str">
        <f t="shared" si="4"/>
        <v/>
      </c>
      <c r="K96" s="44" t="str">
        <f t="shared" si="5"/>
        <v xml:space="preserve">HART - </v>
      </c>
      <c r="L96" s="44" t="e">
        <f>+VLOOKUP(K96,TL[],4,FALSE)</f>
        <v>#N/A</v>
      </c>
    </row>
    <row r="97" spans="1:12" ht="15" x14ac:dyDescent="0.25">
      <c r="A97" s="290"/>
      <c r="B97" s="290"/>
      <c r="C97" s="290"/>
      <c r="D97" s="290"/>
      <c r="E97" s="290"/>
      <c r="F97" s="290"/>
      <c r="G97" s="220">
        <f t="shared" si="6"/>
        <v>0</v>
      </c>
      <c r="H97" s="220">
        <f t="shared" si="7"/>
        <v>0</v>
      </c>
      <c r="I97" s="221">
        <f>IF(A97="Total",VLOOKUP(B97,CORRESPONDANCE[#All],2,FALSE),I98)</f>
        <v>0</v>
      </c>
      <c r="J97" s="222" t="str">
        <f t="shared" si="4"/>
        <v/>
      </c>
      <c r="K97" s="44" t="str">
        <f t="shared" si="5"/>
        <v xml:space="preserve">HART - </v>
      </c>
      <c r="L97" s="44" t="e">
        <f>+VLOOKUP(K97,TL[],4,FALSE)</f>
        <v>#N/A</v>
      </c>
    </row>
    <row r="98" spans="1:12" ht="15" x14ac:dyDescent="0.25">
      <c r="A98" s="290"/>
      <c r="B98" s="290"/>
      <c r="C98" s="290"/>
      <c r="D98" s="290"/>
      <c r="E98" s="290"/>
      <c r="F98" s="290"/>
      <c r="G98" s="220">
        <f t="shared" si="6"/>
        <v>0</v>
      </c>
      <c r="H98" s="220">
        <f t="shared" si="7"/>
        <v>0</v>
      </c>
      <c r="I98" s="221">
        <f>IF(A98="Total",VLOOKUP(B98,CORRESPONDANCE[#All],2,FALSE),I99)</f>
        <v>0</v>
      </c>
      <c r="J98" s="222" t="str">
        <f t="shared" si="4"/>
        <v/>
      </c>
      <c r="K98" s="44" t="str">
        <f t="shared" si="5"/>
        <v xml:space="preserve">HART - </v>
      </c>
      <c r="L98" s="44" t="e">
        <f>+VLOOKUP(K98,TL[],4,FALSE)</f>
        <v>#N/A</v>
      </c>
    </row>
    <row r="99" spans="1:12" ht="15" x14ac:dyDescent="0.25">
      <c r="A99" s="290"/>
      <c r="B99" s="290"/>
      <c r="C99" s="290"/>
      <c r="D99" s="290"/>
      <c r="E99" s="290"/>
      <c r="F99" s="290"/>
      <c r="G99" s="220">
        <f t="shared" si="6"/>
        <v>0</v>
      </c>
      <c r="H99" s="220">
        <f t="shared" si="7"/>
        <v>0</v>
      </c>
      <c r="I99" s="221">
        <f>IF(A99="Total",VLOOKUP(B99,CORRESPONDANCE[#All],2,FALSE),I100)</f>
        <v>0</v>
      </c>
      <c r="J99" s="222" t="str">
        <f t="shared" si="4"/>
        <v/>
      </c>
      <c r="K99" s="44" t="str">
        <f t="shared" si="5"/>
        <v xml:space="preserve">HART - </v>
      </c>
      <c r="L99" s="44" t="e">
        <f>+VLOOKUP(K99,TL[],4,FALSE)</f>
        <v>#N/A</v>
      </c>
    </row>
    <row r="100" spans="1:12" ht="15" x14ac:dyDescent="0.25">
      <c r="A100" s="290"/>
      <c r="B100" s="290"/>
      <c r="C100" s="290"/>
      <c r="D100" s="290"/>
      <c r="E100" s="290"/>
      <c r="F100" s="290"/>
      <c r="G100" s="220">
        <f t="shared" si="6"/>
        <v>0</v>
      </c>
      <c r="H100" s="220">
        <f t="shared" si="7"/>
        <v>0</v>
      </c>
      <c r="I100" s="221">
        <f>IF(A100="Total",VLOOKUP(B100,CORRESPONDANCE[#All],2,FALSE),I101)</f>
        <v>0</v>
      </c>
      <c r="J100" s="222" t="str">
        <f t="shared" si="4"/>
        <v/>
      </c>
      <c r="K100" s="44" t="str">
        <f t="shared" si="5"/>
        <v xml:space="preserve">HART - </v>
      </c>
      <c r="L100" s="44" t="e">
        <f>+VLOOKUP(K100,TL[],4,FALSE)</f>
        <v>#N/A</v>
      </c>
    </row>
    <row r="101" spans="1:12" ht="15" x14ac:dyDescent="0.25">
      <c r="A101" s="290"/>
      <c r="B101" s="290"/>
      <c r="C101" s="290"/>
      <c r="D101" s="290"/>
      <c r="E101" s="290"/>
      <c r="F101" s="290"/>
      <c r="G101" s="220">
        <f t="shared" si="6"/>
        <v>0</v>
      </c>
      <c r="H101" s="220">
        <f t="shared" si="7"/>
        <v>0</v>
      </c>
      <c r="I101" s="221">
        <f>IF(A101="Total",VLOOKUP(B101,CORRESPONDANCE[#All],2,FALSE),I102)</f>
        <v>0</v>
      </c>
      <c r="J101" s="222" t="str">
        <f t="shared" si="4"/>
        <v/>
      </c>
      <c r="K101" s="44" t="str">
        <f t="shared" si="5"/>
        <v xml:space="preserve">HART - </v>
      </c>
      <c r="L101" s="44" t="e">
        <f>+VLOOKUP(K101,TL[],4,FALSE)</f>
        <v>#N/A</v>
      </c>
    </row>
    <row r="102" spans="1:12" ht="15" x14ac:dyDescent="0.25">
      <c r="A102" s="290"/>
      <c r="B102" s="290"/>
      <c r="C102" s="290"/>
      <c r="D102" s="290"/>
      <c r="E102" s="290"/>
      <c r="F102" s="290"/>
      <c r="G102" s="220">
        <f t="shared" si="6"/>
        <v>0</v>
      </c>
      <c r="H102" s="220">
        <f t="shared" si="7"/>
        <v>0</v>
      </c>
      <c r="I102" s="221">
        <f>IF(A102="Total",VLOOKUP(B102,CORRESPONDANCE[#All],2,FALSE),I103)</f>
        <v>0</v>
      </c>
      <c r="J102" s="222" t="str">
        <f t="shared" si="4"/>
        <v/>
      </c>
      <c r="K102" s="44" t="str">
        <f t="shared" si="5"/>
        <v xml:space="preserve">HART - </v>
      </c>
      <c r="L102" s="44" t="e">
        <f>+VLOOKUP(K102,TL[],4,FALSE)</f>
        <v>#N/A</v>
      </c>
    </row>
    <row r="103" spans="1:12" ht="15" x14ac:dyDescent="0.25">
      <c r="A103" s="290"/>
      <c r="B103" s="290"/>
      <c r="C103" s="290"/>
      <c r="D103" s="290"/>
      <c r="E103" s="290"/>
      <c r="F103" s="290"/>
      <c r="G103" s="220">
        <f t="shared" si="6"/>
        <v>0</v>
      </c>
      <c r="H103" s="220">
        <f t="shared" si="7"/>
        <v>0</v>
      </c>
      <c r="I103" s="221">
        <f>IF(A103="Total",VLOOKUP(B103,CORRESPONDANCE[#All],2,FALSE),I104)</f>
        <v>0</v>
      </c>
      <c r="J103" s="222" t="str">
        <f t="shared" si="4"/>
        <v/>
      </c>
      <c r="K103" s="44" t="str">
        <f t="shared" si="5"/>
        <v xml:space="preserve">HART - </v>
      </c>
      <c r="L103" s="44" t="e">
        <f>+VLOOKUP(K103,TL[],4,FALSE)</f>
        <v>#N/A</v>
      </c>
    </row>
    <row r="104" spans="1:12" ht="15" x14ac:dyDescent="0.25">
      <c r="A104" s="290"/>
      <c r="B104" s="290"/>
      <c r="C104" s="290"/>
      <c r="D104" s="290"/>
      <c r="E104" s="290"/>
      <c r="F104" s="290"/>
      <c r="G104" s="220">
        <f t="shared" si="6"/>
        <v>0</v>
      </c>
      <c r="H104" s="220">
        <f t="shared" si="7"/>
        <v>0</v>
      </c>
      <c r="I104" s="221">
        <f>IF(A104="Total",VLOOKUP(B104,CORRESPONDANCE[#All],2,FALSE),I105)</f>
        <v>0</v>
      </c>
      <c r="J104" s="222" t="str">
        <f t="shared" si="4"/>
        <v/>
      </c>
      <c r="K104" s="44" t="str">
        <f t="shared" si="5"/>
        <v xml:space="preserve">HART - </v>
      </c>
      <c r="L104" s="44" t="e">
        <f>+VLOOKUP(K104,TL[],4,FALSE)</f>
        <v>#N/A</v>
      </c>
    </row>
    <row r="105" spans="1:12" ht="15" x14ac:dyDescent="0.25">
      <c r="A105" s="290"/>
      <c r="B105" s="290"/>
      <c r="C105" s="290"/>
      <c r="D105" s="290"/>
      <c r="E105" s="290"/>
      <c r="F105" s="290"/>
      <c r="G105" s="220">
        <f t="shared" si="6"/>
        <v>0</v>
      </c>
      <c r="H105" s="220">
        <f t="shared" si="7"/>
        <v>0</v>
      </c>
      <c r="I105" s="221">
        <f>IF(A105="Total",VLOOKUP(B105,CORRESPONDANCE[#All],2,FALSE),I106)</f>
        <v>0</v>
      </c>
      <c r="J105" s="222" t="str">
        <f t="shared" si="4"/>
        <v/>
      </c>
      <c r="K105" s="44" t="str">
        <f t="shared" si="5"/>
        <v xml:space="preserve">HART - </v>
      </c>
      <c r="L105" s="44" t="e">
        <f>+VLOOKUP(K105,TL[],4,FALSE)</f>
        <v>#N/A</v>
      </c>
    </row>
    <row r="106" spans="1:12" ht="15" x14ac:dyDescent="0.25">
      <c r="A106" s="290"/>
      <c r="B106" s="290"/>
      <c r="C106" s="290"/>
      <c r="D106" s="290"/>
      <c r="E106" s="290"/>
      <c r="F106" s="290"/>
      <c r="G106" s="220">
        <f t="shared" si="6"/>
        <v>0</v>
      </c>
      <c r="H106" s="220">
        <f t="shared" si="7"/>
        <v>0</v>
      </c>
      <c r="I106" s="221">
        <f>IF(A106="Total",VLOOKUP(B106,CORRESPONDANCE[#All],2,FALSE),I107)</f>
        <v>0</v>
      </c>
      <c r="J106" s="222" t="str">
        <f t="shared" si="4"/>
        <v/>
      </c>
      <c r="K106" s="44" t="str">
        <f t="shared" si="5"/>
        <v xml:space="preserve">HART - </v>
      </c>
      <c r="L106" s="44" t="e">
        <f>+VLOOKUP(K106,TL[],4,FALSE)</f>
        <v>#N/A</v>
      </c>
    </row>
    <row r="107" spans="1:12" ht="15" x14ac:dyDescent="0.25">
      <c r="A107" s="290"/>
      <c r="B107" s="290"/>
      <c r="C107" s="290"/>
      <c r="D107" s="290"/>
      <c r="E107" s="290"/>
      <c r="F107" s="290"/>
      <c r="G107" s="220">
        <f t="shared" si="6"/>
        <v>0</v>
      </c>
      <c r="H107" s="220">
        <f t="shared" si="7"/>
        <v>0</v>
      </c>
      <c r="I107" s="221">
        <f>IF(A107="Total",VLOOKUP(B107,CORRESPONDANCE[#All],2,FALSE),I108)</f>
        <v>0</v>
      </c>
      <c r="J107" s="222" t="str">
        <f t="shared" si="4"/>
        <v/>
      </c>
      <c r="K107" s="44" t="str">
        <f t="shared" si="5"/>
        <v xml:space="preserve">HART - </v>
      </c>
      <c r="L107" s="44" t="e">
        <f>+VLOOKUP(K107,TL[],4,FALSE)</f>
        <v>#N/A</v>
      </c>
    </row>
    <row r="108" spans="1:12" ht="15" x14ac:dyDescent="0.25">
      <c r="A108" s="290"/>
      <c r="B108" s="290"/>
      <c r="C108" s="290"/>
      <c r="D108" s="290"/>
      <c r="E108" s="290"/>
      <c r="F108" s="290"/>
      <c r="G108" s="220">
        <f t="shared" si="6"/>
        <v>0</v>
      </c>
      <c r="H108" s="220">
        <f t="shared" si="7"/>
        <v>0</v>
      </c>
      <c r="I108" s="221">
        <f>IF(A108="Total",VLOOKUP(B108,CORRESPONDANCE[#All],2,FALSE),I109)</f>
        <v>0</v>
      </c>
      <c r="J108" s="222" t="str">
        <f t="shared" si="4"/>
        <v/>
      </c>
      <c r="K108" s="44" t="str">
        <f t="shared" si="5"/>
        <v xml:space="preserve">HART - </v>
      </c>
      <c r="L108" s="44" t="e">
        <f>+VLOOKUP(K108,TL[],4,FALSE)</f>
        <v>#N/A</v>
      </c>
    </row>
    <row r="109" spans="1:12" ht="15" x14ac:dyDescent="0.25">
      <c r="A109" s="290"/>
      <c r="B109" s="290"/>
      <c r="C109" s="290"/>
      <c r="D109" s="290"/>
      <c r="E109" s="290"/>
      <c r="F109" s="290"/>
      <c r="G109" s="220">
        <f t="shared" si="6"/>
        <v>0</v>
      </c>
      <c r="H109" s="220">
        <f t="shared" si="7"/>
        <v>0</v>
      </c>
      <c r="I109" s="221">
        <f>IF(A109="Total",VLOOKUP(B109,CORRESPONDANCE[#All],2,FALSE),I110)</f>
        <v>0</v>
      </c>
      <c r="J109" s="222" t="str">
        <f t="shared" si="4"/>
        <v/>
      </c>
      <c r="K109" s="44" t="str">
        <f t="shared" si="5"/>
        <v xml:space="preserve">HART - </v>
      </c>
      <c r="L109" s="44" t="e">
        <f>+VLOOKUP(K109,TL[],4,FALSE)</f>
        <v>#N/A</v>
      </c>
    </row>
    <row r="110" spans="1:12" ht="15" x14ac:dyDescent="0.25">
      <c r="A110" s="290"/>
      <c r="B110" s="290"/>
      <c r="C110" s="290"/>
      <c r="D110" s="290"/>
      <c r="E110" s="290"/>
      <c r="F110" s="290"/>
      <c r="G110" s="220">
        <f t="shared" si="6"/>
        <v>0</v>
      </c>
      <c r="H110" s="220">
        <f t="shared" si="7"/>
        <v>0</v>
      </c>
      <c r="I110" s="221">
        <f>IF(A110="Total",VLOOKUP(B110,CORRESPONDANCE[#All],2,FALSE),I111)</f>
        <v>0</v>
      </c>
      <c r="J110" s="222" t="str">
        <f t="shared" si="4"/>
        <v/>
      </c>
      <c r="K110" s="44" t="str">
        <f t="shared" si="5"/>
        <v xml:space="preserve">HART - </v>
      </c>
      <c r="L110" s="44" t="e">
        <f>+VLOOKUP(K110,TL[],4,FALSE)</f>
        <v>#N/A</v>
      </c>
    </row>
    <row r="111" spans="1:12" ht="15" x14ac:dyDescent="0.25">
      <c r="A111" s="290"/>
      <c r="B111" s="290"/>
      <c r="C111" s="290"/>
      <c r="D111" s="290"/>
      <c r="E111" s="290"/>
      <c r="F111" s="290"/>
      <c r="G111" s="220">
        <f t="shared" si="6"/>
        <v>0</v>
      </c>
      <c r="H111" s="220">
        <f t="shared" si="7"/>
        <v>0</v>
      </c>
      <c r="I111" s="221">
        <f>IF(A111="Total",VLOOKUP(B111,CORRESPONDANCE[#All],2,FALSE),I112)</f>
        <v>0</v>
      </c>
      <c r="J111" s="222" t="str">
        <f t="shared" si="4"/>
        <v/>
      </c>
      <c r="K111" s="44" t="str">
        <f t="shared" si="5"/>
        <v xml:space="preserve">HART - </v>
      </c>
      <c r="L111" s="44" t="e">
        <f>+VLOOKUP(K111,TL[],4,FALSE)</f>
        <v>#N/A</v>
      </c>
    </row>
    <row r="112" spans="1:12" ht="15" x14ac:dyDescent="0.25">
      <c r="A112" s="290"/>
      <c r="B112" s="290"/>
      <c r="C112" s="290"/>
      <c r="D112" s="290"/>
      <c r="E112" s="290"/>
      <c r="F112" s="290"/>
      <c r="G112" s="220">
        <f t="shared" si="6"/>
        <v>0</v>
      </c>
      <c r="H112" s="220">
        <f t="shared" si="7"/>
        <v>0</v>
      </c>
      <c r="I112" s="221">
        <f>IF(A112="Total",VLOOKUP(B112,CORRESPONDANCE[#All],2,FALSE),I113)</f>
        <v>0</v>
      </c>
      <c r="J112" s="222" t="str">
        <f t="shared" si="4"/>
        <v/>
      </c>
      <c r="K112" s="44" t="str">
        <f t="shared" si="5"/>
        <v xml:space="preserve">HART - </v>
      </c>
      <c r="L112" s="44" t="e">
        <f>+VLOOKUP(K112,TL[],4,FALSE)</f>
        <v>#N/A</v>
      </c>
    </row>
    <row r="113" spans="1:12" ht="15" x14ac:dyDescent="0.25">
      <c r="A113" s="290"/>
      <c r="B113" s="290"/>
      <c r="C113" s="290"/>
      <c r="D113" s="290"/>
      <c r="E113" s="290"/>
      <c r="F113" s="290"/>
      <c r="G113" s="220">
        <f t="shared" si="6"/>
        <v>0</v>
      </c>
      <c r="H113" s="220">
        <f t="shared" si="7"/>
        <v>0</v>
      </c>
      <c r="I113" s="221">
        <f>IF(A113="Total",VLOOKUP(B113,CORRESPONDANCE[#All],2,FALSE),I114)</f>
        <v>0</v>
      </c>
      <c r="J113" s="222" t="str">
        <f t="shared" si="4"/>
        <v/>
      </c>
      <c r="K113" s="44" t="str">
        <f t="shared" si="5"/>
        <v xml:space="preserve">HART - </v>
      </c>
      <c r="L113" s="44" t="e">
        <f>+VLOOKUP(K113,TL[],4,FALSE)</f>
        <v>#N/A</v>
      </c>
    </row>
    <row r="114" spans="1:12" ht="15" x14ac:dyDescent="0.25">
      <c r="A114" s="290"/>
      <c r="B114" s="290"/>
      <c r="C114" s="290"/>
      <c r="D114" s="290"/>
      <c r="E114" s="290"/>
      <c r="F114" s="290"/>
      <c r="G114" s="220">
        <f t="shared" si="6"/>
        <v>0</v>
      </c>
      <c r="H114" s="220">
        <f t="shared" si="7"/>
        <v>0</v>
      </c>
      <c r="I114" s="221">
        <f>IF(A114="Total",VLOOKUP(B114,CORRESPONDANCE[#All],2,FALSE),I115)</f>
        <v>0</v>
      </c>
      <c r="J114" s="222" t="str">
        <f t="shared" si="4"/>
        <v/>
      </c>
      <c r="K114" s="44" t="str">
        <f t="shared" si="5"/>
        <v xml:space="preserve">HART - </v>
      </c>
      <c r="L114" s="44" t="e">
        <f>+VLOOKUP(K114,TL[],4,FALSE)</f>
        <v>#N/A</v>
      </c>
    </row>
    <row r="115" spans="1:12" ht="15" x14ac:dyDescent="0.25">
      <c r="A115" s="290"/>
      <c r="B115" s="290"/>
      <c r="C115" s="290"/>
      <c r="D115" s="290"/>
      <c r="E115" s="290"/>
      <c r="F115" s="290"/>
      <c r="G115" s="220">
        <f t="shared" si="6"/>
        <v>0</v>
      </c>
      <c r="H115" s="220">
        <f t="shared" si="7"/>
        <v>0</v>
      </c>
      <c r="I115" s="221">
        <f>IF(A115="Total",VLOOKUP(B115,CORRESPONDANCE[#All],2,FALSE),I116)</f>
        <v>0</v>
      </c>
      <c r="J115" s="222" t="str">
        <f t="shared" si="4"/>
        <v/>
      </c>
      <c r="K115" s="44" t="str">
        <f t="shared" si="5"/>
        <v xml:space="preserve">HART - </v>
      </c>
      <c r="L115" s="44" t="e">
        <f>+VLOOKUP(K115,TL[],4,FALSE)</f>
        <v>#N/A</v>
      </c>
    </row>
    <row r="116" spans="1:12" ht="15" x14ac:dyDescent="0.25">
      <c r="A116" s="290"/>
      <c r="B116" s="290"/>
      <c r="C116" s="290"/>
      <c r="D116" s="290"/>
      <c r="E116" s="290"/>
      <c r="F116" s="290"/>
      <c r="G116" s="220">
        <f t="shared" si="6"/>
        <v>0</v>
      </c>
      <c r="H116" s="220">
        <f t="shared" si="7"/>
        <v>0</v>
      </c>
      <c r="I116" s="221">
        <f>IF(A116="Total",VLOOKUP(B116,CORRESPONDANCE[#All],2,FALSE),I117)</f>
        <v>0</v>
      </c>
      <c r="J116" s="222" t="str">
        <f t="shared" si="4"/>
        <v/>
      </c>
      <c r="K116" s="44" t="str">
        <f t="shared" si="5"/>
        <v xml:space="preserve">HART - </v>
      </c>
      <c r="L116" s="44" t="e">
        <f>+VLOOKUP(K116,TL[],4,FALSE)</f>
        <v>#N/A</v>
      </c>
    </row>
    <row r="117" spans="1:12" ht="15" x14ac:dyDescent="0.25">
      <c r="A117" s="290"/>
      <c r="B117" s="290"/>
      <c r="C117" s="290"/>
      <c r="D117" s="290"/>
      <c r="E117" s="290"/>
      <c r="F117" s="290"/>
      <c r="G117" s="220">
        <f t="shared" si="6"/>
        <v>0</v>
      </c>
      <c r="H117" s="220">
        <f t="shared" si="7"/>
        <v>0</v>
      </c>
      <c r="I117" s="221">
        <f>IF(A117="Total",VLOOKUP(B117,CORRESPONDANCE[#All],2,FALSE),I118)</f>
        <v>0</v>
      </c>
      <c r="J117" s="222" t="str">
        <f t="shared" si="4"/>
        <v/>
      </c>
      <c r="K117" s="44" t="str">
        <f t="shared" si="5"/>
        <v xml:space="preserve">HART - </v>
      </c>
      <c r="L117" s="44" t="e">
        <f>+VLOOKUP(K117,TL[],4,FALSE)</f>
        <v>#N/A</v>
      </c>
    </row>
    <row r="118" spans="1:12" ht="15" x14ac:dyDescent="0.25">
      <c r="A118" s="290"/>
      <c r="B118" s="290"/>
      <c r="C118" s="290"/>
      <c r="D118" s="290"/>
      <c r="E118" s="290"/>
      <c r="F118" s="290"/>
      <c r="G118" s="220">
        <f t="shared" si="6"/>
        <v>0</v>
      </c>
      <c r="H118" s="220">
        <f t="shared" si="7"/>
        <v>0</v>
      </c>
      <c r="I118" s="221">
        <f>IF(A118="Total",VLOOKUP(B118,CORRESPONDANCE[#All],2,FALSE),I119)</f>
        <v>0</v>
      </c>
      <c r="J118" s="222" t="str">
        <f t="shared" si="4"/>
        <v/>
      </c>
      <c r="K118" s="44" t="str">
        <f t="shared" si="5"/>
        <v xml:space="preserve">HART - </v>
      </c>
      <c r="L118" s="44" t="e">
        <f>+VLOOKUP(K118,TL[],4,FALSE)</f>
        <v>#N/A</v>
      </c>
    </row>
    <row r="119" spans="1:12" ht="15" x14ac:dyDescent="0.25">
      <c r="A119" s="290"/>
      <c r="B119" s="290"/>
      <c r="C119" s="290"/>
      <c r="D119" s="290"/>
      <c r="E119" s="290"/>
      <c r="F119" s="290"/>
      <c r="G119" s="220">
        <f t="shared" si="6"/>
        <v>0</v>
      </c>
      <c r="H119" s="220">
        <f t="shared" si="7"/>
        <v>0</v>
      </c>
      <c r="I119" s="221">
        <f>IF(A119="Total",VLOOKUP(B119,CORRESPONDANCE[#All],2,FALSE),I120)</f>
        <v>0</v>
      </c>
      <c r="J119" s="222" t="str">
        <f t="shared" si="4"/>
        <v/>
      </c>
      <c r="K119" s="44" t="str">
        <f t="shared" si="5"/>
        <v xml:space="preserve">HART - </v>
      </c>
      <c r="L119" s="44" t="e">
        <f>+VLOOKUP(K119,TL[],4,FALSE)</f>
        <v>#N/A</v>
      </c>
    </row>
    <row r="120" spans="1:12" ht="15" x14ac:dyDescent="0.25">
      <c r="A120" s="290"/>
      <c r="B120" s="290"/>
      <c r="C120" s="290"/>
      <c r="D120" s="290"/>
      <c r="E120" s="290"/>
      <c r="F120" s="290"/>
      <c r="G120" s="220">
        <f t="shared" si="6"/>
        <v>0</v>
      </c>
      <c r="H120" s="220">
        <f t="shared" si="7"/>
        <v>0</v>
      </c>
      <c r="I120" s="221">
        <f>IF(A120="Total",VLOOKUP(B120,CORRESPONDANCE[#All],2,FALSE),I121)</f>
        <v>0</v>
      </c>
      <c r="J120" s="222" t="str">
        <f t="shared" si="4"/>
        <v/>
      </c>
      <c r="K120" s="44" t="str">
        <f t="shared" si="5"/>
        <v xml:space="preserve">HART - </v>
      </c>
      <c r="L120" s="44" t="e">
        <f>+VLOOKUP(K120,TL[],4,FALSE)</f>
        <v>#N/A</v>
      </c>
    </row>
    <row r="121" spans="1:12" ht="15" x14ac:dyDescent="0.25">
      <c r="A121" s="290"/>
      <c r="B121" s="290"/>
      <c r="C121" s="290"/>
      <c r="D121" s="290"/>
      <c r="E121" s="290"/>
      <c r="F121" s="290"/>
      <c r="G121" s="220">
        <f t="shared" si="6"/>
        <v>0</v>
      </c>
      <c r="H121" s="220">
        <f t="shared" si="7"/>
        <v>0</v>
      </c>
      <c r="I121" s="221">
        <f>IF(A121="Total",VLOOKUP(B121,CORRESPONDANCE[#All],2,FALSE),I122)</f>
        <v>0</v>
      </c>
      <c r="J121" s="222" t="str">
        <f t="shared" si="4"/>
        <v/>
      </c>
      <c r="K121" s="44" t="str">
        <f t="shared" si="5"/>
        <v xml:space="preserve">HART - </v>
      </c>
      <c r="L121" s="44" t="e">
        <f>+VLOOKUP(K121,TL[],4,FALSE)</f>
        <v>#N/A</v>
      </c>
    </row>
    <row r="122" spans="1:12" ht="15" x14ac:dyDescent="0.25">
      <c r="A122" s="290"/>
      <c r="B122" s="290"/>
      <c r="C122" s="290"/>
      <c r="D122" s="290"/>
      <c r="E122" s="290"/>
      <c r="F122" s="290"/>
      <c r="G122" s="220">
        <f t="shared" si="6"/>
        <v>0</v>
      </c>
      <c r="H122" s="220">
        <f t="shared" si="7"/>
        <v>0</v>
      </c>
      <c r="I122" s="221">
        <f>IF(A122="Total",VLOOKUP(B122,CORRESPONDANCE[#All],2,FALSE),I123)</f>
        <v>0</v>
      </c>
      <c r="J122" s="222" t="str">
        <f t="shared" si="4"/>
        <v/>
      </c>
      <c r="K122" s="44" t="str">
        <f t="shared" si="5"/>
        <v xml:space="preserve">HART - </v>
      </c>
      <c r="L122" s="44" t="e">
        <f>+VLOOKUP(K122,TL[],4,FALSE)</f>
        <v>#N/A</v>
      </c>
    </row>
    <row r="123" spans="1:12" ht="15" x14ac:dyDescent="0.25">
      <c r="A123" s="290"/>
      <c r="B123" s="290"/>
      <c r="C123" s="290"/>
      <c r="D123" s="290"/>
      <c r="E123" s="290"/>
      <c r="F123" s="290"/>
      <c r="G123" s="220">
        <f t="shared" si="6"/>
        <v>0</v>
      </c>
      <c r="H123" s="220">
        <f t="shared" si="7"/>
        <v>0</v>
      </c>
      <c r="I123" s="221">
        <f>IF(A123="Total",VLOOKUP(B123,CORRESPONDANCE[#All],2,FALSE),I124)</f>
        <v>0</v>
      </c>
      <c r="J123" s="222" t="str">
        <f t="shared" si="4"/>
        <v/>
      </c>
      <c r="K123" s="44" t="str">
        <f t="shared" si="5"/>
        <v xml:space="preserve">HART - </v>
      </c>
      <c r="L123" s="44" t="e">
        <f>+VLOOKUP(K123,TL[],4,FALSE)</f>
        <v>#N/A</v>
      </c>
    </row>
    <row r="124" spans="1:12" ht="15" x14ac:dyDescent="0.25">
      <c r="A124" s="290"/>
      <c r="B124" s="290"/>
      <c r="C124" s="290"/>
      <c r="D124" s="290"/>
      <c r="E124" s="290"/>
      <c r="F124" s="290"/>
      <c r="G124" s="220">
        <f t="shared" si="6"/>
        <v>0</v>
      </c>
      <c r="H124" s="220">
        <f t="shared" si="7"/>
        <v>0</v>
      </c>
      <c r="I124" s="221">
        <f>IF(A124="Total",VLOOKUP(B124,CORRESPONDANCE[#All],2,FALSE),I125)</f>
        <v>0</v>
      </c>
      <c r="J124" s="222" t="str">
        <f t="shared" si="4"/>
        <v/>
      </c>
      <c r="K124" s="44" t="str">
        <f t="shared" si="5"/>
        <v xml:space="preserve">HART - </v>
      </c>
      <c r="L124" s="44" t="e">
        <f>+VLOOKUP(K124,TL[],4,FALSE)</f>
        <v>#N/A</v>
      </c>
    </row>
    <row r="125" spans="1:12" ht="15" x14ac:dyDescent="0.25">
      <c r="A125" s="290"/>
      <c r="B125" s="290"/>
      <c r="C125" s="290"/>
      <c r="D125" s="290"/>
      <c r="E125" s="290"/>
      <c r="F125" s="290"/>
      <c r="G125" s="220">
        <f t="shared" si="6"/>
        <v>0</v>
      </c>
      <c r="H125" s="220">
        <f t="shared" si="7"/>
        <v>0</v>
      </c>
      <c r="I125" s="221">
        <f>IF(A125="Total",VLOOKUP(B125,CORRESPONDANCE[#All],2,FALSE),I126)</f>
        <v>0</v>
      </c>
      <c r="J125" s="222" t="str">
        <f t="shared" si="4"/>
        <v/>
      </c>
      <c r="K125" s="44" t="str">
        <f t="shared" si="5"/>
        <v xml:space="preserve">HART - </v>
      </c>
      <c r="L125" s="44" t="e">
        <f>+VLOOKUP(K125,TL[],4,FALSE)</f>
        <v>#N/A</v>
      </c>
    </row>
    <row r="126" spans="1:12" ht="15" x14ac:dyDescent="0.25">
      <c r="A126" s="290"/>
      <c r="B126" s="290"/>
      <c r="C126" s="290"/>
      <c r="D126" s="290"/>
      <c r="E126" s="290"/>
      <c r="F126" s="290"/>
      <c r="G126" s="220">
        <f t="shared" si="6"/>
        <v>0</v>
      </c>
      <c r="H126" s="220">
        <f t="shared" si="7"/>
        <v>0</v>
      </c>
      <c r="I126" s="221">
        <f>IF(A126="Total",VLOOKUP(B126,CORRESPONDANCE[#All],2,FALSE),I127)</f>
        <v>0</v>
      </c>
      <c r="J126" s="222" t="str">
        <f t="shared" si="4"/>
        <v/>
      </c>
      <c r="K126" s="44" t="str">
        <f t="shared" si="5"/>
        <v xml:space="preserve">HART - </v>
      </c>
      <c r="L126" s="44" t="e">
        <f>+VLOOKUP(K126,TL[],4,FALSE)</f>
        <v>#N/A</v>
      </c>
    </row>
    <row r="127" spans="1:12" ht="15" x14ac:dyDescent="0.25">
      <c r="A127" s="290"/>
      <c r="B127" s="290"/>
      <c r="C127" s="290"/>
      <c r="D127" s="290"/>
      <c r="E127" s="290"/>
      <c r="F127" s="290"/>
      <c r="G127" s="220">
        <f t="shared" si="6"/>
        <v>0</v>
      </c>
      <c r="H127" s="220">
        <f t="shared" si="7"/>
        <v>0</v>
      </c>
      <c r="I127" s="221">
        <f>IF(A127="Total",VLOOKUP(B127,CORRESPONDANCE[#All],2,FALSE),I128)</f>
        <v>0</v>
      </c>
      <c r="J127" s="222" t="str">
        <f t="shared" si="4"/>
        <v/>
      </c>
      <c r="K127" s="44" t="str">
        <f t="shared" si="5"/>
        <v xml:space="preserve">HART - </v>
      </c>
      <c r="L127" s="44" t="e">
        <f>+VLOOKUP(K127,TL[],4,FALSE)</f>
        <v>#N/A</v>
      </c>
    </row>
    <row r="128" spans="1:12" ht="15" x14ac:dyDescent="0.25">
      <c r="A128" s="290"/>
      <c r="B128" s="290"/>
      <c r="C128" s="290"/>
      <c r="D128" s="290"/>
      <c r="E128" s="290"/>
      <c r="F128" s="290"/>
      <c r="G128" s="220">
        <f t="shared" si="6"/>
        <v>0</v>
      </c>
      <c r="H128" s="220">
        <f t="shared" si="7"/>
        <v>0</v>
      </c>
      <c r="I128" s="221">
        <f>IF(A128="Total",VLOOKUP(B128,CORRESPONDANCE[#All],2,FALSE),I129)</f>
        <v>0</v>
      </c>
      <c r="J128" s="222" t="str">
        <f t="shared" si="4"/>
        <v/>
      </c>
      <c r="K128" s="44" t="str">
        <f t="shared" si="5"/>
        <v xml:space="preserve">HART - </v>
      </c>
      <c r="L128" s="44" t="e">
        <f>+VLOOKUP(K128,TL[],4,FALSE)</f>
        <v>#N/A</v>
      </c>
    </row>
    <row r="129" spans="1:12" ht="15" x14ac:dyDescent="0.25">
      <c r="A129" s="290"/>
      <c r="B129" s="290"/>
      <c r="C129" s="290"/>
      <c r="D129" s="290"/>
      <c r="E129" s="290"/>
      <c r="F129" s="290"/>
      <c r="G129" s="220">
        <f t="shared" si="6"/>
        <v>0</v>
      </c>
      <c r="H129" s="220">
        <f t="shared" si="7"/>
        <v>0</v>
      </c>
      <c r="I129" s="221">
        <f>IF(A129="Total",VLOOKUP(B129,CORRESPONDANCE[#All],2,FALSE),I130)</f>
        <v>0</v>
      </c>
      <c r="J129" s="222" t="str">
        <f t="shared" si="4"/>
        <v/>
      </c>
      <c r="K129" s="44" t="str">
        <f t="shared" si="5"/>
        <v xml:space="preserve">HART - </v>
      </c>
      <c r="L129" s="44" t="e">
        <f>+VLOOKUP(K129,TL[],4,FALSE)</f>
        <v>#N/A</v>
      </c>
    </row>
    <row r="130" spans="1:12" ht="15" x14ac:dyDescent="0.25">
      <c r="A130" s="290"/>
      <c r="B130" s="290"/>
      <c r="C130" s="290"/>
      <c r="D130" s="290"/>
      <c r="E130" s="290"/>
      <c r="F130" s="290"/>
      <c r="G130" s="220">
        <f t="shared" si="6"/>
        <v>0</v>
      </c>
      <c r="H130" s="220">
        <f t="shared" si="7"/>
        <v>0</v>
      </c>
      <c r="I130" s="221">
        <f>IF(A130="Total",VLOOKUP(B130,CORRESPONDANCE[#All],2,FALSE),I131)</f>
        <v>0</v>
      </c>
      <c r="J130" s="222" t="str">
        <f t="shared" ref="J130:J147" si="8">LEFT(A130,1)</f>
        <v/>
      </c>
      <c r="K130" s="44" t="str">
        <f t="shared" ref="K130:K147" si="9">"HART"&amp;" - "&amp;A130</f>
        <v xml:space="preserve">HART - </v>
      </c>
      <c r="L130" s="44" t="e">
        <f>+VLOOKUP(K130,TL[],4,FALSE)</f>
        <v>#N/A</v>
      </c>
    </row>
    <row r="131" spans="1:12" ht="15" x14ac:dyDescent="0.25">
      <c r="A131" s="290"/>
      <c r="B131" s="290"/>
      <c r="C131" s="290"/>
      <c r="D131" s="290"/>
      <c r="E131" s="290"/>
      <c r="F131" s="290"/>
      <c r="G131" s="220">
        <f t="shared" si="6"/>
        <v>0</v>
      </c>
      <c r="H131" s="220">
        <f t="shared" si="7"/>
        <v>0</v>
      </c>
      <c r="I131" s="221">
        <f>IF(A131="Total",VLOOKUP(B131,CORRESPONDANCE[#All],2,FALSE),I132)</f>
        <v>0</v>
      </c>
      <c r="J131" s="222" t="str">
        <f t="shared" si="8"/>
        <v/>
      </c>
      <c r="K131" s="44" t="str">
        <f t="shared" si="9"/>
        <v xml:space="preserve">HART - </v>
      </c>
      <c r="L131" s="44" t="e">
        <f>+VLOOKUP(K131,TL[],4,FALSE)</f>
        <v>#N/A</v>
      </c>
    </row>
    <row r="132" spans="1:12" ht="15" x14ac:dyDescent="0.25">
      <c r="A132" s="290"/>
      <c r="B132" s="290"/>
      <c r="C132" s="290"/>
      <c r="D132" s="290"/>
      <c r="E132" s="290"/>
      <c r="F132" s="290"/>
      <c r="G132" s="220">
        <f t="shared" si="6"/>
        <v>0</v>
      </c>
      <c r="H132" s="220">
        <f t="shared" si="7"/>
        <v>0</v>
      </c>
      <c r="I132" s="221">
        <f>IF(A132="Total",VLOOKUP(B132,CORRESPONDANCE[#All],2,FALSE),I133)</f>
        <v>0</v>
      </c>
      <c r="J132" s="222" t="str">
        <f t="shared" si="8"/>
        <v/>
      </c>
      <c r="K132" s="44" t="str">
        <f t="shared" si="9"/>
        <v xml:space="preserve">HART - </v>
      </c>
      <c r="L132" s="44" t="e">
        <f>+VLOOKUP(K132,TL[],4,FALSE)</f>
        <v>#N/A</v>
      </c>
    </row>
    <row r="133" spans="1:12" ht="15" x14ac:dyDescent="0.25">
      <c r="A133" s="290"/>
      <c r="B133" s="290"/>
      <c r="C133" s="290"/>
      <c r="D133" s="290"/>
      <c r="E133" s="290"/>
      <c r="F133" s="290"/>
      <c r="G133" s="220">
        <f t="shared" ref="G133:G147" si="10">SUM(C133)-SUM(D133)</f>
        <v>0</v>
      </c>
      <c r="H133" s="220">
        <f t="shared" ref="H133:H147" si="11">SUM(E133)-SUM(F133)</f>
        <v>0</v>
      </c>
      <c r="I133" s="221">
        <f>IF(A133="Total",VLOOKUP(B133,CORRESPONDANCE[#All],2,FALSE),I134)</f>
        <v>0</v>
      </c>
      <c r="J133" s="222" t="str">
        <f t="shared" si="8"/>
        <v/>
      </c>
      <c r="K133" s="44" t="str">
        <f t="shared" si="9"/>
        <v xml:space="preserve">HART - </v>
      </c>
      <c r="L133" s="44" t="e">
        <f>+VLOOKUP(K133,TL[],4,FALSE)</f>
        <v>#N/A</v>
      </c>
    </row>
    <row r="134" spans="1:12" ht="15" x14ac:dyDescent="0.25">
      <c r="A134" s="290"/>
      <c r="B134" s="290"/>
      <c r="C134" s="290"/>
      <c r="D134" s="290"/>
      <c r="E134" s="290"/>
      <c r="F134" s="290"/>
      <c r="G134" s="220">
        <f t="shared" si="10"/>
        <v>0</v>
      </c>
      <c r="H134" s="220">
        <f t="shared" si="11"/>
        <v>0</v>
      </c>
      <c r="I134" s="221">
        <f>IF(A134="Total",VLOOKUP(B134,CORRESPONDANCE[#All],2,FALSE),I135)</f>
        <v>0</v>
      </c>
      <c r="J134" s="222" t="str">
        <f t="shared" si="8"/>
        <v/>
      </c>
      <c r="K134" s="44" t="str">
        <f t="shared" si="9"/>
        <v xml:space="preserve">HART - </v>
      </c>
      <c r="L134" s="44" t="e">
        <f>+VLOOKUP(K134,TL[],4,FALSE)</f>
        <v>#N/A</v>
      </c>
    </row>
    <row r="135" spans="1:12" ht="15" x14ac:dyDescent="0.25">
      <c r="A135" s="290"/>
      <c r="B135" s="290"/>
      <c r="C135" s="290"/>
      <c r="D135" s="290"/>
      <c r="E135" s="290"/>
      <c r="F135" s="290"/>
      <c r="G135" s="220">
        <f t="shared" si="10"/>
        <v>0</v>
      </c>
      <c r="H135" s="220">
        <f t="shared" si="11"/>
        <v>0</v>
      </c>
      <c r="I135" s="221">
        <f>IF(A135="Total",VLOOKUP(B135,CORRESPONDANCE[#All],2,FALSE),I136)</f>
        <v>0</v>
      </c>
      <c r="J135" s="222" t="str">
        <f t="shared" si="8"/>
        <v/>
      </c>
      <c r="K135" s="44" t="str">
        <f t="shared" si="9"/>
        <v xml:space="preserve">HART - </v>
      </c>
      <c r="L135" s="44" t="e">
        <f>+VLOOKUP(K135,TL[],4,FALSE)</f>
        <v>#N/A</v>
      </c>
    </row>
    <row r="136" spans="1:12" ht="15" x14ac:dyDescent="0.25">
      <c r="A136" s="290"/>
      <c r="B136" s="290"/>
      <c r="C136" s="290"/>
      <c r="D136" s="290"/>
      <c r="E136" s="290"/>
      <c r="F136" s="290"/>
      <c r="G136" s="220">
        <f t="shared" si="10"/>
        <v>0</v>
      </c>
      <c r="H136" s="220">
        <f t="shared" si="11"/>
        <v>0</v>
      </c>
      <c r="I136" s="221">
        <f>IF(A136="Total",VLOOKUP(B136,CORRESPONDANCE[#All],2,FALSE),I137)</f>
        <v>0</v>
      </c>
      <c r="J136" s="222" t="str">
        <f t="shared" si="8"/>
        <v/>
      </c>
      <c r="K136" s="44" t="str">
        <f t="shared" si="9"/>
        <v xml:space="preserve">HART - </v>
      </c>
      <c r="L136" s="44" t="e">
        <f>+VLOOKUP(K136,TL[],4,FALSE)</f>
        <v>#N/A</v>
      </c>
    </row>
    <row r="137" spans="1:12" ht="15" x14ac:dyDescent="0.25">
      <c r="A137" s="290"/>
      <c r="B137" s="290"/>
      <c r="C137" s="290"/>
      <c r="D137" s="290"/>
      <c r="E137" s="290"/>
      <c r="F137" s="290"/>
      <c r="G137" s="220">
        <f t="shared" si="10"/>
        <v>0</v>
      </c>
      <c r="H137" s="220">
        <f t="shared" si="11"/>
        <v>0</v>
      </c>
      <c r="I137" s="221">
        <f>IF(A137="Total",VLOOKUP(B137,CORRESPONDANCE[#All],2,FALSE),I138)</f>
        <v>0</v>
      </c>
      <c r="J137" s="222" t="str">
        <f t="shared" si="8"/>
        <v/>
      </c>
      <c r="K137" s="44" t="str">
        <f t="shared" si="9"/>
        <v xml:space="preserve">HART - </v>
      </c>
      <c r="L137" s="44" t="e">
        <f>+VLOOKUP(K137,TL[],4,FALSE)</f>
        <v>#N/A</v>
      </c>
    </row>
    <row r="138" spans="1:12" ht="15" x14ac:dyDescent="0.25">
      <c r="A138" s="290"/>
      <c r="B138" s="290"/>
      <c r="C138" s="290"/>
      <c r="D138" s="290"/>
      <c r="E138" s="290"/>
      <c r="F138" s="290"/>
      <c r="G138" s="220">
        <f t="shared" si="10"/>
        <v>0</v>
      </c>
      <c r="H138" s="220">
        <f t="shared" si="11"/>
        <v>0</v>
      </c>
      <c r="I138" s="221">
        <f>IF(A138="Total",VLOOKUP(B138,CORRESPONDANCE[#All],2,FALSE),I139)</f>
        <v>0</v>
      </c>
      <c r="J138" s="222" t="str">
        <f t="shared" si="8"/>
        <v/>
      </c>
      <c r="K138" s="44" t="str">
        <f t="shared" si="9"/>
        <v xml:space="preserve">HART - </v>
      </c>
      <c r="L138" s="44" t="e">
        <f>+VLOOKUP(K138,TL[],4,FALSE)</f>
        <v>#N/A</v>
      </c>
    </row>
    <row r="139" spans="1:12" ht="15" x14ac:dyDescent="0.25">
      <c r="A139" s="290"/>
      <c r="B139" s="290"/>
      <c r="C139" s="290"/>
      <c r="D139" s="290"/>
      <c r="E139" s="290"/>
      <c r="F139" s="290"/>
      <c r="G139" s="220">
        <f t="shared" si="10"/>
        <v>0</v>
      </c>
      <c r="H139" s="220">
        <f t="shared" si="11"/>
        <v>0</v>
      </c>
      <c r="I139" s="221">
        <f>IF(A139="Total",VLOOKUP(B139,CORRESPONDANCE[#All],2,FALSE),I140)</f>
        <v>0</v>
      </c>
      <c r="J139" s="222" t="str">
        <f t="shared" si="8"/>
        <v/>
      </c>
      <c r="K139" s="44" t="str">
        <f t="shared" si="9"/>
        <v xml:space="preserve">HART - </v>
      </c>
      <c r="L139" s="44" t="e">
        <f>+VLOOKUP(K139,TL[],4,FALSE)</f>
        <v>#N/A</v>
      </c>
    </row>
    <row r="140" spans="1:12" ht="15" x14ac:dyDescent="0.25">
      <c r="A140" s="290"/>
      <c r="B140" s="290"/>
      <c r="C140" s="290"/>
      <c r="D140" s="290"/>
      <c r="E140" s="290"/>
      <c r="F140" s="290"/>
      <c r="G140" s="220">
        <f t="shared" si="10"/>
        <v>0</v>
      </c>
      <c r="H140" s="220">
        <f t="shared" si="11"/>
        <v>0</v>
      </c>
      <c r="I140" s="221">
        <f>IF(A140="Total",VLOOKUP(B140,CORRESPONDANCE[#All],2,FALSE),I141)</f>
        <v>0</v>
      </c>
      <c r="J140" s="222" t="str">
        <f t="shared" si="8"/>
        <v/>
      </c>
      <c r="K140" s="44" t="str">
        <f t="shared" si="9"/>
        <v xml:space="preserve">HART - </v>
      </c>
      <c r="L140" s="44" t="e">
        <f>+VLOOKUP(K140,TL[],4,FALSE)</f>
        <v>#N/A</v>
      </c>
    </row>
    <row r="141" spans="1:12" ht="15" x14ac:dyDescent="0.25">
      <c r="A141" s="290"/>
      <c r="B141" s="290"/>
      <c r="C141" s="290"/>
      <c r="D141" s="290"/>
      <c r="E141" s="290"/>
      <c r="F141" s="290"/>
      <c r="G141" s="220">
        <f t="shared" si="10"/>
        <v>0</v>
      </c>
      <c r="H141" s="220">
        <f t="shared" si="11"/>
        <v>0</v>
      </c>
      <c r="I141" s="221">
        <f>IF(A141="Total",VLOOKUP(B141,CORRESPONDANCE[#All],2,FALSE),I142)</f>
        <v>0</v>
      </c>
      <c r="J141" s="222" t="str">
        <f t="shared" si="8"/>
        <v/>
      </c>
      <c r="K141" s="44" t="str">
        <f t="shared" si="9"/>
        <v xml:space="preserve">HART - </v>
      </c>
      <c r="L141" s="44" t="e">
        <f>+VLOOKUP(K141,TL[],4,FALSE)</f>
        <v>#N/A</v>
      </c>
    </row>
    <row r="142" spans="1:12" ht="15" x14ac:dyDescent="0.25">
      <c r="A142" s="290"/>
      <c r="B142" s="290"/>
      <c r="C142" s="290"/>
      <c r="D142" s="290"/>
      <c r="E142" s="290"/>
      <c r="F142" s="290"/>
      <c r="G142" s="220">
        <f t="shared" si="10"/>
        <v>0</v>
      </c>
      <c r="H142" s="220">
        <f t="shared" si="11"/>
        <v>0</v>
      </c>
      <c r="I142" s="221">
        <f>IF(A142="Total",VLOOKUP(B142,CORRESPONDANCE[#All],2,FALSE),I143)</f>
        <v>0</v>
      </c>
      <c r="J142" s="222" t="str">
        <f t="shared" si="8"/>
        <v/>
      </c>
      <c r="K142" s="44" t="str">
        <f t="shared" si="9"/>
        <v xml:space="preserve">HART - </v>
      </c>
      <c r="L142" s="44" t="e">
        <f>+VLOOKUP(K142,TL[],4,FALSE)</f>
        <v>#N/A</v>
      </c>
    </row>
    <row r="143" spans="1:12" ht="15" x14ac:dyDescent="0.25">
      <c r="A143" s="290"/>
      <c r="B143" s="290"/>
      <c r="C143" s="290"/>
      <c r="D143" s="290"/>
      <c r="E143" s="290"/>
      <c r="F143" s="290"/>
      <c r="G143" s="220">
        <f t="shared" si="10"/>
        <v>0</v>
      </c>
      <c r="H143" s="220">
        <f t="shared" si="11"/>
        <v>0</v>
      </c>
      <c r="I143" s="221">
        <f>IF(A143="Total",VLOOKUP(B143,CORRESPONDANCE[#All],2,FALSE),I144)</f>
        <v>0</v>
      </c>
      <c r="J143" s="222" t="str">
        <f t="shared" si="8"/>
        <v/>
      </c>
      <c r="K143" s="44" t="str">
        <f t="shared" si="9"/>
        <v xml:space="preserve">HART - </v>
      </c>
      <c r="L143" s="44" t="e">
        <f>+VLOOKUP(K143,TL[],4,FALSE)</f>
        <v>#N/A</v>
      </c>
    </row>
    <row r="144" spans="1:12" ht="15" x14ac:dyDescent="0.25">
      <c r="A144" s="290"/>
      <c r="B144" s="290"/>
      <c r="C144" s="290"/>
      <c r="D144" s="290"/>
      <c r="E144" s="290"/>
      <c r="F144" s="290"/>
      <c r="G144" s="220">
        <f t="shared" si="10"/>
        <v>0</v>
      </c>
      <c r="H144" s="220">
        <f t="shared" si="11"/>
        <v>0</v>
      </c>
      <c r="I144" s="221">
        <f>IF(A144="Total",VLOOKUP(B144,CORRESPONDANCE[#All],2,FALSE),I145)</f>
        <v>0</v>
      </c>
      <c r="J144" s="222" t="str">
        <f t="shared" si="8"/>
        <v/>
      </c>
      <c r="K144" s="44" t="str">
        <f t="shared" si="9"/>
        <v xml:space="preserve">HART - </v>
      </c>
      <c r="L144" s="44" t="e">
        <f>+VLOOKUP(K144,TL[],4,FALSE)</f>
        <v>#N/A</v>
      </c>
    </row>
    <row r="145" spans="1:12" ht="15" x14ac:dyDescent="0.25">
      <c r="A145" s="290"/>
      <c r="B145" s="290"/>
      <c r="C145" s="290"/>
      <c r="D145" s="290"/>
      <c r="E145" s="290"/>
      <c r="F145" s="290"/>
      <c r="G145" s="220">
        <f t="shared" si="10"/>
        <v>0</v>
      </c>
      <c r="H145" s="220">
        <f t="shared" si="11"/>
        <v>0</v>
      </c>
      <c r="I145" s="221">
        <f>IF(A145="Total",VLOOKUP(B145,CORRESPONDANCE[#All],2,FALSE),I146)</f>
        <v>0</v>
      </c>
      <c r="J145" s="222" t="str">
        <f t="shared" si="8"/>
        <v/>
      </c>
      <c r="K145" s="44" t="str">
        <f t="shared" si="9"/>
        <v xml:space="preserve">HART - </v>
      </c>
      <c r="L145" s="44" t="e">
        <f>+VLOOKUP(K145,TL[],4,FALSE)</f>
        <v>#N/A</v>
      </c>
    </row>
    <row r="146" spans="1:12" ht="15" x14ac:dyDescent="0.25">
      <c r="A146" s="290"/>
      <c r="B146" s="290"/>
      <c r="C146" s="290"/>
      <c r="D146" s="290"/>
      <c r="E146" s="290"/>
      <c r="F146" s="290"/>
      <c r="G146" s="220">
        <f t="shared" si="10"/>
        <v>0</v>
      </c>
      <c r="H146" s="220">
        <f t="shared" si="11"/>
        <v>0</v>
      </c>
      <c r="I146" s="221">
        <f>IF(A146="Total",VLOOKUP(B146,CORRESPONDANCE[#All],2,FALSE),I147)</f>
        <v>0</v>
      </c>
      <c r="J146" s="222" t="str">
        <f t="shared" si="8"/>
        <v/>
      </c>
      <c r="K146" s="44" t="str">
        <f t="shared" si="9"/>
        <v xml:space="preserve">HART - </v>
      </c>
      <c r="L146" s="44" t="e">
        <f>+VLOOKUP(K146,TL[],4,FALSE)</f>
        <v>#N/A</v>
      </c>
    </row>
    <row r="147" spans="1:12" ht="15" x14ac:dyDescent="0.25">
      <c r="A147" s="290"/>
      <c r="B147" s="290"/>
      <c r="C147" s="290"/>
      <c r="D147" s="290"/>
      <c r="E147" s="290"/>
      <c r="F147" s="290"/>
      <c r="G147" s="220">
        <f t="shared" si="10"/>
        <v>0</v>
      </c>
      <c r="H147" s="220">
        <f t="shared" si="11"/>
        <v>0</v>
      </c>
      <c r="I147" s="221">
        <f>IF(A147="Total",VLOOKUP(B147,CORRESPONDANCE[#All],2,FALSE),I148)</f>
        <v>0</v>
      </c>
      <c r="J147" s="222" t="str">
        <f t="shared" si="8"/>
        <v/>
      </c>
      <c r="K147" s="44" t="str">
        <f t="shared" si="9"/>
        <v xml:space="preserve">HART - </v>
      </c>
      <c r="L147" s="44" t="e">
        <f>+VLOOKUP(K147,TL[],4,FALSE)</f>
        <v>#N/A</v>
      </c>
    </row>
    <row r="148" spans="1:12" ht="15" x14ac:dyDescent="0.25">
      <c r="A148" s="290"/>
      <c r="B148" s="290"/>
      <c r="C148" s="290"/>
      <c r="D148" s="290"/>
      <c r="E148" s="290"/>
      <c r="F148" s="290"/>
      <c r="G148" s="220">
        <f t="shared" ref="G148:G163" si="12">SUM(C148)-SUM(D148)</f>
        <v>0</v>
      </c>
      <c r="H148" s="220">
        <f t="shared" ref="H148:H163" si="13">SUM(E148)-SUM(F148)</f>
        <v>0</v>
      </c>
      <c r="I148" s="221">
        <f>IF(A148="Total",VLOOKUP(B148,CORRESPONDANCE[#All],2,FALSE),I149)</f>
        <v>0</v>
      </c>
      <c r="J148" s="222" t="str">
        <f t="shared" ref="J148:J163" si="14">LEFT(A148,1)</f>
        <v/>
      </c>
      <c r="K148" s="44" t="str">
        <f t="shared" ref="K148:K163" si="15">"HART"&amp;" - "&amp;A148</f>
        <v xml:space="preserve">HART - </v>
      </c>
      <c r="L148" s="44" t="e">
        <f>+VLOOKUP(K148,TL[],4,FALSE)</f>
        <v>#N/A</v>
      </c>
    </row>
    <row r="149" spans="1:12" ht="15" x14ac:dyDescent="0.25">
      <c r="A149" s="290"/>
      <c r="B149" s="290"/>
      <c r="C149" s="290"/>
      <c r="D149" s="290"/>
      <c r="E149" s="290"/>
      <c r="F149" s="290"/>
      <c r="G149" s="220">
        <f t="shared" si="12"/>
        <v>0</v>
      </c>
      <c r="H149" s="220">
        <f t="shared" si="13"/>
        <v>0</v>
      </c>
      <c r="I149" s="221">
        <f>IF(A149="Total",VLOOKUP(B149,CORRESPONDANCE[#All],2,FALSE),I150)</f>
        <v>0</v>
      </c>
      <c r="J149" s="222" t="str">
        <f t="shared" si="14"/>
        <v/>
      </c>
      <c r="K149" s="44" t="str">
        <f t="shared" si="15"/>
        <v xml:space="preserve">HART - </v>
      </c>
      <c r="L149" s="44" t="e">
        <f>+VLOOKUP(K149,TL[],4,FALSE)</f>
        <v>#N/A</v>
      </c>
    </row>
    <row r="150" spans="1:12" ht="15" x14ac:dyDescent="0.25">
      <c r="A150" s="290"/>
      <c r="B150" s="290"/>
      <c r="C150" s="290"/>
      <c r="D150" s="290"/>
      <c r="E150" s="290"/>
      <c r="F150" s="290"/>
      <c r="G150" s="220">
        <f t="shared" si="12"/>
        <v>0</v>
      </c>
      <c r="H150" s="220">
        <f t="shared" si="13"/>
        <v>0</v>
      </c>
      <c r="I150" s="221">
        <f>IF(A150="Total",VLOOKUP(B150,CORRESPONDANCE[#All],2,FALSE),I151)</f>
        <v>0</v>
      </c>
      <c r="J150" s="222" t="str">
        <f t="shared" si="14"/>
        <v/>
      </c>
      <c r="K150" s="44" t="str">
        <f t="shared" si="15"/>
        <v xml:space="preserve">HART - </v>
      </c>
      <c r="L150" s="44" t="e">
        <f>+VLOOKUP(K150,TL[],4,FALSE)</f>
        <v>#N/A</v>
      </c>
    </row>
    <row r="151" spans="1:12" ht="15" x14ac:dyDescent="0.25">
      <c r="A151" s="290"/>
      <c r="B151" s="290"/>
      <c r="C151" s="290"/>
      <c r="D151" s="290"/>
      <c r="E151" s="290"/>
      <c r="F151" s="290"/>
      <c r="G151" s="220">
        <f t="shared" si="12"/>
        <v>0</v>
      </c>
      <c r="H151" s="220">
        <f t="shared" si="13"/>
        <v>0</v>
      </c>
      <c r="I151" s="221">
        <f>IF(A151="Total",VLOOKUP(B151,CORRESPONDANCE[#All],2,FALSE),I152)</f>
        <v>0</v>
      </c>
      <c r="J151" s="222" t="str">
        <f t="shared" si="14"/>
        <v/>
      </c>
      <c r="K151" s="44" t="str">
        <f t="shared" si="15"/>
        <v xml:space="preserve">HART - </v>
      </c>
      <c r="L151" s="44" t="e">
        <f>+VLOOKUP(K151,TL[],4,FALSE)</f>
        <v>#N/A</v>
      </c>
    </row>
    <row r="152" spans="1:12" ht="15" x14ac:dyDescent="0.25">
      <c r="A152" s="290"/>
      <c r="B152" s="290"/>
      <c r="C152" s="290"/>
      <c r="D152" s="290"/>
      <c r="E152" s="290"/>
      <c r="F152" s="290"/>
      <c r="G152" s="220">
        <f t="shared" si="12"/>
        <v>0</v>
      </c>
      <c r="H152" s="220">
        <f t="shared" si="13"/>
        <v>0</v>
      </c>
      <c r="I152" s="221">
        <f>IF(A152="Total",VLOOKUP(B152,CORRESPONDANCE[#All],2,FALSE),I153)</f>
        <v>0</v>
      </c>
      <c r="J152" s="222" t="str">
        <f t="shared" si="14"/>
        <v/>
      </c>
      <c r="K152" s="44" t="str">
        <f t="shared" si="15"/>
        <v xml:space="preserve">HART - </v>
      </c>
      <c r="L152" s="44" t="e">
        <f>+VLOOKUP(K152,TL[],4,FALSE)</f>
        <v>#N/A</v>
      </c>
    </row>
    <row r="153" spans="1:12" ht="15" x14ac:dyDescent="0.25">
      <c r="A153" s="290"/>
      <c r="B153" s="290"/>
      <c r="C153" s="290"/>
      <c r="D153" s="290"/>
      <c r="E153" s="290"/>
      <c r="F153" s="290"/>
      <c r="G153" s="220">
        <f t="shared" si="12"/>
        <v>0</v>
      </c>
      <c r="H153" s="220">
        <f t="shared" si="13"/>
        <v>0</v>
      </c>
      <c r="I153" s="221">
        <f>IF(A153="Total",VLOOKUP(B153,CORRESPONDANCE[#All],2,FALSE),I154)</f>
        <v>0</v>
      </c>
      <c r="J153" s="222" t="str">
        <f t="shared" si="14"/>
        <v/>
      </c>
      <c r="K153" s="44" t="str">
        <f t="shared" si="15"/>
        <v xml:space="preserve">HART - </v>
      </c>
      <c r="L153" s="44" t="e">
        <f>+VLOOKUP(K153,TL[],4,FALSE)</f>
        <v>#N/A</v>
      </c>
    </row>
    <row r="154" spans="1:12" ht="15" x14ac:dyDescent="0.25">
      <c r="A154" s="290"/>
      <c r="B154" s="290"/>
      <c r="C154" s="290"/>
      <c r="D154" s="290"/>
      <c r="E154" s="290"/>
      <c r="F154" s="290"/>
      <c r="G154" s="220">
        <f t="shared" si="12"/>
        <v>0</v>
      </c>
      <c r="H154" s="220">
        <f t="shared" si="13"/>
        <v>0</v>
      </c>
      <c r="I154" s="221">
        <f>IF(A154="Total",VLOOKUP(B154,CORRESPONDANCE[#All],2,FALSE),I155)</f>
        <v>0</v>
      </c>
      <c r="J154" s="222" t="str">
        <f t="shared" si="14"/>
        <v/>
      </c>
      <c r="K154" s="44" t="str">
        <f t="shared" si="15"/>
        <v xml:space="preserve">HART - </v>
      </c>
      <c r="L154" s="44" t="e">
        <f>+VLOOKUP(K154,TL[],4,FALSE)</f>
        <v>#N/A</v>
      </c>
    </row>
    <row r="155" spans="1:12" ht="15" x14ac:dyDescent="0.25">
      <c r="A155" s="290"/>
      <c r="B155" s="290"/>
      <c r="C155" s="290"/>
      <c r="D155" s="290"/>
      <c r="E155" s="290"/>
      <c r="F155" s="290"/>
      <c r="G155" s="220">
        <f t="shared" si="12"/>
        <v>0</v>
      </c>
      <c r="H155" s="220">
        <f t="shared" si="13"/>
        <v>0</v>
      </c>
      <c r="I155" s="221">
        <f>IF(A155="Total",VLOOKUP(B155,CORRESPONDANCE[#All],2,FALSE),I156)</f>
        <v>0</v>
      </c>
      <c r="J155" s="222" t="str">
        <f t="shared" si="14"/>
        <v/>
      </c>
      <c r="K155" s="44" t="str">
        <f t="shared" si="15"/>
        <v xml:space="preserve">HART - </v>
      </c>
      <c r="L155" s="44" t="e">
        <f>+VLOOKUP(K155,TL[],4,FALSE)</f>
        <v>#N/A</v>
      </c>
    </row>
    <row r="156" spans="1:12" ht="15" x14ac:dyDescent="0.25">
      <c r="A156" s="290"/>
      <c r="B156" s="290"/>
      <c r="C156" s="290"/>
      <c r="D156" s="290"/>
      <c r="E156" s="290"/>
      <c r="F156" s="290"/>
      <c r="G156" s="220">
        <f t="shared" si="12"/>
        <v>0</v>
      </c>
      <c r="H156" s="220">
        <f t="shared" si="13"/>
        <v>0</v>
      </c>
      <c r="I156" s="221">
        <f>IF(A156="Total",VLOOKUP(B156,CORRESPONDANCE[#All],2,FALSE),I157)</f>
        <v>0</v>
      </c>
      <c r="J156" s="222" t="str">
        <f t="shared" si="14"/>
        <v/>
      </c>
      <c r="K156" s="44" t="str">
        <f t="shared" si="15"/>
        <v xml:space="preserve">HART - </v>
      </c>
      <c r="L156" s="44" t="e">
        <f>+VLOOKUP(K156,TL[],4,FALSE)</f>
        <v>#N/A</v>
      </c>
    </row>
    <row r="157" spans="1:12" ht="15" x14ac:dyDescent="0.25">
      <c r="A157" s="290"/>
      <c r="B157" s="290"/>
      <c r="C157" s="290"/>
      <c r="D157" s="290"/>
      <c r="E157" s="290"/>
      <c r="F157" s="290"/>
      <c r="G157" s="220">
        <f t="shared" si="12"/>
        <v>0</v>
      </c>
      <c r="H157" s="220">
        <f t="shared" si="13"/>
        <v>0</v>
      </c>
      <c r="I157" s="221">
        <f>IF(A157="Total",VLOOKUP(B157,CORRESPONDANCE[#All],2,FALSE),I158)</f>
        <v>0</v>
      </c>
      <c r="J157" s="222" t="str">
        <f t="shared" si="14"/>
        <v/>
      </c>
      <c r="K157" s="44" t="str">
        <f t="shared" si="15"/>
        <v xml:space="preserve">HART - </v>
      </c>
      <c r="L157" s="44" t="e">
        <f>+VLOOKUP(K157,TL[],4,FALSE)</f>
        <v>#N/A</v>
      </c>
    </row>
    <row r="158" spans="1:12" ht="15" x14ac:dyDescent="0.25">
      <c r="A158" s="290"/>
      <c r="B158" s="290"/>
      <c r="C158" s="290"/>
      <c r="D158" s="290"/>
      <c r="E158" s="290"/>
      <c r="F158" s="290"/>
      <c r="G158" s="220">
        <f t="shared" si="12"/>
        <v>0</v>
      </c>
      <c r="H158" s="220">
        <f t="shared" si="13"/>
        <v>0</v>
      </c>
      <c r="I158" s="221">
        <f>IF(A158="Total",VLOOKUP(B158,CORRESPONDANCE[#All],2,FALSE),I159)</f>
        <v>0</v>
      </c>
      <c r="J158" s="222" t="str">
        <f t="shared" si="14"/>
        <v/>
      </c>
      <c r="K158" s="44" t="str">
        <f t="shared" si="15"/>
        <v xml:space="preserve">HART - </v>
      </c>
      <c r="L158" s="44" t="e">
        <f>+VLOOKUP(K158,TL[],4,FALSE)</f>
        <v>#N/A</v>
      </c>
    </row>
    <row r="159" spans="1:12" ht="15" x14ac:dyDescent="0.25">
      <c r="A159" s="290"/>
      <c r="B159" s="290"/>
      <c r="C159" s="290"/>
      <c r="D159" s="290"/>
      <c r="E159" s="290"/>
      <c r="F159" s="290"/>
      <c r="G159" s="220">
        <f t="shared" si="12"/>
        <v>0</v>
      </c>
      <c r="H159" s="220">
        <f t="shared" si="13"/>
        <v>0</v>
      </c>
      <c r="I159" s="221">
        <f>IF(A159="Total",VLOOKUP(B159,CORRESPONDANCE[#All],2,FALSE),I160)</f>
        <v>0</v>
      </c>
      <c r="J159" s="222" t="str">
        <f t="shared" si="14"/>
        <v/>
      </c>
      <c r="K159" s="44" t="str">
        <f t="shared" si="15"/>
        <v xml:space="preserve">HART - </v>
      </c>
      <c r="L159" s="44" t="e">
        <f>+VLOOKUP(K159,TL[],4,FALSE)</f>
        <v>#N/A</v>
      </c>
    </row>
    <row r="160" spans="1:12" ht="15" x14ac:dyDescent="0.25">
      <c r="A160" s="290"/>
      <c r="B160" s="290"/>
      <c r="C160" s="290"/>
      <c r="D160" s="290"/>
      <c r="E160" s="290"/>
      <c r="F160" s="290"/>
      <c r="G160" s="220">
        <f t="shared" si="12"/>
        <v>0</v>
      </c>
      <c r="H160" s="220">
        <f t="shared" si="13"/>
        <v>0</v>
      </c>
      <c r="I160" s="221">
        <f>IF(A160="Total",VLOOKUP(B160,CORRESPONDANCE[#All],2,FALSE),I161)</f>
        <v>0</v>
      </c>
      <c r="J160" s="222" t="str">
        <f t="shared" si="14"/>
        <v/>
      </c>
      <c r="K160" s="44" t="str">
        <f t="shared" si="15"/>
        <v xml:space="preserve">HART - </v>
      </c>
      <c r="L160" s="44" t="e">
        <f>+VLOOKUP(K160,TL[],4,FALSE)</f>
        <v>#N/A</v>
      </c>
    </row>
    <row r="161" spans="1:12" ht="15" x14ac:dyDescent="0.25">
      <c r="A161" s="290"/>
      <c r="B161" s="290"/>
      <c r="C161" s="290"/>
      <c r="D161" s="290"/>
      <c r="E161" s="290"/>
      <c r="F161" s="290"/>
      <c r="G161" s="220">
        <f t="shared" si="12"/>
        <v>0</v>
      </c>
      <c r="H161" s="220">
        <f t="shared" si="13"/>
        <v>0</v>
      </c>
      <c r="I161" s="221">
        <f>IF(A161="Total",VLOOKUP(B161,CORRESPONDANCE[#All],2,FALSE),I162)</f>
        <v>0</v>
      </c>
      <c r="J161" s="222" t="str">
        <f t="shared" si="14"/>
        <v/>
      </c>
      <c r="K161" s="44" t="str">
        <f t="shared" si="15"/>
        <v xml:space="preserve">HART - </v>
      </c>
      <c r="L161" s="44" t="e">
        <f>+VLOOKUP(K161,TL[],4,FALSE)</f>
        <v>#N/A</v>
      </c>
    </row>
    <row r="162" spans="1:12" ht="15" x14ac:dyDescent="0.25">
      <c r="A162" s="290"/>
      <c r="B162" s="290"/>
      <c r="C162" s="290"/>
      <c r="D162" s="290"/>
      <c r="E162" s="290"/>
      <c r="F162" s="290"/>
      <c r="G162" s="220">
        <f t="shared" si="12"/>
        <v>0</v>
      </c>
      <c r="H162" s="220">
        <f t="shared" si="13"/>
        <v>0</v>
      </c>
      <c r="I162" s="221">
        <f>IF(A162="Total",VLOOKUP(B162,CORRESPONDANCE[#All],2,FALSE),I163)</f>
        <v>0</v>
      </c>
      <c r="J162" s="222" t="str">
        <f t="shared" si="14"/>
        <v/>
      </c>
      <c r="K162" s="44" t="str">
        <f t="shared" si="15"/>
        <v xml:space="preserve">HART - </v>
      </c>
      <c r="L162" s="44" t="e">
        <f>+VLOOKUP(K162,TL[],4,FALSE)</f>
        <v>#N/A</v>
      </c>
    </row>
    <row r="163" spans="1:12" ht="15" x14ac:dyDescent="0.25">
      <c r="A163" s="290"/>
      <c r="B163" s="290"/>
      <c r="C163" s="290"/>
      <c r="D163" s="290"/>
      <c r="E163" s="290"/>
      <c r="F163" s="290"/>
      <c r="G163" s="220">
        <f t="shared" si="12"/>
        <v>0</v>
      </c>
      <c r="H163" s="220">
        <f t="shared" si="13"/>
        <v>0</v>
      </c>
      <c r="I163" s="221">
        <f>IF(A163="Total",VLOOKUP(B163,CORRESPONDANCE[#All],2,FALSE),I164)</f>
        <v>0</v>
      </c>
      <c r="J163" s="222" t="str">
        <f t="shared" si="14"/>
        <v/>
      </c>
      <c r="K163" s="44" t="str">
        <f t="shared" si="15"/>
        <v xml:space="preserve">HART - </v>
      </c>
      <c r="L163" s="44" t="e">
        <f>+VLOOKUP(K163,TL[],4,FALSE)</f>
        <v>#N/A</v>
      </c>
    </row>
    <row r="164" spans="1:12" ht="15" x14ac:dyDescent="0.25">
      <c r="A164" s="290"/>
      <c r="B164" s="290"/>
      <c r="C164" s="290"/>
      <c r="D164" s="290"/>
      <c r="E164" s="290"/>
      <c r="F164" s="290"/>
      <c r="G164" s="220">
        <f t="shared" ref="G164:G173" si="16">SUM(C164)-SUM(D164)</f>
        <v>0</v>
      </c>
      <c r="H164" s="220">
        <f t="shared" ref="H164:H173" si="17">SUM(E164)-SUM(F164)</f>
        <v>0</v>
      </c>
      <c r="I164" s="221">
        <f>IF(A164="Total",VLOOKUP(B164,CORRESPONDANCE[#All],2,FALSE),I165)</f>
        <v>0</v>
      </c>
      <c r="J164" s="222" t="str">
        <f t="shared" ref="J164:J173" si="18">LEFT(A164,1)</f>
        <v/>
      </c>
      <c r="K164" s="44" t="str">
        <f t="shared" ref="K164:K173" si="19">"HART"&amp;" - "&amp;A164</f>
        <v xml:space="preserve">HART - </v>
      </c>
      <c r="L164" s="44" t="e">
        <f>+VLOOKUP(K164,TL[],4,FALSE)</f>
        <v>#N/A</v>
      </c>
    </row>
    <row r="165" spans="1:12" ht="15" x14ac:dyDescent="0.25">
      <c r="A165" s="290"/>
      <c r="B165" s="290"/>
      <c r="C165" s="290"/>
      <c r="D165" s="290"/>
      <c r="E165" s="290"/>
      <c r="F165" s="290"/>
      <c r="G165" s="220">
        <f t="shared" si="16"/>
        <v>0</v>
      </c>
      <c r="H165" s="220">
        <f t="shared" si="17"/>
        <v>0</v>
      </c>
      <c r="I165" s="221">
        <f>IF(A165="Total",VLOOKUP(B165,CORRESPONDANCE[#All],2,FALSE),I166)</f>
        <v>0</v>
      </c>
      <c r="J165" s="222" t="str">
        <f t="shared" si="18"/>
        <v/>
      </c>
      <c r="K165" s="44" t="str">
        <f t="shared" si="19"/>
        <v xml:space="preserve">HART - </v>
      </c>
      <c r="L165" s="44" t="e">
        <f>+VLOOKUP(K165,TL[],4,FALSE)</f>
        <v>#N/A</v>
      </c>
    </row>
    <row r="166" spans="1:12" ht="15" x14ac:dyDescent="0.25">
      <c r="A166" s="290"/>
      <c r="B166" s="290"/>
      <c r="C166" s="290"/>
      <c r="D166" s="290"/>
      <c r="E166" s="290"/>
      <c r="F166" s="290"/>
      <c r="G166" s="220">
        <f t="shared" si="16"/>
        <v>0</v>
      </c>
      <c r="H166" s="220">
        <f t="shared" si="17"/>
        <v>0</v>
      </c>
      <c r="I166" s="221">
        <f>IF(A166="Total",VLOOKUP(B166,CORRESPONDANCE[#All],2,FALSE),I167)</f>
        <v>0</v>
      </c>
      <c r="J166" s="222" t="str">
        <f t="shared" si="18"/>
        <v/>
      </c>
      <c r="K166" s="44" t="str">
        <f t="shared" si="19"/>
        <v xml:space="preserve">HART - </v>
      </c>
      <c r="L166" s="44" t="e">
        <f>+VLOOKUP(K166,TL[],4,FALSE)</f>
        <v>#N/A</v>
      </c>
    </row>
    <row r="167" spans="1:12" ht="15" x14ac:dyDescent="0.25">
      <c r="A167" s="290"/>
      <c r="B167" s="290"/>
      <c r="C167" s="290"/>
      <c r="D167" s="290"/>
      <c r="E167" s="290"/>
      <c r="F167" s="290"/>
      <c r="G167" s="220">
        <f t="shared" si="16"/>
        <v>0</v>
      </c>
      <c r="H167" s="220">
        <f t="shared" si="17"/>
        <v>0</v>
      </c>
      <c r="I167" s="221">
        <f>IF(A167="Total",VLOOKUP(B167,CORRESPONDANCE[#All],2,FALSE),I168)</f>
        <v>0</v>
      </c>
      <c r="J167" s="222" t="str">
        <f t="shared" si="18"/>
        <v/>
      </c>
      <c r="K167" s="44" t="str">
        <f t="shared" si="19"/>
        <v xml:space="preserve">HART - </v>
      </c>
      <c r="L167" s="44" t="e">
        <f>+VLOOKUP(K167,TL[],4,FALSE)</f>
        <v>#N/A</v>
      </c>
    </row>
    <row r="168" spans="1:12" ht="15" x14ac:dyDescent="0.25">
      <c r="A168" s="290"/>
      <c r="B168" s="290"/>
      <c r="C168" s="290"/>
      <c r="D168" s="290"/>
      <c r="E168" s="290"/>
      <c r="F168" s="290"/>
      <c r="G168" s="220">
        <f t="shared" si="16"/>
        <v>0</v>
      </c>
      <c r="H168" s="220">
        <f t="shared" si="17"/>
        <v>0</v>
      </c>
      <c r="I168" s="221">
        <f>IF(A168="Total",VLOOKUP(B168,CORRESPONDANCE[#All],2,FALSE),I169)</f>
        <v>0</v>
      </c>
      <c r="J168" s="222" t="str">
        <f t="shared" si="18"/>
        <v/>
      </c>
      <c r="K168" s="44" t="str">
        <f t="shared" si="19"/>
        <v xml:space="preserve">HART - </v>
      </c>
      <c r="L168" s="44" t="e">
        <f>+VLOOKUP(K168,TL[],4,FALSE)</f>
        <v>#N/A</v>
      </c>
    </row>
    <row r="169" spans="1:12" ht="15" x14ac:dyDescent="0.25">
      <c r="A169" s="290"/>
      <c r="B169" s="290"/>
      <c r="C169" s="290"/>
      <c r="D169" s="290"/>
      <c r="E169" s="290"/>
      <c r="F169" s="290"/>
      <c r="G169" s="220">
        <f t="shared" si="16"/>
        <v>0</v>
      </c>
      <c r="H169" s="220">
        <f t="shared" si="17"/>
        <v>0</v>
      </c>
      <c r="I169" s="221">
        <f>IF(A169="Total",VLOOKUP(B169,CORRESPONDANCE[#All],2,FALSE),I170)</f>
        <v>0</v>
      </c>
      <c r="J169" s="222" t="str">
        <f t="shared" si="18"/>
        <v/>
      </c>
      <c r="K169" s="44" t="str">
        <f t="shared" si="19"/>
        <v xml:space="preserve">HART - </v>
      </c>
      <c r="L169" s="44" t="e">
        <f>+VLOOKUP(K169,TL[],4,FALSE)</f>
        <v>#N/A</v>
      </c>
    </row>
    <row r="170" spans="1:12" ht="15" x14ac:dyDescent="0.25">
      <c r="A170" s="290"/>
      <c r="B170" s="290"/>
      <c r="C170" s="290"/>
      <c r="D170" s="290"/>
      <c r="E170" s="290"/>
      <c r="F170" s="290"/>
      <c r="G170" s="220">
        <f t="shared" si="16"/>
        <v>0</v>
      </c>
      <c r="H170" s="220">
        <f t="shared" si="17"/>
        <v>0</v>
      </c>
      <c r="I170" s="221">
        <f>IF(A170="Total",VLOOKUP(B170,CORRESPONDANCE[#All],2,FALSE),I171)</f>
        <v>0</v>
      </c>
      <c r="J170" s="222" t="str">
        <f t="shared" si="18"/>
        <v/>
      </c>
      <c r="K170" s="44" t="str">
        <f t="shared" si="19"/>
        <v xml:space="preserve">HART - </v>
      </c>
      <c r="L170" s="44" t="e">
        <f>+VLOOKUP(K170,TL[],4,FALSE)</f>
        <v>#N/A</v>
      </c>
    </row>
    <row r="171" spans="1:12" ht="15" x14ac:dyDescent="0.25">
      <c r="A171" s="290"/>
      <c r="B171" s="290"/>
      <c r="C171" s="290"/>
      <c r="D171" s="290"/>
      <c r="E171" s="290"/>
      <c r="F171" s="290"/>
      <c r="G171" s="220">
        <f t="shared" si="16"/>
        <v>0</v>
      </c>
      <c r="H171" s="220">
        <f t="shared" si="17"/>
        <v>0</v>
      </c>
      <c r="I171" s="221">
        <f>IF(A171="Total",VLOOKUP(B171,CORRESPONDANCE[#All],2,FALSE),I172)</f>
        <v>0</v>
      </c>
      <c r="J171" s="222" t="str">
        <f t="shared" si="18"/>
        <v/>
      </c>
      <c r="K171" s="44" t="str">
        <f t="shared" si="19"/>
        <v xml:space="preserve">HART - </v>
      </c>
      <c r="L171" s="44" t="e">
        <f>+VLOOKUP(K171,TL[],4,FALSE)</f>
        <v>#N/A</v>
      </c>
    </row>
    <row r="172" spans="1:12" ht="15" x14ac:dyDescent="0.25">
      <c r="A172" s="290"/>
      <c r="B172" s="290"/>
      <c r="C172" s="290"/>
      <c r="D172" s="290"/>
      <c r="E172" s="290"/>
      <c r="F172" s="290"/>
      <c r="G172" s="220">
        <f t="shared" si="16"/>
        <v>0</v>
      </c>
      <c r="H172" s="220">
        <f t="shared" si="17"/>
        <v>0</v>
      </c>
      <c r="I172" s="221">
        <f>IF(A172="Total",VLOOKUP(B172,CORRESPONDANCE[#All],2,FALSE),I173)</f>
        <v>0</v>
      </c>
      <c r="J172" s="222" t="str">
        <f t="shared" si="18"/>
        <v/>
      </c>
      <c r="K172" s="44" t="str">
        <f t="shared" si="19"/>
        <v xml:space="preserve">HART - </v>
      </c>
      <c r="L172" s="44" t="e">
        <f>+VLOOKUP(K172,TL[],4,FALSE)</f>
        <v>#N/A</v>
      </c>
    </row>
    <row r="173" spans="1:12" ht="15" x14ac:dyDescent="0.25">
      <c r="A173" s="290"/>
      <c r="B173" s="290"/>
      <c r="C173" s="290"/>
      <c r="D173" s="290"/>
      <c r="E173" s="290"/>
      <c r="F173" s="290"/>
      <c r="G173" s="220">
        <f t="shared" si="16"/>
        <v>0</v>
      </c>
      <c r="H173" s="220">
        <f t="shared" si="17"/>
        <v>0</v>
      </c>
      <c r="I173" s="221">
        <f>IF(A173="Total",VLOOKUP(B173,CORRESPONDANCE[#All],2,FALSE),I174)</f>
        <v>0</v>
      </c>
      <c r="J173" s="222" t="str">
        <f t="shared" si="18"/>
        <v/>
      </c>
      <c r="K173" s="44" t="str">
        <f t="shared" si="19"/>
        <v xml:space="preserve">HART - </v>
      </c>
      <c r="L173" s="44" t="e">
        <f>+VLOOKUP(K173,TL[],4,FALSE)</f>
        <v>#N/A</v>
      </c>
    </row>
    <row r="174" spans="1:12" ht="15" x14ac:dyDescent="0.25">
      <c r="A174" s="290"/>
      <c r="B174" s="290"/>
      <c r="C174" s="290"/>
      <c r="D174" s="290"/>
      <c r="E174" s="290"/>
      <c r="F174" s="290"/>
      <c r="G174" s="220">
        <f t="shared" ref="G174:G230" si="20">SUM(C174)-SUM(D174)</f>
        <v>0</v>
      </c>
      <c r="H174" s="220">
        <f t="shared" ref="H174:H230" si="21">SUM(E174)-SUM(F174)</f>
        <v>0</v>
      </c>
      <c r="I174" s="221">
        <f>IF(A174="Total",VLOOKUP(B174,CORRESPONDANCE[#All],2,FALSE),I175)</f>
        <v>0</v>
      </c>
      <c r="J174" s="222" t="str">
        <f t="shared" ref="J174:J230" si="22">LEFT(A174,1)</f>
        <v/>
      </c>
      <c r="K174" s="44" t="str">
        <f t="shared" ref="K174:K230" si="23">"HART"&amp;" - "&amp;A174</f>
        <v xml:space="preserve">HART - </v>
      </c>
      <c r="L174" s="44" t="e">
        <f>+VLOOKUP(K174,TL[],4,FALSE)</f>
        <v>#N/A</v>
      </c>
    </row>
    <row r="175" spans="1:12" ht="15" x14ac:dyDescent="0.25">
      <c r="A175" s="290"/>
      <c r="B175" s="290"/>
      <c r="C175" s="290"/>
      <c r="D175" s="290"/>
      <c r="E175" s="290"/>
      <c r="F175" s="290"/>
      <c r="G175" s="220">
        <f t="shared" si="20"/>
        <v>0</v>
      </c>
      <c r="H175" s="220">
        <f t="shared" si="21"/>
        <v>0</v>
      </c>
      <c r="I175" s="221">
        <f>IF(A175="Total",VLOOKUP(B175,CORRESPONDANCE[#All],2,FALSE),I176)</f>
        <v>0</v>
      </c>
      <c r="J175" s="222" t="str">
        <f t="shared" si="22"/>
        <v/>
      </c>
      <c r="K175" s="44" t="str">
        <f t="shared" si="23"/>
        <v xml:space="preserve">HART - </v>
      </c>
      <c r="L175" s="44" t="e">
        <f>+VLOOKUP(K175,TL[],4,FALSE)</f>
        <v>#N/A</v>
      </c>
    </row>
    <row r="176" spans="1:12" ht="15" x14ac:dyDescent="0.25">
      <c r="A176" s="290"/>
      <c r="B176" s="290"/>
      <c r="C176" s="290"/>
      <c r="D176" s="290"/>
      <c r="E176" s="290"/>
      <c r="F176" s="290"/>
      <c r="G176" s="220">
        <f t="shared" si="20"/>
        <v>0</v>
      </c>
      <c r="H176" s="220">
        <f t="shared" si="21"/>
        <v>0</v>
      </c>
      <c r="I176" s="221">
        <f>IF(A176="Total",VLOOKUP(B176,CORRESPONDANCE[#All],2,FALSE),I177)</f>
        <v>0</v>
      </c>
      <c r="J176" s="222" t="str">
        <f t="shared" si="22"/>
        <v/>
      </c>
      <c r="K176" s="44" t="str">
        <f t="shared" si="23"/>
        <v xml:space="preserve">HART - </v>
      </c>
      <c r="L176" s="44" t="e">
        <f>+VLOOKUP(K176,TL[],4,FALSE)</f>
        <v>#N/A</v>
      </c>
    </row>
    <row r="177" spans="1:12" ht="15" x14ac:dyDescent="0.25">
      <c r="A177" s="289"/>
      <c r="B177" s="289"/>
      <c r="C177" s="289"/>
      <c r="D177" s="289"/>
      <c r="E177" s="289"/>
      <c r="F177" s="289"/>
      <c r="G177" s="220">
        <f t="shared" si="20"/>
        <v>0</v>
      </c>
      <c r="H177" s="220">
        <f t="shared" si="21"/>
        <v>0</v>
      </c>
      <c r="I177" s="221">
        <f>IF(A177="Total",VLOOKUP(B177,CORRESPONDANCE[#All],2,FALSE),I178)</f>
        <v>0</v>
      </c>
      <c r="J177" s="222" t="str">
        <f t="shared" si="22"/>
        <v/>
      </c>
      <c r="K177" s="44" t="str">
        <f t="shared" si="23"/>
        <v xml:space="preserve">HART - </v>
      </c>
      <c r="L177" s="44" t="e">
        <f>+VLOOKUP(K177,TL[],4,FALSE)</f>
        <v>#N/A</v>
      </c>
    </row>
    <row r="178" spans="1:12" ht="15" x14ac:dyDescent="0.25">
      <c r="A178" s="289"/>
      <c r="B178" s="289"/>
      <c r="C178" s="289"/>
      <c r="D178" s="289"/>
      <c r="E178" s="289"/>
      <c r="F178" s="289"/>
      <c r="G178" s="220">
        <f t="shared" si="20"/>
        <v>0</v>
      </c>
      <c r="H178" s="220">
        <f t="shared" si="21"/>
        <v>0</v>
      </c>
      <c r="I178" s="221">
        <f>IF(A178="Total",VLOOKUP(B178,CORRESPONDANCE[#All],2,FALSE),I179)</f>
        <v>0</v>
      </c>
      <c r="J178" s="222" t="str">
        <f t="shared" si="22"/>
        <v/>
      </c>
      <c r="K178" s="44" t="str">
        <f t="shared" si="23"/>
        <v xml:space="preserve">HART - </v>
      </c>
      <c r="L178" s="44" t="e">
        <f>+VLOOKUP(K178,TL[],4,FALSE)</f>
        <v>#N/A</v>
      </c>
    </row>
    <row r="179" spans="1:12" ht="15" x14ac:dyDescent="0.25">
      <c r="A179" s="289"/>
      <c r="B179" s="289"/>
      <c r="C179" s="289"/>
      <c r="D179" s="289"/>
      <c r="E179" s="289"/>
      <c r="F179" s="289"/>
      <c r="G179" s="220">
        <f t="shared" si="20"/>
        <v>0</v>
      </c>
      <c r="H179" s="220">
        <f t="shared" si="21"/>
        <v>0</v>
      </c>
      <c r="I179" s="221">
        <f>IF(A179="Total",VLOOKUP(B179,CORRESPONDANCE[#All],2,FALSE),I180)</f>
        <v>0</v>
      </c>
      <c r="J179" s="222" t="str">
        <f t="shared" si="22"/>
        <v/>
      </c>
      <c r="K179" s="44" t="str">
        <f t="shared" si="23"/>
        <v xml:space="preserve">HART - </v>
      </c>
      <c r="L179" s="44" t="e">
        <f>+VLOOKUP(K179,TL[],4,FALSE)</f>
        <v>#N/A</v>
      </c>
    </row>
    <row r="180" spans="1:12" ht="15" x14ac:dyDescent="0.25">
      <c r="A180" s="289"/>
      <c r="B180" s="289"/>
      <c r="C180" s="289"/>
      <c r="D180" s="289"/>
      <c r="E180" s="289"/>
      <c r="F180" s="289"/>
      <c r="G180" s="220">
        <f t="shared" si="20"/>
        <v>0</v>
      </c>
      <c r="H180" s="220">
        <f t="shared" si="21"/>
        <v>0</v>
      </c>
      <c r="I180" s="221">
        <f>IF(A180="Total",VLOOKUP(B180,CORRESPONDANCE[#All],2,FALSE),I181)</f>
        <v>0</v>
      </c>
      <c r="J180" s="222" t="str">
        <f t="shared" si="22"/>
        <v/>
      </c>
      <c r="K180" s="44" t="str">
        <f t="shared" si="23"/>
        <v xml:space="preserve">HART - </v>
      </c>
      <c r="L180" s="44" t="e">
        <f>+VLOOKUP(K180,TL[],4,FALSE)</f>
        <v>#N/A</v>
      </c>
    </row>
    <row r="181" spans="1:12" ht="15" x14ac:dyDescent="0.25">
      <c r="A181" s="289"/>
      <c r="B181" s="289"/>
      <c r="C181" s="289"/>
      <c r="D181" s="289"/>
      <c r="E181" s="289"/>
      <c r="F181" s="289"/>
      <c r="G181" s="220">
        <f t="shared" si="20"/>
        <v>0</v>
      </c>
      <c r="H181" s="220">
        <f t="shared" si="21"/>
        <v>0</v>
      </c>
      <c r="I181" s="221">
        <f>IF(A181="Total",VLOOKUP(B181,CORRESPONDANCE[#All],2,FALSE),I182)</f>
        <v>0</v>
      </c>
      <c r="J181" s="222" t="str">
        <f t="shared" si="22"/>
        <v/>
      </c>
      <c r="K181" s="44" t="str">
        <f t="shared" si="23"/>
        <v xml:space="preserve">HART - </v>
      </c>
      <c r="L181" s="44" t="e">
        <f>+VLOOKUP(K181,TL[],4,FALSE)</f>
        <v>#N/A</v>
      </c>
    </row>
    <row r="182" spans="1:12" ht="15" x14ac:dyDescent="0.25">
      <c r="A182" s="289"/>
      <c r="B182" s="289"/>
      <c r="C182" s="289"/>
      <c r="D182" s="289"/>
      <c r="E182" s="289"/>
      <c r="F182" s="289"/>
      <c r="G182" s="220">
        <f t="shared" si="20"/>
        <v>0</v>
      </c>
      <c r="H182" s="220">
        <f t="shared" si="21"/>
        <v>0</v>
      </c>
      <c r="I182" s="221">
        <f>IF(A182="Total",VLOOKUP(B182,CORRESPONDANCE[#All],2,FALSE),I183)</f>
        <v>0</v>
      </c>
      <c r="J182" s="222" t="str">
        <f t="shared" si="22"/>
        <v/>
      </c>
      <c r="K182" s="44" t="str">
        <f t="shared" si="23"/>
        <v xml:space="preserve">HART - </v>
      </c>
      <c r="L182" s="44" t="e">
        <f>+VLOOKUP(K182,TL[],4,FALSE)</f>
        <v>#N/A</v>
      </c>
    </row>
    <row r="183" spans="1:12" ht="15" x14ac:dyDescent="0.25">
      <c r="A183" s="289"/>
      <c r="B183" s="289"/>
      <c r="C183" s="289"/>
      <c r="D183" s="289"/>
      <c r="E183" s="289"/>
      <c r="F183" s="289"/>
      <c r="G183" s="220">
        <f t="shared" si="20"/>
        <v>0</v>
      </c>
      <c r="H183" s="220">
        <f t="shared" si="21"/>
        <v>0</v>
      </c>
      <c r="I183" s="221">
        <f>IF(A183="Total",VLOOKUP(B183,CORRESPONDANCE[#All],2,FALSE),I184)</f>
        <v>0</v>
      </c>
      <c r="J183" s="222" t="str">
        <f t="shared" si="22"/>
        <v/>
      </c>
      <c r="K183" s="44" t="str">
        <f t="shared" si="23"/>
        <v xml:space="preserve">HART - </v>
      </c>
      <c r="L183" s="44" t="e">
        <f>+VLOOKUP(K183,TL[],4,FALSE)</f>
        <v>#N/A</v>
      </c>
    </row>
    <row r="184" spans="1:12" ht="15" x14ac:dyDescent="0.25">
      <c r="A184" s="289"/>
      <c r="B184" s="289"/>
      <c r="C184" s="289"/>
      <c r="D184" s="289"/>
      <c r="E184" s="289"/>
      <c r="F184" s="289"/>
      <c r="G184" s="220">
        <f t="shared" si="20"/>
        <v>0</v>
      </c>
      <c r="H184" s="220">
        <f t="shared" si="21"/>
        <v>0</v>
      </c>
      <c r="I184" s="221">
        <f>IF(A184="Total",VLOOKUP(B184,CORRESPONDANCE[#All],2,FALSE),I185)</f>
        <v>0</v>
      </c>
      <c r="J184" s="222" t="str">
        <f t="shared" si="22"/>
        <v/>
      </c>
      <c r="K184" s="44" t="str">
        <f t="shared" si="23"/>
        <v xml:space="preserve">HART - </v>
      </c>
      <c r="L184" s="44" t="e">
        <f>+VLOOKUP(K184,TL[],4,FALSE)</f>
        <v>#N/A</v>
      </c>
    </row>
    <row r="185" spans="1:12" ht="15" x14ac:dyDescent="0.25">
      <c r="A185" s="289"/>
      <c r="B185" s="289"/>
      <c r="C185" s="289"/>
      <c r="D185" s="289"/>
      <c r="E185" s="289"/>
      <c r="F185" s="289"/>
      <c r="G185" s="220">
        <f t="shared" si="20"/>
        <v>0</v>
      </c>
      <c r="H185" s="220">
        <f t="shared" si="21"/>
        <v>0</v>
      </c>
      <c r="I185" s="221">
        <f>IF(A185="Total",VLOOKUP(B185,CORRESPONDANCE[#All],2,FALSE),I186)</f>
        <v>0</v>
      </c>
      <c r="J185" s="222" t="str">
        <f t="shared" si="22"/>
        <v/>
      </c>
      <c r="K185" s="44" t="str">
        <f t="shared" si="23"/>
        <v xml:space="preserve">HART - </v>
      </c>
      <c r="L185" s="44" t="e">
        <f>+VLOOKUP(K185,TL[],4,FALSE)</f>
        <v>#N/A</v>
      </c>
    </row>
    <row r="186" spans="1:12" ht="15" x14ac:dyDescent="0.25">
      <c r="A186" s="289"/>
      <c r="B186" s="289"/>
      <c r="C186" s="289"/>
      <c r="D186" s="289"/>
      <c r="E186" s="289"/>
      <c r="F186" s="289"/>
      <c r="G186" s="220">
        <f t="shared" si="20"/>
        <v>0</v>
      </c>
      <c r="H186" s="220">
        <f t="shared" si="21"/>
        <v>0</v>
      </c>
      <c r="I186" s="221">
        <f>IF(A186="Total",VLOOKUP(B186,CORRESPONDANCE[#All],2,FALSE),I187)</f>
        <v>0</v>
      </c>
      <c r="J186" s="222" t="str">
        <f t="shared" si="22"/>
        <v/>
      </c>
      <c r="K186" s="44" t="str">
        <f t="shared" si="23"/>
        <v xml:space="preserve">HART - </v>
      </c>
      <c r="L186" s="44" t="e">
        <f>+VLOOKUP(K186,TL[],4,FALSE)</f>
        <v>#N/A</v>
      </c>
    </row>
    <row r="187" spans="1:12" ht="15" x14ac:dyDescent="0.25">
      <c r="A187" s="289"/>
      <c r="B187" s="289"/>
      <c r="C187" s="289"/>
      <c r="D187" s="289"/>
      <c r="E187" s="289"/>
      <c r="F187" s="289"/>
      <c r="G187" s="220">
        <f t="shared" si="20"/>
        <v>0</v>
      </c>
      <c r="H187" s="220">
        <f t="shared" si="21"/>
        <v>0</v>
      </c>
      <c r="I187" s="221">
        <f>IF(A187="Total",VLOOKUP(B187,CORRESPONDANCE[#All],2,FALSE),I188)</f>
        <v>0</v>
      </c>
      <c r="J187" s="222" t="str">
        <f t="shared" si="22"/>
        <v/>
      </c>
      <c r="K187" s="44" t="str">
        <f t="shared" si="23"/>
        <v xml:space="preserve">HART - </v>
      </c>
      <c r="L187" s="44" t="e">
        <f>+VLOOKUP(K187,TL[],4,FALSE)</f>
        <v>#N/A</v>
      </c>
    </row>
    <row r="188" spans="1:12" ht="15" x14ac:dyDescent="0.25">
      <c r="A188" s="289"/>
      <c r="B188" s="289"/>
      <c r="C188" s="289"/>
      <c r="D188" s="289"/>
      <c r="E188" s="289"/>
      <c r="F188" s="289"/>
      <c r="G188" s="220">
        <f t="shared" si="20"/>
        <v>0</v>
      </c>
      <c r="H188" s="220">
        <f t="shared" si="21"/>
        <v>0</v>
      </c>
      <c r="I188" s="221">
        <f>IF(A188="Total",VLOOKUP(B188,CORRESPONDANCE[#All],2,FALSE),I189)</f>
        <v>0</v>
      </c>
      <c r="J188" s="222" t="str">
        <f t="shared" si="22"/>
        <v/>
      </c>
      <c r="K188" s="44" t="str">
        <f t="shared" si="23"/>
        <v xml:space="preserve">HART - </v>
      </c>
      <c r="L188" s="44" t="e">
        <f>+VLOOKUP(K188,TL[],4,FALSE)</f>
        <v>#N/A</v>
      </c>
    </row>
    <row r="189" spans="1:12" ht="15" x14ac:dyDescent="0.25">
      <c r="A189" s="289"/>
      <c r="B189" s="289"/>
      <c r="C189" s="289"/>
      <c r="D189" s="289"/>
      <c r="E189" s="289"/>
      <c r="F189" s="289"/>
      <c r="G189" s="220">
        <f t="shared" si="20"/>
        <v>0</v>
      </c>
      <c r="H189" s="220">
        <f t="shared" si="21"/>
        <v>0</v>
      </c>
      <c r="I189" s="221">
        <f>IF(A189="Total",VLOOKUP(B189,CORRESPONDANCE[#All],2,FALSE),I190)</f>
        <v>0</v>
      </c>
      <c r="J189" s="222" t="str">
        <f t="shared" si="22"/>
        <v/>
      </c>
      <c r="K189" s="44" t="str">
        <f t="shared" si="23"/>
        <v xml:space="preserve">HART - </v>
      </c>
      <c r="L189" s="44" t="e">
        <f>+VLOOKUP(K189,TL[],4,FALSE)</f>
        <v>#N/A</v>
      </c>
    </row>
    <row r="190" spans="1:12" ht="15" x14ac:dyDescent="0.25">
      <c r="A190" s="289"/>
      <c r="B190" s="289"/>
      <c r="C190" s="289"/>
      <c r="D190" s="289"/>
      <c r="E190" s="289"/>
      <c r="F190" s="289"/>
      <c r="G190" s="220">
        <f t="shared" si="20"/>
        <v>0</v>
      </c>
      <c r="H190" s="220">
        <f t="shared" si="21"/>
        <v>0</v>
      </c>
      <c r="I190" s="221">
        <f>IF(A190="Total",VLOOKUP(B190,CORRESPONDANCE[#All],2,FALSE),I191)</f>
        <v>0</v>
      </c>
      <c r="J190" s="222" t="str">
        <f t="shared" si="22"/>
        <v/>
      </c>
      <c r="K190" s="44" t="str">
        <f t="shared" si="23"/>
        <v xml:space="preserve">HART - </v>
      </c>
      <c r="L190" s="44" t="e">
        <f>+VLOOKUP(K190,TL[],4,FALSE)</f>
        <v>#N/A</v>
      </c>
    </row>
    <row r="191" spans="1:12" ht="15" x14ac:dyDescent="0.25">
      <c r="A191" s="289"/>
      <c r="B191" s="289"/>
      <c r="C191" s="289"/>
      <c r="D191" s="289"/>
      <c r="E191" s="289"/>
      <c r="F191" s="289"/>
      <c r="G191" s="220">
        <f t="shared" si="20"/>
        <v>0</v>
      </c>
      <c r="H191" s="220">
        <f t="shared" si="21"/>
        <v>0</v>
      </c>
      <c r="I191" s="221">
        <f>IF(A191="Total",VLOOKUP(B191,CORRESPONDANCE[#All],2,FALSE),I192)</f>
        <v>0</v>
      </c>
      <c r="J191" s="222" t="str">
        <f t="shared" si="22"/>
        <v/>
      </c>
      <c r="K191" s="44" t="str">
        <f t="shared" si="23"/>
        <v xml:space="preserve">HART - </v>
      </c>
      <c r="L191" s="44" t="e">
        <f>+VLOOKUP(K191,TL[],4,FALSE)</f>
        <v>#N/A</v>
      </c>
    </row>
    <row r="192" spans="1:12" ht="15" x14ac:dyDescent="0.25">
      <c r="A192" s="289"/>
      <c r="B192" s="289"/>
      <c r="C192" s="289"/>
      <c r="D192" s="289"/>
      <c r="E192" s="289"/>
      <c r="F192" s="289"/>
      <c r="G192" s="220">
        <f t="shared" si="20"/>
        <v>0</v>
      </c>
      <c r="H192" s="220">
        <f t="shared" si="21"/>
        <v>0</v>
      </c>
      <c r="I192" s="221">
        <f>IF(A192="Total",VLOOKUP(B192,CORRESPONDANCE[#All],2,FALSE),I193)</f>
        <v>0</v>
      </c>
      <c r="J192" s="222" t="str">
        <f t="shared" si="22"/>
        <v/>
      </c>
      <c r="K192" s="44" t="str">
        <f t="shared" si="23"/>
        <v xml:space="preserve">HART - </v>
      </c>
      <c r="L192" s="44" t="e">
        <f>+VLOOKUP(K192,TL[],4,FALSE)</f>
        <v>#N/A</v>
      </c>
    </row>
    <row r="193" spans="1:12" ht="15" x14ac:dyDescent="0.25">
      <c r="A193" s="289"/>
      <c r="B193" s="289"/>
      <c r="C193" s="289"/>
      <c r="D193" s="289"/>
      <c r="E193" s="289"/>
      <c r="F193" s="289"/>
      <c r="G193" s="220">
        <f t="shared" si="20"/>
        <v>0</v>
      </c>
      <c r="H193" s="220">
        <f t="shared" si="21"/>
        <v>0</v>
      </c>
      <c r="I193" s="221">
        <f>IF(A193="Total",VLOOKUP(B193,CORRESPONDANCE[#All],2,FALSE),I194)</f>
        <v>0</v>
      </c>
      <c r="J193" s="222" t="str">
        <f t="shared" si="22"/>
        <v/>
      </c>
      <c r="K193" s="44" t="str">
        <f t="shared" si="23"/>
        <v xml:space="preserve">HART - </v>
      </c>
      <c r="L193" s="44" t="e">
        <f>+VLOOKUP(K193,TL[],4,FALSE)</f>
        <v>#N/A</v>
      </c>
    </row>
    <row r="194" spans="1:12" ht="15" x14ac:dyDescent="0.25">
      <c r="A194" s="289"/>
      <c r="B194" s="289"/>
      <c r="C194" s="289"/>
      <c r="D194" s="289"/>
      <c r="E194" s="289"/>
      <c r="F194" s="289"/>
      <c r="G194" s="220">
        <f t="shared" si="20"/>
        <v>0</v>
      </c>
      <c r="H194" s="220">
        <f t="shared" si="21"/>
        <v>0</v>
      </c>
      <c r="I194" s="221">
        <f>IF(A194="Total",VLOOKUP(B194,CORRESPONDANCE[#All],2,FALSE),I195)</f>
        <v>0</v>
      </c>
      <c r="J194" s="222" t="str">
        <f t="shared" si="22"/>
        <v/>
      </c>
      <c r="K194" s="44" t="str">
        <f t="shared" si="23"/>
        <v xml:space="preserve">HART - </v>
      </c>
      <c r="L194" s="44" t="e">
        <f>+VLOOKUP(K194,TL[],4,FALSE)</f>
        <v>#N/A</v>
      </c>
    </row>
    <row r="195" spans="1:12" ht="15" x14ac:dyDescent="0.25">
      <c r="A195" s="289"/>
      <c r="B195" s="289"/>
      <c r="C195" s="289"/>
      <c r="D195" s="289"/>
      <c r="E195" s="289"/>
      <c r="F195" s="289"/>
      <c r="G195" s="220">
        <f t="shared" si="20"/>
        <v>0</v>
      </c>
      <c r="H195" s="220">
        <f t="shared" si="21"/>
        <v>0</v>
      </c>
      <c r="I195" s="221">
        <f>IF(A195="Total",VLOOKUP(B195,CORRESPONDANCE[#All],2,FALSE),I196)</f>
        <v>0</v>
      </c>
      <c r="J195" s="222" t="str">
        <f t="shared" si="22"/>
        <v/>
      </c>
      <c r="K195" s="44" t="str">
        <f t="shared" si="23"/>
        <v xml:space="preserve">HART - </v>
      </c>
      <c r="L195" s="44" t="e">
        <f>+VLOOKUP(K195,TL[],4,FALSE)</f>
        <v>#N/A</v>
      </c>
    </row>
    <row r="196" spans="1:12" ht="15" x14ac:dyDescent="0.25">
      <c r="A196" s="289"/>
      <c r="B196" s="289"/>
      <c r="C196" s="289"/>
      <c r="D196" s="289"/>
      <c r="E196" s="289"/>
      <c r="F196" s="289"/>
      <c r="G196" s="220">
        <f t="shared" si="20"/>
        <v>0</v>
      </c>
      <c r="H196" s="220">
        <f t="shared" si="21"/>
        <v>0</v>
      </c>
      <c r="I196" s="221">
        <f>IF(A196="Total",VLOOKUP(B196,CORRESPONDANCE[#All],2,FALSE),I197)</f>
        <v>0</v>
      </c>
      <c r="J196" s="222" t="str">
        <f t="shared" si="22"/>
        <v/>
      </c>
      <c r="K196" s="44" t="str">
        <f t="shared" si="23"/>
        <v xml:space="preserve">HART - </v>
      </c>
      <c r="L196" s="44" t="e">
        <f>+VLOOKUP(K196,TL[],4,FALSE)</f>
        <v>#N/A</v>
      </c>
    </row>
    <row r="197" spans="1:12" ht="15" x14ac:dyDescent="0.25">
      <c r="A197" s="289"/>
      <c r="B197" s="289"/>
      <c r="C197" s="289"/>
      <c r="D197" s="289"/>
      <c r="E197" s="289"/>
      <c r="F197" s="289"/>
      <c r="G197" s="220">
        <f t="shared" si="20"/>
        <v>0</v>
      </c>
      <c r="H197" s="220">
        <f t="shared" si="21"/>
        <v>0</v>
      </c>
      <c r="I197" s="221">
        <f>IF(A197="Total",VLOOKUP(B197,CORRESPONDANCE[#All],2,FALSE),I198)</f>
        <v>0</v>
      </c>
      <c r="J197" s="222" t="str">
        <f t="shared" si="22"/>
        <v/>
      </c>
      <c r="K197" s="44" t="str">
        <f t="shared" si="23"/>
        <v xml:space="preserve">HART - </v>
      </c>
      <c r="L197" s="44" t="e">
        <f>+VLOOKUP(K197,TL[],4,FALSE)</f>
        <v>#N/A</v>
      </c>
    </row>
    <row r="198" spans="1:12" ht="15" x14ac:dyDescent="0.25">
      <c r="A198" s="289"/>
      <c r="B198" s="289"/>
      <c r="C198" s="289"/>
      <c r="D198" s="289"/>
      <c r="E198" s="289"/>
      <c r="F198" s="289"/>
      <c r="G198" s="220">
        <f t="shared" si="20"/>
        <v>0</v>
      </c>
      <c r="H198" s="220">
        <f t="shared" si="21"/>
        <v>0</v>
      </c>
      <c r="I198" s="221">
        <f>IF(A198="Total",VLOOKUP(B198,CORRESPONDANCE[#All],2,FALSE),I199)</f>
        <v>0</v>
      </c>
      <c r="J198" s="222" t="str">
        <f t="shared" si="22"/>
        <v/>
      </c>
      <c r="K198" s="44" t="str">
        <f t="shared" si="23"/>
        <v xml:space="preserve">HART - </v>
      </c>
      <c r="L198" s="44" t="e">
        <f>+VLOOKUP(K198,TL[],4,FALSE)</f>
        <v>#N/A</v>
      </c>
    </row>
    <row r="199" spans="1:12" ht="15" x14ac:dyDescent="0.25">
      <c r="A199" s="289"/>
      <c r="B199" s="289"/>
      <c r="C199" s="289"/>
      <c r="D199" s="289"/>
      <c r="E199" s="289"/>
      <c r="F199" s="289"/>
      <c r="G199" s="220">
        <f t="shared" si="20"/>
        <v>0</v>
      </c>
      <c r="H199" s="220">
        <f t="shared" si="21"/>
        <v>0</v>
      </c>
      <c r="I199" s="221">
        <f>IF(A199="Total",VLOOKUP(B199,CORRESPONDANCE[#All],2,FALSE),I200)</f>
        <v>0</v>
      </c>
      <c r="J199" s="222" t="str">
        <f t="shared" si="22"/>
        <v/>
      </c>
      <c r="K199" s="44" t="str">
        <f t="shared" si="23"/>
        <v xml:space="preserve">HART - </v>
      </c>
      <c r="L199" s="44" t="e">
        <f>+VLOOKUP(K199,TL[],4,FALSE)</f>
        <v>#N/A</v>
      </c>
    </row>
    <row r="200" spans="1:12" ht="15" x14ac:dyDescent="0.25">
      <c r="A200" s="289"/>
      <c r="B200" s="289"/>
      <c r="C200" s="289"/>
      <c r="D200" s="289"/>
      <c r="E200" s="289"/>
      <c r="F200" s="289"/>
      <c r="G200" s="220">
        <f t="shared" si="20"/>
        <v>0</v>
      </c>
      <c r="H200" s="220">
        <f t="shared" si="21"/>
        <v>0</v>
      </c>
      <c r="I200" s="221">
        <f>IF(A200="Total",VLOOKUP(B200,CORRESPONDANCE[#All],2,FALSE),I201)</f>
        <v>0</v>
      </c>
      <c r="J200" s="222" t="str">
        <f t="shared" si="22"/>
        <v/>
      </c>
      <c r="K200" s="44" t="str">
        <f t="shared" si="23"/>
        <v xml:space="preserve">HART - </v>
      </c>
      <c r="L200" s="44" t="e">
        <f>+VLOOKUP(K200,TL[],4,FALSE)</f>
        <v>#N/A</v>
      </c>
    </row>
    <row r="201" spans="1:12" ht="15" x14ac:dyDescent="0.25">
      <c r="A201" s="289"/>
      <c r="B201" s="289"/>
      <c r="C201" s="289"/>
      <c r="D201" s="289"/>
      <c r="E201" s="289"/>
      <c r="F201" s="289"/>
      <c r="G201" s="220">
        <f t="shared" si="20"/>
        <v>0</v>
      </c>
      <c r="H201" s="220">
        <f t="shared" si="21"/>
        <v>0</v>
      </c>
      <c r="I201" s="221">
        <f>IF(A201="Total",VLOOKUP(B201,CORRESPONDANCE[#All],2,FALSE),I202)</f>
        <v>0</v>
      </c>
      <c r="J201" s="222" t="str">
        <f t="shared" si="22"/>
        <v/>
      </c>
      <c r="K201" s="44" t="str">
        <f t="shared" si="23"/>
        <v xml:space="preserve">HART - </v>
      </c>
      <c r="L201" s="44" t="e">
        <f>+VLOOKUP(K201,TL[],4,FALSE)</f>
        <v>#N/A</v>
      </c>
    </row>
    <row r="202" spans="1:12" ht="15" x14ac:dyDescent="0.25">
      <c r="A202" s="289"/>
      <c r="B202" s="289"/>
      <c r="C202" s="289"/>
      <c r="D202" s="289"/>
      <c r="E202" s="289"/>
      <c r="F202" s="289"/>
      <c r="G202" s="220">
        <f t="shared" si="20"/>
        <v>0</v>
      </c>
      <c r="H202" s="220">
        <f t="shared" si="21"/>
        <v>0</v>
      </c>
      <c r="I202" s="221">
        <f>IF(A202="Total",VLOOKUP(B202,CORRESPONDANCE[#All],2,FALSE),I203)</f>
        <v>0</v>
      </c>
      <c r="J202" s="222" t="str">
        <f t="shared" si="22"/>
        <v/>
      </c>
      <c r="K202" s="44" t="str">
        <f t="shared" si="23"/>
        <v xml:space="preserve">HART - </v>
      </c>
      <c r="L202" s="44" t="e">
        <f>+VLOOKUP(K202,TL[],4,FALSE)</f>
        <v>#N/A</v>
      </c>
    </row>
    <row r="203" spans="1:12" ht="15" x14ac:dyDescent="0.25">
      <c r="A203" s="289"/>
      <c r="B203" s="289"/>
      <c r="C203" s="289"/>
      <c r="D203" s="289"/>
      <c r="E203" s="289"/>
      <c r="F203" s="289"/>
      <c r="G203" s="220">
        <f t="shared" si="20"/>
        <v>0</v>
      </c>
      <c r="H203" s="220">
        <f t="shared" si="21"/>
        <v>0</v>
      </c>
      <c r="I203" s="221">
        <f>IF(A203="Total",VLOOKUP(B203,CORRESPONDANCE[#All],2,FALSE),I204)</f>
        <v>0</v>
      </c>
      <c r="J203" s="222" t="str">
        <f t="shared" si="22"/>
        <v/>
      </c>
      <c r="K203" s="44" t="str">
        <f t="shared" si="23"/>
        <v xml:space="preserve">HART - </v>
      </c>
      <c r="L203" s="44" t="e">
        <f>+VLOOKUP(K203,TL[],4,FALSE)</f>
        <v>#N/A</v>
      </c>
    </row>
    <row r="204" spans="1:12" ht="15" x14ac:dyDescent="0.25">
      <c r="A204" s="289"/>
      <c r="B204" s="289"/>
      <c r="C204" s="289"/>
      <c r="D204" s="289"/>
      <c r="E204" s="289"/>
      <c r="F204" s="289"/>
      <c r="G204" s="220">
        <f t="shared" si="20"/>
        <v>0</v>
      </c>
      <c r="H204" s="220">
        <f t="shared" si="21"/>
        <v>0</v>
      </c>
      <c r="I204" s="221">
        <f>IF(A204="Total",VLOOKUP(B204,CORRESPONDANCE[#All],2,FALSE),I205)</f>
        <v>0</v>
      </c>
      <c r="J204" s="222" t="str">
        <f t="shared" si="22"/>
        <v/>
      </c>
      <c r="K204" s="44" t="str">
        <f t="shared" si="23"/>
        <v xml:space="preserve">HART - </v>
      </c>
      <c r="L204" s="44" t="e">
        <f>+VLOOKUP(K204,TL[],4,FALSE)</f>
        <v>#N/A</v>
      </c>
    </row>
    <row r="205" spans="1:12" ht="15" x14ac:dyDescent="0.25">
      <c r="A205" s="289"/>
      <c r="B205" s="289"/>
      <c r="C205" s="289"/>
      <c r="D205" s="289"/>
      <c r="E205" s="289"/>
      <c r="F205" s="289"/>
      <c r="G205" s="220">
        <f t="shared" si="20"/>
        <v>0</v>
      </c>
      <c r="H205" s="220">
        <f t="shared" si="21"/>
        <v>0</v>
      </c>
      <c r="I205" s="221">
        <f>IF(A205="Total",VLOOKUP(B205,CORRESPONDANCE[#All],2,FALSE),I206)</f>
        <v>0</v>
      </c>
      <c r="J205" s="222" t="str">
        <f t="shared" si="22"/>
        <v/>
      </c>
      <c r="K205" s="44" t="str">
        <f t="shared" si="23"/>
        <v xml:space="preserve">HART - </v>
      </c>
      <c r="L205" s="44" t="e">
        <f>+VLOOKUP(K205,TL[],4,FALSE)</f>
        <v>#N/A</v>
      </c>
    </row>
    <row r="206" spans="1:12" ht="15" x14ac:dyDescent="0.25">
      <c r="A206" s="289"/>
      <c r="B206" s="289"/>
      <c r="C206" s="289"/>
      <c r="D206" s="289"/>
      <c r="E206" s="289"/>
      <c r="F206" s="289"/>
      <c r="G206" s="220">
        <f t="shared" si="20"/>
        <v>0</v>
      </c>
      <c r="H206" s="220">
        <f t="shared" si="21"/>
        <v>0</v>
      </c>
      <c r="I206" s="221">
        <f>IF(A206="Total",VLOOKUP(B206,CORRESPONDANCE[#All],2,FALSE),I207)</f>
        <v>0</v>
      </c>
      <c r="J206" s="222" t="str">
        <f t="shared" si="22"/>
        <v/>
      </c>
      <c r="K206" s="44" t="str">
        <f t="shared" si="23"/>
        <v xml:space="preserve">HART - </v>
      </c>
      <c r="L206" s="44" t="e">
        <f>+VLOOKUP(K206,TL[],4,FALSE)</f>
        <v>#N/A</v>
      </c>
    </row>
    <row r="207" spans="1:12" ht="15" x14ac:dyDescent="0.25">
      <c r="A207" s="289"/>
      <c r="B207" s="289"/>
      <c r="C207" s="289"/>
      <c r="D207" s="289"/>
      <c r="E207" s="289"/>
      <c r="F207" s="289"/>
      <c r="G207" s="220">
        <f t="shared" si="20"/>
        <v>0</v>
      </c>
      <c r="H207" s="220">
        <f t="shared" si="21"/>
        <v>0</v>
      </c>
      <c r="I207" s="221">
        <f>IF(A207="Total",VLOOKUP(B207,CORRESPONDANCE[#All],2,FALSE),I208)</f>
        <v>0</v>
      </c>
      <c r="J207" s="222" t="str">
        <f t="shared" si="22"/>
        <v/>
      </c>
      <c r="K207" s="44" t="str">
        <f t="shared" si="23"/>
        <v xml:space="preserve">HART - </v>
      </c>
      <c r="L207" s="44" t="e">
        <f>+VLOOKUP(K207,TL[],4,FALSE)</f>
        <v>#N/A</v>
      </c>
    </row>
    <row r="208" spans="1:12" ht="15" x14ac:dyDescent="0.25">
      <c r="A208" s="289"/>
      <c r="B208" s="289"/>
      <c r="C208" s="289"/>
      <c r="D208" s="289"/>
      <c r="E208" s="289"/>
      <c r="F208" s="289"/>
      <c r="G208" s="220">
        <f t="shared" si="20"/>
        <v>0</v>
      </c>
      <c r="H208" s="220">
        <f t="shared" si="21"/>
        <v>0</v>
      </c>
      <c r="I208" s="221">
        <f>IF(A208="Total",VLOOKUP(B208,CORRESPONDANCE[#All],2,FALSE),I209)</f>
        <v>0</v>
      </c>
      <c r="J208" s="222" t="str">
        <f t="shared" si="22"/>
        <v/>
      </c>
      <c r="K208" s="44" t="str">
        <f t="shared" si="23"/>
        <v xml:space="preserve">HART - </v>
      </c>
      <c r="L208" s="44" t="e">
        <f>+VLOOKUP(K208,TL[],4,FALSE)</f>
        <v>#N/A</v>
      </c>
    </row>
    <row r="209" spans="1:12" ht="15" x14ac:dyDescent="0.25">
      <c r="A209" s="289"/>
      <c r="B209" s="289"/>
      <c r="C209" s="289"/>
      <c r="D209" s="289"/>
      <c r="E209" s="289"/>
      <c r="F209" s="289"/>
      <c r="G209" s="220">
        <f t="shared" si="20"/>
        <v>0</v>
      </c>
      <c r="H209" s="220">
        <f t="shared" si="21"/>
        <v>0</v>
      </c>
      <c r="I209" s="221">
        <f>IF(A209="Total",VLOOKUP(B209,CORRESPONDANCE[#All],2,FALSE),I210)</f>
        <v>0</v>
      </c>
      <c r="J209" s="222" t="str">
        <f t="shared" si="22"/>
        <v/>
      </c>
      <c r="K209" s="44" t="str">
        <f t="shared" si="23"/>
        <v xml:space="preserve">HART - </v>
      </c>
      <c r="L209" s="44" t="e">
        <f>+VLOOKUP(K209,TL[],4,FALSE)</f>
        <v>#N/A</v>
      </c>
    </row>
    <row r="210" spans="1:12" ht="15" x14ac:dyDescent="0.25">
      <c r="A210" s="289"/>
      <c r="B210" s="289"/>
      <c r="C210" s="289"/>
      <c r="D210" s="289"/>
      <c r="E210" s="289"/>
      <c r="F210" s="289"/>
      <c r="G210" s="220">
        <f t="shared" si="20"/>
        <v>0</v>
      </c>
      <c r="H210" s="220">
        <f t="shared" si="21"/>
        <v>0</v>
      </c>
      <c r="I210" s="221">
        <f>IF(A210="Total",VLOOKUP(B210,CORRESPONDANCE[#All],2,FALSE),I211)</f>
        <v>0</v>
      </c>
      <c r="J210" s="222" t="str">
        <f t="shared" si="22"/>
        <v/>
      </c>
      <c r="K210" s="44" t="str">
        <f t="shared" si="23"/>
        <v xml:space="preserve">HART - </v>
      </c>
      <c r="L210" s="44" t="e">
        <f>+VLOOKUP(K210,TL[],4,FALSE)</f>
        <v>#N/A</v>
      </c>
    </row>
    <row r="211" spans="1:12" ht="15" x14ac:dyDescent="0.25">
      <c r="A211" s="289"/>
      <c r="B211" s="289"/>
      <c r="C211" s="289"/>
      <c r="D211" s="289"/>
      <c r="E211" s="289"/>
      <c r="F211" s="289"/>
      <c r="G211" s="220">
        <f t="shared" si="20"/>
        <v>0</v>
      </c>
      <c r="H211" s="220">
        <f t="shared" si="21"/>
        <v>0</v>
      </c>
      <c r="I211" s="221">
        <f>IF(A211="Total",VLOOKUP(B211,CORRESPONDANCE[#All],2,FALSE),I212)</f>
        <v>0</v>
      </c>
      <c r="J211" s="222" t="str">
        <f t="shared" si="22"/>
        <v/>
      </c>
      <c r="K211" s="44" t="str">
        <f t="shared" si="23"/>
        <v xml:space="preserve">HART - </v>
      </c>
      <c r="L211" s="44" t="e">
        <f>+VLOOKUP(K211,TL[],4,FALSE)</f>
        <v>#N/A</v>
      </c>
    </row>
    <row r="212" spans="1:12" ht="15" x14ac:dyDescent="0.25">
      <c r="A212" s="289"/>
      <c r="B212" s="289"/>
      <c r="C212" s="289"/>
      <c r="D212" s="289"/>
      <c r="E212" s="289"/>
      <c r="F212" s="289"/>
      <c r="G212" s="220">
        <f t="shared" si="20"/>
        <v>0</v>
      </c>
      <c r="H212" s="220">
        <f t="shared" si="21"/>
        <v>0</v>
      </c>
      <c r="I212" s="221">
        <f>IF(A212="Total",VLOOKUP(B212,CORRESPONDANCE[#All],2,FALSE),I213)</f>
        <v>0</v>
      </c>
      <c r="J212" s="222" t="str">
        <f t="shared" si="22"/>
        <v/>
      </c>
      <c r="K212" s="44" t="str">
        <f t="shared" si="23"/>
        <v xml:space="preserve">HART - </v>
      </c>
      <c r="L212" s="44" t="e">
        <f>+VLOOKUP(K212,TL[],4,FALSE)</f>
        <v>#N/A</v>
      </c>
    </row>
    <row r="213" spans="1:12" ht="15" x14ac:dyDescent="0.25">
      <c r="A213" s="289"/>
      <c r="B213" s="289"/>
      <c r="C213" s="289"/>
      <c r="D213" s="289"/>
      <c r="E213" s="289"/>
      <c r="F213" s="289"/>
      <c r="G213" s="220">
        <f t="shared" si="20"/>
        <v>0</v>
      </c>
      <c r="H213" s="220">
        <f t="shared" si="21"/>
        <v>0</v>
      </c>
      <c r="I213" s="221">
        <f>IF(A213="Total",VLOOKUP(B213,CORRESPONDANCE[#All],2,FALSE),I214)</f>
        <v>0</v>
      </c>
      <c r="J213" s="222" t="str">
        <f t="shared" si="22"/>
        <v/>
      </c>
      <c r="K213" s="44" t="str">
        <f t="shared" si="23"/>
        <v xml:space="preserve">HART - </v>
      </c>
      <c r="L213" s="44" t="e">
        <f>+VLOOKUP(K213,TL[],4,FALSE)</f>
        <v>#N/A</v>
      </c>
    </row>
    <row r="214" spans="1:12" ht="15" x14ac:dyDescent="0.25">
      <c r="A214" s="289"/>
      <c r="B214" s="289"/>
      <c r="C214" s="289"/>
      <c r="D214" s="289"/>
      <c r="E214" s="289"/>
      <c r="F214" s="289"/>
      <c r="G214" s="220">
        <f t="shared" si="20"/>
        <v>0</v>
      </c>
      <c r="H214" s="220">
        <f t="shared" si="21"/>
        <v>0</v>
      </c>
      <c r="I214" s="221">
        <f>IF(A214="Total",VLOOKUP(B214,CORRESPONDANCE[#All],2,FALSE),I215)</f>
        <v>0</v>
      </c>
      <c r="J214" s="222" t="str">
        <f t="shared" si="22"/>
        <v/>
      </c>
      <c r="K214" s="44" t="str">
        <f t="shared" si="23"/>
        <v xml:space="preserve">HART - </v>
      </c>
      <c r="L214" s="44" t="e">
        <f>+VLOOKUP(K214,TL[],4,FALSE)</f>
        <v>#N/A</v>
      </c>
    </row>
    <row r="215" spans="1:12" ht="15" x14ac:dyDescent="0.25">
      <c r="A215" s="289"/>
      <c r="B215" s="289"/>
      <c r="C215" s="289"/>
      <c r="D215" s="289"/>
      <c r="E215" s="289"/>
      <c r="F215" s="289"/>
      <c r="G215" s="220">
        <f t="shared" si="20"/>
        <v>0</v>
      </c>
      <c r="H215" s="220">
        <f t="shared" si="21"/>
        <v>0</v>
      </c>
      <c r="I215" s="221">
        <f>IF(A215="Total",VLOOKUP(B215,CORRESPONDANCE[#All],2,FALSE),I216)</f>
        <v>0</v>
      </c>
      <c r="J215" s="222" t="str">
        <f t="shared" si="22"/>
        <v/>
      </c>
      <c r="K215" s="44" t="str">
        <f t="shared" si="23"/>
        <v xml:space="preserve">HART - </v>
      </c>
      <c r="L215" s="44" t="e">
        <f>+VLOOKUP(K215,TL[],4,FALSE)</f>
        <v>#N/A</v>
      </c>
    </row>
    <row r="216" spans="1:12" ht="15" x14ac:dyDescent="0.25">
      <c r="A216" s="289"/>
      <c r="B216" s="289"/>
      <c r="C216" s="289"/>
      <c r="D216" s="289"/>
      <c r="E216" s="289"/>
      <c r="F216" s="289"/>
      <c r="G216" s="220">
        <f t="shared" si="20"/>
        <v>0</v>
      </c>
      <c r="H216" s="220">
        <f t="shared" si="21"/>
        <v>0</v>
      </c>
      <c r="I216" s="221">
        <f>IF(A216="Total",VLOOKUP(B216,CORRESPONDANCE[#All],2,FALSE),I217)</f>
        <v>0</v>
      </c>
      <c r="J216" s="222" t="str">
        <f t="shared" si="22"/>
        <v/>
      </c>
      <c r="K216" s="44" t="str">
        <f t="shared" si="23"/>
        <v xml:space="preserve">HART - </v>
      </c>
      <c r="L216" s="44" t="e">
        <f>+VLOOKUP(K216,TL[],4,FALSE)</f>
        <v>#N/A</v>
      </c>
    </row>
    <row r="217" spans="1:12" ht="15" x14ac:dyDescent="0.25">
      <c r="A217" s="289"/>
      <c r="B217" s="289"/>
      <c r="C217" s="289"/>
      <c r="D217" s="289"/>
      <c r="E217" s="289"/>
      <c r="F217" s="289"/>
      <c r="G217" s="220">
        <f t="shared" si="20"/>
        <v>0</v>
      </c>
      <c r="H217" s="220">
        <f t="shared" si="21"/>
        <v>0</v>
      </c>
      <c r="I217" s="221">
        <f>IF(A217="Total",VLOOKUP(B217,CORRESPONDANCE[#All],2,FALSE),I218)</f>
        <v>0</v>
      </c>
      <c r="J217" s="222" t="str">
        <f t="shared" si="22"/>
        <v/>
      </c>
      <c r="K217" s="44" t="str">
        <f t="shared" si="23"/>
        <v xml:space="preserve">HART - </v>
      </c>
      <c r="L217" s="44" t="e">
        <f>+VLOOKUP(K217,TL[],4,FALSE)</f>
        <v>#N/A</v>
      </c>
    </row>
    <row r="218" spans="1:12" ht="15" x14ac:dyDescent="0.25">
      <c r="A218" s="289"/>
      <c r="B218" s="289"/>
      <c r="C218" s="289"/>
      <c r="D218" s="289"/>
      <c r="E218" s="289"/>
      <c r="F218" s="289"/>
      <c r="G218" s="220">
        <f t="shared" si="20"/>
        <v>0</v>
      </c>
      <c r="H218" s="220">
        <f t="shared" si="21"/>
        <v>0</v>
      </c>
      <c r="I218" s="221">
        <f>IF(A218="Total",VLOOKUP(B218,CORRESPONDANCE[#All],2,FALSE),I219)</f>
        <v>0</v>
      </c>
      <c r="J218" s="222" t="str">
        <f t="shared" si="22"/>
        <v/>
      </c>
      <c r="K218" s="44" t="str">
        <f t="shared" si="23"/>
        <v xml:space="preserve">HART - </v>
      </c>
      <c r="L218" s="44" t="e">
        <f>+VLOOKUP(K218,TL[],4,FALSE)</f>
        <v>#N/A</v>
      </c>
    </row>
    <row r="219" spans="1:12" ht="15" x14ac:dyDescent="0.25">
      <c r="A219" s="289"/>
      <c r="B219" s="289"/>
      <c r="C219" s="289"/>
      <c r="D219" s="289"/>
      <c r="E219" s="289"/>
      <c r="F219" s="289"/>
      <c r="G219" s="220">
        <f t="shared" si="20"/>
        <v>0</v>
      </c>
      <c r="H219" s="220">
        <f t="shared" si="21"/>
        <v>0</v>
      </c>
      <c r="I219" s="221">
        <f>IF(A219="Total",VLOOKUP(B219,CORRESPONDANCE[#All],2,FALSE),I220)</f>
        <v>0</v>
      </c>
      <c r="J219" s="222" t="str">
        <f t="shared" si="22"/>
        <v/>
      </c>
      <c r="K219" s="44" t="str">
        <f t="shared" si="23"/>
        <v xml:space="preserve">HART - </v>
      </c>
      <c r="L219" s="44" t="e">
        <f>+VLOOKUP(K219,TL[],4,FALSE)</f>
        <v>#N/A</v>
      </c>
    </row>
    <row r="220" spans="1:12" ht="15" x14ac:dyDescent="0.25">
      <c r="A220" s="289"/>
      <c r="B220" s="289"/>
      <c r="C220" s="289"/>
      <c r="D220" s="289"/>
      <c r="E220" s="289"/>
      <c r="F220" s="289"/>
      <c r="G220" s="220">
        <f t="shared" si="20"/>
        <v>0</v>
      </c>
      <c r="H220" s="220">
        <f t="shared" si="21"/>
        <v>0</v>
      </c>
      <c r="I220" s="221">
        <f>IF(A220="Total",VLOOKUP(B220,CORRESPONDANCE[#All],2,FALSE),I221)</f>
        <v>0</v>
      </c>
      <c r="J220" s="222" t="str">
        <f t="shared" si="22"/>
        <v/>
      </c>
      <c r="K220" s="44" t="str">
        <f t="shared" si="23"/>
        <v xml:space="preserve">HART - </v>
      </c>
      <c r="L220" s="44" t="e">
        <f>+VLOOKUP(K220,TL[],4,FALSE)</f>
        <v>#N/A</v>
      </c>
    </row>
    <row r="221" spans="1:12" ht="15" x14ac:dyDescent="0.25">
      <c r="A221" s="289"/>
      <c r="B221" s="289"/>
      <c r="C221" s="289"/>
      <c r="D221" s="289"/>
      <c r="E221" s="289"/>
      <c r="F221" s="289"/>
      <c r="G221" s="220">
        <f t="shared" si="20"/>
        <v>0</v>
      </c>
      <c r="H221" s="220">
        <f t="shared" si="21"/>
        <v>0</v>
      </c>
      <c r="I221" s="221">
        <f>IF(A221="Total",VLOOKUP(B221,CORRESPONDANCE[#All],2,FALSE),I222)</f>
        <v>0</v>
      </c>
      <c r="J221" s="222" t="str">
        <f t="shared" si="22"/>
        <v/>
      </c>
      <c r="K221" s="44" t="str">
        <f t="shared" si="23"/>
        <v xml:space="preserve">HART - </v>
      </c>
      <c r="L221" s="44" t="e">
        <f>+VLOOKUP(K221,TL[],4,FALSE)</f>
        <v>#N/A</v>
      </c>
    </row>
    <row r="222" spans="1:12" ht="15" x14ac:dyDescent="0.25">
      <c r="A222" s="289"/>
      <c r="B222" s="289"/>
      <c r="C222" s="289"/>
      <c r="D222" s="289"/>
      <c r="E222" s="289"/>
      <c r="F222" s="289"/>
      <c r="G222" s="220">
        <f t="shared" si="20"/>
        <v>0</v>
      </c>
      <c r="H222" s="220">
        <f t="shared" si="21"/>
        <v>0</v>
      </c>
      <c r="I222" s="221">
        <f>IF(A222="Total",VLOOKUP(B222,CORRESPONDANCE[#All],2,FALSE),I223)</f>
        <v>0</v>
      </c>
      <c r="J222" s="222" t="str">
        <f t="shared" si="22"/>
        <v/>
      </c>
      <c r="K222" s="44" t="str">
        <f t="shared" si="23"/>
        <v xml:space="preserve">HART - </v>
      </c>
      <c r="L222" s="44" t="e">
        <f>+VLOOKUP(K222,TL[],4,FALSE)</f>
        <v>#N/A</v>
      </c>
    </row>
    <row r="223" spans="1:12" ht="15" x14ac:dyDescent="0.25">
      <c r="A223" s="289"/>
      <c r="B223" s="289"/>
      <c r="C223" s="289"/>
      <c r="D223" s="289"/>
      <c r="E223" s="289"/>
      <c r="F223" s="289"/>
      <c r="G223" s="220">
        <f t="shared" si="20"/>
        <v>0</v>
      </c>
      <c r="H223" s="220">
        <f t="shared" si="21"/>
        <v>0</v>
      </c>
      <c r="I223" s="221">
        <f>IF(A223="Total",VLOOKUP(B223,CORRESPONDANCE[#All],2,FALSE),I224)</f>
        <v>0</v>
      </c>
      <c r="J223" s="222" t="str">
        <f t="shared" si="22"/>
        <v/>
      </c>
      <c r="K223" s="44" t="str">
        <f t="shared" si="23"/>
        <v xml:space="preserve">HART - </v>
      </c>
      <c r="L223" s="44" t="e">
        <f>+VLOOKUP(K223,TL[],4,FALSE)</f>
        <v>#N/A</v>
      </c>
    </row>
    <row r="224" spans="1:12" ht="15" x14ac:dyDescent="0.25">
      <c r="A224" s="289"/>
      <c r="B224" s="289"/>
      <c r="C224" s="289"/>
      <c r="D224" s="289"/>
      <c r="E224" s="289"/>
      <c r="F224" s="289"/>
      <c r="G224" s="220">
        <f t="shared" si="20"/>
        <v>0</v>
      </c>
      <c r="H224" s="220">
        <f t="shared" si="21"/>
        <v>0</v>
      </c>
      <c r="I224" s="221">
        <f>IF(A224="Total",VLOOKUP(B224,CORRESPONDANCE[#All],2,FALSE),I225)</f>
        <v>0</v>
      </c>
      <c r="J224" s="222" t="str">
        <f t="shared" si="22"/>
        <v/>
      </c>
      <c r="K224" s="44" t="str">
        <f t="shared" si="23"/>
        <v xml:space="preserve">HART - </v>
      </c>
      <c r="L224" s="44" t="e">
        <f>+VLOOKUP(K224,TL[],4,FALSE)</f>
        <v>#N/A</v>
      </c>
    </row>
    <row r="225" spans="1:12" ht="15" x14ac:dyDescent="0.25">
      <c r="A225" s="289"/>
      <c r="B225" s="289"/>
      <c r="C225" s="289"/>
      <c r="D225" s="289"/>
      <c r="E225" s="289"/>
      <c r="F225" s="289"/>
      <c r="G225" s="220">
        <f t="shared" si="20"/>
        <v>0</v>
      </c>
      <c r="H225" s="220">
        <f t="shared" si="21"/>
        <v>0</v>
      </c>
      <c r="I225" s="221">
        <f>IF(A225="Total",VLOOKUP(B225,CORRESPONDANCE[#All],2,FALSE),I226)</f>
        <v>0</v>
      </c>
      <c r="J225" s="222" t="str">
        <f t="shared" si="22"/>
        <v/>
      </c>
      <c r="K225" s="44" t="str">
        <f t="shared" si="23"/>
        <v xml:space="preserve">HART - </v>
      </c>
      <c r="L225" s="44" t="e">
        <f>+VLOOKUP(K225,TL[],4,FALSE)</f>
        <v>#N/A</v>
      </c>
    </row>
    <row r="226" spans="1:12" ht="15" x14ac:dyDescent="0.25">
      <c r="A226" s="289"/>
      <c r="B226" s="289"/>
      <c r="C226" s="289"/>
      <c r="D226" s="289"/>
      <c r="E226" s="289"/>
      <c r="F226" s="289"/>
      <c r="G226" s="220">
        <f t="shared" si="20"/>
        <v>0</v>
      </c>
      <c r="H226" s="220">
        <f t="shared" si="21"/>
        <v>0</v>
      </c>
      <c r="I226" s="221">
        <f>IF(A226="Total",VLOOKUP(B226,CORRESPONDANCE[#All],2,FALSE),I227)</f>
        <v>0</v>
      </c>
      <c r="J226" s="222" t="str">
        <f t="shared" si="22"/>
        <v/>
      </c>
      <c r="K226" s="44" t="str">
        <f t="shared" si="23"/>
        <v xml:space="preserve">HART - </v>
      </c>
      <c r="L226" s="44" t="e">
        <f>+VLOOKUP(K226,TL[],4,FALSE)</f>
        <v>#N/A</v>
      </c>
    </row>
    <row r="227" spans="1:12" ht="15" x14ac:dyDescent="0.25">
      <c r="A227" s="289"/>
      <c r="B227" s="289"/>
      <c r="C227" s="289"/>
      <c r="D227" s="289"/>
      <c r="E227" s="289"/>
      <c r="F227" s="289"/>
      <c r="G227" s="220">
        <f t="shared" si="20"/>
        <v>0</v>
      </c>
      <c r="H227" s="220">
        <f t="shared" si="21"/>
        <v>0</v>
      </c>
      <c r="I227" s="221">
        <f>IF(A227="Total",VLOOKUP(B227,CORRESPONDANCE[#All],2,FALSE),I228)</f>
        <v>0</v>
      </c>
      <c r="J227" s="222" t="str">
        <f t="shared" si="22"/>
        <v/>
      </c>
      <c r="K227" s="44" t="str">
        <f t="shared" si="23"/>
        <v xml:space="preserve">HART - </v>
      </c>
      <c r="L227" s="44" t="e">
        <f>+VLOOKUP(K227,TL[],4,FALSE)</f>
        <v>#N/A</v>
      </c>
    </row>
    <row r="228" spans="1:12" ht="15" x14ac:dyDescent="0.25">
      <c r="A228" s="289"/>
      <c r="B228" s="289"/>
      <c r="C228" s="289"/>
      <c r="D228" s="289"/>
      <c r="E228" s="289"/>
      <c r="F228" s="289"/>
      <c r="G228" s="220">
        <f t="shared" si="20"/>
        <v>0</v>
      </c>
      <c r="H228" s="220">
        <f t="shared" si="21"/>
        <v>0</v>
      </c>
      <c r="I228" s="221">
        <f>IF(A228="Total",VLOOKUP(B228,CORRESPONDANCE[#All],2,FALSE),I229)</f>
        <v>0</v>
      </c>
      <c r="J228" s="222" t="str">
        <f t="shared" si="22"/>
        <v/>
      </c>
      <c r="K228" s="44" t="str">
        <f t="shared" si="23"/>
        <v xml:space="preserve">HART - </v>
      </c>
      <c r="L228" s="44" t="e">
        <f>+VLOOKUP(K228,TL[],4,FALSE)</f>
        <v>#N/A</v>
      </c>
    </row>
    <row r="229" spans="1:12" ht="15" x14ac:dyDescent="0.25">
      <c r="A229" s="289"/>
      <c r="B229" s="289"/>
      <c r="C229" s="289"/>
      <c r="D229" s="289"/>
      <c r="E229" s="289"/>
      <c r="F229" s="289"/>
      <c r="G229" s="220">
        <f t="shared" si="20"/>
        <v>0</v>
      </c>
      <c r="H229" s="220">
        <f t="shared" si="21"/>
        <v>0</v>
      </c>
      <c r="I229" s="221">
        <f>IF(A229="Total",VLOOKUP(B229,CORRESPONDANCE[#All],2,FALSE),I230)</f>
        <v>0</v>
      </c>
      <c r="J229" s="222" t="str">
        <f t="shared" si="22"/>
        <v/>
      </c>
      <c r="K229" s="44" t="str">
        <f t="shared" si="23"/>
        <v xml:space="preserve">HART - </v>
      </c>
      <c r="L229" s="44" t="e">
        <f>+VLOOKUP(K229,TL[],4,FALSE)</f>
        <v>#N/A</v>
      </c>
    </row>
    <row r="230" spans="1:12" ht="15" x14ac:dyDescent="0.25">
      <c r="A230" s="289"/>
      <c r="B230" s="289"/>
      <c r="C230" s="289"/>
      <c r="D230" s="289"/>
      <c r="E230" s="289"/>
      <c r="F230" s="289"/>
      <c r="G230" s="220">
        <f t="shared" si="20"/>
        <v>0</v>
      </c>
      <c r="H230" s="220">
        <f t="shared" si="21"/>
        <v>0</v>
      </c>
      <c r="I230" s="221">
        <f>IF(A230="Total",VLOOKUP(B230,CORRESPONDANCE[#All],2,FALSE),I231)</f>
        <v>0</v>
      </c>
      <c r="J230" s="222" t="str">
        <f t="shared" si="22"/>
        <v/>
      </c>
      <c r="K230" s="44" t="str">
        <f t="shared" si="23"/>
        <v xml:space="preserve">HART - </v>
      </c>
      <c r="L230" s="44" t="e">
        <f>+VLOOKUP(K230,TL[],4,FALSE)</f>
        <v>#N/A</v>
      </c>
    </row>
    <row r="231" spans="1:12" ht="15" x14ac:dyDescent="0.25">
      <c r="A231" s="289"/>
      <c r="B231" s="289"/>
      <c r="C231" s="289"/>
      <c r="D231" s="289"/>
      <c r="E231" s="289"/>
      <c r="F231" s="289"/>
      <c r="G231" s="220">
        <f t="shared" ref="G231:G249" si="24">SUM(C231)-SUM(D231)</f>
        <v>0</v>
      </c>
      <c r="H231" s="220">
        <f t="shared" ref="H231:H249" si="25">SUM(E231)-SUM(F231)</f>
        <v>0</v>
      </c>
      <c r="I231" s="221">
        <f>IF(A231="Total",VLOOKUP(B231,CORRESPONDANCE[#All],2,FALSE),I232)</f>
        <v>0</v>
      </c>
      <c r="J231" s="222" t="str">
        <f t="shared" ref="J231:J249" si="26">LEFT(A231,1)</f>
        <v/>
      </c>
      <c r="K231" s="44" t="str">
        <f t="shared" ref="K231:K249" si="27">"HART"&amp;" - "&amp;A231</f>
        <v xml:space="preserve">HART - </v>
      </c>
      <c r="L231" s="44" t="e">
        <f>+VLOOKUP(K231,TL[],4,FALSE)</f>
        <v>#N/A</v>
      </c>
    </row>
    <row r="232" spans="1:12" ht="15" x14ac:dyDescent="0.25">
      <c r="A232" s="289"/>
      <c r="B232" s="289"/>
      <c r="C232" s="289"/>
      <c r="D232" s="289"/>
      <c r="E232" s="289"/>
      <c r="F232" s="289"/>
      <c r="G232" s="220">
        <f t="shared" si="24"/>
        <v>0</v>
      </c>
      <c r="H232" s="220">
        <f t="shared" si="25"/>
        <v>0</v>
      </c>
      <c r="I232" s="221">
        <f>IF(A232="Total",VLOOKUP(B232,CORRESPONDANCE[#All],2,FALSE),I233)</f>
        <v>0</v>
      </c>
      <c r="J232" s="222" t="str">
        <f t="shared" si="26"/>
        <v/>
      </c>
      <c r="K232" s="44" t="str">
        <f t="shared" si="27"/>
        <v xml:space="preserve">HART - </v>
      </c>
      <c r="L232" s="44" t="e">
        <f>+VLOOKUP(K232,TL[],4,FALSE)</f>
        <v>#N/A</v>
      </c>
    </row>
    <row r="233" spans="1:12" ht="15" x14ac:dyDescent="0.25">
      <c r="A233" s="289"/>
      <c r="B233" s="289"/>
      <c r="C233" s="289"/>
      <c r="D233" s="289"/>
      <c r="E233" s="289"/>
      <c r="F233" s="289"/>
      <c r="G233" s="220">
        <f t="shared" si="24"/>
        <v>0</v>
      </c>
      <c r="H233" s="220">
        <f t="shared" si="25"/>
        <v>0</v>
      </c>
      <c r="I233" s="221">
        <f>IF(A233="Total",VLOOKUP(B233,CORRESPONDANCE[#All],2,FALSE),I234)</f>
        <v>0</v>
      </c>
      <c r="J233" s="222" t="str">
        <f t="shared" si="26"/>
        <v/>
      </c>
      <c r="K233" s="44" t="str">
        <f t="shared" si="27"/>
        <v xml:space="preserve">HART - </v>
      </c>
      <c r="L233" s="44" t="e">
        <f>+VLOOKUP(K233,TL[],4,FALSE)</f>
        <v>#N/A</v>
      </c>
    </row>
    <row r="234" spans="1:12" ht="15" x14ac:dyDescent="0.25">
      <c r="A234" s="289"/>
      <c r="B234" s="289"/>
      <c r="C234" s="289"/>
      <c r="D234" s="289"/>
      <c r="E234" s="289"/>
      <c r="F234" s="289"/>
      <c r="G234" s="220">
        <f t="shared" si="24"/>
        <v>0</v>
      </c>
      <c r="H234" s="220">
        <f t="shared" si="25"/>
        <v>0</v>
      </c>
      <c r="I234" s="221">
        <f>IF(A234="Total",VLOOKUP(B234,CORRESPONDANCE[#All],2,FALSE),I235)</f>
        <v>0</v>
      </c>
      <c r="J234" s="222" t="str">
        <f t="shared" si="26"/>
        <v/>
      </c>
      <c r="K234" s="44" t="str">
        <f t="shared" si="27"/>
        <v xml:space="preserve">HART - </v>
      </c>
      <c r="L234" s="44" t="e">
        <f>+VLOOKUP(K234,TL[],4,FALSE)</f>
        <v>#N/A</v>
      </c>
    </row>
    <row r="235" spans="1:12" ht="15" x14ac:dyDescent="0.25">
      <c r="A235" s="289"/>
      <c r="B235" s="289"/>
      <c r="C235" s="289"/>
      <c r="D235" s="289"/>
      <c r="E235" s="289"/>
      <c r="F235" s="289"/>
      <c r="G235" s="220">
        <f t="shared" si="24"/>
        <v>0</v>
      </c>
      <c r="H235" s="220">
        <f t="shared" si="25"/>
        <v>0</v>
      </c>
      <c r="I235" s="221">
        <f>IF(A235="Total",VLOOKUP(B235,CORRESPONDANCE[#All],2,FALSE),I236)</f>
        <v>0</v>
      </c>
      <c r="J235" s="222" t="str">
        <f t="shared" si="26"/>
        <v/>
      </c>
      <c r="K235" s="44" t="str">
        <f t="shared" si="27"/>
        <v xml:space="preserve">HART - </v>
      </c>
      <c r="L235" s="44" t="e">
        <f>+VLOOKUP(K235,TL[],4,FALSE)</f>
        <v>#N/A</v>
      </c>
    </row>
    <row r="236" spans="1:12" ht="15" x14ac:dyDescent="0.25">
      <c r="A236" s="289"/>
      <c r="B236" s="289"/>
      <c r="C236" s="289"/>
      <c r="D236" s="289"/>
      <c r="E236" s="289"/>
      <c r="F236" s="289"/>
      <c r="G236" s="220">
        <f t="shared" si="24"/>
        <v>0</v>
      </c>
      <c r="H236" s="220">
        <f t="shared" si="25"/>
        <v>0</v>
      </c>
      <c r="I236" s="221">
        <f>IF(A236="Total",VLOOKUP(B236,CORRESPONDANCE[#All],2,FALSE),I237)</f>
        <v>0</v>
      </c>
      <c r="J236" s="222" t="str">
        <f t="shared" si="26"/>
        <v/>
      </c>
      <c r="K236" s="44" t="str">
        <f t="shared" si="27"/>
        <v xml:space="preserve">HART - </v>
      </c>
      <c r="L236" s="44" t="e">
        <f>+VLOOKUP(K236,TL[],4,FALSE)</f>
        <v>#N/A</v>
      </c>
    </row>
    <row r="237" spans="1:12" ht="15" x14ac:dyDescent="0.25">
      <c r="A237" s="289"/>
      <c r="B237" s="289"/>
      <c r="C237" s="289"/>
      <c r="D237" s="289"/>
      <c r="E237" s="289"/>
      <c r="F237" s="289"/>
      <c r="G237" s="220">
        <f t="shared" si="24"/>
        <v>0</v>
      </c>
      <c r="H237" s="220">
        <f t="shared" si="25"/>
        <v>0</v>
      </c>
      <c r="I237" s="221">
        <f>IF(A237="Total",VLOOKUP(B237,CORRESPONDANCE[#All],2,FALSE),I238)</f>
        <v>0</v>
      </c>
      <c r="J237" s="222" t="str">
        <f t="shared" si="26"/>
        <v/>
      </c>
      <c r="K237" s="44" t="str">
        <f t="shared" si="27"/>
        <v xml:space="preserve">HART - </v>
      </c>
      <c r="L237" s="44" t="e">
        <f>+VLOOKUP(K237,TL[],4,FALSE)</f>
        <v>#N/A</v>
      </c>
    </row>
    <row r="238" spans="1:12" ht="15" x14ac:dyDescent="0.25">
      <c r="A238" s="289"/>
      <c r="B238" s="289"/>
      <c r="C238" s="289"/>
      <c r="D238" s="289"/>
      <c r="E238" s="289"/>
      <c r="F238" s="289"/>
      <c r="G238" s="220">
        <f t="shared" si="24"/>
        <v>0</v>
      </c>
      <c r="H238" s="220">
        <f t="shared" si="25"/>
        <v>0</v>
      </c>
      <c r="I238" s="221">
        <f>IF(A238="Total",VLOOKUP(B238,CORRESPONDANCE[#All],2,FALSE),I239)</f>
        <v>0</v>
      </c>
      <c r="J238" s="222" t="str">
        <f t="shared" si="26"/>
        <v/>
      </c>
      <c r="K238" s="44" t="str">
        <f t="shared" si="27"/>
        <v xml:space="preserve">HART - </v>
      </c>
      <c r="L238" s="44" t="e">
        <f>+VLOOKUP(K238,TL[],4,FALSE)</f>
        <v>#N/A</v>
      </c>
    </row>
    <row r="239" spans="1:12" ht="15" x14ac:dyDescent="0.25">
      <c r="A239" s="289"/>
      <c r="B239" s="289"/>
      <c r="C239" s="289"/>
      <c r="D239" s="289"/>
      <c r="E239" s="289"/>
      <c r="F239" s="289"/>
      <c r="G239" s="220">
        <f t="shared" si="24"/>
        <v>0</v>
      </c>
      <c r="H239" s="220">
        <f t="shared" si="25"/>
        <v>0</v>
      </c>
      <c r="I239" s="221">
        <f>IF(A239="Total",VLOOKUP(B239,CORRESPONDANCE[#All],2,FALSE),I240)</f>
        <v>0</v>
      </c>
      <c r="J239" s="222" t="str">
        <f t="shared" si="26"/>
        <v/>
      </c>
      <c r="K239" s="44" t="str">
        <f t="shared" si="27"/>
        <v xml:space="preserve">HART - </v>
      </c>
      <c r="L239" s="44" t="e">
        <f>+VLOOKUP(K239,TL[],4,FALSE)</f>
        <v>#N/A</v>
      </c>
    </row>
    <row r="240" spans="1:12" ht="15" x14ac:dyDescent="0.25">
      <c r="A240" s="289"/>
      <c r="B240" s="289"/>
      <c r="C240" s="289"/>
      <c r="D240" s="289"/>
      <c r="E240" s="289"/>
      <c r="F240" s="289"/>
      <c r="G240" s="220">
        <f t="shared" si="24"/>
        <v>0</v>
      </c>
      <c r="H240" s="220">
        <f t="shared" si="25"/>
        <v>0</v>
      </c>
      <c r="I240" s="221">
        <f>IF(A240="Total",VLOOKUP(B240,CORRESPONDANCE[#All],2,FALSE),I241)</f>
        <v>0</v>
      </c>
      <c r="J240" s="222" t="str">
        <f t="shared" si="26"/>
        <v/>
      </c>
      <c r="K240" s="44" t="str">
        <f t="shared" si="27"/>
        <v xml:space="preserve">HART - </v>
      </c>
      <c r="L240" s="44" t="e">
        <f>+VLOOKUP(K240,TL[],4,FALSE)</f>
        <v>#N/A</v>
      </c>
    </row>
    <row r="241" spans="1:12" ht="15" x14ac:dyDescent="0.25">
      <c r="A241" s="289"/>
      <c r="B241" s="289"/>
      <c r="C241" s="289"/>
      <c r="D241" s="289"/>
      <c r="E241" s="289"/>
      <c r="F241" s="289"/>
      <c r="G241" s="220">
        <f t="shared" si="24"/>
        <v>0</v>
      </c>
      <c r="H241" s="220">
        <f t="shared" si="25"/>
        <v>0</v>
      </c>
      <c r="I241" s="221">
        <f>IF(A241="Total",VLOOKUP(B241,CORRESPONDANCE[#All],2,FALSE),I242)</f>
        <v>0</v>
      </c>
      <c r="J241" s="222" t="str">
        <f t="shared" si="26"/>
        <v/>
      </c>
      <c r="K241" s="44" t="str">
        <f t="shared" si="27"/>
        <v xml:space="preserve">HART - </v>
      </c>
      <c r="L241" s="44" t="e">
        <f>+VLOOKUP(K241,TL[],4,FALSE)</f>
        <v>#N/A</v>
      </c>
    </row>
    <row r="242" spans="1:12" ht="15" x14ac:dyDescent="0.25">
      <c r="A242" s="289"/>
      <c r="B242" s="289"/>
      <c r="C242" s="289"/>
      <c r="D242" s="289"/>
      <c r="E242" s="289"/>
      <c r="F242" s="289"/>
      <c r="G242" s="220">
        <f t="shared" si="24"/>
        <v>0</v>
      </c>
      <c r="H242" s="220">
        <f t="shared" si="25"/>
        <v>0</v>
      </c>
      <c r="I242" s="221">
        <f>IF(A242="Total",VLOOKUP(B242,CORRESPONDANCE[#All],2,FALSE),I243)</f>
        <v>0</v>
      </c>
      <c r="J242" s="222" t="str">
        <f t="shared" si="26"/>
        <v/>
      </c>
      <c r="K242" s="44" t="str">
        <f t="shared" si="27"/>
        <v xml:space="preserve">HART - </v>
      </c>
      <c r="L242" s="44" t="e">
        <f>+VLOOKUP(K242,TL[],4,FALSE)</f>
        <v>#N/A</v>
      </c>
    </row>
    <row r="243" spans="1:12" ht="15" x14ac:dyDescent="0.25">
      <c r="A243" s="289"/>
      <c r="B243" s="289"/>
      <c r="C243" s="289"/>
      <c r="D243" s="289"/>
      <c r="E243" s="289"/>
      <c r="F243" s="289"/>
      <c r="G243" s="220">
        <f t="shared" si="24"/>
        <v>0</v>
      </c>
      <c r="H243" s="220">
        <f t="shared" si="25"/>
        <v>0</v>
      </c>
      <c r="I243" s="221">
        <f>IF(A243="Total",VLOOKUP(B243,CORRESPONDANCE[#All],2,FALSE),I244)</f>
        <v>0</v>
      </c>
      <c r="J243" s="222" t="str">
        <f t="shared" si="26"/>
        <v/>
      </c>
      <c r="K243" s="44" t="str">
        <f t="shared" si="27"/>
        <v xml:space="preserve">HART - </v>
      </c>
      <c r="L243" s="44" t="e">
        <f>+VLOOKUP(K243,TL[],4,FALSE)</f>
        <v>#N/A</v>
      </c>
    </row>
    <row r="244" spans="1:12" ht="15" x14ac:dyDescent="0.25">
      <c r="A244" s="289"/>
      <c r="B244" s="289"/>
      <c r="C244" s="289"/>
      <c r="D244" s="289"/>
      <c r="E244" s="289"/>
      <c r="F244" s="289"/>
      <c r="G244" s="220">
        <f t="shared" si="24"/>
        <v>0</v>
      </c>
      <c r="H244" s="220">
        <f t="shared" si="25"/>
        <v>0</v>
      </c>
      <c r="I244" s="221">
        <f>IF(A244="Total",VLOOKUP(B244,CORRESPONDANCE[#All],2,FALSE),I245)</f>
        <v>0</v>
      </c>
      <c r="J244" s="222" t="str">
        <f t="shared" si="26"/>
        <v/>
      </c>
      <c r="K244" s="44" t="str">
        <f t="shared" si="27"/>
        <v xml:space="preserve">HART - </v>
      </c>
      <c r="L244" s="44" t="e">
        <f>+VLOOKUP(K244,TL[],4,FALSE)</f>
        <v>#N/A</v>
      </c>
    </row>
    <row r="245" spans="1:12" ht="15" x14ac:dyDescent="0.25">
      <c r="A245" s="289"/>
      <c r="B245" s="289"/>
      <c r="C245" s="289"/>
      <c r="D245" s="289"/>
      <c r="E245" s="289"/>
      <c r="F245" s="289"/>
      <c r="G245" s="220">
        <f t="shared" si="24"/>
        <v>0</v>
      </c>
      <c r="H245" s="220">
        <f t="shared" si="25"/>
        <v>0</v>
      </c>
      <c r="I245" s="221">
        <f>IF(A245="Total",VLOOKUP(B245,CORRESPONDANCE[#All],2,FALSE),I246)</f>
        <v>0</v>
      </c>
      <c r="J245" s="222" t="str">
        <f t="shared" si="26"/>
        <v/>
      </c>
      <c r="K245" s="44" t="str">
        <f t="shared" si="27"/>
        <v xml:space="preserve">HART - </v>
      </c>
      <c r="L245" s="44" t="e">
        <f>+VLOOKUP(K245,TL[],4,FALSE)</f>
        <v>#N/A</v>
      </c>
    </row>
    <row r="246" spans="1:12" ht="15" x14ac:dyDescent="0.25">
      <c r="A246" s="289"/>
      <c r="B246" s="289"/>
      <c r="C246" s="289"/>
      <c r="D246" s="289"/>
      <c r="E246" s="289"/>
      <c r="F246" s="289"/>
      <c r="G246" s="220">
        <f t="shared" si="24"/>
        <v>0</v>
      </c>
      <c r="H246" s="220">
        <f t="shared" si="25"/>
        <v>0</v>
      </c>
      <c r="I246" s="221">
        <f>IF(A246="Total",VLOOKUP(B246,CORRESPONDANCE[#All],2,FALSE),I247)</f>
        <v>0</v>
      </c>
      <c r="J246" s="222" t="str">
        <f t="shared" si="26"/>
        <v/>
      </c>
      <c r="K246" s="44" t="str">
        <f t="shared" si="27"/>
        <v xml:space="preserve">HART - </v>
      </c>
      <c r="L246" s="44" t="e">
        <f>+VLOOKUP(K246,TL[],4,FALSE)</f>
        <v>#N/A</v>
      </c>
    </row>
    <row r="247" spans="1:12" ht="15" x14ac:dyDescent="0.25">
      <c r="A247" s="289"/>
      <c r="B247" s="289"/>
      <c r="C247" s="289"/>
      <c r="D247" s="289"/>
      <c r="E247" s="289"/>
      <c r="F247" s="289"/>
      <c r="G247" s="220">
        <f t="shared" si="24"/>
        <v>0</v>
      </c>
      <c r="H247" s="220">
        <f t="shared" si="25"/>
        <v>0</v>
      </c>
      <c r="I247" s="221">
        <f>IF(A247="Total",VLOOKUP(B247,CORRESPONDANCE[#All],2,FALSE),I248)</f>
        <v>0</v>
      </c>
      <c r="J247" s="222" t="str">
        <f t="shared" si="26"/>
        <v/>
      </c>
      <c r="K247" s="44" t="str">
        <f t="shared" si="27"/>
        <v xml:space="preserve">HART - </v>
      </c>
      <c r="L247" s="44" t="e">
        <f>+VLOOKUP(K247,TL[],4,FALSE)</f>
        <v>#N/A</v>
      </c>
    </row>
    <row r="248" spans="1:12" ht="15" x14ac:dyDescent="0.25">
      <c r="A248" s="289"/>
      <c r="B248" s="289"/>
      <c r="C248" s="289"/>
      <c r="D248" s="289"/>
      <c r="E248" s="289"/>
      <c r="F248" s="289"/>
      <c r="G248" s="220">
        <f t="shared" si="24"/>
        <v>0</v>
      </c>
      <c r="H248" s="220">
        <f t="shared" si="25"/>
        <v>0</v>
      </c>
      <c r="I248" s="221">
        <f>IF(A248="Total",VLOOKUP(B248,CORRESPONDANCE[#All],2,FALSE),I249)</f>
        <v>0</v>
      </c>
      <c r="J248" s="222" t="str">
        <f t="shared" si="26"/>
        <v/>
      </c>
      <c r="K248" s="44" t="str">
        <f t="shared" si="27"/>
        <v xml:space="preserve">HART - </v>
      </c>
      <c r="L248" s="44" t="e">
        <f>+VLOOKUP(K248,TL[],4,FALSE)</f>
        <v>#N/A</v>
      </c>
    </row>
    <row r="249" spans="1:12" ht="15" x14ac:dyDescent="0.25">
      <c r="A249" s="289"/>
      <c r="B249" s="289"/>
      <c r="C249" s="289"/>
      <c r="D249" s="289"/>
      <c r="E249" s="289"/>
      <c r="F249" s="289"/>
      <c r="G249" s="220">
        <f t="shared" si="24"/>
        <v>0</v>
      </c>
      <c r="H249" s="220">
        <f t="shared" si="25"/>
        <v>0</v>
      </c>
      <c r="I249" s="221">
        <f>IF(A249="Total",VLOOKUP(B249,CORRESPONDANCE[#All],2,FALSE),I250)</f>
        <v>0</v>
      </c>
      <c r="J249" s="222" t="str">
        <f t="shared" si="26"/>
        <v/>
      </c>
      <c r="K249" s="44" t="str">
        <f t="shared" si="27"/>
        <v xml:space="preserve">HART - </v>
      </c>
      <c r="L249" s="44" t="e">
        <f>+VLOOKUP(K249,TL[],4,FALSE)</f>
        <v>#N/A</v>
      </c>
    </row>
    <row r="250" spans="1:12" ht="15" x14ac:dyDescent="0.25">
      <c r="A250" s="289"/>
      <c r="B250" s="289"/>
      <c r="C250" s="289"/>
      <c r="D250" s="289"/>
      <c r="E250" s="289"/>
      <c r="F250" s="289"/>
      <c r="G250" s="220">
        <f t="shared" ref="G250:G257" si="28">SUM(C250)-SUM(D250)</f>
        <v>0</v>
      </c>
      <c r="H250" s="220">
        <f t="shared" ref="H250:H257" si="29">SUM(E250)-SUM(F250)</f>
        <v>0</v>
      </c>
      <c r="I250" s="221">
        <f>IF(A250="Total",VLOOKUP(B250,CORRESPONDANCE[#All],2,FALSE),I251)</f>
        <v>0</v>
      </c>
      <c r="J250" s="222" t="str">
        <f t="shared" ref="J250:J257" si="30">LEFT(A250,1)</f>
        <v/>
      </c>
      <c r="K250" s="44" t="str">
        <f t="shared" ref="K250:K257" si="31">"HART"&amp;" - "&amp;A250</f>
        <v xml:space="preserve">HART - </v>
      </c>
      <c r="L250" s="44" t="e">
        <f>+VLOOKUP(K250,TL[],4,FALSE)</f>
        <v>#N/A</v>
      </c>
    </row>
    <row r="251" spans="1:12" ht="15" x14ac:dyDescent="0.25">
      <c r="A251" s="289"/>
      <c r="B251" s="289"/>
      <c r="C251" s="289"/>
      <c r="D251" s="289"/>
      <c r="E251" s="289"/>
      <c r="F251" s="289"/>
      <c r="G251" s="220">
        <f t="shared" si="28"/>
        <v>0</v>
      </c>
      <c r="H251" s="220">
        <f t="shared" si="29"/>
        <v>0</v>
      </c>
      <c r="I251" s="221">
        <f>IF(A251="Total",VLOOKUP(B251,CORRESPONDANCE[#All],2,FALSE),I252)</f>
        <v>0</v>
      </c>
      <c r="J251" s="222" t="str">
        <f t="shared" si="30"/>
        <v/>
      </c>
      <c r="K251" s="44" t="str">
        <f t="shared" si="31"/>
        <v xml:space="preserve">HART - </v>
      </c>
      <c r="L251" s="44" t="e">
        <f>+VLOOKUP(K251,TL[],4,FALSE)</f>
        <v>#N/A</v>
      </c>
    </row>
    <row r="252" spans="1:12" ht="15" x14ac:dyDescent="0.25">
      <c r="A252" s="289"/>
      <c r="B252" s="289"/>
      <c r="C252" s="289"/>
      <c r="D252" s="289"/>
      <c r="E252" s="289"/>
      <c r="F252" s="289"/>
      <c r="G252" s="220">
        <f t="shared" si="28"/>
        <v>0</v>
      </c>
      <c r="H252" s="220">
        <f t="shared" si="29"/>
        <v>0</v>
      </c>
      <c r="I252" s="221">
        <f>IF(A252="Total",VLOOKUP(B252,CORRESPONDANCE[#All],2,FALSE),I253)</f>
        <v>0</v>
      </c>
      <c r="J252" s="222" t="str">
        <f t="shared" si="30"/>
        <v/>
      </c>
      <c r="K252" s="44" t="str">
        <f t="shared" si="31"/>
        <v xml:space="preserve">HART - </v>
      </c>
      <c r="L252" s="44" t="e">
        <f>+VLOOKUP(K252,TL[],4,FALSE)</f>
        <v>#N/A</v>
      </c>
    </row>
    <row r="253" spans="1:12" ht="15" x14ac:dyDescent="0.25">
      <c r="A253" s="289"/>
      <c r="B253" s="289"/>
      <c r="C253" s="289"/>
      <c r="D253" s="289"/>
      <c r="E253" s="289"/>
      <c r="F253" s="289"/>
      <c r="G253" s="220">
        <f t="shared" si="28"/>
        <v>0</v>
      </c>
      <c r="H253" s="220">
        <f t="shared" si="29"/>
        <v>0</v>
      </c>
      <c r="I253" s="221">
        <f>IF(A253="Total",VLOOKUP(B253,CORRESPONDANCE[#All],2,FALSE),I254)</f>
        <v>0</v>
      </c>
      <c r="J253" s="222" t="str">
        <f t="shared" si="30"/>
        <v/>
      </c>
      <c r="K253" s="44" t="str">
        <f t="shared" si="31"/>
        <v xml:space="preserve">HART - </v>
      </c>
      <c r="L253" s="44" t="e">
        <f>+VLOOKUP(K253,TL[],4,FALSE)</f>
        <v>#N/A</v>
      </c>
    </row>
    <row r="254" spans="1:12" ht="15" x14ac:dyDescent="0.25">
      <c r="A254" s="289"/>
      <c r="B254" s="289"/>
      <c r="C254" s="289"/>
      <c r="D254" s="289"/>
      <c r="E254" s="289"/>
      <c r="F254" s="289"/>
      <c r="G254" s="220">
        <f t="shared" si="28"/>
        <v>0</v>
      </c>
      <c r="H254" s="220">
        <f t="shared" si="29"/>
        <v>0</v>
      </c>
      <c r="I254" s="221">
        <f>IF(A254="Total",VLOOKUP(B254,CORRESPONDANCE[#All],2,FALSE),I255)</f>
        <v>0</v>
      </c>
      <c r="J254" s="222" t="str">
        <f t="shared" si="30"/>
        <v/>
      </c>
      <c r="K254" s="44" t="str">
        <f t="shared" si="31"/>
        <v xml:space="preserve">HART - </v>
      </c>
      <c r="L254" s="44" t="e">
        <f>+VLOOKUP(K254,TL[],4,FALSE)</f>
        <v>#N/A</v>
      </c>
    </row>
    <row r="255" spans="1:12" ht="15" x14ac:dyDescent="0.25">
      <c r="A255" s="289"/>
      <c r="B255" s="289"/>
      <c r="C255" s="289"/>
      <c r="D255" s="289"/>
      <c r="E255" s="289"/>
      <c r="F255" s="289"/>
      <c r="G255" s="220">
        <f t="shared" si="28"/>
        <v>0</v>
      </c>
      <c r="H255" s="220">
        <f t="shared" si="29"/>
        <v>0</v>
      </c>
      <c r="I255" s="221">
        <f>IF(A255="Total",VLOOKUP(B255,CORRESPONDANCE[#All],2,FALSE),I256)</f>
        <v>0</v>
      </c>
      <c r="J255" s="222" t="str">
        <f t="shared" si="30"/>
        <v/>
      </c>
      <c r="K255" s="44" t="str">
        <f t="shared" si="31"/>
        <v xml:space="preserve">HART - </v>
      </c>
      <c r="L255" s="44" t="e">
        <f>+VLOOKUP(K255,TL[],4,FALSE)</f>
        <v>#N/A</v>
      </c>
    </row>
    <row r="256" spans="1:12" ht="15" x14ac:dyDescent="0.25">
      <c r="A256" s="289"/>
      <c r="B256" s="289"/>
      <c r="C256" s="289"/>
      <c r="D256" s="289"/>
      <c r="E256" s="289"/>
      <c r="F256" s="289"/>
      <c r="G256" s="220">
        <f t="shared" si="28"/>
        <v>0</v>
      </c>
      <c r="H256" s="220">
        <f t="shared" si="29"/>
        <v>0</v>
      </c>
      <c r="I256" s="221">
        <f>IF(A256="Total",VLOOKUP(B256,CORRESPONDANCE[#All],2,FALSE),I257)</f>
        <v>0</v>
      </c>
      <c r="J256" s="222" t="str">
        <f t="shared" si="30"/>
        <v/>
      </c>
      <c r="K256" s="44" t="str">
        <f t="shared" si="31"/>
        <v xml:space="preserve">HART - </v>
      </c>
      <c r="L256" s="44" t="e">
        <f>+VLOOKUP(K256,TL[],4,FALSE)</f>
        <v>#N/A</v>
      </c>
    </row>
    <row r="257" spans="1:12" ht="15" x14ac:dyDescent="0.25">
      <c r="A257" s="289"/>
      <c r="B257" s="289"/>
      <c r="C257" s="289"/>
      <c r="D257" s="289"/>
      <c r="E257" s="289"/>
      <c r="F257" s="289"/>
      <c r="G257" s="220">
        <f t="shared" si="28"/>
        <v>0</v>
      </c>
      <c r="H257" s="220">
        <f t="shared" si="29"/>
        <v>0</v>
      </c>
      <c r="I257" s="221">
        <f>IF(A257="Total",VLOOKUP(B257,CORRESPONDANCE[#All],2,FALSE),I258)</f>
        <v>0</v>
      </c>
      <c r="J257" s="222" t="str">
        <f t="shared" si="30"/>
        <v/>
      </c>
      <c r="K257" s="44" t="str">
        <f t="shared" si="31"/>
        <v xml:space="preserve">HART - </v>
      </c>
      <c r="L257" s="44" t="e">
        <f>+VLOOKUP(K257,TL[],4,FALSE)</f>
        <v>#N/A</v>
      </c>
    </row>
    <row r="258" spans="1:12" ht="15" x14ac:dyDescent="0.25">
      <c r="A258" s="289"/>
      <c r="B258" s="289"/>
      <c r="C258" s="289"/>
      <c r="D258" s="289"/>
      <c r="E258" s="289"/>
      <c r="F258" s="289"/>
      <c r="G258" s="220">
        <f t="shared" ref="G258:G263" si="32">SUM(C258)-SUM(D258)</f>
        <v>0</v>
      </c>
      <c r="H258" s="220">
        <f t="shared" ref="H258:H263" si="33">SUM(E258)-SUM(F258)</f>
        <v>0</v>
      </c>
      <c r="I258" s="221">
        <f>IF(A258="Total",VLOOKUP(B258,CORRESPONDANCE[#All],2,FALSE),I259)</f>
        <v>0</v>
      </c>
      <c r="J258" s="222" t="str">
        <f t="shared" ref="J258:J263" si="34">LEFT(A258,1)</f>
        <v/>
      </c>
      <c r="K258" s="44" t="str">
        <f t="shared" ref="K258:K263" si="35">"HART"&amp;" - "&amp;A258</f>
        <v xml:space="preserve">HART - </v>
      </c>
      <c r="L258" s="44" t="e">
        <f>+VLOOKUP(K258,TL[],4,FALSE)</f>
        <v>#N/A</v>
      </c>
    </row>
    <row r="259" spans="1:12" ht="15" x14ac:dyDescent="0.25">
      <c r="A259" s="289"/>
      <c r="B259" s="289"/>
      <c r="C259" s="289"/>
      <c r="D259" s="289"/>
      <c r="E259" s="289"/>
      <c r="F259" s="289"/>
      <c r="G259" s="220">
        <f t="shared" si="32"/>
        <v>0</v>
      </c>
      <c r="H259" s="220">
        <f t="shared" si="33"/>
        <v>0</v>
      </c>
      <c r="I259" s="221">
        <f>IF(A259="Total",VLOOKUP(B259,CORRESPONDANCE[#All],2,FALSE),I260)</f>
        <v>0</v>
      </c>
      <c r="J259" s="222" t="str">
        <f t="shared" si="34"/>
        <v/>
      </c>
      <c r="K259" s="44" t="str">
        <f t="shared" si="35"/>
        <v xml:space="preserve">HART - </v>
      </c>
      <c r="L259" s="44" t="e">
        <f>+VLOOKUP(K259,TL[],4,FALSE)</f>
        <v>#N/A</v>
      </c>
    </row>
    <row r="260" spans="1:12" ht="15" x14ac:dyDescent="0.25">
      <c r="A260" s="289"/>
      <c r="B260" s="289"/>
      <c r="C260" s="289"/>
      <c r="D260" s="289"/>
      <c r="E260" s="289"/>
      <c r="F260" s="289"/>
      <c r="G260" s="220">
        <f t="shared" si="32"/>
        <v>0</v>
      </c>
      <c r="H260" s="220">
        <f t="shared" si="33"/>
        <v>0</v>
      </c>
      <c r="I260" s="221">
        <f>IF(A260="Total",VLOOKUP(B260,CORRESPONDANCE[#All],2,FALSE),I261)</f>
        <v>0</v>
      </c>
      <c r="J260" s="222" t="str">
        <f t="shared" si="34"/>
        <v/>
      </c>
      <c r="K260" s="44" t="str">
        <f t="shared" si="35"/>
        <v xml:space="preserve">HART - </v>
      </c>
      <c r="L260" s="44" t="e">
        <f>+VLOOKUP(K260,TL[],4,FALSE)</f>
        <v>#N/A</v>
      </c>
    </row>
    <row r="261" spans="1:12" ht="15" x14ac:dyDescent="0.25">
      <c r="A261" s="289"/>
      <c r="B261" s="289"/>
      <c r="C261" s="289"/>
      <c r="D261" s="289"/>
      <c r="E261" s="289"/>
      <c r="F261" s="289"/>
      <c r="G261" s="220">
        <f t="shared" si="32"/>
        <v>0</v>
      </c>
      <c r="H261" s="220">
        <f t="shared" si="33"/>
        <v>0</v>
      </c>
      <c r="I261" s="221">
        <f>IF(A261="Total",VLOOKUP(B261,CORRESPONDANCE[#All],2,FALSE),I262)</f>
        <v>0</v>
      </c>
      <c r="J261" s="222" t="str">
        <f t="shared" si="34"/>
        <v/>
      </c>
      <c r="K261" s="44" t="str">
        <f t="shared" si="35"/>
        <v xml:space="preserve">HART - </v>
      </c>
      <c r="L261" s="44" t="e">
        <f>+VLOOKUP(K261,TL[],4,FALSE)</f>
        <v>#N/A</v>
      </c>
    </row>
    <row r="262" spans="1:12" ht="15" x14ac:dyDescent="0.25">
      <c r="A262" s="289"/>
      <c r="B262" s="289"/>
      <c r="C262" s="289"/>
      <c r="D262" s="289"/>
      <c r="E262" s="289"/>
      <c r="F262" s="289"/>
      <c r="G262" s="220">
        <f t="shared" si="32"/>
        <v>0</v>
      </c>
      <c r="H262" s="220">
        <f t="shared" si="33"/>
        <v>0</v>
      </c>
      <c r="I262" s="221">
        <f>IF(A262="Total",VLOOKUP(B262,CORRESPONDANCE[#All],2,FALSE),I263)</f>
        <v>0</v>
      </c>
      <c r="J262" s="222" t="str">
        <f t="shared" si="34"/>
        <v/>
      </c>
      <c r="K262" s="44" t="str">
        <f t="shared" si="35"/>
        <v xml:space="preserve">HART - </v>
      </c>
      <c r="L262" s="44" t="e">
        <f>+VLOOKUP(K262,TL[],4,FALSE)</f>
        <v>#N/A</v>
      </c>
    </row>
    <row r="263" spans="1:12" ht="15" x14ac:dyDescent="0.25">
      <c r="A263" s="289"/>
      <c r="B263" s="289"/>
      <c r="C263" s="289"/>
      <c r="D263" s="289"/>
      <c r="E263" s="289"/>
      <c r="F263" s="289"/>
      <c r="G263" s="220">
        <f t="shared" si="32"/>
        <v>0</v>
      </c>
      <c r="H263" s="220">
        <f t="shared" si="33"/>
        <v>0</v>
      </c>
      <c r="I263" s="221">
        <f>IF(A263="Total",VLOOKUP(B263,CORRESPONDANCE[#All],2,FALSE),I264)</f>
        <v>0</v>
      </c>
      <c r="J263" s="222" t="str">
        <f t="shared" si="34"/>
        <v/>
      </c>
      <c r="K263" s="44" t="str">
        <f t="shared" si="35"/>
        <v xml:space="preserve">HART - </v>
      </c>
      <c r="L263" s="44" t="e">
        <f>+VLOOKUP(K263,TL[],4,FALSE)</f>
        <v>#N/A</v>
      </c>
    </row>
    <row r="264" spans="1:12" ht="15" x14ac:dyDescent="0.25">
      <c r="A264" s="289"/>
      <c r="B264" s="289"/>
      <c r="C264" s="289"/>
      <c r="D264" s="289"/>
      <c r="E264" s="289"/>
      <c r="F264" s="289"/>
    </row>
    <row r="265" spans="1:12" ht="15" x14ac:dyDescent="0.25">
      <c r="A265" s="289"/>
      <c r="B265" s="289"/>
      <c r="C265" s="289"/>
      <c r="D265" s="289"/>
      <c r="E265" s="289"/>
      <c r="F265" s="289"/>
    </row>
    <row r="266" spans="1:12" ht="15" x14ac:dyDescent="0.25">
      <c r="A266" s="289"/>
      <c r="B266" s="289"/>
      <c r="C266" s="289"/>
      <c r="D266" s="289"/>
      <c r="E266" s="289"/>
      <c r="F266" s="289"/>
    </row>
    <row r="267" spans="1:12" ht="15" x14ac:dyDescent="0.25">
      <c r="A267" s="289"/>
      <c r="B267" s="289"/>
      <c r="C267" s="289"/>
      <c r="D267" s="289"/>
      <c r="E267" s="289"/>
      <c r="F267" s="289"/>
    </row>
    <row r="268" spans="1:12" ht="15" x14ac:dyDescent="0.25">
      <c r="A268" s="289"/>
      <c r="B268" s="289"/>
      <c r="C268" s="289"/>
      <c r="D268" s="289"/>
      <c r="E268" s="289"/>
      <c r="F268" s="289"/>
    </row>
    <row r="269" spans="1:12" ht="15" x14ac:dyDescent="0.25">
      <c r="A269" s="289"/>
      <c r="B269" s="289"/>
      <c r="C269" s="289"/>
      <c r="D269" s="289"/>
      <c r="E269" s="289"/>
      <c r="F269" s="289"/>
    </row>
    <row r="270" spans="1:12" ht="15" x14ac:dyDescent="0.25">
      <c r="A270" s="289"/>
      <c r="B270" s="289"/>
      <c r="C270" s="289"/>
      <c r="D270" s="289"/>
      <c r="E270" s="289"/>
      <c r="F270" s="289"/>
    </row>
    <row r="271" spans="1:12" ht="15" x14ac:dyDescent="0.25">
      <c r="A271" s="289"/>
      <c r="B271" s="289"/>
      <c r="C271" s="289"/>
      <c r="D271" s="289"/>
      <c r="E271" s="289"/>
      <c r="F271" s="289"/>
    </row>
    <row r="272" spans="1:12" ht="15" x14ac:dyDescent="0.25">
      <c r="A272" s="289"/>
      <c r="B272" s="289"/>
      <c r="C272" s="289"/>
      <c r="D272" s="289"/>
      <c r="E272" s="289"/>
      <c r="F272" s="289"/>
    </row>
  </sheetData>
  <autoFilter ref="A1:L249" xr:uid="{C99A0375-655F-4CD8-B8EC-C8348ED16B11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62A5-2FA0-45D1-8633-6EC668EDAB16}">
  <sheetPr>
    <tabColor theme="7" tint="0.59999389629810485"/>
  </sheetPr>
  <dimension ref="A1:L252"/>
  <sheetViews>
    <sheetView zoomScale="85" zoomScaleNormal="85" workbookViewId="0">
      <selection activeCell="F12" sqref="F12"/>
    </sheetView>
  </sheetViews>
  <sheetFormatPr baseColWidth="10" defaultColWidth="11.5703125" defaultRowHeight="12.75" x14ac:dyDescent="0.2"/>
  <cols>
    <col min="1" max="1" width="12.28515625" style="213" bestFit="1" customWidth="1"/>
    <col min="2" max="2" width="46" style="44" bestFit="1" customWidth="1"/>
    <col min="3" max="8" width="13.28515625" style="223" customWidth="1"/>
    <col min="9" max="9" width="11.7109375" style="224" bestFit="1" customWidth="1"/>
    <col min="10" max="10" width="11.5703125" style="44"/>
    <col min="11" max="11" width="17.5703125" style="44" bestFit="1" customWidth="1"/>
    <col min="12" max="16384" width="11.5703125" style="44"/>
  </cols>
  <sheetData>
    <row r="1" spans="1:12" x14ac:dyDescent="0.2">
      <c r="A1" s="213" t="s">
        <v>6979</v>
      </c>
      <c r="B1" s="44" t="s">
        <v>6980</v>
      </c>
      <c r="C1" s="216"/>
      <c r="D1" s="216"/>
      <c r="E1" s="216"/>
      <c r="F1" s="216"/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s="213">
        <v>1</v>
      </c>
      <c r="B2" s="44" t="s">
        <v>3006</v>
      </c>
      <c r="C2" s="216">
        <v>228176.94</v>
      </c>
      <c r="D2" s="216"/>
      <c r="E2" s="216">
        <v>228176.94</v>
      </c>
      <c r="F2" s="216"/>
      <c r="G2" s="220">
        <f>-SUM(C2)+SUM(D2)</f>
        <v>-228176.94</v>
      </c>
      <c r="H2" s="220">
        <f>-SUM(E2)+SUM(F2)</f>
        <v>-228176.94</v>
      </c>
      <c r="I2" s="221">
        <v>1</v>
      </c>
      <c r="J2" s="222" t="s">
        <v>6978</v>
      </c>
      <c r="K2" s="44" t="str">
        <f>"VICTOIRE"&amp;" - "&amp;A2</f>
        <v>VICTOIRE - 1</v>
      </c>
      <c r="L2" s="44" t="e">
        <f>+VLOOKUP(K2,TL[],4,FALSE)</f>
        <v>#N/A</v>
      </c>
    </row>
    <row r="3" spans="1:12" x14ac:dyDescent="0.2">
      <c r="A3" s="213">
        <v>2</v>
      </c>
      <c r="B3" s="44" t="s">
        <v>222</v>
      </c>
      <c r="C3" s="216">
        <v>225059.06</v>
      </c>
      <c r="D3" s="216"/>
      <c r="E3" s="216">
        <v>225059.06</v>
      </c>
      <c r="F3" s="216"/>
      <c r="G3" s="220">
        <f>-SUM(C3)+SUM(D3)</f>
        <v>-225059.06</v>
      </c>
      <c r="H3" s="220">
        <f>-SUM(E3)+SUM(F3)</f>
        <v>-225059.06</v>
      </c>
      <c r="I3" s="221">
        <v>2</v>
      </c>
      <c r="J3" s="222" t="s">
        <v>6978</v>
      </c>
      <c r="K3" s="44" t="str">
        <f t="shared" ref="K3:K66" si="0">"VICTOIRE"&amp;" - "&amp;A3</f>
        <v>VICTOIRE - 2</v>
      </c>
      <c r="L3" s="44" t="e">
        <f>+VLOOKUP(K3,TL[],4,FALSE)</f>
        <v>#N/A</v>
      </c>
    </row>
    <row r="4" spans="1:12" x14ac:dyDescent="0.2">
      <c r="A4" s="213">
        <v>3</v>
      </c>
      <c r="B4" s="44" t="s">
        <v>7021</v>
      </c>
      <c r="C4" s="216">
        <v>49662.43</v>
      </c>
      <c r="D4" s="216"/>
      <c r="E4" s="216">
        <v>49662.43</v>
      </c>
      <c r="F4" s="216"/>
      <c r="G4" s="220">
        <f>SUM(C4)-SUM(D4)</f>
        <v>49662.43</v>
      </c>
      <c r="H4" s="220">
        <f>SUM(E4)-SUM(F4)</f>
        <v>49662.43</v>
      </c>
      <c r="I4" s="221">
        <v>3</v>
      </c>
      <c r="J4" s="222" t="s">
        <v>6978</v>
      </c>
      <c r="K4" s="44" t="str">
        <f t="shared" si="0"/>
        <v>VICTOIRE - 3</v>
      </c>
      <c r="L4" s="44" t="e">
        <f>+VLOOKUP(K4,TL[],4,FALSE)</f>
        <v>#N/A</v>
      </c>
    </row>
    <row r="5" spans="1:12" x14ac:dyDescent="0.2">
      <c r="A5" s="213">
        <v>4</v>
      </c>
      <c r="B5" s="44" t="s">
        <v>517</v>
      </c>
      <c r="C5" s="216">
        <v>1353.01</v>
      </c>
      <c r="D5" s="216"/>
      <c r="E5" s="216">
        <v>1353.01</v>
      </c>
      <c r="F5" s="216"/>
      <c r="G5" s="220">
        <f t="shared" ref="G5:G53" si="1">SUM(C5)-SUM(D5)</f>
        <v>1353.01</v>
      </c>
      <c r="H5" s="220">
        <f>SUM(E5)-SUM(F5)</f>
        <v>1353.01</v>
      </c>
      <c r="I5" s="221">
        <v>4</v>
      </c>
      <c r="J5" s="222" t="s">
        <v>6978</v>
      </c>
      <c r="K5" s="44" t="str">
        <f t="shared" si="0"/>
        <v>VICTOIRE - 4</v>
      </c>
      <c r="L5" s="44" t="e">
        <f>+VLOOKUP(K5,TL[],4,FALSE)</f>
        <v>#N/A</v>
      </c>
    </row>
    <row r="6" spans="1:12" x14ac:dyDescent="0.2">
      <c r="A6" s="213">
        <v>5</v>
      </c>
      <c r="B6" s="44" t="s">
        <v>3008</v>
      </c>
      <c r="C6" s="216">
        <v>1893.68</v>
      </c>
      <c r="D6" s="216"/>
      <c r="E6" s="216">
        <v>1893.68</v>
      </c>
      <c r="F6" s="216"/>
      <c r="G6" s="220">
        <f t="shared" si="1"/>
        <v>1893.68</v>
      </c>
      <c r="H6" s="220">
        <f t="shared" ref="H6:H53" si="2">SUM(E6)-SUM(F6)</f>
        <v>1893.68</v>
      </c>
      <c r="I6" s="221">
        <v>5</v>
      </c>
      <c r="J6" s="222" t="s">
        <v>6978</v>
      </c>
      <c r="K6" s="44" t="str">
        <f t="shared" si="0"/>
        <v>VICTOIRE - 5</v>
      </c>
      <c r="L6" s="44" t="e">
        <f>+VLOOKUP(K6,TL[],4,FALSE)</f>
        <v>#N/A</v>
      </c>
    </row>
    <row r="7" spans="1:12" x14ac:dyDescent="0.2">
      <c r="A7" s="213">
        <v>6</v>
      </c>
      <c r="B7" s="44" t="s">
        <v>3009</v>
      </c>
      <c r="C7" s="216">
        <v>4062.77</v>
      </c>
      <c r="D7" s="216"/>
      <c r="E7" s="216">
        <v>4062.77</v>
      </c>
      <c r="F7" s="216"/>
      <c r="G7" s="220">
        <f t="shared" si="1"/>
        <v>4062.77</v>
      </c>
      <c r="H7" s="220">
        <f t="shared" si="2"/>
        <v>4062.77</v>
      </c>
      <c r="I7" s="221">
        <v>6</v>
      </c>
      <c r="J7" s="222" t="s">
        <v>6978</v>
      </c>
      <c r="K7" s="44" t="str">
        <f t="shared" si="0"/>
        <v>VICTOIRE - 6</v>
      </c>
      <c r="L7" s="44" t="e">
        <f>+VLOOKUP(K7,TL[],4,FALSE)</f>
        <v>#N/A</v>
      </c>
    </row>
    <row r="8" spans="1:12" x14ac:dyDescent="0.2">
      <c r="A8" s="213">
        <v>6.1</v>
      </c>
      <c r="B8" s="44" t="s">
        <v>2965</v>
      </c>
      <c r="C8" s="216">
        <v>164.78</v>
      </c>
      <c r="D8" s="216"/>
      <c r="E8" s="216">
        <v>164.78</v>
      </c>
      <c r="F8" s="216"/>
      <c r="G8" s="220">
        <f t="shared" si="1"/>
        <v>164.78</v>
      </c>
      <c r="H8" s="220">
        <f t="shared" si="2"/>
        <v>164.78</v>
      </c>
      <c r="I8" s="221" t="s">
        <v>2964</v>
      </c>
      <c r="J8" s="222" t="s">
        <v>6978</v>
      </c>
      <c r="K8" s="44" t="str">
        <f t="shared" si="0"/>
        <v>VICTOIRE - 6,1</v>
      </c>
      <c r="L8" s="44" t="e">
        <f>+VLOOKUP(K8,TL[],4,FALSE)</f>
        <v>#N/A</v>
      </c>
    </row>
    <row r="9" spans="1:12" x14ac:dyDescent="0.2">
      <c r="A9" s="213">
        <v>7</v>
      </c>
      <c r="B9" s="44" t="s">
        <v>3011</v>
      </c>
      <c r="C9" s="216">
        <v>167922.39</v>
      </c>
      <c r="D9" s="216"/>
      <c r="E9" s="216">
        <v>167922.39</v>
      </c>
      <c r="F9" s="216"/>
      <c r="G9" s="220">
        <f t="shared" si="1"/>
        <v>167922.39</v>
      </c>
      <c r="H9" s="220">
        <f t="shared" si="2"/>
        <v>167922.39</v>
      </c>
      <c r="I9" s="221">
        <v>7</v>
      </c>
      <c r="J9" s="222" t="s">
        <v>6978</v>
      </c>
      <c r="K9" s="44" t="str">
        <f t="shared" si="0"/>
        <v>VICTOIRE - 7</v>
      </c>
      <c r="L9" s="44" t="e">
        <f>+VLOOKUP(K9,TL[],4,FALSE)</f>
        <v>#N/A</v>
      </c>
    </row>
    <row r="10" spans="1:12" x14ac:dyDescent="0.2">
      <c r="A10" s="213">
        <v>8</v>
      </c>
      <c r="B10" s="44" t="s">
        <v>3012</v>
      </c>
      <c r="C10" s="216">
        <v>27614.92</v>
      </c>
      <c r="D10" s="216"/>
      <c r="E10" s="216">
        <v>27614.92</v>
      </c>
      <c r="F10" s="216"/>
      <c r="G10" s="220">
        <f t="shared" si="1"/>
        <v>27614.92</v>
      </c>
      <c r="H10" s="220">
        <f t="shared" si="2"/>
        <v>27614.92</v>
      </c>
      <c r="I10" s="221">
        <v>8</v>
      </c>
      <c r="J10" s="222" t="s">
        <v>6978</v>
      </c>
      <c r="K10" s="44" t="str">
        <f t="shared" si="0"/>
        <v>VICTOIRE - 8</v>
      </c>
      <c r="L10" s="44" t="e">
        <f>+VLOOKUP(K10,TL[],4,FALSE)</f>
        <v>#N/A</v>
      </c>
    </row>
    <row r="11" spans="1:12" x14ac:dyDescent="0.2">
      <c r="A11" s="213">
        <v>9</v>
      </c>
      <c r="B11" s="44" t="s">
        <v>3013</v>
      </c>
      <c r="C11" s="216">
        <v>3379.71</v>
      </c>
      <c r="D11" s="216"/>
      <c r="E11" s="216">
        <v>3379.71</v>
      </c>
      <c r="F11" s="216"/>
      <c r="G11" s="220">
        <f t="shared" si="1"/>
        <v>3379.71</v>
      </c>
      <c r="H11" s="220">
        <f t="shared" si="2"/>
        <v>3379.71</v>
      </c>
      <c r="I11" s="221">
        <v>9</v>
      </c>
      <c r="J11" s="222" t="s">
        <v>6978</v>
      </c>
      <c r="K11" s="44" t="str">
        <f t="shared" si="0"/>
        <v>VICTOIRE - 9</v>
      </c>
      <c r="L11" s="44" t="e">
        <f>+VLOOKUP(K11,TL[],4,FALSE)</f>
        <v>#N/A</v>
      </c>
    </row>
    <row r="12" spans="1:12" x14ac:dyDescent="0.2">
      <c r="A12" s="213">
        <v>10</v>
      </c>
      <c r="B12" s="44" t="s">
        <v>3014</v>
      </c>
      <c r="C12" s="216">
        <v>18309.689999999999</v>
      </c>
      <c r="D12" s="216"/>
      <c r="E12" s="216">
        <v>18309.689999999999</v>
      </c>
      <c r="F12" s="216"/>
      <c r="G12" s="220">
        <f t="shared" si="1"/>
        <v>18309.689999999999</v>
      </c>
      <c r="H12" s="220">
        <f t="shared" si="2"/>
        <v>18309.689999999999</v>
      </c>
      <c r="I12" s="221">
        <v>10</v>
      </c>
      <c r="J12" s="222" t="s">
        <v>6978</v>
      </c>
      <c r="K12" s="44" t="str">
        <f t="shared" si="0"/>
        <v>VICTOIRE - 10</v>
      </c>
      <c r="L12" s="44" t="e">
        <f>+VLOOKUP(K12,TL[],4,FALSE)</f>
        <v>#N/A</v>
      </c>
    </row>
    <row r="13" spans="1:12" x14ac:dyDescent="0.2">
      <c r="A13" s="213">
        <v>11</v>
      </c>
      <c r="B13" s="44" t="s">
        <v>3015</v>
      </c>
      <c r="C13" s="216">
        <v>4405.8599999999997</v>
      </c>
      <c r="D13" s="216"/>
      <c r="E13" s="216">
        <v>4405.8599999999997</v>
      </c>
      <c r="F13" s="216"/>
      <c r="G13" s="220">
        <f t="shared" si="1"/>
        <v>4405.8599999999997</v>
      </c>
      <c r="H13" s="220">
        <f t="shared" si="2"/>
        <v>4405.8599999999997</v>
      </c>
      <c r="I13" s="221">
        <v>11</v>
      </c>
      <c r="J13" s="222" t="s">
        <v>6978</v>
      </c>
      <c r="K13" s="44" t="str">
        <f t="shared" si="0"/>
        <v>VICTOIRE - 11</v>
      </c>
      <c r="L13" s="44" t="e">
        <f>+VLOOKUP(K13,TL[],4,FALSE)</f>
        <v>#N/A</v>
      </c>
    </row>
    <row r="14" spans="1:12" x14ac:dyDescent="0.2">
      <c r="A14" s="213">
        <v>12</v>
      </c>
      <c r="B14" s="44" t="s">
        <v>2969</v>
      </c>
      <c r="C14" s="216">
        <v>-500</v>
      </c>
      <c r="D14" s="216"/>
      <c r="E14" s="216">
        <v>-500</v>
      </c>
      <c r="F14" s="216"/>
      <c r="G14" s="220">
        <f t="shared" si="1"/>
        <v>-500</v>
      </c>
      <c r="H14" s="220">
        <f t="shared" si="2"/>
        <v>-500</v>
      </c>
      <c r="I14" s="221">
        <v>12</v>
      </c>
      <c r="J14" s="222" t="s">
        <v>6978</v>
      </c>
      <c r="K14" s="44" t="str">
        <f t="shared" si="0"/>
        <v>VICTOIRE - 12</v>
      </c>
      <c r="L14" s="44" t="e">
        <f>+VLOOKUP(K14,TL[],4,FALSE)</f>
        <v>#N/A</v>
      </c>
    </row>
    <row r="15" spans="1:12" x14ac:dyDescent="0.2">
      <c r="A15" s="213">
        <v>13</v>
      </c>
      <c r="B15" s="44" t="s">
        <v>2970</v>
      </c>
      <c r="C15" s="216"/>
      <c r="D15" s="216"/>
      <c r="E15" s="216"/>
      <c r="F15" s="216"/>
      <c r="G15" s="220">
        <f t="shared" si="1"/>
        <v>0</v>
      </c>
      <c r="H15" s="220">
        <f t="shared" si="2"/>
        <v>0</v>
      </c>
      <c r="I15" s="221">
        <v>13</v>
      </c>
      <c r="J15" s="222" t="s">
        <v>6978</v>
      </c>
      <c r="K15" s="44" t="str">
        <f t="shared" si="0"/>
        <v>VICTOIRE - 13</v>
      </c>
      <c r="L15" s="44" t="e">
        <f>+VLOOKUP(K15,TL[],4,FALSE)</f>
        <v>#N/A</v>
      </c>
    </row>
    <row r="16" spans="1:12" x14ac:dyDescent="0.2">
      <c r="A16" s="213">
        <v>14</v>
      </c>
      <c r="B16" s="44" t="s">
        <v>3017</v>
      </c>
      <c r="C16" s="216">
        <v>53210.179999999993</v>
      </c>
      <c r="D16" s="216"/>
      <c r="E16" s="216">
        <v>53210.179999999993</v>
      </c>
      <c r="F16" s="216"/>
      <c r="G16" s="220">
        <f t="shared" si="1"/>
        <v>53210.179999999993</v>
      </c>
      <c r="H16" s="220">
        <f t="shared" si="2"/>
        <v>53210.179999999993</v>
      </c>
      <c r="I16" s="221">
        <v>14</v>
      </c>
      <c r="J16" s="222" t="s">
        <v>6978</v>
      </c>
      <c r="K16" s="44" t="str">
        <f t="shared" si="0"/>
        <v>VICTOIRE - 14</v>
      </c>
      <c r="L16" s="44" t="e">
        <f>+VLOOKUP(K16,TL[],4,FALSE)</f>
        <v>#N/A</v>
      </c>
    </row>
    <row r="17" spans="1:12" x14ac:dyDescent="0.2">
      <c r="A17" s="213">
        <v>15</v>
      </c>
      <c r="B17" s="44" t="s">
        <v>2174</v>
      </c>
      <c r="C17" s="216">
        <v>9540</v>
      </c>
      <c r="D17" s="216"/>
      <c r="E17" s="216">
        <v>9540</v>
      </c>
      <c r="F17" s="216"/>
      <c r="G17" s="220">
        <f t="shared" si="1"/>
        <v>9540</v>
      </c>
      <c r="H17" s="220">
        <f t="shared" si="2"/>
        <v>9540</v>
      </c>
      <c r="I17" s="221">
        <v>15</v>
      </c>
      <c r="J17" s="222" t="s">
        <v>6978</v>
      </c>
      <c r="K17" s="44" t="str">
        <f t="shared" si="0"/>
        <v>VICTOIRE - 15</v>
      </c>
      <c r="L17" s="44" t="e">
        <f>+VLOOKUP(K17,TL[],4,FALSE)</f>
        <v>#N/A</v>
      </c>
    </row>
    <row r="18" spans="1:12" x14ac:dyDescent="0.2">
      <c r="A18" s="213">
        <v>16</v>
      </c>
      <c r="B18" s="44" t="s">
        <v>2972</v>
      </c>
      <c r="C18" s="216">
        <v>58.23</v>
      </c>
      <c r="D18" s="216"/>
      <c r="E18" s="216">
        <v>58.23</v>
      </c>
      <c r="F18" s="216"/>
      <c r="G18" s="220">
        <f t="shared" si="1"/>
        <v>58.23</v>
      </c>
      <c r="H18" s="220">
        <f t="shared" si="2"/>
        <v>58.23</v>
      </c>
      <c r="I18" s="221">
        <v>16</v>
      </c>
      <c r="J18" s="222" t="s">
        <v>6978</v>
      </c>
      <c r="K18" s="44" t="str">
        <f t="shared" si="0"/>
        <v>VICTOIRE - 16</v>
      </c>
      <c r="L18" s="44" t="e">
        <f>+VLOOKUP(K18,TL[],4,FALSE)</f>
        <v>#N/A</v>
      </c>
    </row>
    <row r="19" spans="1:12" x14ac:dyDescent="0.2">
      <c r="A19" s="213">
        <v>17</v>
      </c>
      <c r="B19" s="44" t="s">
        <v>2973</v>
      </c>
      <c r="C19" s="216">
        <v>1677.22</v>
      </c>
      <c r="D19" s="216"/>
      <c r="E19" s="216">
        <v>1677.22</v>
      </c>
      <c r="F19" s="216"/>
      <c r="G19" s="220">
        <f t="shared" si="1"/>
        <v>1677.22</v>
      </c>
      <c r="H19" s="220">
        <f t="shared" si="2"/>
        <v>1677.22</v>
      </c>
      <c r="I19" s="221">
        <v>17</v>
      </c>
      <c r="J19" s="222" t="s">
        <v>6978</v>
      </c>
      <c r="K19" s="44" t="str">
        <f t="shared" si="0"/>
        <v>VICTOIRE - 17</v>
      </c>
      <c r="L19" s="44" t="e">
        <f>+VLOOKUP(K19,TL[],4,FALSE)</f>
        <v>#N/A</v>
      </c>
    </row>
    <row r="20" spans="1:12" x14ac:dyDescent="0.2">
      <c r="A20" s="213">
        <v>18</v>
      </c>
      <c r="B20" s="44" t="s">
        <v>3018</v>
      </c>
      <c r="C20" s="216">
        <v>2890.53</v>
      </c>
      <c r="D20" s="216"/>
      <c r="E20" s="216">
        <v>2890.53</v>
      </c>
      <c r="F20" s="216"/>
      <c r="G20" s="220">
        <f t="shared" si="1"/>
        <v>2890.53</v>
      </c>
      <c r="H20" s="220">
        <f t="shared" si="2"/>
        <v>2890.53</v>
      </c>
      <c r="I20" s="221">
        <v>18</v>
      </c>
      <c r="J20" s="222" t="s">
        <v>6978</v>
      </c>
      <c r="K20" s="44" t="str">
        <f t="shared" si="0"/>
        <v>VICTOIRE - 18</v>
      </c>
      <c r="L20" s="44" t="e">
        <f>+VLOOKUP(K20,TL[],4,FALSE)</f>
        <v>#N/A</v>
      </c>
    </row>
    <row r="21" spans="1:12" x14ac:dyDescent="0.2">
      <c r="A21" s="213">
        <v>19</v>
      </c>
      <c r="B21" s="44" t="s">
        <v>2975</v>
      </c>
      <c r="C21" s="216">
        <v>4651.0200000000004</v>
      </c>
      <c r="D21" s="216"/>
      <c r="E21" s="216">
        <v>4651.0200000000004</v>
      </c>
      <c r="F21" s="216"/>
      <c r="G21" s="220">
        <f t="shared" si="1"/>
        <v>4651.0200000000004</v>
      </c>
      <c r="H21" s="220">
        <f t="shared" si="2"/>
        <v>4651.0200000000004</v>
      </c>
      <c r="I21" s="221">
        <v>19</v>
      </c>
      <c r="J21" s="222" t="s">
        <v>6978</v>
      </c>
      <c r="K21" s="44" t="str">
        <f t="shared" si="0"/>
        <v>VICTOIRE - 19</v>
      </c>
      <c r="L21" s="44" t="e">
        <f>+VLOOKUP(K21,TL[],4,FALSE)</f>
        <v>#N/A</v>
      </c>
    </row>
    <row r="22" spans="1:12" x14ac:dyDescent="0.2">
      <c r="A22" s="213">
        <v>20</v>
      </c>
      <c r="B22" s="44" t="s">
        <v>3019</v>
      </c>
      <c r="C22" s="216">
        <v>18817</v>
      </c>
      <c r="D22" s="216"/>
      <c r="E22" s="216">
        <v>18817</v>
      </c>
      <c r="F22" s="216"/>
      <c r="G22" s="220">
        <f t="shared" si="1"/>
        <v>18817</v>
      </c>
      <c r="H22" s="220">
        <f t="shared" si="2"/>
        <v>18817</v>
      </c>
      <c r="I22" s="221">
        <v>20</v>
      </c>
      <c r="J22" s="222" t="s">
        <v>6978</v>
      </c>
      <c r="K22" s="44" t="str">
        <f t="shared" si="0"/>
        <v>VICTOIRE - 20</v>
      </c>
      <c r="L22" s="44" t="e">
        <f>+VLOOKUP(K22,TL[],4,FALSE)</f>
        <v>#N/A</v>
      </c>
    </row>
    <row r="23" spans="1:12" x14ac:dyDescent="0.2">
      <c r="A23" s="213">
        <v>21</v>
      </c>
      <c r="B23" s="44" t="s">
        <v>2977</v>
      </c>
      <c r="C23" s="216"/>
      <c r="D23" s="216"/>
      <c r="E23" s="216"/>
      <c r="F23" s="216"/>
      <c r="G23" s="220">
        <f t="shared" si="1"/>
        <v>0</v>
      </c>
      <c r="H23" s="220">
        <f t="shared" si="2"/>
        <v>0</v>
      </c>
      <c r="I23" s="221">
        <v>21</v>
      </c>
      <c r="J23" s="222" t="s">
        <v>6978</v>
      </c>
      <c r="K23" s="44" t="str">
        <f t="shared" si="0"/>
        <v>VICTOIRE - 21</v>
      </c>
      <c r="L23" s="44" t="e">
        <f>+VLOOKUP(K23,TL[],4,FALSE)</f>
        <v>#N/A</v>
      </c>
    </row>
    <row r="24" spans="1:12" x14ac:dyDescent="0.2">
      <c r="A24" s="213">
        <v>22</v>
      </c>
      <c r="B24" s="44" t="s">
        <v>145</v>
      </c>
      <c r="C24" s="216">
        <v>9030.2999999999993</v>
      </c>
      <c r="D24" s="216"/>
      <c r="E24" s="216">
        <v>9030.2999999999993</v>
      </c>
      <c r="F24" s="216"/>
      <c r="G24" s="220">
        <f t="shared" si="1"/>
        <v>9030.2999999999993</v>
      </c>
      <c r="H24" s="220">
        <f t="shared" si="2"/>
        <v>9030.2999999999993</v>
      </c>
      <c r="I24" s="221">
        <v>22</v>
      </c>
      <c r="J24" s="222" t="s">
        <v>6978</v>
      </c>
      <c r="K24" s="44" t="str">
        <f t="shared" si="0"/>
        <v>VICTOIRE - 22</v>
      </c>
      <c r="L24" s="44" t="e">
        <f>+VLOOKUP(K24,TL[],4,FALSE)</f>
        <v>#N/A</v>
      </c>
    </row>
    <row r="25" spans="1:12" x14ac:dyDescent="0.2">
      <c r="A25" s="213">
        <v>23</v>
      </c>
      <c r="B25" s="44" t="s">
        <v>215</v>
      </c>
      <c r="C25" s="216">
        <v>5162.43</v>
      </c>
      <c r="D25" s="216"/>
      <c r="E25" s="216">
        <v>5162.43</v>
      </c>
      <c r="F25" s="216"/>
      <c r="G25" s="220">
        <f t="shared" si="1"/>
        <v>5162.43</v>
      </c>
      <c r="H25" s="220">
        <f t="shared" si="2"/>
        <v>5162.43</v>
      </c>
      <c r="I25" s="221">
        <v>23</v>
      </c>
      <c r="J25" s="222" t="s">
        <v>6978</v>
      </c>
      <c r="K25" s="44" t="str">
        <f t="shared" si="0"/>
        <v>VICTOIRE - 23</v>
      </c>
      <c r="L25" s="44" t="e">
        <f>+VLOOKUP(K25,TL[],4,FALSE)</f>
        <v>#N/A</v>
      </c>
    </row>
    <row r="26" spans="1:12" x14ac:dyDescent="0.2">
      <c r="A26" s="213">
        <v>24</v>
      </c>
      <c r="B26" s="44" t="s">
        <v>3020</v>
      </c>
      <c r="C26" s="216">
        <v>8650.75</v>
      </c>
      <c r="D26" s="216"/>
      <c r="E26" s="216">
        <v>8650.75</v>
      </c>
      <c r="F26" s="216"/>
      <c r="G26" s="220">
        <f t="shared" si="1"/>
        <v>8650.75</v>
      </c>
      <c r="H26" s="220">
        <f t="shared" si="2"/>
        <v>8650.75</v>
      </c>
      <c r="I26" s="221">
        <v>24</v>
      </c>
      <c r="J26" s="222" t="s">
        <v>6978</v>
      </c>
      <c r="K26" s="44" t="str">
        <f t="shared" si="0"/>
        <v>VICTOIRE - 24</v>
      </c>
      <c r="L26" s="44" t="e">
        <f>+VLOOKUP(K26,TL[],4,FALSE)</f>
        <v>#N/A</v>
      </c>
    </row>
    <row r="27" spans="1:12" x14ac:dyDescent="0.2">
      <c r="A27" s="213">
        <v>25</v>
      </c>
      <c r="B27" s="44" t="s">
        <v>3021</v>
      </c>
      <c r="C27" s="216">
        <v>2492.2199999999998</v>
      </c>
      <c r="D27" s="216"/>
      <c r="E27" s="216">
        <v>2492.2199999999998</v>
      </c>
      <c r="F27" s="216"/>
      <c r="G27" s="220">
        <f t="shared" si="1"/>
        <v>2492.2199999999998</v>
      </c>
      <c r="H27" s="220">
        <f t="shared" si="2"/>
        <v>2492.2199999999998</v>
      </c>
      <c r="I27" s="221">
        <v>25</v>
      </c>
      <c r="J27" s="222" t="s">
        <v>6978</v>
      </c>
      <c r="K27" s="44" t="str">
        <f t="shared" si="0"/>
        <v>VICTOIRE - 25</v>
      </c>
      <c r="L27" s="44" t="e">
        <f>+VLOOKUP(K27,TL[],4,FALSE)</f>
        <v>#N/A</v>
      </c>
    </row>
    <row r="28" spans="1:12" x14ac:dyDescent="0.2">
      <c r="A28" s="213">
        <v>26</v>
      </c>
      <c r="B28" s="44" t="s">
        <v>2981</v>
      </c>
      <c r="C28" s="216">
        <v>268.02999999999997</v>
      </c>
      <c r="D28" s="216"/>
      <c r="E28" s="216">
        <v>268.02999999999997</v>
      </c>
      <c r="F28" s="216"/>
      <c r="G28" s="220">
        <f t="shared" si="1"/>
        <v>268.02999999999997</v>
      </c>
      <c r="H28" s="220">
        <f t="shared" si="2"/>
        <v>268.02999999999997</v>
      </c>
      <c r="I28" s="221">
        <v>26</v>
      </c>
      <c r="J28" s="222" t="s">
        <v>6978</v>
      </c>
      <c r="K28" s="44" t="str">
        <f t="shared" si="0"/>
        <v>VICTOIRE - 26</v>
      </c>
      <c r="L28" s="44" t="e">
        <f>+VLOOKUP(K28,TL[],4,FALSE)</f>
        <v>#N/A</v>
      </c>
    </row>
    <row r="29" spans="1:12" x14ac:dyDescent="0.2">
      <c r="A29" s="213">
        <v>27</v>
      </c>
      <c r="B29" s="44" t="s">
        <v>33</v>
      </c>
      <c r="C29" s="216">
        <v>173.12</v>
      </c>
      <c r="D29" s="216"/>
      <c r="E29" s="216">
        <v>173.12</v>
      </c>
      <c r="F29" s="216"/>
      <c r="G29" s="220">
        <f t="shared" si="1"/>
        <v>173.12</v>
      </c>
      <c r="H29" s="220">
        <f t="shared" si="2"/>
        <v>173.12</v>
      </c>
      <c r="I29" s="221">
        <v>27</v>
      </c>
      <c r="J29" s="222" t="s">
        <v>6978</v>
      </c>
      <c r="K29" s="44" t="str">
        <f t="shared" si="0"/>
        <v>VICTOIRE - 27</v>
      </c>
      <c r="L29" s="44" t="e">
        <f>+VLOOKUP(K29,TL[],4,FALSE)</f>
        <v>#N/A</v>
      </c>
    </row>
    <row r="30" spans="1:12" x14ac:dyDescent="0.2">
      <c r="A30" s="213">
        <v>28</v>
      </c>
      <c r="B30" s="44" t="s">
        <v>3022</v>
      </c>
      <c r="C30" s="216">
        <v>70118.360000000015</v>
      </c>
      <c r="D30" s="216"/>
      <c r="E30" s="216">
        <v>70118.360000000015</v>
      </c>
      <c r="F30" s="216"/>
      <c r="G30" s="220">
        <f t="shared" si="1"/>
        <v>70118.360000000015</v>
      </c>
      <c r="H30" s="220">
        <f t="shared" si="2"/>
        <v>70118.360000000015</v>
      </c>
      <c r="I30" s="221">
        <v>28</v>
      </c>
      <c r="J30" s="222" t="s">
        <v>6978</v>
      </c>
      <c r="K30" s="44" t="str">
        <f t="shared" si="0"/>
        <v>VICTOIRE - 28</v>
      </c>
      <c r="L30" s="44" t="e">
        <f>+VLOOKUP(K30,TL[],4,FALSE)</f>
        <v>#N/A</v>
      </c>
    </row>
    <row r="31" spans="1:12" x14ac:dyDescent="0.2">
      <c r="A31" s="213">
        <v>29</v>
      </c>
      <c r="B31" s="44" t="s">
        <v>3023</v>
      </c>
      <c r="C31" s="216">
        <v>28522.12</v>
      </c>
      <c r="D31" s="216"/>
      <c r="E31" s="216">
        <v>28522.12</v>
      </c>
      <c r="F31" s="216"/>
      <c r="G31" s="220">
        <f t="shared" si="1"/>
        <v>28522.12</v>
      </c>
      <c r="H31" s="220">
        <f t="shared" si="2"/>
        <v>28522.12</v>
      </c>
      <c r="I31" s="221">
        <v>29</v>
      </c>
      <c r="J31" s="222" t="s">
        <v>6978</v>
      </c>
      <c r="K31" s="44" t="str">
        <f t="shared" si="0"/>
        <v>VICTOIRE - 29</v>
      </c>
      <c r="L31" s="44" t="e">
        <f>+VLOOKUP(K31,TL[],4,FALSE)</f>
        <v>#N/A</v>
      </c>
    </row>
    <row r="32" spans="1:12" x14ac:dyDescent="0.2">
      <c r="A32" s="213">
        <v>30</v>
      </c>
      <c r="B32" s="44" t="s">
        <v>2986</v>
      </c>
      <c r="C32" s="216"/>
      <c r="D32" s="216"/>
      <c r="E32" s="216"/>
      <c r="F32" s="216"/>
      <c r="G32" s="220">
        <f t="shared" si="1"/>
        <v>0</v>
      </c>
      <c r="H32" s="220">
        <f t="shared" si="2"/>
        <v>0</v>
      </c>
      <c r="I32" s="221">
        <v>30</v>
      </c>
      <c r="J32" s="222" t="s">
        <v>6978</v>
      </c>
      <c r="K32" s="44" t="str">
        <f t="shared" si="0"/>
        <v>VICTOIRE - 30</v>
      </c>
      <c r="L32" s="44" t="e">
        <f>+VLOOKUP(K32,TL[],4,FALSE)</f>
        <v>#N/A</v>
      </c>
    </row>
    <row r="33" spans="1:12" x14ac:dyDescent="0.2">
      <c r="A33" s="213">
        <v>31</v>
      </c>
      <c r="B33" s="44" t="s">
        <v>3024</v>
      </c>
      <c r="C33" s="216">
        <v>-423.42</v>
      </c>
      <c r="D33" s="216"/>
      <c r="E33" s="216">
        <v>-423.42</v>
      </c>
      <c r="F33" s="216"/>
      <c r="G33" s="220">
        <f t="shared" si="1"/>
        <v>-423.42</v>
      </c>
      <c r="H33" s="220">
        <f t="shared" si="2"/>
        <v>-423.42</v>
      </c>
      <c r="I33" s="221">
        <v>31</v>
      </c>
      <c r="J33" s="222" t="s">
        <v>6978</v>
      </c>
      <c r="K33" s="44" t="str">
        <f t="shared" si="0"/>
        <v>VICTOIRE - 31</v>
      </c>
      <c r="L33" s="44" t="e">
        <f>+VLOOKUP(K33,TL[],4,FALSE)</f>
        <v>#N/A</v>
      </c>
    </row>
    <row r="34" spans="1:12" x14ac:dyDescent="0.2">
      <c r="A34" s="213">
        <v>32</v>
      </c>
      <c r="B34" s="44" t="s">
        <v>3025</v>
      </c>
      <c r="C34" s="216">
        <v>28098.7</v>
      </c>
      <c r="D34" s="216"/>
      <c r="E34" s="216">
        <v>28098.7</v>
      </c>
      <c r="F34" s="216"/>
      <c r="G34" s="220">
        <f t="shared" si="1"/>
        <v>28098.7</v>
      </c>
      <c r="H34" s="220">
        <f t="shared" si="2"/>
        <v>28098.7</v>
      </c>
      <c r="I34" s="221">
        <v>32</v>
      </c>
      <c r="J34" s="222" t="s">
        <v>6978</v>
      </c>
      <c r="K34" s="44" t="str">
        <f t="shared" si="0"/>
        <v>VICTOIRE - 32</v>
      </c>
      <c r="L34" s="44" t="e">
        <f>+VLOOKUP(K34,TL[],4,FALSE)</f>
        <v>#N/A</v>
      </c>
    </row>
    <row r="35" spans="1:12" x14ac:dyDescent="0.2">
      <c r="A35" s="213">
        <v>33</v>
      </c>
      <c r="B35" s="44" t="s">
        <v>2989</v>
      </c>
      <c r="C35" s="216"/>
      <c r="D35" s="216"/>
      <c r="E35" s="216"/>
      <c r="F35" s="216"/>
      <c r="G35" s="220">
        <f t="shared" si="1"/>
        <v>0</v>
      </c>
      <c r="H35" s="220">
        <f t="shared" si="2"/>
        <v>0</v>
      </c>
      <c r="I35" s="221">
        <v>33</v>
      </c>
      <c r="J35" s="222" t="s">
        <v>6978</v>
      </c>
      <c r="K35" s="44" t="str">
        <f t="shared" si="0"/>
        <v>VICTOIRE - 33</v>
      </c>
      <c r="L35" s="44" t="e">
        <f>+VLOOKUP(K35,TL[],4,FALSE)</f>
        <v>#N/A</v>
      </c>
    </row>
    <row r="36" spans="1:12" x14ac:dyDescent="0.2">
      <c r="A36" s="213">
        <v>34</v>
      </c>
      <c r="B36" s="44" t="s">
        <v>276</v>
      </c>
      <c r="C36" s="216">
        <v>11408.85</v>
      </c>
      <c r="D36" s="216"/>
      <c r="E36" s="216">
        <v>11408.85</v>
      </c>
      <c r="F36" s="216"/>
      <c r="G36" s="220">
        <f t="shared" si="1"/>
        <v>11408.85</v>
      </c>
      <c r="H36" s="220">
        <f t="shared" si="2"/>
        <v>11408.85</v>
      </c>
      <c r="I36" s="221">
        <v>34</v>
      </c>
      <c r="J36" s="222" t="s">
        <v>6978</v>
      </c>
      <c r="K36" s="44" t="str">
        <f t="shared" si="0"/>
        <v>VICTOIRE - 34</v>
      </c>
      <c r="L36" s="44" t="e">
        <f>+VLOOKUP(K36,TL[],4,FALSE)</f>
        <v>#N/A</v>
      </c>
    </row>
    <row r="37" spans="1:12" x14ac:dyDescent="0.2">
      <c r="A37" s="213">
        <v>35</v>
      </c>
      <c r="B37" s="44" t="s">
        <v>213</v>
      </c>
      <c r="C37" s="216">
        <v>1588</v>
      </c>
      <c r="D37" s="216"/>
      <c r="E37" s="216">
        <v>1588</v>
      </c>
      <c r="F37" s="216"/>
      <c r="G37" s="220">
        <f t="shared" si="1"/>
        <v>1588</v>
      </c>
      <c r="H37" s="220">
        <f t="shared" si="2"/>
        <v>1588</v>
      </c>
      <c r="I37" s="221">
        <v>35</v>
      </c>
      <c r="J37" s="222" t="s">
        <v>6978</v>
      </c>
      <c r="K37" s="44" t="str">
        <f t="shared" si="0"/>
        <v>VICTOIRE - 35</v>
      </c>
      <c r="L37" s="44" t="e">
        <f>+VLOOKUP(K37,TL[],4,FALSE)</f>
        <v>#N/A</v>
      </c>
    </row>
    <row r="38" spans="1:12" x14ac:dyDescent="0.2">
      <c r="A38" s="213">
        <v>36</v>
      </c>
      <c r="B38" s="44" t="s">
        <v>41</v>
      </c>
      <c r="C38" s="216">
        <v>1380.05</v>
      </c>
      <c r="D38" s="216"/>
      <c r="E38" s="216">
        <v>1380.05</v>
      </c>
      <c r="F38" s="216"/>
      <c r="G38" s="220">
        <f t="shared" si="1"/>
        <v>1380.05</v>
      </c>
      <c r="H38" s="220">
        <f t="shared" si="2"/>
        <v>1380.05</v>
      </c>
      <c r="I38" s="221">
        <v>36</v>
      </c>
      <c r="J38" s="222" t="s">
        <v>6978</v>
      </c>
      <c r="K38" s="44" t="str">
        <f t="shared" si="0"/>
        <v>VICTOIRE - 36</v>
      </c>
      <c r="L38" s="44" t="e">
        <f>+VLOOKUP(K38,TL[],4,FALSE)</f>
        <v>#N/A</v>
      </c>
    </row>
    <row r="39" spans="1:12" x14ac:dyDescent="0.2">
      <c r="A39" s="213">
        <v>37</v>
      </c>
      <c r="B39" s="44" t="s">
        <v>3026</v>
      </c>
      <c r="C39" s="216">
        <v>2010.55</v>
      </c>
      <c r="D39" s="216"/>
      <c r="E39" s="216">
        <v>2010.55</v>
      </c>
      <c r="F39" s="216"/>
      <c r="G39" s="220">
        <f t="shared" si="1"/>
        <v>2010.55</v>
      </c>
      <c r="H39" s="220">
        <f t="shared" si="2"/>
        <v>2010.55</v>
      </c>
      <c r="I39" s="221">
        <v>37</v>
      </c>
      <c r="J39" s="222" t="s">
        <v>6978</v>
      </c>
      <c r="K39" s="44" t="str">
        <f t="shared" si="0"/>
        <v>VICTOIRE - 37</v>
      </c>
      <c r="L39" s="44" t="e">
        <f>+VLOOKUP(K39,TL[],4,FALSE)</f>
        <v>#N/A</v>
      </c>
    </row>
    <row r="40" spans="1:12" x14ac:dyDescent="0.2">
      <c r="A40" s="213">
        <v>38</v>
      </c>
      <c r="B40" s="44" t="s">
        <v>3027</v>
      </c>
      <c r="C40" s="216">
        <v>6110</v>
      </c>
      <c r="D40" s="216"/>
      <c r="E40" s="216">
        <v>6110</v>
      </c>
      <c r="F40" s="216"/>
      <c r="G40" s="220">
        <f t="shared" si="1"/>
        <v>6110</v>
      </c>
      <c r="H40" s="220">
        <f t="shared" si="2"/>
        <v>6110</v>
      </c>
      <c r="I40" s="221">
        <v>38</v>
      </c>
      <c r="J40" s="222" t="s">
        <v>6978</v>
      </c>
      <c r="K40" s="44" t="str">
        <f t="shared" si="0"/>
        <v>VICTOIRE - 38</v>
      </c>
      <c r="L40" s="44" t="e">
        <f>+VLOOKUP(K40,TL[],4,FALSE)</f>
        <v>#N/A</v>
      </c>
    </row>
    <row r="41" spans="1:12" x14ac:dyDescent="0.2">
      <c r="A41" s="213">
        <v>39</v>
      </c>
      <c r="B41" s="44" t="s">
        <v>2990</v>
      </c>
      <c r="C41" s="216">
        <v>218.56</v>
      </c>
      <c r="D41" s="216"/>
      <c r="E41" s="216">
        <v>218.56</v>
      </c>
      <c r="F41" s="216"/>
      <c r="G41" s="220">
        <f t="shared" si="1"/>
        <v>218.56</v>
      </c>
      <c r="H41" s="220">
        <f t="shared" si="2"/>
        <v>218.56</v>
      </c>
      <c r="I41" s="221">
        <v>39</v>
      </c>
      <c r="J41" s="222" t="s">
        <v>6978</v>
      </c>
      <c r="K41" s="44" t="str">
        <f t="shared" si="0"/>
        <v>VICTOIRE - 39</v>
      </c>
      <c r="L41" s="44" t="e">
        <f>+VLOOKUP(K41,TL[],4,FALSE)</f>
        <v>#N/A</v>
      </c>
    </row>
    <row r="42" spans="1:12" x14ac:dyDescent="0.2">
      <c r="A42" s="213">
        <v>40</v>
      </c>
      <c r="B42" s="44" t="s">
        <v>3029</v>
      </c>
      <c r="C42" s="216">
        <v>2121.58</v>
      </c>
      <c r="D42" s="216"/>
      <c r="E42" s="216">
        <v>2121.58</v>
      </c>
      <c r="F42" s="216"/>
      <c r="G42" s="220">
        <f t="shared" si="1"/>
        <v>2121.58</v>
      </c>
      <c r="H42" s="220">
        <f t="shared" si="2"/>
        <v>2121.58</v>
      </c>
      <c r="I42" s="221">
        <v>40</v>
      </c>
      <c r="J42" s="222" t="s">
        <v>6978</v>
      </c>
      <c r="K42" s="44" t="str">
        <f t="shared" si="0"/>
        <v>VICTOIRE - 40</v>
      </c>
      <c r="L42" s="44" t="e">
        <f>+VLOOKUP(K42,TL[],4,FALSE)</f>
        <v>#N/A</v>
      </c>
    </row>
    <row r="43" spans="1:12" x14ac:dyDescent="0.2">
      <c r="A43" s="213">
        <v>41.1</v>
      </c>
      <c r="B43" s="44" t="s">
        <v>64</v>
      </c>
      <c r="C43" s="216">
        <v>3117.88</v>
      </c>
      <c r="D43" s="216"/>
      <c r="E43" s="216">
        <v>3117.88</v>
      </c>
      <c r="F43" s="216"/>
      <c r="G43" s="220">
        <f>-SUM(C43)+SUM(D43)</f>
        <v>-3117.88</v>
      </c>
      <c r="H43" s="220">
        <f>-SUM(E43)+SUM(F43)</f>
        <v>-3117.88</v>
      </c>
      <c r="I43" s="221" t="s">
        <v>2991</v>
      </c>
      <c r="J43" s="222" t="s">
        <v>6978</v>
      </c>
      <c r="K43" s="44" t="str">
        <f t="shared" si="0"/>
        <v>VICTOIRE - 41,1</v>
      </c>
      <c r="L43" s="44" t="e">
        <f>+VLOOKUP(K43,TL[],4,FALSE)</f>
        <v>#N/A</v>
      </c>
    </row>
    <row r="44" spans="1:12" x14ac:dyDescent="0.2">
      <c r="A44" s="213">
        <v>41.2</v>
      </c>
      <c r="B44" s="44" t="s">
        <v>151</v>
      </c>
      <c r="C44" s="216">
        <v>2975.81</v>
      </c>
      <c r="D44" s="216"/>
      <c r="E44" s="216">
        <v>2975.81</v>
      </c>
      <c r="F44" s="216"/>
      <c r="G44" s="220">
        <f t="shared" si="1"/>
        <v>2975.81</v>
      </c>
      <c r="H44" s="220">
        <f t="shared" si="2"/>
        <v>2975.81</v>
      </c>
      <c r="I44" s="221" t="s">
        <v>2992</v>
      </c>
      <c r="J44" s="222" t="s">
        <v>6978</v>
      </c>
      <c r="K44" s="44" t="str">
        <f t="shared" si="0"/>
        <v>VICTOIRE - 41,2</v>
      </c>
      <c r="L44" s="44" t="e">
        <f>+VLOOKUP(K44,TL[],4,FALSE)</f>
        <v>#N/A</v>
      </c>
    </row>
    <row r="45" spans="1:12" x14ac:dyDescent="0.2">
      <c r="A45" s="213">
        <v>41</v>
      </c>
      <c r="B45" s="44" t="s">
        <v>3031</v>
      </c>
      <c r="C45" s="216">
        <v>142.07000000000016</v>
      </c>
      <c r="D45" s="216"/>
      <c r="E45" s="216">
        <v>142.07000000000016</v>
      </c>
      <c r="F45" s="216"/>
      <c r="G45" s="220">
        <f t="shared" si="1"/>
        <v>142.07000000000016</v>
      </c>
      <c r="H45" s="220">
        <f t="shared" si="2"/>
        <v>142.07000000000016</v>
      </c>
      <c r="I45" s="221">
        <v>41</v>
      </c>
      <c r="J45" s="222" t="s">
        <v>6978</v>
      </c>
      <c r="K45" s="44" t="str">
        <f t="shared" si="0"/>
        <v>VICTOIRE - 41</v>
      </c>
      <c r="L45" s="44" t="e">
        <f>+VLOOKUP(K45,TL[],4,FALSE)</f>
        <v>#N/A</v>
      </c>
    </row>
    <row r="46" spans="1:12" x14ac:dyDescent="0.2">
      <c r="A46" s="213">
        <v>42</v>
      </c>
      <c r="B46" s="44" t="s">
        <v>3032</v>
      </c>
      <c r="C46" s="216">
        <v>12.74</v>
      </c>
      <c r="D46" s="216"/>
      <c r="E46" s="216">
        <v>12.74</v>
      </c>
      <c r="F46" s="216"/>
      <c r="G46" s="220">
        <f t="shared" si="1"/>
        <v>12.74</v>
      </c>
      <c r="H46" s="220">
        <f t="shared" si="2"/>
        <v>12.74</v>
      </c>
      <c r="I46" s="221">
        <v>42</v>
      </c>
      <c r="J46" s="222" t="s">
        <v>6978</v>
      </c>
      <c r="K46" s="44" t="str">
        <f t="shared" si="0"/>
        <v>VICTOIRE - 42</v>
      </c>
      <c r="L46" s="44" t="e">
        <f>+VLOOKUP(K46,TL[],4,FALSE)</f>
        <v>#N/A</v>
      </c>
    </row>
    <row r="47" spans="1:12" x14ac:dyDescent="0.2">
      <c r="A47" s="213">
        <v>43</v>
      </c>
      <c r="B47" s="44" t="s">
        <v>3033</v>
      </c>
      <c r="C47" s="216">
        <v>17311.400000000005</v>
      </c>
      <c r="D47" s="216"/>
      <c r="E47" s="216">
        <v>17311.400000000005</v>
      </c>
      <c r="F47" s="216"/>
      <c r="G47" s="220">
        <f t="shared" si="1"/>
        <v>17311.400000000005</v>
      </c>
      <c r="H47" s="220">
        <f t="shared" si="2"/>
        <v>17311.400000000005</v>
      </c>
      <c r="I47" s="221">
        <v>43</v>
      </c>
      <c r="J47" s="222" t="s">
        <v>6978</v>
      </c>
      <c r="K47" s="44" t="str">
        <f t="shared" si="0"/>
        <v>VICTOIRE - 43</v>
      </c>
      <c r="L47" s="44" t="e">
        <f>+VLOOKUP(K47,TL[],4,FALSE)</f>
        <v>#N/A</v>
      </c>
    </row>
    <row r="48" spans="1:12" x14ac:dyDescent="0.2">
      <c r="A48" s="213">
        <v>44</v>
      </c>
      <c r="B48" s="44" t="s">
        <v>3034</v>
      </c>
      <c r="C48" s="216">
        <v>23652.700000000008</v>
      </c>
      <c r="D48" s="216"/>
      <c r="E48" s="216">
        <v>23652.700000000008</v>
      </c>
      <c r="F48" s="216"/>
      <c r="G48" s="220">
        <f t="shared" si="1"/>
        <v>23652.700000000008</v>
      </c>
      <c r="H48" s="220">
        <f t="shared" si="2"/>
        <v>23652.700000000008</v>
      </c>
      <c r="I48" s="221">
        <v>44</v>
      </c>
      <c r="J48" s="222" t="s">
        <v>6978</v>
      </c>
      <c r="K48" s="44" t="str">
        <f t="shared" si="0"/>
        <v>VICTOIRE - 44</v>
      </c>
      <c r="L48" s="44" t="e">
        <f>+VLOOKUP(K48,TL[],4,FALSE)</f>
        <v>#N/A</v>
      </c>
    </row>
    <row r="49" spans="1:12" x14ac:dyDescent="0.2">
      <c r="A49" s="213">
        <v>45</v>
      </c>
      <c r="B49" s="44" t="s">
        <v>2996</v>
      </c>
      <c r="C49" s="216"/>
      <c r="D49" s="216"/>
      <c r="E49" s="216"/>
      <c r="F49" s="216"/>
      <c r="G49" s="220">
        <f t="shared" si="1"/>
        <v>0</v>
      </c>
      <c r="H49" s="220">
        <f t="shared" si="2"/>
        <v>0</v>
      </c>
      <c r="I49" s="221">
        <v>45</v>
      </c>
      <c r="J49" s="222" t="s">
        <v>6978</v>
      </c>
      <c r="K49" s="44" t="str">
        <f t="shared" si="0"/>
        <v>VICTOIRE - 45</v>
      </c>
      <c r="L49" s="44" t="e">
        <f>+VLOOKUP(K49,TL[],4,FALSE)</f>
        <v>#N/A</v>
      </c>
    </row>
    <row r="50" spans="1:12" x14ac:dyDescent="0.2">
      <c r="A50" s="213">
        <v>46</v>
      </c>
      <c r="B50" s="44" t="s">
        <v>3035</v>
      </c>
      <c r="C50" s="216">
        <v>18396</v>
      </c>
      <c r="D50" s="216"/>
      <c r="E50" s="216">
        <v>18396</v>
      </c>
      <c r="F50" s="216"/>
      <c r="G50" s="220">
        <f t="shared" si="1"/>
        <v>18396</v>
      </c>
      <c r="H50" s="220">
        <f t="shared" si="2"/>
        <v>18396</v>
      </c>
      <c r="I50" s="221">
        <v>46</v>
      </c>
      <c r="J50" s="222" t="s">
        <v>6978</v>
      </c>
      <c r="K50" s="44" t="str">
        <f t="shared" si="0"/>
        <v>VICTOIRE - 46</v>
      </c>
      <c r="L50" s="44" t="e">
        <f>+VLOOKUP(K50,TL[],4,FALSE)</f>
        <v>#N/A</v>
      </c>
    </row>
    <row r="51" spans="1:12" x14ac:dyDescent="0.2">
      <c r="A51" s="213">
        <v>47</v>
      </c>
      <c r="B51" s="44" t="s">
        <v>3036</v>
      </c>
      <c r="C51" s="216">
        <v>-1084.5999999999949</v>
      </c>
      <c r="D51" s="216"/>
      <c r="E51" s="216">
        <v>-1084.5999999999949</v>
      </c>
      <c r="F51" s="216"/>
      <c r="G51" s="220">
        <f t="shared" si="1"/>
        <v>-1084.5999999999949</v>
      </c>
      <c r="H51" s="220">
        <f t="shared" si="2"/>
        <v>-1084.5999999999949</v>
      </c>
      <c r="I51" s="221">
        <v>47</v>
      </c>
      <c r="J51" s="222" t="s">
        <v>6978</v>
      </c>
      <c r="K51" s="44" t="str">
        <f t="shared" si="0"/>
        <v>VICTOIRE - 47</v>
      </c>
      <c r="L51" s="44" t="e">
        <f>+VLOOKUP(K51,TL[],4,FALSE)</f>
        <v>#N/A</v>
      </c>
    </row>
    <row r="52" spans="1:12" x14ac:dyDescent="0.2">
      <c r="A52" s="213">
        <v>48</v>
      </c>
      <c r="B52" s="44" t="s">
        <v>357</v>
      </c>
      <c r="C52" s="216">
        <v>-397.69</v>
      </c>
      <c r="D52" s="216"/>
      <c r="E52" s="216">
        <v>-397.69</v>
      </c>
      <c r="F52" s="216"/>
      <c r="G52" s="220">
        <f t="shared" si="1"/>
        <v>-397.69</v>
      </c>
      <c r="H52" s="220">
        <f t="shared" si="2"/>
        <v>-397.69</v>
      </c>
      <c r="I52" s="221">
        <v>48</v>
      </c>
      <c r="J52" s="222" t="s">
        <v>6978</v>
      </c>
      <c r="K52" s="44" t="str">
        <f t="shared" si="0"/>
        <v>VICTOIRE - 48</v>
      </c>
      <c r="L52" s="44" t="e">
        <f>+VLOOKUP(K52,TL[],4,FALSE)</f>
        <v>#N/A</v>
      </c>
    </row>
    <row r="53" spans="1:12" x14ac:dyDescent="0.2">
      <c r="A53" s="213">
        <v>49</v>
      </c>
      <c r="B53" s="44" t="s">
        <v>3038</v>
      </c>
      <c r="C53" s="216">
        <v>-686.90999999999485</v>
      </c>
      <c r="D53" s="216"/>
      <c r="E53" s="216">
        <v>-686.90999999999485</v>
      </c>
      <c r="F53" s="216"/>
      <c r="G53" s="220">
        <f t="shared" si="1"/>
        <v>-686.90999999999485</v>
      </c>
      <c r="H53" s="220">
        <f t="shared" si="2"/>
        <v>-686.90999999999485</v>
      </c>
      <c r="I53" s="221">
        <v>49</v>
      </c>
      <c r="J53" s="222" t="s">
        <v>6978</v>
      </c>
      <c r="K53" s="44" t="str">
        <f t="shared" si="0"/>
        <v>VICTOIRE - 49</v>
      </c>
      <c r="L53" s="44" t="e">
        <f>+VLOOKUP(K53,TL[],4,FALSE)</f>
        <v>#N/A</v>
      </c>
    </row>
    <row r="54" spans="1:12" x14ac:dyDescent="0.2">
      <c r="C54" s="216"/>
      <c r="D54" s="216"/>
      <c r="E54" s="216"/>
      <c r="F54" s="216"/>
      <c r="G54" s="220"/>
      <c r="H54" s="220"/>
      <c r="I54" s="221"/>
      <c r="J54" s="222" t="str">
        <f t="shared" ref="J54:J117" si="3">LEFT(A54,1)</f>
        <v/>
      </c>
      <c r="K54" s="44" t="str">
        <f t="shared" si="0"/>
        <v xml:space="preserve">VICTOIRE - </v>
      </c>
      <c r="L54" s="44" t="e">
        <f>+VLOOKUP(K54,TL[],4,FALSE)</f>
        <v>#N/A</v>
      </c>
    </row>
    <row r="55" spans="1:12" x14ac:dyDescent="0.2">
      <c r="C55" s="216"/>
      <c r="D55" s="216"/>
      <c r="E55" s="216"/>
      <c r="F55" s="216"/>
      <c r="G55" s="220"/>
      <c r="H55" s="220"/>
      <c r="I55" s="221"/>
      <c r="J55" s="222" t="str">
        <f t="shared" si="3"/>
        <v/>
      </c>
      <c r="K55" s="44" t="str">
        <f t="shared" si="0"/>
        <v xml:space="preserve">VICTOIRE - </v>
      </c>
      <c r="L55" s="44" t="e">
        <f>+VLOOKUP(K55,TL[],4,FALSE)</f>
        <v>#N/A</v>
      </c>
    </row>
    <row r="56" spans="1:12" x14ac:dyDescent="0.2">
      <c r="C56" s="216"/>
      <c r="D56" s="216"/>
      <c r="E56" s="216"/>
      <c r="F56" s="216"/>
      <c r="G56" s="220"/>
      <c r="H56" s="220"/>
      <c r="I56" s="221"/>
      <c r="J56" s="222" t="str">
        <f t="shared" si="3"/>
        <v/>
      </c>
      <c r="K56" s="44" t="str">
        <f t="shared" si="0"/>
        <v xml:space="preserve">VICTOIRE - </v>
      </c>
      <c r="L56" s="44" t="e">
        <f>+VLOOKUP(K56,TL[],4,FALSE)</f>
        <v>#N/A</v>
      </c>
    </row>
    <row r="57" spans="1:12" x14ac:dyDescent="0.2">
      <c r="C57" s="216"/>
      <c r="D57" s="216"/>
      <c r="E57" s="216"/>
      <c r="F57" s="216"/>
      <c r="G57" s="220"/>
      <c r="H57" s="220"/>
      <c r="I57" s="221"/>
      <c r="J57" s="222" t="str">
        <f t="shared" si="3"/>
        <v/>
      </c>
      <c r="K57" s="44" t="str">
        <f t="shared" si="0"/>
        <v xml:space="preserve">VICTOIRE - </v>
      </c>
      <c r="L57" s="44" t="e">
        <f>+VLOOKUP(K57,TL[],4,FALSE)</f>
        <v>#N/A</v>
      </c>
    </row>
    <row r="58" spans="1:12" x14ac:dyDescent="0.2">
      <c r="C58" s="216"/>
      <c r="D58" s="216"/>
      <c r="E58" s="216"/>
      <c r="F58" s="216"/>
      <c r="G58" s="220"/>
      <c r="H58" s="220"/>
      <c r="I58" s="221"/>
      <c r="J58" s="222" t="str">
        <f t="shared" si="3"/>
        <v/>
      </c>
      <c r="K58" s="44" t="str">
        <f t="shared" si="0"/>
        <v xml:space="preserve">VICTOIRE - </v>
      </c>
      <c r="L58" s="44" t="e">
        <f>+VLOOKUP(K58,TL[],4,FALSE)</f>
        <v>#N/A</v>
      </c>
    </row>
    <row r="59" spans="1:12" x14ac:dyDescent="0.2">
      <c r="C59" s="216"/>
      <c r="D59" s="216"/>
      <c r="E59" s="216"/>
      <c r="F59" s="216"/>
      <c r="G59" s="220"/>
      <c r="H59" s="220"/>
      <c r="I59" s="221"/>
      <c r="J59" s="222" t="str">
        <f t="shared" si="3"/>
        <v/>
      </c>
      <c r="K59" s="44" t="str">
        <f t="shared" si="0"/>
        <v xml:space="preserve">VICTOIRE - </v>
      </c>
      <c r="L59" s="44" t="e">
        <f>+VLOOKUP(K59,TL[],4,FALSE)</f>
        <v>#N/A</v>
      </c>
    </row>
    <row r="60" spans="1:12" x14ac:dyDescent="0.2">
      <c r="C60" s="216"/>
      <c r="D60" s="216"/>
      <c r="E60" s="216"/>
      <c r="F60" s="216"/>
      <c r="G60" s="220"/>
      <c r="H60" s="220"/>
      <c r="I60" s="221"/>
      <c r="J60" s="222" t="str">
        <f t="shared" si="3"/>
        <v/>
      </c>
      <c r="K60" s="44" t="str">
        <f t="shared" si="0"/>
        <v xml:space="preserve">VICTOIRE - </v>
      </c>
      <c r="L60" s="44" t="e">
        <f>+VLOOKUP(K60,TL[],4,FALSE)</f>
        <v>#N/A</v>
      </c>
    </row>
    <row r="61" spans="1:12" x14ac:dyDescent="0.2">
      <c r="C61" s="216"/>
      <c r="D61" s="216"/>
      <c r="E61" s="216"/>
      <c r="F61" s="216"/>
      <c r="G61" s="220"/>
      <c r="H61" s="220"/>
      <c r="I61" s="221"/>
      <c r="J61" s="222" t="str">
        <f t="shared" si="3"/>
        <v/>
      </c>
      <c r="K61" s="44" t="str">
        <f t="shared" si="0"/>
        <v xml:space="preserve">VICTOIRE - </v>
      </c>
      <c r="L61" s="44" t="e">
        <f>+VLOOKUP(K61,TL[],4,FALSE)</f>
        <v>#N/A</v>
      </c>
    </row>
    <row r="62" spans="1:12" x14ac:dyDescent="0.2">
      <c r="C62" s="216"/>
      <c r="D62" s="216"/>
      <c r="E62" s="216"/>
      <c r="F62" s="216"/>
      <c r="G62" s="220"/>
      <c r="H62" s="220"/>
      <c r="I62" s="221"/>
      <c r="J62" s="222" t="str">
        <f t="shared" si="3"/>
        <v/>
      </c>
      <c r="K62" s="44" t="str">
        <f t="shared" si="0"/>
        <v xml:space="preserve">VICTOIRE - </v>
      </c>
      <c r="L62" s="44" t="e">
        <f>+VLOOKUP(K62,TL[],4,FALSE)</f>
        <v>#N/A</v>
      </c>
    </row>
    <row r="63" spans="1:12" x14ac:dyDescent="0.2">
      <c r="C63" s="216"/>
      <c r="D63" s="216"/>
      <c r="E63" s="216"/>
      <c r="F63" s="216"/>
      <c r="G63" s="220"/>
      <c r="H63" s="220"/>
      <c r="I63" s="221"/>
      <c r="J63" s="222" t="str">
        <f t="shared" si="3"/>
        <v/>
      </c>
      <c r="K63" s="44" t="str">
        <f t="shared" si="0"/>
        <v xml:space="preserve">VICTOIRE - </v>
      </c>
      <c r="L63" s="44" t="e">
        <f>+VLOOKUP(K63,TL[],4,FALSE)</f>
        <v>#N/A</v>
      </c>
    </row>
    <row r="64" spans="1:12" x14ac:dyDescent="0.2">
      <c r="C64" s="216"/>
      <c r="D64" s="216"/>
      <c r="E64" s="216"/>
      <c r="F64" s="216"/>
      <c r="G64" s="220"/>
      <c r="H64" s="220"/>
      <c r="I64" s="221"/>
      <c r="J64" s="222" t="str">
        <f t="shared" si="3"/>
        <v/>
      </c>
      <c r="K64" s="44" t="str">
        <f t="shared" si="0"/>
        <v xml:space="preserve">VICTOIRE - </v>
      </c>
      <c r="L64" s="44" t="e">
        <f>+VLOOKUP(K64,TL[],4,FALSE)</f>
        <v>#N/A</v>
      </c>
    </row>
    <row r="65" spans="3:12" x14ac:dyDescent="0.2">
      <c r="C65" s="216"/>
      <c r="D65" s="216"/>
      <c r="E65" s="216"/>
      <c r="F65" s="216"/>
      <c r="G65" s="220"/>
      <c r="H65" s="220"/>
      <c r="I65" s="221"/>
      <c r="J65" s="222" t="str">
        <f t="shared" si="3"/>
        <v/>
      </c>
      <c r="K65" s="44" t="str">
        <f t="shared" si="0"/>
        <v xml:space="preserve">VICTOIRE - </v>
      </c>
      <c r="L65" s="44" t="e">
        <f>+VLOOKUP(K65,TL[],4,FALSE)</f>
        <v>#N/A</v>
      </c>
    </row>
    <row r="66" spans="3:12" x14ac:dyDescent="0.2">
      <c r="C66" s="216"/>
      <c r="D66" s="216"/>
      <c r="E66" s="216"/>
      <c r="F66" s="216"/>
      <c r="G66" s="220"/>
      <c r="H66" s="220"/>
      <c r="I66" s="221"/>
      <c r="J66" s="222" t="str">
        <f t="shared" si="3"/>
        <v/>
      </c>
      <c r="K66" s="44" t="str">
        <f t="shared" si="0"/>
        <v xml:space="preserve">VICTOIRE - </v>
      </c>
      <c r="L66" s="44" t="e">
        <f>+VLOOKUP(K66,TL[],4,FALSE)</f>
        <v>#N/A</v>
      </c>
    </row>
    <row r="67" spans="3:12" x14ac:dyDescent="0.2">
      <c r="C67" s="216"/>
      <c r="D67" s="216"/>
      <c r="E67" s="216"/>
      <c r="F67" s="216"/>
      <c r="G67" s="220"/>
      <c r="H67" s="220"/>
      <c r="I67" s="221"/>
      <c r="J67" s="222" t="str">
        <f t="shared" si="3"/>
        <v/>
      </c>
      <c r="K67" s="44" t="str">
        <f t="shared" ref="K67:K130" si="4">"VICTOIRE"&amp;" - "&amp;A67</f>
        <v xml:space="preserve">VICTOIRE - </v>
      </c>
      <c r="L67" s="44" t="e">
        <f>+VLOOKUP(K67,TL[],4,FALSE)</f>
        <v>#N/A</v>
      </c>
    </row>
    <row r="68" spans="3:12" x14ac:dyDescent="0.2">
      <c r="C68" s="216"/>
      <c r="D68" s="216"/>
      <c r="E68" s="216"/>
      <c r="F68" s="216"/>
      <c r="G68" s="220"/>
      <c r="H68" s="220"/>
      <c r="I68" s="221"/>
      <c r="J68" s="222" t="str">
        <f t="shared" si="3"/>
        <v/>
      </c>
      <c r="K68" s="44" t="str">
        <f t="shared" si="4"/>
        <v xml:space="preserve">VICTOIRE - </v>
      </c>
      <c r="L68" s="44" t="e">
        <f>+VLOOKUP(K68,TL[],4,FALSE)</f>
        <v>#N/A</v>
      </c>
    </row>
    <row r="69" spans="3:12" x14ac:dyDescent="0.2">
      <c r="C69" s="216"/>
      <c r="D69" s="216"/>
      <c r="E69" s="216"/>
      <c r="F69" s="216"/>
      <c r="G69" s="220"/>
      <c r="H69" s="220"/>
      <c r="I69" s="221"/>
      <c r="J69" s="222" t="str">
        <f t="shared" si="3"/>
        <v/>
      </c>
      <c r="K69" s="44" t="str">
        <f t="shared" si="4"/>
        <v xml:space="preserve">VICTOIRE - </v>
      </c>
      <c r="L69" s="44" t="e">
        <f>+VLOOKUP(K69,TL[],4,FALSE)</f>
        <v>#N/A</v>
      </c>
    </row>
    <row r="70" spans="3:12" x14ac:dyDescent="0.2">
      <c r="C70" s="216"/>
      <c r="D70" s="216"/>
      <c r="E70" s="216"/>
      <c r="F70" s="216"/>
      <c r="G70" s="220"/>
      <c r="H70" s="220"/>
      <c r="I70" s="221"/>
      <c r="J70" s="222" t="str">
        <f t="shared" si="3"/>
        <v/>
      </c>
      <c r="K70" s="44" t="str">
        <f t="shared" si="4"/>
        <v xml:space="preserve">VICTOIRE - </v>
      </c>
      <c r="L70" s="44" t="e">
        <f>+VLOOKUP(K70,TL[],4,FALSE)</f>
        <v>#N/A</v>
      </c>
    </row>
    <row r="71" spans="3:12" x14ac:dyDescent="0.2">
      <c r="C71" s="216"/>
      <c r="D71" s="216"/>
      <c r="E71" s="216"/>
      <c r="F71" s="216"/>
      <c r="G71" s="220"/>
      <c r="H71" s="220"/>
      <c r="I71" s="221"/>
      <c r="J71" s="222" t="str">
        <f t="shared" si="3"/>
        <v/>
      </c>
      <c r="K71" s="44" t="str">
        <f t="shared" si="4"/>
        <v xml:space="preserve">VICTOIRE - </v>
      </c>
      <c r="L71" s="44" t="e">
        <f>+VLOOKUP(K71,TL[],4,FALSE)</f>
        <v>#N/A</v>
      </c>
    </row>
    <row r="72" spans="3:12" x14ac:dyDescent="0.2">
      <c r="C72" s="216"/>
      <c r="D72" s="216"/>
      <c r="E72" s="216"/>
      <c r="F72" s="216"/>
      <c r="G72" s="220"/>
      <c r="H72" s="220"/>
      <c r="I72" s="221"/>
      <c r="J72" s="222" t="str">
        <f t="shared" si="3"/>
        <v/>
      </c>
      <c r="K72" s="44" t="str">
        <f t="shared" si="4"/>
        <v xml:space="preserve">VICTOIRE - </v>
      </c>
      <c r="L72" s="44" t="e">
        <f>+VLOOKUP(K72,TL[],4,FALSE)</f>
        <v>#N/A</v>
      </c>
    </row>
    <row r="73" spans="3:12" x14ac:dyDescent="0.2">
      <c r="C73" s="216"/>
      <c r="D73" s="216"/>
      <c r="E73" s="216"/>
      <c r="F73" s="216"/>
      <c r="G73" s="220"/>
      <c r="H73" s="220"/>
      <c r="I73" s="221"/>
      <c r="J73" s="222" t="str">
        <f t="shared" si="3"/>
        <v/>
      </c>
      <c r="K73" s="44" t="str">
        <f t="shared" si="4"/>
        <v xml:space="preserve">VICTOIRE - </v>
      </c>
      <c r="L73" s="44" t="e">
        <f>+VLOOKUP(K73,TL[],4,FALSE)</f>
        <v>#N/A</v>
      </c>
    </row>
    <row r="74" spans="3:12" x14ac:dyDescent="0.2">
      <c r="C74" s="216"/>
      <c r="D74" s="216"/>
      <c r="E74" s="216"/>
      <c r="F74" s="216"/>
      <c r="G74" s="220"/>
      <c r="H74" s="220"/>
      <c r="I74" s="221"/>
      <c r="J74" s="222" t="str">
        <f t="shared" si="3"/>
        <v/>
      </c>
      <c r="K74" s="44" t="str">
        <f t="shared" si="4"/>
        <v xml:space="preserve">VICTOIRE - </v>
      </c>
      <c r="L74" s="44" t="e">
        <f>+VLOOKUP(K74,TL[],4,FALSE)</f>
        <v>#N/A</v>
      </c>
    </row>
    <row r="75" spans="3:12" x14ac:dyDescent="0.2">
      <c r="C75" s="216"/>
      <c r="D75" s="216"/>
      <c r="E75" s="216"/>
      <c r="F75" s="216"/>
      <c r="G75" s="220"/>
      <c r="H75" s="220"/>
      <c r="I75" s="221"/>
      <c r="J75" s="222" t="str">
        <f t="shared" si="3"/>
        <v/>
      </c>
      <c r="K75" s="44" t="str">
        <f t="shared" si="4"/>
        <v xml:space="preserve">VICTOIRE - </v>
      </c>
      <c r="L75" s="44" t="e">
        <f>+VLOOKUP(K75,TL[],4,FALSE)</f>
        <v>#N/A</v>
      </c>
    </row>
    <row r="76" spans="3:12" x14ac:dyDescent="0.2">
      <c r="C76" s="216"/>
      <c r="D76" s="216"/>
      <c r="E76" s="216"/>
      <c r="F76" s="216"/>
      <c r="G76" s="220"/>
      <c r="H76" s="220"/>
      <c r="I76" s="221"/>
      <c r="J76" s="222" t="str">
        <f t="shared" si="3"/>
        <v/>
      </c>
      <c r="K76" s="44" t="str">
        <f t="shared" si="4"/>
        <v xml:space="preserve">VICTOIRE - </v>
      </c>
      <c r="L76" s="44" t="e">
        <f>+VLOOKUP(K76,TL[],4,FALSE)</f>
        <v>#N/A</v>
      </c>
    </row>
    <row r="77" spans="3:12" x14ac:dyDescent="0.2">
      <c r="C77" s="216"/>
      <c r="D77" s="216"/>
      <c r="E77" s="216"/>
      <c r="F77" s="216"/>
      <c r="G77" s="220"/>
      <c r="H77" s="220"/>
      <c r="I77" s="221"/>
      <c r="J77" s="222" t="str">
        <f t="shared" si="3"/>
        <v/>
      </c>
      <c r="K77" s="44" t="str">
        <f t="shared" si="4"/>
        <v xml:space="preserve">VICTOIRE - </v>
      </c>
      <c r="L77" s="44" t="e">
        <f>+VLOOKUP(K77,TL[],4,FALSE)</f>
        <v>#N/A</v>
      </c>
    </row>
    <row r="78" spans="3:12" x14ac:dyDescent="0.2">
      <c r="C78" s="216"/>
      <c r="D78" s="216"/>
      <c r="E78" s="216"/>
      <c r="F78" s="216"/>
      <c r="G78" s="220"/>
      <c r="H78" s="220"/>
      <c r="I78" s="221"/>
      <c r="J78" s="222" t="str">
        <f t="shared" si="3"/>
        <v/>
      </c>
      <c r="K78" s="44" t="str">
        <f t="shared" si="4"/>
        <v xml:space="preserve">VICTOIRE - </v>
      </c>
      <c r="L78" s="44" t="e">
        <f>+VLOOKUP(K78,TL[],4,FALSE)</f>
        <v>#N/A</v>
      </c>
    </row>
    <row r="79" spans="3:12" x14ac:dyDescent="0.2">
      <c r="C79" s="216"/>
      <c r="D79" s="216"/>
      <c r="E79" s="216"/>
      <c r="F79" s="216"/>
      <c r="G79" s="220"/>
      <c r="H79" s="220"/>
      <c r="I79" s="221"/>
      <c r="J79" s="222" t="str">
        <f t="shared" si="3"/>
        <v/>
      </c>
      <c r="K79" s="44" t="str">
        <f t="shared" si="4"/>
        <v xml:space="preserve">VICTOIRE - </v>
      </c>
      <c r="L79" s="44" t="e">
        <f>+VLOOKUP(K79,TL[],4,FALSE)</f>
        <v>#N/A</v>
      </c>
    </row>
    <row r="80" spans="3:12" x14ac:dyDescent="0.2">
      <c r="C80" s="216"/>
      <c r="D80" s="216"/>
      <c r="E80" s="216"/>
      <c r="F80" s="216"/>
      <c r="G80" s="220"/>
      <c r="H80" s="220"/>
      <c r="I80" s="221"/>
      <c r="J80" s="222" t="str">
        <f t="shared" si="3"/>
        <v/>
      </c>
      <c r="K80" s="44" t="str">
        <f t="shared" si="4"/>
        <v xml:space="preserve">VICTOIRE - </v>
      </c>
      <c r="L80" s="44" t="e">
        <f>+VLOOKUP(K80,TL[],4,FALSE)</f>
        <v>#N/A</v>
      </c>
    </row>
    <row r="81" spans="3:12" x14ac:dyDescent="0.2">
      <c r="C81" s="216"/>
      <c r="D81" s="216"/>
      <c r="E81" s="216"/>
      <c r="F81" s="216"/>
      <c r="G81" s="220"/>
      <c r="H81" s="220"/>
      <c r="I81" s="221"/>
      <c r="J81" s="222" t="str">
        <f t="shared" si="3"/>
        <v/>
      </c>
      <c r="K81" s="44" t="str">
        <f t="shared" si="4"/>
        <v xml:space="preserve">VICTOIRE - </v>
      </c>
      <c r="L81" s="44" t="e">
        <f>+VLOOKUP(K81,TL[],4,FALSE)</f>
        <v>#N/A</v>
      </c>
    </row>
    <row r="82" spans="3:12" x14ac:dyDescent="0.2">
      <c r="C82" s="216"/>
      <c r="D82" s="216"/>
      <c r="E82" s="216"/>
      <c r="F82" s="216"/>
      <c r="G82" s="220"/>
      <c r="H82" s="220"/>
      <c r="I82" s="221"/>
      <c r="J82" s="222" t="str">
        <f t="shared" si="3"/>
        <v/>
      </c>
      <c r="K82" s="44" t="str">
        <f t="shared" si="4"/>
        <v xml:space="preserve">VICTOIRE - </v>
      </c>
      <c r="L82" s="44" t="e">
        <f>+VLOOKUP(K82,TL[],4,FALSE)</f>
        <v>#N/A</v>
      </c>
    </row>
    <row r="83" spans="3:12" x14ac:dyDescent="0.2">
      <c r="C83" s="216"/>
      <c r="D83" s="216"/>
      <c r="E83" s="216"/>
      <c r="F83" s="216"/>
      <c r="G83" s="220"/>
      <c r="H83" s="220"/>
      <c r="I83" s="221"/>
      <c r="J83" s="222" t="str">
        <f t="shared" si="3"/>
        <v/>
      </c>
      <c r="K83" s="44" t="str">
        <f t="shared" si="4"/>
        <v xml:space="preserve">VICTOIRE - </v>
      </c>
      <c r="L83" s="44" t="e">
        <f>+VLOOKUP(K83,TL[],4,FALSE)</f>
        <v>#N/A</v>
      </c>
    </row>
    <row r="84" spans="3:12" x14ac:dyDescent="0.2">
      <c r="C84" s="216"/>
      <c r="D84" s="216"/>
      <c r="E84" s="216"/>
      <c r="F84" s="216"/>
      <c r="G84" s="220"/>
      <c r="H84" s="220"/>
      <c r="I84" s="221"/>
      <c r="J84" s="222" t="str">
        <f t="shared" si="3"/>
        <v/>
      </c>
      <c r="K84" s="44" t="str">
        <f t="shared" si="4"/>
        <v xml:space="preserve">VICTOIRE - </v>
      </c>
      <c r="L84" s="44" t="e">
        <f>+VLOOKUP(K84,TL[],4,FALSE)</f>
        <v>#N/A</v>
      </c>
    </row>
    <row r="85" spans="3:12" x14ac:dyDescent="0.2">
      <c r="C85" s="216"/>
      <c r="D85" s="216"/>
      <c r="E85" s="216"/>
      <c r="F85" s="216"/>
      <c r="G85" s="220"/>
      <c r="H85" s="220"/>
      <c r="I85" s="221"/>
      <c r="J85" s="222" t="str">
        <f t="shared" si="3"/>
        <v/>
      </c>
      <c r="K85" s="44" t="str">
        <f t="shared" si="4"/>
        <v xml:space="preserve">VICTOIRE - </v>
      </c>
      <c r="L85" s="44" t="e">
        <f>+VLOOKUP(K85,TL[],4,FALSE)</f>
        <v>#N/A</v>
      </c>
    </row>
    <row r="86" spans="3:12" x14ac:dyDescent="0.2">
      <c r="C86" s="216"/>
      <c r="D86" s="216"/>
      <c r="E86" s="216"/>
      <c r="F86" s="216"/>
      <c r="G86" s="220"/>
      <c r="H86" s="220"/>
      <c r="I86" s="221"/>
      <c r="J86" s="222" t="str">
        <f t="shared" si="3"/>
        <v/>
      </c>
      <c r="K86" s="44" t="str">
        <f t="shared" si="4"/>
        <v xml:space="preserve">VICTOIRE - </v>
      </c>
      <c r="L86" s="44" t="e">
        <f>+VLOOKUP(K86,TL[],4,FALSE)</f>
        <v>#N/A</v>
      </c>
    </row>
    <row r="87" spans="3:12" x14ac:dyDescent="0.2">
      <c r="C87" s="216"/>
      <c r="D87" s="216"/>
      <c r="E87" s="216"/>
      <c r="F87" s="216"/>
      <c r="G87" s="220"/>
      <c r="H87" s="220"/>
      <c r="I87" s="221"/>
      <c r="J87" s="222" t="str">
        <f t="shared" si="3"/>
        <v/>
      </c>
      <c r="K87" s="44" t="str">
        <f t="shared" si="4"/>
        <v xml:space="preserve">VICTOIRE - </v>
      </c>
      <c r="L87" s="44" t="e">
        <f>+VLOOKUP(K87,TL[],4,FALSE)</f>
        <v>#N/A</v>
      </c>
    </row>
    <row r="88" spans="3:12" x14ac:dyDescent="0.2">
      <c r="C88" s="216"/>
      <c r="D88" s="216"/>
      <c r="E88" s="216"/>
      <c r="F88" s="216"/>
      <c r="G88" s="220"/>
      <c r="H88" s="220"/>
      <c r="I88" s="221"/>
      <c r="J88" s="222" t="str">
        <f t="shared" si="3"/>
        <v/>
      </c>
      <c r="K88" s="44" t="str">
        <f t="shared" si="4"/>
        <v xml:space="preserve">VICTOIRE - </v>
      </c>
      <c r="L88" s="44" t="e">
        <f>+VLOOKUP(K88,TL[],4,FALSE)</f>
        <v>#N/A</v>
      </c>
    </row>
    <row r="89" spans="3:12" x14ac:dyDescent="0.2">
      <c r="C89" s="216"/>
      <c r="D89" s="216"/>
      <c r="E89" s="216"/>
      <c r="F89" s="216"/>
      <c r="G89" s="220"/>
      <c r="H89" s="220"/>
      <c r="I89" s="221"/>
      <c r="J89" s="222" t="str">
        <f t="shared" si="3"/>
        <v/>
      </c>
      <c r="K89" s="44" t="str">
        <f t="shared" si="4"/>
        <v xml:space="preserve">VICTOIRE - </v>
      </c>
      <c r="L89" s="44" t="e">
        <f>+VLOOKUP(K89,TL[],4,FALSE)</f>
        <v>#N/A</v>
      </c>
    </row>
    <row r="90" spans="3:12" x14ac:dyDescent="0.2">
      <c r="C90" s="216"/>
      <c r="D90" s="216"/>
      <c r="E90" s="216"/>
      <c r="F90" s="216"/>
      <c r="G90" s="220"/>
      <c r="H90" s="220"/>
      <c r="I90" s="221"/>
      <c r="J90" s="222" t="str">
        <f t="shared" si="3"/>
        <v/>
      </c>
      <c r="K90" s="44" t="str">
        <f t="shared" si="4"/>
        <v xml:space="preserve">VICTOIRE - </v>
      </c>
      <c r="L90" s="44" t="e">
        <f>+VLOOKUP(K90,TL[],4,FALSE)</f>
        <v>#N/A</v>
      </c>
    </row>
    <row r="91" spans="3:12" x14ac:dyDescent="0.2">
      <c r="C91" s="216"/>
      <c r="D91" s="216"/>
      <c r="E91" s="216"/>
      <c r="F91" s="216"/>
      <c r="G91" s="220"/>
      <c r="H91" s="220"/>
      <c r="I91" s="221"/>
      <c r="J91" s="222" t="str">
        <f t="shared" si="3"/>
        <v/>
      </c>
      <c r="K91" s="44" t="str">
        <f t="shared" si="4"/>
        <v xml:space="preserve">VICTOIRE - </v>
      </c>
      <c r="L91" s="44" t="e">
        <f>+VLOOKUP(K91,TL[],4,FALSE)</f>
        <v>#N/A</v>
      </c>
    </row>
    <row r="92" spans="3:12" x14ac:dyDescent="0.2">
      <c r="C92" s="216"/>
      <c r="D92" s="216"/>
      <c r="E92" s="216"/>
      <c r="F92" s="216"/>
      <c r="G92" s="220"/>
      <c r="H92" s="220"/>
      <c r="I92" s="221"/>
      <c r="J92" s="222" t="str">
        <f t="shared" si="3"/>
        <v/>
      </c>
      <c r="K92" s="44" t="str">
        <f t="shared" si="4"/>
        <v xml:space="preserve">VICTOIRE - </v>
      </c>
      <c r="L92" s="44" t="e">
        <f>+VLOOKUP(K92,TL[],4,FALSE)</f>
        <v>#N/A</v>
      </c>
    </row>
    <row r="93" spans="3:12" x14ac:dyDescent="0.2">
      <c r="C93" s="216"/>
      <c r="D93" s="216"/>
      <c r="E93" s="216"/>
      <c r="F93" s="216"/>
      <c r="G93" s="220"/>
      <c r="H93" s="220"/>
      <c r="I93" s="221"/>
      <c r="J93" s="222" t="str">
        <f t="shared" si="3"/>
        <v/>
      </c>
      <c r="K93" s="44" t="str">
        <f t="shared" si="4"/>
        <v xml:space="preserve">VICTOIRE - </v>
      </c>
      <c r="L93" s="44" t="e">
        <f>+VLOOKUP(K93,TL[],4,FALSE)</f>
        <v>#N/A</v>
      </c>
    </row>
    <row r="94" spans="3:12" x14ac:dyDescent="0.2">
      <c r="C94" s="216"/>
      <c r="D94" s="216"/>
      <c r="E94" s="216"/>
      <c r="F94" s="216"/>
      <c r="G94" s="220"/>
      <c r="H94" s="220"/>
      <c r="I94" s="221"/>
      <c r="J94" s="222" t="str">
        <f t="shared" si="3"/>
        <v/>
      </c>
      <c r="K94" s="44" t="str">
        <f t="shared" si="4"/>
        <v xml:space="preserve">VICTOIRE - </v>
      </c>
      <c r="L94" s="44" t="e">
        <f>+VLOOKUP(K94,TL[],4,FALSE)</f>
        <v>#N/A</v>
      </c>
    </row>
    <row r="95" spans="3:12" x14ac:dyDescent="0.2">
      <c r="C95" s="216"/>
      <c r="D95" s="216"/>
      <c r="E95" s="216"/>
      <c r="F95" s="216"/>
      <c r="G95" s="220"/>
      <c r="H95" s="220"/>
      <c r="I95" s="221"/>
      <c r="J95" s="222" t="str">
        <f t="shared" si="3"/>
        <v/>
      </c>
      <c r="K95" s="44" t="str">
        <f t="shared" si="4"/>
        <v xml:space="preserve">VICTOIRE - </v>
      </c>
      <c r="L95" s="44" t="e">
        <f>+VLOOKUP(K95,TL[],4,FALSE)</f>
        <v>#N/A</v>
      </c>
    </row>
    <row r="96" spans="3:12" x14ac:dyDescent="0.2">
      <c r="C96" s="216"/>
      <c r="D96" s="216"/>
      <c r="E96" s="216"/>
      <c r="F96" s="216"/>
      <c r="G96" s="220"/>
      <c r="H96" s="220"/>
      <c r="I96" s="221"/>
      <c r="J96" s="222" t="str">
        <f t="shared" si="3"/>
        <v/>
      </c>
      <c r="K96" s="44" t="str">
        <f t="shared" si="4"/>
        <v xml:space="preserve">VICTOIRE - </v>
      </c>
      <c r="L96" s="44" t="e">
        <f>+VLOOKUP(K96,TL[],4,FALSE)</f>
        <v>#N/A</v>
      </c>
    </row>
    <row r="97" spans="3:12" x14ac:dyDescent="0.2">
      <c r="C97" s="216"/>
      <c r="D97" s="216"/>
      <c r="E97" s="216"/>
      <c r="F97" s="216"/>
      <c r="G97" s="220"/>
      <c r="H97" s="220"/>
      <c r="I97" s="221"/>
      <c r="J97" s="222" t="str">
        <f t="shared" si="3"/>
        <v/>
      </c>
      <c r="K97" s="44" t="str">
        <f t="shared" si="4"/>
        <v xml:space="preserve">VICTOIRE - </v>
      </c>
      <c r="L97" s="44" t="e">
        <f>+VLOOKUP(K97,TL[],4,FALSE)</f>
        <v>#N/A</v>
      </c>
    </row>
    <row r="98" spans="3:12" x14ac:dyDescent="0.2">
      <c r="C98" s="216"/>
      <c r="D98" s="216"/>
      <c r="E98" s="216"/>
      <c r="F98" s="216"/>
      <c r="G98" s="220"/>
      <c r="H98" s="220"/>
      <c r="I98" s="221"/>
      <c r="J98" s="222" t="str">
        <f t="shared" si="3"/>
        <v/>
      </c>
      <c r="K98" s="44" t="str">
        <f t="shared" si="4"/>
        <v xml:space="preserve">VICTOIRE - </v>
      </c>
      <c r="L98" s="44" t="e">
        <f>+VLOOKUP(K98,TL[],4,FALSE)</f>
        <v>#N/A</v>
      </c>
    </row>
    <row r="99" spans="3:12" x14ac:dyDescent="0.2">
      <c r="C99" s="216"/>
      <c r="D99" s="216"/>
      <c r="E99" s="216"/>
      <c r="F99" s="216"/>
      <c r="G99" s="220"/>
      <c r="H99" s="220"/>
      <c r="I99" s="221"/>
      <c r="J99" s="222" t="str">
        <f t="shared" si="3"/>
        <v/>
      </c>
      <c r="K99" s="44" t="str">
        <f t="shared" si="4"/>
        <v xml:space="preserve">VICTOIRE - </v>
      </c>
      <c r="L99" s="44" t="e">
        <f>+VLOOKUP(K99,TL[],4,FALSE)</f>
        <v>#N/A</v>
      </c>
    </row>
    <row r="100" spans="3:12" x14ac:dyDescent="0.2">
      <c r="C100" s="216"/>
      <c r="D100" s="216"/>
      <c r="E100" s="216"/>
      <c r="F100" s="216"/>
      <c r="G100" s="220"/>
      <c r="H100" s="220"/>
      <c r="I100" s="221"/>
      <c r="J100" s="222" t="str">
        <f t="shared" si="3"/>
        <v/>
      </c>
      <c r="K100" s="44" t="str">
        <f t="shared" si="4"/>
        <v xml:space="preserve">VICTOIRE - </v>
      </c>
      <c r="L100" s="44" t="e">
        <f>+VLOOKUP(K100,TL[],4,FALSE)</f>
        <v>#N/A</v>
      </c>
    </row>
    <row r="101" spans="3:12" x14ac:dyDescent="0.2">
      <c r="C101" s="216"/>
      <c r="D101" s="216"/>
      <c r="E101" s="216"/>
      <c r="F101" s="216"/>
      <c r="G101" s="220"/>
      <c r="H101" s="220"/>
      <c r="I101" s="221"/>
      <c r="J101" s="222" t="str">
        <f t="shared" si="3"/>
        <v/>
      </c>
      <c r="K101" s="44" t="str">
        <f t="shared" si="4"/>
        <v xml:space="preserve">VICTOIRE - </v>
      </c>
      <c r="L101" s="44" t="e">
        <f>+VLOOKUP(K101,TL[],4,FALSE)</f>
        <v>#N/A</v>
      </c>
    </row>
    <row r="102" spans="3:12" x14ac:dyDescent="0.2">
      <c r="C102" s="216"/>
      <c r="D102" s="216"/>
      <c r="E102" s="216"/>
      <c r="F102" s="216"/>
      <c r="G102" s="220"/>
      <c r="H102" s="220"/>
      <c r="I102" s="221"/>
      <c r="J102" s="222" t="str">
        <f t="shared" si="3"/>
        <v/>
      </c>
      <c r="K102" s="44" t="str">
        <f t="shared" si="4"/>
        <v xml:space="preserve">VICTOIRE - </v>
      </c>
      <c r="L102" s="44" t="e">
        <f>+VLOOKUP(K102,TL[],4,FALSE)</f>
        <v>#N/A</v>
      </c>
    </row>
    <row r="103" spans="3:12" x14ac:dyDescent="0.2">
      <c r="C103" s="216"/>
      <c r="D103" s="216"/>
      <c r="E103" s="216"/>
      <c r="F103" s="216"/>
      <c r="G103" s="220"/>
      <c r="H103" s="220"/>
      <c r="I103" s="221"/>
      <c r="J103" s="222" t="str">
        <f t="shared" si="3"/>
        <v/>
      </c>
      <c r="K103" s="44" t="str">
        <f t="shared" si="4"/>
        <v xml:space="preserve">VICTOIRE - </v>
      </c>
      <c r="L103" s="44" t="e">
        <f>+VLOOKUP(K103,TL[],4,FALSE)</f>
        <v>#N/A</v>
      </c>
    </row>
    <row r="104" spans="3:12" x14ac:dyDescent="0.2">
      <c r="C104" s="216"/>
      <c r="D104" s="216"/>
      <c r="E104" s="216"/>
      <c r="F104" s="216"/>
      <c r="G104" s="220"/>
      <c r="H104" s="220"/>
      <c r="I104" s="221"/>
      <c r="J104" s="222" t="str">
        <f t="shared" si="3"/>
        <v/>
      </c>
      <c r="K104" s="44" t="str">
        <f t="shared" si="4"/>
        <v xml:space="preserve">VICTOIRE - </v>
      </c>
      <c r="L104" s="44" t="e">
        <f>+VLOOKUP(K104,TL[],4,FALSE)</f>
        <v>#N/A</v>
      </c>
    </row>
    <row r="105" spans="3:12" x14ac:dyDescent="0.2">
      <c r="C105" s="216"/>
      <c r="D105" s="216"/>
      <c r="E105" s="216"/>
      <c r="F105" s="216"/>
      <c r="G105" s="220"/>
      <c r="H105" s="220"/>
      <c r="I105" s="221"/>
      <c r="J105" s="222" t="str">
        <f t="shared" si="3"/>
        <v/>
      </c>
      <c r="K105" s="44" t="str">
        <f t="shared" si="4"/>
        <v xml:space="preserve">VICTOIRE - </v>
      </c>
      <c r="L105" s="44" t="e">
        <f>+VLOOKUP(K105,TL[],4,FALSE)</f>
        <v>#N/A</v>
      </c>
    </row>
    <row r="106" spans="3:12" x14ac:dyDescent="0.2">
      <c r="C106" s="216"/>
      <c r="D106" s="216"/>
      <c r="E106" s="216"/>
      <c r="F106" s="216"/>
      <c r="G106" s="220"/>
      <c r="H106" s="220"/>
      <c r="I106" s="221"/>
      <c r="J106" s="222" t="str">
        <f t="shared" si="3"/>
        <v/>
      </c>
      <c r="K106" s="44" t="str">
        <f t="shared" si="4"/>
        <v xml:space="preserve">VICTOIRE - </v>
      </c>
      <c r="L106" s="44" t="e">
        <f>+VLOOKUP(K106,TL[],4,FALSE)</f>
        <v>#N/A</v>
      </c>
    </row>
    <row r="107" spans="3:12" x14ac:dyDescent="0.2">
      <c r="C107" s="216"/>
      <c r="D107" s="216"/>
      <c r="E107" s="216"/>
      <c r="F107" s="216"/>
      <c r="G107" s="220"/>
      <c r="H107" s="220"/>
      <c r="I107" s="221"/>
      <c r="J107" s="222" t="str">
        <f t="shared" si="3"/>
        <v/>
      </c>
      <c r="K107" s="44" t="str">
        <f t="shared" si="4"/>
        <v xml:space="preserve">VICTOIRE - </v>
      </c>
      <c r="L107" s="44" t="e">
        <f>+VLOOKUP(K107,TL[],4,FALSE)</f>
        <v>#N/A</v>
      </c>
    </row>
    <row r="108" spans="3:12" x14ac:dyDescent="0.2">
      <c r="C108" s="216"/>
      <c r="D108" s="216"/>
      <c r="E108" s="216"/>
      <c r="F108" s="216"/>
      <c r="G108" s="220"/>
      <c r="H108" s="220"/>
      <c r="I108" s="221"/>
      <c r="J108" s="222" t="str">
        <f t="shared" si="3"/>
        <v/>
      </c>
      <c r="K108" s="44" t="str">
        <f t="shared" si="4"/>
        <v xml:space="preserve">VICTOIRE - </v>
      </c>
      <c r="L108" s="44" t="e">
        <f>+VLOOKUP(K108,TL[],4,FALSE)</f>
        <v>#N/A</v>
      </c>
    </row>
    <row r="109" spans="3:12" x14ac:dyDescent="0.2">
      <c r="C109" s="216"/>
      <c r="D109" s="216"/>
      <c r="E109" s="216"/>
      <c r="F109" s="216"/>
      <c r="G109" s="220"/>
      <c r="H109" s="220"/>
      <c r="I109" s="221"/>
      <c r="J109" s="222" t="str">
        <f t="shared" si="3"/>
        <v/>
      </c>
      <c r="K109" s="44" t="str">
        <f t="shared" si="4"/>
        <v xml:space="preserve">VICTOIRE - </v>
      </c>
      <c r="L109" s="44" t="e">
        <f>+VLOOKUP(K109,TL[],4,FALSE)</f>
        <v>#N/A</v>
      </c>
    </row>
    <row r="110" spans="3:12" x14ac:dyDescent="0.2">
      <c r="C110" s="216"/>
      <c r="D110" s="216"/>
      <c r="E110" s="216"/>
      <c r="F110" s="216"/>
      <c r="G110" s="220"/>
      <c r="H110" s="220"/>
      <c r="I110" s="221"/>
      <c r="J110" s="222" t="str">
        <f t="shared" si="3"/>
        <v/>
      </c>
      <c r="K110" s="44" t="str">
        <f t="shared" si="4"/>
        <v xml:space="preserve">VICTOIRE - </v>
      </c>
      <c r="L110" s="44" t="e">
        <f>+VLOOKUP(K110,TL[],4,FALSE)</f>
        <v>#N/A</v>
      </c>
    </row>
    <row r="111" spans="3:12" x14ac:dyDescent="0.2">
      <c r="C111" s="216"/>
      <c r="D111" s="216"/>
      <c r="E111" s="216"/>
      <c r="F111" s="216"/>
      <c r="G111" s="220"/>
      <c r="H111" s="220"/>
      <c r="I111" s="221"/>
      <c r="J111" s="222" t="str">
        <f t="shared" si="3"/>
        <v/>
      </c>
      <c r="K111" s="44" t="str">
        <f t="shared" si="4"/>
        <v xml:space="preserve">VICTOIRE - </v>
      </c>
      <c r="L111" s="44" t="e">
        <f>+VLOOKUP(K111,TL[],4,FALSE)</f>
        <v>#N/A</v>
      </c>
    </row>
    <row r="112" spans="3:12" x14ac:dyDescent="0.2">
      <c r="C112" s="216"/>
      <c r="D112" s="216"/>
      <c r="E112" s="216"/>
      <c r="F112" s="216"/>
      <c r="G112" s="220"/>
      <c r="H112" s="220"/>
      <c r="I112" s="221"/>
      <c r="J112" s="222" t="str">
        <f t="shared" si="3"/>
        <v/>
      </c>
      <c r="K112" s="44" t="str">
        <f t="shared" si="4"/>
        <v xml:space="preserve">VICTOIRE - </v>
      </c>
      <c r="L112" s="44" t="e">
        <f>+VLOOKUP(K112,TL[],4,FALSE)</f>
        <v>#N/A</v>
      </c>
    </row>
    <row r="113" spans="3:12" x14ac:dyDescent="0.2">
      <c r="C113" s="216"/>
      <c r="D113" s="216"/>
      <c r="E113" s="216"/>
      <c r="F113" s="216"/>
      <c r="G113" s="220"/>
      <c r="H113" s="220"/>
      <c r="I113" s="221"/>
      <c r="J113" s="222" t="str">
        <f t="shared" si="3"/>
        <v/>
      </c>
      <c r="K113" s="44" t="str">
        <f t="shared" si="4"/>
        <v xml:space="preserve">VICTOIRE - </v>
      </c>
      <c r="L113" s="44" t="e">
        <f>+VLOOKUP(K113,TL[],4,FALSE)</f>
        <v>#N/A</v>
      </c>
    </row>
    <row r="114" spans="3:12" x14ac:dyDescent="0.2">
      <c r="C114" s="216"/>
      <c r="D114" s="216"/>
      <c r="E114" s="216"/>
      <c r="F114" s="216"/>
      <c r="G114" s="220"/>
      <c r="H114" s="220"/>
      <c r="I114" s="221"/>
      <c r="J114" s="222" t="str">
        <f t="shared" si="3"/>
        <v/>
      </c>
      <c r="K114" s="44" t="str">
        <f t="shared" si="4"/>
        <v xml:space="preserve">VICTOIRE - </v>
      </c>
      <c r="L114" s="44" t="e">
        <f>+VLOOKUP(K114,TL[],4,FALSE)</f>
        <v>#N/A</v>
      </c>
    </row>
    <row r="115" spans="3:12" x14ac:dyDescent="0.2">
      <c r="C115" s="216"/>
      <c r="D115" s="216"/>
      <c r="E115" s="216"/>
      <c r="F115" s="216"/>
      <c r="G115" s="220"/>
      <c r="H115" s="220"/>
      <c r="I115" s="221"/>
      <c r="J115" s="222" t="str">
        <f t="shared" si="3"/>
        <v/>
      </c>
      <c r="K115" s="44" t="str">
        <f t="shared" si="4"/>
        <v xml:space="preserve">VICTOIRE - </v>
      </c>
      <c r="L115" s="44" t="e">
        <f>+VLOOKUP(K115,TL[],4,FALSE)</f>
        <v>#N/A</v>
      </c>
    </row>
    <row r="116" spans="3:12" x14ac:dyDescent="0.2">
      <c r="C116" s="216"/>
      <c r="D116" s="216"/>
      <c r="E116" s="216"/>
      <c r="F116" s="216"/>
      <c r="G116" s="220"/>
      <c r="H116" s="220"/>
      <c r="I116" s="221"/>
      <c r="J116" s="222" t="str">
        <f t="shared" si="3"/>
        <v/>
      </c>
      <c r="K116" s="44" t="str">
        <f t="shared" si="4"/>
        <v xml:space="preserve">VICTOIRE - </v>
      </c>
      <c r="L116" s="44" t="e">
        <f>+VLOOKUP(K116,TL[],4,FALSE)</f>
        <v>#N/A</v>
      </c>
    </row>
    <row r="117" spans="3:12" x14ac:dyDescent="0.2">
      <c r="C117" s="216"/>
      <c r="D117" s="216"/>
      <c r="E117" s="216"/>
      <c r="F117" s="216"/>
      <c r="G117" s="220"/>
      <c r="H117" s="220"/>
      <c r="I117" s="221"/>
      <c r="J117" s="222" t="str">
        <f t="shared" si="3"/>
        <v/>
      </c>
      <c r="K117" s="44" t="str">
        <f t="shared" si="4"/>
        <v xml:space="preserve">VICTOIRE - </v>
      </c>
      <c r="L117" s="44" t="e">
        <f>+VLOOKUP(K117,TL[],4,FALSE)</f>
        <v>#N/A</v>
      </c>
    </row>
    <row r="118" spans="3:12" x14ac:dyDescent="0.2">
      <c r="C118" s="216"/>
      <c r="D118" s="216"/>
      <c r="E118" s="216"/>
      <c r="F118" s="216"/>
      <c r="G118" s="220"/>
      <c r="H118" s="220"/>
      <c r="I118" s="221"/>
      <c r="J118" s="222" t="str">
        <f t="shared" ref="J118:J173" si="5">LEFT(A118,1)</f>
        <v/>
      </c>
      <c r="K118" s="44" t="str">
        <f t="shared" si="4"/>
        <v xml:space="preserve">VICTOIRE - </v>
      </c>
      <c r="L118" s="44" t="e">
        <f>+VLOOKUP(K118,TL[],4,FALSE)</f>
        <v>#N/A</v>
      </c>
    </row>
    <row r="119" spans="3:12" x14ac:dyDescent="0.2">
      <c r="C119" s="216"/>
      <c r="D119" s="216"/>
      <c r="E119" s="216"/>
      <c r="F119" s="216"/>
      <c r="G119" s="220"/>
      <c r="H119" s="220"/>
      <c r="I119" s="221"/>
      <c r="J119" s="222" t="str">
        <f t="shared" si="5"/>
        <v/>
      </c>
      <c r="K119" s="44" t="str">
        <f t="shared" si="4"/>
        <v xml:space="preserve">VICTOIRE - </v>
      </c>
      <c r="L119" s="44" t="e">
        <f>+VLOOKUP(K119,TL[],4,FALSE)</f>
        <v>#N/A</v>
      </c>
    </row>
    <row r="120" spans="3:12" x14ac:dyDescent="0.2">
      <c r="C120" s="216"/>
      <c r="D120" s="216"/>
      <c r="E120" s="216"/>
      <c r="F120" s="216"/>
      <c r="G120" s="220"/>
      <c r="H120" s="220"/>
      <c r="I120" s="221"/>
      <c r="J120" s="222" t="str">
        <f t="shared" si="5"/>
        <v/>
      </c>
      <c r="K120" s="44" t="str">
        <f t="shared" si="4"/>
        <v xml:space="preserve">VICTOIRE - </v>
      </c>
      <c r="L120" s="44" t="e">
        <f>+VLOOKUP(K120,TL[],4,FALSE)</f>
        <v>#N/A</v>
      </c>
    </row>
    <row r="121" spans="3:12" x14ac:dyDescent="0.2">
      <c r="C121" s="216"/>
      <c r="D121" s="216"/>
      <c r="E121" s="216"/>
      <c r="F121" s="216"/>
      <c r="G121" s="220"/>
      <c r="H121" s="220"/>
      <c r="I121" s="221"/>
      <c r="J121" s="222" t="str">
        <f t="shared" si="5"/>
        <v/>
      </c>
      <c r="K121" s="44" t="str">
        <f t="shared" si="4"/>
        <v xml:space="preserve">VICTOIRE - </v>
      </c>
      <c r="L121" s="44" t="e">
        <f>+VLOOKUP(K121,TL[],4,FALSE)</f>
        <v>#N/A</v>
      </c>
    </row>
    <row r="122" spans="3:12" x14ac:dyDescent="0.2">
      <c r="C122" s="216"/>
      <c r="D122" s="216"/>
      <c r="E122" s="216"/>
      <c r="F122" s="216"/>
      <c r="G122" s="220"/>
      <c r="H122" s="220"/>
      <c r="I122" s="221"/>
      <c r="J122" s="222" t="str">
        <f t="shared" si="5"/>
        <v/>
      </c>
      <c r="K122" s="44" t="str">
        <f t="shared" si="4"/>
        <v xml:space="preserve">VICTOIRE - </v>
      </c>
      <c r="L122" s="44" t="e">
        <f>+VLOOKUP(K122,TL[],4,FALSE)</f>
        <v>#N/A</v>
      </c>
    </row>
    <row r="123" spans="3:12" x14ac:dyDescent="0.2">
      <c r="C123" s="216"/>
      <c r="D123" s="216"/>
      <c r="E123" s="216"/>
      <c r="F123" s="216"/>
      <c r="G123" s="220"/>
      <c r="H123" s="220"/>
      <c r="I123" s="221"/>
      <c r="J123" s="222" t="str">
        <f t="shared" si="5"/>
        <v/>
      </c>
      <c r="K123" s="44" t="str">
        <f t="shared" si="4"/>
        <v xml:space="preserve">VICTOIRE - </v>
      </c>
      <c r="L123" s="44" t="e">
        <f>+VLOOKUP(K123,TL[],4,FALSE)</f>
        <v>#N/A</v>
      </c>
    </row>
    <row r="124" spans="3:12" x14ac:dyDescent="0.2">
      <c r="C124" s="216"/>
      <c r="D124" s="216"/>
      <c r="E124" s="216"/>
      <c r="F124" s="216"/>
      <c r="G124" s="220"/>
      <c r="H124" s="220"/>
      <c r="I124" s="221"/>
      <c r="J124" s="222" t="str">
        <f t="shared" si="5"/>
        <v/>
      </c>
      <c r="K124" s="44" t="str">
        <f t="shared" si="4"/>
        <v xml:space="preserve">VICTOIRE - </v>
      </c>
      <c r="L124" s="44" t="e">
        <f>+VLOOKUP(K124,TL[],4,FALSE)</f>
        <v>#N/A</v>
      </c>
    </row>
    <row r="125" spans="3:12" x14ac:dyDescent="0.2">
      <c r="C125" s="216"/>
      <c r="D125" s="216"/>
      <c r="E125" s="216"/>
      <c r="F125" s="216"/>
      <c r="G125" s="220"/>
      <c r="H125" s="220"/>
      <c r="I125" s="221"/>
      <c r="J125" s="222" t="str">
        <f t="shared" si="5"/>
        <v/>
      </c>
      <c r="K125" s="44" t="str">
        <f t="shared" si="4"/>
        <v xml:space="preserve">VICTOIRE - </v>
      </c>
      <c r="L125" s="44" t="e">
        <f>+VLOOKUP(K125,TL[],4,FALSE)</f>
        <v>#N/A</v>
      </c>
    </row>
    <row r="126" spans="3:12" x14ac:dyDescent="0.2">
      <c r="C126" s="216"/>
      <c r="D126" s="216"/>
      <c r="E126" s="216"/>
      <c r="F126" s="216"/>
      <c r="G126" s="220"/>
      <c r="H126" s="220"/>
      <c r="I126" s="221"/>
      <c r="J126" s="222" t="str">
        <f t="shared" si="5"/>
        <v/>
      </c>
      <c r="K126" s="44" t="str">
        <f t="shared" si="4"/>
        <v xml:space="preserve">VICTOIRE - </v>
      </c>
      <c r="L126" s="44" t="e">
        <f>+VLOOKUP(K126,TL[],4,FALSE)</f>
        <v>#N/A</v>
      </c>
    </row>
    <row r="127" spans="3:12" x14ac:dyDescent="0.2">
      <c r="C127" s="216"/>
      <c r="D127" s="216"/>
      <c r="E127" s="216"/>
      <c r="F127" s="216"/>
      <c r="G127" s="220"/>
      <c r="H127" s="220"/>
      <c r="I127" s="221"/>
      <c r="J127" s="222" t="str">
        <f t="shared" si="5"/>
        <v/>
      </c>
      <c r="K127" s="44" t="str">
        <f t="shared" si="4"/>
        <v xml:space="preserve">VICTOIRE - </v>
      </c>
      <c r="L127" s="44" t="e">
        <f>+VLOOKUP(K127,TL[],4,FALSE)</f>
        <v>#N/A</v>
      </c>
    </row>
    <row r="128" spans="3:12" x14ac:dyDescent="0.2">
      <c r="C128" s="216"/>
      <c r="D128" s="216"/>
      <c r="E128" s="216"/>
      <c r="F128" s="216"/>
      <c r="G128" s="220"/>
      <c r="H128" s="220"/>
      <c r="I128" s="221"/>
      <c r="J128" s="222" t="str">
        <f t="shared" si="5"/>
        <v/>
      </c>
      <c r="K128" s="44" t="str">
        <f t="shared" si="4"/>
        <v xml:space="preserve">VICTOIRE - </v>
      </c>
      <c r="L128" s="44" t="e">
        <f>+VLOOKUP(K128,TL[],4,FALSE)</f>
        <v>#N/A</v>
      </c>
    </row>
    <row r="129" spans="3:12" x14ac:dyDescent="0.2">
      <c r="C129" s="216"/>
      <c r="D129" s="216"/>
      <c r="E129" s="216"/>
      <c r="F129" s="216"/>
      <c r="G129" s="220"/>
      <c r="H129" s="220"/>
      <c r="I129" s="221"/>
      <c r="J129" s="222" t="str">
        <f t="shared" si="5"/>
        <v/>
      </c>
      <c r="K129" s="44" t="str">
        <f t="shared" si="4"/>
        <v xml:space="preserve">VICTOIRE - </v>
      </c>
      <c r="L129" s="44" t="e">
        <f>+VLOOKUP(K129,TL[],4,FALSE)</f>
        <v>#N/A</v>
      </c>
    </row>
    <row r="130" spans="3:12" x14ac:dyDescent="0.2">
      <c r="C130" s="216"/>
      <c r="D130" s="216"/>
      <c r="E130" s="216"/>
      <c r="F130" s="216"/>
      <c r="G130" s="220"/>
      <c r="H130" s="220"/>
      <c r="I130" s="221"/>
      <c r="J130" s="222" t="str">
        <f t="shared" si="5"/>
        <v/>
      </c>
      <c r="K130" s="44" t="str">
        <f t="shared" si="4"/>
        <v xml:space="preserve">VICTOIRE - </v>
      </c>
      <c r="L130" s="44" t="e">
        <f>+VLOOKUP(K130,TL[],4,FALSE)</f>
        <v>#N/A</v>
      </c>
    </row>
    <row r="131" spans="3:12" x14ac:dyDescent="0.2">
      <c r="C131" s="216"/>
      <c r="D131" s="216"/>
      <c r="E131" s="216"/>
      <c r="F131" s="216"/>
      <c r="G131" s="220"/>
      <c r="H131" s="220"/>
      <c r="I131" s="221"/>
      <c r="J131" s="222" t="str">
        <f t="shared" si="5"/>
        <v/>
      </c>
      <c r="K131" s="44" t="str">
        <f t="shared" ref="K131:K193" si="6">"VICTOIRE"&amp;" - "&amp;A131</f>
        <v xml:space="preserve">VICTOIRE - </v>
      </c>
      <c r="L131" s="44" t="e">
        <f>+VLOOKUP(K131,TL[],4,FALSE)</f>
        <v>#N/A</v>
      </c>
    </row>
    <row r="132" spans="3:12" x14ac:dyDescent="0.2">
      <c r="C132" s="216"/>
      <c r="D132" s="216"/>
      <c r="E132" s="216"/>
      <c r="F132" s="216"/>
      <c r="G132" s="220"/>
      <c r="H132" s="220"/>
      <c r="I132" s="221"/>
      <c r="J132" s="222" t="str">
        <f t="shared" si="5"/>
        <v/>
      </c>
      <c r="K132" s="44" t="str">
        <f t="shared" si="6"/>
        <v xml:space="preserve">VICTOIRE - </v>
      </c>
      <c r="L132" s="44" t="e">
        <f>+VLOOKUP(K132,TL[],4,FALSE)</f>
        <v>#N/A</v>
      </c>
    </row>
    <row r="133" spans="3:12" x14ac:dyDescent="0.2">
      <c r="C133" s="216"/>
      <c r="D133" s="216"/>
      <c r="E133" s="216"/>
      <c r="F133" s="216"/>
      <c r="G133" s="220"/>
      <c r="H133" s="220"/>
      <c r="I133" s="221"/>
      <c r="J133" s="222" t="str">
        <f t="shared" si="5"/>
        <v/>
      </c>
      <c r="K133" s="44" t="str">
        <f t="shared" si="6"/>
        <v xml:space="preserve">VICTOIRE - </v>
      </c>
      <c r="L133" s="44" t="e">
        <f>+VLOOKUP(K133,TL[],4,FALSE)</f>
        <v>#N/A</v>
      </c>
    </row>
    <row r="134" spans="3:12" x14ac:dyDescent="0.2">
      <c r="C134" s="216"/>
      <c r="D134" s="216"/>
      <c r="E134" s="216"/>
      <c r="F134" s="216"/>
      <c r="G134" s="220"/>
      <c r="H134" s="220"/>
      <c r="I134" s="221"/>
      <c r="J134" s="222" t="str">
        <f t="shared" si="5"/>
        <v/>
      </c>
      <c r="K134" s="44" t="str">
        <f t="shared" si="6"/>
        <v xml:space="preserve">VICTOIRE - </v>
      </c>
      <c r="L134" s="44" t="e">
        <f>+VLOOKUP(K134,TL[],4,FALSE)</f>
        <v>#N/A</v>
      </c>
    </row>
    <row r="135" spans="3:12" x14ac:dyDescent="0.2">
      <c r="C135" s="216"/>
      <c r="D135" s="216"/>
      <c r="E135" s="216"/>
      <c r="F135" s="216"/>
      <c r="G135" s="220"/>
      <c r="H135" s="220"/>
      <c r="I135" s="221"/>
      <c r="J135" s="222" t="str">
        <f t="shared" si="5"/>
        <v/>
      </c>
      <c r="K135" s="44" t="str">
        <f t="shared" si="6"/>
        <v xml:space="preserve">VICTOIRE - </v>
      </c>
      <c r="L135" s="44" t="e">
        <f>+VLOOKUP(K135,TL[],4,FALSE)</f>
        <v>#N/A</v>
      </c>
    </row>
    <row r="136" spans="3:12" x14ac:dyDescent="0.2">
      <c r="C136" s="216"/>
      <c r="D136" s="216"/>
      <c r="E136" s="216"/>
      <c r="F136" s="216"/>
      <c r="G136" s="220"/>
      <c r="H136" s="220"/>
      <c r="I136" s="221"/>
      <c r="J136" s="222" t="str">
        <f t="shared" si="5"/>
        <v/>
      </c>
      <c r="K136" s="44" t="str">
        <f t="shared" si="6"/>
        <v xml:space="preserve">VICTOIRE - </v>
      </c>
      <c r="L136" s="44" t="e">
        <f>+VLOOKUP(K136,TL[],4,FALSE)</f>
        <v>#N/A</v>
      </c>
    </row>
    <row r="137" spans="3:12" x14ac:dyDescent="0.2">
      <c r="C137" s="216"/>
      <c r="D137" s="216"/>
      <c r="E137" s="216"/>
      <c r="F137" s="216"/>
      <c r="G137" s="220"/>
      <c r="H137" s="220"/>
      <c r="I137" s="221"/>
      <c r="J137" s="222" t="str">
        <f t="shared" si="5"/>
        <v/>
      </c>
      <c r="K137" s="44" t="str">
        <f t="shared" si="6"/>
        <v xml:space="preserve">VICTOIRE - </v>
      </c>
      <c r="L137" s="44" t="e">
        <f>+VLOOKUP(K137,TL[],4,FALSE)</f>
        <v>#N/A</v>
      </c>
    </row>
    <row r="138" spans="3:12" x14ac:dyDescent="0.2">
      <c r="C138" s="216"/>
      <c r="D138" s="216"/>
      <c r="E138" s="216"/>
      <c r="F138" s="216"/>
      <c r="G138" s="220"/>
      <c r="H138" s="220"/>
      <c r="I138" s="221"/>
      <c r="J138" s="222" t="str">
        <f t="shared" si="5"/>
        <v/>
      </c>
      <c r="K138" s="44" t="str">
        <f t="shared" si="6"/>
        <v xml:space="preserve">VICTOIRE - </v>
      </c>
      <c r="L138" s="44" t="e">
        <f>+VLOOKUP(K138,TL[],4,FALSE)</f>
        <v>#N/A</v>
      </c>
    </row>
    <row r="139" spans="3:12" x14ac:dyDescent="0.2">
      <c r="C139" s="216"/>
      <c r="D139" s="216"/>
      <c r="E139" s="216"/>
      <c r="F139" s="216"/>
      <c r="G139" s="220"/>
      <c r="H139" s="220"/>
      <c r="I139" s="221"/>
      <c r="J139" s="222" t="str">
        <f t="shared" si="5"/>
        <v/>
      </c>
      <c r="K139" s="44" t="str">
        <f t="shared" si="6"/>
        <v xml:space="preserve">VICTOIRE - </v>
      </c>
      <c r="L139" s="44" t="e">
        <f>+VLOOKUP(K139,TL[],4,FALSE)</f>
        <v>#N/A</v>
      </c>
    </row>
    <row r="140" spans="3:12" x14ac:dyDescent="0.2">
      <c r="C140" s="216"/>
      <c r="D140" s="216"/>
      <c r="E140" s="216"/>
      <c r="F140" s="216"/>
      <c r="G140" s="220"/>
      <c r="H140" s="220"/>
      <c r="I140" s="221"/>
      <c r="J140" s="222" t="str">
        <f t="shared" si="5"/>
        <v/>
      </c>
      <c r="K140" s="44" t="str">
        <f t="shared" si="6"/>
        <v xml:space="preserve">VICTOIRE - </v>
      </c>
      <c r="L140" s="44" t="e">
        <f>+VLOOKUP(K140,TL[],4,FALSE)</f>
        <v>#N/A</v>
      </c>
    </row>
    <row r="141" spans="3:12" x14ac:dyDescent="0.2">
      <c r="C141" s="216"/>
      <c r="D141" s="216"/>
      <c r="E141" s="216"/>
      <c r="F141" s="216"/>
      <c r="G141" s="220"/>
      <c r="H141" s="220"/>
      <c r="I141" s="221"/>
      <c r="J141" s="222" t="str">
        <f t="shared" si="5"/>
        <v/>
      </c>
      <c r="K141" s="44" t="str">
        <f t="shared" si="6"/>
        <v xml:space="preserve">VICTOIRE - </v>
      </c>
      <c r="L141" s="44" t="e">
        <f>+VLOOKUP(K141,TL[],4,FALSE)</f>
        <v>#N/A</v>
      </c>
    </row>
    <row r="142" spans="3:12" x14ac:dyDescent="0.2">
      <c r="C142" s="216"/>
      <c r="D142" s="216"/>
      <c r="E142" s="216"/>
      <c r="F142" s="216"/>
      <c r="G142" s="220"/>
      <c r="H142" s="220"/>
      <c r="I142" s="221"/>
      <c r="J142" s="222" t="str">
        <f t="shared" si="5"/>
        <v/>
      </c>
      <c r="K142" s="44" t="str">
        <f t="shared" si="6"/>
        <v xml:space="preserve">VICTOIRE - </v>
      </c>
      <c r="L142" s="44" t="e">
        <f>+VLOOKUP(K142,TL[],4,FALSE)</f>
        <v>#N/A</v>
      </c>
    </row>
    <row r="143" spans="3:12" x14ac:dyDescent="0.2">
      <c r="C143" s="216"/>
      <c r="D143" s="216"/>
      <c r="E143" s="216"/>
      <c r="F143" s="216"/>
      <c r="G143" s="220"/>
      <c r="H143" s="220"/>
      <c r="I143" s="221"/>
      <c r="J143" s="222" t="str">
        <f t="shared" si="5"/>
        <v/>
      </c>
      <c r="K143" s="44" t="str">
        <f t="shared" si="6"/>
        <v xml:space="preserve">VICTOIRE - </v>
      </c>
      <c r="L143" s="44" t="e">
        <f>+VLOOKUP(K143,TL[],4,FALSE)</f>
        <v>#N/A</v>
      </c>
    </row>
    <row r="144" spans="3:12" x14ac:dyDescent="0.2">
      <c r="C144" s="216"/>
      <c r="D144" s="216"/>
      <c r="E144" s="216"/>
      <c r="F144" s="216"/>
      <c r="G144" s="220"/>
      <c r="H144" s="220"/>
      <c r="I144" s="221"/>
      <c r="J144" s="222" t="str">
        <f t="shared" si="5"/>
        <v/>
      </c>
      <c r="K144" s="44" t="str">
        <f t="shared" si="6"/>
        <v xml:space="preserve">VICTOIRE - </v>
      </c>
      <c r="L144" s="44" t="e">
        <f>+VLOOKUP(K144,TL[],4,FALSE)</f>
        <v>#N/A</v>
      </c>
    </row>
    <row r="145" spans="3:12" x14ac:dyDescent="0.2">
      <c r="C145" s="216"/>
      <c r="D145" s="216"/>
      <c r="E145" s="216"/>
      <c r="F145" s="216"/>
      <c r="G145" s="220"/>
      <c r="H145" s="220"/>
      <c r="I145" s="221"/>
      <c r="J145" s="222" t="str">
        <f t="shared" si="5"/>
        <v/>
      </c>
      <c r="K145" s="44" t="str">
        <f t="shared" si="6"/>
        <v xml:space="preserve">VICTOIRE - </v>
      </c>
      <c r="L145" s="44" t="e">
        <f>+VLOOKUP(K145,TL[],4,FALSE)</f>
        <v>#N/A</v>
      </c>
    </row>
    <row r="146" spans="3:12" x14ac:dyDescent="0.2">
      <c r="C146" s="216"/>
      <c r="D146" s="216"/>
      <c r="E146" s="216"/>
      <c r="F146" s="216"/>
      <c r="G146" s="220"/>
      <c r="H146" s="220"/>
      <c r="I146" s="221"/>
      <c r="J146" s="222" t="str">
        <f t="shared" si="5"/>
        <v/>
      </c>
      <c r="K146" s="44" t="str">
        <f t="shared" si="6"/>
        <v xml:space="preserve">VICTOIRE - </v>
      </c>
      <c r="L146" s="44" t="e">
        <f>+VLOOKUP(K146,TL[],4,FALSE)</f>
        <v>#N/A</v>
      </c>
    </row>
    <row r="147" spans="3:12" x14ac:dyDescent="0.2">
      <c r="C147" s="216"/>
      <c r="D147" s="216"/>
      <c r="E147" s="216"/>
      <c r="F147" s="216"/>
      <c r="G147" s="220"/>
      <c r="H147" s="220"/>
      <c r="I147" s="221"/>
      <c r="J147" s="222" t="str">
        <f t="shared" si="5"/>
        <v/>
      </c>
      <c r="K147" s="44" t="str">
        <f t="shared" si="6"/>
        <v xml:space="preserve">VICTOIRE - </v>
      </c>
      <c r="L147" s="44" t="e">
        <f>+VLOOKUP(K147,TL[],4,FALSE)</f>
        <v>#N/A</v>
      </c>
    </row>
    <row r="148" spans="3:12" x14ac:dyDescent="0.2">
      <c r="C148" s="216"/>
      <c r="D148" s="216"/>
      <c r="E148" s="216"/>
      <c r="F148" s="216"/>
      <c r="G148" s="220"/>
      <c r="H148" s="220"/>
      <c r="I148" s="221"/>
      <c r="J148" s="222" t="str">
        <f t="shared" si="5"/>
        <v/>
      </c>
      <c r="K148" s="44" t="str">
        <f t="shared" si="6"/>
        <v xml:space="preserve">VICTOIRE - </v>
      </c>
      <c r="L148" s="44" t="e">
        <f>+VLOOKUP(K148,TL[],4,FALSE)</f>
        <v>#N/A</v>
      </c>
    </row>
    <row r="149" spans="3:12" x14ac:dyDescent="0.2">
      <c r="C149" s="216"/>
      <c r="D149" s="216"/>
      <c r="E149" s="216"/>
      <c r="F149" s="216"/>
      <c r="G149" s="220"/>
      <c r="H149" s="220"/>
      <c r="I149" s="221"/>
      <c r="J149" s="222" t="str">
        <f t="shared" si="5"/>
        <v/>
      </c>
      <c r="K149" s="44" t="str">
        <f t="shared" si="6"/>
        <v xml:space="preserve">VICTOIRE - </v>
      </c>
      <c r="L149" s="44" t="e">
        <f>+VLOOKUP(K149,TL[],4,FALSE)</f>
        <v>#N/A</v>
      </c>
    </row>
    <row r="150" spans="3:12" x14ac:dyDescent="0.2">
      <c r="C150" s="216"/>
      <c r="D150" s="216"/>
      <c r="E150" s="216"/>
      <c r="F150" s="216"/>
      <c r="G150" s="220"/>
      <c r="H150" s="220"/>
      <c r="I150" s="221"/>
      <c r="J150" s="222" t="str">
        <f t="shared" si="5"/>
        <v/>
      </c>
      <c r="K150" s="44" t="str">
        <f t="shared" si="6"/>
        <v xml:space="preserve">VICTOIRE - </v>
      </c>
      <c r="L150" s="44" t="e">
        <f>+VLOOKUP(K150,TL[],4,FALSE)</f>
        <v>#N/A</v>
      </c>
    </row>
    <row r="151" spans="3:12" x14ac:dyDescent="0.2">
      <c r="C151" s="216"/>
      <c r="D151" s="216"/>
      <c r="E151" s="216"/>
      <c r="F151" s="216"/>
      <c r="G151" s="220"/>
      <c r="H151" s="220"/>
      <c r="I151" s="221"/>
      <c r="J151" s="222" t="str">
        <f t="shared" si="5"/>
        <v/>
      </c>
      <c r="K151" s="44" t="str">
        <f t="shared" si="6"/>
        <v xml:space="preserve">VICTOIRE - </v>
      </c>
      <c r="L151" s="44" t="e">
        <f>+VLOOKUP(K151,TL[],4,FALSE)</f>
        <v>#N/A</v>
      </c>
    </row>
    <row r="152" spans="3:12" x14ac:dyDescent="0.2">
      <c r="C152" s="216"/>
      <c r="D152" s="216"/>
      <c r="E152" s="216"/>
      <c r="F152" s="216"/>
      <c r="G152" s="220"/>
      <c r="H152" s="220"/>
      <c r="I152" s="221"/>
      <c r="J152" s="222" t="str">
        <f t="shared" si="5"/>
        <v/>
      </c>
      <c r="K152" s="44" t="str">
        <f t="shared" si="6"/>
        <v xml:space="preserve">VICTOIRE - </v>
      </c>
      <c r="L152" s="44" t="e">
        <f>+VLOOKUP(K152,TL[],4,FALSE)</f>
        <v>#N/A</v>
      </c>
    </row>
    <row r="153" spans="3:12" x14ac:dyDescent="0.2">
      <c r="C153" s="216"/>
      <c r="D153" s="216"/>
      <c r="E153" s="216"/>
      <c r="F153" s="216"/>
      <c r="G153" s="220"/>
      <c r="H153" s="220"/>
      <c r="I153" s="221"/>
      <c r="J153" s="222" t="str">
        <f t="shared" si="5"/>
        <v/>
      </c>
      <c r="K153" s="44" t="str">
        <f t="shared" si="6"/>
        <v xml:space="preserve">VICTOIRE - </v>
      </c>
      <c r="L153" s="44" t="e">
        <f>+VLOOKUP(K153,TL[],4,FALSE)</f>
        <v>#N/A</v>
      </c>
    </row>
    <row r="154" spans="3:12" x14ac:dyDescent="0.2">
      <c r="C154" s="216"/>
      <c r="D154" s="216"/>
      <c r="E154" s="216"/>
      <c r="F154" s="216"/>
      <c r="G154" s="220"/>
      <c r="H154" s="220"/>
      <c r="I154" s="221"/>
      <c r="J154" s="222" t="str">
        <f t="shared" si="5"/>
        <v/>
      </c>
      <c r="K154" s="44" t="str">
        <f t="shared" si="6"/>
        <v xml:space="preserve">VICTOIRE - </v>
      </c>
      <c r="L154" s="44" t="e">
        <f>+VLOOKUP(K154,TL[],4,FALSE)</f>
        <v>#N/A</v>
      </c>
    </row>
    <row r="155" spans="3:12" x14ac:dyDescent="0.2">
      <c r="C155" s="216"/>
      <c r="D155" s="216"/>
      <c r="E155" s="216"/>
      <c r="F155" s="216"/>
      <c r="G155" s="220"/>
      <c r="H155" s="220"/>
      <c r="I155" s="221"/>
      <c r="J155" s="222" t="str">
        <f t="shared" si="5"/>
        <v/>
      </c>
      <c r="K155" s="44" t="str">
        <f t="shared" si="6"/>
        <v xml:space="preserve">VICTOIRE - </v>
      </c>
      <c r="L155" s="44" t="e">
        <f>+VLOOKUP(K155,TL[],4,FALSE)</f>
        <v>#N/A</v>
      </c>
    </row>
    <row r="156" spans="3:12" x14ac:dyDescent="0.2">
      <c r="C156" s="216"/>
      <c r="D156" s="216"/>
      <c r="E156" s="216"/>
      <c r="F156" s="216"/>
      <c r="G156" s="220"/>
      <c r="H156" s="220"/>
      <c r="I156" s="221"/>
      <c r="J156" s="222" t="str">
        <f t="shared" si="5"/>
        <v/>
      </c>
      <c r="K156" s="44" t="str">
        <f t="shared" si="6"/>
        <v xml:space="preserve">VICTOIRE - </v>
      </c>
      <c r="L156" s="44" t="e">
        <f>+VLOOKUP(K156,TL[],4,FALSE)</f>
        <v>#N/A</v>
      </c>
    </row>
    <row r="157" spans="3:12" x14ac:dyDescent="0.2">
      <c r="C157" s="216"/>
      <c r="D157" s="216"/>
      <c r="E157" s="216"/>
      <c r="F157" s="216"/>
      <c r="G157" s="220"/>
      <c r="H157" s="220"/>
      <c r="I157" s="221"/>
      <c r="J157" s="222" t="str">
        <f t="shared" si="5"/>
        <v/>
      </c>
      <c r="K157" s="44" t="str">
        <f t="shared" si="6"/>
        <v xml:space="preserve">VICTOIRE - </v>
      </c>
      <c r="L157" s="44" t="e">
        <f>+VLOOKUP(K157,TL[],4,FALSE)</f>
        <v>#N/A</v>
      </c>
    </row>
    <row r="158" spans="3:12" x14ac:dyDescent="0.2">
      <c r="C158" s="216"/>
      <c r="D158" s="216"/>
      <c r="E158" s="216"/>
      <c r="F158" s="216"/>
      <c r="G158" s="220"/>
      <c r="H158" s="220"/>
      <c r="I158" s="221"/>
      <c r="J158" s="222" t="str">
        <f t="shared" si="5"/>
        <v/>
      </c>
      <c r="K158" s="44" t="str">
        <f t="shared" si="6"/>
        <v xml:space="preserve">VICTOIRE - </v>
      </c>
      <c r="L158" s="44" t="e">
        <f>+VLOOKUP(K158,TL[],4,FALSE)</f>
        <v>#N/A</v>
      </c>
    </row>
    <row r="159" spans="3:12" x14ac:dyDescent="0.2">
      <c r="C159" s="216"/>
      <c r="D159" s="216"/>
      <c r="E159" s="216"/>
      <c r="F159" s="216"/>
      <c r="G159" s="220"/>
      <c r="H159" s="220"/>
      <c r="I159" s="221"/>
      <c r="J159" s="222" t="str">
        <f t="shared" si="5"/>
        <v/>
      </c>
      <c r="K159" s="44" t="str">
        <f t="shared" si="6"/>
        <v xml:space="preserve">VICTOIRE - </v>
      </c>
      <c r="L159" s="44" t="e">
        <f>+VLOOKUP(K159,TL[],4,FALSE)</f>
        <v>#N/A</v>
      </c>
    </row>
    <row r="160" spans="3:12" x14ac:dyDescent="0.2">
      <c r="C160" s="216"/>
      <c r="D160" s="216"/>
      <c r="E160" s="216"/>
      <c r="F160" s="216"/>
      <c r="G160" s="220"/>
      <c r="H160" s="220"/>
      <c r="I160" s="221"/>
      <c r="J160" s="222" t="str">
        <f t="shared" si="5"/>
        <v/>
      </c>
      <c r="K160" s="44" t="str">
        <f t="shared" si="6"/>
        <v xml:space="preserve">VICTOIRE - </v>
      </c>
      <c r="L160" s="44" t="e">
        <f>+VLOOKUP(K160,TL[],4,FALSE)</f>
        <v>#N/A</v>
      </c>
    </row>
    <row r="161" spans="3:12" x14ac:dyDescent="0.2">
      <c r="C161" s="216"/>
      <c r="D161" s="216"/>
      <c r="E161" s="216"/>
      <c r="F161" s="216"/>
      <c r="G161" s="220"/>
      <c r="H161" s="220"/>
      <c r="I161" s="221"/>
      <c r="J161" s="222" t="str">
        <f t="shared" si="5"/>
        <v/>
      </c>
      <c r="K161" s="44" t="str">
        <f t="shared" si="6"/>
        <v xml:space="preserve">VICTOIRE - </v>
      </c>
      <c r="L161" s="44" t="e">
        <f>+VLOOKUP(K161,TL[],4,FALSE)</f>
        <v>#N/A</v>
      </c>
    </row>
    <row r="162" spans="3:12" x14ac:dyDescent="0.2">
      <c r="C162" s="216"/>
      <c r="D162" s="216"/>
      <c r="E162" s="216"/>
      <c r="F162" s="216"/>
      <c r="G162" s="220"/>
      <c r="H162" s="220"/>
      <c r="I162" s="221"/>
      <c r="J162" s="222" t="str">
        <f t="shared" si="5"/>
        <v/>
      </c>
      <c r="K162" s="44" t="str">
        <f t="shared" si="6"/>
        <v xml:space="preserve">VICTOIRE - </v>
      </c>
      <c r="L162" s="44" t="e">
        <f>+VLOOKUP(K162,TL[],4,FALSE)</f>
        <v>#N/A</v>
      </c>
    </row>
    <row r="163" spans="3:12" x14ac:dyDescent="0.2">
      <c r="C163" s="216"/>
      <c r="D163" s="216"/>
      <c r="E163" s="216"/>
      <c r="F163" s="216"/>
      <c r="G163" s="220"/>
      <c r="H163" s="220"/>
      <c r="I163" s="221"/>
      <c r="J163" s="222" t="str">
        <f t="shared" si="5"/>
        <v/>
      </c>
      <c r="K163" s="44" t="str">
        <f t="shared" si="6"/>
        <v xml:space="preserve">VICTOIRE - </v>
      </c>
      <c r="L163" s="44" t="e">
        <f>+VLOOKUP(K163,TL[],4,FALSE)</f>
        <v>#N/A</v>
      </c>
    </row>
    <row r="164" spans="3:12" x14ac:dyDescent="0.2">
      <c r="C164" s="216"/>
      <c r="D164" s="216"/>
      <c r="E164" s="216"/>
      <c r="F164" s="216"/>
      <c r="G164" s="220"/>
      <c r="H164" s="220"/>
      <c r="I164" s="221"/>
      <c r="J164" s="222" t="str">
        <f t="shared" si="5"/>
        <v/>
      </c>
      <c r="K164" s="44" t="str">
        <f t="shared" si="6"/>
        <v xml:space="preserve">VICTOIRE - </v>
      </c>
      <c r="L164" s="44" t="e">
        <f>+VLOOKUP(K164,TL[],4,FALSE)</f>
        <v>#N/A</v>
      </c>
    </row>
    <row r="165" spans="3:12" x14ac:dyDescent="0.2">
      <c r="C165" s="216"/>
      <c r="D165" s="216"/>
      <c r="E165" s="216"/>
      <c r="F165" s="216"/>
      <c r="G165" s="220"/>
      <c r="H165" s="220"/>
      <c r="I165" s="221"/>
      <c r="J165" s="222" t="str">
        <f t="shared" si="5"/>
        <v/>
      </c>
      <c r="K165" s="44" t="str">
        <f t="shared" si="6"/>
        <v xml:space="preserve">VICTOIRE - </v>
      </c>
      <c r="L165" s="44" t="e">
        <f>+VLOOKUP(K165,TL[],4,FALSE)</f>
        <v>#N/A</v>
      </c>
    </row>
    <row r="166" spans="3:12" x14ac:dyDescent="0.2">
      <c r="C166" s="216"/>
      <c r="D166" s="216"/>
      <c r="E166" s="216"/>
      <c r="F166" s="216"/>
      <c r="G166" s="220"/>
      <c r="H166" s="220"/>
      <c r="I166" s="221"/>
      <c r="J166" s="222" t="str">
        <f t="shared" si="5"/>
        <v/>
      </c>
      <c r="K166" s="44" t="str">
        <f t="shared" si="6"/>
        <v xml:space="preserve">VICTOIRE - </v>
      </c>
      <c r="L166" s="44" t="e">
        <f>+VLOOKUP(K166,TL[],4,FALSE)</f>
        <v>#N/A</v>
      </c>
    </row>
    <row r="167" spans="3:12" x14ac:dyDescent="0.2">
      <c r="C167" s="216"/>
      <c r="D167" s="216"/>
      <c r="E167" s="216"/>
      <c r="F167" s="216"/>
      <c r="G167" s="220"/>
      <c r="H167" s="220"/>
      <c r="I167" s="221"/>
      <c r="J167" s="222" t="str">
        <f t="shared" si="5"/>
        <v/>
      </c>
      <c r="K167" s="44" t="str">
        <f t="shared" si="6"/>
        <v xml:space="preserve">VICTOIRE - </v>
      </c>
      <c r="L167" s="44" t="e">
        <f>+VLOOKUP(K167,TL[],4,FALSE)</f>
        <v>#N/A</v>
      </c>
    </row>
    <row r="168" spans="3:12" x14ac:dyDescent="0.2">
      <c r="C168" s="216"/>
      <c r="D168" s="216"/>
      <c r="E168" s="216"/>
      <c r="F168" s="216"/>
      <c r="G168" s="220"/>
      <c r="H168" s="220"/>
      <c r="I168" s="221"/>
      <c r="J168" s="222" t="str">
        <f t="shared" si="5"/>
        <v/>
      </c>
      <c r="K168" s="44" t="str">
        <f t="shared" si="6"/>
        <v xml:space="preserve">VICTOIRE - </v>
      </c>
      <c r="L168" s="44" t="e">
        <f>+VLOOKUP(K168,TL[],4,FALSE)</f>
        <v>#N/A</v>
      </c>
    </row>
    <row r="169" spans="3:12" x14ac:dyDescent="0.2">
      <c r="C169" s="216"/>
      <c r="D169" s="216"/>
      <c r="E169" s="216"/>
      <c r="F169" s="216"/>
      <c r="G169" s="220"/>
      <c r="H169" s="220"/>
      <c r="I169" s="221"/>
      <c r="J169" s="222" t="str">
        <f t="shared" si="5"/>
        <v/>
      </c>
      <c r="K169" s="44" t="str">
        <f t="shared" si="6"/>
        <v xml:space="preserve">VICTOIRE - </v>
      </c>
      <c r="L169" s="44" t="e">
        <f>+VLOOKUP(K169,TL[],4,FALSE)</f>
        <v>#N/A</v>
      </c>
    </row>
    <row r="170" spans="3:12" x14ac:dyDescent="0.2">
      <c r="C170" s="216"/>
      <c r="D170" s="216"/>
      <c r="E170" s="216"/>
      <c r="F170" s="216"/>
      <c r="G170" s="220"/>
      <c r="H170" s="220"/>
      <c r="I170" s="221"/>
      <c r="J170" s="222" t="str">
        <f t="shared" si="5"/>
        <v/>
      </c>
      <c r="K170" s="44" t="str">
        <f t="shared" si="6"/>
        <v xml:space="preserve">VICTOIRE - </v>
      </c>
      <c r="L170" s="44" t="e">
        <f>+VLOOKUP(K170,TL[],4,FALSE)</f>
        <v>#N/A</v>
      </c>
    </row>
    <row r="171" spans="3:12" x14ac:dyDescent="0.2">
      <c r="C171" s="216"/>
      <c r="D171" s="216"/>
      <c r="E171" s="216"/>
      <c r="F171" s="216"/>
      <c r="G171" s="220"/>
      <c r="H171" s="220"/>
      <c r="I171" s="221"/>
      <c r="J171" s="222" t="str">
        <f t="shared" si="5"/>
        <v/>
      </c>
      <c r="K171" s="44" t="str">
        <f t="shared" si="6"/>
        <v xml:space="preserve">VICTOIRE - </v>
      </c>
      <c r="L171" s="44" t="e">
        <f>+VLOOKUP(K171,TL[],4,FALSE)</f>
        <v>#N/A</v>
      </c>
    </row>
    <row r="172" spans="3:12" x14ac:dyDescent="0.2">
      <c r="C172" s="216"/>
      <c r="D172" s="216"/>
      <c r="E172" s="216"/>
      <c r="F172" s="216"/>
      <c r="G172" s="220"/>
      <c r="H172" s="220"/>
      <c r="I172" s="221"/>
      <c r="J172" s="222" t="str">
        <f t="shared" si="5"/>
        <v/>
      </c>
      <c r="K172" s="44" t="str">
        <f t="shared" si="6"/>
        <v xml:space="preserve">VICTOIRE - </v>
      </c>
      <c r="L172" s="44" t="e">
        <f>+VLOOKUP(K172,TL[],4,FALSE)</f>
        <v>#N/A</v>
      </c>
    </row>
    <row r="173" spans="3:12" x14ac:dyDescent="0.2">
      <c r="C173" s="216"/>
      <c r="D173" s="216"/>
      <c r="E173" s="216"/>
      <c r="F173" s="216"/>
      <c r="G173" s="220"/>
      <c r="H173" s="220"/>
      <c r="I173" s="221"/>
      <c r="J173" s="222" t="str">
        <f t="shared" si="5"/>
        <v/>
      </c>
      <c r="K173" s="44" t="str">
        <f t="shared" si="6"/>
        <v xml:space="preserve">VICTOIRE - </v>
      </c>
      <c r="L173" s="44" t="e">
        <f>+VLOOKUP(K173,TL[],4,FALSE)</f>
        <v>#N/A</v>
      </c>
    </row>
    <row r="174" spans="3:12" x14ac:dyDescent="0.2">
      <c r="C174" s="216"/>
      <c r="D174" s="216"/>
      <c r="E174" s="216"/>
      <c r="F174" s="216"/>
      <c r="G174" s="220">
        <f t="shared" ref="G174:G196" si="7">SUM(C174)-SUM(D174)</f>
        <v>0</v>
      </c>
      <c r="H174" s="220">
        <f t="shared" ref="H174:H196" si="8">SUM(E174)-SUM(F174)</f>
        <v>0</v>
      </c>
      <c r="I174" s="221">
        <f>IF(A174="Total",VLOOKUP(B174,CORRESPONDANCE[#All],2,FALSE),I175)</f>
        <v>0</v>
      </c>
      <c r="J174" s="222" t="str">
        <f t="shared" ref="J174:J193" si="9">LEFT(A174,1)</f>
        <v/>
      </c>
      <c r="K174" s="44" t="str">
        <f t="shared" si="6"/>
        <v xml:space="preserve">VICTOIRE - </v>
      </c>
      <c r="L174" s="44" t="e">
        <f>+VLOOKUP(K174,TL[],4,FALSE)</f>
        <v>#N/A</v>
      </c>
    </row>
    <row r="175" spans="3:12" x14ac:dyDescent="0.2">
      <c r="C175" s="216"/>
      <c r="D175" s="216"/>
      <c r="E175" s="216"/>
      <c r="F175" s="216"/>
      <c r="G175" s="220">
        <f t="shared" si="7"/>
        <v>0</v>
      </c>
      <c r="H175" s="220">
        <f t="shared" si="8"/>
        <v>0</v>
      </c>
      <c r="I175" s="221">
        <f>IF(A175="Total",VLOOKUP(B175,CORRESPONDANCE[#All],2,FALSE),I176)</f>
        <v>0</v>
      </c>
      <c r="J175" s="222" t="str">
        <f t="shared" si="9"/>
        <v/>
      </c>
      <c r="K175" s="44" t="str">
        <f t="shared" si="6"/>
        <v xml:space="preserve">VICTOIRE - </v>
      </c>
      <c r="L175" s="44" t="e">
        <f>+VLOOKUP(K175,TL[],4,FALSE)</f>
        <v>#N/A</v>
      </c>
    </row>
    <row r="176" spans="3:12" x14ac:dyDescent="0.2">
      <c r="C176" s="216"/>
      <c r="D176" s="216"/>
      <c r="E176" s="216"/>
      <c r="F176" s="216"/>
      <c r="G176" s="220">
        <f t="shared" si="7"/>
        <v>0</v>
      </c>
      <c r="H176" s="220">
        <f t="shared" si="8"/>
        <v>0</v>
      </c>
      <c r="I176" s="221">
        <f>IF(A176="Total",VLOOKUP(B176,CORRESPONDANCE[#All],2,FALSE),I177)</f>
        <v>0</v>
      </c>
      <c r="J176" s="222" t="str">
        <f t="shared" si="9"/>
        <v/>
      </c>
      <c r="K176" s="44" t="str">
        <f t="shared" si="6"/>
        <v xml:space="preserve">VICTOIRE - </v>
      </c>
      <c r="L176" s="44" t="e">
        <f>+VLOOKUP(K176,TL[],4,FALSE)</f>
        <v>#N/A</v>
      </c>
    </row>
    <row r="177" spans="3:12" x14ac:dyDescent="0.2">
      <c r="C177" s="216"/>
      <c r="D177" s="216"/>
      <c r="E177" s="216"/>
      <c r="F177" s="216"/>
      <c r="G177" s="220">
        <f t="shared" si="7"/>
        <v>0</v>
      </c>
      <c r="H177" s="220">
        <f t="shared" si="8"/>
        <v>0</v>
      </c>
      <c r="I177" s="221">
        <f>IF(A177="Total",VLOOKUP(B177,CORRESPONDANCE[#All],2,FALSE),I178)</f>
        <v>0</v>
      </c>
      <c r="J177" s="222" t="str">
        <f t="shared" si="9"/>
        <v/>
      </c>
      <c r="K177" s="44" t="str">
        <f t="shared" si="6"/>
        <v xml:space="preserve">VICTOIRE - </v>
      </c>
      <c r="L177" s="44" t="e">
        <f>+VLOOKUP(K177,TL[],4,FALSE)</f>
        <v>#N/A</v>
      </c>
    </row>
    <row r="178" spans="3:12" x14ac:dyDescent="0.2">
      <c r="C178" s="216"/>
      <c r="D178" s="216"/>
      <c r="E178" s="216"/>
      <c r="F178" s="216"/>
      <c r="G178" s="220">
        <f t="shared" si="7"/>
        <v>0</v>
      </c>
      <c r="H178" s="220">
        <f t="shared" si="8"/>
        <v>0</v>
      </c>
      <c r="I178" s="221">
        <f>IF(A178="Total",VLOOKUP(B178,CORRESPONDANCE[#All],2,FALSE),I179)</f>
        <v>0</v>
      </c>
      <c r="J178" s="222" t="str">
        <f t="shared" si="9"/>
        <v/>
      </c>
      <c r="K178" s="44" t="str">
        <f t="shared" si="6"/>
        <v xml:space="preserve">VICTOIRE - </v>
      </c>
      <c r="L178" s="44" t="e">
        <f>+VLOOKUP(K178,TL[],4,FALSE)</f>
        <v>#N/A</v>
      </c>
    </row>
    <row r="179" spans="3:12" x14ac:dyDescent="0.2">
      <c r="C179" s="216"/>
      <c r="D179" s="216"/>
      <c r="E179" s="216"/>
      <c r="F179" s="216"/>
      <c r="G179" s="220">
        <f t="shared" si="7"/>
        <v>0</v>
      </c>
      <c r="H179" s="220">
        <f t="shared" si="8"/>
        <v>0</v>
      </c>
      <c r="I179" s="221">
        <f>IF(A179="Total",VLOOKUP(B179,CORRESPONDANCE[#All],2,FALSE),I180)</f>
        <v>0</v>
      </c>
      <c r="J179" s="222" t="str">
        <f t="shared" si="9"/>
        <v/>
      </c>
      <c r="K179" s="44" t="str">
        <f t="shared" si="6"/>
        <v xml:space="preserve">VICTOIRE - </v>
      </c>
      <c r="L179" s="44" t="e">
        <f>+VLOOKUP(K179,TL[],4,FALSE)</f>
        <v>#N/A</v>
      </c>
    </row>
    <row r="180" spans="3:12" x14ac:dyDescent="0.2">
      <c r="C180" s="216"/>
      <c r="D180" s="216"/>
      <c r="E180" s="216"/>
      <c r="F180" s="216"/>
      <c r="G180" s="220">
        <f t="shared" si="7"/>
        <v>0</v>
      </c>
      <c r="H180" s="220">
        <f t="shared" si="8"/>
        <v>0</v>
      </c>
      <c r="I180" s="221">
        <f>IF(A180="Total",VLOOKUP(B180,CORRESPONDANCE[#All],2,FALSE),I181)</f>
        <v>0</v>
      </c>
      <c r="J180" s="222" t="str">
        <f t="shared" si="9"/>
        <v/>
      </c>
      <c r="K180" s="44" t="str">
        <f t="shared" si="6"/>
        <v xml:space="preserve">VICTOIRE - </v>
      </c>
      <c r="L180" s="44" t="e">
        <f>+VLOOKUP(K180,TL[],4,FALSE)</f>
        <v>#N/A</v>
      </c>
    </row>
    <row r="181" spans="3:12" x14ac:dyDescent="0.2">
      <c r="C181" s="216"/>
      <c r="D181" s="216"/>
      <c r="E181" s="216"/>
      <c r="F181" s="216"/>
      <c r="G181" s="220">
        <f t="shared" si="7"/>
        <v>0</v>
      </c>
      <c r="H181" s="220">
        <f t="shared" si="8"/>
        <v>0</v>
      </c>
      <c r="I181" s="221">
        <f>IF(A181="Total",VLOOKUP(B181,CORRESPONDANCE[#All],2,FALSE),I182)</f>
        <v>0</v>
      </c>
      <c r="J181" s="222" t="str">
        <f t="shared" si="9"/>
        <v/>
      </c>
      <c r="K181" s="44" t="str">
        <f t="shared" si="6"/>
        <v xml:space="preserve">VICTOIRE - </v>
      </c>
      <c r="L181" s="44" t="e">
        <f>+VLOOKUP(K181,TL[],4,FALSE)</f>
        <v>#N/A</v>
      </c>
    </row>
    <row r="182" spans="3:12" x14ac:dyDescent="0.2">
      <c r="C182" s="216"/>
      <c r="D182" s="216"/>
      <c r="E182" s="216"/>
      <c r="F182" s="216"/>
      <c r="G182" s="220">
        <f t="shared" si="7"/>
        <v>0</v>
      </c>
      <c r="H182" s="220">
        <f t="shared" si="8"/>
        <v>0</v>
      </c>
      <c r="I182" s="221">
        <f>IF(A182="Total",VLOOKUP(B182,CORRESPONDANCE[#All],2,FALSE),I183)</f>
        <v>0</v>
      </c>
      <c r="J182" s="222" t="str">
        <f t="shared" si="9"/>
        <v/>
      </c>
      <c r="K182" s="44" t="str">
        <f t="shared" si="6"/>
        <v xml:space="preserve">VICTOIRE - </v>
      </c>
      <c r="L182" s="44" t="e">
        <f>+VLOOKUP(K182,TL[],4,FALSE)</f>
        <v>#N/A</v>
      </c>
    </row>
    <row r="183" spans="3:12" x14ac:dyDescent="0.2">
      <c r="C183" s="216"/>
      <c r="D183" s="216"/>
      <c r="E183" s="216"/>
      <c r="F183" s="216"/>
      <c r="G183" s="220">
        <f t="shared" si="7"/>
        <v>0</v>
      </c>
      <c r="H183" s="220">
        <f t="shared" si="8"/>
        <v>0</v>
      </c>
      <c r="I183" s="221">
        <f>IF(A183="Total",VLOOKUP(B183,CORRESPONDANCE[#All],2,FALSE),I184)</f>
        <v>0</v>
      </c>
      <c r="J183" s="222" t="str">
        <f t="shared" si="9"/>
        <v/>
      </c>
      <c r="K183" s="44" t="str">
        <f t="shared" si="6"/>
        <v xml:space="preserve">VICTOIRE - </v>
      </c>
      <c r="L183" s="44" t="e">
        <f>+VLOOKUP(K183,TL[],4,FALSE)</f>
        <v>#N/A</v>
      </c>
    </row>
    <row r="184" spans="3:12" x14ac:dyDescent="0.2">
      <c r="C184" s="216"/>
      <c r="D184" s="216"/>
      <c r="E184" s="216"/>
      <c r="F184" s="216"/>
      <c r="G184" s="220">
        <f t="shared" si="7"/>
        <v>0</v>
      </c>
      <c r="H184" s="220">
        <f t="shared" si="8"/>
        <v>0</v>
      </c>
      <c r="I184" s="221">
        <f>IF(A184="Total",VLOOKUP(B184,CORRESPONDANCE[#All],2,FALSE),I185)</f>
        <v>0</v>
      </c>
      <c r="J184" s="222" t="str">
        <f t="shared" si="9"/>
        <v/>
      </c>
      <c r="K184" s="44" t="str">
        <f t="shared" si="6"/>
        <v xml:space="preserve">VICTOIRE - </v>
      </c>
      <c r="L184" s="44" t="e">
        <f>+VLOOKUP(K184,TL[],4,FALSE)</f>
        <v>#N/A</v>
      </c>
    </row>
    <row r="185" spans="3:12" x14ac:dyDescent="0.2">
      <c r="C185" s="216"/>
      <c r="D185" s="216"/>
      <c r="E185" s="216"/>
      <c r="F185" s="216"/>
      <c r="G185" s="220">
        <f t="shared" si="7"/>
        <v>0</v>
      </c>
      <c r="H185" s="220">
        <f t="shared" si="8"/>
        <v>0</v>
      </c>
      <c r="I185" s="221">
        <f>IF(A185="Total",VLOOKUP(B185,CORRESPONDANCE[#All],2,FALSE),I186)</f>
        <v>0</v>
      </c>
      <c r="J185" s="222" t="str">
        <f t="shared" si="9"/>
        <v/>
      </c>
      <c r="K185" s="44" t="str">
        <f t="shared" si="6"/>
        <v xml:space="preserve">VICTOIRE - </v>
      </c>
      <c r="L185" s="44" t="e">
        <f>+VLOOKUP(K185,TL[],4,FALSE)</f>
        <v>#N/A</v>
      </c>
    </row>
    <row r="186" spans="3:12" x14ac:dyDescent="0.2">
      <c r="C186" s="216"/>
      <c r="D186" s="216"/>
      <c r="E186" s="216"/>
      <c r="F186" s="216"/>
      <c r="G186" s="220">
        <f t="shared" si="7"/>
        <v>0</v>
      </c>
      <c r="H186" s="220">
        <f t="shared" si="8"/>
        <v>0</v>
      </c>
      <c r="I186" s="221">
        <f>IF(A186="Total",VLOOKUP(B186,CORRESPONDANCE[#All],2,FALSE),I187)</f>
        <v>0</v>
      </c>
      <c r="J186" s="222" t="str">
        <f t="shared" si="9"/>
        <v/>
      </c>
      <c r="K186" s="44" t="str">
        <f t="shared" si="6"/>
        <v xml:space="preserve">VICTOIRE - </v>
      </c>
      <c r="L186" s="44" t="e">
        <f>+VLOOKUP(K186,TL[],4,FALSE)</f>
        <v>#N/A</v>
      </c>
    </row>
    <row r="187" spans="3:12" x14ac:dyDescent="0.2">
      <c r="C187" s="216"/>
      <c r="D187" s="216"/>
      <c r="E187" s="216"/>
      <c r="F187" s="216"/>
      <c r="G187" s="220">
        <f t="shared" si="7"/>
        <v>0</v>
      </c>
      <c r="H187" s="220">
        <f t="shared" si="8"/>
        <v>0</v>
      </c>
      <c r="I187" s="221">
        <f>IF(A187="Total",VLOOKUP(B187,CORRESPONDANCE[#All],2,FALSE),I188)</f>
        <v>0</v>
      </c>
      <c r="J187" s="222" t="str">
        <f t="shared" si="9"/>
        <v/>
      </c>
      <c r="K187" s="44" t="str">
        <f t="shared" si="6"/>
        <v xml:space="preserve">VICTOIRE - </v>
      </c>
      <c r="L187" s="44" t="e">
        <f>+VLOOKUP(K187,TL[],4,FALSE)</f>
        <v>#N/A</v>
      </c>
    </row>
    <row r="188" spans="3:12" x14ac:dyDescent="0.2">
      <c r="C188" s="216"/>
      <c r="D188" s="216"/>
      <c r="E188" s="216"/>
      <c r="F188" s="216"/>
      <c r="G188" s="220">
        <f t="shared" si="7"/>
        <v>0</v>
      </c>
      <c r="H188" s="220">
        <f t="shared" si="8"/>
        <v>0</v>
      </c>
      <c r="I188" s="221">
        <f>IF(A188="Total",VLOOKUP(B188,CORRESPONDANCE[#All],2,FALSE),I189)</f>
        <v>0</v>
      </c>
      <c r="J188" s="222" t="str">
        <f t="shared" si="9"/>
        <v/>
      </c>
      <c r="K188" s="44" t="str">
        <f t="shared" si="6"/>
        <v xml:space="preserve">VICTOIRE - </v>
      </c>
      <c r="L188" s="44" t="e">
        <f>+VLOOKUP(K188,TL[],4,FALSE)</f>
        <v>#N/A</v>
      </c>
    </row>
    <row r="189" spans="3:12" x14ac:dyDescent="0.2">
      <c r="C189" s="216"/>
      <c r="D189" s="216"/>
      <c r="E189" s="216"/>
      <c r="F189" s="216"/>
      <c r="G189" s="220">
        <f t="shared" si="7"/>
        <v>0</v>
      </c>
      <c r="H189" s="220">
        <f t="shared" si="8"/>
        <v>0</v>
      </c>
      <c r="I189" s="221">
        <f>IF(A189="Total",VLOOKUP(B189,CORRESPONDANCE[#All],2,FALSE),I190)</f>
        <v>0</v>
      </c>
      <c r="J189" s="222" t="str">
        <f t="shared" si="9"/>
        <v/>
      </c>
      <c r="K189" s="44" t="str">
        <f t="shared" si="6"/>
        <v xml:space="preserve">VICTOIRE - </v>
      </c>
      <c r="L189" s="44" t="e">
        <f>+VLOOKUP(K189,TL[],4,FALSE)</f>
        <v>#N/A</v>
      </c>
    </row>
    <row r="190" spans="3:12" x14ac:dyDescent="0.2">
      <c r="C190" s="216"/>
      <c r="D190" s="216"/>
      <c r="E190" s="216"/>
      <c r="F190" s="216"/>
      <c r="G190" s="220">
        <f t="shared" si="7"/>
        <v>0</v>
      </c>
      <c r="H190" s="220">
        <f t="shared" si="8"/>
        <v>0</v>
      </c>
      <c r="I190" s="221">
        <f>IF(A190="Total",VLOOKUP(B190,CORRESPONDANCE[#All],2,FALSE),I191)</f>
        <v>0</v>
      </c>
      <c r="J190" s="222" t="str">
        <f t="shared" si="9"/>
        <v/>
      </c>
      <c r="K190" s="44" t="str">
        <f t="shared" si="6"/>
        <v xml:space="preserve">VICTOIRE - </v>
      </c>
      <c r="L190" s="44" t="e">
        <f>+VLOOKUP(K190,TL[],4,FALSE)</f>
        <v>#N/A</v>
      </c>
    </row>
    <row r="191" spans="3:12" x14ac:dyDescent="0.2">
      <c r="C191" s="216"/>
      <c r="D191" s="216"/>
      <c r="E191" s="216"/>
      <c r="F191" s="216"/>
      <c r="G191" s="220">
        <f t="shared" si="7"/>
        <v>0</v>
      </c>
      <c r="H191" s="220">
        <f t="shared" si="8"/>
        <v>0</v>
      </c>
      <c r="I191" s="221">
        <f>IF(A191="Total",VLOOKUP(B191,CORRESPONDANCE[#All],2,FALSE),I192)</f>
        <v>0</v>
      </c>
      <c r="J191" s="222" t="str">
        <f t="shared" si="9"/>
        <v/>
      </c>
      <c r="K191" s="44" t="str">
        <f t="shared" si="6"/>
        <v xml:space="preserve">VICTOIRE - </v>
      </c>
      <c r="L191" s="44" t="e">
        <f>+VLOOKUP(K191,TL[],4,FALSE)</f>
        <v>#N/A</v>
      </c>
    </row>
    <row r="192" spans="3:12" x14ac:dyDescent="0.2">
      <c r="C192" s="216"/>
      <c r="D192" s="216"/>
      <c r="E192" s="216"/>
      <c r="F192" s="216"/>
      <c r="G192" s="220">
        <f t="shared" si="7"/>
        <v>0</v>
      </c>
      <c r="H192" s="220">
        <f t="shared" si="8"/>
        <v>0</v>
      </c>
      <c r="I192" s="221">
        <f>IF(A192="Total",VLOOKUP(B192,CORRESPONDANCE[#All],2,FALSE),I193)</f>
        <v>0</v>
      </c>
      <c r="J192" s="222" t="str">
        <f t="shared" si="9"/>
        <v/>
      </c>
      <c r="K192" s="44" t="str">
        <f t="shared" si="6"/>
        <v xml:space="preserve">VICTOIRE - </v>
      </c>
      <c r="L192" s="44" t="e">
        <f>+VLOOKUP(K192,TL[],4,FALSE)</f>
        <v>#N/A</v>
      </c>
    </row>
    <row r="193" spans="3:12" x14ac:dyDescent="0.2">
      <c r="C193" s="216"/>
      <c r="D193" s="216"/>
      <c r="E193" s="216"/>
      <c r="F193" s="216"/>
      <c r="G193" s="220">
        <f t="shared" si="7"/>
        <v>0</v>
      </c>
      <c r="H193" s="220">
        <f t="shared" si="8"/>
        <v>0</v>
      </c>
      <c r="I193" s="221">
        <f>IF(A193="Total",VLOOKUP(B193,CORRESPONDANCE[#All],2,FALSE),I194)</f>
        <v>0</v>
      </c>
      <c r="J193" s="222" t="str">
        <f t="shared" si="9"/>
        <v/>
      </c>
      <c r="K193" s="44" t="str">
        <f t="shared" si="6"/>
        <v xml:space="preserve">VICTOIRE - </v>
      </c>
      <c r="L193" s="44" t="e">
        <f>+VLOOKUP(K193,TL[],4,FALSE)</f>
        <v>#N/A</v>
      </c>
    </row>
    <row r="194" spans="3:12" x14ac:dyDescent="0.2">
      <c r="C194" s="216"/>
      <c r="D194" s="216"/>
      <c r="E194" s="216"/>
      <c r="F194" s="216"/>
      <c r="G194" s="220">
        <f t="shared" si="7"/>
        <v>0</v>
      </c>
      <c r="H194" s="220">
        <f t="shared" si="8"/>
        <v>0</v>
      </c>
      <c r="I194" s="221">
        <f>IF(A194="Total",VLOOKUP(B194,CORRESPONDANCE[#All],2,FALSE),I195)</f>
        <v>0</v>
      </c>
      <c r="J194" s="222" t="str">
        <f t="shared" ref="J194:J249" si="10">LEFT(A194,1)</f>
        <v/>
      </c>
      <c r="K194" s="44" t="str">
        <f t="shared" ref="K194:K252" si="11">"VICTOIRE"&amp;" - "&amp;A194</f>
        <v xml:space="preserve">VICTOIRE - </v>
      </c>
      <c r="L194" s="44" t="e">
        <f>+VLOOKUP(K194,TL[],4,FALSE)</f>
        <v>#N/A</v>
      </c>
    </row>
    <row r="195" spans="3:12" x14ac:dyDescent="0.2">
      <c r="C195" s="216"/>
      <c r="D195" s="216"/>
      <c r="E195" s="216"/>
      <c r="F195" s="216"/>
      <c r="G195" s="220">
        <f t="shared" si="7"/>
        <v>0</v>
      </c>
      <c r="H195" s="220">
        <f t="shared" si="8"/>
        <v>0</v>
      </c>
      <c r="I195" s="221">
        <f>IF(A195="Total",VLOOKUP(B195,CORRESPONDANCE[#All],2,FALSE),I196)</f>
        <v>0</v>
      </c>
      <c r="J195" s="222" t="str">
        <f t="shared" si="10"/>
        <v/>
      </c>
      <c r="K195" s="44" t="str">
        <f t="shared" si="11"/>
        <v xml:space="preserve">VICTOIRE - </v>
      </c>
      <c r="L195" s="44" t="e">
        <f>+VLOOKUP(K195,TL[],4,FALSE)</f>
        <v>#N/A</v>
      </c>
    </row>
    <row r="196" spans="3:12" x14ac:dyDescent="0.2">
      <c r="C196" s="216"/>
      <c r="D196" s="216"/>
      <c r="E196" s="216"/>
      <c r="F196" s="216"/>
      <c r="G196" s="220">
        <f t="shared" si="7"/>
        <v>0</v>
      </c>
      <c r="H196" s="220">
        <f t="shared" si="8"/>
        <v>0</v>
      </c>
      <c r="I196" s="221">
        <f>IF(A196="Total",VLOOKUP(B196,CORRESPONDANCE[#All],2,FALSE),I197)</f>
        <v>0</v>
      </c>
      <c r="J196" s="222" t="str">
        <f t="shared" si="10"/>
        <v/>
      </c>
      <c r="K196" s="44" t="str">
        <f t="shared" si="11"/>
        <v xml:space="preserve">VICTOIRE - </v>
      </c>
      <c r="L196" s="44" t="e">
        <f>+VLOOKUP(K196,TL[],4,FALSE)</f>
        <v>#N/A</v>
      </c>
    </row>
    <row r="197" spans="3:12" x14ac:dyDescent="0.2">
      <c r="C197" s="216"/>
      <c r="D197" s="216"/>
      <c r="E197" s="216"/>
      <c r="F197" s="216"/>
      <c r="G197" s="220">
        <f t="shared" ref="G197:G249" si="12">SUM(C197)-SUM(D197)</f>
        <v>0</v>
      </c>
      <c r="H197" s="220">
        <f t="shared" ref="H197:H249" si="13">SUM(E197)-SUM(F197)</f>
        <v>0</v>
      </c>
      <c r="I197" s="221">
        <f>IF(A197="Total",VLOOKUP(B197,CORRESPONDANCE[#All],2,FALSE),I198)</f>
        <v>0</v>
      </c>
      <c r="J197" s="222" t="str">
        <f t="shared" si="10"/>
        <v/>
      </c>
      <c r="K197" s="44" t="str">
        <f t="shared" si="11"/>
        <v xml:space="preserve">VICTOIRE - </v>
      </c>
      <c r="L197" s="44" t="e">
        <f>+VLOOKUP(K197,TL[],4,FALSE)</f>
        <v>#N/A</v>
      </c>
    </row>
    <row r="198" spans="3:12" x14ac:dyDescent="0.2">
      <c r="C198" s="216"/>
      <c r="D198" s="216"/>
      <c r="E198" s="216"/>
      <c r="F198" s="216"/>
      <c r="G198" s="220">
        <f t="shared" si="12"/>
        <v>0</v>
      </c>
      <c r="H198" s="220">
        <f t="shared" si="13"/>
        <v>0</v>
      </c>
      <c r="I198" s="221">
        <f>IF(A198="Total",VLOOKUP(B198,CORRESPONDANCE[#All],2,FALSE),I199)</f>
        <v>0</v>
      </c>
      <c r="J198" s="222" t="str">
        <f t="shared" si="10"/>
        <v/>
      </c>
      <c r="K198" s="44" t="str">
        <f t="shared" si="11"/>
        <v xml:space="preserve">VICTOIRE - </v>
      </c>
      <c r="L198" s="44" t="e">
        <f>+VLOOKUP(K198,TL[],4,FALSE)</f>
        <v>#N/A</v>
      </c>
    </row>
    <row r="199" spans="3:12" x14ac:dyDescent="0.2">
      <c r="C199" s="216"/>
      <c r="D199" s="216"/>
      <c r="E199" s="216"/>
      <c r="F199" s="216"/>
      <c r="G199" s="220">
        <f t="shared" si="12"/>
        <v>0</v>
      </c>
      <c r="H199" s="220">
        <f t="shared" si="13"/>
        <v>0</v>
      </c>
      <c r="I199" s="221">
        <f>IF(A199="Total",VLOOKUP(B199,CORRESPONDANCE[#All],2,FALSE),I200)</f>
        <v>0</v>
      </c>
      <c r="J199" s="222" t="str">
        <f t="shared" si="10"/>
        <v/>
      </c>
      <c r="K199" s="44" t="str">
        <f t="shared" si="11"/>
        <v xml:space="preserve">VICTOIRE - </v>
      </c>
      <c r="L199" s="44" t="e">
        <f>+VLOOKUP(K199,TL[],4,FALSE)</f>
        <v>#N/A</v>
      </c>
    </row>
    <row r="200" spans="3:12" x14ac:dyDescent="0.2">
      <c r="C200" s="216"/>
      <c r="D200" s="216"/>
      <c r="E200" s="216"/>
      <c r="F200" s="216"/>
      <c r="G200" s="220">
        <f t="shared" si="12"/>
        <v>0</v>
      </c>
      <c r="H200" s="220">
        <f t="shared" si="13"/>
        <v>0</v>
      </c>
      <c r="I200" s="221">
        <f>IF(A200="Total",VLOOKUP(B200,CORRESPONDANCE[#All],2,FALSE),I201)</f>
        <v>0</v>
      </c>
      <c r="J200" s="222" t="str">
        <f t="shared" si="10"/>
        <v/>
      </c>
      <c r="K200" s="44" t="str">
        <f t="shared" si="11"/>
        <v xml:space="preserve">VICTOIRE - </v>
      </c>
      <c r="L200" s="44" t="e">
        <f>+VLOOKUP(K200,TL[],4,FALSE)</f>
        <v>#N/A</v>
      </c>
    </row>
    <row r="201" spans="3:12" x14ac:dyDescent="0.2">
      <c r="C201" s="216"/>
      <c r="D201" s="216"/>
      <c r="E201" s="216"/>
      <c r="F201" s="216"/>
      <c r="G201" s="220">
        <f t="shared" si="12"/>
        <v>0</v>
      </c>
      <c r="H201" s="220">
        <f t="shared" si="13"/>
        <v>0</v>
      </c>
      <c r="I201" s="221">
        <f>IF(A201="Total",VLOOKUP(B201,CORRESPONDANCE[#All],2,FALSE),I202)</f>
        <v>0</v>
      </c>
      <c r="J201" s="222" t="str">
        <f t="shared" si="10"/>
        <v/>
      </c>
      <c r="K201" s="44" t="str">
        <f t="shared" si="11"/>
        <v xml:space="preserve">VICTOIRE - </v>
      </c>
      <c r="L201" s="44" t="e">
        <f>+VLOOKUP(K201,TL[],4,FALSE)</f>
        <v>#N/A</v>
      </c>
    </row>
    <row r="202" spans="3:12" x14ac:dyDescent="0.2">
      <c r="C202" s="216"/>
      <c r="D202" s="216"/>
      <c r="E202" s="216"/>
      <c r="F202" s="216"/>
      <c r="G202" s="220">
        <f t="shared" si="12"/>
        <v>0</v>
      </c>
      <c r="H202" s="220">
        <f t="shared" si="13"/>
        <v>0</v>
      </c>
      <c r="I202" s="221">
        <f>IF(A202="Total",VLOOKUP(B202,CORRESPONDANCE[#All],2,FALSE),I203)</f>
        <v>0</v>
      </c>
      <c r="J202" s="222" t="str">
        <f t="shared" si="10"/>
        <v/>
      </c>
      <c r="K202" s="44" t="str">
        <f t="shared" si="11"/>
        <v xml:space="preserve">VICTOIRE - </v>
      </c>
      <c r="L202" s="44" t="e">
        <f>+VLOOKUP(K202,TL[],4,FALSE)</f>
        <v>#N/A</v>
      </c>
    </row>
    <row r="203" spans="3:12" x14ac:dyDescent="0.2">
      <c r="C203" s="216"/>
      <c r="D203" s="216"/>
      <c r="E203" s="216"/>
      <c r="F203" s="216"/>
      <c r="G203" s="220">
        <f t="shared" si="12"/>
        <v>0</v>
      </c>
      <c r="H203" s="220">
        <f t="shared" si="13"/>
        <v>0</v>
      </c>
      <c r="I203" s="221">
        <f>IF(A203="Total",VLOOKUP(B203,CORRESPONDANCE[#All],2,FALSE),I204)</f>
        <v>0</v>
      </c>
      <c r="J203" s="222" t="str">
        <f t="shared" si="10"/>
        <v/>
      </c>
      <c r="K203" s="44" t="str">
        <f t="shared" si="11"/>
        <v xml:space="preserve">VICTOIRE - </v>
      </c>
      <c r="L203" s="44" t="e">
        <f>+VLOOKUP(K203,TL[],4,FALSE)</f>
        <v>#N/A</v>
      </c>
    </row>
    <row r="204" spans="3:12" x14ac:dyDescent="0.2">
      <c r="C204" s="216"/>
      <c r="D204" s="216"/>
      <c r="E204" s="216"/>
      <c r="F204" s="216"/>
      <c r="G204" s="220">
        <f t="shared" si="12"/>
        <v>0</v>
      </c>
      <c r="H204" s="220">
        <f t="shared" si="13"/>
        <v>0</v>
      </c>
      <c r="I204" s="221">
        <f>IF(A204="Total",VLOOKUP(B204,CORRESPONDANCE[#All],2,FALSE),I205)</f>
        <v>0</v>
      </c>
      <c r="J204" s="222" t="str">
        <f t="shared" si="10"/>
        <v/>
      </c>
      <c r="K204" s="44" t="str">
        <f t="shared" si="11"/>
        <v xml:space="preserve">VICTOIRE - </v>
      </c>
      <c r="L204" s="44" t="e">
        <f>+VLOOKUP(K204,TL[],4,FALSE)</f>
        <v>#N/A</v>
      </c>
    </row>
    <row r="205" spans="3:12" x14ac:dyDescent="0.2">
      <c r="C205" s="216"/>
      <c r="D205" s="216"/>
      <c r="E205" s="216"/>
      <c r="F205" s="216"/>
      <c r="G205" s="220">
        <f t="shared" si="12"/>
        <v>0</v>
      </c>
      <c r="H205" s="220">
        <f t="shared" si="13"/>
        <v>0</v>
      </c>
      <c r="I205" s="221">
        <f>IF(A205="Total",VLOOKUP(B205,CORRESPONDANCE[#All],2,FALSE),I206)</f>
        <v>0</v>
      </c>
      <c r="J205" s="222" t="str">
        <f t="shared" si="10"/>
        <v/>
      </c>
      <c r="K205" s="44" t="str">
        <f t="shared" si="11"/>
        <v xml:space="preserve">VICTOIRE - </v>
      </c>
      <c r="L205" s="44" t="e">
        <f>+VLOOKUP(K205,TL[],4,FALSE)</f>
        <v>#N/A</v>
      </c>
    </row>
    <row r="206" spans="3:12" x14ac:dyDescent="0.2">
      <c r="C206" s="216"/>
      <c r="D206" s="216"/>
      <c r="E206" s="216"/>
      <c r="F206" s="216"/>
      <c r="G206" s="220">
        <f t="shared" si="12"/>
        <v>0</v>
      </c>
      <c r="H206" s="220">
        <f t="shared" si="13"/>
        <v>0</v>
      </c>
      <c r="I206" s="221">
        <f>IF(A206="Total",VLOOKUP(B206,CORRESPONDANCE[#All],2,FALSE),I207)</f>
        <v>0</v>
      </c>
      <c r="J206" s="222" t="str">
        <f t="shared" si="10"/>
        <v/>
      </c>
      <c r="K206" s="44" t="str">
        <f t="shared" si="11"/>
        <v xml:space="preserve">VICTOIRE - </v>
      </c>
      <c r="L206" s="44" t="e">
        <f>+VLOOKUP(K206,TL[],4,FALSE)</f>
        <v>#N/A</v>
      </c>
    </row>
    <row r="207" spans="3:12" x14ac:dyDescent="0.2">
      <c r="C207" s="216"/>
      <c r="D207" s="216"/>
      <c r="E207" s="216"/>
      <c r="F207" s="216"/>
      <c r="G207" s="220">
        <f t="shared" si="12"/>
        <v>0</v>
      </c>
      <c r="H207" s="220">
        <f t="shared" si="13"/>
        <v>0</v>
      </c>
      <c r="I207" s="221">
        <f>IF(A207="Total",VLOOKUP(B207,CORRESPONDANCE[#All],2,FALSE),I208)</f>
        <v>0</v>
      </c>
      <c r="J207" s="222" t="str">
        <f t="shared" si="10"/>
        <v/>
      </c>
      <c r="K207" s="44" t="str">
        <f t="shared" si="11"/>
        <v xml:space="preserve">VICTOIRE - </v>
      </c>
      <c r="L207" s="44" t="e">
        <f>+VLOOKUP(K207,TL[],4,FALSE)</f>
        <v>#N/A</v>
      </c>
    </row>
    <row r="208" spans="3:12" x14ac:dyDescent="0.2">
      <c r="C208" s="216"/>
      <c r="D208" s="216"/>
      <c r="E208" s="216"/>
      <c r="F208" s="216"/>
      <c r="G208" s="220">
        <f t="shared" si="12"/>
        <v>0</v>
      </c>
      <c r="H208" s="220">
        <f t="shared" si="13"/>
        <v>0</v>
      </c>
      <c r="I208" s="221">
        <f>IF(A208="Total",VLOOKUP(B208,CORRESPONDANCE[#All],2,FALSE),I209)</f>
        <v>0</v>
      </c>
      <c r="J208" s="222" t="str">
        <f t="shared" si="10"/>
        <v/>
      </c>
      <c r="K208" s="44" t="str">
        <f t="shared" si="11"/>
        <v xml:space="preserve">VICTOIRE - </v>
      </c>
      <c r="L208" s="44" t="e">
        <f>+VLOOKUP(K208,TL[],4,FALSE)</f>
        <v>#N/A</v>
      </c>
    </row>
    <row r="209" spans="3:12" x14ac:dyDescent="0.2">
      <c r="C209" s="216"/>
      <c r="D209" s="216"/>
      <c r="E209" s="216"/>
      <c r="F209" s="216"/>
      <c r="G209" s="220">
        <f t="shared" si="12"/>
        <v>0</v>
      </c>
      <c r="H209" s="220">
        <f t="shared" si="13"/>
        <v>0</v>
      </c>
      <c r="I209" s="221">
        <f>IF(A209="Total",VLOOKUP(B209,CORRESPONDANCE[#All],2,FALSE),I210)</f>
        <v>0</v>
      </c>
      <c r="J209" s="222" t="str">
        <f t="shared" si="10"/>
        <v/>
      </c>
      <c r="K209" s="44" t="str">
        <f t="shared" si="11"/>
        <v xml:space="preserve">VICTOIRE - </v>
      </c>
      <c r="L209" s="44" t="e">
        <f>+VLOOKUP(K209,TL[],4,FALSE)</f>
        <v>#N/A</v>
      </c>
    </row>
    <row r="210" spans="3:12" x14ac:dyDescent="0.2">
      <c r="C210" s="216"/>
      <c r="D210" s="216"/>
      <c r="E210" s="216"/>
      <c r="F210" s="216"/>
      <c r="G210" s="220">
        <f t="shared" si="12"/>
        <v>0</v>
      </c>
      <c r="H210" s="220">
        <f t="shared" si="13"/>
        <v>0</v>
      </c>
      <c r="I210" s="221">
        <f>IF(A210="Total",VLOOKUP(B210,CORRESPONDANCE[#All],2,FALSE),I211)</f>
        <v>0</v>
      </c>
      <c r="J210" s="222" t="str">
        <f t="shared" si="10"/>
        <v/>
      </c>
      <c r="K210" s="44" t="str">
        <f t="shared" si="11"/>
        <v xml:space="preserve">VICTOIRE - </v>
      </c>
      <c r="L210" s="44" t="e">
        <f>+VLOOKUP(K210,TL[],4,FALSE)</f>
        <v>#N/A</v>
      </c>
    </row>
    <row r="211" spans="3:12" x14ac:dyDescent="0.2">
      <c r="C211" s="216"/>
      <c r="D211" s="216"/>
      <c r="E211" s="216"/>
      <c r="F211" s="216"/>
      <c r="G211" s="220">
        <f t="shared" si="12"/>
        <v>0</v>
      </c>
      <c r="H211" s="220">
        <f t="shared" si="13"/>
        <v>0</v>
      </c>
      <c r="I211" s="221">
        <f>IF(A211="Total",VLOOKUP(B211,CORRESPONDANCE[#All],2,FALSE),I212)</f>
        <v>0</v>
      </c>
      <c r="J211" s="222" t="str">
        <f t="shared" si="10"/>
        <v/>
      </c>
      <c r="K211" s="44" t="str">
        <f t="shared" si="11"/>
        <v xml:space="preserve">VICTOIRE - </v>
      </c>
      <c r="L211" s="44" t="e">
        <f>+VLOOKUP(K211,TL[],4,FALSE)</f>
        <v>#N/A</v>
      </c>
    </row>
    <row r="212" spans="3:12" x14ac:dyDescent="0.2">
      <c r="C212" s="216"/>
      <c r="D212" s="216"/>
      <c r="E212" s="216"/>
      <c r="F212" s="216"/>
      <c r="G212" s="220">
        <f t="shared" si="12"/>
        <v>0</v>
      </c>
      <c r="H212" s="220">
        <f t="shared" si="13"/>
        <v>0</v>
      </c>
      <c r="I212" s="221">
        <f>IF(A212="Total",VLOOKUP(B212,CORRESPONDANCE[#All],2,FALSE),I213)</f>
        <v>0</v>
      </c>
      <c r="J212" s="222" t="str">
        <f t="shared" si="10"/>
        <v/>
      </c>
      <c r="K212" s="44" t="str">
        <f t="shared" si="11"/>
        <v xml:space="preserve">VICTOIRE - </v>
      </c>
      <c r="L212" s="44" t="e">
        <f>+VLOOKUP(K212,TL[],4,FALSE)</f>
        <v>#N/A</v>
      </c>
    </row>
    <row r="213" spans="3:12" x14ac:dyDescent="0.2">
      <c r="C213" s="216"/>
      <c r="D213" s="216"/>
      <c r="E213" s="216"/>
      <c r="F213" s="216"/>
      <c r="G213" s="220">
        <f t="shared" si="12"/>
        <v>0</v>
      </c>
      <c r="H213" s="220">
        <f t="shared" si="13"/>
        <v>0</v>
      </c>
      <c r="I213" s="221">
        <f>IF(A213="Total",VLOOKUP(B213,CORRESPONDANCE[#All],2,FALSE),I214)</f>
        <v>0</v>
      </c>
      <c r="J213" s="222" t="str">
        <f t="shared" si="10"/>
        <v/>
      </c>
      <c r="K213" s="44" t="str">
        <f t="shared" si="11"/>
        <v xml:space="preserve">VICTOIRE - </v>
      </c>
      <c r="L213" s="44" t="e">
        <f>+VLOOKUP(K213,TL[],4,FALSE)</f>
        <v>#N/A</v>
      </c>
    </row>
    <row r="214" spans="3:12" x14ac:dyDescent="0.2">
      <c r="C214" s="216"/>
      <c r="D214" s="216"/>
      <c r="E214" s="216"/>
      <c r="F214" s="216"/>
      <c r="G214" s="220">
        <f t="shared" si="12"/>
        <v>0</v>
      </c>
      <c r="H214" s="220">
        <f t="shared" si="13"/>
        <v>0</v>
      </c>
      <c r="I214" s="221">
        <f>IF(A214="Total",VLOOKUP(B214,CORRESPONDANCE[#All],2,FALSE),I215)</f>
        <v>0</v>
      </c>
      <c r="J214" s="222" t="str">
        <f t="shared" si="10"/>
        <v/>
      </c>
      <c r="K214" s="44" t="str">
        <f t="shared" si="11"/>
        <v xml:space="preserve">VICTOIRE - </v>
      </c>
      <c r="L214" s="44" t="e">
        <f>+VLOOKUP(K214,TL[],4,FALSE)</f>
        <v>#N/A</v>
      </c>
    </row>
    <row r="215" spans="3:12" x14ac:dyDescent="0.2">
      <c r="C215" s="216"/>
      <c r="D215" s="216"/>
      <c r="E215" s="216"/>
      <c r="F215" s="216"/>
      <c r="G215" s="220">
        <f t="shared" si="12"/>
        <v>0</v>
      </c>
      <c r="H215" s="220">
        <f t="shared" si="13"/>
        <v>0</v>
      </c>
      <c r="I215" s="221">
        <f>IF(A215="Total",VLOOKUP(B215,CORRESPONDANCE[#All],2,FALSE),I216)</f>
        <v>0</v>
      </c>
      <c r="J215" s="222" t="str">
        <f t="shared" si="10"/>
        <v/>
      </c>
      <c r="K215" s="44" t="str">
        <f t="shared" si="11"/>
        <v xml:space="preserve">VICTOIRE - </v>
      </c>
      <c r="L215" s="44" t="e">
        <f>+VLOOKUP(K215,TL[],4,FALSE)</f>
        <v>#N/A</v>
      </c>
    </row>
    <row r="216" spans="3:12" x14ac:dyDescent="0.2">
      <c r="C216" s="216"/>
      <c r="D216" s="216"/>
      <c r="E216" s="216"/>
      <c r="F216" s="216"/>
      <c r="G216" s="220">
        <f t="shared" si="12"/>
        <v>0</v>
      </c>
      <c r="H216" s="220">
        <f t="shared" si="13"/>
        <v>0</v>
      </c>
      <c r="I216" s="221">
        <f>IF(A216="Total",VLOOKUP(B216,CORRESPONDANCE[#All],2,FALSE),I217)</f>
        <v>0</v>
      </c>
      <c r="J216" s="222" t="str">
        <f t="shared" si="10"/>
        <v/>
      </c>
      <c r="K216" s="44" t="str">
        <f t="shared" si="11"/>
        <v xml:space="preserve">VICTOIRE - </v>
      </c>
      <c r="L216" s="44" t="e">
        <f>+VLOOKUP(K216,TL[],4,FALSE)</f>
        <v>#N/A</v>
      </c>
    </row>
    <row r="217" spans="3:12" x14ac:dyDescent="0.2">
      <c r="C217" s="216"/>
      <c r="D217" s="216"/>
      <c r="E217" s="216"/>
      <c r="F217" s="216"/>
      <c r="G217" s="220">
        <f t="shared" si="12"/>
        <v>0</v>
      </c>
      <c r="H217" s="220">
        <f t="shared" si="13"/>
        <v>0</v>
      </c>
      <c r="I217" s="221">
        <f>IF(A217="Total",VLOOKUP(B217,CORRESPONDANCE[#All],2,FALSE),I218)</f>
        <v>0</v>
      </c>
      <c r="J217" s="222" t="str">
        <f t="shared" si="10"/>
        <v/>
      </c>
      <c r="K217" s="44" t="str">
        <f t="shared" si="11"/>
        <v xml:space="preserve">VICTOIRE - </v>
      </c>
      <c r="L217" s="44" t="e">
        <f>+VLOOKUP(K217,TL[],4,FALSE)</f>
        <v>#N/A</v>
      </c>
    </row>
    <row r="218" spans="3:12" x14ac:dyDescent="0.2">
      <c r="C218" s="216"/>
      <c r="D218" s="216"/>
      <c r="E218" s="216"/>
      <c r="F218" s="216"/>
      <c r="G218" s="220">
        <f t="shared" si="12"/>
        <v>0</v>
      </c>
      <c r="H218" s="220">
        <f t="shared" si="13"/>
        <v>0</v>
      </c>
      <c r="I218" s="221">
        <f>IF(A218="Total",VLOOKUP(B218,CORRESPONDANCE[#All],2,FALSE),I219)</f>
        <v>0</v>
      </c>
      <c r="J218" s="222" t="str">
        <f t="shared" si="10"/>
        <v/>
      </c>
      <c r="K218" s="44" t="str">
        <f t="shared" si="11"/>
        <v xml:space="preserve">VICTOIRE - </v>
      </c>
      <c r="L218" s="44" t="e">
        <f>+VLOOKUP(K218,TL[],4,FALSE)</f>
        <v>#N/A</v>
      </c>
    </row>
    <row r="219" spans="3:12" x14ac:dyDescent="0.2">
      <c r="C219" s="216"/>
      <c r="D219" s="216"/>
      <c r="E219" s="216"/>
      <c r="F219" s="216"/>
      <c r="G219" s="220">
        <f t="shared" si="12"/>
        <v>0</v>
      </c>
      <c r="H219" s="220">
        <f t="shared" si="13"/>
        <v>0</v>
      </c>
      <c r="I219" s="221">
        <f>IF(A219="Total",VLOOKUP(B219,CORRESPONDANCE[#All],2,FALSE),I220)</f>
        <v>0</v>
      </c>
      <c r="J219" s="222" t="str">
        <f t="shared" si="10"/>
        <v/>
      </c>
      <c r="K219" s="44" t="str">
        <f t="shared" si="11"/>
        <v xml:space="preserve">VICTOIRE - </v>
      </c>
      <c r="L219" s="44" t="e">
        <f>+VLOOKUP(K219,TL[],4,FALSE)</f>
        <v>#N/A</v>
      </c>
    </row>
    <row r="220" spans="3:12" x14ac:dyDescent="0.2">
      <c r="C220" s="216"/>
      <c r="D220" s="216"/>
      <c r="E220" s="216"/>
      <c r="F220" s="216"/>
      <c r="G220" s="220">
        <f t="shared" si="12"/>
        <v>0</v>
      </c>
      <c r="H220" s="220">
        <f t="shared" si="13"/>
        <v>0</v>
      </c>
      <c r="I220" s="221">
        <f>IF(A220="Total",VLOOKUP(B220,CORRESPONDANCE[#All],2,FALSE),I221)</f>
        <v>0</v>
      </c>
      <c r="J220" s="222" t="str">
        <f t="shared" si="10"/>
        <v/>
      </c>
      <c r="K220" s="44" t="str">
        <f t="shared" si="11"/>
        <v xml:space="preserve">VICTOIRE - </v>
      </c>
      <c r="L220" s="44" t="e">
        <f>+VLOOKUP(K220,TL[],4,FALSE)</f>
        <v>#N/A</v>
      </c>
    </row>
    <row r="221" spans="3:12" x14ac:dyDescent="0.2">
      <c r="C221" s="216"/>
      <c r="D221" s="216"/>
      <c r="E221" s="216"/>
      <c r="F221" s="216"/>
      <c r="G221" s="220">
        <f t="shared" si="12"/>
        <v>0</v>
      </c>
      <c r="H221" s="220">
        <f t="shared" si="13"/>
        <v>0</v>
      </c>
      <c r="I221" s="221">
        <f>IF(A221="Total",VLOOKUP(B221,CORRESPONDANCE[#All],2,FALSE),I222)</f>
        <v>0</v>
      </c>
      <c r="J221" s="222" t="str">
        <f t="shared" si="10"/>
        <v/>
      </c>
      <c r="K221" s="44" t="str">
        <f t="shared" si="11"/>
        <v xml:space="preserve">VICTOIRE - </v>
      </c>
      <c r="L221" s="44" t="e">
        <f>+VLOOKUP(K221,TL[],4,FALSE)</f>
        <v>#N/A</v>
      </c>
    </row>
    <row r="222" spans="3:12" x14ac:dyDescent="0.2">
      <c r="C222" s="216"/>
      <c r="D222" s="216"/>
      <c r="E222" s="216"/>
      <c r="F222" s="216"/>
      <c r="G222" s="220">
        <f t="shared" si="12"/>
        <v>0</v>
      </c>
      <c r="H222" s="220">
        <f t="shared" si="13"/>
        <v>0</v>
      </c>
      <c r="I222" s="221">
        <f>IF(A222="Total",VLOOKUP(B222,CORRESPONDANCE[#All],2,FALSE),I223)</f>
        <v>0</v>
      </c>
      <c r="J222" s="222" t="str">
        <f t="shared" si="10"/>
        <v/>
      </c>
      <c r="K222" s="44" t="str">
        <f t="shared" si="11"/>
        <v xml:space="preserve">VICTOIRE - </v>
      </c>
      <c r="L222" s="44" t="e">
        <f>+VLOOKUP(K222,TL[],4,FALSE)</f>
        <v>#N/A</v>
      </c>
    </row>
    <row r="223" spans="3:12" x14ac:dyDescent="0.2">
      <c r="C223" s="216"/>
      <c r="D223" s="216"/>
      <c r="E223" s="216"/>
      <c r="F223" s="216"/>
      <c r="G223" s="220">
        <f t="shared" si="12"/>
        <v>0</v>
      </c>
      <c r="H223" s="220">
        <f t="shared" si="13"/>
        <v>0</v>
      </c>
      <c r="I223" s="221">
        <f>IF(A223="Total",VLOOKUP(B223,CORRESPONDANCE[#All],2,FALSE),I224)</f>
        <v>0</v>
      </c>
      <c r="J223" s="222" t="str">
        <f t="shared" si="10"/>
        <v/>
      </c>
      <c r="K223" s="44" t="str">
        <f t="shared" si="11"/>
        <v xml:space="preserve">VICTOIRE - </v>
      </c>
      <c r="L223" s="44" t="e">
        <f>+VLOOKUP(K223,TL[],4,FALSE)</f>
        <v>#N/A</v>
      </c>
    </row>
    <row r="224" spans="3:12" x14ac:dyDescent="0.2">
      <c r="C224" s="216"/>
      <c r="D224" s="216"/>
      <c r="E224" s="216"/>
      <c r="F224" s="216"/>
      <c r="G224" s="220">
        <f t="shared" si="12"/>
        <v>0</v>
      </c>
      <c r="H224" s="220">
        <f t="shared" si="13"/>
        <v>0</v>
      </c>
      <c r="I224" s="221">
        <f>IF(A224="Total",VLOOKUP(B224,CORRESPONDANCE[#All],2,FALSE),I225)</f>
        <v>0</v>
      </c>
      <c r="J224" s="222" t="str">
        <f t="shared" si="10"/>
        <v/>
      </c>
      <c r="K224" s="44" t="str">
        <f t="shared" si="11"/>
        <v xml:space="preserve">VICTOIRE - </v>
      </c>
      <c r="L224" s="44" t="e">
        <f>+VLOOKUP(K224,TL[],4,FALSE)</f>
        <v>#N/A</v>
      </c>
    </row>
    <row r="225" spans="3:12" x14ac:dyDescent="0.2">
      <c r="C225" s="216"/>
      <c r="D225" s="216"/>
      <c r="E225" s="216"/>
      <c r="F225" s="216"/>
      <c r="G225" s="220">
        <f t="shared" si="12"/>
        <v>0</v>
      </c>
      <c r="H225" s="220">
        <f t="shared" si="13"/>
        <v>0</v>
      </c>
      <c r="I225" s="221">
        <f>IF(A225="Total",VLOOKUP(B225,CORRESPONDANCE[#All],2,FALSE),I226)</f>
        <v>0</v>
      </c>
      <c r="J225" s="222" t="str">
        <f t="shared" si="10"/>
        <v/>
      </c>
      <c r="K225" s="44" t="str">
        <f t="shared" si="11"/>
        <v xml:space="preserve">VICTOIRE - </v>
      </c>
      <c r="L225" s="44" t="e">
        <f>+VLOOKUP(K225,TL[],4,FALSE)</f>
        <v>#N/A</v>
      </c>
    </row>
    <row r="226" spans="3:12" x14ac:dyDescent="0.2">
      <c r="C226" s="216"/>
      <c r="D226" s="216"/>
      <c r="E226" s="216"/>
      <c r="F226" s="216"/>
      <c r="G226" s="220">
        <f t="shared" si="12"/>
        <v>0</v>
      </c>
      <c r="H226" s="220">
        <f t="shared" si="13"/>
        <v>0</v>
      </c>
      <c r="I226" s="221">
        <f>IF(A226="Total",VLOOKUP(B226,CORRESPONDANCE[#All],2,FALSE),I227)</f>
        <v>0</v>
      </c>
      <c r="J226" s="222" t="str">
        <f t="shared" si="10"/>
        <v/>
      </c>
      <c r="K226" s="44" t="str">
        <f t="shared" si="11"/>
        <v xml:space="preserve">VICTOIRE - </v>
      </c>
      <c r="L226" s="44" t="e">
        <f>+VLOOKUP(K226,TL[],4,FALSE)</f>
        <v>#N/A</v>
      </c>
    </row>
    <row r="227" spans="3:12" x14ac:dyDescent="0.2">
      <c r="C227" s="216"/>
      <c r="D227" s="216"/>
      <c r="E227" s="216"/>
      <c r="F227" s="216"/>
      <c r="G227" s="220">
        <f t="shared" si="12"/>
        <v>0</v>
      </c>
      <c r="H227" s="220">
        <f t="shared" si="13"/>
        <v>0</v>
      </c>
      <c r="I227" s="221">
        <f>IF(A227="Total",VLOOKUP(B227,CORRESPONDANCE[#All],2,FALSE),I228)</f>
        <v>0</v>
      </c>
      <c r="J227" s="222" t="str">
        <f t="shared" si="10"/>
        <v/>
      </c>
      <c r="K227" s="44" t="str">
        <f t="shared" si="11"/>
        <v xml:space="preserve">VICTOIRE - </v>
      </c>
      <c r="L227" s="44" t="e">
        <f>+VLOOKUP(K227,TL[],4,FALSE)</f>
        <v>#N/A</v>
      </c>
    </row>
    <row r="228" spans="3:12" x14ac:dyDescent="0.2">
      <c r="C228" s="216"/>
      <c r="D228" s="216"/>
      <c r="E228" s="216"/>
      <c r="F228" s="216"/>
      <c r="G228" s="220">
        <f t="shared" si="12"/>
        <v>0</v>
      </c>
      <c r="H228" s="220">
        <f t="shared" si="13"/>
        <v>0</v>
      </c>
      <c r="I228" s="221">
        <f>IF(A228="Total",VLOOKUP(B228,CORRESPONDANCE[#All],2,FALSE),I229)</f>
        <v>0</v>
      </c>
      <c r="J228" s="222" t="str">
        <f t="shared" si="10"/>
        <v/>
      </c>
      <c r="K228" s="44" t="str">
        <f t="shared" si="11"/>
        <v xml:space="preserve">VICTOIRE - </v>
      </c>
      <c r="L228" s="44" t="e">
        <f>+VLOOKUP(K228,TL[],4,FALSE)</f>
        <v>#N/A</v>
      </c>
    </row>
    <row r="229" spans="3:12" x14ac:dyDescent="0.2">
      <c r="C229" s="216"/>
      <c r="D229" s="216"/>
      <c r="E229" s="216"/>
      <c r="F229" s="216"/>
      <c r="G229" s="220">
        <f t="shared" si="12"/>
        <v>0</v>
      </c>
      <c r="H229" s="220">
        <f t="shared" si="13"/>
        <v>0</v>
      </c>
      <c r="I229" s="221">
        <f>IF(A229="Total",VLOOKUP(B229,CORRESPONDANCE[#All],2,FALSE),I230)</f>
        <v>0</v>
      </c>
      <c r="J229" s="222" t="str">
        <f t="shared" si="10"/>
        <v/>
      </c>
      <c r="K229" s="44" t="str">
        <f t="shared" si="11"/>
        <v xml:space="preserve">VICTOIRE - </v>
      </c>
      <c r="L229" s="44" t="e">
        <f>+VLOOKUP(K229,TL[],4,FALSE)</f>
        <v>#N/A</v>
      </c>
    </row>
    <row r="230" spans="3:12" x14ac:dyDescent="0.2">
      <c r="C230" s="216"/>
      <c r="D230" s="216"/>
      <c r="E230" s="216"/>
      <c r="F230" s="216"/>
      <c r="G230" s="220">
        <f t="shared" si="12"/>
        <v>0</v>
      </c>
      <c r="H230" s="220">
        <f t="shared" si="13"/>
        <v>0</v>
      </c>
      <c r="I230" s="221">
        <f>IF(A230="Total",VLOOKUP(B230,CORRESPONDANCE[#All],2,FALSE),I231)</f>
        <v>0</v>
      </c>
      <c r="J230" s="222" t="str">
        <f t="shared" si="10"/>
        <v/>
      </c>
      <c r="K230" s="44" t="str">
        <f t="shared" si="11"/>
        <v xml:space="preserve">VICTOIRE - </v>
      </c>
      <c r="L230" s="44" t="e">
        <f>+VLOOKUP(K230,TL[],4,FALSE)</f>
        <v>#N/A</v>
      </c>
    </row>
    <row r="231" spans="3:12" x14ac:dyDescent="0.2">
      <c r="C231" s="216"/>
      <c r="D231" s="216"/>
      <c r="E231" s="216"/>
      <c r="F231" s="216"/>
      <c r="G231" s="220">
        <f t="shared" si="12"/>
        <v>0</v>
      </c>
      <c r="H231" s="220">
        <f t="shared" si="13"/>
        <v>0</v>
      </c>
      <c r="I231" s="221">
        <f>IF(A231="Total",VLOOKUP(B231,CORRESPONDANCE[#All],2,FALSE),I232)</f>
        <v>0</v>
      </c>
      <c r="J231" s="222" t="str">
        <f t="shared" si="10"/>
        <v/>
      </c>
      <c r="K231" s="44" t="str">
        <f t="shared" si="11"/>
        <v xml:space="preserve">VICTOIRE - </v>
      </c>
      <c r="L231" s="44" t="e">
        <f>+VLOOKUP(K231,TL[],4,FALSE)</f>
        <v>#N/A</v>
      </c>
    </row>
    <row r="232" spans="3:12" x14ac:dyDescent="0.2">
      <c r="C232" s="216"/>
      <c r="D232" s="216"/>
      <c r="E232" s="216"/>
      <c r="F232" s="216"/>
      <c r="G232" s="220">
        <f t="shared" si="12"/>
        <v>0</v>
      </c>
      <c r="H232" s="220">
        <f t="shared" si="13"/>
        <v>0</v>
      </c>
      <c r="I232" s="221">
        <f>IF(A232="Total",VLOOKUP(B232,CORRESPONDANCE[#All],2,FALSE),I233)</f>
        <v>0</v>
      </c>
      <c r="J232" s="222" t="str">
        <f t="shared" si="10"/>
        <v/>
      </c>
      <c r="K232" s="44" t="str">
        <f t="shared" si="11"/>
        <v xml:space="preserve">VICTOIRE - </v>
      </c>
      <c r="L232" s="44" t="e">
        <f>+VLOOKUP(K232,TL[],4,FALSE)</f>
        <v>#N/A</v>
      </c>
    </row>
    <row r="233" spans="3:12" x14ac:dyDescent="0.2">
      <c r="C233" s="216"/>
      <c r="D233" s="216"/>
      <c r="E233" s="216"/>
      <c r="F233" s="216"/>
      <c r="G233" s="220">
        <f t="shared" si="12"/>
        <v>0</v>
      </c>
      <c r="H233" s="220">
        <f t="shared" si="13"/>
        <v>0</v>
      </c>
      <c r="I233" s="221">
        <f>IF(A233="Total",VLOOKUP(B233,CORRESPONDANCE[#All],2,FALSE),I234)</f>
        <v>0</v>
      </c>
      <c r="J233" s="222" t="str">
        <f t="shared" si="10"/>
        <v/>
      </c>
      <c r="K233" s="44" t="str">
        <f t="shared" si="11"/>
        <v xml:space="preserve">VICTOIRE - </v>
      </c>
      <c r="L233" s="44" t="e">
        <f>+VLOOKUP(K233,TL[],4,FALSE)</f>
        <v>#N/A</v>
      </c>
    </row>
    <row r="234" spans="3:12" x14ac:dyDescent="0.2">
      <c r="C234" s="216"/>
      <c r="D234" s="216"/>
      <c r="E234" s="216"/>
      <c r="F234" s="216"/>
      <c r="G234" s="220">
        <f t="shared" si="12"/>
        <v>0</v>
      </c>
      <c r="H234" s="220">
        <f t="shared" si="13"/>
        <v>0</v>
      </c>
      <c r="I234" s="221">
        <f>IF(A234="Total",VLOOKUP(B234,CORRESPONDANCE[#All],2,FALSE),I235)</f>
        <v>0</v>
      </c>
      <c r="J234" s="222" t="str">
        <f t="shared" si="10"/>
        <v/>
      </c>
      <c r="K234" s="44" t="str">
        <f t="shared" si="11"/>
        <v xml:space="preserve">VICTOIRE - </v>
      </c>
      <c r="L234" s="44" t="e">
        <f>+VLOOKUP(K234,TL[],4,FALSE)</f>
        <v>#N/A</v>
      </c>
    </row>
    <row r="235" spans="3:12" x14ac:dyDescent="0.2">
      <c r="C235" s="216"/>
      <c r="D235" s="216"/>
      <c r="E235" s="216"/>
      <c r="F235" s="216"/>
      <c r="G235" s="220">
        <f t="shared" si="12"/>
        <v>0</v>
      </c>
      <c r="H235" s="220">
        <f t="shared" si="13"/>
        <v>0</v>
      </c>
      <c r="I235" s="221">
        <f>IF(A235="Total",VLOOKUP(B235,CORRESPONDANCE[#All],2,FALSE),I236)</f>
        <v>0</v>
      </c>
      <c r="J235" s="222" t="str">
        <f t="shared" si="10"/>
        <v/>
      </c>
      <c r="K235" s="44" t="str">
        <f t="shared" si="11"/>
        <v xml:space="preserve">VICTOIRE - </v>
      </c>
      <c r="L235" s="44" t="e">
        <f>+VLOOKUP(K235,TL[],4,FALSE)</f>
        <v>#N/A</v>
      </c>
    </row>
    <row r="236" spans="3:12" x14ac:dyDescent="0.2">
      <c r="C236" s="216"/>
      <c r="D236" s="216"/>
      <c r="E236" s="216"/>
      <c r="F236" s="216"/>
      <c r="G236" s="220">
        <f t="shared" si="12"/>
        <v>0</v>
      </c>
      <c r="H236" s="220">
        <f t="shared" si="13"/>
        <v>0</v>
      </c>
      <c r="I236" s="221">
        <f>IF(A236="Total",VLOOKUP(B236,CORRESPONDANCE[#All],2,FALSE),I237)</f>
        <v>0</v>
      </c>
      <c r="J236" s="222" t="str">
        <f t="shared" si="10"/>
        <v/>
      </c>
      <c r="K236" s="44" t="str">
        <f t="shared" si="11"/>
        <v xml:space="preserve">VICTOIRE - </v>
      </c>
      <c r="L236" s="44" t="e">
        <f>+VLOOKUP(K236,TL[],4,FALSE)</f>
        <v>#N/A</v>
      </c>
    </row>
    <row r="237" spans="3:12" x14ac:dyDescent="0.2">
      <c r="C237" s="216"/>
      <c r="D237" s="216"/>
      <c r="E237" s="216"/>
      <c r="F237" s="216"/>
      <c r="G237" s="220">
        <f t="shared" si="12"/>
        <v>0</v>
      </c>
      <c r="H237" s="220">
        <f t="shared" si="13"/>
        <v>0</v>
      </c>
      <c r="I237" s="221">
        <f>IF(A237="Total",VLOOKUP(B237,CORRESPONDANCE[#All],2,FALSE),I238)</f>
        <v>0</v>
      </c>
      <c r="J237" s="222" t="str">
        <f t="shared" si="10"/>
        <v/>
      </c>
      <c r="K237" s="44" t="str">
        <f t="shared" si="11"/>
        <v xml:space="preserve">VICTOIRE - </v>
      </c>
      <c r="L237" s="44" t="e">
        <f>+VLOOKUP(K237,TL[],4,FALSE)</f>
        <v>#N/A</v>
      </c>
    </row>
    <row r="238" spans="3:12" x14ac:dyDescent="0.2">
      <c r="C238" s="216"/>
      <c r="D238" s="216"/>
      <c r="E238" s="216"/>
      <c r="F238" s="216"/>
      <c r="G238" s="220">
        <f t="shared" si="12"/>
        <v>0</v>
      </c>
      <c r="H238" s="220">
        <f t="shared" si="13"/>
        <v>0</v>
      </c>
      <c r="I238" s="221">
        <f>IF(A238="Total",VLOOKUP(B238,CORRESPONDANCE[#All],2,FALSE),I239)</f>
        <v>0</v>
      </c>
      <c r="J238" s="222" t="str">
        <f t="shared" si="10"/>
        <v/>
      </c>
      <c r="K238" s="44" t="str">
        <f t="shared" si="11"/>
        <v xml:space="preserve">VICTOIRE - </v>
      </c>
      <c r="L238" s="44" t="e">
        <f>+VLOOKUP(K238,TL[],4,FALSE)</f>
        <v>#N/A</v>
      </c>
    </row>
    <row r="239" spans="3:12" x14ac:dyDescent="0.2">
      <c r="C239" s="216"/>
      <c r="D239" s="216"/>
      <c r="E239" s="216"/>
      <c r="F239" s="216"/>
      <c r="G239" s="220">
        <f t="shared" si="12"/>
        <v>0</v>
      </c>
      <c r="H239" s="220">
        <f t="shared" si="13"/>
        <v>0</v>
      </c>
      <c r="I239" s="221">
        <f>IF(A239="Total",VLOOKUP(B239,CORRESPONDANCE[#All],2,FALSE),I240)</f>
        <v>0</v>
      </c>
      <c r="J239" s="222" t="str">
        <f t="shared" si="10"/>
        <v/>
      </c>
      <c r="K239" s="44" t="str">
        <f t="shared" si="11"/>
        <v xml:space="preserve">VICTOIRE - </v>
      </c>
      <c r="L239" s="44" t="e">
        <f>+VLOOKUP(K239,TL[],4,FALSE)</f>
        <v>#N/A</v>
      </c>
    </row>
    <row r="240" spans="3:12" x14ac:dyDescent="0.2">
      <c r="C240" s="216"/>
      <c r="D240" s="216"/>
      <c r="E240" s="216"/>
      <c r="F240" s="216"/>
      <c r="G240" s="220">
        <f t="shared" si="12"/>
        <v>0</v>
      </c>
      <c r="H240" s="220">
        <f t="shared" si="13"/>
        <v>0</v>
      </c>
      <c r="I240" s="221">
        <f>IF(A240="Total",VLOOKUP(B240,CORRESPONDANCE[#All],2,FALSE),I241)</f>
        <v>0</v>
      </c>
      <c r="J240" s="222" t="str">
        <f t="shared" si="10"/>
        <v/>
      </c>
      <c r="K240" s="44" t="str">
        <f t="shared" si="11"/>
        <v xml:space="preserve">VICTOIRE - </v>
      </c>
      <c r="L240" s="44" t="e">
        <f>+VLOOKUP(K240,TL[],4,FALSE)</f>
        <v>#N/A</v>
      </c>
    </row>
    <row r="241" spans="3:12" x14ac:dyDescent="0.2">
      <c r="C241" s="216"/>
      <c r="D241" s="216"/>
      <c r="E241" s="216"/>
      <c r="F241" s="216"/>
      <c r="G241" s="220">
        <f t="shared" si="12"/>
        <v>0</v>
      </c>
      <c r="H241" s="220">
        <f t="shared" si="13"/>
        <v>0</v>
      </c>
      <c r="I241" s="221">
        <f>IF(A241="Total",VLOOKUP(B241,CORRESPONDANCE[#All],2,FALSE),I242)</f>
        <v>0</v>
      </c>
      <c r="J241" s="222" t="str">
        <f t="shared" si="10"/>
        <v/>
      </c>
      <c r="K241" s="44" t="str">
        <f t="shared" si="11"/>
        <v xml:space="preserve">VICTOIRE - </v>
      </c>
      <c r="L241" s="44" t="e">
        <f>+VLOOKUP(K241,TL[],4,FALSE)</f>
        <v>#N/A</v>
      </c>
    </row>
    <row r="242" spans="3:12" x14ac:dyDescent="0.2">
      <c r="C242" s="216"/>
      <c r="D242" s="216"/>
      <c r="E242" s="216"/>
      <c r="F242" s="216"/>
      <c r="G242" s="220">
        <f t="shared" si="12"/>
        <v>0</v>
      </c>
      <c r="H242" s="220">
        <f t="shared" si="13"/>
        <v>0</v>
      </c>
      <c r="I242" s="221">
        <f>IF(A242="Total",VLOOKUP(B242,CORRESPONDANCE[#All],2,FALSE),I243)</f>
        <v>0</v>
      </c>
      <c r="J242" s="222" t="str">
        <f t="shared" si="10"/>
        <v/>
      </c>
      <c r="K242" s="44" t="str">
        <f t="shared" si="11"/>
        <v xml:space="preserve">VICTOIRE - </v>
      </c>
      <c r="L242" s="44" t="e">
        <f>+VLOOKUP(K242,TL[],4,FALSE)</f>
        <v>#N/A</v>
      </c>
    </row>
    <row r="243" spans="3:12" x14ac:dyDescent="0.2">
      <c r="C243" s="216"/>
      <c r="D243" s="216"/>
      <c r="E243" s="216"/>
      <c r="F243" s="216"/>
      <c r="G243" s="220">
        <f t="shared" si="12"/>
        <v>0</v>
      </c>
      <c r="H243" s="220">
        <f t="shared" si="13"/>
        <v>0</v>
      </c>
      <c r="I243" s="221">
        <f>IF(A243="Total",VLOOKUP(B243,CORRESPONDANCE[#All],2,FALSE),I244)</f>
        <v>0</v>
      </c>
      <c r="J243" s="222" t="str">
        <f t="shared" si="10"/>
        <v/>
      </c>
      <c r="K243" s="44" t="str">
        <f t="shared" si="11"/>
        <v xml:space="preserve">VICTOIRE - </v>
      </c>
      <c r="L243" s="44" t="e">
        <f>+VLOOKUP(K243,TL[],4,FALSE)</f>
        <v>#N/A</v>
      </c>
    </row>
    <row r="244" spans="3:12" x14ac:dyDescent="0.2">
      <c r="C244" s="216"/>
      <c r="D244" s="216"/>
      <c r="E244" s="216"/>
      <c r="F244" s="216"/>
      <c r="G244" s="220">
        <f t="shared" si="12"/>
        <v>0</v>
      </c>
      <c r="H244" s="220">
        <f t="shared" si="13"/>
        <v>0</v>
      </c>
      <c r="I244" s="221">
        <f>IF(A244="Total",VLOOKUP(B244,CORRESPONDANCE[#All],2,FALSE),I245)</f>
        <v>0</v>
      </c>
      <c r="J244" s="222" t="str">
        <f t="shared" si="10"/>
        <v/>
      </c>
      <c r="K244" s="44" t="str">
        <f t="shared" si="11"/>
        <v xml:space="preserve">VICTOIRE - </v>
      </c>
      <c r="L244" s="44" t="e">
        <f>+VLOOKUP(K244,TL[],4,FALSE)</f>
        <v>#N/A</v>
      </c>
    </row>
    <row r="245" spans="3:12" x14ac:dyDescent="0.2">
      <c r="C245" s="216"/>
      <c r="D245" s="216"/>
      <c r="E245" s="216"/>
      <c r="F245" s="216"/>
      <c r="G245" s="220">
        <f t="shared" si="12"/>
        <v>0</v>
      </c>
      <c r="H245" s="220">
        <f t="shared" si="13"/>
        <v>0</v>
      </c>
      <c r="I245" s="221">
        <f>IF(A245="Total",VLOOKUP(B245,CORRESPONDANCE[#All],2,FALSE),I246)</f>
        <v>0</v>
      </c>
      <c r="J245" s="222" t="str">
        <f t="shared" si="10"/>
        <v/>
      </c>
      <c r="K245" s="44" t="str">
        <f t="shared" si="11"/>
        <v xml:space="preserve">VICTOIRE - </v>
      </c>
      <c r="L245" s="44" t="e">
        <f>+VLOOKUP(K245,TL[],4,FALSE)</f>
        <v>#N/A</v>
      </c>
    </row>
    <row r="246" spans="3:12" x14ac:dyDescent="0.2">
      <c r="C246" s="216"/>
      <c r="D246" s="216"/>
      <c r="E246" s="216"/>
      <c r="F246" s="216"/>
      <c r="G246" s="220">
        <f t="shared" si="12"/>
        <v>0</v>
      </c>
      <c r="H246" s="220">
        <f t="shared" si="13"/>
        <v>0</v>
      </c>
      <c r="I246" s="221">
        <f>IF(A246="Total",VLOOKUP(B246,CORRESPONDANCE[#All],2,FALSE),I247)</f>
        <v>0</v>
      </c>
      <c r="J246" s="222" t="str">
        <f t="shared" si="10"/>
        <v/>
      </c>
      <c r="K246" s="44" t="str">
        <f t="shared" si="11"/>
        <v xml:space="preserve">VICTOIRE - </v>
      </c>
      <c r="L246" s="44" t="e">
        <f>+VLOOKUP(K246,TL[],4,FALSE)</f>
        <v>#N/A</v>
      </c>
    </row>
    <row r="247" spans="3:12" x14ac:dyDescent="0.2">
      <c r="C247" s="216"/>
      <c r="D247" s="216"/>
      <c r="E247" s="216"/>
      <c r="F247" s="216"/>
      <c r="G247" s="220">
        <f t="shared" si="12"/>
        <v>0</v>
      </c>
      <c r="H247" s="220">
        <f t="shared" si="13"/>
        <v>0</v>
      </c>
      <c r="I247" s="221">
        <f>IF(A247="Total",VLOOKUP(B247,CORRESPONDANCE[#All],2,FALSE),I248)</f>
        <v>0</v>
      </c>
      <c r="J247" s="222" t="str">
        <f t="shared" si="10"/>
        <v/>
      </c>
      <c r="K247" s="44" t="str">
        <f t="shared" si="11"/>
        <v xml:space="preserve">VICTOIRE - </v>
      </c>
      <c r="L247" s="44" t="e">
        <f>+VLOOKUP(K247,TL[],4,FALSE)</f>
        <v>#N/A</v>
      </c>
    </row>
    <row r="248" spans="3:12" x14ac:dyDescent="0.2">
      <c r="C248" s="216"/>
      <c r="D248" s="216"/>
      <c r="E248" s="216"/>
      <c r="F248" s="216"/>
      <c r="G248" s="220">
        <f t="shared" si="12"/>
        <v>0</v>
      </c>
      <c r="H248" s="220">
        <f t="shared" si="13"/>
        <v>0</v>
      </c>
      <c r="I248" s="221">
        <f>IF(A248="Total",VLOOKUP(B248,CORRESPONDANCE[#All],2,FALSE),I249)</f>
        <v>0</v>
      </c>
      <c r="J248" s="222" t="str">
        <f t="shared" si="10"/>
        <v/>
      </c>
      <c r="K248" s="44" t="str">
        <f t="shared" si="11"/>
        <v xml:space="preserve">VICTOIRE - </v>
      </c>
      <c r="L248" s="44" t="e">
        <f>+VLOOKUP(K248,TL[],4,FALSE)</f>
        <v>#N/A</v>
      </c>
    </row>
    <row r="249" spans="3:12" x14ac:dyDescent="0.2">
      <c r="C249" s="216"/>
      <c r="D249" s="216"/>
      <c r="E249" s="216"/>
      <c r="F249" s="216"/>
      <c r="G249" s="220">
        <f t="shared" si="12"/>
        <v>0</v>
      </c>
      <c r="H249" s="220">
        <f t="shared" si="13"/>
        <v>0</v>
      </c>
      <c r="I249" s="221">
        <f>IF(A249="Total",VLOOKUP(B249,CORRESPONDANCE[#All],2,FALSE),I250)</f>
        <v>0</v>
      </c>
      <c r="J249" s="222" t="str">
        <f t="shared" si="10"/>
        <v/>
      </c>
      <c r="K249" s="44" t="str">
        <f t="shared" si="11"/>
        <v xml:space="preserve">VICTOIRE - </v>
      </c>
      <c r="L249" s="44" t="e">
        <f>+VLOOKUP(K249,TL[],4,FALSE)</f>
        <v>#N/A</v>
      </c>
    </row>
    <row r="250" spans="3:12" x14ac:dyDescent="0.2">
      <c r="C250" s="216"/>
      <c r="D250" s="216"/>
      <c r="E250" s="216"/>
      <c r="F250" s="216"/>
      <c r="G250" s="220"/>
      <c r="H250" s="220"/>
      <c r="I250" s="221"/>
      <c r="J250" s="222"/>
      <c r="K250" s="44" t="str">
        <f t="shared" si="11"/>
        <v xml:space="preserve">VICTOIRE - </v>
      </c>
      <c r="L250" s="44" t="e">
        <f>+VLOOKUP(K250,TL[],4,FALSE)</f>
        <v>#N/A</v>
      </c>
    </row>
    <row r="251" spans="3:12" x14ac:dyDescent="0.2">
      <c r="C251" s="216"/>
      <c r="D251" s="216"/>
      <c r="E251" s="216"/>
      <c r="F251" s="216"/>
      <c r="G251" s="220"/>
      <c r="H251" s="220"/>
      <c r="I251" s="221"/>
      <c r="J251" s="222"/>
      <c r="K251" s="44" t="str">
        <f t="shared" si="11"/>
        <v xml:space="preserve">VICTOIRE - </v>
      </c>
      <c r="L251" s="44" t="e">
        <f>+VLOOKUP(K251,TL[],4,FALSE)</f>
        <v>#N/A</v>
      </c>
    </row>
    <row r="252" spans="3:12" x14ac:dyDescent="0.2">
      <c r="C252" s="216"/>
      <c r="D252" s="216"/>
      <c r="E252" s="216"/>
      <c r="F252" s="216"/>
      <c r="G252" s="220"/>
      <c r="H252" s="220"/>
      <c r="I252" s="221"/>
      <c r="J252" s="222"/>
      <c r="K252" s="44" t="str">
        <f t="shared" si="11"/>
        <v xml:space="preserve">VICTOIRE - </v>
      </c>
      <c r="L252" s="44" t="e">
        <f>+VLOOKUP(K252,TL[],4,FALSE)</f>
        <v>#N/A</v>
      </c>
    </row>
  </sheetData>
  <autoFilter ref="A1:L252" xr:uid="{FAFB62A5-2FA0-45D1-8633-6EC668EDAB16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DB5AE-0852-4BAC-A5B6-0A94119CB61C}">
  <sheetPr>
    <tabColor theme="7" tint="0.59999389629810485"/>
  </sheetPr>
  <dimension ref="A1:L290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7109375" style="224" bestFit="1" customWidth="1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2613</v>
      </c>
      <c r="B2" t="s">
        <v>64</v>
      </c>
      <c r="C2">
        <v>4773.92</v>
      </c>
      <c r="D2" t="s">
        <v>6961</v>
      </c>
      <c r="E2">
        <v>4773.92</v>
      </c>
      <c r="F2" t="s">
        <v>6961</v>
      </c>
      <c r="G2" s="220">
        <f t="shared" ref="G2:G65" si="0">SUM(C2)-SUM(D2)</f>
        <v>4773.92</v>
      </c>
      <c r="H2" s="220">
        <f t="shared" ref="H2:H65" si="1">SUM(E2)-SUM(F2)</f>
        <v>4773.92</v>
      </c>
      <c r="I2" s="221">
        <f>IF(A2="Total",VLOOKUP(B2,CORRESPONDANCE[#All],2,FALSE),I3)</f>
        <v>2</v>
      </c>
      <c r="J2" s="222" t="str">
        <f t="shared" ref="J2:J65" si="2">LEFT(A2,1)</f>
        <v>7</v>
      </c>
      <c r="K2" s="44" t="str">
        <f t="shared" ref="K2:K65" si="3">"TH4"&amp;" - "&amp;A2</f>
        <v>TH4 - 70100100</v>
      </c>
      <c r="L2" s="44" t="str">
        <f>+VLOOKUP(K2,TL[],4,FALSE)</f>
        <v>01</v>
      </c>
    </row>
    <row r="3" spans="1:12" x14ac:dyDescent="0.2">
      <c r="A3" t="s">
        <v>2614</v>
      </c>
      <c r="B3" t="s">
        <v>379</v>
      </c>
      <c r="C3" t="s">
        <v>6961</v>
      </c>
      <c r="D3">
        <v>1416.32</v>
      </c>
      <c r="E3" t="s">
        <v>6961</v>
      </c>
      <c r="F3">
        <v>1416.32</v>
      </c>
      <c r="G3" s="220">
        <f t="shared" si="0"/>
        <v>-1416.32</v>
      </c>
      <c r="H3" s="220">
        <f t="shared" si="1"/>
        <v>-1416.32</v>
      </c>
      <c r="I3" s="221">
        <f>IF(A3="Total",VLOOKUP(B3,CORRESPONDANCE[#All],2,FALSE),I4)</f>
        <v>2</v>
      </c>
      <c r="J3" s="222" t="str">
        <f t="shared" si="2"/>
        <v>7</v>
      </c>
      <c r="K3" s="44" t="str">
        <f t="shared" si="3"/>
        <v>TH4 - 70100200</v>
      </c>
      <c r="L3" s="44" t="str">
        <f>+VLOOKUP(K3,TL[],4,FALSE)</f>
        <v>01</v>
      </c>
    </row>
    <row r="4" spans="1:12" x14ac:dyDescent="0.2">
      <c r="A4" t="s">
        <v>2615</v>
      </c>
      <c r="B4" t="s">
        <v>378</v>
      </c>
      <c r="C4" t="s">
        <v>6961</v>
      </c>
      <c r="D4">
        <v>354843.79</v>
      </c>
      <c r="E4" t="s">
        <v>6961</v>
      </c>
      <c r="F4">
        <v>354843.79</v>
      </c>
      <c r="G4" s="220">
        <f t="shared" si="0"/>
        <v>-354843.79</v>
      </c>
      <c r="H4" s="220">
        <f t="shared" si="1"/>
        <v>-354843.79</v>
      </c>
      <c r="I4" s="221">
        <f>IF(A4="Total",VLOOKUP(B4,CORRESPONDANCE[#All],2,FALSE),I5)</f>
        <v>2</v>
      </c>
      <c r="J4" s="222" t="str">
        <f t="shared" si="2"/>
        <v>7</v>
      </c>
      <c r="K4" s="44" t="str">
        <f t="shared" si="3"/>
        <v>TH4 - 70101000</v>
      </c>
      <c r="L4" s="44" t="str">
        <f>+VLOOKUP(K4,TL[],4,FALSE)</f>
        <v>01</v>
      </c>
    </row>
    <row r="5" spans="1:12" x14ac:dyDescent="0.2">
      <c r="A5" t="s">
        <v>2616</v>
      </c>
      <c r="B5" t="s">
        <v>1377</v>
      </c>
      <c r="C5" t="s">
        <v>6961</v>
      </c>
      <c r="D5">
        <v>641.27</v>
      </c>
      <c r="E5" t="s">
        <v>6961</v>
      </c>
      <c r="F5">
        <v>641.27</v>
      </c>
      <c r="G5" s="220">
        <f t="shared" si="0"/>
        <v>-641.27</v>
      </c>
      <c r="H5" s="220">
        <f t="shared" si="1"/>
        <v>-641.27</v>
      </c>
      <c r="I5" s="221">
        <f>IF(A5="Total",VLOOKUP(B5,CORRESPONDANCE[#All],2,FALSE),I6)</f>
        <v>2</v>
      </c>
      <c r="J5" s="222" t="str">
        <f t="shared" si="2"/>
        <v>7</v>
      </c>
      <c r="K5" s="44" t="str">
        <f t="shared" si="3"/>
        <v>TH4 - 70102000</v>
      </c>
      <c r="L5" s="44" t="str">
        <f>+VLOOKUP(K5,TL[],4,FALSE)</f>
        <v>01</v>
      </c>
    </row>
    <row r="6" spans="1:12" x14ac:dyDescent="0.2">
      <c r="A6" t="s">
        <v>197</v>
      </c>
      <c r="B6" t="s">
        <v>2514</v>
      </c>
      <c r="C6" t="s">
        <v>6961</v>
      </c>
      <c r="D6">
        <v>352127.46</v>
      </c>
      <c r="E6" t="s">
        <v>6961</v>
      </c>
      <c r="F6">
        <v>352127.46</v>
      </c>
      <c r="G6" s="220">
        <f t="shared" si="0"/>
        <v>-352127.46</v>
      </c>
      <c r="H6" s="220">
        <f t="shared" si="1"/>
        <v>-352127.46</v>
      </c>
      <c r="I6" s="221">
        <f>IF(A6="Total",VLOOKUP(B6,CORRESPONDANCE[#All],2,FALSE),I7)</f>
        <v>2</v>
      </c>
      <c r="J6" s="222" t="str">
        <f t="shared" si="2"/>
        <v>T</v>
      </c>
      <c r="K6" s="44" t="str">
        <f t="shared" si="3"/>
        <v>TH4 - Total</v>
      </c>
      <c r="L6" s="44" t="e">
        <f>+VLOOKUP(K6,TL[],4,FALSE)</f>
        <v>#N/A</v>
      </c>
    </row>
    <row r="7" spans="1:12" x14ac:dyDescent="0.2">
      <c r="A7" t="s">
        <v>2617</v>
      </c>
      <c r="B7" t="s">
        <v>171</v>
      </c>
      <c r="C7">
        <v>79610.990000000005</v>
      </c>
      <c r="D7" t="s">
        <v>6961</v>
      </c>
      <c r="E7">
        <v>79610.990000000005</v>
      </c>
      <c r="F7" t="s">
        <v>6961</v>
      </c>
      <c r="G7" s="220">
        <f t="shared" si="0"/>
        <v>79610.990000000005</v>
      </c>
      <c r="H7" s="220">
        <f t="shared" si="1"/>
        <v>79610.990000000005</v>
      </c>
      <c r="I7" s="221">
        <f>IF(A7="Total",VLOOKUP(B7,CORRESPONDANCE[#All],2,FALSE),I8)</f>
        <v>3</v>
      </c>
      <c r="J7" s="222" t="str">
        <f t="shared" si="2"/>
        <v>6</v>
      </c>
      <c r="K7" s="44" t="str">
        <f t="shared" si="3"/>
        <v>TH4 - 60110000</v>
      </c>
      <c r="L7" s="44" t="str">
        <f>+VLOOKUP(K7,TL[],4,FALSE)</f>
        <v>06</v>
      </c>
    </row>
    <row r="8" spans="1:12" x14ac:dyDescent="0.2">
      <c r="A8" t="s">
        <v>2618</v>
      </c>
      <c r="B8" t="s">
        <v>361</v>
      </c>
      <c r="C8">
        <v>1574.6</v>
      </c>
      <c r="D8" t="s">
        <v>6961</v>
      </c>
      <c r="E8">
        <v>1574.6</v>
      </c>
      <c r="F8" t="s">
        <v>6961</v>
      </c>
      <c r="G8" s="220">
        <f t="shared" si="0"/>
        <v>1574.6</v>
      </c>
      <c r="H8" s="220">
        <f t="shared" si="1"/>
        <v>1574.6</v>
      </c>
      <c r="I8" s="221">
        <f>IF(A8="Total",VLOOKUP(B8,CORRESPONDANCE[#All],2,FALSE),I9)</f>
        <v>3</v>
      </c>
      <c r="J8" s="222" t="str">
        <f t="shared" si="2"/>
        <v>6</v>
      </c>
      <c r="K8" s="44" t="str">
        <f t="shared" si="3"/>
        <v>TH4 - 60310000</v>
      </c>
      <c r="L8" s="44" t="str">
        <f>+VLOOKUP(K8,TL[],4,FALSE)</f>
        <v>06</v>
      </c>
    </row>
    <row r="9" spans="1:12" x14ac:dyDescent="0.2">
      <c r="A9" t="s">
        <v>3670</v>
      </c>
      <c r="B9" t="s">
        <v>269</v>
      </c>
      <c r="C9">
        <v>1206</v>
      </c>
      <c r="D9" t="s">
        <v>6961</v>
      </c>
      <c r="E9">
        <v>1206</v>
      </c>
      <c r="F9" t="s">
        <v>6961</v>
      </c>
      <c r="G9" s="220">
        <f t="shared" si="0"/>
        <v>1206</v>
      </c>
      <c r="H9" s="220">
        <f t="shared" si="1"/>
        <v>1206</v>
      </c>
      <c r="I9" s="221">
        <f>IF(A9="Total",VLOOKUP(B9,CORRESPONDANCE[#All],2,FALSE),I10)</f>
        <v>3</v>
      </c>
      <c r="J9" s="222" t="str">
        <f t="shared" si="2"/>
        <v>6</v>
      </c>
      <c r="K9" s="44" t="str">
        <f t="shared" si="3"/>
        <v>TH4 - 63555000</v>
      </c>
      <c r="L9" s="44" t="str">
        <f>+VLOOKUP(K9,TL[],4,FALSE)</f>
        <v>09</v>
      </c>
    </row>
    <row r="10" spans="1:12" x14ac:dyDescent="0.2">
      <c r="A10" t="s">
        <v>2620</v>
      </c>
      <c r="B10" t="s">
        <v>1509</v>
      </c>
      <c r="C10" t="s">
        <v>6961</v>
      </c>
      <c r="D10">
        <v>3023.38</v>
      </c>
      <c r="E10" t="s">
        <v>6961</v>
      </c>
      <c r="F10">
        <v>3023.38</v>
      </c>
      <c r="G10" s="220">
        <f t="shared" si="0"/>
        <v>-3023.38</v>
      </c>
      <c r="H10" s="220">
        <f t="shared" si="1"/>
        <v>-3023.38</v>
      </c>
      <c r="I10" s="221">
        <f>IF(A10="Total",VLOOKUP(B10,CORRESPONDANCE[#All],2,FALSE),I11)</f>
        <v>3</v>
      </c>
      <c r="J10" s="222" t="str">
        <f t="shared" si="2"/>
        <v>7</v>
      </c>
      <c r="K10" s="44" t="str">
        <f t="shared" si="3"/>
        <v>TH4 - 70800000</v>
      </c>
      <c r="L10" s="44" t="str">
        <f>+VLOOKUP(K10,TL[],4,FALSE)</f>
        <v>06</v>
      </c>
    </row>
    <row r="11" spans="1:12" x14ac:dyDescent="0.2">
      <c r="A11" t="s">
        <v>197</v>
      </c>
      <c r="B11" t="s">
        <v>2516</v>
      </c>
      <c r="C11">
        <v>79368.210000000006</v>
      </c>
      <c r="D11" t="s">
        <v>6961</v>
      </c>
      <c r="E11">
        <v>79368.210000000006</v>
      </c>
      <c r="F11" t="s">
        <v>6961</v>
      </c>
      <c r="G11" s="220">
        <f t="shared" si="0"/>
        <v>79368.210000000006</v>
      </c>
      <c r="H11" s="220">
        <f t="shared" si="1"/>
        <v>79368.210000000006</v>
      </c>
      <c r="I11" s="221">
        <f>IF(A11="Total",VLOOKUP(B11,CORRESPONDANCE[#All],2,FALSE),I12)</f>
        <v>3</v>
      </c>
      <c r="J11" s="222" t="str">
        <f t="shared" si="2"/>
        <v>T</v>
      </c>
      <c r="K11" s="44" t="str">
        <f t="shared" si="3"/>
        <v>TH4 - Total</v>
      </c>
      <c r="L11" s="44" t="e">
        <f>+VLOOKUP(K11,TL[],4,FALSE)</f>
        <v>#N/A</v>
      </c>
    </row>
    <row r="12" spans="1:12" x14ac:dyDescent="0.2">
      <c r="A12" t="s">
        <v>2621</v>
      </c>
      <c r="B12" t="s">
        <v>160</v>
      </c>
      <c r="C12">
        <v>1708.71</v>
      </c>
      <c r="D12" t="s">
        <v>6961</v>
      </c>
      <c r="E12">
        <v>1708.71</v>
      </c>
      <c r="F12" t="s">
        <v>6961</v>
      </c>
      <c r="G12" s="220">
        <f t="shared" si="0"/>
        <v>1708.71</v>
      </c>
      <c r="H12" s="220">
        <f t="shared" si="1"/>
        <v>1708.71</v>
      </c>
      <c r="I12" s="221">
        <f>IF(A12="Total",VLOOKUP(B12,CORRESPONDANCE[#All],2,FALSE),I13)</f>
        <v>4</v>
      </c>
      <c r="J12" s="222" t="str">
        <f t="shared" si="2"/>
        <v>6</v>
      </c>
      <c r="K12" s="44" t="str">
        <f t="shared" si="3"/>
        <v>TH4 - 60110300</v>
      </c>
      <c r="L12" s="44" t="str">
        <f>+VLOOKUP(K12,TL[],4,FALSE)</f>
        <v>08</v>
      </c>
    </row>
    <row r="13" spans="1:12" x14ac:dyDescent="0.2">
      <c r="A13" t="s">
        <v>197</v>
      </c>
      <c r="B13" t="s">
        <v>2517</v>
      </c>
      <c r="C13">
        <v>1708.71</v>
      </c>
      <c r="D13" t="s">
        <v>6961</v>
      </c>
      <c r="E13">
        <v>1708.71</v>
      </c>
      <c r="F13" t="s">
        <v>6961</v>
      </c>
      <c r="G13" s="220">
        <f t="shared" si="0"/>
        <v>1708.71</v>
      </c>
      <c r="H13" s="220">
        <f t="shared" si="1"/>
        <v>1708.71</v>
      </c>
      <c r="I13" s="221">
        <f>IF(A13="Total",VLOOKUP(B13,CORRESPONDANCE[#All],2,FALSE),I14)</f>
        <v>4</v>
      </c>
      <c r="J13" s="222" t="str">
        <f t="shared" si="2"/>
        <v>T</v>
      </c>
      <c r="K13" s="44" t="str">
        <f t="shared" si="3"/>
        <v>TH4 - Total</v>
      </c>
      <c r="L13" s="44" t="e">
        <f>+VLOOKUP(K13,TL[],4,FALSE)</f>
        <v>#N/A</v>
      </c>
    </row>
    <row r="14" spans="1:12" x14ac:dyDescent="0.2">
      <c r="A14" t="s">
        <v>2622</v>
      </c>
      <c r="B14" t="s">
        <v>225</v>
      </c>
      <c r="C14">
        <v>2849.78</v>
      </c>
      <c r="D14" t="s">
        <v>6961</v>
      </c>
      <c r="E14">
        <v>2849.78</v>
      </c>
      <c r="F14" t="s">
        <v>6961</v>
      </c>
      <c r="G14" s="220">
        <f t="shared" si="0"/>
        <v>2849.78</v>
      </c>
      <c r="H14" s="220">
        <f t="shared" si="1"/>
        <v>2849.78</v>
      </c>
      <c r="I14" s="221">
        <f>IF(A14="Total",VLOOKUP(B14,CORRESPONDANCE[#All],2,FALSE),I15)</f>
        <v>5</v>
      </c>
      <c r="J14" s="222" t="str">
        <f t="shared" si="2"/>
        <v>6</v>
      </c>
      <c r="K14" s="44" t="str">
        <f t="shared" si="3"/>
        <v>TH4 - 60110200</v>
      </c>
      <c r="L14" s="44" t="str">
        <f>+VLOOKUP(K14,TL[],4,FALSE)</f>
        <v>07</v>
      </c>
    </row>
    <row r="15" spans="1:12" x14ac:dyDescent="0.2">
      <c r="A15" t="s">
        <v>197</v>
      </c>
      <c r="B15" t="s">
        <v>2518</v>
      </c>
      <c r="C15">
        <v>2849.78</v>
      </c>
      <c r="D15" t="s">
        <v>6961</v>
      </c>
      <c r="E15">
        <v>2849.78</v>
      </c>
      <c r="F15" t="s">
        <v>6961</v>
      </c>
      <c r="G15" s="220">
        <f t="shared" si="0"/>
        <v>2849.78</v>
      </c>
      <c r="H15" s="220">
        <f t="shared" si="1"/>
        <v>2849.78</v>
      </c>
      <c r="I15" s="221">
        <f>IF(A15="Total",VLOOKUP(B15,CORRESPONDANCE[#All],2,FALSE),I16)</f>
        <v>5</v>
      </c>
      <c r="J15" s="222" t="str">
        <f t="shared" si="2"/>
        <v>T</v>
      </c>
      <c r="K15" s="44" t="str">
        <f t="shared" si="3"/>
        <v>TH4 - Total</v>
      </c>
      <c r="L15" s="44" t="e">
        <f>+VLOOKUP(K15,TL[],4,FALSE)</f>
        <v>#N/A</v>
      </c>
    </row>
    <row r="16" spans="1:12" x14ac:dyDescent="0.2">
      <c r="A16" t="s">
        <v>2623</v>
      </c>
      <c r="B16" t="s">
        <v>327</v>
      </c>
      <c r="C16">
        <v>8222.2199999999993</v>
      </c>
      <c r="D16" t="s">
        <v>6961</v>
      </c>
      <c r="E16">
        <v>8222.2199999999993</v>
      </c>
      <c r="F16" t="s">
        <v>6961</v>
      </c>
      <c r="G16" s="220">
        <f t="shared" si="0"/>
        <v>8222.2199999999993</v>
      </c>
      <c r="H16" s="220">
        <f t="shared" si="1"/>
        <v>8222.2199999999993</v>
      </c>
      <c r="I16" s="221">
        <f>IF(A16="Total",VLOOKUP(B16,CORRESPONDANCE[#All],2,FALSE),I17)</f>
        <v>6</v>
      </c>
      <c r="J16" s="222" t="str">
        <f t="shared" si="2"/>
        <v>6</v>
      </c>
      <c r="K16" s="44" t="str">
        <f t="shared" si="3"/>
        <v>TH4 - 60220100</v>
      </c>
      <c r="L16" s="44" t="str">
        <f>+VLOOKUP(K16,TL[],4,FALSE)</f>
        <v>03</v>
      </c>
    </row>
    <row r="17" spans="1:12" x14ac:dyDescent="0.2">
      <c r="A17" t="s">
        <v>3547</v>
      </c>
      <c r="B17" t="s">
        <v>362</v>
      </c>
      <c r="C17">
        <v>153.93</v>
      </c>
      <c r="D17" t="s">
        <v>6961</v>
      </c>
      <c r="E17">
        <v>153.93</v>
      </c>
      <c r="F17" t="s">
        <v>6961</v>
      </c>
      <c r="G17" s="220">
        <f t="shared" si="0"/>
        <v>153.93</v>
      </c>
      <c r="H17" s="220">
        <f t="shared" si="1"/>
        <v>153.93</v>
      </c>
      <c r="I17" s="221">
        <f>IF(A17="Total",VLOOKUP(B17,CORRESPONDANCE[#All],2,FALSE),I18)</f>
        <v>6</v>
      </c>
      <c r="J17" s="222" t="str">
        <f t="shared" si="2"/>
        <v>6</v>
      </c>
      <c r="K17" s="44" t="str">
        <f t="shared" si="3"/>
        <v>TH4 - 60261000</v>
      </c>
      <c r="L17" s="44" t="str">
        <f>+VLOOKUP(K17,TL[],4,FALSE)</f>
        <v>18</v>
      </c>
    </row>
    <row r="18" spans="1:12" x14ac:dyDescent="0.2">
      <c r="A18" t="s">
        <v>2624</v>
      </c>
      <c r="B18" t="s">
        <v>334</v>
      </c>
      <c r="C18" t="s">
        <v>6961</v>
      </c>
      <c r="D18">
        <v>195.25</v>
      </c>
      <c r="E18" t="s">
        <v>6961</v>
      </c>
      <c r="F18">
        <v>195.25</v>
      </c>
      <c r="G18" s="220">
        <f t="shared" si="0"/>
        <v>-195.25</v>
      </c>
      <c r="H18" s="220">
        <f t="shared" si="1"/>
        <v>-195.25</v>
      </c>
      <c r="I18" s="221">
        <f>IF(A18="Total",VLOOKUP(B18,CORRESPONDANCE[#All],2,FALSE),I19)</f>
        <v>6</v>
      </c>
      <c r="J18" s="222" t="str">
        <f t="shared" si="2"/>
        <v>6</v>
      </c>
      <c r="K18" s="44" t="str">
        <f t="shared" si="3"/>
        <v>TH4 - 60320000</v>
      </c>
      <c r="L18" s="44" t="str">
        <f>+VLOOKUP(K18,TL[],4,FALSE)</f>
        <v>03</v>
      </c>
    </row>
    <row r="19" spans="1:12" x14ac:dyDescent="0.2">
      <c r="A19" t="s">
        <v>197</v>
      </c>
      <c r="B19" t="s">
        <v>2519</v>
      </c>
      <c r="C19">
        <v>8180.9</v>
      </c>
      <c r="D19" t="s">
        <v>6961</v>
      </c>
      <c r="E19">
        <v>8180.9</v>
      </c>
      <c r="F19" t="s">
        <v>6961</v>
      </c>
      <c r="G19" s="220">
        <f t="shared" si="0"/>
        <v>8180.9</v>
      </c>
      <c r="H19" s="220">
        <f t="shared" si="1"/>
        <v>8180.9</v>
      </c>
      <c r="I19" s="221">
        <f>IF(A19="Total",VLOOKUP(B19,CORRESPONDANCE[#All],2,FALSE),I20)</f>
        <v>6</v>
      </c>
      <c r="J19" s="222" t="str">
        <f t="shared" si="2"/>
        <v>T</v>
      </c>
      <c r="K19" s="44" t="str">
        <f t="shared" si="3"/>
        <v>TH4 - Total</v>
      </c>
      <c r="L19" s="44" t="e">
        <f>+VLOOKUP(K19,TL[],4,FALSE)</f>
        <v>#N/A</v>
      </c>
    </row>
    <row r="20" spans="1:12" x14ac:dyDescent="0.2">
      <c r="A20" t="s">
        <v>3548</v>
      </c>
      <c r="B20" t="s">
        <v>7065</v>
      </c>
      <c r="C20">
        <v>2229.29</v>
      </c>
      <c r="D20" t="s">
        <v>6961</v>
      </c>
      <c r="E20">
        <v>2229.29</v>
      </c>
      <c r="F20" t="s">
        <v>6961</v>
      </c>
      <c r="G20" s="220">
        <f t="shared" si="0"/>
        <v>2229.29</v>
      </c>
      <c r="H20" s="220">
        <f t="shared" si="1"/>
        <v>2229.29</v>
      </c>
      <c r="I20" s="221" t="str">
        <f>IF(A20="Total",VLOOKUP(B20,CORRESPONDANCE[#All],2,FALSE),I21)</f>
        <v>6.1</v>
      </c>
      <c r="J20" s="222" t="str">
        <f t="shared" si="2"/>
        <v>6</v>
      </c>
      <c r="K20" s="44" t="str">
        <f t="shared" si="3"/>
        <v>TH4 - 60261200</v>
      </c>
      <c r="L20" s="44" t="str">
        <f>+VLOOKUP(K20,TL[],4,FALSE)</f>
        <v>06</v>
      </c>
    </row>
    <row r="21" spans="1:12" x14ac:dyDescent="0.2">
      <c r="A21" t="s">
        <v>6111</v>
      </c>
      <c r="B21" t="s">
        <v>6880</v>
      </c>
      <c r="C21" t="s">
        <v>6961</v>
      </c>
      <c r="D21">
        <v>1276.8599999999999</v>
      </c>
      <c r="E21" t="s">
        <v>6961</v>
      </c>
      <c r="F21">
        <v>1276.8599999999999</v>
      </c>
      <c r="G21" s="220">
        <f t="shared" si="0"/>
        <v>-1276.8599999999999</v>
      </c>
      <c r="H21" s="220">
        <f t="shared" si="1"/>
        <v>-1276.8599999999999</v>
      </c>
      <c r="I21" s="221" t="str">
        <f>IF(A21="Total",VLOOKUP(B21,CORRESPONDANCE[#All],2,FALSE),I22)</f>
        <v>6.1</v>
      </c>
      <c r="J21" s="222" t="str">
        <f t="shared" si="2"/>
        <v>6</v>
      </c>
      <c r="K21" s="44" t="str">
        <f t="shared" si="3"/>
        <v>TH4 - 60321000</v>
      </c>
      <c r="L21" s="44" t="str">
        <f>+VLOOKUP(K21,TL[],4,FALSE)</f>
        <v>06</v>
      </c>
    </row>
    <row r="22" spans="1:12" x14ac:dyDescent="0.2">
      <c r="A22" t="s">
        <v>197</v>
      </c>
      <c r="B22" t="s">
        <v>3010</v>
      </c>
      <c r="C22">
        <v>952.43</v>
      </c>
      <c r="D22" t="s">
        <v>6961</v>
      </c>
      <c r="E22">
        <v>952.43</v>
      </c>
      <c r="F22" t="s">
        <v>6961</v>
      </c>
      <c r="G22" s="220">
        <f t="shared" si="0"/>
        <v>952.43</v>
      </c>
      <c r="H22" s="220">
        <f t="shared" si="1"/>
        <v>952.43</v>
      </c>
      <c r="I22" s="221" t="str">
        <f>IF(A22="Total",VLOOKUP(B22,CORRESPONDANCE[#All],2,FALSE),I23)</f>
        <v>6.1</v>
      </c>
      <c r="J22" s="222" t="str">
        <f t="shared" si="2"/>
        <v>T</v>
      </c>
      <c r="K22" s="44" t="str">
        <f t="shared" si="3"/>
        <v>TH4 - Total</v>
      </c>
      <c r="L22" s="44" t="e">
        <f>+VLOOKUP(K22,TL[],4,FALSE)</f>
        <v>#N/A</v>
      </c>
    </row>
    <row r="23" spans="1:12" x14ac:dyDescent="0.2">
      <c r="A23" t="s">
        <v>3625</v>
      </c>
      <c r="B23" t="s">
        <v>341</v>
      </c>
      <c r="C23">
        <v>144.77000000000001</v>
      </c>
      <c r="D23" t="s">
        <v>6961</v>
      </c>
      <c r="E23">
        <v>144.77000000000001</v>
      </c>
      <c r="F23" t="s">
        <v>6961</v>
      </c>
      <c r="G23" s="220">
        <f t="shared" si="0"/>
        <v>144.77000000000001</v>
      </c>
      <c r="H23" s="220">
        <f t="shared" si="1"/>
        <v>144.77000000000001</v>
      </c>
      <c r="I23" s="221">
        <f>IF(A23="Total",VLOOKUP(B23,CORRESPONDANCE[#All],2,FALSE),I24)</f>
        <v>8</v>
      </c>
      <c r="J23" s="222" t="str">
        <f t="shared" si="2"/>
        <v>6</v>
      </c>
      <c r="K23" s="44" t="str">
        <f t="shared" si="3"/>
        <v>TH4 - 62140100</v>
      </c>
      <c r="L23" s="44" t="str">
        <f>+VLOOKUP(K23,TL[],4,FALSE)</f>
        <v>10</v>
      </c>
    </row>
    <row r="24" spans="1:12" x14ac:dyDescent="0.2">
      <c r="A24" t="s">
        <v>2625</v>
      </c>
      <c r="B24" t="s">
        <v>376</v>
      </c>
      <c r="C24">
        <v>57154.55</v>
      </c>
      <c r="D24" t="s">
        <v>6961</v>
      </c>
      <c r="E24">
        <v>57154.55</v>
      </c>
      <c r="F24" t="s">
        <v>6961</v>
      </c>
      <c r="G24" s="220">
        <f t="shared" si="0"/>
        <v>57154.55</v>
      </c>
      <c r="H24" s="220">
        <f t="shared" si="1"/>
        <v>57154.55</v>
      </c>
      <c r="I24" s="221">
        <f>IF(A24="Total",VLOOKUP(B24,CORRESPONDANCE[#All],2,FALSE),I25)</f>
        <v>8</v>
      </c>
      <c r="J24" s="222" t="str">
        <f t="shared" si="2"/>
        <v>6</v>
      </c>
      <c r="K24" s="44" t="str">
        <f t="shared" si="3"/>
        <v>TH4 - 64110100</v>
      </c>
      <c r="L24" s="44" t="str">
        <f>+VLOOKUP(K24,TL[],4,FALSE)</f>
        <v>10</v>
      </c>
    </row>
    <row r="25" spans="1:12" x14ac:dyDescent="0.2">
      <c r="A25" t="s">
        <v>3680</v>
      </c>
      <c r="B25" t="s">
        <v>364</v>
      </c>
      <c r="C25">
        <v>1412.81</v>
      </c>
      <c r="D25" t="s">
        <v>6961</v>
      </c>
      <c r="E25">
        <v>1412.81</v>
      </c>
      <c r="F25" t="s">
        <v>6961</v>
      </c>
      <c r="G25" s="220">
        <f t="shared" si="0"/>
        <v>1412.81</v>
      </c>
      <c r="H25" s="220">
        <f t="shared" si="1"/>
        <v>1412.81</v>
      </c>
      <c r="I25" s="221">
        <f>IF(A25="Total",VLOOKUP(B25,CORRESPONDANCE[#All],2,FALSE),I26)</f>
        <v>8</v>
      </c>
      <c r="J25" s="222" t="str">
        <f t="shared" si="2"/>
        <v>6</v>
      </c>
      <c r="K25" s="44" t="str">
        <f t="shared" si="3"/>
        <v>TH4 - 64123000</v>
      </c>
      <c r="L25" s="44" t="str">
        <f>+VLOOKUP(K25,TL[],4,FALSE)</f>
        <v>10</v>
      </c>
    </row>
    <row r="26" spans="1:12" x14ac:dyDescent="0.2">
      <c r="A26" t="s">
        <v>2627</v>
      </c>
      <c r="B26" t="s">
        <v>356</v>
      </c>
      <c r="C26">
        <v>2743</v>
      </c>
      <c r="D26" t="s">
        <v>6961</v>
      </c>
      <c r="E26">
        <v>2743</v>
      </c>
      <c r="F26" t="s">
        <v>6961</v>
      </c>
      <c r="G26" s="220">
        <f t="shared" si="0"/>
        <v>2743</v>
      </c>
      <c r="H26" s="220">
        <f t="shared" si="1"/>
        <v>2743</v>
      </c>
      <c r="I26" s="221">
        <f>IF(A26="Total",VLOOKUP(B26,CORRESPONDANCE[#All],2,FALSE),I27)</f>
        <v>8</v>
      </c>
      <c r="J26" s="222" t="str">
        <f t="shared" si="2"/>
        <v>6</v>
      </c>
      <c r="K26" s="44" t="str">
        <f t="shared" si="3"/>
        <v>TH4 - 64140100</v>
      </c>
      <c r="L26" s="44" t="str">
        <f>+VLOOKUP(K26,TL[],4,FALSE)</f>
        <v>10</v>
      </c>
    </row>
    <row r="27" spans="1:12" x14ac:dyDescent="0.2">
      <c r="A27" t="s">
        <v>2628</v>
      </c>
      <c r="B27" t="s">
        <v>350</v>
      </c>
      <c r="C27">
        <v>666.76</v>
      </c>
      <c r="D27" t="s">
        <v>6961</v>
      </c>
      <c r="E27">
        <v>666.76</v>
      </c>
      <c r="F27" t="s">
        <v>6961</v>
      </c>
      <c r="G27" s="220">
        <f t="shared" si="0"/>
        <v>666.76</v>
      </c>
      <c r="H27" s="220">
        <f t="shared" si="1"/>
        <v>666.76</v>
      </c>
      <c r="I27" s="221">
        <f>IF(A27="Total",VLOOKUP(B27,CORRESPONDANCE[#All],2,FALSE),I28)</f>
        <v>8</v>
      </c>
      <c r="J27" s="222" t="str">
        <f t="shared" si="2"/>
        <v>6</v>
      </c>
      <c r="K27" s="44" t="str">
        <f t="shared" si="3"/>
        <v>TH4 - 64141100</v>
      </c>
      <c r="L27" s="44" t="str">
        <f>+VLOOKUP(K27,TL[],4,FALSE)</f>
        <v>10</v>
      </c>
    </row>
    <row r="28" spans="1:12" x14ac:dyDescent="0.2">
      <c r="A28" t="s">
        <v>3763</v>
      </c>
      <c r="B28" t="s">
        <v>346</v>
      </c>
      <c r="C28" t="s">
        <v>6961</v>
      </c>
      <c r="D28">
        <v>2743</v>
      </c>
      <c r="E28" t="s">
        <v>6961</v>
      </c>
      <c r="F28">
        <v>2743</v>
      </c>
      <c r="G28" s="220">
        <f t="shared" si="0"/>
        <v>-2743</v>
      </c>
      <c r="H28" s="220">
        <f t="shared" si="1"/>
        <v>-2743</v>
      </c>
      <c r="I28" s="221">
        <f>IF(A28="Total",VLOOKUP(B28,CORRESPONDANCE[#All],2,FALSE),I29)</f>
        <v>8</v>
      </c>
      <c r="J28" s="222" t="str">
        <f t="shared" si="2"/>
        <v>7</v>
      </c>
      <c r="K28" s="44" t="str">
        <f t="shared" si="3"/>
        <v>TH4 - 79110100</v>
      </c>
      <c r="L28" s="44" t="str">
        <f>+VLOOKUP(K28,TL[],4,FALSE)</f>
        <v>10</v>
      </c>
    </row>
    <row r="29" spans="1:12" x14ac:dyDescent="0.2">
      <c r="A29" t="s">
        <v>197</v>
      </c>
      <c r="B29" t="s">
        <v>2523</v>
      </c>
      <c r="C29">
        <v>59378.89</v>
      </c>
      <c r="D29" t="s">
        <v>6961</v>
      </c>
      <c r="E29">
        <v>59378.89</v>
      </c>
      <c r="F29" t="s">
        <v>6961</v>
      </c>
      <c r="G29" s="220">
        <f t="shared" si="0"/>
        <v>59378.89</v>
      </c>
      <c r="H29" s="220">
        <f t="shared" si="1"/>
        <v>59378.89</v>
      </c>
      <c r="I29" s="221">
        <f>IF(A29="Total",VLOOKUP(B29,CORRESPONDANCE[#All],2,FALSE),I30)</f>
        <v>8</v>
      </c>
      <c r="J29" s="222" t="str">
        <f t="shared" si="2"/>
        <v>T</v>
      </c>
      <c r="K29" s="44" t="str">
        <f t="shared" si="3"/>
        <v>TH4 - Total</v>
      </c>
      <c r="L29" s="44" t="e">
        <f>+VLOOKUP(K29,TL[],4,FALSE)</f>
        <v>#N/A</v>
      </c>
    </row>
    <row r="30" spans="1:12" x14ac:dyDescent="0.2">
      <c r="A30" t="s">
        <v>7133</v>
      </c>
      <c r="B30" t="s">
        <v>7134</v>
      </c>
      <c r="C30">
        <v>23.79</v>
      </c>
      <c r="D30" t="s">
        <v>6961</v>
      </c>
      <c r="E30">
        <v>23.79</v>
      </c>
      <c r="F30" t="s">
        <v>6961</v>
      </c>
      <c r="G30" s="220">
        <f t="shared" si="0"/>
        <v>23.79</v>
      </c>
      <c r="H30" s="220">
        <f t="shared" si="1"/>
        <v>23.79</v>
      </c>
      <c r="I30" s="221">
        <f>IF(A30="Total",VLOOKUP(B30,CORRESPONDANCE[#All],2,FALSE),I31)</f>
        <v>9</v>
      </c>
      <c r="J30" s="222" t="str">
        <f t="shared" si="2"/>
        <v>6</v>
      </c>
      <c r="K30" s="44" t="str">
        <f t="shared" si="3"/>
        <v>TH4 - 62142100</v>
      </c>
      <c r="L30" s="44" t="e">
        <f>+VLOOKUP(K30,TL[],4,FALSE)</f>
        <v>#N/A</v>
      </c>
    </row>
    <row r="31" spans="1:12" x14ac:dyDescent="0.2">
      <c r="A31" t="s">
        <v>3684</v>
      </c>
      <c r="B31" t="s">
        <v>271</v>
      </c>
      <c r="C31">
        <v>336.93</v>
      </c>
      <c r="D31" t="s">
        <v>6961</v>
      </c>
      <c r="E31">
        <v>336.93</v>
      </c>
      <c r="F31" t="s">
        <v>6961</v>
      </c>
      <c r="G31" s="220">
        <f t="shared" si="0"/>
        <v>336.93</v>
      </c>
      <c r="H31" s="220">
        <f t="shared" si="1"/>
        <v>336.93</v>
      </c>
      <c r="I31" s="221">
        <f>IF(A31="Total",VLOOKUP(B31,CORRESPONDANCE[#All],2,FALSE),I32)</f>
        <v>9</v>
      </c>
      <c r="J31" s="222" t="str">
        <f t="shared" si="2"/>
        <v>6</v>
      </c>
      <c r="K31" s="44" t="str">
        <f t="shared" si="3"/>
        <v>TH4 - 64504100</v>
      </c>
      <c r="L31" s="44" t="str">
        <f>+VLOOKUP(K31,TL[],4,FALSE)</f>
        <v>10</v>
      </c>
    </row>
    <row r="32" spans="1:12" x14ac:dyDescent="0.2">
      <c r="A32" t="s">
        <v>2630</v>
      </c>
      <c r="B32" t="s">
        <v>175</v>
      </c>
      <c r="C32">
        <v>3060.04</v>
      </c>
      <c r="D32" t="s">
        <v>6961</v>
      </c>
      <c r="E32">
        <v>3060.04</v>
      </c>
      <c r="F32" t="s">
        <v>6961</v>
      </c>
      <c r="G32" s="220">
        <f t="shared" si="0"/>
        <v>3060.04</v>
      </c>
      <c r="H32" s="220">
        <f t="shared" si="1"/>
        <v>3060.04</v>
      </c>
      <c r="I32" s="221">
        <f>IF(A32="Total",VLOOKUP(B32,CORRESPONDANCE[#All],2,FALSE),I33)</f>
        <v>9</v>
      </c>
      <c r="J32" s="222" t="str">
        <f t="shared" si="2"/>
        <v>6</v>
      </c>
      <c r="K32" s="44" t="str">
        <f t="shared" si="3"/>
        <v>TH4 - 64510100</v>
      </c>
      <c r="L32" s="44" t="str">
        <f>+VLOOKUP(K32,TL[],4,FALSE)</f>
        <v>10</v>
      </c>
    </row>
    <row r="33" spans="1:12" x14ac:dyDescent="0.2">
      <c r="A33" t="s">
        <v>2632</v>
      </c>
      <c r="B33" t="s">
        <v>343</v>
      </c>
      <c r="C33">
        <v>1309.53</v>
      </c>
      <c r="D33" t="s">
        <v>6961</v>
      </c>
      <c r="E33">
        <v>1309.53</v>
      </c>
      <c r="F33" t="s">
        <v>6961</v>
      </c>
      <c r="G33" s="220">
        <f t="shared" si="0"/>
        <v>1309.53</v>
      </c>
      <c r="H33" s="220">
        <f t="shared" si="1"/>
        <v>1309.53</v>
      </c>
      <c r="I33" s="221">
        <f>IF(A33="Total",VLOOKUP(B33,CORRESPONDANCE[#All],2,FALSE),I34)</f>
        <v>9</v>
      </c>
      <c r="J33" s="222" t="str">
        <f t="shared" si="2"/>
        <v>6</v>
      </c>
      <c r="K33" s="44" t="str">
        <f t="shared" si="3"/>
        <v>TH4 - 64530100</v>
      </c>
      <c r="L33" s="44" t="str">
        <f>+VLOOKUP(K33,TL[],4,FALSE)</f>
        <v>10</v>
      </c>
    </row>
    <row r="34" spans="1:12" x14ac:dyDescent="0.2">
      <c r="A34" t="s">
        <v>2633</v>
      </c>
      <c r="B34" t="s">
        <v>169</v>
      </c>
      <c r="C34">
        <v>1929.61</v>
      </c>
      <c r="D34" t="s">
        <v>6961</v>
      </c>
      <c r="E34">
        <v>1929.61</v>
      </c>
      <c r="F34" t="s">
        <v>6961</v>
      </c>
      <c r="G34" s="220">
        <f t="shared" si="0"/>
        <v>1929.61</v>
      </c>
      <c r="H34" s="220">
        <f t="shared" si="1"/>
        <v>1929.61</v>
      </c>
      <c r="I34" s="221">
        <f>IF(A34="Total",VLOOKUP(B34,CORRESPONDANCE[#All],2,FALSE),I35)</f>
        <v>9</v>
      </c>
      <c r="J34" s="222" t="str">
        <f t="shared" si="2"/>
        <v>6</v>
      </c>
      <c r="K34" s="44" t="str">
        <f t="shared" si="3"/>
        <v>TH4 - 64540100</v>
      </c>
      <c r="L34" s="44" t="str">
        <f>+VLOOKUP(K34,TL[],4,FALSE)</f>
        <v>10</v>
      </c>
    </row>
    <row r="35" spans="1:12" x14ac:dyDescent="0.2">
      <c r="A35" t="s">
        <v>2634</v>
      </c>
      <c r="B35" t="s">
        <v>353</v>
      </c>
      <c r="C35">
        <v>135.69999999999999</v>
      </c>
      <c r="D35" t="s">
        <v>6961</v>
      </c>
      <c r="E35">
        <v>135.69999999999999</v>
      </c>
      <c r="F35" t="s">
        <v>6961</v>
      </c>
      <c r="G35" s="220">
        <f t="shared" si="0"/>
        <v>135.69999999999999</v>
      </c>
      <c r="H35" s="220">
        <f t="shared" si="1"/>
        <v>135.69999999999999</v>
      </c>
      <c r="I35" s="221">
        <f>IF(A35="Total",VLOOKUP(B35,CORRESPONDANCE[#All],2,FALSE),I36)</f>
        <v>9</v>
      </c>
      <c r="J35" s="222" t="str">
        <f t="shared" si="2"/>
        <v>6</v>
      </c>
      <c r="K35" s="44" t="str">
        <f t="shared" si="3"/>
        <v>TH4 - 64580000</v>
      </c>
      <c r="L35" s="44" t="str">
        <f>+VLOOKUP(K35,TL[],4,FALSE)</f>
        <v>10</v>
      </c>
    </row>
    <row r="36" spans="1:12" x14ac:dyDescent="0.2">
      <c r="A36" t="s">
        <v>197</v>
      </c>
      <c r="B36" t="s">
        <v>2529</v>
      </c>
      <c r="C36">
        <v>6795.6</v>
      </c>
      <c r="D36" t="s">
        <v>6961</v>
      </c>
      <c r="E36">
        <v>6795.6</v>
      </c>
      <c r="F36" t="s">
        <v>6961</v>
      </c>
      <c r="G36" s="220">
        <f t="shared" si="0"/>
        <v>6795.6</v>
      </c>
      <c r="H36" s="220">
        <f t="shared" si="1"/>
        <v>6795.6</v>
      </c>
      <c r="I36" s="221">
        <f>IF(A36="Total",VLOOKUP(B36,CORRESPONDANCE[#All],2,FALSE),I37)</f>
        <v>9</v>
      </c>
      <c r="J36" s="222" t="str">
        <f t="shared" si="2"/>
        <v>T</v>
      </c>
      <c r="K36" s="44" t="str">
        <f t="shared" si="3"/>
        <v>TH4 - Total</v>
      </c>
      <c r="L36" s="44" t="e">
        <f>+VLOOKUP(K36,TL[],4,FALSE)</f>
        <v>#N/A</v>
      </c>
    </row>
    <row r="37" spans="1:12" x14ac:dyDescent="0.2">
      <c r="A37" t="s">
        <v>2636</v>
      </c>
      <c r="B37" t="s">
        <v>144</v>
      </c>
      <c r="C37">
        <v>18233.93</v>
      </c>
      <c r="D37" t="s">
        <v>6961</v>
      </c>
      <c r="E37">
        <v>18233.93</v>
      </c>
      <c r="F37" t="s">
        <v>6961</v>
      </c>
      <c r="G37" s="220">
        <f t="shared" si="0"/>
        <v>18233.93</v>
      </c>
      <c r="H37" s="220">
        <f t="shared" si="1"/>
        <v>18233.93</v>
      </c>
      <c r="I37" s="221">
        <f>IF(A37="Total",VLOOKUP(B37,CORRESPONDANCE[#All],2,FALSE),I38)</f>
        <v>10</v>
      </c>
      <c r="J37" s="222" t="str">
        <f t="shared" si="2"/>
        <v>6</v>
      </c>
      <c r="K37" s="44" t="str">
        <f t="shared" si="3"/>
        <v>TH4 - 64110400</v>
      </c>
      <c r="L37" s="44" t="str">
        <f>+VLOOKUP(K37,TL[],4,FALSE)</f>
        <v>11</v>
      </c>
    </row>
    <row r="38" spans="1:12" x14ac:dyDescent="0.2">
      <c r="A38" t="s">
        <v>3679</v>
      </c>
      <c r="B38" t="s">
        <v>359</v>
      </c>
      <c r="C38">
        <v>560.66999999999996</v>
      </c>
      <c r="D38" t="s">
        <v>6961</v>
      </c>
      <c r="E38">
        <v>560.66999999999996</v>
      </c>
      <c r="F38" t="s">
        <v>6961</v>
      </c>
      <c r="G38" s="220">
        <f t="shared" si="0"/>
        <v>560.66999999999996</v>
      </c>
      <c r="H38" s="220">
        <f t="shared" si="1"/>
        <v>560.66999999999996</v>
      </c>
      <c r="I38" s="221">
        <f>IF(A38="Total",VLOOKUP(B38,CORRESPONDANCE[#All],2,FALSE),I39)</f>
        <v>10</v>
      </c>
      <c r="J38" s="222" t="str">
        <f t="shared" si="2"/>
        <v>6</v>
      </c>
      <c r="K38" s="44" t="str">
        <f t="shared" si="3"/>
        <v>TH4 - 64122000</v>
      </c>
      <c r="L38" s="44" t="str">
        <f>+VLOOKUP(K38,TL[],4,FALSE)</f>
        <v>11</v>
      </c>
    </row>
    <row r="39" spans="1:12" x14ac:dyDescent="0.2">
      <c r="A39" t="s">
        <v>2638</v>
      </c>
      <c r="B39" t="s">
        <v>344</v>
      </c>
      <c r="C39">
        <v>614.67999999999995</v>
      </c>
      <c r="D39" t="s">
        <v>6961</v>
      </c>
      <c r="E39">
        <v>614.67999999999995</v>
      </c>
      <c r="F39" t="s">
        <v>6961</v>
      </c>
      <c r="G39" s="220">
        <f t="shared" si="0"/>
        <v>614.67999999999995</v>
      </c>
      <c r="H39" s="220">
        <f t="shared" si="1"/>
        <v>614.67999999999995</v>
      </c>
      <c r="I39" s="221">
        <f>IF(A39="Total",VLOOKUP(B39,CORRESPONDANCE[#All],2,FALSE),I40)</f>
        <v>10</v>
      </c>
      <c r="J39" s="222" t="str">
        <f t="shared" si="2"/>
        <v>6</v>
      </c>
      <c r="K39" s="44" t="str">
        <f t="shared" si="3"/>
        <v>TH4 - 64140400</v>
      </c>
      <c r="L39" s="44" t="str">
        <f>+VLOOKUP(K39,TL[],4,FALSE)</f>
        <v>11</v>
      </c>
    </row>
    <row r="40" spans="1:12" x14ac:dyDescent="0.2">
      <c r="A40" t="s">
        <v>2639</v>
      </c>
      <c r="B40" t="s">
        <v>348</v>
      </c>
      <c r="C40">
        <v>127.47</v>
      </c>
      <c r="D40" t="s">
        <v>6961</v>
      </c>
      <c r="E40">
        <v>127.47</v>
      </c>
      <c r="F40" t="s">
        <v>6961</v>
      </c>
      <c r="G40" s="220">
        <f t="shared" si="0"/>
        <v>127.47</v>
      </c>
      <c r="H40" s="220">
        <f t="shared" si="1"/>
        <v>127.47</v>
      </c>
      <c r="I40" s="221">
        <f>IF(A40="Total",VLOOKUP(B40,CORRESPONDANCE[#All],2,FALSE),I41)</f>
        <v>10</v>
      </c>
      <c r="J40" s="222" t="str">
        <f t="shared" si="2"/>
        <v>6</v>
      </c>
      <c r="K40" s="44" t="str">
        <f t="shared" si="3"/>
        <v>TH4 - 64141400</v>
      </c>
      <c r="L40" s="44" t="str">
        <f>+VLOOKUP(K40,TL[],4,FALSE)</f>
        <v>11</v>
      </c>
    </row>
    <row r="41" spans="1:12" x14ac:dyDescent="0.2">
      <c r="A41" t="s">
        <v>2641</v>
      </c>
      <c r="B41" t="s">
        <v>344</v>
      </c>
      <c r="C41" t="s">
        <v>6961</v>
      </c>
      <c r="D41">
        <v>396.68</v>
      </c>
      <c r="E41" t="s">
        <v>6961</v>
      </c>
      <c r="F41">
        <v>396.68</v>
      </c>
      <c r="G41" s="220">
        <f t="shared" si="0"/>
        <v>-396.68</v>
      </c>
      <c r="H41" s="220">
        <f t="shared" si="1"/>
        <v>-396.68</v>
      </c>
      <c r="I41" s="221">
        <f>IF(A41="Total",VLOOKUP(B41,CORRESPONDANCE[#All],2,FALSE),I42)</f>
        <v>10</v>
      </c>
      <c r="J41" s="222" t="str">
        <f t="shared" si="2"/>
        <v>7</v>
      </c>
      <c r="K41" s="44" t="str">
        <f t="shared" si="3"/>
        <v>TH4 - 72611000</v>
      </c>
      <c r="L41" s="44" t="str">
        <f>+VLOOKUP(K41,TL[],4,FALSE)</f>
        <v>11</v>
      </c>
    </row>
    <row r="42" spans="1:12" x14ac:dyDescent="0.2">
      <c r="A42" t="s">
        <v>3765</v>
      </c>
      <c r="B42" t="s">
        <v>224</v>
      </c>
      <c r="C42" t="s">
        <v>6961</v>
      </c>
      <c r="D42">
        <v>218</v>
      </c>
      <c r="E42" t="s">
        <v>6961</v>
      </c>
      <c r="F42">
        <v>218</v>
      </c>
      <c r="G42" s="220">
        <f t="shared" si="0"/>
        <v>-218</v>
      </c>
      <c r="H42" s="220">
        <f t="shared" si="1"/>
        <v>-218</v>
      </c>
      <c r="I42" s="221">
        <f>IF(A42="Total",VLOOKUP(B42,CORRESPONDANCE[#All],2,FALSE),I43)</f>
        <v>10</v>
      </c>
      <c r="J42" s="222" t="str">
        <f t="shared" si="2"/>
        <v>7</v>
      </c>
      <c r="K42" s="44" t="str">
        <f t="shared" si="3"/>
        <v>TH4 - 79110500</v>
      </c>
      <c r="L42" s="44" t="str">
        <f>+VLOOKUP(K42,TL[],4,FALSE)</f>
        <v>11</v>
      </c>
    </row>
    <row r="43" spans="1:12" x14ac:dyDescent="0.2">
      <c r="A43" t="s">
        <v>197</v>
      </c>
      <c r="B43" t="s">
        <v>2532</v>
      </c>
      <c r="C43">
        <v>18922.07</v>
      </c>
      <c r="D43" t="s">
        <v>6961</v>
      </c>
      <c r="E43">
        <v>18922.07</v>
      </c>
      <c r="F43" t="s">
        <v>6961</v>
      </c>
      <c r="G43" s="220">
        <f t="shared" si="0"/>
        <v>18922.07</v>
      </c>
      <c r="H43" s="220">
        <f t="shared" si="1"/>
        <v>18922.07</v>
      </c>
      <c r="I43" s="221">
        <f>IF(A43="Total",VLOOKUP(B43,CORRESPONDANCE[#All],2,FALSE),I44)</f>
        <v>10</v>
      </c>
      <c r="J43" s="222" t="str">
        <f t="shared" si="2"/>
        <v>T</v>
      </c>
      <c r="K43" s="44" t="str">
        <f t="shared" si="3"/>
        <v>TH4 - Total</v>
      </c>
      <c r="L43" s="44" t="e">
        <f>+VLOOKUP(K43,TL[],4,FALSE)</f>
        <v>#N/A</v>
      </c>
    </row>
    <row r="44" spans="1:12" x14ac:dyDescent="0.2">
      <c r="A44" t="s">
        <v>3685</v>
      </c>
      <c r="B44" t="s">
        <v>273</v>
      </c>
      <c r="C44">
        <v>61.26</v>
      </c>
      <c r="D44" t="s">
        <v>6961</v>
      </c>
      <c r="E44">
        <v>61.26</v>
      </c>
      <c r="F44" t="s">
        <v>6961</v>
      </c>
      <c r="G44" s="220">
        <f t="shared" si="0"/>
        <v>61.26</v>
      </c>
      <c r="H44" s="220">
        <f t="shared" si="1"/>
        <v>61.26</v>
      </c>
      <c r="I44" s="221">
        <f>IF(A44="Total",VLOOKUP(B44,CORRESPONDANCE[#All],2,FALSE),I45)</f>
        <v>11</v>
      </c>
      <c r="J44" s="222" t="str">
        <f t="shared" si="2"/>
        <v>6</v>
      </c>
      <c r="K44" s="44" t="str">
        <f t="shared" si="3"/>
        <v>TH4 - 64504400</v>
      </c>
      <c r="L44" s="44" t="str">
        <f>+VLOOKUP(K44,TL[],4,FALSE)</f>
        <v>12</v>
      </c>
    </row>
    <row r="45" spans="1:12" x14ac:dyDescent="0.2">
      <c r="A45" t="s">
        <v>2644</v>
      </c>
      <c r="B45" t="s">
        <v>345</v>
      </c>
      <c r="C45">
        <v>2885.9</v>
      </c>
      <c r="D45" t="s">
        <v>6961</v>
      </c>
      <c r="E45">
        <v>2885.9</v>
      </c>
      <c r="F45" t="s">
        <v>6961</v>
      </c>
      <c r="G45" s="220">
        <f t="shared" si="0"/>
        <v>2885.9</v>
      </c>
      <c r="H45" s="220">
        <f t="shared" si="1"/>
        <v>2885.9</v>
      </c>
      <c r="I45" s="221">
        <f>IF(A45="Total",VLOOKUP(B45,CORRESPONDANCE[#All],2,FALSE),I46)</f>
        <v>11</v>
      </c>
      <c r="J45" s="222" t="str">
        <f t="shared" si="2"/>
        <v>6</v>
      </c>
      <c r="K45" s="44" t="str">
        <f t="shared" si="3"/>
        <v>TH4 - 64510400</v>
      </c>
      <c r="L45" s="44" t="str">
        <f>+VLOOKUP(K45,TL[],4,FALSE)</f>
        <v>12</v>
      </c>
    </row>
    <row r="46" spans="1:12" x14ac:dyDescent="0.2">
      <c r="A46" t="s">
        <v>2646</v>
      </c>
      <c r="B46" t="s">
        <v>352</v>
      </c>
      <c r="C46">
        <v>1064.1199999999999</v>
      </c>
      <c r="D46" t="s">
        <v>6961</v>
      </c>
      <c r="E46">
        <v>1064.1199999999999</v>
      </c>
      <c r="F46" t="s">
        <v>6961</v>
      </c>
      <c r="G46" s="220">
        <f t="shared" si="0"/>
        <v>1064.1199999999999</v>
      </c>
      <c r="H46" s="220">
        <f t="shared" si="1"/>
        <v>1064.1199999999999</v>
      </c>
      <c r="I46" s="221">
        <f>IF(A46="Total",VLOOKUP(B46,CORRESPONDANCE[#All],2,FALSE),I47)</f>
        <v>11</v>
      </c>
      <c r="J46" s="222" t="str">
        <f t="shared" si="2"/>
        <v>6</v>
      </c>
      <c r="K46" s="44" t="str">
        <f t="shared" si="3"/>
        <v>TH4 - 64530400</v>
      </c>
      <c r="L46" s="44" t="str">
        <f>+VLOOKUP(K46,TL[],4,FALSE)</f>
        <v>12</v>
      </c>
    </row>
    <row r="47" spans="1:12" x14ac:dyDescent="0.2">
      <c r="A47" t="s">
        <v>2647</v>
      </c>
      <c r="B47" t="s">
        <v>351</v>
      </c>
      <c r="C47">
        <v>606.02</v>
      </c>
      <c r="D47" t="s">
        <v>6961</v>
      </c>
      <c r="E47">
        <v>606.02</v>
      </c>
      <c r="F47" t="s">
        <v>6961</v>
      </c>
      <c r="G47" s="220">
        <f t="shared" si="0"/>
        <v>606.02</v>
      </c>
      <c r="H47" s="220">
        <f t="shared" si="1"/>
        <v>606.02</v>
      </c>
      <c r="I47" s="221">
        <f>IF(A47="Total",VLOOKUP(B47,CORRESPONDANCE[#All],2,FALSE),I48)</f>
        <v>11</v>
      </c>
      <c r="J47" s="222" t="str">
        <f t="shared" si="2"/>
        <v>6</v>
      </c>
      <c r="K47" s="44" t="str">
        <f t="shared" si="3"/>
        <v>TH4 - 64540400</v>
      </c>
      <c r="L47" s="44" t="str">
        <f>+VLOOKUP(K47,TL[],4,FALSE)</f>
        <v>12</v>
      </c>
    </row>
    <row r="48" spans="1:12" x14ac:dyDescent="0.2">
      <c r="A48" t="s">
        <v>3687</v>
      </c>
      <c r="B48" t="s">
        <v>349</v>
      </c>
      <c r="C48">
        <v>177.85</v>
      </c>
      <c r="D48" t="s">
        <v>6961</v>
      </c>
      <c r="E48">
        <v>177.85</v>
      </c>
      <c r="F48" t="s">
        <v>6961</v>
      </c>
      <c r="G48" s="220">
        <f t="shared" si="0"/>
        <v>177.85</v>
      </c>
      <c r="H48" s="220">
        <f t="shared" si="1"/>
        <v>177.85</v>
      </c>
      <c r="I48" s="221">
        <f>IF(A48="Total",VLOOKUP(B48,CORRESPONDANCE[#All],2,FALSE),I49)</f>
        <v>11</v>
      </c>
      <c r="J48" s="222" t="str">
        <f t="shared" si="2"/>
        <v>6</v>
      </c>
      <c r="K48" s="44" t="str">
        <f t="shared" si="3"/>
        <v>TH4 - 64582000</v>
      </c>
      <c r="L48" s="44" t="str">
        <f>+VLOOKUP(K48,TL[],4,FALSE)</f>
        <v>12</v>
      </c>
    </row>
    <row r="49" spans="1:12" x14ac:dyDescent="0.2">
      <c r="A49" t="s">
        <v>197</v>
      </c>
      <c r="B49" t="s">
        <v>2539</v>
      </c>
      <c r="C49">
        <v>4795.1499999999996</v>
      </c>
      <c r="D49" t="s">
        <v>6961</v>
      </c>
      <c r="E49">
        <v>4795.1499999999996</v>
      </c>
      <c r="F49" t="s">
        <v>6961</v>
      </c>
      <c r="G49" s="220">
        <f t="shared" si="0"/>
        <v>4795.1499999999996</v>
      </c>
      <c r="H49" s="220">
        <f t="shared" si="1"/>
        <v>4795.1499999999996</v>
      </c>
      <c r="I49" s="221">
        <f>IF(A49="Total",VLOOKUP(B49,CORRESPONDANCE[#All],2,FALSE),I50)</f>
        <v>11</v>
      </c>
      <c r="J49" s="222" t="str">
        <f t="shared" si="2"/>
        <v>T</v>
      </c>
      <c r="K49" s="44" t="str">
        <f t="shared" si="3"/>
        <v>TH4 - Total</v>
      </c>
      <c r="L49" s="44" t="e">
        <f>+VLOOKUP(K49,TL[],4,FALSE)</f>
        <v>#N/A</v>
      </c>
    </row>
    <row r="50" spans="1:12" x14ac:dyDescent="0.2">
      <c r="A50" t="s">
        <v>2651</v>
      </c>
      <c r="B50" t="s">
        <v>260</v>
      </c>
      <c r="C50">
        <v>149.16999999999999</v>
      </c>
      <c r="D50" t="s">
        <v>6961</v>
      </c>
      <c r="E50">
        <v>149.16999999999999</v>
      </c>
      <c r="F50" t="s">
        <v>6961</v>
      </c>
      <c r="G50" s="220">
        <f t="shared" si="0"/>
        <v>149.16999999999999</v>
      </c>
      <c r="H50" s="220">
        <f t="shared" si="1"/>
        <v>149.16999999999999</v>
      </c>
      <c r="I50" s="221">
        <f>IF(A50="Total",VLOOKUP(B50,CORRESPONDANCE[#All],2,FALSE),I51)</f>
        <v>15</v>
      </c>
      <c r="J50" s="222" t="str">
        <f t="shared" si="2"/>
        <v>6</v>
      </c>
      <c r="K50" s="44" t="str">
        <f t="shared" si="3"/>
        <v>TH4 - 61521000</v>
      </c>
      <c r="L50" s="44" t="str">
        <f>+VLOOKUP(K50,TL[],4,FALSE)</f>
        <v>16</v>
      </c>
    </row>
    <row r="51" spans="1:12" x14ac:dyDescent="0.2">
      <c r="A51" t="s">
        <v>3605</v>
      </c>
      <c r="B51" t="s">
        <v>326</v>
      </c>
      <c r="C51">
        <v>500</v>
      </c>
      <c r="D51" t="s">
        <v>6961</v>
      </c>
      <c r="E51">
        <v>500</v>
      </c>
      <c r="F51" t="s">
        <v>6961</v>
      </c>
      <c r="G51" s="220">
        <f t="shared" si="0"/>
        <v>500</v>
      </c>
      <c r="H51" s="220">
        <f t="shared" si="1"/>
        <v>500</v>
      </c>
      <c r="I51" s="221">
        <f>IF(A51="Total",VLOOKUP(B51,CORRESPONDANCE[#All],2,FALSE),I52)</f>
        <v>15</v>
      </c>
      <c r="J51" s="222" t="str">
        <f t="shared" si="2"/>
        <v>6</v>
      </c>
      <c r="K51" s="44" t="str">
        <f t="shared" si="3"/>
        <v>TH4 - 61561900</v>
      </c>
      <c r="L51" s="44" t="str">
        <f>+VLOOKUP(K51,TL[],4,FALSE)</f>
        <v>16</v>
      </c>
    </row>
    <row r="52" spans="1:12" x14ac:dyDescent="0.2">
      <c r="A52" t="s">
        <v>197</v>
      </c>
      <c r="B52" t="s">
        <v>2544</v>
      </c>
      <c r="C52">
        <v>649.16999999999996</v>
      </c>
      <c r="D52" t="s">
        <v>6961</v>
      </c>
      <c r="E52">
        <v>649.16999999999996</v>
      </c>
      <c r="F52" t="s">
        <v>6961</v>
      </c>
      <c r="G52" s="220">
        <f t="shared" si="0"/>
        <v>649.16999999999996</v>
      </c>
      <c r="H52" s="220">
        <f t="shared" si="1"/>
        <v>649.16999999999996</v>
      </c>
      <c r="I52" s="221">
        <f>IF(A52="Total",VLOOKUP(B52,CORRESPONDANCE[#All],2,FALSE),I53)</f>
        <v>15</v>
      </c>
      <c r="J52" s="222" t="str">
        <f t="shared" si="2"/>
        <v>T</v>
      </c>
      <c r="K52" s="44" t="str">
        <f t="shared" si="3"/>
        <v>TH4 - Total</v>
      </c>
      <c r="L52" s="44" t="e">
        <f>+VLOOKUP(K52,TL[],4,FALSE)</f>
        <v>#N/A</v>
      </c>
    </row>
    <row r="53" spans="1:12" x14ac:dyDescent="0.2">
      <c r="A53" t="s">
        <v>2653</v>
      </c>
      <c r="B53" t="s">
        <v>1403</v>
      </c>
      <c r="C53">
        <v>582</v>
      </c>
      <c r="D53" t="s">
        <v>6961</v>
      </c>
      <c r="E53">
        <v>582</v>
      </c>
      <c r="F53" t="s">
        <v>6961</v>
      </c>
      <c r="G53" s="220">
        <f t="shared" si="0"/>
        <v>582</v>
      </c>
      <c r="H53" s="220">
        <f t="shared" si="1"/>
        <v>582</v>
      </c>
      <c r="I53" s="221">
        <f>IF(A53="Total",VLOOKUP(B53,CORRESPONDANCE[#All],2,FALSE),I54)</f>
        <v>16</v>
      </c>
      <c r="J53" s="222" t="str">
        <f t="shared" si="2"/>
        <v>6</v>
      </c>
      <c r="K53" s="44" t="str">
        <f t="shared" si="3"/>
        <v>TH4 - 61562000</v>
      </c>
      <c r="L53" s="44" t="str">
        <f>+VLOOKUP(K53,TL[],4,FALSE)</f>
        <v>16</v>
      </c>
    </row>
    <row r="54" spans="1:12" x14ac:dyDescent="0.2">
      <c r="A54" t="s">
        <v>2684</v>
      </c>
      <c r="B54" t="s">
        <v>1487</v>
      </c>
      <c r="C54">
        <v>40.32</v>
      </c>
      <c r="D54" t="s">
        <v>6961</v>
      </c>
      <c r="E54">
        <v>40.32</v>
      </c>
      <c r="F54" t="s">
        <v>6961</v>
      </c>
      <c r="G54" s="220">
        <f t="shared" si="0"/>
        <v>40.32</v>
      </c>
      <c r="H54" s="220">
        <f t="shared" si="1"/>
        <v>40.32</v>
      </c>
      <c r="I54" s="221">
        <f>IF(A54="Total",VLOOKUP(B54,CORRESPONDANCE[#All],2,FALSE),I55)</f>
        <v>16</v>
      </c>
      <c r="J54" s="222" t="str">
        <f t="shared" si="2"/>
        <v>6</v>
      </c>
      <c r="K54" s="44" t="str">
        <f t="shared" si="3"/>
        <v>TH4 - 61564100</v>
      </c>
      <c r="L54" s="44" t="str">
        <f>+VLOOKUP(K54,TL[],4,FALSE)</f>
        <v>16</v>
      </c>
    </row>
    <row r="55" spans="1:12" x14ac:dyDescent="0.2">
      <c r="A55" t="s">
        <v>2686</v>
      </c>
      <c r="B55" t="s">
        <v>7066</v>
      </c>
      <c r="C55">
        <v>46.67</v>
      </c>
      <c r="D55" t="s">
        <v>6961</v>
      </c>
      <c r="E55">
        <v>46.67</v>
      </c>
      <c r="F55" t="s">
        <v>6961</v>
      </c>
      <c r="G55" s="220">
        <f t="shared" si="0"/>
        <v>46.67</v>
      </c>
      <c r="H55" s="220">
        <f t="shared" si="1"/>
        <v>46.67</v>
      </c>
      <c r="I55" s="221">
        <f>IF(A55="Total",VLOOKUP(B55,CORRESPONDANCE[#All],2,FALSE),I56)</f>
        <v>16</v>
      </c>
      <c r="J55" s="222" t="str">
        <f t="shared" si="2"/>
        <v>6</v>
      </c>
      <c r="K55" s="44" t="str">
        <f t="shared" si="3"/>
        <v>TH4 - 61564600</v>
      </c>
      <c r="L55" s="44" t="e">
        <f>+VLOOKUP(K55,TL[],4,FALSE)</f>
        <v>#N/A</v>
      </c>
    </row>
    <row r="56" spans="1:12" x14ac:dyDescent="0.2">
      <c r="A56" t="s">
        <v>197</v>
      </c>
      <c r="B56" t="s">
        <v>2545</v>
      </c>
      <c r="C56">
        <v>668.99</v>
      </c>
      <c r="D56" t="s">
        <v>6961</v>
      </c>
      <c r="E56">
        <v>668.99</v>
      </c>
      <c r="F56" t="s">
        <v>6961</v>
      </c>
      <c r="G56" s="220">
        <f t="shared" si="0"/>
        <v>668.99</v>
      </c>
      <c r="H56" s="220">
        <f t="shared" si="1"/>
        <v>668.99</v>
      </c>
      <c r="I56" s="221">
        <f>IF(A56="Total",VLOOKUP(B56,CORRESPONDANCE[#All],2,FALSE),I57)</f>
        <v>16</v>
      </c>
      <c r="J56" s="222" t="str">
        <f t="shared" si="2"/>
        <v>T</v>
      </c>
      <c r="K56" s="44" t="str">
        <f t="shared" si="3"/>
        <v>TH4 - Total</v>
      </c>
      <c r="L56" s="44" t="e">
        <f>+VLOOKUP(K56,TL[],4,FALSE)</f>
        <v>#N/A</v>
      </c>
    </row>
    <row r="57" spans="1:12" x14ac:dyDescent="0.2">
      <c r="A57" t="s">
        <v>2656</v>
      </c>
      <c r="B57" t="s">
        <v>258</v>
      </c>
      <c r="C57">
        <v>225.61</v>
      </c>
      <c r="D57" t="s">
        <v>6961</v>
      </c>
      <c r="E57">
        <v>225.61</v>
      </c>
      <c r="F57" t="s">
        <v>6961</v>
      </c>
      <c r="G57" s="220">
        <f t="shared" si="0"/>
        <v>225.61</v>
      </c>
      <c r="H57" s="220">
        <f t="shared" si="1"/>
        <v>225.61</v>
      </c>
      <c r="I57" s="221">
        <f>IF(A57="Total",VLOOKUP(B57,CORRESPONDANCE[#All],2,FALSE),I58)</f>
        <v>17</v>
      </c>
      <c r="J57" s="222" t="str">
        <f t="shared" si="2"/>
        <v>6</v>
      </c>
      <c r="K57" s="44" t="str">
        <f t="shared" si="3"/>
        <v>TH4 - 62780100</v>
      </c>
      <c r="L57" s="44" t="str">
        <f>+VLOOKUP(K57,TL[],4,FALSE)</f>
        <v>37</v>
      </c>
    </row>
    <row r="58" spans="1:12" x14ac:dyDescent="0.2">
      <c r="A58" t="s">
        <v>2657</v>
      </c>
      <c r="B58" t="s">
        <v>238</v>
      </c>
      <c r="C58">
        <v>1403.17</v>
      </c>
      <c r="D58" t="s">
        <v>6961</v>
      </c>
      <c r="E58">
        <v>1403.17</v>
      </c>
      <c r="F58" t="s">
        <v>6961</v>
      </c>
      <c r="G58" s="220">
        <f t="shared" si="0"/>
        <v>1403.17</v>
      </c>
      <c r="H58" s="220">
        <f t="shared" si="1"/>
        <v>1403.17</v>
      </c>
      <c r="I58" s="221">
        <f>IF(A58="Total",VLOOKUP(B58,CORRESPONDANCE[#All],2,FALSE),I59)</f>
        <v>17</v>
      </c>
      <c r="J58" s="222" t="str">
        <f t="shared" si="2"/>
        <v>6</v>
      </c>
      <c r="K58" s="44" t="str">
        <f t="shared" si="3"/>
        <v>TH4 - 62780200</v>
      </c>
      <c r="L58" s="44" t="str">
        <f>+VLOOKUP(K58,TL[],4,FALSE)</f>
        <v>37</v>
      </c>
    </row>
    <row r="59" spans="1:12" x14ac:dyDescent="0.2">
      <c r="A59" t="s">
        <v>2658</v>
      </c>
      <c r="B59" t="s">
        <v>363</v>
      </c>
      <c r="C59">
        <v>1034.8800000000001</v>
      </c>
      <c r="D59" t="s">
        <v>6961</v>
      </c>
      <c r="E59">
        <v>1034.8800000000001</v>
      </c>
      <c r="F59" t="s">
        <v>6961</v>
      </c>
      <c r="G59" s="220">
        <f t="shared" si="0"/>
        <v>1034.8800000000001</v>
      </c>
      <c r="H59" s="220">
        <f t="shared" si="1"/>
        <v>1034.8800000000001</v>
      </c>
      <c r="I59" s="221">
        <f>IF(A59="Total",VLOOKUP(B59,CORRESPONDANCE[#All],2,FALSE),I60)</f>
        <v>17</v>
      </c>
      <c r="J59" s="222" t="str">
        <f t="shared" si="2"/>
        <v>6</v>
      </c>
      <c r="K59" s="44" t="str">
        <f t="shared" si="3"/>
        <v>TH4 - 62780300</v>
      </c>
      <c r="L59" s="44" t="str">
        <f>+VLOOKUP(K59,TL[],4,FALSE)</f>
        <v>37</v>
      </c>
    </row>
    <row r="60" spans="1:12" x14ac:dyDescent="0.2">
      <c r="A60" t="s">
        <v>3656</v>
      </c>
      <c r="B60" t="s">
        <v>340</v>
      </c>
      <c r="C60">
        <v>93.42</v>
      </c>
      <c r="D60" t="s">
        <v>6961</v>
      </c>
      <c r="E60">
        <v>93.42</v>
      </c>
      <c r="F60" t="s">
        <v>6961</v>
      </c>
      <c r="G60" s="220">
        <f t="shared" si="0"/>
        <v>93.42</v>
      </c>
      <c r="H60" s="220">
        <f t="shared" si="1"/>
        <v>93.42</v>
      </c>
      <c r="I60" s="221">
        <f>IF(A60="Total",VLOOKUP(B60,CORRESPONDANCE[#All],2,FALSE),I61)</f>
        <v>17</v>
      </c>
      <c r="J60" s="222" t="str">
        <f t="shared" si="2"/>
        <v>6</v>
      </c>
      <c r="K60" s="44" t="str">
        <f t="shared" si="3"/>
        <v>TH4 - 62780500</v>
      </c>
      <c r="L60" s="44" t="str">
        <f>+VLOOKUP(K60,TL[],4,FALSE)</f>
        <v>37</v>
      </c>
    </row>
    <row r="61" spans="1:12" x14ac:dyDescent="0.2">
      <c r="A61" t="s">
        <v>3657</v>
      </c>
      <c r="B61" t="s">
        <v>328</v>
      </c>
      <c r="C61">
        <v>27.99</v>
      </c>
      <c r="D61" t="s">
        <v>6961</v>
      </c>
      <c r="E61">
        <v>27.99</v>
      </c>
      <c r="F61" t="s">
        <v>6961</v>
      </c>
      <c r="G61" s="220">
        <f t="shared" si="0"/>
        <v>27.99</v>
      </c>
      <c r="H61" s="220">
        <f t="shared" si="1"/>
        <v>27.99</v>
      </c>
      <c r="I61" s="221">
        <f>IF(A61="Total",VLOOKUP(B61,CORRESPONDANCE[#All],2,FALSE),I62)</f>
        <v>17</v>
      </c>
      <c r="J61" s="222" t="str">
        <f t="shared" si="2"/>
        <v>6</v>
      </c>
      <c r="K61" s="44" t="str">
        <f t="shared" si="3"/>
        <v>TH4 - 62780600</v>
      </c>
      <c r="L61" s="44" t="str">
        <f>+VLOOKUP(K61,TL[],4,FALSE)</f>
        <v>37</v>
      </c>
    </row>
    <row r="62" spans="1:12" x14ac:dyDescent="0.2">
      <c r="A62" t="s">
        <v>197</v>
      </c>
      <c r="B62" t="s">
        <v>2546</v>
      </c>
      <c r="C62">
        <v>2785.07</v>
      </c>
      <c r="D62" t="s">
        <v>6961</v>
      </c>
      <c r="E62">
        <v>2785.07</v>
      </c>
      <c r="F62" t="s">
        <v>6961</v>
      </c>
      <c r="G62" s="220">
        <f t="shared" si="0"/>
        <v>2785.07</v>
      </c>
      <c r="H62" s="220">
        <f t="shared" si="1"/>
        <v>2785.07</v>
      </c>
      <c r="I62" s="221">
        <f>IF(A62="Total",VLOOKUP(B62,CORRESPONDANCE[#All],2,FALSE),I63)</f>
        <v>17</v>
      </c>
      <c r="J62" s="222" t="str">
        <f t="shared" si="2"/>
        <v>T</v>
      </c>
      <c r="K62" s="44" t="str">
        <f t="shared" si="3"/>
        <v>TH4 - Total</v>
      </c>
      <c r="L62" s="44" t="e">
        <f>+VLOOKUP(K62,TL[],4,FALSE)</f>
        <v>#N/A</v>
      </c>
    </row>
    <row r="63" spans="1:12" x14ac:dyDescent="0.2">
      <c r="A63" t="s">
        <v>2660</v>
      </c>
      <c r="B63" t="s">
        <v>1153</v>
      </c>
      <c r="C63">
        <v>520.77</v>
      </c>
      <c r="D63" t="s">
        <v>6961</v>
      </c>
      <c r="E63">
        <v>520.77</v>
      </c>
      <c r="F63" t="s">
        <v>6961</v>
      </c>
      <c r="G63" s="220">
        <f t="shared" si="0"/>
        <v>520.77</v>
      </c>
      <c r="H63" s="220">
        <f t="shared" si="1"/>
        <v>520.77</v>
      </c>
      <c r="I63" s="221">
        <f>IF(A63="Total",VLOOKUP(B63,CORRESPONDANCE[#All],2,FALSE),I64)</f>
        <v>18</v>
      </c>
      <c r="J63" s="222" t="str">
        <f t="shared" si="2"/>
        <v>6</v>
      </c>
      <c r="K63" s="44" t="str">
        <f t="shared" si="3"/>
        <v>TH4 - 60630000</v>
      </c>
      <c r="L63" s="44" t="str">
        <f>+VLOOKUP(K63,TL[],4,FALSE)</f>
        <v>19</v>
      </c>
    </row>
    <row r="64" spans="1:12" x14ac:dyDescent="0.2">
      <c r="A64" t="s">
        <v>3599</v>
      </c>
      <c r="B64" t="s">
        <v>212</v>
      </c>
      <c r="C64">
        <v>834.46</v>
      </c>
      <c r="D64" t="s">
        <v>6961</v>
      </c>
      <c r="E64">
        <v>834.46</v>
      </c>
      <c r="F64" t="s">
        <v>6961</v>
      </c>
      <c r="G64" s="220">
        <f t="shared" si="0"/>
        <v>834.46</v>
      </c>
      <c r="H64" s="220">
        <f t="shared" si="1"/>
        <v>834.46</v>
      </c>
      <c r="I64" s="221">
        <f>IF(A64="Total",VLOOKUP(B64,CORRESPONDANCE[#All],2,FALSE),I65)</f>
        <v>18</v>
      </c>
      <c r="J64" s="222" t="str">
        <f t="shared" si="2"/>
        <v>6</v>
      </c>
      <c r="K64" s="44" t="str">
        <f t="shared" si="3"/>
        <v>TH4 - 61550000</v>
      </c>
      <c r="L64" s="44" t="str">
        <f>+VLOOKUP(K64,TL[],4,FALSE)</f>
        <v>19</v>
      </c>
    </row>
    <row r="65" spans="1:12" x14ac:dyDescent="0.2">
      <c r="A65" t="s">
        <v>197</v>
      </c>
      <c r="B65" t="s">
        <v>2547</v>
      </c>
      <c r="C65">
        <v>1355.23</v>
      </c>
      <c r="D65" t="s">
        <v>6961</v>
      </c>
      <c r="E65">
        <v>1355.23</v>
      </c>
      <c r="F65" t="s">
        <v>6961</v>
      </c>
      <c r="G65" s="220">
        <f t="shared" si="0"/>
        <v>1355.23</v>
      </c>
      <c r="H65" s="220">
        <f t="shared" si="1"/>
        <v>1355.23</v>
      </c>
      <c r="I65" s="221">
        <f>IF(A65="Total",VLOOKUP(B65,CORRESPONDANCE[#All],2,FALSE),I66)</f>
        <v>18</v>
      </c>
      <c r="J65" s="222" t="str">
        <f t="shared" si="2"/>
        <v>T</v>
      </c>
      <c r="K65" s="44" t="str">
        <f t="shared" si="3"/>
        <v>TH4 - Total</v>
      </c>
      <c r="L65" s="44" t="e">
        <f>+VLOOKUP(K65,TL[],4,FALSE)</f>
        <v>#N/A</v>
      </c>
    </row>
    <row r="66" spans="1:12" x14ac:dyDescent="0.2">
      <c r="A66" t="s">
        <v>3563</v>
      </c>
      <c r="B66" t="s">
        <v>1555</v>
      </c>
      <c r="C66">
        <v>200</v>
      </c>
      <c r="D66" t="s">
        <v>6961</v>
      </c>
      <c r="E66">
        <v>200</v>
      </c>
      <c r="F66" t="s">
        <v>6961</v>
      </c>
      <c r="G66" s="220">
        <f t="shared" ref="G66:G129" si="4">SUM(C66)-SUM(D66)</f>
        <v>200</v>
      </c>
      <c r="H66" s="220">
        <f t="shared" ref="H66:H129" si="5">SUM(E66)-SUM(F66)</f>
        <v>200</v>
      </c>
      <c r="I66" s="221">
        <f>IF(A66="Total",VLOOKUP(B66,CORRESPONDANCE[#All],2,FALSE),I67)</f>
        <v>19</v>
      </c>
      <c r="J66" s="222" t="str">
        <f t="shared" ref="J66:J129" si="6">LEFT(A66,1)</f>
        <v>6</v>
      </c>
      <c r="K66" s="44" t="str">
        <f t="shared" ref="K66:K129" si="7">"TH4"&amp;" - "&amp;A66</f>
        <v>TH4 - 61110000</v>
      </c>
      <c r="L66" s="44" t="str">
        <f>+VLOOKUP(K66,TL[],4,FALSE)</f>
        <v>32</v>
      </c>
    </row>
    <row r="67" spans="1:12" x14ac:dyDescent="0.2">
      <c r="A67" t="s">
        <v>3582</v>
      </c>
      <c r="B67" t="s">
        <v>1567</v>
      </c>
      <c r="C67">
        <v>222.72</v>
      </c>
      <c r="D67" t="s">
        <v>6961</v>
      </c>
      <c r="E67">
        <v>222.72</v>
      </c>
      <c r="F67" t="s">
        <v>6961</v>
      </c>
      <c r="G67" s="220">
        <f t="shared" si="4"/>
        <v>222.72</v>
      </c>
      <c r="H67" s="220">
        <f t="shared" si="5"/>
        <v>222.72</v>
      </c>
      <c r="I67" s="221">
        <f>IF(A67="Total",VLOOKUP(B67,CORRESPONDANCE[#All],2,FALSE),I68)</f>
        <v>19</v>
      </c>
      <c r="J67" s="222" t="str">
        <f t="shared" si="6"/>
        <v>6</v>
      </c>
      <c r="K67" s="44" t="str">
        <f t="shared" si="7"/>
        <v>TH4 - 61353000</v>
      </c>
      <c r="L67" s="44" t="str">
        <f>+VLOOKUP(K67,TL[],4,FALSE)</f>
        <v>16</v>
      </c>
    </row>
    <row r="68" spans="1:12" x14ac:dyDescent="0.2">
      <c r="A68" t="s">
        <v>3584</v>
      </c>
      <c r="B68" t="s">
        <v>1568</v>
      </c>
      <c r="C68">
        <v>46</v>
      </c>
      <c r="D68" t="s">
        <v>6961</v>
      </c>
      <c r="E68">
        <v>46</v>
      </c>
      <c r="F68" t="s">
        <v>6961</v>
      </c>
      <c r="G68" s="220">
        <f t="shared" si="4"/>
        <v>46</v>
      </c>
      <c r="H68" s="220">
        <f t="shared" si="5"/>
        <v>46</v>
      </c>
      <c r="I68" s="221">
        <f>IF(A68="Total",VLOOKUP(B68,CORRESPONDANCE[#All],2,FALSE),I69)</f>
        <v>19</v>
      </c>
      <c r="J68" s="222" t="str">
        <f t="shared" si="6"/>
        <v>6</v>
      </c>
      <c r="K68" s="44" t="str">
        <f t="shared" si="7"/>
        <v>TH4 - 61354100</v>
      </c>
      <c r="L68" s="44" t="str">
        <f>+VLOOKUP(K68,TL[],4,FALSE)</f>
        <v>16</v>
      </c>
    </row>
    <row r="69" spans="1:12" x14ac:dyDescent="0.2">
      <c r="A69" t="s">
        <v>3597</v>
      </c>
      <c r="B69" t="s">
        <v>154</v>
      </c>
      <c r="C69">
        <v>165.67</v>
      </c>
      <c r="D69" t="s">
        <v>6961</v>
      </c>
      <c r="E69">
        <v>165.67</v>
      </c>
      <c r="F69" t="s">
        <v>6961</v>
      </c>
      <c r="G69" s="220">
        <f t="shared" si="4"/>
        <v>165.67</v>
      </c>
      <c r="H69" s="220">
        <f t="shared" si="5"/>
        <v>165.67</v>
      </c>
      <c r="I69" s="221">
        <f>IF(A69="Total",VLOOKUP(B69,CORRESPONDANCE[#All],2,FALSE),I70)</f>
        <v>19</v>
      </c>
      <c r="J69" s="222" t="str">
        <f t="shared" si="6"/>
        <v>6</v>
      </c>
      <c r="K69" s="44" t="str">
        <f t="shared" si="7"/>
        <v>TH4 - 61520000</v>
      </c>
      <c r="L69" s="44" t="str">
        <f>+VLOOKUP(K69,TL[],4,FALSE)</f>
        <v>16</v>
      </c>
    </row>
    <row r="70" spans="1:12" x14ac:dyDescent="0.2">
      <c r="A70" t="s">
        <v>3602</v>
      </c>
      <c r="B70" t="s">
        <v>1481</v>
      </c>
      <c r="C70">
        <v>162.49</v>
      </c>
      <c r="D70" t="s">
        <v>6961</v>
      </c>
      <c r="E70">
        <v>162.49</v>
      </c>
      <c r="F70" t="s">
        <v>6961</v>
      </c>
      <c r="G70" s="220">
        <f t="shared" si="4"/>
        <v>162.49</v>
      </c>
      <c r="H70" s="220">
        <f t="shared" si="5"/>
        <v>162.49</v>
      </c>
      <c r="I70" s="221">
        <f>IF(A70="Total",VLOOKUP(B70,CORRESPONDANCE[#All],2,FALSE),I71)</f>
        <v>19</v>
      </c>
      <c r="J70" s="222" t="str">
        <f t="shared" si="6"/>
        <v>6</v>
      </c>
      <c r="K70" s="44" t="str">
        <f t="shared" si="7"/>
        <v>TH4 - 61552200</v>
      </c>
      <c r="L70" s="44" t="str">
        <f>+VLOOKUP(K70,TL[],4,FALSE)</f>
        <v>16</v>
      </c>
    </row>
    <row r="71" spans="1:12" x14ac:dyDescent="0.2">
      <c r="A71" t="s">
        <v>2666</v>
      </c>
      <c r="B71" t="s">
        <v>486</v>
      </c>
      <c r="C71">
        <v>465</v>
      </c>
      <c r="D71" t="s">
        <v>6961</v>
      </c>
      <c r="E71">
        <v>465</v>
      </c>
      <c r="F71" t="s">
        <v>6961</v>
      </c>
      <c r="G71" s="220">
        <f t="shared" si="4"/>
        <v>465</v>
      </c>
      <c r="H71" s="220">
        <f t="shared" si="5"/>
        <v>465</v>
      </c>
      <c r="I71" s="221">
        <f>IF(A71="Total",VLOOKUP(B71,CORRESPONDANCE[#All],2,FALSE),I72)</f>
        <v>19</v>
      </c>
      <c r="J71" s="222" t="str">
        <f t="shared" si="6"/>
        <v>6</v>
      </c>
      <c r="K71" s="44" t="str">
        <f t="shared" si="7"/>
        <v>TH4 - 61560000</v>
      </c>
      <c r="L71" s="44" t="str">
        <f>+VLOOKUP(K71,TL[],4,FALSE)</f>
        <v>16</v>
      </c>
    </row>
    <row r="72" spans="1:12" x14ac:dyDescent="0.2">
      <c r="A72" t="s">
        <v>2667</v>
      </c>
      <c r="B72" t="s">
        <v>234</v>
      </c>
      <c r="C72">
        <v>27.5</v>
      </c>
      <c r="D72" t="s">
        <v>6961</v>
      </c>
      <c r="E72">
        <v>27.5</v>
      </c>
      <c r="F72" t="s">
        <v>6961</v>
      </c>
      <c r="G72" s="220">
        <f t="shared" si="4"/>
        <v>27.5</v>
      </c>
      <c r="H72" s="220">
        <f t="shared" si="5"/>
        <v>27.5</v>
      </c>
      <c r="I72" s="221">
        <f>IF(A72="Total",VLOOKUP(B72,CORRESPONDANCE[#All],2,FALSE),I73)</f>
        <v>19</v>
      </c>
      <c r="J72" s="222" t="str">
        <f t="shared" si="6"/>
        <v>6</v>
      </c>
      <c r="K72" s="44" t="str">
        <f t="shared" si="7"/>
        <v>TH4 - 61561000</v>
      </c>
      <c r="L72" s="44" t="str">
        <f>+VLOOKUP(K72,TL[],4,FALSE)</f>
        <v>16</v>
      </c>
    </row>
    <row r="73" spans="1:12" x14ac:dyDescent="0.2">
      <c r="A73" t="s">
        <v>2668</v>
      </c>
      <c r="B73" t="s">
        <v>211</v>
      </c>
      <c r="C73">
        <v>349</v>
      </c>
      <c r="D73" t="s">
        <v>6961</v>
      </c>
      <c r="E73">
        <v>349</v>
      </c>
      <c r="F73" t="s">
        <v>6961</v>
      </c>
      <c r="G73" s="220">
        <f t="shared" si="4"/>
        <v>349</v>
      </c>
      <c r="H73" s="220">
        <f t="shared" si="5"/>
        <v>349</v>
      </c>
      <c r="I73" s="221">
        <f>IF(A73="Total",VLOOKUP(B73,CORRESPONDANCE[#All],2,FALSE),I74)</f>
        <v>19</v>
      </c>
      <c r="J73" s="222" t="str">
        <f t="shared" si="6"/>
        <v>6</v>
      </c>
      <c r="K73" s="44" t="str">
        <f t="shared" si="7"/>
        <v>TH4 - 61561100</v>
      </c>
      <c r="L73" s="44" t="str">
        <f>+VLOOKUP(K73,TL[],4,FALSE)</f>
        <v>16</v>
      </c>
    </row>
    <row r="74" spans="1:12" x14ac:dyDescent="0.2">
      <c r="A74" t="s">
        <v>2669</v>
      </c>
      <c r="B74" t="s">
        <v>1401</v>
      </c>
      <c r="C74">
        <v>99</v>
      </c>
      <c r="D74" t="s">
        <v>6961</v>
      </c>
      <c r="E74">
        <v>99</v>
      </c>
      <c r="F74" t="s">
        <v>6961</v>
      </c>
      <c r="G74" s="220">
        <f t="shared" si="4"/>
        <v>99</v>
      </c>
      <c r="H74" s="220">
        <f t="shared" si="5"/>
        <v>99</v>
      </c>
      <c r="I74" s="221">
        <f>IF(A74="Total",VLOOKUP(B74,CORRESPONDANCE[#All],2,FALSE),I75)</f>
        <v>19</v>
      </c>
      <c r="J74" s="222" t="str">
        <f t="shared" si="6"/>
        <v>6</v>
      </c>
      <c r="K74" s="44" t="str">
        <f t="shared" si="7"/>
        <v>TH4 - 61561200</v>
      </c>
      <c r="L74" s="44" t="str">
        <f>+VLOOKUP(K74,TL[],4,FALSE)</f>
        <v>16</v>
      </c>
    </row>
    <row r="75" spans="1:12" x14ac:dyDescent="0.2">
      <c r="A75" t="s">
        <v>2670</v>
      </c>
      <c r="B75" t="s">
        <v>239</v>
      </c>
      <c r="C75">
        <v>325</v>
      </c>
      <c r="D75" t="s">
        <v>6961</v>
      </c>
      <c r="E75">
        <v>325</v>
      </c>
      <c r="F75" t="s">
        <v>6961</v>
      </c>
      <c r="G75" s="220">
        <f t="shared" si="4"/>
        <v>325</v>
      </c>
      <c r="H75" s="220">
        <f t="shared" si="5"/>
        <v>325</v>
      </c>
      <c r="I75" s="221">
        <f>IF(A75="Total",VLOOKUP(B75,CORRESPONDANCE[#All],2,FALSE),I76)</f>
        <v>19</v>
      </c>
      <c r="J75" s="222" t="str">
        <f t="shared" si="6"/>
        <v>6</v>
      </c>
      <c r="K75" s="44" t="str">
        <f t="shared" si="7"/>
        <v>TH4 - 61561300</v>
      </c>
      <c r="L75" s="44" t="str">
        <f>+VLOOKUP(K75,TL[],4,FALSE)</f>
        <v>16</v>
      </c>
    </row>
    <row r="76" spans="1:12" x14ac:dyDescent="0.2">
      <c r="A76" t="s">
        <v>3603</v>
      </c>
      <c r="B76" t="s">
        <v>1317</v>
      </c>
      <c r="C76">
        <v>224</v>
      </c>
      <c r="D76" t="s">
        <v>6961</v>
      </c>
      <c r="E76">
        <v>224</v>
      </c>
      <c r="F76" t="s">
        <v>6961</v>
      </c>
      <c r="G76" s="220">
        <f t="shared" si="4"/>
        <v>224</v>
      </c>
      <c r="H76" s="220">
        <f t="shared" si="5"/>
        <v>224</v>
      </c>
      <c r="I76" s="221">
        <f>IF(A76="Total",VLOOKUP(B76,CORRESPONDANCE[#All],2,FALSE),I77)</f>
        <v>19</v>
      </c>
      <c r="J76" s="222" t="str">
        <f t="shared" si="6"/>
        <v>6</v>
      </c>
      <c r="K76" s="44" t="str">
        <f t="shared" si="7"/>
        <v>TH4 - 61561400</v>
      </c>
      <c r="L76" s="44" t="str">
        <f>+VLOOKUP(K76,TL[],4,FALSE)</f>
        <v>16</v>
      </c>
    </row>
    <row r="77" spans="1:12" x14ac:dyDescent="0.2">
      <c r="A77" t="s">
        <v>2652</v>
      </c>
      <c r="B77" t="s">
        <v>240</v>
      </c>
      <c r="C77">
        <v>63.59</v>
      </c>
      <c r="D77" t="s">
        <v>6961</v>
      </c>
      <c r="E77">
        <v>63.59</v>
      </c>
      <c r="F77" t="s">
        <v>6961</v>
      </c>
      <c r="G77" s="220">
        <f t="shared" si="4"/>
        <v>63.59</v>
      </c>
      <c r="H77" s="220">
        <f t="shared" si="5"/>
        <v>63.59</v>
      </c>
      <c r="I77" s="221">
        <f>IF(A77="Total",VLOOKUP(B77,CORRESPONDANCE[#All],2,FALSE),I78)</f>
        <v>19</v>
      </c>
      <c r="J77" s="222" t="str">
        <f t="shared" si="6"/>
        <v>6</v>
      </c>
      <c r="K77" s="44" t="str">
        <f t="shared" si="7"/>
        <v>TH4 - 61561500</v>
      </c>
      <c r="L77" s="44" t="str">
        <f>+VLOOKUP(K77,TL[],4,FALSE)</f>
        <v>16</v>
      </c>
    </row>
    <row r="78" spans="1:12" x14ac:dyDescent="0.2">
      <c r="A78" t="s">
        <v>3604</v>
      </c>
      <c r="B78" t="s">
        <v>746</v>
      </c>
      <c r="C78">
        <v>45</v>
      </c>
      <c r="D78" t="s">
        <v>6961</v>
      </c>
      <c r="E78">
        <v>45</v>
      </c>
      <c r="F78" t="s">
        <v>6961</v>
      </c>
      <c r="G78" s="220">
        <f t="shared" si="4"/>
        <v>45</v>
      </c>
      <c r="H78" s="220">
        <f t="shared" si="5"/>
        <v>45</v>
      </c>
      <c r="I78" s="221">
        <f>IF(A78="Total",VLOOKUP(B78,CORRESPONDANCE[#All],2,FALSE),I79)</f>
        <v>19</v>
      </c>
      <c r="J78" s="222" t="str">
        <f t="shared" si="6"/>
        <v>6</v>
      </c>
      <c r="K78" s="44" t="str">
        <f t="shared" si="7"/>
        <v>TH4 - 61561700</v>
      </c>
      <c r="L78" s="44" t="str">
        <f>+VLOOKUP(K78,TL[],4,FALSE)</f>
        <v>16</v>
      </c>
    </row>
    <row r="79" spans="1:12" x14ac:dyDescent="0.2">
      <c r="A79" t="s">
        <v>2672</v>
      </c>
      <c r="B79" t="s">
        <v>233</v>
      </c>
      <c r="C79">
        <v>67.2</v>
      </c>
      <c r="D79" t="s">
        <v>6961</v>
      </c>
      <c r="E79">
        <v>67.2</v>
      </c>
      <c r="F79" t="s">
        <v>6961</v>
      </c>
      <c r="G79" s="220">
        <f t="shared" si="4"/>
        <v>67.2</v>
      </c>
      <c r="H79" s="220">
        <f t="shared" si="5"/>
        <v>67.2</v>
      </c>
      <c r="I79" s="221">
        <f>IF(A79="Total",VLOOKUP(B79,CORRESPONDANCE[#All],2,FALSE),I80)</f>
        <v>19</v>
      </c>
      <c r="J79" s="222" t="str">
        <f t="shared" si="6"/>
        <v>6</v>
      </c>
      <c r="K79" s="44" t="str">
        <f t="shared" si="7"/>
        <v>TH4 - 61561800</v>
      </c>
      <c r="L79" s="44" t="str">
        <f>+VLOOKUP(K79,TL[],4,FALSE)</f>
        <v>16</v>
      </c>
    </row>
    <row r="80" spans="1:12" x14ac:dyDescent="0.2">
      <c r="A80" t="s">
        <v>2673</v>
      </c>
      <c r="B80" t="s">
        <v>7068</v>
      </c>
      <c r="C80">
        <v>300</v>
      </c>
      <c r="D80" t="s">
        <v>6961</v>
      </c>
      <c r="E80">
        <v>300</v>
      </c>
      <c r="F80" t="s">
        <v>6961</v>
      </c>
      <c r="G80" s="220">
        <f t="shared" si="4"/>
        <v>300</v>
      </c>
      <c r="H80" s="220">
        <f t="shared" si="5"/>
        <v>300</v>
      </c>
      <c r="I80" s="221">
        <f>IF(A80="Total",VLOOKUP(B80,CORRESPONDANCE[#All],2,FALSE),I81)</f>
        <v>19</v>
      </c>
      <c r="J80" s="222" t="str">
        <f t="shared" si="6"/>
        <v>6</v>
      </c>
      <c r="K80" s="44" t="str">
        <f t="shared" si="7"/>
        <v>TH4 - 61562100</v>
      </c>
      <c r="L80" s="44" t="str">
        <f>+VLOOKUP(K80,TL[],4,FALSE)</f>
        <v>16</v>
      </c>
    </row>
    <row r="81" spans="1:12" x14ac:dyDescent="0.2">
      <c r="A81" t="s">
        <v>2674</v>
      </c>
      <c r="B81" t="s">
        <v>7069</v>
      </c>
      <c r="C81">
        <v>668.42</v>
      </c>
      <c r="D81" t="s">
        <v>6961</v>
      </c>
      <c r="E81">
        <v>668.42</v>
      </c>
      <c r="F81" t="s">
        <v>6961</v>
      </c>
      <c r="G81" s="220">
        <f t="shared" si="4"/>
        <v>668.42</v>
      </c>
      <c r="H81" s="220">
        <f t="shared" si="5"/>
        <v>668.42</v>
      </c>
      <c r="I81" s="221">
        <f>IF(A81="Total",VLOOKUP(B81,CORRESPONDANCE[#All],2,FALSE),I82)</f>
        <v>19</v>
      </c>
      <c r="J81" s="222" t="str">
        <f t="shared" si="6"/>
        <v>6</v>
      </c>
      <c r="K81" s="44" t="str">
        <f t="shared" si="7"/>
        <v>TH4 - 61562300</v>
      </c>
      <c r="L81" s="44" t="str">
        <f>+VLOOKUP(K81,TL[],4,FALSE)</f>
        <v>16</v>
      </c>
    </row>
    <row r="82" spans="1:12" x14ac:dyDescent="0.2">
      <c r="A82" t="s">
        <v>2677</v>
      </c>
      <c r="B82" t="s">
        <v>1482</v>
      </c>
      <c r="C82">
        <v>19</v>
      </c>
      <c r="D82" t="s">
        <v>6961</v>
      </c>
      <c r="E82">
        <v>19</v>
      </c>
      <c r="F82" t="s">
        <v>6961</v>
      </c>
      <c r="G82" s="220">
        <f t="shared" si="4"/>
        <v>19</v>
      </c>
      <c r="H82" s="220">
        <f t="shared" si="5"/>
        <v>19</v>
      </c>
      <c r="I82" s="221">
        <f>IF(A82="Total",VLOOKUP(B82,CORRESPONDANCE[#All],2,FALSE),I83)</f>
        <v>19</v>
      </c>
      <c r="J82" s="222" t="str">
        <f t="shared" si="6"/>
        <v>6</v>
      </c>
      <c r="K82" s="44" t="str">
        <f t="shared" si="7"/>
        <v>TH4 - 61562800</v>
      </c>
      <c r="L82" s="44" t="str">
        <f>+VLOOKUP(K82,TL[],4,FALSE)</f>
        <v>16</v>
      </c>
    </row>
    <row r="83" spans="1:12" x14ac:dyDescent="0.2">
      <c r="A83" t="s">
        <v>2678</v>
      </c>
      <c r="B83" t="s">
        <v>259</v>
      </c>
      <c r="C83">
        <v>150</v>
      </c>
      <c r="D83" t="s">
        <v>6961</v>
      </c>
      <c r="E83">
        <v>150</v>
      </c>
      <c r="F83" t="s">
        <v>6961</v>
      </c>
      <c r="G83" s="220">
        <f t="shared" si="4"/>
        <v>150</v>
      </c>
      <c r="H83" s="220">
        <f t="shared" si="5"/>
        <v>150</v>
      </c>
      <c r="I83" s="221">
        <f>IF(A83="Total",VLOOKUP(B83,CORRESPONDANCE[#All],2,FALSE),I84)</f>
        <v>19</v>
      </c>
      <c r="J83" s="222" t="str">
        <f t="shared" si="6"/>
        <v>6</v>
      </c>
      <c r="K83" s="44" t="str">
        <f t="shared" si="7"/>
        <v>TH4 - 61563000</v>
      </c>
      <c r="L83" s="44" t="str">
        <f>+VLOOKUP(K83,TL[],4,FALSE)</f>
        <v>16</v>
      </c>
    </row>
    <row r="84" spans="1:12" x14ac:dyDescent="0.2">
      <c r="A84" t="s">
        <v>3610</v>
      </c>
      <c r="B84" t="s">
        <v>1191</v>
      </c>
      <c r="C84">
        <v>119</v>
      </c>
      <c r="D84" t="s">
        <v>6961</v>
      </c>
      <c r="E84">
        <v>119</v>
      </c>
      <c r="F84" t="s">
        <v>6961</v>
      </c>
      <c r="G84" s="220">
        <f t="shared" si="4"/>
        <v>119</v>
      </c>
      <c r="H84" s="220">
        <f t="shared" si="5"/>
        <v>119</v>
      </c>
      <c r="I84" s="221">
        <f>IF(A84="Total",VLOOKUP(B84,CORRESPONDANCE[#All],2,FALSE),I85)</f>
        <v>19</v>
      </c>
      <c r="J84" s="222" t="str">
        <f t="shared" si="6"/>
        <v>6</v>
      </c>
      <c r="K84" s="44" t="str">
        <f t="shared" si="7"/>
        <v>TH4 - 61563100</v>
      </c>
      <c r="L84" s="44" t="str">
        <f>+VLOOKUP(K84,TL[],4,FALSE)</f>
        <v>16</v>
      </c>
    </row>
    <row r="85" spans="1:12" x14ac:dyDescent="0.2">
      <c r="A85" t="s">
        <v>2679</v>
      </c>
      <c r="B85" t="s">
        <v>229</v>
      </c>
      <c r="C85">
        <v>385</v>
      </c>
      <c r="D85" t="s">
        <v>6961</v>
      </c>
      <c r="E85">
        <v>385</v>
      </c>
      <c r="F85" t="s">
        <v>6961</v>
      </c>
      <c r="G85" s="220">
        <f t="shared" si="4"/>
        <v>385</v>
      </c>
      <c r="H85" s="220">
        <f t="shared" si="5"/>
        <v>385</v>
      </c>
      <c r="I85" s="221">
        <f>IF(A85="Total",VLOOKUP(B85,CORRESPONDANCE[#All],2,FALSE),I86)</f>
        <v>19</v>
      </c>
      <c r="J85" s="222" t="str">
        <f t="shared" si="6"/>
        <v>6</v>
      </c>
      <c r="K85" s="44" t="str">
        <f t="shared" si="7"/>
        <v>TH4 - 61563200</v>
      </c>
      <c r="L85" s="44" t="str">
        <f>+VLOOKUP(K85,TL[],4,FALSE)</f>
        <v>16</v>
      </c>
    </row>
    <row r="86" spans="1:12" x14ac:dyDescent="0.2">
      <c r="A86" t="s">
        <v>3612</v>
      </c>
      <c r="B86" t="s">
        <v>1032</v>
      </c>
      <c r="C86">
        <v>162.66999999999999</v>
      </c>
      <c r="D86" t="s">
        <v>6961</v>
      </c>
      <c r="E86">
        <v>162.66999999999999</v>
      </c>
      <c r="F86" t="s">
        <v>6961</v>
      </c>
      <c r="G86" s="220">
        <f t="shared" si="4"/>
        <v>162.66999999999999</v>
      </c>
      <c r="H86" s="220">
        <f t="shared" si="5"/>
        <v>162.66999999999999</v>
      </c>
      <c r="I86" s="221">
        <f>IF(A86="Total",VLOOKUP(B86,CORRESPONDANCE[#All],2,FALSE),I87)</f>
        <v>19</v>
      </c>
      <c r="J86" s="222" t="str">
        <f t="shared" si="6"/>
        <v>6</v>
      </c>
      <c r="K86" s="44" t="str">
        <f t="shared" si="7"/>
        <v>TH4 - 61563300</v>
      </c>
      <c r="L86" s="44" t="str">
        <f>+VLOOKUP(K86,TL[],4,FALSE)</f>
        <v>16</v>
      </c>
    </row>
    <row r="87" spans="1:12" x14ac:dyDescent="0.2">
      <c r="A87" t="s">
        <v>2682</v>
      </c>
      <c r="B87" t="s">
        <v>1485</v>
      </c>
      <c r="C87">
        <v>20</v>
      </c>
      <c r="D87" t="s">
        <v>6961</v>
      </c>
      <c r="E87">
        <v>20</v>
      </c>
      <c r="F87" t="s">
        <v>6961</v>
      </c>
      <c r="G87" s="220">
        <f t="shared" si="4"/>
        <v>20</v>
      </c>
      <c r="H87" s="220">
        <f t="shared" si="5"/>
        <v>20</v>
      </c>
      <c r="I87" s="221">
        <f>IF(A87="Total",VLOOKUP(B87,CORRESPONDANCE[#All],2,FALSE),I88)</f>
        <v>19</v>
      </c>
      <c r="J87" s="222" t="str">
        <f t="shared" si="6"/>
        <v>6</v>
      </c>
      <c r="K87" s="44" t="str">
        <f t="shared" si="7"/>
        <v>TH4 - 61563700</v>
      </c>
      <c r="L87" s="44" t="str">
        <f>+VLOOKUP(K87,TL[],4,FALSE)</f>
        <v>16</v>
      </c>
    </row>
    <row r="88" spans="1:12" x14ac:dyDescent="0.2">
      <c r="A88" t="s">
        <v>2683</v>
      </c>
      <c r="B88" t="s">
        <v>1486</v>
      </c>
      <c r="C88">
        <v>54</v>
      </c>
      <c r="D88" t="s">
        <v>6961</v>
      </c>
      <c r="E88">
        <v>54</v>
      </c>
      <c r="F88" t="s">
        <v>6961</v>
      </c>
      <c r="G88" s="220">
        <f t="shared" si="4"/>
        <v>54</v>
      </c>
      <c r="H88" s="220">
        <f t="shared" si="5"/>
        <v>54</v>
      </c>
      <c r="I88" s="221">
        <f>IF(A88="Total",VLOOKUP(B88,CORRESPONDANCE[#All],2,FALSE),I89)</f>
        <v>19</v>
      </c>
      <c r="J88" s="222" t="str">
        <f t="shared" si="6"/>
        <v>6</v>
      </c>
      <c r="K88" s="44" t="str">
        <f t="shared" si="7"/>
        <v>TH4 - 61563800</v>
      </c>
      <c r="L88" s="44" t="str">
        <f>+VLOOKUP(K88,TL[],4,FALSE)</f>
        <v>16</v>
      </c>
    </row>
    <row r="89" spans="1:12" x14ac:dyDescent="0.2">
      <c r="A89" t="s">
        <v>3614</v>
      </c>
      <c r="B89" t="s">
        <v>1442</v>
      </c>
      <c r="C89">
        <v>259</v>
      </c>
      <c r="D89" t="s">
        <v>6961</v>
      </c>
      <c r="E89">
        <v>259</v>
      </c>
      <c r="F89" t="s">
        <v>6961</v>
      </c>
      <c r="G89" s="220">
        <f t="shared" si="4"/>
        <v>259</v>
      </c>
      <c r="H89" s="220">
        <f t="shared" si="5"/>
        <v>259</v>
      </c>
      <c r="I89" s="221">
        <f>IF(A89="Total",VLOOKUP(B89,CORRESPONDANCE[#All],2,FALSE),I90)</f>
        <v>19</v>
      </c>
      <c r="J89" s="222" t="str">
        <f t="shared" si="6"/>
        <v>6</v>
      </c>
      <c r="K89" s="44" t="str">
        <f t="shared" si="7"/>
        <v>TH4 - 61563900</v>
      </c>
      <c r="L89" s="44" t="str">
        <f>+VLOOKUP(K89,TL[],4,FALSE)</f>
        <v>16</v>
      </c>
    </row>
    <row r="90" spans="1:12" x14ac:dyDescent="0.2">
      <c r="A90" t="s">
        <v>3615</v>
      </c>
      <c r="B90" t="s">
        <v>1443</v>
      </c>
      <c r="C90">
        <v>170</v>
      </c>
      <c r="D90" t="s">
        <v>6961</v>
      </c>
      <c r="E90">
        <v>170</v>
      </c>
      <c r="F90" t="s">
        <v>6961</v>
      </c>
      <c r="G90" s="220">
        <f t="shared" si="4"/>
        <v>170</v>
      </c>
      <c r="H90" s="220">
        <f t="shared" si="5"/>
        <v>170</v>
      </c>
      <c r="I90" s="221">
        <f>IF(A90="Total",VLOOKUP(B90,CORRESPONDANCE[#All],2,FALSE),I91)</f>
        <v>19</v>
      </c>
      <c r="J90" s="222" t="str">
        <f t="shared" si="6"/>
        <v>6</v>
      </c>
      <c r="K90" s="44" t="str">
        <f t="shared" si="7"/>
        <v>TH4 - 61564000</v>
      </c>
      <c r="L90" s="44" t="str">
        <f>+VLOOKUP(K90,TL[],4,FALSE)</f>
        <v>16</v>
      </c>
    </row>
    <row r="91" spans="1:12" x14ac:dyDescent="0.2">
      <c r="A91" t="s">
        <v>3616</v>
      </c>
      <c r="B91" t="s">
        <v>1488</v>
      </c>
      <c r="C91">
        <v>109</v>
      </c>
      <c r="D91" t="s">
        <v>6961</v>
      </c>
      <c r="E91">
        <v>109</v>
      </c>
      <c r="F91" t="s">
        <v>6961</v>
      </c>
      <c r="G91" s="220">
        <f t="shared" si="4"/>
        <v>109</v>
      </c>
      <c r="H91" s="220">
        <f t="shared" si="5"/>
        <v>109</v>
      </c>
      <c r="I91" s="221">
        <f>IF(A91="Total",VLOOKUP(B91,CORRESPONDANCE[#All],2,FALSE),I92)</f>
        <v>19</v>
      </c>
      <c r="J91" s="222" t="str">
        <f t="shared" si="6"/>
        <v>6</v>
      </c>
      <c r="K91" s="44" t="str">
        <f t="shared" si="7"/>
        <v>TH4 - 61564200</v>
      </c>
      <c r="L91" s="44" t="str">
        <f>+VLOOKUP(K91,TL[],4,FALSE)</f>
        <v>16</v>
      </c>
    </row>
    <row r="92" spans="1:12" x14ac:dyDescent="0.2">
      <c r="A92" t="s">
        <v>2685</v>
      </c>
      <c r="B92" t="s">
        <v>1547</v>
      </c>
      <c r="C92">
        <v>73.17</v>
      </c>
      <c r="D92" t="s">
        <v>6961</v>
      </c>
      <c r="E92">
        <v>73.17</v>
      </c>
      <c r="F92" t="s">
        <v>6961</v>
      </c>
      <c r="G92" s="220">
        <f t="shared" si="4"/>
        <v>73.17</v>
      </c>
      <c r="H92" s="220">
        <f t="shared" si="5"/>
        <v>73.17</v>
      </c>
      <c r="I92" s="221">
        <f>IF(A92="Total",VLOOKUP(B92,CORRESPONDANCE[#All],2,FALSE),I93)</f>
        <v>19</v>
      </c>
      <c r="J92" s="222" t="str">
        <f t="shared" si="6"/>
        <v>6</v>
      </c>
      <c r="K92" s="44" t="str">
        <f t="shared" si="7"/>
        <v>TH4 - 61564300</v>
      </c>
      <c r="L92" s="44" t="str">
        <f>+VLOOKUP(K92,TL[],4,FALSE)</f>
        <v>16</v>
      </c>
    </row>
    <row r="93" spans="1:12" x14ac:dyDescent="0.2">
      <c r="A93" t="s">
        <v>3617</v>
      </c>
      <c r="B93" t="s">
        <v>2101</v>
      </c>
      <c r="C93">
        <v>168</v>
      </c>
      <c r="D93" t="s">
        <v>6961</v>
      </c>
      <c r="E93">
        <v>168</v>
      </c>
      <c r="F93" t="s">
        <v>6961</v>
      </c>
      <c r="G93" s="220">
        <f t="shared" si="4"/>
        <v>168</v>
      </c>
      <c r="H93" s="220">
        <f t="shared" si="5"/>
        <v>168</v>
      </c>
      <c r="I93" s="221">
        <f>IF(A93="Total",VLOOKUP(B93,CORRESPONDANCE[#All],2,FALSE),I94)</f>
        <v>19</v>
      </c>
      <c r="J93" s="222" t="str">
        <f t="shared" si="6"/>
        <v>6</v>
      </c>
      <c r="K93" s="44" t="str">
        <f t="shared" si="7"/>
        <v>TH4 - 61564400</v>
      </c>
      <c r="L93" s="44" t="str">
        <f>+VLOOKUP(K93,TL[],4,FALSE)</f>
        <v>16</v>
      </c>
    </row>
    <row r="94" spans="1:12" x14ac:dyDescent="0.2">
      <c r="A94" t="s">
        <v>6622</v>
      </c>
      <c r="B94" t="s">
        <v>7070</v>
      </c>
      <c r="C94">
        <v>10</v>
      </c>
      <c r="D94" t="s">
        <v>6961</v>
      </c>
      <c r="E94">
        <v>10</v>
      </c>
      <c r="F94" t="s">
        <v>6961</v>
      </c>
      <c r="G94" s="220">
        <f t="shared" si="4"/>
        <v>10</v>
      </c>
      <c r="H94" s="220">
        <f t="shared" si="5"/>
        <v>10</v>
      </c>
      <c r="I94" s="221">
        <f>IF(A94="Total",VLOOKUP(B94,CORRESPONDANCE[#All],2,FALSE),I95)</f>
        <v>19</v>
      </c>
      <c r="J94" s="222" t="str">
        <f t="shared" si="6"/>
        <v>6</v>
      </c>
      <c r="K94" s="44" t="str">
        <f t="shared" si="7"/>
        <v>TH4 - 61564500</v>
      </c>
      <c r="L94" s="44" t="e">
        <f>+VLOOKUP(K94,TL[],4,FALSE)</f>
        <v>#N/A</v>
      </c>
    </row>
    <row r="95" spans="1:12" x14ac:dyDescent="0.2">
      <c r="A95" t="s">
        <v>2687</v>
      </c>
      <c r="B95" t="s">
        <v>7092</v>
      </c>
      <c r="C95">
        <v>76.7</v>
      </c>
      <c r="D95" t="s">
        <v>6961</v>
      </c>
      <c r="E95">
        <v>76.7</v>
      </c>
      <c r="F95" t="s">
        <v>6961</v>
      </c>
      <c r="G95" s="220">
        <f t="shared" si="4"/>
        <v>76.7</v>
      </c>
      <c r="H95" s="220">
        <f t="shared" si="5"/>
        <v>76.7</v>
      </c>
      <c r="I95" s="221">
        <f>IF(A95="Total",VLOOKUP(B95,CORRESPONDANCE[#All],2,FALSE),I96)</f>
        <v>19</v>
      </c>
      <c r="J95" s="222" t="str">
        <f t="shared" si="6"/>
        <v>6</v>
      </c>
      <c r="K95" s="44" t="str">
        <f t="shared" si="7"/>
        <v>TH4 - 61564700</v>
      </c>
      <c r="L95" s="44" t="e">
        <f>+VLOOKUP(K95,TL[],4,FALSE)</f>
        <v>#N/A</v>
      </c>
    </row>
    <row r="96" spans="1:12" x14ac:dyDescent="0.2">
      <c r="A96" t="s">
        <v>7127</v>
      </c>
      <c r="B96" t="s">
        <v>7121</v>
      </c>
      <c r="C96">
        <v>8.83</v>
      </c>
      <c r="D96" t="s">
        <v>6961</v>
      </c>
      <c r="E96">
        <v>8.83</v>
      </c>
      <c r="F96" t="s">
        <v>6961</v>
      </c>
      <c r="G96" s="220">
        <f t="shared" si="4"/>
        <v>8.83</v>
      </c>
      <c r="H96" s="220">
        <f t="shared" si="5"/>
        <v>8.83</v>
      </c>
      <c r="I96" s="221">
        <f>IF(A96="Total",VLOOKUP(B96,CORRESPONDANCE[#All],2,FALSE),I97)</f>
        <v>19</v>
      </c>
      <c r="J96" s="222" t="str">
        <f t="shared" si="6"/>
        <v>6</v>
      </c>
      <c r="K96" s="44" t="str">
        <f t="shared" si="7"/>
        <v>TH4 - 62630000</v>
      </c>
      <c r="L96" s="44" t="e">
        <f>+VLOOKUP(K96,TL[],4,FALSE)</f>
        <v>#N/A</v>
      </c>
    </row>
    <row r="97" spans="1:12" x14ac:dyDescent="0.2">
      <c r="A97" t="s">
        <v>2692</v>
      </c>
      <c r="B97" t="s">
        <v>172</v>
      </c>
      <c r="C97">
        <v>466</v>
      </c>
      <c r="D97" t="s">
        <v>6961</v>
      </c>
      <c r="E97">
        <v>466</v>
      </c>
      <c r="F97" t="s">
        <v>6961</v>
      </c>
      <c r="G97" s="220">
        <f t="shared" si="4"/>
        <v>466</v>
      </c>
      <c r="H97" s="220">
        <f t="shared" si="5"/>
        <v>466</v>
      </c>
      <c r="I97" s="221">
        <f>IF(A97="Total",VLOOKUP(B97,CORRESPONDANCE[#All],2,FALSE),I98)</f>
        <v>19</v>
      </c>
      <c r="J97" s="222" t="str">
        <f t="shared" si="6"/>
        <v>6</v>
      </c>
      <c r="K97" s="44" t="str">
        <f t="shared" si="7"/>
        <v>TH4 - 64750000</v>
      </c>
      <c r="L97" s="44" t="str">
        <f>+VLOOKUP(K97,TL[],4,FALSE)</f>
        <v>16</v>
      </c>
    </row>
    <row r="98" spans="1:12" x14ac:dyDescent="0.2">
      <c r="A98" t="s">
        <v>7128</v>
      </c>
      <c r="B98" t="s">
        <v>7124</v>
      </c>
      <c r="C98">
        <v>226.05</v>
      </c>
      <c r="D98" t="s">
        <v>6961</v>
      </c>
      <c r="E98">
        <v>226.05</v>
      </c>
      <c r="F98" t="s">
        <v>6961</v>
      </c>
      <c r="G98" s="220">
        <f t="shared" si="4"/>
        <v>226.05</v>
      </c>
      <c r="H98" s="220">
        <f t="shared" si="5"/>
        <v>226.05</v>
      </c>
      <c r="I98" s="221">
        <f>IF(A98="Total",VLOOKUP(B98,CORRESPONDANCE[#All],2,FALSE),I99)</f>
        <v>19</v>
      </c>
      <c r="J98" s="222" t="str">
        <f t="shared" si="6"/>
        <v>6</v>
      </c>
      <c r="K98" s="44" t="str">
        <f t="shared" si="7"/>
        <v>TH4 - 65170000</v>
      </c>
      <c r="L98" s="44" t="e">
        <f>+VLOOKUP(K98,TL[],4,FALSE)</f>
        <v>#N/A</v>
      </c>
    </row>
    <row r="99" spans="1:12" x14ac:dyDescent="0.2">
      <c r="A99" t="s">
        <v>197</v>
      </c>
      <c r="B99" t="s">
        <v>2567</v>
      </c>
      <c r="C99">
        <v>5907.01</v>
      </c>
      <c r="D99" t="s">
        <v>6961</v>
      </c>
      <c r="E99">
        <v>5907.01</v>
      </c>
      <c r="F99" t="s">
        <v>6961</v>
      </c>
      <c r="G99" s="220">
        <f t="shared" si="4"/>
        <v>5907.01</v>
      </c>
      <c r="H99" s="220">
        <f t="shared" si="5"/>
        <v>5907.01</v>
      </c>
      <c r="I99" s="221">
        <f>IF(A99="Total",VLOOKUP(B99,CORRESPONDANCE[#All],2,FALSE),I100)</f>
        <v>19</v>
      </c>
      <c r="J99" s="222" t="str">
        <f t="shared" si="6"/>
        <v>T</v>
      </c>
      <c r="K99" s="44" t="str">
        <f t="shared" si="7"/>
        <v>TH4 - Total</v>
      </c>
      <c r="L99" s="44" t="e">
        <f>+VLOOKUP(K99,TL[],4,FALSE)</f>
        <v>#N/A</v>
      </c>
    </row>
    <row r="100" spans="1:12" x14ac:dyDescent="0.2">
      <c r="A100" t="s">
        <v>7071</v>
      </c>
      <c r="B100" t="s">
        <v>2364</v>
      </c>
      <c r="C100">
        <v>2045.95</v>
      </c>
      <c r="D100" t="s">
        <v>6961</v>
      </c>
      <c r="E100">
        <v>2045.95</v>
      </c>
      <c r="F100" t="s">
        <v>6961</v>
      </c>
      <c r="G100" s="220">
        <f t="shared" si="4"/>
        <v>2045.95</v>
      </c>
      <c r="H100" s="220">
        <f t="shared" si="5"/>
        <v>2045.95</v>
      </c>
      <c r="I100" s="221">
        <f>IF(A100="Total",VLOOKUP(B100,CORRESPONDANCE[#All],2,FALSE),I101)</f>
        <v>21</v>
      </c>
      <c r="J100" s="222" t="str">
        <f t="shared" si="6"/>
        <v>6</v>
      </c>
      <c r="K100" s="44" t="str">
        <f t="shared" si="7"/>
        <v>TH4 - 62221000</v>
      </c>
      <c r="L100" s="44" t="e">
        <f>+VLOOKUP(K100,TL[],4,FALSE)</f>
        <v>#N/A</v>
      </c>
    </row>
    <row r="101" spans="1:12" x14ac:dyDescent="0.2">
      <c r="A101" t="s">
        <v>197</v>
      </c>
      <c r="B101" t="s">
        <v>2568</v>
      </c>
      <c r="C101">
        <v>2045.95</v>
      </c>
      <c r="D101" t="s">
        <v>6961</v>
      </c>
      <c r="E101">
        <v>2045.95</v>
      </c>
      <c r="F101" t="s">
        <v>6961</v>
      </c>
      <c r="G101" s="220">
        <f t="shared" si="4"/>
        <v>2045.95</v>
      </c>
      <c r="H101" s="220">
        <f t="shared" si="5"/>
        <v>2045.95</v>
      </c>
      <c r="I101" s="221">
        <f>IF(A101="Total",VLOOKUP(B101,CORRESPONDANCE[#All],2,FALSE),I102)</f>
        <v>21</v>
      </c>
      <c r="J101" s="222" t="str">
        <f t="shared" si="6"/>
        <v>T</v>
      </c>
      <c r="K101" s="44" t="str">
        <f t="shared" si="7"/>
        <v>TH4 - Total</v>
      </c>
      <c r="L101" s="44" t="e">
        <f>+VLOOKUP(K101,TL[],4,FALSE)</f>
        <v>#N/A</v>
      </c>
    </row>
    <row r="102" spans="1:12" x14ac:dyDescent="0.2">
      <c r="A102" t="s">
        <v>2695</v>
      </c>
      <c r="B102" t="s">
        <v>339</v>
      </c>
      <c r="C102">
        <v>14087.42</v>
      </c>
      <c r="D102" t="s">
        <v>6961</v>
      </c>
      <c r="E102">
        <v>14087.42</v>
      </c>
      <c r="F102" t="s">
        <v>6961</v>
      </c>
      <c r="G102" s="220">
        <f t="shared" si="4"/>
        <v>14087.42</v>
      </c>
      <c r="H102" s="220">
        <f t="shared" si="5"/>
        <v>14087.42</v>
      </c>
      <c r="I102" s="221">
        <f>IF(A102="Total",VLOOKUP(B102,CORRESPONDANCE[#All],2,FALSE),I103)</f>
        <v>22</v>
      </c>
      <c r="J102" s="222" t="str">
        <f t="shared" si="6"/>
        <v>6</v>
      </c>
      <c r="K102" s="44" t="str">
        <f t="shared" si="7"/>
        <v>TH4 - 62300000</v>
      </c>
      <c r="L102" s="44" t="str">
        <f>+VLOOKUP(K102,TL[],4,FALSE)</f>
        <v>14</v>
      </c>
    </row>
    <row r="103" spans="1:12" x14ac:dyDescent="0.2">
      <c r="A103" t="s">
        <v>197</v>
      </c>
      <c r="B103" t="s">
        <v>2569</v>
      </c>
      <c r="C103">
        <v>14087.42</v>
      </c>
      <c r="D103" t="s">
        <v>6961</v>
      </c>
      <c r="E103">
        <v>14087.42</v>
      </c>
      <c r="F103" t="s">
        <v>6961</v>
      </c>
      <c r="G103" s="220">
        <f t="shared" si="4"/>
        <v>14087.42</v>
      </c>
      <c r="H103" s="220">
        <f t="shared" si="5"/>
        <v>14087.42</v>
      </c>
      <c r="I103" s="221">
        <f>IF(A103="Total",VLOOKUP(B103,CORRESPONDANCE[#All],2,FALSE),I104)</f>
        <v>22</v>
      </c>
      <c r="J103" s="222" t="str">
        <f t="shared" si="6"/>
        <v>T</v>
      </c>
      <c r="K103" s="44" t="str">
        <f t="shared" si="7"/>
        <v>TH4 - Total</v>
      </c>
      <c r="L103" s="44" t="e">
        <f>+VLOOKUP(K103,TL[],4,FALSE)</f>
        <v>#N/A</v>
      </c>
    </row>
    <row r="104" spans="1:12" x14ac:dyDescent="0.2">
      <c r="A104" t="s">
        <v>2696</v>
      </c>
      <c r="B104" t="s">
        <v>215</v>
      </c>
      <c r="C104">
        <v>2700</v>
      </c>
      <c r="D104" t="s">
        <v>6961</v>
      </c>
      <c r="E104">
        <v>2700</v>
      </c>
      <c r="F104" t="s">
        <v>6961</v>
      </c>
      <c r="G104" s="220">
        <f t="shared" si="4"/>
        <v>2700</v>
      </c>
      <c r="H104" s="220">
        <f t="shared" si="5"/>
        <v>2700</v>
      </c>
      <c r="I104" s="221">
        <f>IF(A104="Total",VLOOKUP(B104,CORRESPONDANCE[#All],2,FALSE),I105)</f>
        <v>23</v>
      </c>
      <c r="J104" s="222" t="str">
        <f t="shared" si="6"/>
        <v>6</v>
      </c>
      <c r="K104" s="44" t="str">
        <f t="shared" si="7"/>
        <v>TH4 - 62300200</v>
      </c>
      <c r="L104" s="44" t="str">
        <f>+VLOOKUP(K104,TL[],4,FALSE)</f>
        <v>15</v>
      </c>
    </row>
    <row r="105" spans="1:12" x14ac:dyDescent="0.2">
      <c r="A105" t="s">
        <v>2698</v>
      </c>
      <c r="B105" t="s">
        <v>370</v>
      </c>
      <c r="C105">
        <v>4574.3900000000003</v>
      </c>
      <c r="D105" t="s">
        <v>6961</v>
      </c>
      <c r="E105">
        <v>4574.3900000000003</v>
      </c>
      <c r="F105" t="s">
        <v>6961</v>
      </c>
      <c r="G105" s="220">
        <f t="shared" si="4"/>
        <v>4574.3900000000003</v>
      </c>
      <c r="H105" s="220">
        <f t="shared" si="5"/>
        <v>4574.3900000000003</v>
      </c>
      <c r="I105" s="221">
        <f>IF(A105="Total",VLOOKUP(B105,CORRESPONDANCE[#All],2,FALSE),I106)</f>
        <v>23</v>
      </c>
      <c r="J105" s="222" t="str">
        <f t="shared" si="6"/>
        <v>6</v>
      </c>
      <c r="K105" s="44" t="str">
        <f t="shared" si="7"/>
        <v>TH4 - 62340100</v>
      </c>
      <c r="L105" s="44" t="str">
        <f>+VLOOKUP(K105,TL[],4,FALSE)</f>
        <v>15</v>
      </c>
    </row>
    <row r="106" spans="1:12" x14ac:dyDescent="0.2">
      <c r="A106" t="s">
        <v>2699</v>
      </c>
      <c r="B106" t="s">
        <v>254</v>
      </c>
      <c r="C106">
        <v>1266.17</v>
      </c>
      <c r="D106" t="s">
        <v>6961</v>
      </c>
      <c r="E106">
        <v>1266.17</v>
      </c>
      <c r="F106" t="s">
        <v>6961</v>
      </c>
      <c r="G106" s="220">
        <f t="shared" si="4"/>
        <v>1266.17</v>
      </c>
      <c r="H106" s="220">
        <f t="shared" si="5"/>
        <v>1266.17</v>
      </c>
      <c r="I106" s="221">
        <f>IF(A106="Total",VLOOKUP(B106,CORRESPONDANCE[#All],2,FALSE),I107)</f>
        <v>23</v>
      </c>
      <c r="J106" s="222" t="str">
        <f t="shared" si="6"/>
        <v>6</v>
      </c>
      <c r="K106" s="44" t="str">
        <f t="shared" si="7"/>
        <v>TH4 - 62341500</v>
      </c>
      <c r="L106" s="44" t="str">
        <f>+VLOOKUP(K106,TL[],4,FALSE)</f>
        <v>15</v>
      </c>
    </row>
    <row r="107" spans="1:12" x14ac:dyDescent="0.2">
      <c r="A107" t="s">
        <v>197</v>
      </c>
      <c r="B107" t="s">
        <v>2572</v>
      </c>
      <c r="C107">
        <v>8540.56</v>
      </c>
      <c r="D107" t="s">
        <v>6961</v>
      </c>
      <c r="E107">
        <v>8540.56</v>
      </c>
      <c r="F107" t="s">
        <v>6961</v>
      </c>
      <c r="G107" s="220">
        <f t="shared" si="4"/>
        <v>8540.56</v>
      </c>
      <c r="H107" s="220">
        <f t="shared" si="5"/>
        <v>8540.56</v>
      </c>
      <c r="I107" s="221">
        <f>IF(A107="Total",VLOOKUP(B107,CORRESPONDANCE[#All],2,FALSE),I108)</f>
        <v>23</v>
      </c>
      <c r="J107" s="222" t="str">
        <f t="shared" si="6"/>
        <v>T</v>
      </c>
      <c r="K107" s="44" t="str">
        <f t="shared" si="7"/>
        <v>TH4 - Total</v>
      </c>
      <c r="L107" s="44" t="e">
        <f>+VLOOKUP(K107,TL[],4,FALSE)</f>
        <v>#N/A</v>
      </c>
    </row>
    <row r="108" spans="1:12" x14ac:dyDescent="0.2">
      <c r="A108" t="s">
        <v>2700</v>
      </c>
      <c r="B108" t="s">
        <v>156</v>
      </c>
      <c r="C108">
        <v>812</v>
      </c>
      <c r="D108" t="s">
        <v>6961</v>
      </c>
      <c r="E108">
        <v>812</v>
      </c>
      <c r="F108" t="s">
        <v>6961</v>
      </c>
      <c r="G108" s="220">
        <f t="shared" si="4"/>
        <v>812</v>
      </c>
      <c r="H108" s="220">
        <f t="shared" si="5"/>
        <v>812</v>
      </c>
      <c r="I108" s="221">
        <f>IF(A108="Total",VLOOKUP(B108,CORRESPONDANCE[#All],2,FALSE),I109)</f>
        <v>24</v>
      </c>
      <c r="J108" s="222" t="str">
        <f t="shared" si="6"/>
        <v>6</v>
      </c>
      <c r="K108" s="44" t="str">
        <f t="shared" si="7"/>
        <v>TH4 - 60610100</v>
      </c>
      <c r="L108" s="44" t="str">
        <f>+VLOOKUP(K108,TL[],4,FALSE)</f>
        <v>20</v>
      </c>
    </row>
    <row r="109" spans="1:12" x14ac:dyDescent="0.2">
      <c r="A109" t="s">
        <v>2701</v>
      </c>
      <c r="B109" t="s">
        <v>241</v>
      </c>
      <c r="C109">
        <v>8403</v>
      </c>
      <c r="D109" t="s">
        <v>6961</v>
      </c>
      <c r="E109">
        <v>8403</v>
      </c>
      <c r="F109" t="s">
        <v>6961</v>
      </c>
      <c r="G109" s="220">
        <f t="shared" si="4"/>
        <v>8403</v>
      </c>
      <c r="H109" s="220">
        <f t="shared" si="5"/>
        <v>8403</v>
      </c>
      <c r="I109" s="221">
        <f>IF(A109="Total",VLOOKUP(B109,CORRESPONDANCE[#All],2,FALSE),I110)</f>
        <v>24</v>
      </c>
      <c r="J109" s="222" t="str">
        <f t="shared" si="6"/>
        <v>6</v>
      </c>
      <c r="K109" s="44" t="str">
        <f t="shared" si="7"/>
        <v>TH4 - 60610300</v>
      </c>
      <c r="L109" s="44" t="str">
        <f>+VLOOKUP(K109,TL[],4,FALSE)</f>
        <v>20</v>
      </c>
    </row>
    <row r="110" spans="1:12" x14ac:dyDescent="0.2">
      <c r="A110" t="s">
        <v>3552</v>
      </c>
      <c r="B110" t="s">
        <v>322</v>
      </c>
      <c r="C110">
        <v>270</v>
      </c>
      <c r="D110" t="s">
        <v>6961</v>
      </c>
      <c r="E110">
        <v>270</v>
      </c>
      <c r="F110" t="s">
        <v>6961</v>
      </c>
      <c r="G110" s="220">
        <f t="shared" si="4"/>
        <v>270</v>
      </c>
      <c r="H110" s="220">
        <f t="shared" si="5"/>
        <v>270</v>
      </c>
      <c r="I110" s="221">
        <f>IF(A110="Total",VLOOKUP(B110,CORRESPONDANCE[#All],2,FALSE),I111)</f>
        <v>24</v>
      </c>
      <c r="J110" s="222" t="str">
        <f t="shared" si="6"/>
        <v>6</v>
      </c>
      <c r="K110" s="44" t="str">
        <f t="shared" si="7"/>
        <v>TH4 - 60610500</v>
      </c>
      <c r="L110" s="44" t="str">
        <f>+VLOOKUP(K110,TL[],4,FALSE)</f>
        <v>20</v>
      </c>
    </row>
    <row r="111" spans="1:12" x14ac:dyDescent="0.2">
      <c r="A111" t="s">
        <v>2702</v>
      </c>
      <c r="B111" t="s">
        <v>1498</v>
      </c>
      <c r="C111">
        <v>100</v>
      </c>
      <c r="D111" t="s">
        <v>6961</v>
      </c>
      <c r="E111">
        <v>100</v>
      </c>
      <c r="F111" t="s">
        <v>6961</v>
      </c>
      <c r="G111" s="220">
        <f t="shared" si="4"/>
        <v>100</v>
      </c>
      <c r="H111" s="220">
        <f t="shared" si="5"/>
        <v>100</v>
      </c>
      <c r="I111" s="221">
        <f>IF(A111="Total",VLOOKUP(B111,CORRESPONDANCE[#All],2,FALSE),I112)</f>
        <v>24</v>
      </c>
      <c r="J111" s="222" t="str">
        <f t="shared" si="6"/>
        <v>6</v>
      </c>
      <c r="K111" s="44" t="str">
        <f t="shared" si="7"/>
        <v>TH4 - 62620000</v>
      </c>
      <c r="L111" s="44" t="str">
        <f>+VLOOKUP(K111,TL[],4,FALSE)</f>
        <v>20</v>
      </c>
    </row>
    <row r="112" spans="1:12" x14ac:dyDescent="0.2">
      <c r="A112" t="s">
        <v>197</v>
      </c>
      <c r="B112" t="s">
        <v>2576</v>
      </c>
      <c r="C112">
        <v>9585</v>
      </c>
      <c r="D112" t="s">
        <v>6961</v>
      </c>
      <c r="E112">
        <v>9585</v>
      </c>
      <c r="F112" t="s">
        <v>6961</v>
      </c>
      <c r="G112" s="220">
        <f t="shared" si="4"/>
        <v>9585</v>
      </c>
      <c r="H112" s="220">
        <f t="shared" si="5"/>
        <v>9585</v>
      </c>
      <c r="I112" s="221">
        <f>IF(A112="Total",VLOOKUP(B112,CORRESPONDANCE[#All],2,FALSE),I113)</f>
        <v>24</v>
      </c>
      <c r="J112" s="222" t="str">
        <f t="shared" si="6"/>
        <v>T</v>
      </c>
      <c r="K112" s="44" t="str">
        <f t="shared" si="7"/>
        <v>TH4 - Total</v>
      </c>
      <c r="L112" s="44" t="e">
        <f>+VLOOKUP(K112,TL[],4,FALSE)</f>
        <v>#N/A</v>
      </c>
    </row>
    <row r="113" spans="1:12" x14ac:dyDescent="0.2">
      <c r="A113" t="s">
        <v>2703</v>
      </c>
      <c r="B113" t="s">
        <v>1392</v>
      </c>
      <c r="C113">
        <v>2348.0100000000002</v>
      </c>
      <c r="D113" t="s">
        <v>6961</v>
      </c>
      <c r="E113">
        <v>2348.0100000000002</v>
      </c>
      <c r="F113" t="s">
        <v>6961</v>
      </c>
      <c r="G113" s="220">
        <f t="shared" si="4"/>
        <v>2348.0100000000002</v>
      </c>
      <c r="H113" s="220">
        <f t="shared" si="5"/>
        <v>2348.0100000000002</v>
      </c>
      <c r="I113" s="221">
        <f>IF(A113="Total",VLOOKUP(B113,CORRESPONDANCE[#All],2,FALSE),I114)</f>
        <v>25</v>
      </c>
      <c r="J113" s="222" t="str">
        <f t="shared" si="6"/>
        <v>6</v>
      </c>
      <c r="K113" s="44" t="str">
        <f t="shared" si="7"/>
        <v>TH4 - 60630200</v>
      </c>
      <c r="L113" s="44" t="str">
        <f>+VLOOKUP(K113,TL[],4,FALSE)</f>
        <v>18</v>
      </c>
    </row>
    <row r="114" spans="1:12" x14ac:dyDescent="0.2">
      <c r="A114" t="s">
        <v>2704</v>
      </c>
      <c r="B114" t="s">
        <v>325</v>
      </c>
      <c r="C114">
        <v>149.08000000000001</v>
      </c>
      <c r="D114" t="s">
        <v>6961</v>
      </c>
      <c r="E114">
        <v>149.08000000000001</v>
      </c>
      <c r="F114" t="s">
        <v>6961</v>
      </c>
      <c r="G114" s="220">
        <f t="shared" si="4"/>
        <v>149.08000000000001</v>
      </c>
      <c r="H114" s="220">
        <f t="shared" si="5"/>
        <v>149.08000000000001</v>
      </c>
      <c r="I114" s="221">
        <f>IF(A114="Total",VLOOKUP(B114,CORRESPONDANCE[#All],2,FALSE),I115)</f>
        <v>25</v>
      </c>
      <c r="J114" s="222" t="str">
        <f t="shared" si="6"/>
        <v>6</v>
      </c>
      <c r="K114" s="44" t="str">
        <f t="shared" si="7"/>
        <v>TH4 - 60640100</v>
      </c>
      <c r="L114" s="44" t="str">
        <f>+VLOOKUP(K114,TL[],4,FALSE)</f>
        <v>21</v>
      </c>
    </row>
    <row r="115" spans="1:12" x14ac:dyDescent="0.2">
      <c r="A115" t="s">
        <v>197</v>
      </c>
      <c r="B115" t="s">
        <v>2578</v>
      </c>
      <c r="C115">
        <v>2497.09</v>
      </c>
      <c r="D115" t="s">
        <v>6961</v>
      </c>
      <c r="E115">
        <v>2497.09</v>
      </c>
      <c r="F115" t="s">
        <v>6961</v>
      </c>
      <c r="G115" s="220">
        <f t="shared" si="4"/>
        <v>2497.09</v>
      </c>
      <c r="H115" s="220">
        <f t="shared" si="5"/>
        <v>2497.09</v>
      </c>
      <c r="I115" s="221">
        <f>IF(A115="Total",VLOOKUP(B115,CORRESPONDANCE[#All],2,FALSE),I116)</f>
        <v>25</v>
      </c>
      <c r="J115" s="222" t="str">
        <f t="shared" si="6"/>
        <v>T</v>
      </c>
      <c r="K115" s="44" t="str">
        <f t="shared" si="7"/>
        <v>TH4 - Total</v>
      </c>
      <c r="L115" s="44" t="e">
        <f>+VLOOKUP(K115,TL[],4,FALSE)</f>
        <v>#N/A</v>
      </c>
    </row>
    <row r="116" spans="1:12" x14ac:dyDescent="0.2">
      <c r="A116" t="s">
        <v>3647</v>
      </c>
      <c r="B116" t="s">
        <v>7072</v>
      </c>
      <c r="C116">
        <v>256.47000000000003</v>
      </c>
      <c r="D116" t="s">
        <v>6961</v>
      </c>
      <c r="E116">
        <v>256.47000000000003</v>
      </c>
      <c r="F116" t="s">
        <v>6961</v>
      </c>
      <c r="G116" s="220">
        <f t="shared" si="4"/>
        <v>256.47000000000003</v>
      </c>
      <c r="H116" s="220">
        <f t="shared" si="5"/>
        <v>256.47000000000003</v>
      </c>
      <c r="I116" s="221">
        <f>IF(A116="Total",VLOOKUP(B116,CORRESPONDANCE[#All],2,FALSE),I117)</f>
        <v>26</v>
      </c>
      <c r="J116" s="222" t="str">
        <f t="shared" si="6"/>
        <v>6</v>
      </c>
      <c r="K116" s="44" t="str">
        <f t="shared" si="7"/>
        <v>TH4 - 62520400</v>
      </c>
      <c r="L116" s="44" t="str">
        <f>+VLOOKUP(K116,TL[],4,FALSE)</f>
        <v>13</v>
      </c>
    </row>
    <row r="117" spans="1:12" x14ac:dyDescent="0.2">
      <c r="A117" t="s">
        <v>197</v>
      </c>
      <c r="B117" t="s">
        <v>2580</v>
      </c>
      <c r="C117">
        <v>256.47000000000003</v>
      </c>
      <c r="D117" t="s">
        <v>6961</v>
      </c>
      <c r="E117">
        <v>256.47000000000003</v>
      </c>
      <c r="F117" t="s">
        <v>6961</v>
      </c>
      <c r="G117" s="220">
        <f t="shared" si="4"/>
        <v>256.47000000000003</v>
      </c>
      <c r="H117" s="220">
        <f t="shared" si="5"/>
        <v>256.47000000000003</v>
      </c>
      <c r="I117" s="221">
        <f>IF(A117="Total",VLOOKUP(B117,CORRESPONDANCE[#All],2,FALSE),I118)</f>
        <v>26</v>
      </c>
      <c r="J117" s="222" t="str">
        <f t="shared" si="6"/>
        <v>T</v>
      </c>
      <c r="K117" s="44" t="str">
        <f t="shared" si="7"/>
        <v>TH4 - Total</v>
      </c>
      <c r="L117" s="44" t="e">
        <f>+VLOOKUP(K117,TL[],4,FALSE)</f>
        <v>#N/A</v>
      </c>
    </row>
    <row r="118" spans="1:12" x14ac:dyDescent="0.2">
      <c r="A118" t="s">
        <v>3554</v>
      </c>
      <c r="B118" t="s">
        <v>146</v>
      </c>
      <c r="C118">
        <v>793.07</v>
      </c>
      <c r="D118" t="s">
        <v>6961</v>
      </c>
      <c r="E118">
        <v>793.07</v>
      </c>
      <c r="F118" t="s">
        <v>6961</v>
      </c>
      <c r="G118" s="220">
        <f t="shared" si="4"/>
        <v>793.07</v>
      </c>
      <c r="H118" s="220">
        <f t="shared" si="5"/>
        <v>793.07</v>
      </c>
      <c r="I118" s="221">
        <f>IF(A118="Total",VLOOKUP(B118,CORRESPONDANCE[#All],2,FALSE),I119)</f>
        <v>27</v>
      </c>
      <c r="J118" s="222" t="str">
        <f t="shared" si="6"/>
        <v>6</v>
      </c>
      <c r="K118" s="44" t="str">
        <f t="shared" si="7"/>
        <v>TH4 - 60630300</v>
      </c>
      <c r="L118" s="44" t="str">
        <f>+VLOOKUP(K118,TL[],4,FALSE)</f>
        <v>17</v>
      </c>
    </row>
    <row r="119" spans="1:12" x14ac:dyDescent="0.2">
      <c r="A119" t="s">
        <v>3648</v>
      </c>
      <c r="B119" t="s">
        <v>2953</v>
      </c>
      <c r="C119">
        <v>374</v>
      </c>
      <c r="D119" t="s">
        <v>6961</v>
      </c>
      <c r="E119">
        <v>374</v>
      </c>
      <c r="F119" t="s">
        <v>6961</v>
      </c>
      <c r="G119" s="220">
        <f t="shared" si="4"/>
        <v>374</v>
      </c>
      <c r="H119" s="220">
        <f t="shared" si="5"/>
        <v>374</v>
      </c>
      <c r="I119" s="221">
        <f>IF(A119="Total",VLOOKUP(B119,CORRESPONDANCE[#All],2,FALSE),I120)</f>
        <v>27</v>
      </c>
      <c r="J119" s="222" t="str">
        <f t="shared" si="6"/>
        <v>6</v>
      </c>
      <c r="K119" s="44" t="str">
        <f t="shared" si="7"/>
        <v>TH4 - 62570100</v>
      </c>
      <c r="L119" s="44" t="str">
        <f>+VLOOKUP(K119,TL[],4,FALSE)</f>
        <v>23</v>
      </c>
    </row>
    <row r="120" spans="1:12" x14ac:dyDescent="0.2">
      <c r="A120" t="s">
        <v>2706</v>
      </c>
      <c r="B120" t="s">
        <v>33</v>
      </c>
      <c r="C120">
        <v>286</v>
      </c>
      <c r="D120" t="s">
        <v>6961</v>
      </c>
      <c r="E120">
        <v>286</v>
      </c>
      <c r="F120" t="s">
        <v>6961</v>
      </c>
      <c r="G120" s="220">
        <f t="shared" si="4"/>
        <v>286</v>
      </c>
      <c r="H120" s="220">
        <f t="shared" si="5"/>
        <v>286</v>
      </c>
      <c r="I120" s="221">
        <f>IF(A120="Total",VLOOKUP(B120,CORRESPONDANCE[#All],2,FALSE),I121)</f>
        <v>27</v>
      </c>
      <c r="J120" s="222" t="str">
        <f t="shared" si="6"/>
        <v>6</v>
      </c>
      <c r="K120" s="44" t="str">
        <f t="shared" si="7"/>
        <v>TH4 - 62802300</v>
      </c>
      <c r="L120" s="44" t="str">
        <f>+VLOOKUP(K120,TL[],4,FALSE)</f>
        <v>23</v>
      </c>
    </row>
    <row r="121" spans="1:12" x14ac:dyDescent="0.2">
      <c r="A121" t="s">
        <v>3695</v>
      </c>
      <c r="B121" t="s">
        <v>164</v>
      </c>
      <c r="C121">
        <v>0.03</v>
      </c>
      <c r="D121" t="s">
        <v>6961</v>
      </c>
      <c r="E121">
        <v>0.03</v>
      </c>
      <c r="F121" t="s">
        <v>6961</v>
      </c>
      <c r="G121" s="220">
        <f t="shared" si="4"/>
        <v>0.03</v>
      </c>
      <c r="H121" s="220">
        <f t="shared" si="5"/>
        <v>0.03</v>
      </c>
      <c r="I121" s="221">
        <f>IF(A121="Total",VLOOKUP(B121,CORRESPONDANCE[#All],2,FALSE),I122)</f>
        <v>27</v>
      </c>
      <c r="J121" s="222" t="str">
        <f t="shared" si="6"/>
        <v>6</v>
      </c>
      <c r="K121" s="44" t="str">
        <f t="shared" si="7"/>
        <v>TH4 - 65800000</v>
      </c>
      <c r="L121" s="44" t="str">
        <f>+VLOOKUP(K121,TL[],4,FALSE)</f>
        <v>39</v>
      </c>
    </row>
    <row r="122" spans="1:12" x14ac:dyDescent="0.2">
      <c r="A122" t="s">
        <v>2707</v>
      </c>
      <c r="B122" t="s">
        <v>371</v>
      </c>
      <c r="C122">
        <v>100.49</v>
      </c>
      <c r="D122" t="s">
        <v>6961</v>
      </c>
      <c r="E122">
        <v>100.49</v>
      </c>
      <c r="F122" t="s">
        <v>6961</v>
      </c>
      <c r="G122" s="220">
        <f t="shared" si="4"/>
        <v>100.49</v>
      </c>
      <c r="H122" s="220">
        <f t="shared" si="5"/>
        <v>100.49</v>
      </c>
      <c r="I122" s="221">
        <f>IF(A122="Total",VLOOKUP(B122,CORRESPONDANCE[#All],2,FALSE),I123)</f>
        <v>27</v>
      </c>
      <c r="J122" s="222" t="str">
        <f t="shared" si="6"/>
        <v>6</v>
      </c>
      <c r="K122" s="44" t="str">
        <f t="shared" si="7"/>
        <v>TH4 - 67110000</v>
      </c>
      <c r="L122" s="44" t="str">
        <f>+VLOOKUP(K122,TL[],4,FALSE)</f>
        <v>22</v>
      </c>
    </row>
    <row r="123" spans="1:12" x14ac:dyDescent="0.2">
      <c r="A123" t="s">
        <v>2708</v>
      </c>
      <c r="B123" t="s">
        <v>31</v>
      </c>
      <c r="C123" t="s">
        <v>6961</v>
      </c>
      <c r="D123">
        <v>69.05</v>
      </c>
      <c r="E123" t="s">
        <v>6961</v>
      </c>
      <c r="F123">
        <v>69.05</v>
      </c>
      <c r="G123" s="220">
        <f t="shared" si="4"/>
        <v>-69.05</v>
      </c>
      <c r="H123" s="220">
        <f t="shared" si="5"/>
        <v>-69.05</v>
      </c>
      <c r="I123" s="221">
        <f>IF(A123="Total",VLOOKUP(B123,CORRESPONDANCE[#All],2,FALSE),I124)</f>
        <v>27</v>
      </c>
      <c r="J123" s="222" t="str">
        <f t="shared" si="6"/>
        <v>7</v>
      </c>
      <c r="K123" s="44" t="str">
        <f t="shared" si="7"/>
        <v>TH4 - 77110000</v>
      </c>
      <c r="L123" s="44" t="str">
        <f>+VLOOKUP(K123,TL[],4,FALSE)</f>
        <v>22</v>
      </c>
    </row>
    <row r="124" spans="1:12" x14ac:dyDescent="0.2">
      <c r="A124" t="s">
        <v>197</v>
      </c>
      <c r="B124" t="s">
        <v>2583</v>
      </c>
      <c r="C124">
        <v>1484.54</v>
      </c>
      <c r="D124" t="s">
        <v>6961</v>
      </c>
      <c r="E124">
        <v>1484.54</v>
      </c>
      <c r="F124" t="s">
        <v>6961</v>
      </c>
      <c r="G124" s="220">
        <f t="shared" si="4"/>
        <v>1484.54</v>
      </c>
      <c r="H124" s="220">
        <f t="shared" si="5"/>
        <v>1484.54</v>
      </c>
      <c r="I124" s="221">
        <f>IF(A124="Total",VLOOKUP(B124,CORRESPONDANCE[#All],2,FALSE),I125)</f>
        <v>27</v>
      </c>
      <c r="J124" s="222" t="str">
        <f t="shared" si="6"/>
        <v>T</v>
      </c>
      <c r="K124" s="44" t="str">
        <f t="shared" si="7"/>
        <v>TH4 - Total</v>
      </c>
      <c r="L124" s="44" t="e">
        <f>+VLOOKUP(K124,TL[],4,FALSE)</f>
        <v>#N/A</v>
      </c>
    </row>
    <row r="125" spans="1:12" x14ac:dyDescent="0.2">
      <c r="A125" t="s">
        <v>2709</v>
      </c>
      <c r="B125" t="s">
        <v>443</v>
      </c>
      <c r="C125">
        <v>49965.19</v>
      </c>
      <c r="D125" t="s">
        <v>6961</v>
      </c>
      <c r="E125">
        <v>49965.19</v>
      </c>
      <c r="F125" t="s">
        <v>6961</v>
      </c>
      <c r="G125" s="220">
        <f t="shared" si="4"/>
        <v>49965.19</v>
      </c>
      <c r="H125" s="220">
        <f t="shared" si="5"/>
        <v>49965.19</v>
      </c>
      <c r="I125" s="221">
        <f>IF(A125="Total",VLOOKUP(B125,CORRESPONDANCE[#All],2,FALSE),I126)</f>
        <v>29</v>
      </c>
      <c r="J125" s="222" t="str">
        <f t="shared" si="6"/>
        <v>6</v>
      </c>
      <c r="K125" s="44" t="str">
        <f t="shared" si="7"/>
        <v>TH4 - 61320000</v>
      </c>
      <c r="L125" s="44" t="str">
        <f>+VLOOKUP(K125,TL[],4,FALSE)</f>
        <v>30</v>
      </c>
    </row>
    <row r="126" spans="1:12" x14ac:dyDescent="0.2">
      <c r="A126" t="s">
        <v>197</v>
      </c>
      <c r="B126" t="s">
        <v>2584</v>
      </c>
      <c r="C126">
        <v>49965.19</v>
      </c>
      <c r="D126" t="s">
        <v>6961</v>
      </c>
      <c r="E126">
        <v>49965.19</v>
      </c>
      <c r="F126" t="s">
        <v>6961</v>
      </c>
      <c r="G126" s="220">
        <f t="shared" si="4"/>
        <v>49965.19</v>
      </c>
      <c r="H126" s="220">
        <f t="shared" si="5"/>
        <v>49965.19</v>
      </c>
      <c r="I126" s="221">
        <f>IF(A126="Total",VLOOKUP(B126,CORRESPONDANCE[#All],2,FALSE),I127)</f>
        <v>29</v>
      </c>
      <c r="J126" s="222" t="str">
        <f t="shared" si="6"/>
        <v>T</v>
      </c>
      <c r="K126" s="44" t="str">
        <f t="shared" si="7"/>
        <v>TH4 - Total</v>
      </c>
      <c r="L126" s="44" t="e">
        <f>+VLOOKUP(K126,TL[],4,FALSE)</f>
        <v>#N/A</v>
      </c>
    </row>
    <row r="127" spans="1:12" x14ac:dyDescent="0.2">
      <c r="A127" t="s">
        <v>2710</v>
      </c>
      <c r="B127" t="s">
        <v>2155</v>
      </c>
      <c r="C127" t="s">
        <v>6961</v>
      </c>
      <c r="D127">
        <v>234.84</v>
      </c>
      <c r="E127" t="s">
        <v>6961</v>
      </c>
      <c r="F127">
        <v>234.84</v>
      </c>
      <c r="G127" s="220">
        <f t="shared" si="4"/>
        <v>-234.84</v>
      </c>
      <c r="H127" s="220">
        <f t="shared" si="5"/>
        <v>-234.84</v>
      </c>
      <c r="I127" s="221">
        <f>IF(A127="Total",VLOOKUP(B127,CORRESPONDANCE[#All],2,FALSE),I128)</f>
        <v>31</v>
      </c>
      <c r="J127" s="222" t="str">
        <f t="shared" si="6"/>
        <v>6</v>
      </c>
      <c r="K127" s="44" t="str">
        <f t="shared" si="7"/>
        <v>TH4 - 65120000</v>
      </c>
      <c r="L127" s="44" t="str">
        <f>+VLOOKUP(K127,TL[],4,FALSE)</f>
        <v>30</v>
      </c>
    </row>
    <row r="128" spans="1:12" x14ac:dyDescent="0.2">
      <c r="A128" t="s">
        <v>2711</v>
      </c>
      <c r="B128" t="s">
        <v>1569</v>
      </c>
      <c r="C128" t="s">
        <v>6961</v>
      </c>
      <c r="D128">
        <v>659.35</v>
      </c>
      <c r="E128" t="s">
        <v>6961</v>
      </c>
      <c r="F128">
        <v>659.35</v>
      </c>
      <c r="G128" s="220">
        <f t="shared" si="4"/>
        <v>-659.35</v>
      </c>
      <c r="H128" s="220">
        <f t="shared" si="5"/>
        <v>-659.35</v>
      </c>
      <c r="I128" s="221">
        <f>IF(A128="Total",VLOOKUP(B128,CORRESPONDANCE[#All],2,FALSE),I129)</f>
        <v>31</v>
      </c>
      <c r="J128" s="222" t="str">
        <f t="shared" si="6"/>
        <v>6</v>
      </c>
      <c r="K128" s="44" t="str">
        <f t="shared" si="7"/>
        <v>TH4 - 65121000</v>
      </c>
      <c r="L128" s="44" t="str">
        <f>+VLOOKUP(K128,TL[],4,FALSE)</f>
        <v>31</v>
      </c>
    </row>
    <row r="129" spans="1:12" x14ac:dyDescent="0.2">
      <c r="A129" t="s">
        <v>197</v>
      </c>
      <c r="B129" t="s">
        <v>2585</v>
      </c>
      <c r="C129" t="s">
        <v>6961</v>
      </c>
      <c r="D129">
        <v>894.19</v>
      </c>
      <c r="E129" t="s">
        <v>6961</v>
      </c>
      <c r="F129">
        <v>894.19</v>
      </c>
      <c r="G129" s="220">
        <f t="shared" si="4"/>
        <v>-894.19</v>
      </c>
      <c r="H129" s="220">
        <f t="shared" si="5"/>
        <v>-894.19</v>
      </c>
      <c r="I129" s="221">
        <f>IF(A129="Total",VLOOKUP(B129,CORRESPONDANCE[#All],2,FALSE),I130)</f>
        <v>31</v>
      </c>
      <c r="J129" s="222" t="str">
        <f t="shared" si="6"/>
        <v>T</v>
      </c>
      <c r="K129" s="44" t="str">
        <f t="shared" si="7"/>
        <v>TH4 - Total</v>
      </c>
      <c r="L129" s="44" t="e">
        <f>+VLOOKUP(K129,TL[],4,FALSE)</f>
        <v>#N/A</v>
      </c>
    </row>
    <row r="130" spans="1:12" x14ac:dyDescent="0.2">
      <c r="A130" t="s">
        <v>2712</v>
      </c>
      <c r="B130" t="s">
        <v>323</v>
      </c>
      <c r="C130">
        <v>550</v>
      </c>
      <c r="D130" t="s">
        <v>6961</v>
      </c>
      <c r="E130">
        <v>550</v>
      </c>
      <c r="F130" t="s">
        <v>6961</v>
      </c>
      <c r="G130" s="220">
        <f t="shared" ref="G130:G193" si="8">SUM(C130)-SUM(D130)</f>
        <v>550</v>
      </c>
      <c r="H130" s="220">
        <f t="shared" ref="H130:H193" si="9">SUM(E130)-SUM(F130)</f>
        <v>550</v>
      </c>
      <c r="I130" s="221">
        <f>IF(A130="Total",VLOOKUP(B130,CORRESPONDANCE[#All],2,FALSE),I131)</f>
        <v>33</v>
      </c>
      <c r="J130" s="222" t="str">
        <f t="shared" ref="J130:J193" si="10">LEFT(A130,1)</f>
        <v>6</v>
      </c>
      <c r="K130" s="44" t="str">
        <f t="shared" ref="K130:K193" si="11">"TH4"&amp;" - "&amp;A130</f>
        <v>TH4 - 61410000</v>
      </c>
      <c r="L130" s="44" t="str">
        <f>+VLOOKUP(K130,TL[],4,FALSE)</f>
        <v>34</v>
      </c>
    </row>
    <row r="131" spans="1:12" x14ac:dyDescent="0.2">
      <c r="A131" t="s">
        <v>197</v>
      </c>
      <c r="B131" t="s">
        <v>2586</v>
      </c>
      <c r="C131">
        <v>550</v>
      </c>
      <c r="D131" t="s">
        <v>6961</v>
      </c>
      <c r="E131">
        <v>550</v>
      </c>
      <c r="F131" t="s">
        <v>6961</v>
      </c>
      <c r="G131" s="220">
        <f t="shared" si="8"/>
        <v>550</v>
      </c>
      <c r="H131" s="220">
        <f t="shared" si="9"/>
        <v>550</v>
      </c>
      <c r="I131" s="221">
        <f>IF(A131="Total",VLOOKUP(B131,CORRESPONDANCE[#All],2,FALSE),I132)</f>
        <v>33</v>
      </c>
      <c r="J131" s="222" t="str">
        <f t="shared" si="10"/>
        <v>T</v>
      </c>
      <c r="K131" s="44" t="str">
        <f t="shared" si="11"/>
        <v>TH4 - Total</v>
      </c>
      <c r="L131" s="44" t="e">
        <f>+VLOOKUP(K131,TL[],4,FALSE)</f>
        <v>#N/A</v>
      </c>
    </row>
    <row r="132" spans="1:12" x14ac:dyDescent="0.2">
      <c r="A132" t="s">
        <v>2713</v>
      </c>
      <c r="B132" t="s">
        <v>321</v>
      </c>
      <c r="C132">
        <v>17844.07</v>
      </c>
      <c r="D132" t="s">
        <v>6961</v>
      </c>
      <c r="E132">
        <v>17844.07</v>
      </c>
      <c r="F132" t="s">
        <v>6961</v>
      </c>
      <c r="G132" s="220">
        <f t="shared" si="8"/>
        <v>17844.07</v>
      </c>
      <c r="H132" s="220">
        <f t="shared" si="9"/>
        <v>17844.07</v>
      </c>
      <c r="I132" s="221">
        <f>IF(A132="Total",VLOOKUP(B132,CORRESPONDANCE[#All],2,FALSE),I133)</f>
        <v>34</v>
      </c>
      <c r="J132" s="222" t="str">
        <f t="shared" si="10"/>
        <v>6</v>
      </c>
      <c r="K132" s="44" t="str">
        <f t="shared" si="11"/>
        <v>TH4 - 65100100</v>
      </c>
      <c r="L132" s="44" t="str">
        <f>+VLOOKUP(K132,TL[],4,FALSE)</f>
        <v>31</v>
      </c>
    </row>
    <row r="133" spans="1:12" x14ac:dyDescent="0.2">
      <c r="A133" t="s">
        <v>197</v>
      </c>
      <c r="B133" t="s">
        <v>2588</v>
      </c>
      <c r="C133">
        <v>17844.07</v>
      </c>
      <c r="D133" t="s">
        <v>6961</v>
      </c>
      <c r="E133">
        <v>17844.07</v>
      </c>
      <c r="F133" t="s">
        <v>6961</v>
      </c>
      <c r="G133" s="220">
        <f t="shared" si="8"/>
        <v>17844.07</v>
      </c>
      <c r="H133" s="220">
        <f t="shared" si="9"/>
        <v>17844.07</v>
      </c>
      <c r="I133" s="221">
        <f>IF(A133="Total",VLOOKUP(B133,CORRESPONDANCE[#All],2,FALSE),I134)</f>
        <v>34</v>
      </c>
      <c r="J133" s="222" t="str">
        <f t="shared" si="10"/>
        <v>T</v>
      </c>
      <c r="K133" s="44" t="str">
        <f t="shared" si="11"/>
        <v>TH4 - Total</v>
      </c>
      <c r="L133" s="44" t="e">
        <f>+VLOOKUP(K133,TL[],4,FALSE)</f>
        <v>#N/A</v>
      </c>
    </row>
    <row r="134" spans="1:12" x14ac:dyDescent="0.2">
      <c r="A134" t="s">
        <v>2714</v>
      </c>
      <c r="B134" t="s">
        <v>1203</v>
      </c>
      <c r="C134">
        <v>860</v>
      </c>
      <c r="D134" t="s">
        <v>6961</v>
      </c>
      <c r="E134">
        <v>860</v>
      </c>
      <c r="F134" t="s">
        <v>6961</v>
      </c>
      <c r="G134" s="220">
        <f t="shared" si="8"/>
        <v>860</v>
      </c>
      <c r="H134" s="220">
        <f t="shared" si="9"/>
        <v>860</v>
      </c>
      <c r="I134" s="221">
        <f>IF(A134="Total",VLOOKUP(B134,CORRESPONDANCE[#All],2,FALSE),I135)</f>
        <v>35</v>
      </c>
      <c r="J134" s="222" t="str">
        <f t="shared" si="10"/>
        <v>6</v>
      </c>
      <c r="K134" s="44" t="str">
        <f t="shared" si="11"/>
        <v>TH4 - 62260000</v>
      </c>
      <c r="L134" s="44" t="str">
        <f>+VLOOKUP(K134,TL[],4,FALSE)</f>
        <v>32</v>
      </c>
    </row>
    <row r="135" spans="1:12" x14ac:dyDescent="0.2">
      <c r="A135" t="s">
        <v>2715</v>
      </c>
      <c r="B135" t="s">
        <v>162</v>
      </c>
      <c r="C135">
        <v>65</v>
      </c>
      <c r="D135" t="s">
        <v>6961</v>
      </c>
      <c r="E135">
        <v>65</v>
      </c>
      <c r="F135" t="s">
        <v>6961</v>
      </c>
      <c r="G135" s="220">
        <f t="shared" si="8"/>
        <v>65</v>
      </c>
      <c r="H135" s="220">
        <f t="shared" si="9"/>
        <v>65</v>
      </c>
      <c r="I135" s="221">
        <f>IF(A135="Total",VLOOKUP(B135,CORRESPONDANCE[#All],2,FALSE),I136)</f>
        <v>35</v>
      </c>
      <c r="J135" s="222" t="str">
        <f t="shared" si="10"/>
        <v>6</v>
      </c>
      <c r="K135" s="44" t="str">
        <f t="shared" si="11"/>
        <v>TH4 - 62261000</v>
      </c>
      <c r="L135" s="44" t="str">
        <f>+VLOOKUP(K135,TL[],4,FALSE)</f>
        <v>32</v>
      </c>
    </row>
    <row r="136" spans="1:12" x14ac:dyDescent="0.2">
      <c r="A136" t="s">
        <v>3631</v>
      </c>
      <c r="B136" t="s">
        <v>903</v>
      </c>
      <c r="C136">
        <v>197.74</v>
      </c>
      <c r="D136" t="s">
        <v>6961</v>
      </c>
      <c r="E136">
        <v>197.74</v>
      </c>
      <c r="F136" t="s">
        <v>6961</v>
      </c>
      <c r="G136" s="220">
        <f t="shared" si="8"/>
        <v>197.74</v>
      </c>
      <c r="H136" s="220">
        <f t="shared" si="9"/>
        <v>197.74</v>
      </c>
      <c r="I136" s="221">
        <f>IF(A136="Total",VLOOKUP(B136,CORRESPONDANCE[#All],2,FALSE),I137)</f>
        <v>35</v>
      </c>
      <c r="J136" s="222" t="str">
        <f t="shared" si="10"/>
        <v>6</v>
      </c>
      <c r="K136" s="44" t="str">
        <f t="shared" si="11"/>
        <v>TH4 - 62262000</v>
      </c>
      <c r="L136" s="44" t="str">
        <f>+VLOOKUP(K136,TL[],4,FALSE)</f>
        <v>32</v>
      </c>
    </row>
    <row r="137" spans="1:12" x14ac:dyDescent="0.2">
      <c r="A137" t="s">
        <v>3632</v>
      </c>
      <c r="B137" t="s">
        <v>1495</v>
      </c>
      <c r="C137">
        <v>430</v>
      </c>
      <c r="D137" t="s">
        <v>6961</v>
      </c>
      <c r="E137">
        <v>430</v>
      </c>
      <c r="F137" t="s">
        <v>6961</v>
      </c>
      <c r="G137" s="220">
        <f t="shared" si="8"/>
        <v>430</v>
      </c>
      <c r="H137" s="220">
        <f t="shared" si="9"/>
        <v>430</v>
      </c>
      <c r="I137" s="221">
        <f>IF(A137="Total",VLOOKUP(B137,CORRESPONDANCE[#All],2,FALSE),I138)</f>
        <v>35</v>
      </c>
      <c r="J137" s="222" t="str">
        <f t="shared" si="10"/>
        <v>6</v>
      </c>
      <c r="K137" s="44" t="str">
        <f t="shared" si="11"/>
        <v>TH4 - 62263000</v>
      </c>
      <c r="L137" s="44" t="str">
        <f>+VLOOKUP(K137,TL[],4,FALSE)</f>
        <v>32</v>
      </c>
    </row>
    <row r="138" spans="1:12" x14ac:dyDescent="0.2">
      <c r="A138" t="s">
        <v>197</v>
      </c>
      <c r="B138" t="s">
        <v>2591</v>
      </c>
      <c r="C138">
        <v>1552.74</v>
      </c>
      <c r="D138" t="s">
        <v>6961</v>
      </c>
      <c r="E138">
        <v>1552.74</v>
      </c>
      <c r="F138" t="s">
        <v>6961</v>
      </c>
      <c r="G138" s="220">
        <f t="shared" si="8"/>
        <v>1552.74</v>
      </c>
      <c r="H138" s="220">
        <f t="shared" si="9"/>
        <v>1552.74</v>
      </c>
      <c r="I138" s="221">
        <f>IF(A138="Total",VLOOKUP(B138,CORRESPONDANCE[#All],2,FALSE),I139)</f>
        <v>35</v>
      </c>
      <c r="J138" s="222" t="str">
        <f t="shared" si="10"/>
        <v>T</v>
      </c>
      <c r="K138" s="44" t="str">
        <f t="shared" si="11"/>
        <v>TH4 - Total</v>
      </c>
      <c r="L138" s="44" t="e">
        <f>+VLOOKUP(K138,TL[],4,FALSE)</f>
        <v>#N/A</v>
      </c>
    </row>
    <row r="139" spans="1:12" x14ac:dyDescent="0.2">
      <c r="A139" t="s">
        <v>2716</v>
      </c>
      <c r="B139" t="s">
        <v>342</v>
      </c>
      <c r="C139">
        <v>1550</v>
      </c>
      <c r="D139" t="s">
        <v>6961</v>
      </c>
      <c r="E139">
        <v>1550</v>
      </c>
      <c r="F139" t="s">
        <v>6961</v>
      </c>
      <c r="G139" s="220">
        <f t="shared" si="8"/>
        <v>1550</v>
      </c>
      <c r="H139" s="220">
        <f t="shared" si="9"/>
        <v>1550</v>
      </c>
      <c r="I139" s="221" t="e">
        <f>IF(A139="Total",VLOOKUP(B139,CORRESPONDANCE[#All],2,FALSE),#REF!)</f>
        <v>#REF!</v>
      </c>
      <c r="J139" s="222" t="str">
        <f t="shared" si="10"/>
        <v>6</v>
      </c>
      <c r="K139" s="44" t="str">
        <f t="shared" si="11"/>
        <v>TH4 - 61600100</v>
      </c>
      <c r="L139" s="44" t="str">
        <f>+VLOOKUP(K139,TL[],4,FALSE)</f>
        <v>33</v>
      </c>
    </row>
    <row r="140" spans="1:12" x14ac:dyDescent="0.2">
      <c r="A140" t="s">
        <v>2731</v>
      </c>
      <c r="B140" t="s">
        <v>1489</v>
      </c>
      <c r="C140">
        <v>65</v>
      </c>
      <c r="D140" t="s">
        <v>6961</v>
      </c>
      <c r="E140">
        <v>65</v>
      </c>
      <c r="F140" t="s">
        <v>6961</v>
      </c>
      <c r="G140" s="220">
        <f t="shared" si="8"/>
        <v>65</v>
      </c>
      <c r="H140" s="220">
        <f t="shared" si="9"/>
        <v>65</v>
      </c>
      <c r="I140" s="221">
        <f>IF(A140="Total",VLOOKUP(B140,CORRESPONDANCE[#All],2,FALSE),I141)</f>
        <v>36</v>
      </c>
      <c r="J140" s="222" t="str">
        <f t="shared" si="10"/>
        <v>6</v>
      </c>
      <c r="K140" s="44" t="str">
        <f t="shared" si="11"/>
        <v>TH4 - 61600200</v>
      </c>
      <c r="L140" s="44" t="str">
        <f>+VLOOKUP(K140,TL[],4,FALSE)</f>
        <v>33</v>
      </c>
    </row>
    <row r="141" spans="1:12" x14ac:dyDescent="0.2">
      <c r="A141" t="s">
        <v>197</v>
      </c>
      <c r="B141" t="s">
        <v>2592</v>
      </c>
      <c r="C141">
        <v>1615</v>
      </c>
      <c r="D141" t="s">
        <v>6961</v>
      </c>
      <c r="E141">
        <v>1615</v>
      </c>
      <c r="F141" t="s">
        <v>6961</v>
      </c>
      <c r="G141" s="220">
        <f t="shared" si="8"/>
        <v>1615</v>
      </c>
      <c r="H141" s="220">
        <f t="shared" si="9"/>
        <v>1615</v>
      </c>
      <c r="I141" s="221">
        <f>IF(A141="Total",VLOOKUP(B141,CORRESPONDANCE[#All],2,FALSE),I142)</f>
        <v>36</v>
      </c>
      <c r="J141" s="222" t="str">
        <f t="shared" si="10"/>
        <v>T</v>
      </c>
      <c r="K141" s="44" t="str">
        <f t="shared" si="11"/>
        <v>TH4 - Total</v>
      </c>
      <c r="L141" s="44" t="e">
        <f>+VLOOKUP(K141,TL[],4,FALSE)</f>
        <v>#N/A</v>
      </c>
    </row>
    <row r="142" spans="1:12" x14ac:dyDescent="0.2">
      <c r="A142" t="s">
        <v>2717</v>
      </c>
      <c r="B142" t="s">
        <v>332</v>
      </c>
      <c r="C142">
        <v>780.18</v>
      </c>
      <c r="D142" t="s">
        <v>6961</v>
      </c>
      <c r="E142">
        <v>780.18</v>
      </c>
      <c r="F142" t="s">
        <v>6961</v>
      </c>
      <c r="G142" s="220">
        <f t="shared" si="8"/>
        <v>780.18</v>
      </c>
      <c r="H142" s="220">
        <f t="shared" si="9"/>
        <v>780.18</v>
      </c>
      <c r="I142" s="221">
        <f>IF(A142="Total",VLOOKUP(B142,CORRESPONDANCE[#All],2,FALSE),I143)</f>
        <v>37</v>
      </c>
      <c r="J142" s="222" t="str">
        <f t="shared" si="10"/>
        <v>6</v>
      </c>
      <c r="K142" s="44" t="str">
        <f t="shared" si="11"/>
        <v>TH4 - 63330000</v>
      </c>
      <c r="L142" s="44" t="str">
        <f>+VLOOKUP(K142,TL[],4,FALSE)</f>
        <v>34</v>
      </c>
    </row>
    <row r="143" spans="1:12" x14ac:dyDescent="0.2">
      <c r="A143" t="s">
        <v>2718</v>
      </c>
      <c r="B143" t="s">
        <v>331</v>
      </c>
      <c r="C143">
        <v>530.53</v>
      </c>
      <c r="D143" t="s">
        <v>6961</v>
      </c>
      <c r="E143">
        <v>530.53</v>
      </c>
      <c r="F143" t="s">
        <v>6961</v>
      </c>
      <c r="G143" s="220">
        <f t="shared" si="8"/>
        <v>530.53</v>
      </c>
      <c r="H143" s="220">
        <f t="shared" si="9"/>
        <v>530.53</v>
      </c>
      <c r="I143" s="221">
        <f>IF(A143="Total",VLOOKUP(B143,CORRESPONDANCE[#All],2,FALSE),I144)</f>
        <v>37</v>
      </c>
      <c r="J143" s="222" t="str">
        <f t="shared" si="10"/>
        <v>6</v>
      </c>
      <c r="K143" s="44" t="str">
        <f t="shared" si="11"/>
        <v>TH4 - 63350000</v>
      </c>
      <c r="L143" s="44" t="str">
        <f>+VLOOKUP(K143,TL[],4,FALSE)</f>
        <v>34</v>
      </c>
    </row>
    <row r="144" spans="1:12" x14ac:dyDescent="0.2">
      <c r="A144" t="s">
        <v>2719</v>
      </c>
      <c r="B144" t="s">
        <v>168</v>
      </c>
      <c r="C144">
        <v>210</v>
      </c>
      <c r="D144" t="s">
        <v>6961</v>
      </c>
      <c r="E144">
        <v>210</v>
      </c>
      <c r="F144" t="s">
        <v>6961</v>
      </c>
      <c r="G144" s="220">
        <f t="shared" si="8"/>
        <v>210</v>
      </c>
      <c r="H144" s="220">
        <f t="shared" si="9"/>
        <v>210</v>
      </c>
      <c r="I144" s="221">
        <f>IF(A144="Total",VLOOKUP(B144,CORRESPONDANCE[#All],2,FALSE),I145)</f>
        <v>37</v>
      </c>
      <c r="J144" s="222" t="str">
        <f t="shared" si="10"/>
        <v>6</v>
      </c>
      <c r="K144" s="44" t="str">
        <f t="shared" si="11"/>
        <v>TH4 - 63511100</v>
      </c>
      <c r="L144" s="44" t="str">
        <f>+VLOOKUP(K144,TL[],4,FALSE)</f>
        <v>34</v>
      </c>
    </row>
    <row r="145" spans="1:12" x14ac:dyDescent="0.2">
      <c r="A145" t="s">
        <v>2720</v>
      </c>
      <c r="B145" t="s">
        <v>165</v>
      </c>
      <c r="C145">
        <v>460</v>
      </c>
      <c r="D145" t="s">
        <v>6961</v>
      </c>
      <c r="E145">
        <v>460</v>
      </c>
      <c r="F145" t="s">
        <v>6961</v>
      </c>
      <c r="G145" s="220">
        <f t="shared" si="8"/>
        <v>460</v>
      </c>
      <c r="H145" s="220">
        <f t="shared" si="9"/>
        <v>460</v>
      </c>
      <c r="I145" s="221">
        <f>IF(A145="Total",VLOOKUP(B145,CORRESPONDANCE[#All],2,FALSE),I146)</f>
        <v>37</v>
      </c>
      <c r="J145" s="222" t="str">
        <f t="shared" si="10"/>
        <v>6</v>
      </c>
      <c r="K145" s="44" t="str">
        <f t="shared" si="11"/>
        <v>TH4 - 63511200</v>
      </c>
      <c r="L145" s="44" t="str">
        <f>+VLOOKUP(K145,TL[],4,FALSE)</f>
        <v>34</v>
      </c>
    </row>
    <row r="146" spans="1:12" x14ac:dyDescent="0.2">
      <c r="A146" t="s">
        <v>2722</v>
      </c>
      <c r="B146" t="s">
        <v>366</v>
      </c>
      <c r="C146">
        <v>135</v>
      </c>
      <c r="D146" t="s">
        <v>6961</v>
      </c>
      <c r="E146">
        <v>135</v>
      </c>
      <c r="F146" t="s">
        <v>6961</v>
      </c>
      <c r="G146" s="220">
        <f t="shared" si="8"/>
        <v>135</v>
      </c>
      <c r="H146" s="220">
        <f t="shared" si="9"/>
        <v>135</v>
      </c>
      <c r="I146" s="221">
        <f>IF(A146="Total",VLOOKUP(B146,CORRESPONDANCE[#All],2,FALSE),I147)</f>
        <v>37</v>
      </c>
      <c r="J146" s="222" t="str">
        <f t="shared" si="10"/>
        <v>6</v>
      </c>
      <c r="K146" s="44" t="str">
        <f t="shared" si="11"/>
        <v>TH4 - 63553000</v>
      </c>
      <c r="L146" s="44" t="str">
        <f>+VLOOKUP(K146,TL[],4,FALSE)</f>
        <v>34</v>
      </c>
    </row>
    <row r="147" spans="1:12" x14ac:dyDescent="0.2">
      <c r="A147" t="s">
        <v>2723</v>
      </c>
      <c r="B147" t="s">
        <v>333</v>
      </c>
      <c r="C147">
        <v>425</v>
      </c>
      <c r="D147" t="s">
        <v>6961</v>
      </c>
      <c r="E147">
        <v>425</v>
      </c>
      <c r="F147" t="s">
        <v>6961</v>
      </c>
      <c r="G147" s="220">
        <f t="shared" si="8"/>
        <v>425</v>
      </c>
      <c r="H147" s="220">
        <f t="shared" si="9"/>
        <v>425</v>
      </c>
      <c r="I147" s="221">
        <f>IF(A147="Total",VLOOKUP(B147,CORRESPONDANCE[#All],2,FALSE),I148)</f>
        <v>37</v>
      </c>
      <c r="J147" s="222" t="str">
        <f t="shared" si="10"/>
        <v>6</v>
      </c>
      <c r="K147" s="44" t="str">
        <f t="shared" si="11"/>
        <v>TH4 - 63730000</v>
      </c>
      <c r="L147" s="44" t="str">
        <f>+VLOOKUP(K147,TL[],4,FALSE)</f>
        <v>34</v>
      </c>
    </row>
    <row r="148" spans="1:12" x14ac:dyDescent="0.2">
      <c r="A148" t="s">
        <v>197</v>
      </c>
      <c r="B148" t="s">
        <v>2593</v>
      </c>
      <c r="C148">
        <v>2540.71</v>
      </c>
      <c r="D148" t="s">
        <v>6961</v>
      </c>
      <c r="E148">
        <v>2540.71</v>
      </c>
      <c r="F148" t="s">
        <v>6961</v>
      </c>
      <c r="G148" s="220">
        <f t="shared" si="8"/>
        <v>2540.71</v>
      </c>
      <c r="H148" s="220">
        <f t="shared" si="9"/>
        <v>2540.71</v>
      </c>
      <c r="I148" s="221">
        <f>IF(A148="Total",VLOOKUP(B148,CORRESPONDANCE[#All],2,FALSE),I149)</f>
        <v>37</v>
      </c>
      <c r="J148" s="222" t="str">
        <f t="shared" si="10"/>
        <v>T</v>
      </c>
      <c r="K148" s="44" t="str">
        <f t="shared" si="11"/>
        <v>TH4 - Total</v>
      </c>
      <c r="L148" s="44" t="e">
        <f>+VLOOKUP(K148,TL[],4,FALSE)</f>
        <v>#N/A</v>
      </c>
    </row>
    <row r="149" spans="1:12" x14ac:dyDescent="0.2">
      <c r="A149" t="s">
        <v>2724</v>
      </c>
      <c r="B149" t="s">
        <v>247</v>
      </c>
      <c r="C149">
        <v>11000</v>
      </c>
      <c r="D149" t="s">
        <v>6961</v>
      </c>
      <c r="E149">
        <v>11000</v>
      </c>
      <c r="F149" t="s">
        <v>6961</v>
      </c>
      <c r="G149" s="220">
        <f t="shared" si="8"/>
        <v>11000</v>
      </c>
      <c r="H149" s="220">
        <f t="shared" si="9"/>
        <v>11000</v>
      </c>
      <c r="I149" s="221">
        <f>IF(A149="Total",VLOOKUP(B149,CORRESPONDANCE[#All],2,FALSE),I150)</f>
        <v>38</v>
      </c>
      <c r="J149" s="222" t="str">
        <f t="shared" si="10"/>
        <v>6</v>
      </c>
      <c r="K149" s="44" t="str">
        <f t="shared" si="11"/>
        <v>TH4 - 68111000</v>
      </c>
      <c r="L149" s="44" t="str">
        <f>+VLOOKUP(K149,TL[],4,FALSE)</f>
        <v>36</v>
      </c>
    </row>
    <row r="150" spans="1:12" x14ac:dyDescent="0.2">
      <c r="A150" t="s">
        <v>197</v>
      </c>
      <c r="B150" t="s">
        <v>2594</v>
      </c>
      <c r="C150">
        <v>11000</v>
      </c>
      <c r="D150" t="s">
        <v>6961</v>
      </c>
      <c r="E150">
        <v>11000</v>
      </c>
      <c r="F150" t="s">
        <v>6961</v>
      </c>
      <c r="G150" s="220">
        <f t="shared" si="8"/>
        <v>11000</v>
      </c>
      <c r="H150" s="220">
        <f t="shared" si="9"/>
        <v>11000</v>
      </c>
      <c r="I150" s="221">
        <f>IF(A150="Total",VLOOKUP(B150,CORRESPONDANCE[#All],2,FALSE),I151)</f>
        <v>38</v>
      </c>
      <c r="J150" s="222" t="str">
        <f t="shared" si="10"/>
        <v>T</v>
      </c>
      <c r="K150" s="44" t="str">
        <f t="shared" si="11"/>
        <v>TH4 - Total</v>
      </c>
      <c r="L150" s="44" t="e">
        <f>+VLOOKUP(K150,TL[],4,FALSE)</f>
        <v>#N/A</v>
      </c>
    </row>
    <row r="151" spans="1:12" x14ac:dyDescent="0.2">
      <c r="A151" t="s">
        <v>3586</v>
      </c>
      <c r="B151" t="s">
        <v>7067</v>
      </c>
      <c r="C151">
        <v>365.61</v>
      </c>
      <c r="D151" t="s">
        <v>6961</v>
      </c>
      <c r="E151">
        <v>365.61</v>
      </c>
      <c r="F151" t="s">
        <v>6961</v>
      </c>
      <c r="G151" s="220">
        <f t="shared" si="8"/>
        <v>365.61</v>
      </c>
      <c r="H151" s="220">
        <f t="shared" si="9"/>
        <v>365.61</v>
      </c>
      <c r="I151" s="221">
        <f>IF(A151="Total",VLOOKUP(B151,CORRESPONDANCE[#All],2,FALSE),I152)</f>
        <v>39</v>
      </c>
      <c r="J151" s="222" t="str">
        <f t="shared" si="10"/>
        <v>6</v>
      </c>
      <c r="K151" s="44" t="str">
        <f t="shared" si="11"/>
        <v>TH4 - 61354300</v>
      </c>
      <c r="L151" s="44" t="str">
        <f>+VLOOKUP(K151,TL[],4,FALSE)</f>
        <v>16</v>
      </c>
    </row>
    <row r="152" spans="1:12" x14ac:dyDescent="0.2">
      <c r="A152" t="s">
        <v>197</v>
      </c>
      <c r="B152" t="s">
        <v>3028</v>
      </c>
      <c r="C152">
        <v>365.61</v>
      </c>
      <c r="D152" t="s">
        <v>6961</v>
      </c>
      <c r="E152">
        <v>365.61</v>
      </c>
      <c r="F152" t="s">
        <v>6961</v>
      </c>
      <c r="G152" s="220">
        <f t="shared" si="8"/>
        <v>365.61</v>
      </c>
      <c r="H152" s="220">
        <f t="shared" si="9"/>
        <v>365.61</v>
      </c>
      <c r="I152" s="221">
        <f>IF(A152="Total",VLOOKUP(B152,CORRESPONDANCE[#All],2,FALSE),I153)</f>
        <v>39</v>
      </c>
      <c r="J152" s="222" t="str">
        <f t="shared" si="10"/>
        <v>T</v>
      </c>
      <c r="K152" s="44" t="str">
        <f t="shared" si="11"/>
        <v>TH4 - Total</v>
      </c>
      <c r="L152" s="44" t="e">
        <f>+VLOOKUP(K152,TL[],4,FALSE)</f>
        <v>#N/A</v>
      </c>
    </row>
    <row r="153" spans="1:12" x14ac:dyDescent="0.2">
      <c r="A153" t="s">
        <v>3627</v>
      </c>
      <c r="B153" t="s">
        <v>7073</v>
      </c>
      <c r="C153">
        <v>429.58</v>
      </c>
      <c r="D153" t="s">
        <v>6961</v>
      </c>
      <c r="E153">
        <v>429.58</v>
      </c>
      <c r="F153" t="s">
        <v>6961</v>
      </c>
      <c r="G153" s="220">
        <f t="shared" si="8"/>
        <v>429.58</v>
      </c>
      <c r="H153" s="220">
        <f t="shared" si="9"/>
        <v>429.58</v>
      </c>
      <c r="I153" s="221">
        <f>IF(A153="Total",VLOOKUP(B153,CORRESPONDANCE[#All],2,FALSE),I154)</f>
        <v>40</v>
      </c>
      <c r="J153" s="222" t="str">
        <f t="shared" si="10"/>
        <v>6</v>
      </c>
      <c r="K153" s="44" t="str">
        <f t="shared" si="11"/>
        <v>TH4 - 62141100</v>
      </c>
      <c r="L153" s="44" t="str">
        <f>+VLOOKUP(K153,TL[],4,FALSE)</f>
        <v>39</v>
      </c>
    </row>
    <row r="154" spans="1:12" x14ac:dyDescent="0.2">
      <c r="A154" t="s">
        <v>197</v>
      </c>
      <c r="B154" t="s">
        <v>2603</v>
      </c>
      <c r="C154">
        <v>429.58</v>
      </c>
      <c r="D154" t="s">
        <v>6961</v>
      </c>
      <c r="E154">
        <v>429.58</v>
      </c>
      <c r="F154" t="s">
        <v>6961</v>
      </c>
      <c r="G154" s="220">
        <f t="shared" si="8"/>
        <v>429.58</v>
      </c>
      <c r="H154" s="220">
        <f t="shared" si="9"/>
        <v>429.58</v>
      </c>
      <c r="I154" s="221">
        <f>IF(A154="Total",VLOOKUP(B154,CORRESPONDANCE[#All],2,FALSE),I155)</f>
        <v>40</v>
      </c>
      <c r="J154" s="222" t="str">
        <f t="shared" si="10"/>
        <v>T</v>
      </c>
      <c r="K154" s="44" t="str">
        <f t="shared" si="11"/>
        <v>TH4 - Total</v>
      </c>
      <c r="L154" s="44" t="e">
        <f>+VLOOKUP(K154,TL[],4,FALSE)</f>
        <v>#N/A</v>
      </c>
    </row>
    <row r="155" spans="1:12" x14ac:dyDescent="0.2">
      <c r="A155" t="s">
        <v>3659</v>
      </c>
      <c r="B155" t="s">
        <v>2153</v>
      </c>
      <c r="C155">
        <v>23134</v>
      </c>
      <c r="D155" t="s">
        <v>6961</v>
      </c>
      <c r="E155">
        <v>23134</v>
      </c>
      <c r="F155" t="s">
        <v>6961</v>
      </c>
      <c r="G155" s="220">
        <f t="shared" si="8"/>
        <v>23134</v>
      </c>
      <c r="H155" s="220">
        <f t="shared" si="9"/>
        <v>23134</v>
      </c>
      <c r="I155" s="221">
        <f>IF(A155="Total",VLOOKUP(B155,CORRESPONDANCE[#All],2,FALSE),I156)</f>
        <v>46</v>
      </c>
      <c r="J155" s="222" t="str">
        <f t="shared" si="10"/>
        <v>6</v>
      </c>
      <c r="K155" s="44" t="str">
        <f t="shared" si="11"/>
        <v>TH4 - 62830000</v>
      </c>
      <c r="L155" s="44" t="str">
        <f>+VLOOKUP(K155,TL[],4,FALSE)</f>
        <v>51</v>
      </c>
    </row>
    <row r="156" spans="1:12" x14ac:dyDescent="0.2">
      <c r="A156" t="s">
        <v>3660</v>
      </c>
      <c r="B156" t="s">
        <v>2141</v>
      </c>
      <c r="C156">
        <v>833.33</v>
      </c>
      <c r="D156" t="s">
        <v>6961</v>
      </c>
      <c r="E156">
        <v>833.33</v>
      </c>
      <c r="F156" t="s">
        <v>6961</v>
      </c>
      <c r="G156" s="220">
        <f t="shared" si="8"/>
        <v>833.33</v>
      </c>
      <c r="H156" s="220">
        <f t="shared" si="9"/>
        <v>833.33</v>
      </c>
      <c r="I156" s="221">
        <f>IF(A156="Total",VLOOKUP(B156,CORRESPONDANCE[#All],2,FALSE),I157)</f>
        <v>46</v>
      </c>
      <c r="J156" s="222" t="str">
        <f t="shared" si="10"/>
        <v>6</v>
      </c>
      <c r="K156" s="44" t="str">
        <f t="shared" si="11"/>
        <v>TH4 - 62832000</v>
      </c>
      <c r="L156" s="44" t="str">
        <f>+VLOOKUP(K156,TL[],4,FALSE)</f>
        <v>51</v>
      </c>
    </row>
    <row r="157" spans="1:12" x14ac:dyDescent="0.2">
      <c r="A157" t="s">
        <v>197</v>
      </c>
      <c r="B157" t="s">
        <v>2607</v>
      </c>
      <c r="C157">
        <v>23967.33</v>
      </c>
      <c r="D157" t="s">
        <v>6961</v>
      </c>
      <c r="E157">
        <v>23967.33</v>
      </c>
      <c r="F157" t="s">
        <v>6961</v>
      </c>
      <c r="G157" s="220">
        <f t="shared" si="8"/>
        <v>23967.33</v>
      </c>
      <c r="H157" s="220">
        <f t="shared" si="9"/>
        <v>23967.33</v>
      </c>
      <c r="I157" s="221">
        <f>IF(A157="Total",VLOOKUP(B157,CORRESPONDANCE[#All],2,FALSE),I158)</f>
        <v>46</v>
      </c>
      <c r="J157" s="222" t="str">
        <f t="shared" si="10"/>
        <v>T</v>
      </c>
      <c r="K157" s="44" t="str">
        <f t="shared" si="11"/>
        <v>TH4 - Total</v>
      </c>
      <c r="L157" s="44" t="e">
        <f>+VLOOKUP(K157,TL[],4,FALSE)</f>
        <v>#N/A</v>
      </c>
    </row>
    <row r="158" spans="1:12" x14ac:dyDescent="0.2">
      <c r="A158" t="s">
        <v>2740</v>
      </c>
      <c r="B158" t="s">
        <v>7074</v>
      </c>
      <c r="C158" t="s">
        <v>6961</v>
      </c>
      <c r="D158">
        <v>4773.92</v>
      </c>
      <c r="E158" t="s">
        <v>6961</v>
      </c>
      <c r="F158">
        <v>4773.92</v>
      </c>
      <c r="G158" s="220">
        <f t="shared" si="8"/>
        <v>-4773.92</v>
      </c>
      <c r="H158" s="220">
        <f t="shared" si="9"/>
        <v>-4773.92</v>
      </c>
      <c r="I158" s="221" t="str">
        <f>IF(A158="Total",VLOOKUP(B158,CORRESPONDANCE[#All],2,FALSE),I159)</f>
        <v>41.1</v>
      </c>
      <c r="J158" s="222" t="str">
        <f t="shared" si="10"/>
        <v>7</v>
      </c>
      <c r="K158" s="44" t="str">
        <f t="shared" si="11"/>
        <v>TH4 - 70230000</v>
      </c>
      <c r="L158" s="44" t="str">
        <f>+VLOOKUP(K158,TL[],4,FALSE)</f>
        <v>60</v>
      </c>
    </row>
    <row r="159" spans="1:12" x14ac:dyDescent="0.2">
      <c r="A159" t="s">
        <v>197</v>
      </c>
      <c r="B159" t="s">
        <v>2609</v>
      </c>
      <c r="C159" t="s">
        <v>6961</v>
      </c>
      <c r="D159">
        <v>4773.92</v>
      </c>
      <c r="E159" t="s">
        <v>6961</v>
      </c>
      <c r="F159">
        <v>4773.92</v>
      </c>
      <c r="G159" s="220">
        <f t="shared" si="8"/>
        <v>-4773.92</v>
      </c>
      <c r="H159" s="220">
        <f t="shared" si="9"/>
        <v>-4773.92</v>
      </c>
      <c r="I159" s="221" t="str">
        <f>IF(A159="Total",VLOOKUP(B159,CORRESPONDANCE[#All],2,FALSE),I160)</f>
        <v>41.1</v>
      </c>
      <c r="J159" s="222" t="str">
        <f t="shared" si="10"/>
        <v>T</v>
      </c>
      <c r="K159" s="44" t="str">
        <f t="shared" si="11"/>
        <v>TH4 - Total</v>
      </c>
      <c r="L159" s="44" t="e">
        <f>+VLOOKUP(K159,TL[],4,FALSE)</f>
        <v>#N/A</v>
      </c>
    </row>
    <row r="160" spans="1:12" x14ac:dyDescent="0.2">
      <c r="A160" t="s">
        <v>2741</v>
      </c>
      <c r="B160" t="s">
        <v>268</v>
      </c>
      <c r="C160">
        <v>3577.2</v>
      </c>
      <c r="D160" t="s">
        <v>6961</v>
      </c>
      <c r="E160">
        <v>3577.2</v>
      </c>
      <c r="F160" t="s">
        <v>6961</v>
      </c>
      <c r="G160" s="220">
        <f t="shared" si="8"/>
        <v>3577.2</v>
      </c>
      <c r="H160" s="220">
        <f t="shared" si="9"/>
        <v>3577.2</v>
      </c>
      <c r="I160" s="221" t="str">
        <f>IF(A160="Total",VLOOKUP(B160,CORRESPONDANCE[#All],2,FALSE),I161)</f>
        <v>41.2</v>
      </c>
      <c r="J160" s="222" t="str">
        <f t="shared" si="10"/>
        <v>6</v>
      </c>
      <c r="K160" s="44" t="str">
        <f t="shared" si="11"/>
        <v>TH4 - 60220200</v>
      </c>
      <c r="L160" s="44" t="str">
        <f>+VLOOKUP(K160,TL[],4,FALSE)</f>
        <v>62</v>
      </c>
    </row>
    <row r="161" spans="1:12" x14ac:dyDescent="0.2">
      <c r="A161" t="s">
        <v>2742</v>
      </c>
      <c r="B161" t="s">
        <v>2955</v>
      </c>
      <c r="C161">
        <v>1779.26</v>
      </c>
      <c r="D161" t="s">
        <v>6961</v>
      </c>
      <c r="E161">
        <v>1779.26</v>
      </c>
      <c r="F161" t="s">
        <v>6961</v>
      </c>
      <c r="G161" s="220">
        <f t="shared" si="8"/>
        <v>1779.26</v>
      </c>
      <c r="H161" s="220">
        <f t="shared" si="9"/>
        <v>1779.26</v>
      </c>
      <c r="I161" s="221" t="str">
        <f>IF(A161="Total",VLOOKUP(B161,CORRESPONDANCE[#All],2,FALSE),I162)</f>
        <v>41.2</v>
      </c>
      <c r="J161" s="222" t="str">
        <f t="shared" si="10"/>
        <v>6</v>
      </c>
      <c r="K161" s="44" t="str">
        <f t="shared" si="11"/>
        <v>TH4 - 60320100</v>
      </c>
      <c r="L161" s="44" t="str">
        <f>+VLOOKUP(K161,TL[],4,FALSE)</f>
        <v>62</v>
      </c>
    </row>
    <row r="162" spans="1:12" x14ac:dyDescent="0.2">
      <c r="A162" t="s">
        <v>2743</v>
      </c>
      <c r="B162" t="s">
        <v>1499</v>
      </c>
      <c r="C162">
        <v>65.56</v>
      </c>
      <c r="D162" t="s">
        <v>6961</v>
      </c>
      <c r="E162">
        <v>65.56</v>
      </c>
      <c r="F162" t="s">
        <v>6961</v>
      </c>
      <c r="G162" s="220">
        <f t="shared" si="8"/>
        <v>65.56</v>
      </c>
      <c r="H162" s="220">
        <f t="shared" si="9"/>
        <v>65.56</v>
      </c>
      <c r="I162" s="221" t="str">
        <f>IF(A162="Total",VLOOKUP(B162,CORRESPONDANCE[#All],2,FALSE),I163)</f>
        <v>41.2</v>
      </c>
      <c r="J162" s="222" t="str">
        <f t="shared" si="10"/>
        <v>6</v>
      </c>
      <c r="K162" s="44" t="str">
        <f t="shared" si="11"/>
        <v>TH4 - 62802400</v>
      </c>
      <c r="L162" s="44" t="str">
        <f>+VLOOKUP(K162,TL[],4,FALSE)</f>
        <v>62</v>
      </c>
    </row>
    <row r="163" spans="1:12" x14ac:dyDescent="0.2">
      <c r="A163" t="s">
        <v>197</v>
      </c>
      <c r="B163" t="s">
        <v>2611</v>
      </c>
      <c r="C163">
        <v>5422.02</v>
      </c>
      <c r="D163" t="s">
        <v>6961</v>
      </c>
      <c r="E163">
        <v>5422.02</v>
      </c>
      <c r="F163" t="s">
        <v>6961</v>
      </c>
      <c r="G163" s="220">
        <f t="shared" si="8"/>
        <v>5422.02</v>
      </c>
      <c r="H163" s="220">
        <f t="shared" si="9"/>
        <v>5422.02</v>
      </c>
      <c r="I163" s="221" t="str">
        <f>IF(A163="Total",VLOOKUP(B163,CORRESPONDANCE[#All],2,FALSE),I164)</f>
        <v>41.2</v>
      </c>
      <c r="J163" s="222" t="str">
        <f t="shared" si="10"/>
        <v>T</v>
      </c>
      <c r="K163" s="44" t="str">
        <f t="shared" si="11"/>
        <v>TH4 - Total</v>
      </c>
      <c r="L163" s="44" t="e">
        <f>+VLOOKUP(K163,TL[],4,FALSE)</f>
        <v>#N/A</v>
      </c>
    </row>
    <row r="164" spans="1:12" x14ac:dyDescent="0.2">
      <c r="A164" t="s">
        <v>6961</v>
      </c>
      <c r="B164" t="s">
        <v>2612</v>
      </c>
      <c r="C164">
        <v>360762.63</v>
      </c>
      <c r="D164">
        <v>370491.71</v>
      </c>
      <c r="E164">
        <v>360762.63</v>
      </c>
      <c r="F164">
        <v>370491.71</v>
      </c>
      <c r="G164" s="220">
        <f t="shared" si="8"/>
        <v>-9729.0800000000163</v>
      </c>
      <c r="H164" s="220">
        <f t="shared" si="9"/>
        <v>-9729.0800000000163</v>
      </c>
      <c r="I164" s="221">
        <f>IF(A164="Total",VLOOKUP(B164,CORRESPONDANCE[#All],2,FALSE),I165)</f>
        <v>0</v>
      </c>
      <c r="J164" s="222" t="str">
        <f t="shared" si="10"/>
        <v/>
      </c>
      <c r="K164" s="44" t="str">
        <f t="shared" si="11"/>
        <v xml:space="preserve">TH4 - </v>
      </c>
      <c r="L164" s="44" t="e">
        <f>+VLOOKUP(K164,TL[],4,FALSE)</f>
        <v>#N/A</v>
      </c>
    </row>
    <row r="165" spans="1:12" x14ac:dyDescent="0.2">
      <c r="G165" s="220">
        <f t="shared" si="8"/>
        <v>0</v>
      </c>
      <c r="H165" s="220">
        <f t="shared" si="9"/>
        <v>0</v>
      </c>
      <c r="I165" s="221">
        <f>IF(A165="Total",VLOOKUP(B165,CORRESPONDANCE[#All],2,FALSE),I166)</f>
        <v>0</v>
      </c>
      <c r="J165" s="222" t="str">
        <f t="shared" si="10"/>
        <v/>
      </c>
      <c r="K165" s="44" t="str">
        <f t="shared" si="11"/>
        <v xml:space="preserve">TH4 - </v>
      </c>
      <c r="L165" s="44" t="e">
        <f>+VLOOKUP(K165,TL[],4,FALSE)</f>
        <v>#N/A</v>
      </c>
    </row>
    <row r="166" spans="1:12" x14ac:dyDescent="0.2">
      <c r="G166" s="220">
        <f t="shared" si="8"/>
        <v>0</v>
      </c>
      <c r="H166" s="220">
        <f t="shared" si="9"/>
        <v>0</v>
      </c>
      <c r="I166" s="221">
        <f>IF(A166="Total",VLOOKUP(B166,CORRESPONDANCE[#All],2,FALSE),I167)</f>
        <v>0</v>
      </c>
      <c r="J166" s="222" t="str">
        <f t="shared" si="10"/>
        <v/>
      </c>
      <c r="K166" s="44" t="str">
        <f t="shared" si="11"/>
        <v xml:space="preserve">TH4 - </v>
      </c>
      <c r="L166" s="44" t="e">
        <f>+VLOOKUP(K166,TL[],4,FALSE)</f>
        <v>#N/A</v>
      </c>
    </row>
    <row r="167" spans="1:12" x14ac:dyDescent="0.2">
      <c r="G167" s="220">
        <f t="shared" si="8"/>
        <v>0</v>
      </c>
      <c r="H167" s="220">
        <f t="shared" si="9"/>
        <v>0</v>
      </c>
      <c r="I167" s="221">
        <f>IF(A167="Total",VLOOKUP(B167,CORRESPONDANCE[#All],2,FALSE),I168)</f>
        <v>0</v>
      </c>
      <c r="J167" s="222" t="str">
        <f t="shared" si="10"/>
        <v/>
      </c>
      <c r="K167" s="44" t="str">
        <f t="shared" si="11"/>
        <v xml:space="preserve">TH4 - </v>
      </c>
      <c r="L167" s="44" t="e">
        <f>+VLOOKUP(K167,TL[],4,FALSE)</f>
        <v>#N/A</v>
      </c>
    </row>
    <row r="168" spans="1:12" x14ac:dyDescent="0.2">
      <c r="G168" s="220">
        <f t="shared" si="8"/>
        <v>0</v>
      </c>
      <c r="H168" s="220">
        <f t="shared" si="9"/>
        <v>0</v>
      </c>
      <c r="I168" s="221">
        <f>IF(A168="Total",VLOOKUP(B168,CORRESPONDANCE[#All],2,FALSE),I169)</f>
        <v>0</v>
      </c>
      <c r="J168" s="222" t="str">
        <f t="shared" si="10"/>
        <v/>
      </c>
      <c r="K168" s="44" t="str">
        <f t="shared" si="11"/>
        <v xml:space="preserve">TH4 - </v>
      </c>
      <c r="L168" s="44" t="e">
        <f>+VLOOKUP(K168,TL[],4,FALSE)</f>
        <v>#N/A</v>
      </c>
    </row>
    <row r="169" spans="1:12" x14ac:dyDescent="0.2">
      <c r="G169" s="220">
        <f t="shared" si="8"/>
        <v>0</v>
      </c>
      <c r="H169" s="220">
        <f t="shared" si="9"/>
        <v>0</v>
      </c>
      <c r="I169" s="221">
        <f>IF(A169="Total",VLOOKUP(B169,CORRESPONDANCE[#All],2,FALSE),I170)</f>
        <v>0</v>
      </c>
      <c r="J169" s="222" t="str">
        <f t="shared" si="10"/>
        <v/>
      </c>
      <c r="K169" s="44" t="str">
        <f t="shared" si="11"/>
        <v xml:space="preserve">TH4 - </v>
      </c>
      <c r="L169" s="44" t="e">
        <f>+VLOOKUP(K169,TL[],4,FALSE)</f>
        <v>#N/A</v>
      </c>
    </row>
    <row r="170" spans="1:12" x14ac:dyDescent="0.2">
      <c r="G170" s="220">
        <f t="shared" si="8"/>
        <v>0</v>
      </c>
      <c r="H170" s="220">
        <f t="shared" si="9"/>
        <v>0</v>
      </c>
      <c r="I170" s="221">
        <f>IF(A170="Total",VLOOKUP(B170,CORRESPONDANCE[#All],2,FALSE),I171)</f>
        <v>0</v>
      </c>
      <c r="J170" s="222" t="str">
        <f t="shared" si="10"/>
        <v/>
      </c>
      <c r="K170" s="44" t="str">
        <f t="shared" si="11"/>
        <v xml:space="preserve">TH4 - </v>
      </c>
      <c r="L170" s="44" t="e">
        <f>+VLOOKUP(K170,TL[],4,FALSE)</f>
        <v>#N/A</v>
      </c>
    </row>
    <row r="171" spans="1:12" x14ac:dyDescent="0.2">
      <c r="G171" s="220">
        <f t="shared" si="8"/>
        <v>0</v>
      </c>
      <c r="H171" s="220">
        <f t="shared" si="9"/>
        <v>0</v>
      </c>
      <c r="I171" s="221">
        <f>IF(A171="Total",VLOOKUP(B171,CORRESPONDANCE[#All],2,FALSE),I172)</f>
        <v>0</v>
      </c>
      <c r="J171" s="222" t="str">
        <f t="shared" si="10"/>
        <v/>
      </c>
      <c r="K171" s="44" t="str">
        <f t="shared" si="11"/>
        <v xml:space="preserve">TH4 - </v>
      </c>
      <c r="L171" s="44" t="e">
        <f>+VLOOKUP(K171,TL[],4,FALSE)</f>
        <v>#N/A</v>
      </c>
    </row>
    <row r="172" spans="1:12" x14ac:dyDescent="0.2">
      <c r="G172" s="220">
        <f t="shared" si="8"/>
        <v>0</v>
      </c>
      <c r="H172" s="220">
        <f t="shared" si="9"/>
        <v>0</v>
      </c>
      <c r="I172" s="221">
        <f>IF(A172="Total",VLOOKUP(B172,CORRESPONDANCE[#All],2,FALSE),I173)</f>
        <v>0</v>
      </c>
      <c r="J172" s="222" t="str">
        <f t="shared" si="10"/>
        <v/>
      </c>
      <c r="K172" s="44" t="str">
        <f t="shared" si="11"/>
        <v xml:space="preserve">TH4 - </v>
      </c>
      <c r="L172" s="44" t="e">
        <f>+VLOOKUP(K172,TL[],4,FALSE)</f>
        <v>#N/A</v>
      </c>
    </row>
    <row r="173" spans="1:12" x14ac:dyDescent="0.2">
      <c r="G173" s="220">
        <f t="shared" si="8"/>
        <v>0</v>
      </c>
      <c r="H173" s="220">
        <f t="shared" si="9"/>
        <v>0</v>
      </c>
      <c r="I173" s="221">
        <f>IF(A173="Total",VLOOKUP(B173,CORRESPONDANCE[#All],2,FALSE),I174)</f>
        <v>0</v>
      </c>
      <c r="J173" s="222" t="str">
        <f t="shared" si="10"/>
        <v/>
      </c>
      <c r="K173" s="44" t="str">
        <f t="shared" si="11"/>
        <v xml:space="preserve">TH4 - </v>
      </c>
      <c r="L173" s="44" t="e">
        <f>+VLOOKUP(K173,TL[],4,FALSE)</f>
        <v>#N/A</v>
      </c>
    </row>
    <row r="174" spans="1:12" x14ac:dyDescent="0.2">
      <c r="G174" s="220">
        <f t="shared" si="8"/>
        <v>0</v>
      </c>
      <c r="H174" s="220">
        <f t="shared" si="9"/>
        <v>0</v>
      </c>
      <c r="I174" s="221">
        <f>IF(A174="Total",VLOOKUP(B174,CORRESPONDANCE[#All],2,FALSE),I175)</f>
        <v>0</v>
      </c>
      <c r="J174" s="222" t="str">
        <f t="shared" si="10"/>
        <v/>
      </c>
      <c r="K174" s="44" t="str">
        <f t="shared" si="11"/>
        <v xml:space="preserve">TH4 - </v>
      </c>
      <c r="L174" s="44" t="e">
        <f>+VLOOKUP(K174,TL[],4,FALSE)</f>
        <v>#N/A</v>
      </c>
    </row>
    <row r="175" spans="1:12" x14ac:dyDescent="0.2">
      <c r="G175" s="220">
        <f t="shared" si="8"/>
        <v>0</v>
      </c>
      <c r="H175" s="220">
        <f t="shared" si="9"/>
        <v>0</v>
      </c>
      <c r="I175" s="221">
        <f>IF(A175="Total",VLOOKUP(B175,CORRESPONDANCE[#All],2,FALSE),I176)</f>
        <v>0</v>
      </c>
      <c r="J175" s="222" t="str">
        <f t="shared" si="10"/>
        <v/>
      </c>
      <c r="K175" s="44" t="str">
        <f t="shared" si="11"/>
        <v xml:space="preserve">TH4 - </v>
      </c>
      <c r="L175" s="44" t="e">
        <f>+VLOOKUP(K175,TL[],4,FALSE)</f>
        <v>#N/A</v>
      </c>
    </row>
    <row r="176" spans="1:12" x14ac:dyDescent="0.2">
      <c r="G176" s="220">
        <f t="shared" si="8"/>
        <v>0</v>
      </c>
      <c r="H176" s="220">
        <f t="shared" si="9"/>
        <v>0</v>
      </c>
      <c r="I176" s="221">
        <f>IF(A176="Total",VLOOKUP(B176,CORRESPONDANCE[#All],2,FALSE),I177)</f>
        <v>0</v>
      </c>
      <c r="J176" s="222" t="str">
        <f t="shared" si="10"/>
        <v/>
      </c>
      <c r="K176" s="44" t="str">
        <f t="shared" si="11"/>
        <v xml:space="preserve">TH4 - </v>
      </c>
      <c r="L176" s="44" t="e">
        <f>+VLOOKUP(K176,TL[],4,FALSE)</f>
        <v>#N/A</v>
      </c>
    </row>
    <row r="177" spans="7:12" x14ac:dyDescent="0.2">
      <c r="G177" s="220">
        <f t="shared" si="8"/>
        <v>0</v>
      </c>
      <c r="H177" s="220">
        <f t="shared" si="9"/>
        <v>0</v>
      </c>
      <c r="I177" s="221">
        <f>IF(A177="Total",VLOOKUP(B177,CORRESPONDANCE[#All],2,FALSE),I178)</f>
        <v>0</v>
      </c>
      <c r="J177" s="222" t="str">
        <f t="shared" si="10"/>
        <v/>
      </c>
      <c r="K177" s="44" t="str">
        <f t="shared" si="11"/>
        <v xml:space="preserve">TH4 - </v>
      </c>
      <c r="L177" s="44" t="e">
        <f>+VLOOKUP(K177,TL[],4,FALSE)</f>
        <v>#N/A</v>
      </c>
    </row>
    <row r="178" spans="7:12" x14ac:dyDescent="0.2">
      <c r="G178" s="220">
        <f t="shared" si="8"/>
        <v>0</v>
      </c>
      <c r="H178" s="220">
        <f t="shared" si="9"/>
        <v>0</v>
      </c>
      <c r="I178" s="221">
        <f>IF(A178="Total",VLOOKUP(B178,CORRESPONDANCE[#All],2,FALSE),I179)</f>
        <v>0</v>
      </c>
      <c r="J178" s="222" t="str">
        <f t="shared" si="10"/>
        <v/>
      </c>
      <c r="K178" s="44" t="str">
        <f t="shared" si="11"/>
        <v xml:space="preserve">TH4 - </v>
      </c>
      <c r="L178" s="44" t="e">
        <f>+VLOOKUP(K178,TL[],4,FALSE)</f>
        <v>#N/A</v>
      </c>
    </row>
    <row r="179" spans="7:12" x14ac:dyDescent="0.2">
      <c r="G179" s="220">
        <f t="shared" si="8"/>
        <v>0</v>
      </c>
      <c r="H179" s="220">
        <f t="shared" si="9"/>
        <v>0</v>
      </c>
      <c r="I179" s="221">
        <f>IF(A179="Total",VLOOKUP(B179,CORRESPONDANCE[#All],2,FALSE),I180)</f>
        <v>0</v>
      </c>
      <c r="J179" s="222" t="str">
        <f t="shared" si="10"/>
        <v/>
      </c>
      <c r="K179" s="44" t="str">
        <f t="shared" si="11"/>
        <v xml:space="preserve">TH4 - </v>
      </c>
      <c r="L179" s="44" t="e">
        <f>+VLOOKUP(K179,TL[],4,FALSE)</f>
        <v>#N/A</v>
      </c>
    </row>
    <row r="180" spans="7:12" x14ac:dyDescent="0.2">
      <c r="G180" s="220">
        <f t="shared" si="8"/>
        <v>0</v>
      </c>
      <c r="H180" s="220">
        <f t="shared" si="9"/>
        <v>0</v>
      </c>
      <c r="I180" s="221">
        <f>IF(A180="Total",VLOOKUP(B180,CORRESPONDANCE[#All],2,FALSE),I181)</f>
        <v>0</v>
      </c>
      <c r="J180" s="222" t="str">
        <f t="shared" si="10"/>
        <v/>
      </c>
      <c r="K180" s="44" t="str">
        <f t="shared" si="11"/>
        <v xml:space="preserve">TH4 - </v>
      </c>
      <c r="L180" s="44" t="e">
        <f>+VLOOKUP(K180,TL[],4,FALSE)</f>
        <v>#N/A</v>
      </c>
    </row>
    <row r="181" spans="7:12" x14ac:dyDescent="0.2">
      <c r="G181" s="220">
        <f t="shared" si="8"/>
        <v>0</v>
      </c>
      <c r="H181" s="220">
        <f t="shared" si="9"/>
        <v>0</v>
      </c>
      <c r="I181" s="221">
        <f>IF(A181="Total",VLOOKUP(B181,CORRESPONDANCE[#All],2,FALSE),I182)</f>
        <v>0</v>
      </c>
      <c r="J181" s="222" t="str">
        <f t="shared" si="10"/>
        <v/>
      </c>
      <c r="K181" s="44" t="str">
        <f t="shared" si="11"/>
        <v xml:space="preserve">TH4 - </v>
      </c>
      <c r="L181" s="44" t="e">
        <f>+VLOOKUP(K181,TL[],4,FALSE)</f>
        <v>#N/A</v>
      </c>
    </row>
    <row r="182" spans="7:12" x14ac:dyDescent="0.2">
      <c r="G182" s="220">
        <f t="shared" si="8"/>
        <v>0</v>
      </c>
      <c r="H182" s="220">
        <f t="shared" si="9"/>
        <v>0</v>
      </c>
      <c r="I182" s="221">
        <f>IF(A182="Total",VLOOKUP(B182,CORRESPONDANCE[#All],2,FALSE),I183)</f>
        <v>0</v>
      </c>
      <c r="J182" s="222" t="str">
        <f t="shared" si="10"/>
        <v/>
      </c>
      <c r="K182" s="44" t="str">
        <f t="shared" si="11"/>
        <v xml:space="preserve">TH4 - </v>
      </c>
      <c r="L182" s="44" t="e">
        <f>+VLOOKUP(K182,TL[],4,FALSE)</f>
        <v>#N/A</v>
      </c>
    </row>
    <row r="183" spans="7:12" x14ac:dyDescent="0.2">
      <c r="G183" s="220">
        <f t="shared" si="8"/>
        <v>0</v>
      </c>
      <c r="H183" s="220">
        <f t="shared" si="9"/>
        <v>0</v>
      </c>
      <c r="I183" s="221">
        <f>IF(A183="Total",VLOOKUP(B183,CORRESPONDANCE[#All],2,FALSE),I184)</f>
        <v>0</v>
      </c>
      <c r="J183" s="222" t="str">
        <f t="shared" si="10"/>
        <v/>
      </c>
      <c r="K183" s="44" t="str">
        <f t="shared" si="11"/>
        <v xml:space="preserve">TH4 - </v>
      </c>
      <c r="L183" s="44" t="e">
        <f>+VLOOKUP(K183,TL[],4,FALSE)</f>
        <v>#N/A</v>
      </c>
    </row>
    <row r="184" spans="7:12" x14ac:dyDescent="0.2">
      <c r="G184" s="220">
        <f t="shared" si="8"/>
        <v>0</v>
      </c>
      <c r="H184" s="220">
        <f t="shared" si="9"/>
        <v>0</v>
      </c>
      <c r="I184" s="221">
        <f>IF(A184="Total",VLOOKUP(B184,CORRESPONDANCE[#All],2,FALSE),I185)</f>
        <v>0</v>
      </c>
      <c r="J184" s="222" t="str">
        <f t="shared" si="10"/>
        <v/>
      </c>
      <c r="K184" s="44" t="str">
        <f t="shared" si="11"/>
        <v xml:space="preserve">TH4 - </v>
      </c>
      <c r="L184" s="44" t="e">
        <f>+VLOOKUP(K184,TL[],4,FALSE)</f>
        <v>#N/A</v>
      </c>
    </row>
    <row r="185" spans="7:12" x14ac:dyDescent="0.2">
      <c r="G185" s="220">
        <f t="shared" si="8"/>
        <v>0</v>
      </c>
      <c r="H185" s="220">
        <f t="shared" si="9"/>
        <v>0</v>
      </c>
      <c r="I185" s="221">
        <f>IF(A185="Total",VLOOKUP(B185,CORRESPONDANCE[#All],2,FALSE),I186)</f>
        <v>0</v>
      </c>
      <c r="J185" s="222" t="str">
        <f t="shared" si="10"/>
        <v/>
      </c>
      <c r="K185" s="44" t="str">
        <f t="shared" si="11"/>
        <v xml:space="preserve">TH4 - </v>
      </c>
      <c r="L185" s="44" t="e">
        <f>+VLOOKUP(K185,TL[],4,FALSE)</f>
        <v>#N/A</v>
      </c>
    </row>
    <row r="186" spans="7:12" x14ac:dyDescent="0.2">
      <c r="G186" s="220">
        <f t="shared" si="8"/>
        <v>0</v>
      </c>
      <c r="H186" s="220">
        <f t="shared" si="9"/>
        <v>0</v>
      </c>
      <c r="I186" s="221">
        <f>IF(A186="Total",VLOOKUP(B186,CORRESPONDANCE[#All],2,FALSE),I187)</f>
        <v>0</v>
      </c>
      <c r="J186" s="222" t="str">
        <f t="shared" si="10"/>
        <v/>
      </c>
      <c r="K186" s="44" t="str">
        <f t="shared" si="11"/>
        <v xml:space="preserve">TH4 - </v>
      </c>
      <c r="L186" s="44" t="e">
        <f>+VLOOKUP(K186,TL[],4,FALSE)</f>
        <v>#N/A</v>
      </c>
    </row>
    <row r="187" spans="7:12" x14ac:dyDescent="0.2">
      <c r="G187" s="220">
        <f t="shared" si="8"/>
        <v>0</v>
      </c>
      <c r="H187" s="220">
        <f t="shared" si="9"/>
        <v>0</v>
      </c>
      <c r="I187" s="221">
        <f>IF(A187="Total",VLOOKUP(B187,CORRESPONDANCE[#All],2,FALSE),I188)</f>
        <v>0</v>
      </c>
      <c r="J187" s="222" t="str">
        <f t="shared" si="10"/>
        <v/>
      </c>
      <c r="K187" s="44" t="str">
        <f t="shared" si="11"/>
        <v xml:space="preserve">TH4 - </v>
      </c>
      <c r="L187" s="44" t="e">
        <f>+VLOOKUP(K187,TL[],4,FALSE)</f>
        <v>#N/A</v>
      </c>
    </row>
    <row r="188" spans="7:12" x14ac:dyDescent="0.2">
      <c r="G188" s="220">
        <f t="shared" si="8"/>
        <v>0</v>
      </c>
      <c r="H188" s="220">
        <f t="shared" si="9"/>
        <v>0</v>
      </c>
      <c r="I188" s="221">
        <f>IF(A188="Total",VLOOKUP(B188,CORRESPONDANCE[#All],2,FALSE),I189)</f>
        <v>0</v>
      </c>
      <c r="J188" s="222" t="str">
        <f t="shared" si="10"/>
        <v/>
      </c>
      <c r="K188" s="44" t="str">
        <f t="shared" si="11"/>
        <v xml:space="preserve">TH4 - </v>
      </c>
      <c r="L188" s="44" t="e">
        <f>+VLOOKUP(K188,TL[],4,FALSE)</f>
        <v>#N/A</v>
      </c>
    </row>
    <row r="189" spans="7:12" x14ac:dyDescent="0.2">
      <c r="G189" s="220">
        <f t="shared" si="8"/>
        <v>0</v>
      </c>
      <c r="H189" s="220">
        <f t="shared" si="9"/>
        <v>0</v>
      </c>
      <c r="I189" s="221">
        <f>IF(A189="Total",VLOOKUP(B189,CORRESPONDANCE[#All],2,FALSE),I190)</f>
        <v>0</v>
      </c>
      <c r="J189" s="222" t="str">
        <f t="shared" si="10"/>
        <v/>
      </c>
      <c r="K189" s="44" t="str">
        <f t="shared" si="11"/>
        <v xml:space="preserve">TH4 - </v>
      </c>
      <c r="L189" s="44" t="e">
        <f>+VLOOKUP(K189,TL[],4,FALSE)</f>
        <v>#N/A</v>
      </c>
    </row>
    <row r="190" spans="7:12" x14ac:dyDescent="0.2">
      <c r="G190" s="220">
        <f t="shared" si="8"/>
        <v>0</v>
      </c>
      <c r="H190" s="220">
        <f t="shared" si="9"/>
        <v>0</v>
      </c>
      <c r="I190" s="221">
        <f>IF(A190="Total",VLOOKUP(B190,CORRESPONDANCE[#All],2,FALSE),I191)</f>
        <v>0</v>
      </c>
      <c r="J190" s="222" t="str">
        <f t="shared" si="10"/>
        <v/>
      </c>
      <c r="K190" s="44" t="str">
        <f t="shared" si="11"/>
        <v xml:space="preserve">TH4 - </v>
      </c>
      <c r="L190" s="44" t="e">
        <f>+VLOOKUP(K190,TL[],4,FALSE)</f>
        <v>#N/A</v>
      </c>
    </row>
    <row r="191" spans="7:12" x14ac:dyDescent="0.2">
      <c r="G191" s="220">
        <f t="shared" si="8"/>
        <v>0</v>
      </c>
      <c r="H191" s="220">
        <f t="shared" si="9"/>
        <v>0</v>
      </c>
      <c r="I191" s="221">
        <f>IF(A191="Total",VLOOKUP(B191,CORRESPONDANCE[#All],2,FALSE),I192)</f>
        <v>0</v>
      </c>
      <c r="J191" s="222" t="str">
        <f t="shared" si="10"/>
        <v/>
      </c>
      <c r="K191" s="44" t="str">
        <f t="shared" si="11"/>
        <v xml:space="preserve">TH4 - </v>
      </c>
      <c r="L191" s="44" t="e">
        <f>+VLOOKUP(K191,TL[],4,FALSE)</f>
        <v>#N/A</v>
      </c>
    </row>
    <row r="192" spans="7:12" x14ac:dyDescent="0.2">
      <c r="G192" s="220">
        <f t="shared" si="8"/>
        <v>0</v>
      </c>
      <c r="H192" s="220">
        <f t="shared" si="9"/>
        <v>0</v>
      </c>
      <c r="I192" s="221">
        <f>IF(A192="Total",VLOOKUP(B192,CORRESPONDANCE[#All],2,FALSE),I193)</f>
        <v>0</v>
      </c>
      <c r="J192" s="222" t="str">
        <f t="shared" si="10"/>
        <v/>
      </c>
      <c r="K192" s="44" t="str">
        <f t="shared" si="11"/>
        <v xml:space="preserve">TH4 - </v>
      </c>
      <c r="L192" s="44" t="e">
        <f>+VLOOKUP(K192,TL[],4,FALSE)</f>
        <v>#N/A</v>
      </c>
    </row>
    <row r="193" spans="7:12" x14ac:dyDescent="0.2">
      <c r="G193" s="220">
        <f t="shared" si="8"/>
        <v>0</v>
      </c>
      <c r="H193" s="220">
        <f t="shared" si="9"/>
        <v>0</v>
      </c>
      <c r="I193" s="221">
        <f>IF(A193="Total",VLOOKUP(B193,CORRESPONDANCE[#All],2,FALSE),I194)</f>
        <v>0</v>
      </c>
      <c r="J193" s="222" t="str">
        <f t="shared" si="10"/>
        <v/>
      </c>
      <c r="K193" s="44" t="str">
        <f t="shared" si="11"/>
        <v xml:space="preserve">TH4 - </v>
      </c>
      <c r="L193" s="44" t="e">
        <f>+VLOOKUP(K193,TL[],4,FALSE)</f>
        <v>#N/A</v>
      </c>
    </row>
    <row r="194" spans="7:12" x14ac:dyDescent="0.2">
      <c r="G194" s="220">
        <f t="shared" ref="G194:G257" si="12">SUM(C194)-SUM(D194)</f>
        <v>0</v>
      </c>
      <c r="H194" s="220">
        <f t="shared" ref="H194:H257" si="13">SUM(E194)-SUM(F194)</f>
        <v>0</v>
      </c>
      <c r="I194" s="221">
        <f>IF(A194="Total",VLOOKUP(B194,CORRESPONDANCE[#All],2,FALSE),I195)</f>
        <v>0</v>
      </c>
      <c r="J194" s="222" t="str">
        <f t="shared" ref="J194:J257" si="14">LEFT(A194,1)</f>
        <v/>
      </c>
      <c r="K194" s="44" t="str">
        <f t="shared" ref="K194:K257" si="15">"TH4"&amp;" - "&amp;A194</f>
        <v xml:space="preserve">TH4 - </v>
      </c>
      <c r="L194" s="44" t="e">
        <f>+VLOOKUP(K194,TL[],4,FALSE)</f>
        <v>#N/A</v>
      </c>
    </row>
    <row r="195" spans="7:12" x14ac:dyDescent="0.2">
      <c r="G195" s="220">
        <f t="shared" si="12"/>
        <v>0</v>
      </c>
      <c r="H195" s="220">
        <f t="shared" si="13"/>
        <v>0</v>
      </c>
      <c r="I195" s="221">
        <f>IF(A195="Total",VLOOKUP(B195,CORRESPONDANCE[#All],2,FALSE),I196)</f>
        <v>0</v>
      </c>
      <c r="J195" s="222" t="str">
        <f t="shared" si="14"/>
        <v/>
      </c>
      <c r="K195" s="44" t="str">
        <f t="shared" si="15"/>
        <v xml:space="preserve">TH4 - </v>
      </c>
      <c r="L195" s="44" t="e">
        <f>+VLOOKUP(K195,TL[],4,FALSE)</f>
        <v>#N/A</v>
      </c>
    </row>
    <row r="196" spans="7:12" x14ac:dyDescent="0.2">
      <c r="G196" s="220">
        <f t="shared" si="12"/>
        <v>0</v>
      </c>
      <c r="H196" s="220">
        <f t="shared" si="13"/>
        <v>0</v>
      </c>
      <c r="I196" s="221">
        <f>IF(A196="Total",VLOOKUP(B196,CORRESPONDANCE[#All],2,FALSE),I197)</f>
        <v>0</v>
      </c>
      <c r="J196" s="222" t="str">
        <f t="shared" si="14"/>
        <v/>
      </c>
      <c r="K196" s="44" t="str">
        <f t="shared" si="15"/>
        <v xml:space="preserve">TH4 - </v>
      </c>
      <c r="L196" s="44" t="e">
        <f>+VLOOKUP(K196,TL[],4,FALSE)</f>
        <v>#N/A</v>
      </c>
    </row>
    <row r="197" spans="7:12" x14ac:dyDescent="0.2">
      <c r="G197" s="220">
        <f t="shared" si="12"/>
        <v>0</v>
      </c>
      <c r="H197" s="220">
        <f t="shared" si="13"/>
        <v>0</v>
      </c>
      <c r="I197" s="221">
        <f>IF(A197="Total",VLOOKUP(B197,CORRESPONDANCE[#All],2,FALSE),I198)</f>
        <v>0</v>
      </c>
      <c r="J197" s="222" t="str">
        <f t="shared" si="14"/>
        <v/>
      </c>
      <c r="K197" s="44" t="str">
        <f t="shared" si="15"/>
        <v xml:space="preserve">TH4 - </v>
      </c>
      <c r="L197" s="44" t="e">
        <f>+VLOOKUP(K197,TL[],4,FALSE)</f>
        <v>#N/A</v>
      </c>
    </row>
    <row r="198" spans="7:12" x14ac:dyDescent="0.2">
      <c r="G198" s="220">
        <f t="shared" si="12"/>
        <v>0</v>
      </c>
      <c r="H198" s="220">
        <f t="shared" si="13"/>
        <v>0</v>
      </c>
      <c r="I198" s="221">
        <f>IF(A198="Total",VLOOKUP(B198,CORRESPONDANCE[#All],2,FALSE),I199)</f>
        <v>0</v>
      </c>
      <c r="J198" s="222" t="str">
        <f t="shared" si="14"/>
        <v/>
      </c>
      <c r="K198" s="44" t="str">
        <f t="shared" si="15"/>
        <v xml:space="preserve">TH4 - </v>
      </c>
      <c r="L198" s="44" t="e">
        <f>+VLOOKUP(K198,TL[],4,FALSE)</f>
        <v>#N/A</v>
      </c>
    </row>
    <row r="199" spans="7:12" x14ac:dyDescent="0.2">
      <c r="G199" s="220">
        <f t="shared" si="12"/>
        <v>0</v>
      </c>
      <c r="H199" s="220">
        <f t="shared" si="13"/>
        <v>0</v>
      </c>
      <c r="I199" s="221">
        <f>IF(A199="Total",VLOOKUP(B199,CORRESPONDANCE[#All],2,FALSE),I200)</f>
        <v>0</v>
      </c>
      <c r="J199" s="222" t="str">
        <f t="shared" si="14"/>
        <v/>
      </c>
      <c r="K199" s="44" t="str">
        <f t="shared" si="15"/>
        <v xml:space="preserve">TH4 - </v>
      </c>
      <c r="L199" s="44" t="e">
        <f>+VLOOKUP(K199,TL[],4,FALSE)</f>
        <v>#N/A</v>
      </c>
    </row>
    <row r="200" spans="7:12" x14ac:dyDescent="0.2">
      <c r="G200" s="220">
        <f t="shared" si="12"/>
        <v>0</v>
      </c>
      <c r="H200" s="220">
        <f t="shared" si="13"/>
        <v>0</v>
      </c>
      <c r="I200" s="221">
        <f>IF(A200="Total",VLOOKUP(B200,CORRESPONDANCE[#All],2,FALSE),I201)</f>
        <v>0</v>
      </c>
      <c r="J200" s="222" t="str">
        <f t="shared" si="14"/>
        <v/>
      </c>
      <c r="K200" s="44" t="str">
        <f t="shared" si="15"/>
        <v xml:space="preserve">TH4 - </v>
      </c>
      <c r="L200" s="44" t="e">
        <f>+VLOOKUP(K200,TL[],4,FALSE)</f>
        <v>#N/A</v>
      </c>
    </row>
    <row r="201" spans="7:12" x14ac:dyDescent="0.2">
      <c r="G201" s="220">
        <f t="shared" si="12"/>
        <v>0</v>
      </c>
      <c r="H201" s="220">
        <f t="shared" si="13"/>
        <v>0</v>
      </c>
      <c r="I201" s="221">
        <f>IF(A201="Total",VLOOKUP(B201,CORRESPONDANCE[#All],2,FALSE),I202)</f>
        <v>0</v>
      </c>
      <c r="J201" s="222" t="str">
        <f t="shared" si="14"/>
        <v/>
      </c>
      <c r="K201" s="44" t="str">
        <f t="shared" si="15"/>
        <v xml:space="preserve">TH4 - </v>
      </c>
      <c r="L201" s="44" t="e">
        <f>+VLOOKUP(K201,TL[],4,FALSE)</f>
        <v>#N/A</v>
      </c>
    </row>
    <row r="202" spans="7:12" x14ac:dyDescent="0.2">
      <c r="G202" s="220">
        <f t="shared" si="12"/>
        <v>0</v>
      </c>
      <c r="H202" s="220">
        <f t="shared" si="13"/>
        <v>0</v>
      </c>
      <c r="I202" s="221">
        <f>IF(A202="Total",VLOOKUP(B202,CORRESPONDANCE[#All],2,FALSE),I203)</f>
        <v>0</v>
      </c>
      <c r="J202" s="222" t="str">
        <f t="shared" si="14"/>
        <v/>
      </c>
      <c r="K202" s="44" t="str">
        <f t="shared" si="15"/>
        <v xml:space="preserve">TH4 - </v>
      </c>
      <c r="L202" s="44" t="e">
        <f>+VLOOKUP(K202,TL[],4,FALSE)</f>
        <v>#N/A</v>
      </c>
    </row>
    <row r="203" spans="7:12" x14ac:dyDescent="0.2">
      <c r="G203" s="220">
        <f t="shared" si="12"/>
        <v>0</v>
      </c>
      <c r="H203" s="220">
        <f t="shared" si="13"/>
        <v>0</v>
      </c>
      <c r="I203" s="221">
        <f>IF(A203="Total",VLOOKUP(B203,CORRESPONDANCE[#All],2,FALSE),I204)</f>
        <v>0</v>
      </c>
      <c r="J203" s="222" t="str">
        <f t="shared" si="14"/>
        <v/>
      </c>
      <c r="K203" s="44" t="str">
        <f t="shared" si="15"/>
        <v xml:space="preserve">TH4 - </v>
      </c>
      <c r="L203" s="44" t="e">
        <f>+VLOOKUP(K203,TL[],4,FALSE)</f>
        <v>#N/A</v>
      </c>
    </row>
    <row r="204" spans="7:12" x14ac:dyDescent="0.2">
      <c r="G204" s="220">
        <f t="shared" si="12"/>
        <v>0</v>
      </c>
      <c r="H204" s="220">
        <f t="shared" si="13"/>
        <v>0</v>
      </c>
      <c r="I204" s="221">
        <f>IF(A204="Total",VLOOKUP(B204,CORRESPONDANCE[#All],2,FALSE),I205)</f>
        <v>0</v>
      </c>
      <c r="J204" s="222" t="str">
        <f t="shared" si="14"/>
        <v/>
      </c>
      <c r="K204" s="44" t="str">
        <f t="shared" si="15"/>
        <v xml:space="preserve">TH4 - </v>
      </c>
      <c r="L204" s="44" t="e">
        <f>+VLOOKUP(K204,TL[],4,FALSE)</f>
        <v>#N/A</v>
      </c>
    </row>
    <row r="205" spans="7:12" x14ac:dyDescent="0.2">
      <c r="G205" s="220">
        <f t="shared" si="12"/>
        <v>0</v>
      </c>
      <c r="H205" s="220">
        <f t="shared" si="13"/>
        <v>0</v>
      </c>
      <c r="I205" s="221">
        <f>IF(A205="Total",VLOOKUP(B205,CORRESPONDANCE[#All],2,FALSE),I206)</f>
        <v>0</v>
      </c>
      <c r="J205" s="222" t="str">
        <f t="shared" si="14"/>
        <v/>
      </c>
      <c r="K205" s="44" t="str">
        <f t="shared" si="15"/>
        <v xml:space="preserve">TH4 - </v>
      </c>
      <c r="L205" s="44" t="e">
        <f>+VLOOKUP(K205,TL[],4,FALSE)</f>
        <v>#N/A</v>
      </c>
    </row>
    <row r="206" spans="7:12" x14ac:dyDescent="0.2">
      <c r="G206" s="220">
        <f t="shared" si="12"/>
        <v>0</v>
      </c>
      <c r="H206" s="220">
        <f t="shared" si="13"/>
        <v>0</v>
      </c>
      <c r="I206" s="221">
        <f>IF(A206="Total",VLOOKUP(B206,CORRESPONDANCE[#All],2,FALSE),I207)</f>
        <v>0</v>
      </c>
      <c r="J206" s="222" t="str">
        <f t="shared" si="14"/>
        <v/>
      </c>
      <c r="K206" s="44" t="str">
        <f t="shared" si="15"/>
        <v xml:space="preserve">TH4 - </v>
      </c>
      <c r="L206" s="44" t="e">
        <f>+VLOOKUP(K206,TL[],4,FALSE)</f>
        <v>#N/A</v>
      </c>
    </row>
    <row r="207" spans="7:12" x14ac:dyDescent="0.2">
      <c r="G207" s="220">
        <f t="shared" si="12"/>
        <v>0</v>
      </c>
      <c r="H207" s="220">
        <f t="shared" si="13"/>
        <v>0</v>
      </c>
      <c r="I207" s="221">
        <f>IF(A207="Total",VLOOKUP(B207,CORRESPONDANCE[#All],2,FALSE),I208)</f>
        <v>0</v>
      </c>
      <c r="J207" s="222" t="str">
        <f t="shared" si="14"/>
        <v/>
      </c>
      <c r="K207" s="44" t="str">
        <f t="shared" si="15"/>
        <v xml:space="preserve">TH4 - </v>
      </c>
      <c r="L207" s="44" t="e">
        <f>+VLOOKUP(K207,TL[],4,FALSE)</f>
        <v>#N/A</v>
      </c>
    </row>
    <row r="208" spans="7:12" x14ac:dyDescent="0.2">
      <c r="G208" s="220">
        <f t="shared" si="12"/>
        <v>0</v>
      </c>
      <c r="H208" s="220">
        <f t="shared" si="13"/>
        <v>0</v>
      </c>
      <c r="I208" s="221">
        <f>IF(A208="Total",VLOOKUP(B208,CORRESPONDANCE[#All],2,FALSE),I209)</f>
        <v>0</v>
      </c>
      <c r="J208" s="222" t="str">
        <f t="shared" si="14"/>
        <v/>
      </c>
      <c r="K208" s="44" t="str">
        <f t="shared" si="15"/>
        <v xml:space="preserve">TH4 - </v>
      </c>
      <c r="L208" s="44" t="e">
        <f>+VLOOKUP(K208,TL[],4,FALSE)</f>
        <v>#N/A</v>
      </c>
    </row>
    <row r="209" spans="7:12" x14ac:dyDescent="0.2">
      <c r="G209" s="220">
        <f t="shared" si="12"/>
        <v>0</v>
      </c>
      <c r="H209" s="220">
        <f t="shared" si="13"/>
        <v>0</v>
      </c>
      <c r="I209" s="221">
        <f>IF(A209="Total",VLOOKUP(B209,CORRESPONDANCE[#All],2,FALSE),I210)</f>
        <v>0</v>
      </c>
      <c r="J209" s="222" t="str">
        <f t="shared" si="14"/>
        <v/>
      </c>
      <c r="K209" s="44" t="str">
        <f t="shared" si="15"/>
        <v xml:space="preserve">TH4 - </v>
      </c>
      <c r="L209" s="44" t="e">
        <f>+VLOOKUP(K209,TL[],4,FALSE)</f>
        <v>#N/A</v>
      </c>
    </row>
    <row r="210" spans="7:12" x14ac:dyDescent="0.2">
      <c r="G210" s="220">
        <f t="shared" si="12"/>
        <v>0</v>
      </c>
      <c r="H210" s="220">
        <f t="shared" si="13"/>
        <v>0</v>
      </c>
      <c r="I210" s="221">
        <f>IF(A210="Total",VLOOKUP(B210,CORRESPONDANCE[#All],2,FALSE),I211)</f>
        <v>0</v>
      </c>
      <c r="J210" s="222" t="str">
        <f t="shared" si="14"/>
        <v/>
      </c>
      <c r="K210" s="44" t="str">
        <f t="shared" si="15"/>
        <v xml:space="preserve">TH4 - </v>
      </c>
      <c r="L210" s="44" t="e">
        <f>+VLOOKUP(K210,TL[],4,FALSE)</f>
        <v>#N/A</v>
      </c>
    </row>
    <row r="211" spans="7:12" x14ac:dyDescent="0.2">
      <c r="G211" s="220">
        <f t="shared" si="12"/>
        <v>0</v>
      </c>
      <c r="H211" s="220">
        <f t="shared" si="13"/>
        <v>0</v>
      </c>
      <c r="I211" s="221">
        <f>IF(A211="Total",VLOOKUP(B211,CORRESPONDANCE[#All],2,FALSE),I212)</f>
        <v>0</v>
      </c>
      <c r="J211" s="222" t="str">
        <f t="shared" si="14"/>
        <v/>
      </c>
      <c r="K211" s="44" t="str">
        <f t="shared" si="15"/>
        <v xml:space="preserve">TH4 - </v>
      </c>
      <c r="L211" s="44" t="e">
        <f>+VLOOKUP(K211,TL[],4,FALSE)</f>
        <v>#N/A</v>
      </c>
    </row>
    <row r="212" spans="7:12" x14ac:dyDescent="0.2">
      <c r="G212" s="220">
        <f t="shared" si="12"/>
        <v>0</v>
      </c>
      <c r="H212" s="220">
        <f t="shared" si="13"/>
        <v>0</v>
      </c>
      <c r="I212" s="221">
        <f>IF(A212="Total",VLOOKUP(B212,CORRESPONDANCE[#All],2,FALSE),I213)</f>
        <v>0</v>
      </c>
      <c r="J212" s="222" t="str">
        <f t="shared" si="14"/>
        <v/>
      </c>
      <c r="K212" s="44" t="str">
        <f t="shared" si="15"/>
        <v xml:space="preserve">TH4 - </v>
      </c>
      <c r="L212" s="44" t="e">
        <f>+VLOOKUP(K212,TL[],4,FALSE)</f>
        <v>#N/A</v>
      </c>
    </row>
    <row r="213" spans="7:12" x14ac:dyDescent="0.2">
      <c r="G213" s="220">
        <f t="shared" si="12"/>
        <v>0</v>
      </c>
      <c r="H213" s="220">
        <f t="shared" si="13"/>
        <v>0</v>
      </c>
      <c r="I213" s="221">
        <f>IF(A213="Total",VLOOKUP(B213,CORRESPONDANCE[#All],2,FALSE),I214)</f>
        <v>0</v>
      </c>
      <c r="J213" s="222" t="str">
        <f t="shared" si="14"/>
        <v/>
      </c>
      <c r="K213" s="44" t="str">
        <f t="shared" si="15"/>
        <v xml:space="preserve">TH4 - </v>
      </c>
      <c r="L213" s="44" t="e">
        <f>+VLOOKUP(K213,TL[],4,FALSE)</f>
        <v>#N/A</v>
      </c>
    </row>
    <row r="214" spans="7:12" x14ac:dyDescent="0.2">
      <c r="G214" s="220">
        <f t="shared" si="12"/>
        <v>0</v>
      </c>
      <c r="H214" s="220">
        <f t="shared" si="13"/>
        <v>0</v>
      </c>
      <c r="I214" s="221">
        <f>IF(A214="Total",VLOOKUP(B214,CORRESPONDANCE[#All],2,FALSE),I215)</f>
        <v>0</v>
      </c>
      <c r="J214" s="222" t="str">
        <f t="shared" si="14"/>
        <v/>
      </c>
      <c r="K214" s="44" t="str">
        <f t="shared" si="15"/>
        <v xml:space="preserve">TH4 - </v>
      </c>
      <c r="L214" s="44" t="e">
        <f>+VLOOKUP(K214,TL[],4,FALSE)</f>
        <v>#N/A</v>
      </c>
    </row>
    <row r="215" spans="7:12" x14ac:dyDescent="0.2">
      <c r="G215" s="220">
        <f t="shared" si="12"/>
        <v>0</v>
      </c>
      <c r="H215" s="220">
        <f t="shared" si="13"/>
        <v>0</v>
      </c>
      <c r="I215" s="221">
        <f>IF(A215="Total",VLOOKUP(B215,CORRESPONDANCE[#All],2,FALSE),I216)</f>
        <v>0</v>
      </c>
      <c r="J215" s="222" t="str">
        <f t="shared" si="14"/>
        <v/>
      </c>
      <c r="K215" s="44" t="str">
        <f t="shared" si="15"/>
        <v xml:space="preserve">TH4 - </v>
      </c>
      <c r="L215" s="44" t="e">
        <f>+VLOOKUP(K215,TL[],4,FALSE)</f>
        <v>#N/A</v>
      </c>
    </row>
    <row r="216" spans="7:12" x14ac:dyDescent="0.2">
      <c r="G216" s="220">
        <f t="shared" si="12"/>
        <v>0</v>
      </c>
      <c r="H216" s="220">
        <f t="shared" si="13"/>
        <v>0</v>
      </c>
      <c r="I216" s="221">
        <f>IF(A216="Total",VLOOKUP(B216,CORRESPONDANCE[#All],2,FALSE),I217)</f>
        <v>0</v>
      </c>
      <c r="J216" s="222" t="str">
        <f t="shared" si="14"/>
        <v/>
      </c>
      <c r="K216" s="44" t="str">
        <f t="shared" si="15"/>
        <v xml:space="preserve">TH4 - </v>
      </c>
      <c r="L216" s="44" t="e">
        <f>+VLOOKUP(K216,TL[],4,FALSE)</f>
        <v>#N/A</v>
      </c>
    </row>
    <row r="217" spans="7:12" x14ac:dyDescent="0.2">
      <c r="G217" s="220">
        <f t="shared" si="12"/>
        <v>0</v>
      </c>
      <c r="H217" s="220">
        <f t="shared" si="13"/>
        <v>0</v>
      </c>
      <c r="I217" s="221">
        <f>IF(A217="Total",VLOOKUP(B217,CORRESPONDANCE[#All],2,FALSE),I218)</f>
        <v>0</v>
      </c>
      <c r="J217" s="222" t="str">
        <f t="shared" si="14"/>
        <v/>
      </c>
      <c r="K217" s="44" t="str">
        <f t="shared" si="15"/>
        <v xml:space="preserve">TH4 - </v>
      </c>
      <c r="L217" s="44" t="e">
        <f>+VLOOKUP(K217,TL[],4,FALSE)</f>
        <v>#N/A</v>
      </c>
    </row>
    <row r="218" spans="7:12" x14ac:dyDescent="0.2">
      <c r="G218" s="220">
        <f t="shared" si="12"/>
        <v>0</v>
      </c>
      <c r="H218" s="220">
        <f t="shared" si="13"/>
        <v>0</v>
      </c>
      <c r="I218" s="221">
        <f>IF(A218="Total",VLOOKUP(B218,CORRESPONDANCE[#All],2,FALSE),I219)</f>
        <v>0</v>
      </c>
      <c r="J218" s="222" t="str">
        <f t="shared" si="14"/>
        <v/>
      </c>
      <c r="K218" s="44" t="str">
        <f t="shared" si="15"/>
        <v xml:space="preserve">TH4 - </v>
      </c>
      <c r="L218" s="44" t="e">
        <f>+VLOOKUP(K218,TL[],4,FALSE)</f>
        <v>#N/A</v>
      </c>
    </row>
    <row r="219" spans="7:12" x14ac:dyDescent="0.2">
      <c r="G219" s="220">
        <f t="shared" si="12"/>
        <v>0</v>
      </c>
      <c r="H219" s="220">
        <f t="shared" si="13"/>
        <v>0</v>
      </c>
      <c r="I219" s="221">
        <f>IF(A219="Total",VLOOKUP(B219,CORRESPONDANCE[#All],2,FALSE),I220)</f>
        <v>0</v>
      </c>
      <c r="J219" s="222" t="str">
        <f t="shared" si="14"/>
        <v/>
      </c>
      <c r="K219" s="44" t="str">
        <f t="shared" si="15"/>
        <v xml:space="preserve">TH4 - </v>
      </c>
      <c r="L219" s="44" t="e">
        <f>+VLOOKUP(K219,TL[],4,FALSE)</f>
        <v>#N/A</v>
      </c>
    </row>
    <row r="220" spans="7:12" x14ac:dyDescent="0.2">
      <c r="G220" s="220">
        <f t="shared" si="12"/>
        <v>0</v>
      </c>
      <c r="H220" s="220">
        <f t="shared" si="13"/>
        <v>0</v>
      </c>
      <c r="I220" s="221">
        <f>IF(A220="Total",VLOOKUP(B220,CORRESPONDANCE[#All],2,FALSE),I221)</f>
        <v>0</v>
      </c>
      <c r="J220" s="222" t="str">
        <f t="shared" si="14"/>
        <v/>
      </c>
      <c r="K220" s="44" t="str">
        <f t="shared" si="15"/>
        <v xml:space="preserve">TH4 - </v>
      </c>
      <c r="L220" s="44" t="e">
        <f>+VLOOKUP(K220,TL[],4,FALSE)</f>
        <v>#N/A</v>
      </c>
    </row>
    <row r="221" spans="7:12" x14ac:dyDescent="0.2">
      <c r="G221" s="220">
        <f t="shared" si="12"/>
        <v>0</v>
      </c>
      <c r="H221" s="220">
        <f t="shared" si="13"/>
        <v>0</v>
      </c>
      <c r="I221" s="221">
        <f>IF(A221="Total",VLOOKUP(B221,CORRESPONDANCE[#All],2,FALSE),I222)</f>
        <v>0</v>
      </c>
      <c r="J221" s="222" t="str">
        <f t="shared" si="14"/>
        <v/>
      </c>
      <c r="K221" s="44" t="str">
        <f t="shared" si="15"/>
        <v xml:space="preserve">TH4 - </v>
      </c>
      <c r="L221" s="44" t="e">
        <f>+VLOOKUP(K221,TL[],4,FALSE)</f>
        <v>#N/A</v>
      </c>
    </row>
    <row r="222" spans="7:12" x14ac:dyDescent="0.2">
      <c r="G222" s="220">
        <f t="shared" si="12"/>
        <v>0</v>
      </c>
      <c r="H222" s="220">
        <f t="shared" si="13"/>
        <v>0</v>
      </c>
      <c r="I222" s="221">
        <f>IF(A222="Total",VLOOKUP(B222,CORRESPONDANCE[#All],2,FALSE),I223)</f>
        <v>0</v>
      </c>
      <c r="J222" s="222" t="str">
        <f t="shared" si="14"/>
        <v/>
      </c>
      <c r="K222" s="44" t="str">
        <f t="shared" si="15"/>
        <v xml:space="preserve">TH4 - </v>
      </c>
      <c r="L222" s="44" t="e">
        <f>+VLOOKUP(K222,TL[],4,FALSE)</f>
        <v>#N/A</v>
      </c>
    </row>
    <row r="223" spans="7:12" x14ac:dyDescent="0.2">
      <c r="G223" s="220">
        <f t="shared" si="12"/>
        <v>0</v>
      </c>
      <c r="H223" s="220">
        <f t="shared" si="13"/>
        <v>0</v>
      </c>
      <c r="I223" s="221">
        <f>IF(A223="Total",VLOOKUP(B223,CORRESPONDANCE[#All],2,FALSE),I224)</f>
        <v>0</v>
      </c>
      <c r="J223" s="222" t="str">
        <f t="shared" si="14"/>
        <v/>
      </c>
      <c r="K223" s="44" t="str">
        <f t="shared" si="15"/>
        <v xml:space="preserve">TH4 - </v>
      </c>
      <c r="L223" s="44" t="e">
        <f>+VLOOKUP(K223,TL[],4,FALSE)</f>
        <v>#N/A</v>
      </c>
    </row>
    <row r="224" spans="7:12" x14ac:dyDescent="0.2">
      <c r="G224" s="220">
        <f t="shared" si="12"/>
        <v>0</v>
      </c>
      <c r="H224" s="220">
        <f t="shared" si="13"/>
        <v>0</v>
      </c>
      <c r="I224" s="221">
        <f>IF(A224="Total",VLOOKUP(B224,CORRESPONDANCE[#All],2,FALSE),I225)</f>
        <v>0</v>
      </c>
      <c r="J224" s="222" t="str">
        <f t="shared" si="14"/>
        <v/>
      </c>
      <c r="K224" s="44" t="str">
        <f t="shared" si="15"/>
        <v xml:space="preserve">TH4 - </v>
      </c>
      <c r="L224" s="44" t="e">
        <f>+VLOOKUP(K224,TL[],4,FALSE)</f>
        <v>#N/A</v>
      </c>
    </row>
    <row r="225" spans="7:12" x14ac:dyDescent="0.2">
      <c r="G225" s="220">
        <f t="shared" si="12"/>
        <v>0</v>
      </c>
      <c r="H225" s="220">
        <f t="shared" si="13"/>
        <v>0</v>
      </c>
      <c r="I225" s="221">
        <f>IF(A225="Total",VLOOKUP(B225,CORRESPONDANCE[#All],2,FALSE),I226)</f>
        <v>0</v>
      </c>
      <c r="J225" s="222" t="str">
        <f t="shared" si="14"/>
        <v/>
      </c>
      <c r="K225" s="44" t="str">
        <f t="shared" si="15"/>
        <v xml:space="preserve">TH4 - </v>
      </c>
      <c r="L225" s="44" t="e">
        <f>+VLOOKUP(K225,TL[],4,FALSE)</f>
        <v>#N/A</v>
      </c>
    </row>
    <row r="226" spans="7:12" x14ac:dyDescent="0.2">
      <c r="G226" s="220">
        <f t="shared" si="12"/>
        <v>0</v>
      </c>
      <c r="H226" s="220">
        <f t="shared" si="13"/>
        <v>0</v>
      </c>
      <c r="I226" s="221">
        <f>IF(A226="Total",VLOOKUP(B226,CORRESPONDANCE[#All],2,FALSE),I227)</f>
        <v>0</v>
      </c>
      <c r="J226" s="222" t="str">
        <f t="shared" si="14"/>
        <v/>
      </c>
      <c r="K226" s="44" t="str">
        <f t="shared" si="15"/>
        <v xml:space="preserve">TH4 - </v>
      </c>
      <c r="L226" s="44" t="e">
        <f>+VLOOKUP(K226,TL[],4,FALSE)</f>
        <v>#N/A</v>
      </c>
    </row>
    <row r="227" spans="7:12" x14ac:dyDescent="0.2">
      <c r="G227" s="220">
        <f t="shared" si="12"/>
        <v>0</v>
      </c>
      <c r="H227" s="220">
        <f t="shared" si="13"/>
        <v>0</v>
      </c>
      <c r="I227" s="221">
        <f>IF(A227="Total",VLOOKUP(B227,CORRESPONDANCE[#All],2,FALSE),I228)</f>
        <v>0</v>
      </c>
      <c r="J227" s="222" t="str">
        <f t="shared" si="14"/>
        <v/>
      </c>
      <c r="K227" s="44" t="str">
        <f t="shared" si="15"/>
        <v xml:space="preserve">TH4 - </v>
      </c>
      <c r="L227" s="44" t="e">
        <f>+VLOOKUP(K227,TL[],4,FALSE)</f>
        <v>#N/A</v>
      </c>
    </row>
    <row r="228" spans="7:12" x14ac:dyDescent="0.2">
      <c r="G228" s="220">
        <f t="shared" si="12"/>
        <v>0</v>
      </c>
      <c r="H228" s="220">
        <f t="shared" si="13"/>
        <v>0</v>
      </c>
      <c r="I228" s="221">
        <f>IF(A228="Total",VLOOKUP(B228,CORRESPONDANCE[#All],2,FALSE),I229)</f>
        <v>0</v>
      </c>
      <c r="J228" s="222" t="str">
        <f t="shared" si="14"/>
        <v/>
      </c>
      <c r="K228" s="44" t="str">
        <f t="shared" si="15"/>
        <v xml:space="preserve">TH4 - </v>
      </c>
      <c r="L228" s="44" t="e">
        <f>+VLOOKUP(K228,TL[],4,FALSE)</f>
        <v>#N/A</v>
      </c>
    </row>
    <row r="229" spans="7:12" x14ac:dyDescent="0.2">
      <c r="G229" s="220">
        <f t="shared" si="12"/>
        <v>0</v>
      </c>
      <c r="H229" s="220">
        <f t="shared" si="13"/>
        <v>0</v>
      </c>
      <c r="I229" s="221">
        <f>IF(A229="Total",VLOOKUP(B229,CORRESPONDANCE[#All],2,FALSE),I230)</f>
        <v>0</v>
      </c>
      <c r="J229" s="222" t="str">
        <f t="shared" si="14"/>
        <v/>
      </c>
      <c r="K229" s="44" t="str">
        <f t="shared" si="15"/>
        <v xml:space="preserve">TH4 - </v>
      </c>
      <c r="L229" s="44" t="e">
        <f>+VLOOKUP(K229,TL[],4,FALSE)</f>
        <v>#N/A</v>
      </c>
    </row>
    <row r="230" spans="7:12" x14ac:dyDescent="0.2">
      <c r="G230" s="220">
        <f t="shared" si="12"/>
        <v>0</v>
      </c>
      <c r="H230" s="220">
        <f t="shared" si="13"/>
        <v>0</v>
      </c>
      <c r="I230" s="221">
        <f>IF(A230="Total",VLOOKUP(B230,CORRESPONDANCE[#All],2,FALSE),I231)</f>
        <v>0</v>
      </c>
      <c r="J230" s="222" t="str">
        <f t="shared" si="14"/>
        <v/>
      </c>
      <c r="K230" s="44" t="str">
        <f t="shared" si="15"/>
        <v xml:space="preserve">TH4 - </v>
      </c>
      <c r="L230" s="44" t="e">
        <f>+VLOOKUP(K230,TL[],4,FALSE)</f>
        <v>#N/A</v>
      </c>
    </row>
    <row r="231" spans="7:12" x14ac:dyDescent="0.2">
      <c r="G231" s="220">
        <f t="shared" si="12"/>
        <v>0</v>
      </c>
      <c r="H231" s="220">
        <f t="shared" si="13"/>
        <v>0</v>
      </c>
      <c r="I231" s="221">
        <f>IF(A231="Total",VLOOKUP(B231,CORRESPONDANCE[#All],2,FALSE),I232)</f>
        <v>0</v>
      </c>
      <c r="J231" s="222" t="str">
        <f t="shared" si="14"/>
        <v/>
      </c>
      <c r="K231" s="44" t="str">
        <f t="shared" si="15"/>
        <v xml:space="preserve">TH4 - </v>
      </c>
      <c r="L231" s="44" t="e">
        <f>+VLOOKUP(K231,TL[],4,FALSE)</f>
        <v>#N/A</v>
      </c>
    </row>
    <row r="232" spans="7:12" x14ac:dyDescent="0.2">
      <c r="G232" s="220">
        <f t="shared" si="12"/>
        <v>0</v>
      </c>
      <c r="H232" s="220">
        <f t="shared" si="13"/>
        <v>0</v>
      </c>
      <c r="I232" s="221">
        <f>IF(A232="Total",VLOOKUP(B232,CORRESPONDANCE[#All],2,FALSE),I233)</f>
        <v>0</v>
      </c>
      <c r="J232" s="222" t="str">
        <f t="shared" si="14"/>
        <v/>
      </c>
      <c r="K232" s="44" t="str">
        <f t="shared" si="15"/>
        <v xml:space="preserve">TH4 - </v>
      </c>
      <c r="L232" s="44" t="e">
        <f>+VLOOKUP(K232,TL[],4,FALSE)</f>
        <v>#N/A</v>
      </c>
    </row>
    <row r="233" spans="7:12" x14ac:dyDescent="0.2">
      <c r="G233" s="220">
        <f t="shared" si="12"/>
        <v>0</v>
      </c>
      <c r="H233" s="220">
        <f t="shared" si="13"/>
        <v>0</v>
      </c>
      <c r="I233" s="221">
        <f>IF(A233="Total",VLOOKUP(B233,CORRESPONDANCE[#All],2,FALSE),I234)</f>
        <v>0</v>
      </c>
      <c r="J233" s="222" t="str">
        <f t="shared" si="14"/>
        <v/>
      </c>
      <c r="K233" s="44" t="str">
        <f t="shared" si="15"/>
        <v xml:space="preserve">TH4 - </v>
      </c>
      <c r="L233" s="44" t="e">
        <f>+VLOOKUP(K233,TL[],4,FALSE)</f>
        <v>#N/A</v>
      </c>
    </row>
    <row r="234" spans="7:12" x14ac:dyDescent="0.2">
      <c r="G234" s="220">
        <f t="shared" si="12"/>
        <v>0</v>
      </c>
      <c r="H234" s="220">
        <f t="shared" si="13"/>
        <v>0</v>
      </c>
      <c r="I234" s="221">
        <f>IF(A234="Total",VLOOKUP(B234,CORRESPONDANCE[#All],2,FALSE),I235)</f>
        <v>0</v>
      </c>
      <c r="J234" s="222" t="str">
        <f t="shared" si="14"/>
        <v/>
      </c>
      <c r="K234" s="44" t="str">
        <f t="shared" si="15"/>
        <v xml:space="preserve">TH4 - </v>
      </c>
      <c r="L234" s="44" t="e">
        <f>+VLOOKUP(K234,TL[],4,FALSE)</f>
        <v>#N/A</v>
      </c>
    </row>
    <row r="235" spans="7:12" x14ac:dyDescent="0.2">
      <c r="G235" s="220">
        <f t="shared" si="12"/>
        <v>0</v>
      </c>
      <c r="H235" s="220">
        <f t="shared" si="13"/>
        <v>0</v>
      </c>
      <c r="I235" s="221">
        <f>IF(A235="Total",VLOOKUP(B235,CORRESPONDANCE[#All],2,FALSE),I236)</f>
        <v>0</v>
      </c>
      <c r="J235" s="222" t="str">
        <f t="shared" si="14"/>
        <v/>
      </c>
      <c r="K235" s="44" t="str">
        <f t="shared" si="15"/>
        <v xml:space="preserve">TH4 - </v>
      </c>
      <c r="L235" s="44" t="e">
        <f>+VLOOKUP(K235,TL[],4,FALSE)</f>
        <v>#N/A</v>
      </c>
    </row>
    <row r="236" spans="7:12" x14ac:dyDescent="0.2">
      <c r="G236" s="220">
        <f t="shared" si="12"/>
        <v>0</v>
      </c>
      <c r="H236" s="220">
        <f t="shared" si="13"/>
        <v>0</v>
      </c>
      <c r="I236" s="221">
        <f>IF(A236="Total",VLOOKUP(B236,CORRESPONDANCE[#All],2,FALSE),I237)</f>
        <v>0</v>
      </c>
      <c r="J236" s="222" t="str">
        <f t="shared" si="14"/>
        <v/>
      </c>
      <c r="K236" s="44" t="str">
        <f t="shared" si="15"/>
        <v xml:space="preserve">TH4 - </v>
      </c>
      <c r="L236" s="44" t="e">
        <f>+VLOOKUP(K236,TL[],4,FALSE)</f>
        <v>#N/A</v>
      </c>
    </row>
    <row r="237" spans="7:12" x14ac:dyDescent="0.2">
      <c r="G237" s="220">
        <f t="shared" si="12"/>
        <v>0</v>
      </c>
      <c r="H237" s="220">
        <f t="shared" si="13"/>
        <v>0</v>
      </c>
      <c r="I237" s="221">
        <f>IF(A237="Total",VLOOKUP(B237,CORRESPONDANCE[#All],2,FALSE),I238)</f>
        <v>0</v>
      </c>
      <c r="J237" s="222" t="str">
        <f t="shared" si="14"/>
        <v/>
      </c>
      <c r="K237" s="44" t="str">
        <f t="shared" si="15"/>
        <v xml:space="preserve">TH4 - </v>
      </c>
      <c r="L237" s="44" t="e">
        <f>+VLOOKUP(K237,TL[],4,FALSE)</f>
        <v>#N/A</v>
      </c>
    </row>
    <row r="238" spans="7:12" x14ac:dyDescent="0.2">
      <c r="G238" s="220">
        <f t="shared" si="12"/>
        <v>0</v>
      </c>
      <c r="H238" s="220">
        <f t="shared" si="13"/>
        <v>0</v>
      </c>
      <c r="I238" s="221">
        <f>IF(A238="Total",VLOOKUP(B238,CORRESPONDANCE[#All],2,FALSE),I239)</f>
        <v>0</v>
      </c>
      <c r="J238" s="222" t="str">
        <f t="shared" si="14"/>
        <v/>
      </c>
      <c r="K238" s="44" t="str">
        <f t="shared" si="15"/>
        <v xml:space="preserve">TH4 - </v>
      </c>
      <c r="L238" s="44" t="e">
        <f>+VLOOKUP(K238,TL[],4,FALSE)</f>
        <v>#N/A</v>
      </c>
    </row>
    <row r="239" spans="7:12" x14ac:dyDescent="0.2">
      <c r="G239" s="220">
        <f t="shared" si="12"/>
        <v>0</v>
      </c>
      <c r="H239" s="220">
        <f t="shared" si="13"/>
        <v>0</v>
      </c>
      <c r="I239" s="221">
        <f>IF(A239="Total",VLOOKUP(B239,CORRESPONDANCE[#All],2,FALSE),I240)</f>
        <v>0</v>
      </c>
      <c r="J239" s="222" t="str">
        <f t="shared" si="14"/>
        <v/>
      </c>
      <c r="K239" s="44" t="str">
        <f t="shared" si="15"/>
        <v xml:space="preserve">TH4 - </v>
      </c>
      <c r="L239" s="44" t="e">
        <f>+VLOOKUP(K239,TL[],4,FALSE)</f>
        <v>#N/A</v>
      </c>
    </row>
    <row r="240" spans="7:12" x14ac:dyDescent="0.2">
      <c r="G240" s="220">
        <f t="shared" si="12"/>
        <v>0</v>
      </c>
      <c r="H240" s="220">
        <f t="shared" si="13"/>
        <v>0</v>
      </c>
      <c r="I240" s="221">
        <f>IF(A240="Total",VLOOKUP(B240,CORRESPONDANCE[#All],2,FALSE),I241)</f>
        <v>0</v>
      </c>
      <c r="J240" s="222" t="str">
        <f t="shared" si="14"/>
        <v/>
      </c>
      <c r="K240" s="44" t="str">
        <f t="shared" si="15"/>
        <v xml:space="preserve">TH4 - </v>
      </c>
      <c r="L240" s="44" t="e">
        <f>+VLOOKUP(K240,TL[],4,FALSE)</f>
        <v>#N/A</v>
      </c>
    </row>
    <row r="241" spans="7:12" x14ac:dyDescent="0.2">
      <c r="G241" s="220">
        <f t="shared" si="12"/>
        <v>0</v>
      </c>
      <c r="H241" s="220">
        <f t="shared" si="13"/>
        <v>0</v>
      </c>
      <c r="I241" s="221">
        <f>IF(A241="Total",VLOOKUP(B241,CORRESPONDANCE[#All],2,FALSE),I242)</f>
        <v>0</v>
      </c>
      <c r="J241" s="222" t="str">
        <f t="shared" si="14"/>
        <v/>
      </c>
      <c r="K241" s="44" t="str">
        <f t="shared" si="15"/>
        <v xml:space="preserve">TH4 - </v>
      </c>
      <c r="L241" s="44" t="e">
        <f>+VLOOKUP(K241,TL[],4,FALSE)</f>
        <v>#N/A</v>
      </c>
    </row>
    <row r="242" spans="7:12" x14ac:dyDescent="0.2">
      <c r="G242" s="220">
        <f t="shared" si="12"/>
        <v>0</v>
      </c>
      <c r="H242" s="220">
        <f t="shared" si="13"/>
        <v>0</v>
      </c>
      <c r="I242" s="221">
        <f>IF(A242="Total",VLOOKUP(B242,CORRESPONDANCE[#All],2,FALSE),I243)</f>
        <v>0</v>
      </c>
      <c r="J242" s="222" t="str">
        <f t="shared" si="14"/>
        <v/>
      </c>
      <c r="K242" s="44" t="str">
        <f t="shared" si="15"/>
        <v xml:space="preserve">TH4 - </v>
      </c>
      <c r="L242" s="44" t="e">
        <f>+VLOOKUP(K242,TL[],4,FALSE)</f>
        <v>#N/A</v>
      </c>
    </row>
    <row r="243" spans="7:12" x14ac:dyDescent="0.2">
      <c r="G243" s="220">
        <f t="shared" si="12"/>
        <v>0</v>
      </c>
      <c r="H243" s="220">
        <f t="shared" si="13"/>
        <v>0</v>
      </c>
      <c r="I243" s="221">
        <f>IF(A243="Total",VLOOKUP(B243,CORRESPONDANCE[#All],2,FALSE),I244)</f>
        <v>0</v>
      </c>
      <c r="J243" s="222" t="str">
        <f t="shared" si="14"/>
        <v/>
      </c>
      <c r="K243" s="44" t="str">
        <f t="shared" si="15"/>
        <v xml:space="preserve">TH4 - </v>
      </c>
      <c r="L243" s="44" t="e">
        <f>+VLOOKUP(K243,TL[],4,FALSE)</f>
        <v>#N/A</v>
      </c>
    </row>
    <row r="244" spans="7:12" x14ac:dyDescent="0.2">
      <c r="G244" s="220">
        <f t="shared" si="12"/>
        <v>0</v>
      </c>
      <c r="H244" s="220">
        <f t="shared" si="13"/>
        <v>0</v>
      </c>
      <c r="I244" s="221">
        <f>IF(A244="Total",VLOOKUP(B244,CORRESPONDANCE[#All],2,FALSE),I245)</f>
        <v>0</v>
      </c>
      <c r="J244" s="222" t="str">
        <f t="shared" si="14"/>
        <v/>
      </c>
      <c r="K244" s="44" t="str">
        <f t="shared" si="15"/>
        <v xml:space="preserve">TH4 - </v>
      </c>
      <c r="L244" s="44" t="e">
        <f>+VLOOKUP(K244,TL[],4,FALSE)</f>
        <v>#N/A</v>
      </c>
    </row>
    <row r="245" spans="7:12" x14ac:dyDescent="0.2">
      <c r="G245" s="220">
        <f t="shared" si="12"/>
        <v>0</v>
      </c>
      <c r="H245" s="220">
        <f t="shared" si="13"/>
        <v>0</v>
      </c>
      <c r="I245" s="221">
        <f>IF(A245="Total",VLOOKUP(B245,CORRESPONDANCE[#All],2,FALSE),I246)</f>
        <v>0</v>
      </c>
      <c r="J245" s="222" t="str">
        <f t="shared" si="14"/>
        <v/>
      </c>
      <c r="K245" s="44" t="str">
        <f t="shared" si="15"/>
        <v xml:space="preserve">TH4 - </v>
      </c>
      <c r="L245" s="44" t="e">
        <f>+VLOOKUP(K245,TL[],4,FALSE)</f>
        <v>#N/A</v>
      </c>
    </row>
    <row r="246" spans="7:12" x14ac:dyDescent="0.2">
      <c r="G246" s="220">
        <f t="shared" si="12"/>
        <v>0</v>
      </c>
      <c r="H246" s="220">
        <f t="shared" si="13"/>
        <v>0</v>
      </c>
      <c r="I246" s="221">
        <f>IF(A246="Total",VLOOKUP(B246,CORRESPONDANCE[#All],2,FALSE),I247)</f>
        <v>0</v>
      </c>
      <c r="J246" s="222" t="str">
        <f t="shared" si="14"/>
        <v/>
      </c>
      <c r="K246" s="44" t="str">
        <f t="shared" si="15"/>
        <v xml:space="preserve">TH4 - </v>
      </c>
      <c r="L246" s="44" t="e">
        <f>+VLOOKUP(K246,TL[],4,FALSE)</f>
        <v>#N/A</v>
      </c>
    </row>
    <row r="247" spans="7:12" x14ac:dyDescent="0.2">
      <c r="G247" s="220">
        <f t="shared" si="12"/>
        <v>0</v>
      </c>
      <c r="H247" s="220">
        <f t="shared" si="13"/>
        <v>0</v>
      </c>
      <c r="I247" s="221">
        <f>IF(A247="Total",VLOOKUP(B247,CORRESPONDANCE[#All],2,FALSE),I248)</f>
        <v>0</v>
      </c>
      <c r="J247" s="222" t="str">
        <f t="shared" si="14"/>
        <v/>
      </c>
      <c r="K247" s="44" t="str">
        <f t="shared" si="15"/>
        <v xml:space="preserve">TH4 - </v>
      </c>
      <c r="L247" s="44" t="e">
        <f>+VLOOKUP(K247,TL[],4,FALSE)</f>
        <v>#N/A</v>
      </c>
    </row>
    <row r="248" spans="7:12" x14ac:dyDescent="0.2">
      <c r="G248" s="220">
        <f t="shared" si="12"/>
        <v>0</v>
      </c>
      <c r="H248" s="220">
        <f t="shared" si="13"/>
        <v>0</v>
      </c>
      <c r="I248" s="221">
        <f>IF(A248="Total",VLOOKUP(B248,CORRESPONDANCE[#All],2,FALSE),I249)</f>
        <v>0</v>
      </c>
      <c r="J248" s="222" t="str">
        <f t="shared" si="14"/>
        <v/>
      </c>
      <c r="K248" s="44" t="str">
        <f t="shared" si="15"/>
        <v xml:space="preserve">TH4 - </v>
      </c>
      <c r="L248" s="44" t="e">
        <f>+VLOOKUP(K248,TL[],4,FALSE)</f>
        <v>#N/A</v>
      </c>
    </row>
    <row r="249" spans="7:12" x14ac:dyDescent="0.2">
      <c r="G249" s="220">
        <f t="shared" si="12"/>
        <v>0</v>
      </c>
      <c r="H249" s="220">
        <f t="shared" si="13"/>
        <v>0</v>
      </c>
      <c r="I249" s="221">
        <f>IF(A249="Total",VLOOKUP(B249,CORRESPONDANCE[#All],2,FALSE),I250)</f>
        <v>0</v>
      </c>
      <c r="J249" s="222" t="str">
        <f t="shared" si="14"/>
        <v/>
      </c>
      <c r="K249" s="44" t="str">
        <f t="shared" si="15"/>
        <v xml:space="preserve">TH4 - </v>
      </c>
      <c r="L249" s="44" t="e">
        <f>+VLOOKUP(K249,TL[],4,FALSE)</f>
        <v>#N/A</v>
      </c>
    </row>
    <row r="250" spans="7:12" x14ac:dyDescent="0.2">
      <c r="G250" s="220">
        <f t="shared" si="12"/>
        <v>0</v>
      </c>
      <c r="H250" s="220">
        <f t="shared" si="13"/>
        <v>0</v>
      </c>
      <c r="I250" s="221">
        <f>IF(A250="Total",VLOOKUP(B250,CORRESPONDANCE[#All],2,FALSE),I251)</f>
        <v>0</v>
      </c>
      <c r="J250" s="222" t="str">
        <f t="shared" si="14"/>
        <v/>
      </c>
      <c r="K250" s="44" t="str">
        <f t="shared" si="15"/>
        <v xml:space="preserve">TH4 - </v>
      </c>
      <c r="L250" s="44" t="e">
        <f>+VLOOKUP(K250,TL[],4,FALSE)</f>
        <v>#N/A</v>
      </c>
    </row>
    <row r="251" spans="7:12" x14ac:dyDescent="0.2">
      <c r="G251" s="220">
        <f t="shared" si="12"/>
        <v>0</v>
      </c>
      <c r="H251" s="220">
        <f t="shared" si="13"/>
        <v>0</v>
      </c>
      <c r="I251" s="221">
        <f>IF(A251="Total",VLOOKUP(B251,CORRESPONDANCE[#All],2,FALSE),I252)</f>
        <v>0</v>
      </c>
      <c r="J251" s="222" t="str">
        <f t="shared" si="14"/>
        <v/>
      </c>
      <c r="K251" s="44" t="str">
        <f t="shared" si="15"/>
        <v xml:space="preserve">TH4 - </v>
      </c>
      <c r="L251" s="44" t="e">
        <f>+VLOOKUP(K251,TL[],4,FALSE)</f>
        <v>#N/A</v>
      </c>
    </row>
    <row r="252" spans="7:12" x14ac:dyDescent="0.2">
      <c r="G252" s="220">
        <f t="shared" si="12"/>
        <v>0</v>
      </c>
      <c r="H252" s="220">
        <f t="shared" si="13"/>
        <v>0</v>
      </c>
      <c r="I252" s="221">
        <f>IF(A252="Total",VLOOKUP(B252,CORRESPONDANCE[#All],2,FALSE),I253)</f>
        <v>0</v>
      </c>
      <c r="J252" s="222" t="str">
        <f t="shared" si="14"/>
        <v/>
      </c>
      <c r="K252" s="44" t="str">
        <f t="shared" si="15"/>
        <v xml:space="preserve">TH4 - </v>
      </c>
      <c r="L252" s="44" t="e">
        <f>+VLOOKUP(K252,TL[],4,FALSE)</f>
        <v>#N/A</v>
      </c>
    </row>
    <row r="253" spans="7:12" x14ac:dyDescent="0.2">
      <c r="G253" s="220">
        <f t="shared" si="12"/>
        <v>0</v>
      </c>
      <c r="H253" s="220">
        <f t="shared" si="13"/>
        <v>0</v>
      </c>
      <c r="I253" s="221">
        <f>IF(A253="Total",VLOOKUP(B253,CORRESPONDANCE[#All],2,FALSE),I254)</f>
        <v>0</v>
      </c>
      <c r="J253" s="222" t="str">
        <f t="shared" si="14"/>
        <v/>
      </c>
      <c r="K253" s="44" t="str">
        <f t="shared" si="15"/>
        <v xml:space="preserve">TH4 - </v>
      </c>
      <c r="L253" s="44" t="e">
        <f>+VLOOKUP(K253,TL[],4,FALSE)</f>
        <v>#N/A</v>
      </c>
    </row>
    <row r="254" spans="7:12" x14ac:dyDescent="0.2">
      <c r="G254" s="220">
        <f t="shared" si="12"/>
        <v>0</v>
      </c>
      <c r="H254" s="220">
        <f t="shared" si="13"/>
        <v>0</v>
      </c>
      <c r="I254" s="221">
        <f>IF(A254="Total",VLOOKUP(B254,CORRESPONDANCE[#All],2,FALSE),I255)</f>
        <v>0</v>
      </c>
      <c r="J254" s="222" t="str">
        <f t="shared" si="14"/>
        <v/>
      </c>
      <c r="K254" s="44" t="str">
        <f t="shared" si="15"/>
        <v xml:space="preserve">TH4 - </v>
      </c>
      <c r="L254" s="44" t="e">
        <f>+VLOOKUP(K254,TL[],4,FALSE)</f>
        <v>#N/A</v>
      </c>
    </row>
    <row r="255" spans="7:12" x14ac:dyDescent="0.2">
      <c r="G255" s="220">
        <f t="shared" si="12"/>
        <v>0</v>
      </c>
      <c r="H255" s="220">
        <f t="shared" si="13"/>
        <v>0</v>
      </c>
      <c r="I255" s="221">
        <f>IF(A255="Total",VLOOKUP(B255,CORRESPONDANCE[#All],2,FALSE),I256)</f>
        <v>0</v>
      </c>
      <c r="J255" s="222" t="str">
        <f t="shared" si="14"/>
        <v/>
      </c>
      <c r="K255" s="44" t="str">
        <f t="shared" si="15"/>
        <v xml:space="preserve">TH4 - </v>
      </c>
      <c r="L255" s="44" t="e">
        <f>+VLOOKUP(K255,TL[],4,FALSE)</f>
        <v>#N/A</v>
      </c>
    </row>
    <row r="256" spans="7:12" x14ac:dyDescent="0.2">
      <c r="G256" s="220">
        <f t="shared" si="12"/>
        <v>0</v>
      </c>
      <c r="H256" s="220">
        <f t="shared" si="13"/>
        <v>0</v>
      </c>
      <c r="I256" s="221">
        <f>IF(A256="Total",VLOOKUP(B256,CORRESPONDANCE[#All],2,FALSE),I257)</f>
        <v>0</v>
      </c>
      <c r="J256" s="222" t="str">
        <f t="shared" si="14"/>
        <v/>
      </c>
      <c r="K256" s="44" t="str">
        <f t="shared" si="15"/>
        <v xml:space="preserve">TH4 - </v>
      </c>
      <c r="L256" s="44" t="e">
        <f>+VLOOKUP(K256,TL[],4,FALSE)</f>
        <v>#N/A</v>
      </c>
    </row>
    <row r="257" spans="7:12" x14ac:dyDescent="0.2">
      <c r="G257" s="220">
        <f t="shared" si="12"/>
        <v>0</v>
      </c>
      <c r="H257" s="220">
        <f t="shared" si="13"/>
        <v>0</v>
      </c>
      <c r="I257" s="221">
        <f>IF(A257="Total",VLOOKUP(B257,CORRESPONDANCE[#All],2,FALSE),I258)</f>
        <v>0</v>
      </c>
      <c r="J257" s="222" t="str">
        <f t="shared" si="14"/>
        <v/>
      </c>
      <c r="K257" s="44" t="str">
        <f t="shared" si="15"/>
        <v xml:space="preserve">TH4 - </v>
      </c>
      <c r="L257" s="44" t="e">
        <f>+VLOOKUP(K257,TL[],4,FALSE)</f>
        <v>#N/A</v>
      </c>
    </row>
    <row r="258" spans="7:12" x14ac:dyDescent="0.2">
      <c r="G258" s="220">
        <f t="shared" ref="G258:G290" si="16">SUM(C258)-SUM(D258)</f>
        <v>0</v>
      </c>
      <c r="H258" s="220">
        <f t="shared" ref="H258:H290" si="17">SUM(E258)-SUM(F258)</f>
        <v>0</v>
      </c>
      <c r="I258" s="221">
        <f>IF(A258="Total",VLOOKUP(B258,CORRESPONDANCE[#All],2,FALSE),I259)</f>
        <v>0</v>
      </c>
      <c r="J258" s="222" t="str">
        <f t="shared" ref="J258:J290" si="18">LEFT(A258,1)</f>
        <v/>
      </c>
      <c r="K258" s="44" t="str">
        <f t="shared" ref="K258:K290" si="19">"TH4"&amp;" - "&amp;A258</f>
        <v xml:space="preserve">TH4 - </v>
      </c>
      <c r="L258" s="44" t="e">
        <f>+VLOOKUP(K258,TL[],4,FALSE)</f>
        <v>#N/A</v>
      </c>
    </row>
    <row r="259" spans="7:12" x14ac:dyDescent="0.2">
      <c r="G259" s="220">
        <f t="shared" si="16"/>
        <v>0</v>
      </c>
      <c r="H259" s="220">
        <f t="shared" si="17"/>
        <v>0</v>
      </c>
      <c r="I259" s="221">
        <f>IF(A259="Total",VLOOKUP(B259,CORRESPONDANCE[#All],2,FALSE),I260)</f>
        <v>0</v>
      </c>
      <c r="J259" s="222" t="str">
        <f t="shared" si="18"/>
        <v/>
      </c>
      <c r="K259" s="44" t="str">
        <f t="shared" si="19"/>
        <v xml:space="preserve">TH4 - </v>
      </c>
      <c r="L259" s="44" t="e">
        <f>+VLOOKUP(K259,TL[],4,FALSE)</f>
        <v>#N/A</v>
      </c>
    </row>
    <row r="260" spans="7:12" x14ac:dyDescent="0.2">
      <c r="G260" s="220">
        <f t="shared" si="16"/>
        <v>0</v>
      </c>
      <c r="H260" s="220">
        <f t="shared" si="17"/>
        <v>0</v>
      </c>
      <c r="I260" s="221">
        <f>IF(A260="Total",VLOOKUP(B260,CORRESPONDANCE[#All],2,FALSE),I261)</f>
        <v>0</v>
      </c>
      <c r="J260" s="222" t="str">
        <f t="shared" si="18"/>
        <v/>
      </c>
      <c r="K260" s="44" t="str">
        <f t="shared" si="19"/>
        <v xml:space="preserve">TH4 - </v>
      </c>
      <c r="L260" s="44" t="e">
        <f>+VLOOKUP(K260,TL[],4,FALSE)</f>
        <v>#N/A</v>
      </c>
    </row>
    <row r="261" spans="7:12" x14ac:dyDescent="0.2">
      <c r="G261" s="220">
        <f t="shared" si="16"/>
        <v>0</v>
      </c>
      <c r="H261" s="220">
        <f t="shared" si="17"/>
        <v>0</v>
      </c>
      <c r="I261" s="221">
        <f>IF(A261="Total",VLOOKUP(B261,CORRESPONDANCE[#All],2,FALSE),I262)</f>
        <v>0</v>
      </c>
      <c r="J261" s="222" t="str">
        <f t="shared" si="18"/>
        <v/>
      </c>
      <c r="K261" s="44" t="str">
        <f t="shared" si="19"/>
        <v xml:space="preserve">TH4 - </v>
      </c>
      <c r="L261" s="44" t="e">
        <f>+VLOOKUP(K261,TL[],4,FALSE)</f>
        <v>#N/A</v>
      </c>
    </row>
    <row r="262" spans="7:12" x14ac:dyDescent="0.2">
      <c r="G262" s="220">
        <f t="shared" si="16"/>
        <v>0</v>
      </c>
      <c r="H262" s="220">
        <f t="shared" si="17"/>
        <v>0</v>
      </c>
      <c r="I262" s="221">
        <f>IF(A262="Total",VLOOKUP(B262,CORRESPONDANCE[#All],2,FALSE),I263)</f>
        <v>0</v>
      </c>
      <c r="J262" s="222" t="str">
        <f t="shared" si="18"/>
        <v/>
      </c>
      <c r="K262" s="44" t="str">
        <f t="shared" si="19"/>
        <v xml:space="preserve">TH4 - </v>
      </c>
      <c r="L262" s="44" t="e">
        <f>+VLOOKUP(K262,TL[],4,FALSE)</f>
        <v>#N/A</v>
      </c>
    </row>
    <row r="263" spans="7:12" x14ac:dyDescent="0.2">
      <c r="G263" s="220">
        <f t="shared" si="16"/>
        <v>0</v>
      </c>
      <c r="H263" s="220">
        <f t="shared" si="17"/>
        <v>0</v>
      </c>
      <c r="I263" s="221">
        <f>IF(A263="Total",VLOOKUP(B263,CORRESPONDANCE[#All],2,FALSE),I264)</f>
        <v>0</v>
      </c>
      <c r="J263" s="222" t="str">
        <f t="shared" si="18"/>
        <v/>
      </c>
      <c r="K263" s="44" t="str">
        <f t="shared" si="19"/>
        <v xml:space="preserve">TH4 - </v>
      </c>
      <c r="L263" s="44" t="e">
        <f>+VLOOKUP(K263,TL[],4,FALSE)</f>
        <v>#N/A</v>
      </c>
    </row>
    <row r="264" spans="7:12" x14ac:dyDescent="0.2">
      <c r="G264" s="220">
        <f t="shared" si="16"/>
        <v>0</v>
      </c>
      <c r="H264" s="220">
        <f t="shared" si="17"/>
        <v>0</v>
      </c>
      <c r="I264" s="221">
        <f>IF(A264="Total",VLOOKUP(B264,CORRESPONDANCE[#All],2,FALSE),I265)</f>
        <v>0</v>
      </c>
      <c r="J264" s="222" t="str">
        <f t="shared" si="18"/>
        <v/>
      </c>
      <c r="K264" s="44" t="str">
        <f t="shared" si="19"/>
        <v xml:space="preserve">TH4 - </v>
      </c>
      <c r="L264" s="44" t="e">
        <f>+VLOOKUP(K264,TL[],4,FALSE)</f>
        <v>#N/A</v>
      </c>
    </row>
    <row r="265" spans="7:12" x14ac:dyDescent="0.2">
      <c r="G265" s="220">
        <f t="shared" si="16"/>
        <v>0</v>
      </c>
      <c r="H265" s="220">
        <f t="shared" si="17"/>
        <v>0</v>
      </c>
      <c r="I265" s="221">
        <f>IF(A265="Total",VLOOKUP(B265,CORRESPONDANCE[#All],2,FALSE),I266)</f>
        <v>0</v>
      </c>
      <c r="J265" s="222" t="str">
        <f t="shared" si="18"/>
        <v/>
      </c>
      <c r="K265" s="44" t="str">
        <f t="shared" si="19"/>
        <v xml:space="preserve">TH4 - </v>
      </c>
      <c r="L265" s="44" t="e">
        <f>+VLOOKUP(K265,TL[],4,FALSE)</f>
        <v>#N/A</v>
      </c>
    </row>
    <row r="266" spans="7:12" x14ac:dyDescent="0.2">
      <c r="G266" s="220">
        <f t="shared" si="16"/>
        <v>0</v>
      </c>
      <c r="H266" s="220">
        <f t="shared" si="17"/>
        <v>0</v>
      </c>
      <c r="I266" s="221">
        <f>IF(A266="Total",VLOOKUP(B266,CORRESPONDANCE[#All],2,FALSE),I267)</f>
        <v>0</v>
      </c>
      <c r="J266" s="222" t="str">
        <f t="shared" si="18"/>
        <v/>
      </c>
      <c r="K266" s="44" t="str">
        <f t="shared" si="19"/>
        <v xml:space="preserve">TH4 - </v>
      </c>
      <c r="L266" s="44" t="e">
        <f>+VLOOKUP(K266,TL[],4,FALSE)</f>
        <v>#N/A</v>
      </c>
    </row>
    <row r="267" spans="7:12" x14ac:dyDescent="0.2">
      <c r="G267" s="220">
        <f t="shared" si="16"/>
        <v>0</v>
      </c>
      <c r="H267" s="220">
        <f t="shared" si="17"/>
        <v>0</v>
      </c>
      <c r="I267" s="221">
        <f>IF(A267="Total",VLOOKUP(B267,CORRESPONDANCE[#All],2,FALSE),I268)</f>
        <v>0</v>
      </c>
      <c r="J267" s="222" t="str">
        <f t="shared" si="18"/>
        <v/>
      </c>
      <c r="K267" s="44" t="str">
        <f t="shared" si="19"/>
        <v xml:space="preserve">TH4 - </v>
      </c>
      <c r="L267" s="44" t="e">
        <f>+VLOOKUP(K267,TL[],4,FALSE)</f>
        <v>#N/A</v>
      </c>
    </row>
    <row r="268" spans="7:12" x14ac:dyDescent="0.2">
      <c r="G268" s="220">
        <f t="shared" si="16"/>
        <v>0</v>
      </c>
      <c r="H268" s="220">
        <f t="shared" si="17"/>
        <v>0</v>
      </c>
      <c r="I268" s="221">
        <f>IF(A268="Total",VLOOKUP(B268,CORRESPONDANCE[#All],2,FALSE),I269)</f>
        <v>0</v>
      </c>
      <c r="J268" s="222" t="str">
        <f t="shared" si="18"/>
        <v/>
      </c>
      <c r="K268" s="44" t="str">
        <f t="shared" si="19"/>
        <v xml:space="preserve">TH4 - </v>
      </c>
      <c r="L268" s="44" t="e">
        <f>+VLOOKUP(K268,TL[],4,FALSE)</f>
        <v>#N/A</v>
      </c>
    </row>
    <row r="269" spans="7:12" x14ac:dyDescent="0.2">
      <c r="G269" s="220">
        <f t="shared" si="16"/>
        <v>0</v>
      </c>
      <c r="H269" s="220">
        <f t="shared" si="17"/>
        <v>0</v>
      </c>
      <c r="I269" s="221">
        <f>IF(A269="Total",VLOOKUP(B269,CORRESPONDANCE[#All],2,FALSE),I270)</f>
        <v>0</v>
      </c>
      <c r="J269" s="222" t="str">
        <f t="shared" si="18"/>
        <v/>
      </c>
      <c r="K269" s="44" t="str">
        <f t="shared" si="19"/>
        <v xml:space="preserve">TH4 - </v>
      </c>
      <c r="L269" s="44" t="e">
        <f>+VLOOKUP(K269,TL[],4,FALSE)</f>
        <v>#N/A</v>
      </c>
    </row>
    <row r="270" spans="7:12" x14ac:dyDescent="0.2">
      <c r="G270" s="220">
        <f t="shared" si="16"/>
        <v>0</v>
      </c>
      <c r="H270" s="220">
        <f t="shared" si="17"/>
        <v>0</v>
      </c>
      <c r="I270" s="221">
        <f>IF(A270="Total",VLOOKUP(B270,CORRESPONDANCE[#All],2,FALSE),I271)</f>
        <v>0</v>
      </c>
      <c r="J270" s="222" t="str">
        <f t="shared" si="18"/>
        <v/>
      </c>
      <c r="K270" s="44" t="str">
        <f t="shared" si="19"/>
        <v xml:space="preserve">TH4 - </v>
      </c>
      <c r="L270" s="44" t="e">
        <f>+VLOOKUP(K270,TL[],4,FALSE)</f>
        <v>#N/A</v>
      </c>
    </row>
    <row r="271" spans="7:12" x14ac:dyDescent="0.2">
      <c r="G271" s="220">
        <f t="shared" si="16"/>
        <v>0</v>
      </c>
      <c r="H271" s="220">
        <f t="shared" si="17"/>
        <v>0</v>
      </c>
      <c r="I271" s="221">
        <f>IF(A271="Total",VLOOKUP(B271,CORRESPONDANCE[#All],2,FALSE),I272)</f>
        <v>0</v>
      </c>
      <c r="J271" s="222" t="str">
        <f t="shared" si="18"/>
        <v/>
      </c>
      <c r="K271" s="44" t="str">
        <f t="shared" si="19"/>
        <v xml:space="preserve">TH4 - </v>
      </c>
      <c r="L271" s="44" t="e">
        <f>+VLOOKUP(K271,TL[],4,FALSE)</f>
        <v>#N/A</v>
      </c>
    </row>
    <row r="272" spans="7:12" x14ac:dyDescent="0.2">
      <c r="G272" s="220">
        <f t="shared" si="16"/>
        <v>0</v>
      </c>
      <c r="H272" s="220">
        <f t="shared" si="17"/>
        <v>0</v>
      </c>
      <c r="I272" s="221">
        <f>IF(A272="Total",VLOOKUP(B272,CORRESPONDANCE[#All],2,FALSE),I273)</f>
        <v>0</v>
      </c>
      <c r="J272" s="222" t="str">
        <f t="shared" si="18"/>
        <v/>
      </c>
      <c r="K272" s="44" t="str">
        <f t="shared" si="19"/>
        <v xml:space="preserve">TH4 - </v>
      </c>
      <c r="L272" s="44" t="e">
        <f>+VLOOKUP(K272,TL[],4,FALSE)</f>
        <v>#N/A</v>
      </c>
    </row>
    <row r="273" spans="7:12" x14ac:dyDescent="0.2">
      <c r="G273" s="220">
        <f t="shared" si="16"/>
        <v>0</v>
      </c>
      <c r="H273" s="220">
        <f t="shared" si="17"/>
        <v>0</v>
      </c>
      <c r="I273" s="221">
        <f>IF(A273="Total",VLOOKUP(B273,CORRESPONDANCE[#All],2,FALSE),I274)</f>
        <v>0</v>
      </c>
      <c r="J273" s="222" t="str">
        <f t="shared" si="18"/>
        <v/>
      </c>
      <c r="K273" s="44" t="str">
        <f t="shared" si="19"/>
        <v xml:space="preserve">TH4 - </v>
      </c>
      <c r="L273" s="44" t="e">
        <f>+VLOOKUP(K273,TL[],4,FALSE)</f>
        <v>#N/A</v>
      </c>
    </row>
    <row r="274" spans="7:12" x14ac:dyDescent="0.2">
      <c r="G274" s="220">
        <f t="shared" si="16"/>
        <v>0</v>
      </c>
      <c r="H274" s="220">
        <f t="shared" si="17"/>
        <v>0</v>
      </c>
      <c r="I274" s="221">
        <f>IF(A274="Total",VLOOKUP(B274,CORRESPONDANCE[#All],2,FALSE),I275)</f>
        <v>0</v>
      </c>
      <c r="J274" s="222" t="str">
        <f t="shared" si="18"/>
        <v/>
      </c>
      <c r="K274" s="44" t="str">
        <f t="shared" si="19"/>
        <v xml:space="preserve">TH4 - </v>
      </c>
      <c r="L274" s="44" t="e">
        <f>+VLOOKUP(K274,TL[],4,FALSE)</f>
        <v>#N/A</v>
      </c>
    </row>
    <row r="275" spans="7:12" x14ac:dyDescent="0.2">
      <c r="G275" s="220">
        <f t="shared" si="16"/>
        <v>0</v>
      </c>
      <c r="H275" s="220">
        <f t="shared" si="17"/>
        <v>0</v>
      </c>
      <c r="I275" s="221">
        <f>IF(A275="Total",VLOOKUP(B275,CORRESPONDANCE[#All],2,FALSE),I276)</f>
        <v>0</v>
      </c>
      <c r="J275" s="222" t="str">
        <f t="shared" si="18"/>
        <v/>
      </c>
      <c r="K275" s="44" t="str">
        <f t="shared" si="19"/>
        <v xml:space="preserve">TH4 - </v>
      </c>
      <c r="L275" s="44" t="e">
        <f>+VLOOKUP(K275,TL[],4,FALSE)</f>
        <v>#N/A</v>
      </c>
    </row>
    <row r="276" spans="7:12" x14ac:dyDescent="0.2">
      <c r="G276" s="220">
        <f t="shared" si="16"/>
        <v>0</v>
      </c>
      <c r="H276" s="220">
        <f t="shared" si="17"/>
        <v>0</v>
      </c>
      <c r="I276" s="221">
        <f>IF(A276="Total",VLOOKUP(B276,CORRESPONDANCE[#All],2,FALSE),I277)</f>
        <v>0</v>
      </c>
      <c r="J276" s="222" t="str">
        <f t="shared" si="18"/>
        <v/>
      </c>
      <c r="K276" s="44" t="str">
        <f t="shared" si="19"/>
        <v xml:space="preserve">TH4 - </v>
      </c>
      <c r="L276" s="44" t="e">
        <f>+VLOOKUP(K276,TL[],4,FALSE)</f>
        <v>#N/A</v>
      </c>
    </row>
    <row r="277" spans="7:12" x14ac:dyDescent="0.2">
      <c r="G277" s="220">
        <f t="shared" si="16"/>
        <v>0</v>
      </c>
      <c r="H277" s="220">
        <f t="shared" si="17"/>
        <v>0</v>
      </c>
      <c r="I277" s="221">
        <f>IF(A277="Total",VLOOKUP(B277,CORRESPONDANCE[#All],2,FALSE),I278)</f>
        <v>0</v>
      </c>
      <c r="J277" s="222" t="str">
        <f t="shared" si="18"/>
        <v/>
      </c>
      <c r="K277" s="44" t="str">
        <f t="shared" si="19"/>
        <v xml:space="preserve">TH4 - </v>
      </c>
      <c r="L277" s="44" t="e">
        <f>+VLOOKUP(K277,TL[],4,FALSE)</f>
        <v>#N/A</v>
      </c>
    </row>
    <row r="278" spans="7:12" x14ac:dyDescent="0.2">
      <c r="G278" s="220">
        <f t="shared" si="16"/>
        <v>0</v>
      </c>
      <c r="H278" s="220">
        <f t="shared" si="17"/>
        <v>0</v>
      </c>
      <c r="I278" s="221">
        <f>IF(A278="Total",VLOOKUP(B278,CORRESPONDANCE[#All],2,FALSE),I279)</f>
        <v>0</v>
      </c>
      <c r="J278" s="222" t="str">
        <f t="shared" si="18"/>
        <v/>
      </c>
      <c r="K278" s="44" t="str">
        <f t="shared" si="19"/>
        <v xml:space="preserve">TH4 - </v>
      </c>
      <c r="L278" s="44" t="e">
        <f>+VLOOKUP(K278,TL[],4,FALSE)</f>
        <v>#N/A</v>
      </c>
    </row>
    <row r="279" spans="7:12" x14ac:dyDescent="0.2">
      <c r="G279" s="220">
        <f t="shared" si="16"/>
        <v>0</v>
      </c>
      <c r="H279" s="220">
        <f t="shared" si="17"/>
        <v>0</v>
      </c>
      <c r="I279" s="221">
        <f>IF(A279="Total",VLOOKUP(B279,CORRESPONDANCE[#All],2,FALSE),I280)</f>
        <v>0</v>
      </c>
      <c r="J279" s="222" t="str">
        <f t="shared" si="18"/>
        <v/>
      </c>
      <c r="K279" s="44" t="str">
        <f t="shared" si="19"/>
        <v xml:space="preserve">TH4 - </v>
      </c>
      <c r="L279" s="44" t="e">
        <f>+VLOOKUP(K279,TL[],4,FALSE)</f>
        <v>#N/A</v>
      </c>
    </row>
    <row r="280" spans="7:12" x14ac:dyDescent="0.2">
      <c r="G280" s="220">
        <f t="shared" si="16"/>
        <v>0</v>
      </c>
      <c r="H280" s="220">
        <f t="shared" si="17"/>
        <v>0</v>
      </c>
      <c r="I280" s="221">
        <f>IF(A280="Total",VLOOKUP(B280,CORRESPONDANCE[#All],2,FALSE),I281)</f>
        <v>0</v>
      </c>
      <c r="J280" s="222" t="str">
        <f t="shared" si="18"/>
        <v/>
      </c>
      <c r="K280" s="44" t="str">
        <f t="shared" si="19"/>
        <v xml:space="preserve">TH4 - </v>
      </c>
      <c r="L280" s="44" t="e">
        <f>+VLOOKUP(K280,TL[],4,FALSE)</f>
        <v>#N/A</v>
      </c>
    </row>
    <row r="281" spans="7:12" x14ac:dyDescent="0.2">
      <c r="G281" s="220">
        <f t="shared" si="16"/>
        <v>0</v>
      </c>
      <c r="H281" s="220">
        <f t="shared" si="17"/>
        <v>0</v>
      </c>
      <c r="I281" s="221">
        <f>IF(A281="Total",VLOOKUP(B281,CORRESPONDANCE[#All],2,FALSE),I282)</f>
        <v>0</v>
      </c>
      <c r="J281" s="222" t="str">
        <f t="shared" si="18"/>
        <v/>
      </c>
      <c r="K281" s="44" t="str">
        <f t="shared" si="19"/>
        <v xml:space="preserve">TH4 - </v>
      </c>
      <c r="L281" s="44" t="e">
        <f>+VLOOKUP(K281,TL[],4,FALSE)</f>
        <v>#N/A</v>
      </c>
    </row>
    <row r="282" spans="7:12" x14ac:dyDescent="0.2">
      <c r="G282" s="220">
        <f t="shared" si="16"/>
        <v>0</v>
      </c>
      <c r="H282" s="220">
        <f t="shared" si="17"/>
        <v>0</v>
      </c>
      <c r="I282" s="221">
        <f>IF(A282="Total",VLOOKUP(B282,CORRESPONDANCE[#All],2,FALSE),I283)</f>
        <v>0</v>
      </c>
      <c r="J282" s="222" t="str">
        <f t="shared" si="18"/>
        <v/>
      </c>
      <c r="K282" s="44" t="str">
        <f t="shared" si="19"/>
        <v xml:space="preserve">TH4 - </v>
      </c>
      <c r="L282" s="44" t="e">
        <f>+VLOOKUP(K282,TL[],4,FALSE)</f>
        <v>#N/A</v>
      </c>
    </row>
    <row r="283" spans="7:12" x14ac:dyDescent="0.2">
      <c r="G283" s="220">
        <f t="shared" si="16"/>
        <v>0</v>
      </c>
      <c r="H283" s="220">
        <f t="shared" si="17"/>
        <v>0</v>
      </c>
      <c r="I283" s="221">
        <f>IF(A283="Total",VLOOKUP(B283,CORRESPONDANCE[#All],2,FALSE),I284)</f>
        <v>0</v>
      </c>
      <c r="J283" s="222" t="str">
        <f t="shared" si="18"/>
        <v/>
      </c>
      <c r="K283" s="44" t="str">
        <f t="shared" si="19"/>
        <v xml:space="preserve">TH4 - </v>
      </c>
      <c r="L283" s="44" t="e">
        <f>+VLOOKUP(K283,TL[],4,FALSE)</f>
        <v>#N/A</v>
      </c>
    </row>
    <row r="284" spans="7:12" x14ac:dyDescent="0.2">
      <c r="G284" s="220">
        <f t="shared" si="16"/>
        <v>0</v>
      </c>
      <c r="H284" s="220">
        <f t="shared" si="17"/>
        <v>0</v>
      </c>
      <c r="I284" s="221">
        <f>IF(A284="Total",VLOOKUP(B284,CORRESPONDANCE[#All],2,FALSE),I285)</f>
        <v>0</v>
      </c>
      <c r="J284" s="222" t="str">
        <f t="shared" si="18"/>
        <v/>
      </c>
      <c r="K284" s="44" t="str">
        <f t="shared" si="19"/>
        <v xml:space="preserve">TH4 - </v>
      </c>
      <c r="L284" s="44" t="e">
        <f>+VLOOKUP(K284,TL[],4,FALSE)</f>
        <v>#N/A</v>
      </c>
    </row>
    <row r="285" spans="7:12" x14ac:dyDescent="0.2">
      <c r="G285" s="220">
        <f t="shared" si="16"/>
        <v>0</v>
      </c>
      <c r="H285" s="220">
        <f t="shared" si="17"/>
        <v>0</v>
      </c>
      <c r="I285" s="221">
        <f>IF(A285="Total",VLOOKUP(B285,CORRESPONDANCE[#All],2,FALSE),I286)</f>
        <v>0</v>
      </c>
      <c r="J285" s="222" t="str">
        <f t="shared" si="18"/>
        <v/>
      </c>
      <c r="K285" s="44" t="str">
        <f t="shared" si="19"/>
        <v xml:space="preserve">TH4 - </v>
      </c>
      <c r="L285" s="44" t="e">
        <f>+VLOOKUP(K285,TL[],4,FALSE)</f>
        <v>#N/A</v>
      </c>
    </row>
    <row r="286" spans="7:12" x14ac:dyDescent="0.2">
      <c r="G286" s="220">
        <f t="shared" si="16"/>
        <v>0</v>
      </c>
      <c r="H286" s="220">
        <f t="shared" si="17"/>
        <v>0</v>
      </c>
      <c r="I286" s="221">
        <f>IF(A286="Total",VLOOKUP(B286,CORRESPONDANCE[#All],2,FALSE),I287)</f>
        <v>0</v>
      </c>
      <c r="J286" s="222" t="str">
        <f t="shared" si="18"/>
        <v/>
      </c>
      <c r="K286" s="44" t="str">
        <f t="shared" si="19"/>
        <v xml:space="preserve">TH4 - </v>
      </c>
      <c r="L286" s="44" t="e">
        <f>+VLOOKUP(K286,TL[],4,FALSE)</f>
        <v>#N/A</v>
      </c>
    </row>
    <row r="287" spans="7:12" x14ac:dyDescent="0.2">
      <c r="G287" s="220">
        <f t="shared" si="16"/>
        <v>0</v>
      </c>
      <c r="H287" s="220">
        <f t="shared" si="17"/>
        <v>0</v>
      </c>
      <c r="I287" s="221">
        <f>IF(A287="Total",VLOOKUP(B287,CORRESPONDANCE[#All],2,FALSE),I288)</f>
        <v>0</v>
      </c>
      <c r="J287" s="222" t="str">
        <f t="shared" si="18"/>
        <v/>
      </c>
      <c r="K287" s="44" t="str">
        <f t="shared" si="19"/>
        <v xml:space="preserve">TH4 - </v>
      </c>
      <c r="L287" s="44" t="e">
        <f>+VLOOKUP(K287,TL[],4,FALSE)</f>
        <v>#N/A</v>
      </c>
    </row>
    <row r="288" spans="7:12" x14ac:dyDescent="0.2">
      <c r="G288" s="220">
        <f t="shared" si="16"/>
        <v>0</v>
      </c>
      <c r="H288" s="220">
        <f t="shared" si="17"/>
        <v>0</v>
      </c>
      <c r="I288" s="221">
        <f>IF(A288="Total",VLOOKUP(B288,CORRESPONDANCE[#All],2,FALSE),I289)</f>
        <v>0</v>
      </c>
      <c r="J288" s="222" t="str">
        <f t="shared" si="18"/>
        <v/>
      </c>
      <c r="K288" s="44" t="str">
        <f t="shared" si="19"/>
        <v xml:space="preserve">TH4 - </v>
      </c>
      <c r="L288" s="44" t="e">
        <f>+VLOOKUP(K288,TL[],4,FALSE)</f>
        <v>#N/A</v>
      </c>
    </row>
    <row r="289" spans="7:12" x14ac:dyDescent="0.2">
      <c r="G289" s="220">
        <f t="shared" si="16"/>
        <v>0</v>
      </c>
      <c r="H289" s="220">
        <f t="shared" si="17"/>
        <v>0</v>
      </c>
      <c r="I289" s="221">
        <f>IF(A289="Total",VLOOKUP(B289,CORRESPONDANCE[#All],2,FALSE),I290)</f>
        <v>0</v>
      </c>
      <c r="J289" s="222" t="str">
        <f t="shared" si="18"/>
        <v/>
      </c>
      <c r="K289" s="44" t="str">
        <f t="shared" si="19"/>
        <v xml:space="preserve">TH4 - </v>
      </c>
      <c r="L289" s="44" t="e">
        <f>+VLOOKUP(K289,TL[],4,FALSE)</f>
        <v>#N/A</v>
      </c>
    </row>
    <row r="290" spans="7:12" x14ac:dyDescent="0.2">
      <c r="G290" s="220">
        <f t="shared" si="16"/>
        <v>0</v>
      </c>
      <c r="H290" s="220">
        <f t="shared" si="17"/>
        <v>0</v>
      </c>
      <c r="I290" s="221">
        <f>IF(A290="Total",VLOOKUP(B290,CORRESPONDANCE[#All],2,FALSE),I291)</f>
        <v>0</v>
      </c>
      <c r="J290" s="222" t="str">
        <f t="shared" si="18"/>
        <v/>
      </c>
      <c r="K290" s="44" t="str">
        <f t="shared" si="19"/>
        <v xml:space="preserve">TH4 - </v>
      </c>
      <c r="L290" s="44" t="e">
        <f>+VLOOKUP(K290,TL[],4,FALSE)</f>
        <v>#N/A</v>
      </c>
    </row>
  </sheetData>
  <autoFilter ref="A1:L274" xr:uid="{73ADB5AE-0852-4BAC-A5B6-0A94119CB6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6672B-D9DC-4A7A-B6C7-2515CDF2AB83}">
  <sheetPr>
    <tabColor theme="7" tint="0.59999389629810485"/>
  </sheetPr>
  <dimension ref="A1:L271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7109375" style="224" bestFit="1" customWidth="1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2613</v>
      </c>
      <c r="B2" t="s">
        <v>283</v>
      </c>
      <c r="C2">
        <v>3920.76</v>
      </c>
      <c r="D2" t="s">
        <v>6961</v>
      </c>
      <c r="E2">
        <v>3920.76</v>
      </c>
      <c r="F2" t="s">
        <v>6961</v>
      </c>
      <c r="G2" s="220">
        <f>SUM(C2)-SUM(D2)</f>
        <v>3920.76</v>
      </c>
      <c r="H2" s="220">
        <f>SUM(E2)-SUM(F2)</f>
        <v>3920.76</v>
      </c>
      <c r="I2" s="221">
        <f>IF(A2="Total",VLOOKUP(B2,CORRESPONDANCE[#All],2,FALSE),I3)</f>
        <v>2</v>
      </c>
      <c r="J2" s="222" t="str">
        <f>LEFT(A2,1)</f>
        <v>7</v>
      </c>
      <c r="K2" s="44" t="str">
        <f>"DIVES"&amp;" - "&amp;A2</f>
        <v>DIVES - 70100100</v>
      </c>
      <c r="L2" s="44" t="str">
        <f>+VLOOKUP(K2,TL[],4,FALSE)</f>
        <v>1</v>
      </c>
    </row>
    <row r="3" spans="1:12" x14ac:dyDescent="0.2">
      <c r="A3" t="s">
        <v>2614</v>
      </c>
      <c r="B3" t="s">
        <v>439</v>
      </c>
      <c r="C3" t="s">
        <v>6961</v>
      </c>
      <c r="D3">
        <v>1115.55</v>
      </c>
      <c r="E3" t="s">
        <v>6961</v>
      </c>
      <c r="F3">
        <v>1115.55</v>
      </c>
      <c r="G3" s="220">
        <f>SUM(C3)-SUM(D3)</f>
        <v>-1115.55</v>
      </c>
      <c r="H3" s="220">
        <f>SUM(E3)-SUM(F3)</f>
        <v>-1115.55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"DIVES"&amp;" - "&amp;A3</f>
        <v>DIVES - 70100200</v>
      </c>
      <c r="L3" s="44" t="str">
        <f>+VLOOKUP(K3,TL[],4,FALSE)</f>
        <v>1</v>
      </c>
    </row>
    <row r="4" spans="1:12" x14ac:dyDescent="0.2">
      <c r="A4" t="s">
        <v>2615</v>
      </c>
      <c r="B4" t="s">
        <v>378</v>
      </c>
      <c r="C4" t="s">
        <v>6961</v>
      </c>
      <c r="D4">
        <v>243633.46</v>
      </c>
      <c r="E4" t="s">
        <v>6961</v>
      </c>
      <c r="F4">
        <v>243633.46</v>
      </c>
      <c r="G4" s="220">
        <f>SUM(C4)-SUM(D4)</f>
        <v>-243633.46</v>
      </c>
      <c r="H4" s="220">
        <f>SUM(E4)-SUM(F4)</f>
        <v>-243633.46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DIVES - 70101000</v>
      </c>
      <c r="L4" s="44" t="str">
        <f>+VLOOKUP(K4,TL[],4,FALSE)</f>
        <v>1</v>
      </c>
    </row>
    <row r="5" spans="1:12" x14ac:dyDescent="0.2">
      <c r="A5" t="s">
        <v>2616</v>
      </c>
      <c r="B5" t="s">
        <v>1377</v>
      </c>
      <c r="C5" t="s">
        <v>6961</v>
      </c>
      <c r="D5">
        <v>600.82000000000005</v>
      </c>
      <c r="E5" t="s">
        <v>6961</v>
      </c>
      <c r="F5">
        <v>600.82000000000005</v>
      </c>
      <c r="G5" s="220">
        <f>SUM(C5)-SUM(D5)</f>
        <v>-600.82000000000005</v>
      </c>
      <c r="H5" s="220">
        <f>SUM(E5)-SUM(F5)</f>
        <v>-600.82000000000005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DIVES - 70102000</v>
      </c>
      <c r="L5" s="44" t="str">
        <f>+VLOOKUP(K5,TL[],4,FALSE)</f>
        <v>1</v>
      </c>
    </row>
    <row r="6" spans="1:12" x14ac:dyDescent="0.2">
      <c r="A6" t="s">
        <v>197</v>
      </c>
      <c r="B6" t="s">
        <v>2514</v>
      </c>
      <c r="C6" t="s">
        <v>6961</v>
      </c>
      <c r="D6">
        <v>241429.07</v>
      </c>
      <c r="E6" t="s">
        <v>6961</v>
      </c>
      <c r="F6">
        <v>241429.07</v>
      </c>
      <c r="G6" s="220">
        <f t="shared" ref="G6:G69" si="2">SUM(C6)-SUM(D6)</f>
        <v>-241429.07</v>
      </c>
      <c r="H6" s="220">
        <f t="shared" ref="H6:H69" si="3">SUM(E6)-SUM(F6)</f>
        <v>-241429.07</v>
      </c>
      <c r="I6" s="221">
        <f>IF(A6="Total",VLOOKUP(B6,CORRESPONDANCE[#All],2,FALSE),I7)</f>
        <v>2</v>
      </c>
      <c r="J6" s="222" t="str">
        <f t="shared" si="0"/>
        <v>T</v>
      </c>
      <c r="K6" s="44" t="str">
        <f t="shared" si="1"/>
        <v>DIVES - Total</v>
      </c>
      <c r="L6" s="44" t="e">
        <f>+VLOOKUP(K6,TL[],4,FALSE)</f>
        <v>#N/A</v>
      </c>
    </row>
    <row r="7" spans="1:12" x14ac:dyDescent="0.2">
      <c r="A7" t="s">
        <v>2617</v>
      </c>
      <c r="B7" t="s">
        <v>171</v>
      </c>
      <c r="C7">
        <v>43390.39</v>
      </c>
      <c r="D7" t="s">
        <v>6961</v>
      </c>
      <c r="E7">
        <v>43390.39</v>
      </c>
      <c r="F7" t="s">
        <v>6961</v>
      </c>
      <c r="G7" s="220">
        <f t="shared" si="2"/>
        <v>43390.39</v>
      </c>
      <c r="H7" s="220">
        <f t="shared" si="3"/>
        <v>43390.39</v>
      </c>
      <c r="I7" s="221">
        <f>IF(A7="Total",VLOOKUP(B7,CORRESPONDANCE[#All],2,FALSE),I8)</f>
        <v>3</v>
      </c>
      <c r="J7" s="222" t="str">
        <f t="shared" si="0"/>
        <v>6</v>
      </c>
      <c r="K7" s="44" t="str">
        <f t="shared" si="1"/>
        <v>DIVES - 60110000</v>
      </c>
      <c r="L7" s="44" t="str">
        <f>+VLOOKUP(K7,TL[],4,FALSE)</f>
        <v>6</v>
      </c>
    </row>
    <row r="8" spans="1:12" x14ac:dyDescent="0.2">
      <c r="A8" t="s">
        <v>2618</v>
      </c>
      <c r="B8" t="s">
        <v>310</v>
      </c>
      <c r="C8">
        <v>11080.8</v>
      </c>
      <c r="D8" t="s">
        <v>6961</v>
      </c>
      <c r="E8">
        <v>11080.8</v>
      </c>
      <c r="F8" t="s">
        <v>6961</v>
      </c>
      <c r="G8" s="220">
        <f t="shared" si="2"/>
        <v>11080.8</v>
      </c>
      <c r="H8" s="220">
        <f t="shared" si="3"/>
        <v>11080.8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DIVES - 60310000</v>
      </c>
      <c r="L8" s="44" t="str">
        <f>+VLOOKUP(K8,TL[],4,FALSE)</f>
        <v>6</v>
      </c>
    </row>
    <row r="9" spans="1:12" x14ac:dyDescent="0.2">
      <c r="A9" t="s">
        <v>2619</v>
      </c>
      <c r="B9" t="s">
        <v>269</v>
      </c>
      <c r="C9">
        <v>744</v>
      </c>
      <c r="D9" t="s">
        <v>6961</v>
      </c>
      <c r="E9">
        <v>744</v>
      </c>
      <c r="F9" t="s">
        <v>6961</v>
      </c>
      <c r="G9" s="220">
        <f t="shared" si="2"/>
        <v>744</v>
      </c>
      <c r="H9" s="220">
        <f t="shared" si="3"/>
        <v>744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DIVES - 63551100</v>
      </c>
      <c r="L9" s="44" t="str">
        <f>+VLOOKUP(K9,TL[],4,FALSE)</f>
        <v>9</v>
      </c>
    </row>
    <row r="10" spans="1:12" x14ac:dyDescent="0.2">
      <c r="A10" t="s">
        <v>2620</v>
      </c>
      <c r="B10" t="s">
        <v>1509</v>
      </c>
      <c r="C10" t="s">
        <v>6961</v>
      </c>
      <c r="D10">
        <v>1088.24</v>
      </c>
      <c r="E10" t="s">
        <v>6961</v>
      </c>
      <c r="F10">
        <v>1088.24</v>
      </c>
      <c r="G10" s="220">
        <f t="shared" si="2"/>
        <v>-1088.24</v>
      </c>
      <c r="H10" s="220">
        <f t="shared" si="3"/>
        <v>-1088.24</v>
      </c>
      <c r="I10" s="221">
        <f>IF(A10="Total",VLOOKUP(B10,CORRESPONDANCE[#All],2,FALSE),I11)</f>
        <v>3</v>
      </c>
      <c r="J10" s="222" t="str">
        <f t="shared" si="0"/>
        <v>7</v>
      </c>
      <c r="K10" s="44" t="str">
        <f t="shared" si="1"/>
        <v>DIVES - 70800000</v>
      </c>
      <c r="L10" s="44" t="str">
        <f>+VLOOKUP(K10,TL[],4,FALSE)</f>
        <v>6</v>
      </c>
    </row>
    <row r="11" spans="1:12" x14ac:dyDescent="0.2">
      <c r="A11" t="s">
        <v>197</v>
      </c>
      <c r="B11" t="s">
        <v>2516</v>
      </c>
      <c r="C11">
        <v>54126.95</v>
      </c>
      <c r="D11" t="s">
        <v>6961</v>
      </c>
      <c r="E11">
        <v>54126.95</v>
      </c>
      <c r="F11" t="s">
        <v>6961</v>
      </c>
      <c r="G11" s="220">
        <f t="shared" si="2"/>
        <v>54126.95</v>
      </c>
      <c r="H11" s="220">
        <f t="shared" si="3"/>
        <v>54126.95</v>
      </c>
      <c r="I11" s="221">
        <f>IF(A11="Total",VLOOKUP(B11,CORRESPONDANCE[#All],2,FALSE),I12)</f>
        <v>3</v>
      </c>
      <c r="J11" s="222" t="str">
        <f t="shared" si="0"/>
        <v>T</v>
      </c>
      <c r="K11" s="44" t="str">
        <f t="shared" si="1"/>
        <v>DIVES - Total</v>
      </c>
      <c r="L11" s="44" t="e">
        <f>+VLOOKUP(K11,TL[],4,FALSE)</f>
        <v>#N/A</v>
      </c>
    </row>
    <row r="12" spans="1:12" x14ac:dyDescent="0.2">
      <c r="A12" t="s">
        <v>2621</v>
      </c>
      <c r="B12" t="s">
        <v>435</v>
      </c>
      <c r="C12">
        <v>1309.58</v>
      </c>
      <c r="D12" t="s">
        <v>6961</v>
      </c>
      <c r="E12">
        <v>1309.58</v>
      </c>
      <c r="F12" t="s">
        <v>6961</v>
      </c>
      <c r="G12" s="220">
        <f t="shared" si="2"/>
        <v>1309.58</v>
      </c>
      <c r="H12" s="220">
        <f t="shared" si="3"/>
        <v>1309.58</v>
      </c>
      <c r="I12" s="221">
        <f>IF(A12="Total",VLOOKUP(B12,CORRESPONDANCE[#All],2,FALSE),I13)</f>
        <v>4</v>
      </c>
      <c r="J12" s="222" t="str">
        <f t="shared" si="0"/>
        <v>6</v>
      </c>
      <c r="K12" s="44" t="str">
        <f t="shared" si="1"/>
        <v>DIVES - 60110300</v>
      </c>
      <c r="L12" s="44" t="str">
        <f>+VLOOKUP(K12,TL[],4,FALSE)</f>
        <v>8</v>
      </c>
    </row>
    <row r="13" spans="1:12" x14ac:dyDescent="0.2">
      <c r="A13" t="s">
        <v>197</v>
      </c>
      <c r="B13" t="s">
        <v>2517</v>
      </c>
      <c r="C13">
        <v>1309.58</v>
      </c>
      <c r="D13" t="s">
        <v>6961</v>
      </c>
      <c r="E13">
        <v>1309.58</v>
      </c>
      <c r="F13" t="s">
        <v>6961</v>
      </c>
      <c r="G13" s="220">
        <f t="shared" si="2"/>
        <v>1309.58</v>
      </c>
      <c r="H13" s="220">
        <f t="shared" si="3"/>
        <v>1309.58</v>
      </c>
      <c r="I13" s="221">
        <f>IF(A13="Total",VLOOKUP(B13,CORRESPONDANCE[#All],2,FALSE),I14)</f>
        <v>4</v>
      </c>
      <c r="J13" s="222" t="str">
        <f t="shared" si="0"/>
        <v>T</v>
      </c>
      <c r="K13" s="44" t="str">
        <f t="shared" si="1"/>
        <v>DIVES - Total</v>
      </c>
      <c r="L13" s="44" t="e">
        <f>+VLOOKUP(K13,TL[],4,FALSE)</f>
        <v>#N/A</v>
      </c>
    </row>
    <row r="14" spans="1:12" x14ac:dyDescent="0.2">
      <c r="A14" t="s">
        <v>2622</v>
      </c>
      <c r="B14" t="s">
        <v>422</v>
      </c>
      <c r="C14">
        <v>1897.66</v>
      </c>
      <c r="D14" t="s">
        <v>6961</v>
      </c>
      <c r="E14">
        <v>1897.66</v>
      </c>
      <c r="F14" t="s">
        <v>6961</v>
      </c>
      <c r="G14" s="220">
        <f t="shared" si="2"/>
        <v>1897.66</v>
      </c>
      <c r="H14" s="220">
        <f t="shared" si="3"/>
        <v>1897.66</v>
      </c>
      <c r="I14" s="221">
        <f>IF(A14="Total",VLOOKUP(B14,CORRESPONDANCE[#All],2,FALSE),I15)</f>
        <v>5</v>
      </c>
      <c r="J14" s="222" t="str">
        <f t="shared" si="0"/>
        <v>6</v>
      </c>
      <c r="K14" s="44" t="str">
        <f t="shared" si="1"/>
        <v>DIVES - 60110200</v>
      </c>
      <c r="L14" s="44" t="str">
        <f>+VLOOKUP(K14,TL[],4,FALSE)</f>
        <v>7</v>
      </c>
    </row>
    <row r="15" spans="1:12" x14ac:dyDescent="0.2">
      <c r="A15" t="s">
        <v>197</v>
      </c>
      <c r="B15" t="s">
        <v>2518</v>
      </c>
      <c r="C15">
        <v>1897.66</v>
      </c>
      <c r="D15" t="s">
        <v>6961</v>
      </c>
      <c r="E15">
        <v>1897.66</v>
      </c>
      <c r="F15" t="s">
        <v>6961</v>
      </c>
      <c r="G15" s="220">
        <f t="shared" si="2"/>
        <v>1897.66</v>
      </c>
      <c r="H15" s="220">
        <f t="shared" si="3"/>
        <v>1897.66</v>
      </c>
      <c r="I15" s="221">
        <f>IF(A15="Total",VLOOKUP(B15,CORRESPONDANCE[#All],2,FALSE),I16)</f>
        <v>5</v>
      </c>
      <c r="J15" s="222" t="str">
        <f t="shared" si="0"/>
        <v>T</v>
      </c>
      <c r="K15" s="44" t="str">
        <f t="shared" si="1"/>
        <v>DIVES - Total</v>
      </c>
      <c r="L15" s="44" t="e">
        <f>+VLOOKUP(K15,TL[],4,FALSE)</f>
        <v>#N/A</v>
      </c>
    </row>
    <row r="16" spans="1:12" x14ac:dyDescent="0.2">
      <c r="A16" t="s">
        <v>2623</v>
      </c>
      <c r="B16" t="s">
        <v>265</v>
      </c>
      <c r="C16">
        <v>4532.66</v>
      </c>
      <c r="D16" t="s">
        <v>6961</v>
      </c>
      <c r="E16">
        <v>4532.66</v>
      </c>
      <c r="F16" t="s">
        <v>6961</v>
      </c>
      <c r="G16" s="220">
        <f t="shared" si="2"/>
        <v>4532.66</v>
      </c>
      <c r="H16" s="220">
        <f t="shared" si="3"/>
        <v>4532.66</v>
      </c>
      <c r="I16" s="221">
        <f>IF(A16="Total",VLOOKUP(B16,CORRESPONDANCE[#All],2,FALSE),I17)</f>
        <v>6</v>
      </c>
      <c r="J16" s="222" t="str">
        <f t="shared" si="0"/>
        <v>6</v>
      </c>
      <c r="K16" s="44" t="str">
        <f t="shared" si="1"/>
        <v>DIVES - 60220100</v>
      </c>
      <c r="L16" s="44" t="str">
        <f>+VLOOKUP(K16,TL[],4,FALSE)</f>
        <v>3</v>
      </c>
    </row>
    <row r="17" spans="1:12" x14ac:dyDescent="0.2">
      <c r="A17" t="s">
        <v>3547</v>
      </c>
      <c r="B17" t="s">
        <v>7075</v>
      </c>
      <c r="C17">
        <v>87.96</v>
      </c>
      <c r="D17" t="s">
        <v>6961</v>
      </c>
      <c r="E17">
        <v>87.96</v>
      </c>
      <c r="F17" t="s">
        <v>6961</v>
      </c>
      <c r="G17" s="220">
        <f t="shared" si="2"/>
        <v>87.96</v>
      </c>
      <c r="H17" s="220">
        <f t="shared" si="3"/>
        <v>87.96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DIVES - 60261000</v>
      </c>
      <c r="L17" s="44" t="str">
        <f>+VLOOKUP(K17,TL[],4,FALSE)</f>
        <v>18</v>
      </c>
    </row>
    <row r="18" spans="1:12" x14ac:dyDescent="0.2">
      <c r="A18" t="s">
        <v>2624</v>
      </c>
      <c r="B18" t="s">
        <v>396</v>
      </c>
      <c r="C18">
        <v>767.49</v>
      </c>
      <c r="D18" t="s">
        <v>6961</v>
      </c>
      <c r="E18">
        <v>767.49</v>
      </c>
      <c r="F18" t="s">
        <v>6961</v>
      </c>
      <c r="G18" s="220">
        <f t="shared" si="2"/>
        <v>767.49</v>
      </c>
      <c r="H18" s="220">
        <f t="shared" si="3"/>
        <v>767.49</v>
      </c>
      <c r="I18" s="221">
        <f>IF(A18="Total",VLOOKUP(B18,CORRESPONDANCE[#All],2,FALSE),I19)</f>
        <v>6</v>
      </c>
      <c r="J18" s="222" t="str">
        <f t="shared" si="0"/>
        <v>6</v>
      </c>
      <c r="K18" s="44" t="str">
        <f t="shared" si="1"/>
        <v>DIVES - 60320000</v>
      </c>
      <c r="L18" s="44" t="str">
        <f>+VLOOKUP(K18,TL[],4,FALSE)</f>
        <v>3</v>
      </c>
    </row>
    <row r="19" spans="1:12" x14ac:dyDescent="0.2">
      <c r="A19" t="s">
        <v>197</v>
      </c>
      <c r="B19" t="s">
        <v>2519</v>
      </c>
      <c r="C19">
        <v>5388.11</v>
      </c>
      <c r="D19" t="s">
        <v>6961</v>
      </c>
      <c r="E19">
        <v>5388.11</v>
      </c>
      <c r="F19" t="s">
        <v>6961</v>
      </c>
      <c r="G19" s="220">
        <f t="shared" si="2"/>
        <v>5388.11</v>
      </c>
      <c r="H19" s="220">
        <f t="shared" si="3"/>
        <v>5388.11</v>
      </c>
      <c r="I19" s="221">
        <f>IF(A19="Total",VLOOKUP(B19,CORRESPONDANCE[#All],2,FALSE),I20)</f>
        <v>6</v>
      </c>
      <c r="J19" s="222" t="str">
        <f t="shared" si="0"/>
        <v>T</v>
      </c>
      <c r="K19" s="44" t="str">
        <f t="shared" si="1"/>
        <v>DIVES - Total</v>
      </c>
      <c r="L19" s="44" t="e">
        <f>+VLOOKUP(K19,TL[],4,FALSE)</f>
        <v>#N/A</v>
      </c>
    </row>
    <row r="20" spans="1:12" x14ac:dyDescent="0.2">
      <c r="A20" t="s">
        <v>3548</v>
      </c>
      <c r="B20" t="s">
        <v>6881</v>
      </c>
      <c r="C20">
        <v>630.70000000000005</v>
      </c>
      <c r="D20" t="s">
        <v>6961</v>
      </c>
      <c r="E20">
        <v>630.70000000000005</v>
      </c>
      <c r="F20" t="s">
        <v>6961</v>
      </c>
      <c r="G20" s="220">
        <f t="shared" si="2"/>
        <v>630.70000000000005</v>
      </c>
      <c r="H20" s="220">
        <f t="shared" si="3"/>
        <v>630.70000000000005</v>
      </c>
      <c r="I20" s="221" t="str">
        <f>IF(A20="Total",VLOOKUP(B20,CORRESPONDANCE[#All],2,FALSE),I21)</f>
        <v>6.1</v>
      </c>
      <c r="J20" s="222" t="str">
        <f t="shared" si="0"/>
        <v>6</v>
      </c>
      <c r="K20" s="44" t="str">
        <f t="shared" si="1"/>
        <v>DIVES - 60261200</v>
      </c>
      <c r="L20" s="44" t="str">
        <f>+VLOOKUP(K20,TL[],4,FALSE)</f>
        <v>06</v>
      </c>
    </row>
    <row r="21" spans="1:12" x14ac:dyDescent="0.2">
      <c r="A21" t="s">
        <v>6111</v>
      </c>
      <c r="B21" t="s">
        <v>6882</v>
      </c>
      <c r="C21" t="s">
        <v>6961</v>
      </c>
      <c r="D21">
        <v>830.88</v>
      </c>
      <c r="E21" t="s">
        <v>6961</v>
      </c>
      <c r="F21">
        <v>830.88</v>
      </c>
      <c r="G21" s="220">
        <f t="shared" si="2"/>
        <v>-830.88</v>
      </c>
      <c r="H21" s="220">
        <f t="shared" si="3"/>
        <v>-830.88</v>
      </c>
      <c r="I21" s="221" t="str">
        <f>IF(A21="Total",VLOOKUP(B21,CORRESPONDANCE[#All],2,FALSE),I22)</f>
        <v>6.1</v>
      </c>
      <c r="J21" s="222" t="str">
        <f t="shared" si="0"/>
        <v>6</v>
      </c>
      <c r="K21" s="44" t="str">
        <f t="shared" si="1"/>
        <v>DIVES - 60321000</v>
      </c>
      <c r="L21" s="44" t="str">
        <f>+VLOOKUP(K21,TL[],4,FALSE)</f>
        <v>06</v>
      </c>
    </row>
    <row r="22" spans="1:12" x14ac:dyDescent="0.2">
      <c r="A22" t="s">
        <v>197</v>
      </c>
      <c r="B22" t="s">
        <v>3010</v>
      </c>
      <c r="C22" t="s">
        <v>6961</v>
      </c>
      <c r="D22">
        <v>200.18</v>
      </c>
      <c r="E22" t="s">
        <v>6961</v>
      </c>
      <c r="F22">
        <v>200.18</v>
      </c>
      <c r="G22" s="220">
        <f t="shared" si="2"/>
        <v>-200.18</v>
      </c>
      <c r="H22" s="220">
        <f t="shared" si="3"/>
        <v>-200.18</v>
      </c>
      <c r="I22" s="221" t="str">
        <f>IF(A22="Total",VLOOKUP(B22,CORRESPONDANCE[#All],2,FALSE),I23)</f>
        <v>6.1</v>
      </c>
      <c r="J22" s="222" t="str">
        <f t="shared" si="0"/>
        <v>T</v>
      </c>
      <c r="K22" s="44" t="str">
        <f t="shared" si="1"/>
        <v>DIVES - Total</v>
      </c>
      <c r="L22" s="44" t="e">
        <f>+VLOOKUP(K22,TL[],4,FALSE)</f>
        <v>#N/A</v>
      </c>
    </row>
    <row r="23" spans="1:12" x14ac:dyDescent="0.2">
      <c r="A23" t="s">
        <v>2625</v>
      </c>
      <c r="B23" t="s">
        <v>406</v>
      </c>
      <c r="C23">
        <v>33391.18</v>
      </c>
      <c r="D23" t="s">
        <v>6961</v>
      </c>
      <c r="E23">
        <v>33391.18</v>
      </c>
      <c r="F23" t="s">
        <v>6961</v>
      </c>
      <c r="G23" s="220">
        <f t="shared" si="2"/>
        <v>33391.18</v>
      </c>
      <c r="H23" s="220">
        <f t="shared" si="3"/>
        <v>33391.18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DIVES - 64110100</v>
      </c>
      <c r="L23" s="44" t="str">
        <f>+VLOOKUP(K23,TL[],4,FALSE)</f>
        <v>10</v>
      </c>
    </row>
    <row r="24" spans="1:12" x14ac:dyDescent="0.2">
      <c r="A24" t="s">
        <v>2626</v>
      </c>
      <c r="B24" t="s">
        <v>776</v>
      </c>
      <c r="C24">
        <v>760.07</v>
      </c>
      <c r="D24" t="s">
        <v>6961</v>
      </c>
      <c r="E24">
        <v>760.07</v>
      </c>
      <c r="F24" t="s">
        <v>6961</v>
      </c>
      <c r="G24" s="220">
        <f t="shared" si="2"/>
        <v>760.07</v>
      </c>
      <c r="H24" s="220">
        <f t="shared" si="3"/>
        <v>760.07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DIVES - 64120000</v>
      </c>
      <c r="L24" s="44" t="str">
        <f>+VLOOKUP(K24,TL[],4,FALSE)</f>
        <v>10</v>
      </c>
    </row>
    <row r="25" spans="1:12" x14ac:dyDescent="0.2">
      <c r="A25" t="s">
        <v>2627</v>
      </c>
      <c r="B25" t="s">
        <v>433</v>
      </c>
      <c r="C25">
        <v>2114.2199999999998</v>
      </c>
      <c r="D25" t="s">
        <v>6961</v>
      </c>
      <c r="E25">
        <v>2114.2199999999998</v>
      </c>
      <c r="F25" t="s">
        <v>6961</v>
      </c>
      <c r="G25" s="220">
        <f t="shared" si="2"/>
        <v>2114.2199999999998</v>
      </c>
      <c r="H25" s="220">
        <f t="shared" si="3"/>
        <v>2114.2199999999998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DIVES - 64140100</v>
      </c>
      <c r="L25" s="44" t="str">
        <f>+VLOOKUP(K25,TL[],4,FALSE)</f>
        <v>10</v>
      </c>
    </row>
    <row r="26" spans="1:12" x14ac:dyDescent="0.2">
      <c r="A26" t="s">
        <v>2628</v>
      </c>
      <c r="B26" t="s">
        <v>408</v>
      </c>
      <c r="C26">
        <v>394.32</v>
      </c>
      <c r="D26" t="s">
        <v>6961</v>
      </c>
      <c r="E26">
        <v>394.32</v>
      </c>
      <c r="F26" t="s">
        <v>6961</v>
      </c>
      <c r="G26" s="220">
        <f t="shared" si="2"/>
        <v>394.32</v>
      </c>
      <c r="H26" s="220">
        <f t="shared" si="3"/>
        <v>394.32</v>
      </c>
      <c r="I26" s="221">
        <f>IF(A26="Total",VLOOKUP(B26,CORRESPONDANCE[#All],2,FALSE),I27)</f>
        <v>8</v>
      </c>
      <c r="J26" s="222" t="str">
        <f t="shared" si="0"/>
        <v>6</v>
      </c>
      <c r="K26" s="44" t="str">
        <f t="shared" si="1"/>
        <v>DIVES - 64141100</v>
      </c>
      <c r="L26" s="44" t="str">
        <f>+VLOOKUP(K26,TL[],4,FALSE)</f>
        <v>10</v>
      </c>
    </row>
    <row r="27" spans="1:12" x14ac:dyDescent="0.2">
      <c r="A27" t="s">
        <v>2629</v>
      </c>
      <c r="B27" t="s">
        <v>1355</v>
      </c>
      <c r="C27" t="s">
        <v>6961</v>
      </c>
      <c r="D27">
        <v>2114.2199999999998</v>
      </c>
      <c r="E27" t="s">
        <v>6961</v>
      </c>
      <c r="F27">
        <v>2114.2199999999998</v>
      </c>
      <c r="G27" s="220">
        <f t="shared" si="2"/>
        <v>-2114.2199999999998</v>
      </c>
      <c r="H27" s="220">
        <f t="shared" si="3"/>
        <v>-2114.2199999999998</v>
      </c>
      <c r="I27" s="221">
        <f>IF(A27="Total",VLOOKUP(B27,CORRESPONDANCE[#All],2,FALSE),I28)</f>
        <v>8</v>
      </c>
      <c r="J27" s="222" t="str">
        <f t="shared" si="0"/>
        <v>7</v>
      </c>
      <c r="K27" s="44" t="str">
        <f t="shared" si="1"/>
        <v>DIVES - 72610000</v>
      </c>
      <c r="L27" s="44" t="str">
        <f>+VLOOKUP(K27,TL[],4,FALSE)</f>
        <v>10</v>
      </c>
    </row>
    <row r="28" spans="1:12" x14ac:dyDescent="0.2">
      <c r="A28" t="s">
        <v>197</v>
      </c>
      <c r="B28" t="s">
        <v>2523</v>
      </c>
      <c r="C28">
        <v>34545.57</v>
      </c>
      <c r="D28" t="s">
        <v>6961</v>
      </c>
      <c r="E28">
        <v>34545.57</v>
      </c>
      <c r="F28" t="s">
        <v>6961</v>
      </c>
      <c r="G28" s="220">
        <f t="shared" si="2"/>
        <v>34545.57</v>
      </c>
      <c r="H28" s="220">
        <f t="shared" si="3"/>
        <v>34545.57</v>
      </c>
      <c r="I28" s="221">
        <f>IF(A28="Total",VLOOKUP(B28,CORRESPONDANCE[#All],2,FALSE),I29)</f>
        <v>8</v>
      </c>
      <c r="J28" s="222" t="str">
        <f t="shared" si="0"/>
        <v>T</v>
      </c>
      <c r="K28" s="44" t="str">
        <f t="shared" si="1"/>
        <v>DIVES - Total</v>
      </c>
      <c r="L28" s="44" t="e">
        <f>+VLOOKUP(K28,TL[],4,FALSE)</f>
        <v>#N/A</v>
      </c>
    </row>
    <row r="29" spans="1:12" x14ac:dyDescent="0.2">
      <c r="A29" t="s">
        <v>3684</v>
      </c>
      <c r="B29" t="s">
        <v>271</v>
      </c>
      <c r="C29">
        <v>296.08999999999997</v>
      </c>
      <c r="D29" t="s">
        <v>6961</v>
      </c>
      <c r="E29">
        <v>296.08999999999997</v>
      </c>
      <c r="F29" t="s">
        <v>6961</v>
      </c>
      <c r="G29" s="220">
        <f t="shared" si="2"/>
        <v>296.08999999999997</v>
      </c>
      <c r="H29" s="220">
        <f t="shared" si="3"/>
        <v>296.08999999999997</v>
      </c>
      <c r="I29" s="221">
        <f>IF(A29="Total",VLOOKUP(B29,CORRESPONDANCE[#All],2,FALSE),I30)</f>
        <v>9</v>
      </c>
      <c r="J29" s="222" t="str">
        <f t="shared" si="0"/>
        <v>6</v>
      </c>
      <c r="K29" s="44" t="str">
        <f t="shared" si="1"/>
        <v>DIVES - 64504100</v>
      </c>
      <c r="L29" s="44" t="str">
        <f>+VLOOKUP(K29,TL[],4,FALSE)</f>
        <v>10</v>
      </c>
    </row>
    <row r="30" spans="1:12" x14ac:dyDescent="0.2">
      <c r="A30" t="s">
        <v>2630</v>
      </c>
      <c r="B30" t="s">
        <v>407</v>
      </c>
      <c r="C30">
        <v>2626.68</v>
      </c>
      <c r="D30" t="s">
        <v>6961</v>
      </c>
      <c r="E30">
        <v>2626.68</v>
      </c>
      <c r="F30" t="s">
        <v>6961</v>
      </c>
      <c r="G30" s="220">
        <f t="shared" si="2"/>
        <v>2626.68</v>
      </c>
      <c r="H30" s="220">
        <f t="shared" si="3"/>
        <v>2626.68</v>
      </c>
      <c r="I30" s="221">
        <f>IF(A30="Total",VLOOKUP(B30,CORRESPONDANCE[#All],2,FALSE),I31)</f>
        <v>9</v>
      </c>
      <c r="J30" s="222" t="str">
        <f t="shared" si="0"/>
        <v>6</v>
      </c>
      <c r="K30" s="44" t="str">
        <f t="shared" si="1"/>
        <v>DIVES - 64510100</v>
      </c>
      <c r="L30" s="44" t="str">
        <f>+VLOOKUP(K30,TL[],4,FALSE)</f>
        <v>10</v>
      </c>
    </row>
    <row r="31" spans="1:12" x14ac:dyDescent="0.2">
      <c r="A31" t="s">
        <v>2632</v>
      </c>
      <c r="B31" t="s">
        <v>398</v>
      </c>
      <c r="C31">
        <v>1003.99</v>
      </c>
      <c r="D31" t="s">
        <v>6961</v>
      </c>
      <c r="E31">
        <v>1003.99</v>
      </c>
      <c r="F31" t="s">
        <v>6961</v>
      </c>
      <c r="G31" s="220">
        <f t="shared" si="2"/>
        <v>1003.99</v>
      </c>
      <c r="H31" s="220">
        <f t="shared" si="3"/>
        <v>1003.99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DIVES - 64530100</v>
      </c>
      <c r="L31" s="44" t="str">
        <f>+VLOOKUP(K31,TL[],4,FALSE)</f>
        <v>10</v>
      </c>
    </row>
    <row r="32" spans="1:12" x14ac:dyDescent="0.2">
      <c r="A32" t="s">
        <v>2633</v>
      </c>
      <c r="B32" t="s">
        <v>413</v>
      </c>
      <c r="C32">
        <v>1155.27</v>
      </c>
      <c r="D32" t="s">
        <v>6961</v>
      </c>
      <c r="E32">
        <v>1155.27</v>
      </c>
      <c r="F32" t="s">
        <v>6961</v>
      </c>
      <c r="G32" s="220">
        <f t="shared" si="2"/>
        <v>1155.27</v>
      </c>
      <c r="H32" s="220">
        <f t="shared" si="3"/>
        <v>1155.27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DIVES - 64540100</v>
      </c>
      <c r="L32" s="44" t="str">
        <f>+VLOOKUP(K32,TL[],4,FALSE)</f>
        <v>10</v>
      </c>
    </row>
    <row r="33" spans="1:12" x14ac:dyDescent="0.2">
      <c r="A33" t="s">
        <v>2634</v>
      </c>
      <c r="B33" t="s">
        <v>411</v>
      </c>
      <c r="C33" t="s">
        <v>6961</v>
      </c>
      <c r="D33">
        <v>17.2</v>
      </c>
      <c r="E33" t="s">
        <v>6961</v>
      </c>
      <c r="F33">
        <v>17.2</v>
      </c>
      <c r="G33" s="220">
        <f t="shared" si="2"/>
        <v>-17.2</v>
      </c>
      <c r="H33" s="220">
        <f t="shared" si="3"/>
        <v>-17.2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DIVES - 64580000</v>
      </c>
      <c r="L33" s="44" t="str">
        <f>+VLOOKUP(K33,TL[],4,FALSE)</f>
        <v>10</v>
      </c>
    </row>
    <row r="34" spans="1:12" x14ac:dyDescent="0.2">
      <c r="A34" t="s">
        <v>197</v>
      </c>
      <c r="B34" t="s">
        <v>2529</v>
      </c>
      <c r="C34">
        <v>5064.83</v>
      </c>
      <c r="D34" t="s">
        <v>6961</v>
      </c>
      <c r="E34">
        <v>5064.83</v>
      </c>
      <c r="F34" t="s">
        <v>6961</v>
      </c>
      <c r="G34" s="220">
        <f t="shared" si="2"/>
        <v>5064.83</v>
      </c>
      <c r="H34" s="220">
        <f t="shared" si="3"/>
        <v>5064.83</v>
      </c>
      <c r="I34" s="221">
        <f>IF(A34="Total",VLOOKUP(B34,CORRESPONDANCE[#All],2,FALSE),I35)</f>
        <v>9</v>
      </c>
      <c r="J34" s="222" t="str">
        <f t="shared" si="0"/>
        <v>T</v>
      </c>
      <c r="K34" s="44" t="str">
        <f t="shared" si="1"/>
        <v>DIVES - Total</v>
      </c>
      <c r="L34" s="44" t="e">
        <f>+VLOOKUP(K34,TL[],4,FALSE)</f>
        <v>#N/A</v>
      </c>
    </row>
    <row r="35" spans="1:12" x14ac:dyDescent="0.2">
      <c r="A35" t="s">
        <v>3626</v>
      </c>
      <c r="B35" t="s">
        <v>1372</v>
      </c>
      <c r="C35">
        <v>4217.2299999999996</v>
      </c>
      <c r="D35" t="s">
        <v>6961</v>
      </c>
      <c r="E35">
        <v>4217.2299999999996</v>
      </c>
      <c r="F35" t="s">
        <v>6961</v>
      </c>
      <c r="G35" s="220">
        <f t="shared" si="2"/>
        <v>4217.2299999999996</v>
      </c>
      <c r="H35" s="220">
        <f t="shared" si="3"/>
        <v>4217.2299999999996</v>
      </c>
      <c r="I35" s="221">
        <f>IF(A35="Total",VLOOKUP(B35,CORRESPONDANCE[#All],2,FALSE),I36)</f>
        <v>10</v>
      </c>
      <c r="J35" s="222" t="str">
        <f t="shared" si="0"/>
        <v>6</v>
      </c>
      <c r="K35" s="44" t="str">
        <f t="shared" si="1"/>
        <v>DIVES - 62140400</v>
      </c>
      <c r="L35" s="44" t="str">
        <f>+VLOOKUP(K35,TL[],4,FALSE)</f>
        <v>11</v>
      </c>
    </row>
    <row r="36" spans="1:12" x14ac:dyDescent="0.2">
      <c r="A36" t="s">
        <v>2636</v>
      </c>
      <c r="B36" t="s">
        <v>395</v>
      </c>
      <c r="C36">
        <v>13090.62</v>
      </c>
      <c r="D36" t="s">
        <v>6961</v>
      </c>
      <c r="E36">
        <v>13090.62</v>
      </c>
      <c r="F36" t="s">
        <v>6961</v>
      </c>
      <c r="G36" s="220">
        <f t="shared" si="2"/>
        <v>13090.62</v>
      </c>
      <c r="H36" s="220">
        <f t="shared" si="3"/>
        <v>13090.62</v>
      </c>
      <c r="I36" s="221">
        <f>IF(A36="Total",VLOOKUP(B36,CORRESPONDANCE[#All],2,FALSE),I37)</f>
        <v>10</v>
      </c>
      <c r="J36" s="222" t="str">
        <f t="shared" si="0"/>
        <v>6</v>
      </c>
      <c r="K36" s="44" t="str">
        <f t="shared" si="1"/>
        <v>DIVES - 64110400</v>
      </c>
      <c r="L36" s="44" t="str">
        <f>+VLOOKUP(K36,TL[],4,FALSE)</f>
        <v>11</v>
      </c>
    </row>
    <row r="37" spans="1:12" x14ac:dyDescent="0.2">
      <c r="A37" t="s">
        <v>2637</v>
      </c>
      <c r="B37" t="s">
        <v>428</v>
      </c>
      <c r="C37">
        <v>210.03</v>
      </c>
      <c r="D37" t="s">
        <v>6961</v>
      </c>
      <c r="E37">
        <v>210.03</v>
      </c>
      <c r="F37" t="s">
        <v>6961</v>
      </c>
      <c r="G37" s="220">
        <f t="shared" si="2"/>
        <v>210.03</v>
      </c>
      <c r="H37" s="220">
        <f t="shared" si="3"/>
        <v>210.03</v>
      </c>
      <c r="I37" s="221">
        <f>IF(A37="Total",VLOOKUP(B37,CORRESPONDANCE[#All],2,FALSE),I38)</f>
        <v>10</v>
      </c>
      <c r="J37" s="222" t="str">
        <f t="shared" si="0"/>
        <v>6</v>
      </c>
      <c r="K37" s="44" t="str">
        <f t="shared" si="1"/>
        <v>DIVES - 64121000</v>
      </c>
      <c r="L37" s="44" t="str">
        <f>+VLOOKUP(K37,TL[],4,FALSE)</f>
        <v>11</v>
      </c>
    </row>
    <row r="38" spans="1:12" x14ac:dyDescent="0.2">
      <c r="A38" t="s">
        <v>2638</v>
      </c>
      <c r="B38" t="s">
        <v>272</v>
      </c>
      <c r="C38">
        <v>422</v>
      </c>
      <c r="D38" t="s">
        <v>6961</v>
      </c>
      <c r="E38">
        <v>422</v>
      </c>
      <c r="F38" t="s">
        <v>6961</v>
      </c>
      <c r="G38" s="220">
        <f t="shared" si="2"/>
        <v>422</v>
      </c>
      <c r="H38" s="220">
        <f t="shared" si="3"/>
        <v>422</v>
      </c>
      <c r="I38" s="221">
        <f>IF(A38="Total",VLOOKUP(B38,CORRESPONDANCE[#All],2,FALSE),I39)</f>
        <v>10</v>
      </c>
      <c r="J38" s="222" t="str">
        <f t="shared" si="0"/>
        <v>6</v>
      </c>
      <c r="K38" s="44" t="str">
        <f t="shared" si="1"/>
        <v>DIVES - 64140400</v>
      </c>
      <c r="L38" s="44" t="str">
        <f>+VLOOKUP(K38,TL[],4,FALSE)</f>
        <v>11</v>
      </c>
    </row>
    <row r="39" spans="1:12" x14ac:dyDescent="0.2">
      <c r="A39" t="s">
        <v>2639</v>
      </c>
      <c r="B39" t="s">
        <v>412</v>
      </c>
      <c r="C39">
        <v>129.02000000000001</v>
      </c>
      <c r="D39" t="s">
        <v>6961</v>
      </c>
      <c r="E39">
        <v>129.02000000000001</v>
      </c>
      <c r="F39" t="s">
        <v>6961</v>
      </c>
      <c r="G39" s="220">
        <f t="shared" si="2"/>
        <v>129.02000000000001</v>
      </c>
      <c r="H39" s="220">
        <f t="shared" si="3"/>
        <v>129.02000000000001</v>
      </c>
      <c r="I39" s="221">
        <f>IF(A39="Total",VLOOKUP(B39,CORRESPONDANCE[#All],2,FALSE),I40)</f>
        <v>10</v>
      </c>
      <c r="J39" s="222" t="str">
        <f t="shared" si="0"/>
        <v>6</v>
      </c>
      <c r="K39" s="44" t="str">
        <f t="shared" si="1"/>
        <v>DIVES - 64141400</v>
      </c>
      <c r="L39" s="44" t="str">
        <f>+VLOOKUP(K39,TL[],4,FALSE)</f>
        <v>11</v>
      </c>
    </row>
    <row r="40" spans="1:12" x14ac:dyDescent="0.2">
      <c r="A40" t="s">
        <v>2641</v>
      </c>
      <c r="B40" t="s">
        <v>1381</v>
      </c>
      <c r="C40" t="s">
        <v>6961</v>
      </c>
      <c r="D40">
        <v>422</v>
      </c>
      <c r="E40" t="s">
        <v>6961</v>
      </c>
      <c r="F40">
        <v>422</v>
      </c>
      <c r="G40" s="220">
        <f t="shared" si="2"/>
        <v>-422</v>
      </c>
      <c r="H40" s="220">
        <f t="shared" si="3"/>
        <v>-422</v>
      </c>
      <c r="I40" s="221">
        <f>IF(A40="Total",VLOOKUP(B40,CORRESPONDANCE[#All],2,FALSE),I41)</f>
        <v>10</v>
      </c>
      <c r="J40" s="222" t="str">
        <f t="shared" si="0"/>
        <v>7</v>
      </c>
      <c r="K40" s="44" t="str">
        <f t="shared" si="1"/>
        <v>DIVES - 72611000</v>
      </c>
      <c r="L40" s="44" t="str">
        <f>+VLOOKUP(K40,TL[],4,FALSE)</f>
        <v>11</v>
      </c>
    </row>
    <row r="41" spans="1:12" x14ac:dyDescent="0.2">
      <c r="A41" t="s">
        <v>197</v>
      </c>
      <c r="B41" t="s">
        <v>2532</v>
      </c>
      <c r="C41">
        <v>17646.900000000001</v>
      </c>
      <c r="D41" t="s">
        <v>6961</v>
      </c>
      <c r="E41">
        <v>17646.900000000001</v>
      </c>
      <c r="F41" t="s">
        <v>6961</v>
      </c>
      <c r="G41" s="220">
        <f t="shared" si="2"/>
        <v>17646.900000000001</v>
      </c>
      <c r="H41" s="220">
        <f t="shared" si="3"/>
        <v>17646.900000000001</v>
      </c>
      <c r="I41" s="221">
        <f>IF(A41="Total",VLOOKUP(B41,CORRESPONDANCE[#All],2,FALSE),I42)</f>
        <v>10</v>
      </c>
      <c r="J41" s="222" t="str">
        <f t="shared" si="0"/>
        <v>T</v>
      </c>
      <c r="K41" s="44" t="str">
        <f t="shared" si="1"/>
        <v>DIVES - Total</v>
      </c>
      <c r="L41" s="44" t="e">
        <f>+VLOOKUP(K41,TL[],4,FALSE)</f>
        <v>#N/A</v>
      </c>
    </row>
    <row r="42" spans="1:12" x14ac:dyDescent="0.2">
      <c r="A42" t="s">
        <v>7109</v>
      </c>
      <c r="B42" t="s">
        <v>7110</v>
      </c>
      <c r="C42">
        <v>864.43</v>
      </c>
      <c r="D42" t="s">
        <v>6961</v>
      </c>
      <c r="E42">
        <v>864.43</v>
      </c>
      <c r="F42" t="s">
        <v>6961</v>
      </c>
      <c r="G42" s="220">
        <f t="shared" si="2"/>
        <v>864.43</v>
      </c>
      <c r="H42" s="220">
        <f t="shared" si="3"/>
        <v>864.43</v>
      </c>
      <c r="I42" s="221">
        <f>IF(A42="Total",VLOOKUP(B42,CORRESPONDANCE[#All],2,FALSE),I43)</f>
        <v>11</v>
      </c>
      <c r="J42" s="222" t="str">
        <f t="shared" si="0"/>
        <v>6</v>
      </c>
      <c r="K42" s="44" t="str">
        <f t="shared" si="1"/>
        <v>DIVES - 62141400</v>
      </c>
      <c r="L42" s="44" t="e">
        <f>+VLOOKUP(K42,TL[],4,FALSE)</f>
        <v>#N/A</v>
      </c>
    </row>
    <row r="43" spans="1:12" x14ac:dyDescent="0.2">
      <c r="A43" t="s">
        <v>3685</v>
      </c>
      <c r="B43" t="s">
        <v>273</v>
      </c>
      <c r="C43">
        <v>61.26</v>
      </c>
      <c r="D43" t="s">
        <v>6961</v>
      </c>
      <c r="E43">
        <v>61.26</v>
      </c>
      <c r="F43" t="s">
        <v>6961</v>
      </c>
      <c r="G43" s="220">
        <f t="shared" si="2"/>
        <v>61.26</v>
      </c>
      <c r="H43" s="220">
        <f t="shared" si="3"/>
        <v>61.26</v>
      </c>
      <c r="I43" s="221">
        <f>IF(A43="Total",VLOOKUP(B43,CORRESPONDANCE[#All],2,FALSE),I44)</f>
        <v>11</v>
      </c>
      <c r="J43" s="222" t="str">
        <f t="shared" si="0"/>
        <v>6</v>
      </c>
      <c r="K43" s="44" t="str">
        <f t="shared" si="1"/>
        <v>DIVES - 64504400</v>
      </c>
      <c r="L43" s="44" t="str">
        <f>+VLOOKUP(K43,TL[],4,FALSE)</f>
        <v>12</v>
      </c>
    </row>
    <row r="44" spans="1:12" x14ac:dyDescent="0.2">
      <c r="A44" t="s">
        <v>2644</v>
      </c>
      <c r="B44" t="s">
        <v>345</v>
      </c>
      <c r="C44">
        <v>1759.62</v>
      </c>
      <c r="D44" t="s">
        <v>6961</v>
      </c>
      <c r="E44">
        <v>1759.62</v>
      </c>
      <c r="F44" t="s">
        <v>6961</v>
      </c>
      <c r="G44" s="220">
        <f t="shared" si="2"/>
        <v>1759.62</v>
      </c>
      <c r="H44" s="220">
        <f t="shared" si="3"/>
        <v>1759.62</v>
      </c>
      <c r="I44" s="221">
        <f>IF(A44="Total",VLOOKUP(B44,CORRESPONDANCE[#All],2,FALSE),I45)</f>
        <v>11</v>
      </c>
      <c r="J44" s="222" t="str">
        <f t="shared" si="0"/>
        <v>6</v>
      </c>
      <c r="K44" s="44" t="str">
        <f t="shared" si="1"/>
        <v>DIVES - 64510400</v>
      </c>
      <c r="L44" s="44" t="str">
        <f>+VLOOKUP(K44,TL[],4,FALSE)</f>
        <v>12</v>
      </c>
    </row>
    <row r="45" spans="1:12" x14ac:dyDescent="0.2">
      <c r="A45" t="s">
        <v>2646</v>
      </c>
      <c r="B45" t="s">
        <v>410</v>
      </c>
      <c r="C45">
        <v>522.46</v>
      </c>
      <c r="D45" t="s">
        <v>6961</v>
      </c>
      <c r="E45">
        <v>522.46</v>
      </c>
      <c r="F45" t="s">
        <v>6961</v>
      </c>
      <c r="G45" s="220">
        <f t="shared" si="2"/>
        <v>522.46</v>
      </c>
      <c r="H45" s="220">
        <f t="shared" si="3"/>
        <v>522.46</v>
      </c>
      <c r="I45" s="221">
        <f>IF(A45="Total",VLOOKUP(B45,CORRESPONDANCE[#All],2,FALSE),I46)</f>
        <v>11</v>
      </c>
      <c r="J45" s="222" t="str">
        <f t="shared" si="0"/>
        <v>6</v>
      </c>
      <c r="K45" s="44" t="str">
        <f t="shared" si="1"/>
        <v>DIVES - 64530400</v>
      </c>
      <c r="L45" s="44" t="str">
        <f>+VLOOKUP(K45,TL[],4,FALSE)</f>
        <v>12</v>
      </c>
    </row>
    <row r="46" spans="1:12" x14ac:dyDescent="0.2">
      <c r="A46" t="s">
        <v>2647</v>
      </c>
      <c r="B46" t="s">
        <v>409</v>
      </c>
      <c r="C46">
        <v>435.09</v>
      </c>
      <c r="D46" t="s">
        <v>6961</v>
      </c>
      <c r="E46">
        <v>435.09</v>
      </c>
      <c r="F46" t="s">
        <v>6961</v>
      </c>
      <c r="G46" s="220">
        <f t="shared" si="2"/>
        <v>435.09</v>
      </c>
      <c r="H46" s="220">
        <f t="shared" si="3"/>
        <v>435.09</v>
      </c>
      <c r="I46" s="221">
        <f>IF(A46="Total",VLOOKUP(B46,CORRESPONDANCE[#All],2,FALSE),I47)</f>
        <v>11</v>
      </c>
      <c r="J46" s="222" t="str">
        <f t="shared" si="0"/>
        <v>6</v>
      </c>
      <c r="K46" s="44" t="str">
        <f t="shared" si="1"/>
        <v>DIVES - 64540400</v>
      </c>
      <c r="L46" s="44" t="str">
        <f>+VLOOKUP(K46,TL[],4,FALSE)</f>
        <v>12</v>
      </c>
    </row>
    <row r="47" spans="1:12" x14ac:dyDescent="0.2">
      <c r="A47" t="s">
        <v>2648</v>
      </c>
      <c r="B47" t="s">
        <v>421</v>
      </c>
      <c r="C47">
        <v>64.92</v>
      </c>
      <c r="D47" t="s">
        <v>6961</v>
      </c>
      <c r="E47">
        <v>64.92</v>
      </c>
      <c r="F47" t="s">
        <v>6961</v>
      </c>
      <c r="G47" s="220">
        <f t="shared" si="2"/>
        <v>64.92</v>
      </c>
      <c r="H47" s="220">
        <f t="shared" si="3"/>
        <v>64.92</v>
      </c>
      <c r="I47" s="221">
        <f>IF(A47="Total",VLOOKUP(B47,CORRESPONDANCE[#All],2,FALSE),I48)</f>
        <v>11</v>
      </c>
      <c r="J47" s="222" t="str">
        <f t="shared" si="0"/>
        <v>6</v>
      </c>
      <c r="K47" s="44" t="str">
        <f t="shared" si="1"/>
        <v>DIVES - 64581000</v>
      </c>
      <c r="L47" s="44" t="str">
        <f>+VLOOKUP(K47,TL[],4,FALSE)</f>
        <v>12</v>
      </c>
    </row>
    <row r="48" spans="1:12" x14ac:dyDescent="0.2">
      <c r="A48" t="s">
        <v>197</v>
      </c>
      <c r="B48" t="s">
        <v>2539</v>
      </c>
      <c r="C48">
        <v>3707.78</v>
      </c>
      <c r="D48" t="s">
        <v>6961</v>
      </c>
      <c r="E48">
        <v>3707.78</v>
      </c>
      <c r="F48" t="s">
        <v>6961</v>
      </c>
      <c r="G48" s="220">
        <f t="shared" si="2"/>
        <v>3707.78</v>
      </c>
      <c r="H48" s="220">
        <f t="shared" si="3"/>
        <v>3707.78</v>
      </c>
      <c r="I48" s="221">
        <f>IF(A48="Total",VLOOKUP(B48,CORRESPONDANCE[#All],2,FALSE),I49)</f>
        <v>11</v>
      </c>
      <c r="J48" s="222" t="str">
        <f t="shared" si="0"/>
        <v>T</v>
      </c>
      <c r="K48" s="44" t="str">
        <f t="shared" si="1"/>
        <v>DIVES - Total</v>
      </c>
      <c r="L48" s="44" t="e">
        <f>+VLOOKUP(K48,TL[],4,FALSE)</f>
        <v>#N/A</v>
      </c>
    </row>
    <row r="49" spans="1:12" x14ac:dyDescent="0.2">
      <c r="A49" t="s">
        <v>2651</v>
      </c>
      <c r="B49" t="s">
        <v>260</v>
      </c>
      <c r="C49">
        <v>229</v>
      </c>
      <c r="D49" t="s">
        <v>6961</v>
      </c>
      <c r="E49">
        <v>229</v>
      </c>
      <c r="F49" t="s">
        <v>6961</v>
      </c>
      <c r="G49" s="220">
        <f t="shared" si="2"/>
        <v>229</v>
      </c>
      <c r="H49" s="220">
        <f t="shared" si="3"/>
        <v>229</v>
      </c>
      <c r="I49" s="221">
        <f>IF(A49="Total",VLOOKUP(B49,CORRESPONDANCE[#All],2,FALSE),I50)</f>
        <v>15</v>
      </c>
      <c r="J49" s="222" t="str">
        <f t="shared" si="0"/>
        <v>6</v>
      </c>
      <c r="K49" s="44" t="str">
        <f t="shared" si="1"/>
        <v>DIVES - 61521000</v>
      </c>
      <c r="L49" s="44" t="str">
        <f>+VLOOKUP(K49,TL[],4,FALSE)</f>
        <v>16</v>
      </c>
    </row>
    <row r="50" spans="1:12" x14ac:dyDescent="0.2">
      <c r="A50" t="s">
        <v>3605</v>
      </c>
      <c r="B50" t="s">
        <v>6921</v>
      </c>
      <c r="C50">
        <v>9850</v>
      </c>
      <c r="D50" t="s">
        <v>6961</v>
      </c>
      <c r="E50">
        <v>9850</v>
      </c>
      <c r="F50" t="s">
        <v>6961</v>
      </c>
      <c r="G50" s="220">
        <f t="shared" si="2"/>
        <v>9850</v>
      </c>
      <c r="H50" s="220">
        <f t="shared" si="3"/>
        <v>9850</v>
      </c>
      <c r="I50" s="221">
        <f>IF(A50="Total",VLOOKUP(B50,CORRESPONDANCE[#All],2,FALSE),I51)</f>
        <v>15</v>
      </c>
      <c r="J50" s="222" t="str">
        <f t="shared" si="0"/>
        <v>6</v>
      </c>
      <c r="K50" s="44" t="str">
        <f t="shared" si="1"/>
        <v>DIVES - 61561900</v>
      </c>
      <c r="L50" s="44" t="str">
        <f>+VLOOKUP(K50,TL[],4,FALSE)</f>
        <v>16</v>
      </c>
    </row>
    <row r="51" spans="1:12" x14ac:dyDescent="0.2">
      <c r="A51" t="s">
        <v>197</v>
      </c>
      <c r="B51" t="s">
        <v>2544</v>
      </c>
      <c r="C51">
        <v>10079</v>
      </c>
      <c r="D51" t="s">
        <v>6961</v>
      </c>
      <c r="E51">
        <v>10079</v>
      </c>
      <c r="F51" t="s">
        <v>6961</v>
      </c>
      <c r="G51" s="220">
        <f t="shared" si="2"/>
        <v>10079</v>
      </c>
      <c r="H51" s="220">
        <f t="shared" si="3"/>
        <v>10079</v>
      </c>
      <c r="I51" s="221">
        <f>IF(A51="Total",VLOOKUP(B51,CORRESPONDANCE[#All],2,FALSE),I52)</f>
        <v>15</v>
      </c>
      <c r="J51" s="222" t="str">
        <f t="shared" si="0"/>
        <v>T</v>
      </c>
      <c r="K51" s="44" t="str">
        <f t="shared" si="1"/>
        <v>DIVES - Total</v>
      </c>
      <c r="L51" s="44" t="e">
        <f>+VLOOKUP(K51,TL[],4,FALSE)</f>
        <v>#N/A</v>
      </c>
    </row>
    <row r="52" spans="1:12" x14ac:dyDescent="0.2">
      <c r="A52" t="s">
        <v>2677</v>
      </c>
      <c r="B52" t="s">
        <v>418</v>
      </c>
      <c r="C52">
        <v>55</v>
      </c>
      <c r="D52" t="s">
        <v>6961</v>
      </c>
      <c r="E52">
        <v>55</v>
      </c>
      <c r="F52" t="s">
        <v>6961</v>
      </c>
      <c r="G52" s="220">
        <f t="shared" si="2"/>
        <v>55</v>
      </c>
      <c r="H52" s="220">
        <f t="shared" si="3"/>
        <v>55</v>
      </c>
      <c r="I52" s="221">
        <f>IF(A52="Total",VLOOKUP(B52,CORRESPONDANCE[#All],2,FALSE),I53)</f>
        <v>16</v>
      </c>
      <c r="J52" s="222" t="str">
        <f t="shared" si="0"/>
        <v>6</v>
      </c>
      <c r="K52" s="44" t="str">
        <f t="shared" si="1"/>
        <v>DIVES - 61562800</v>
      </c>
      <c r="L52" s="44" t="str">
        <f>+VLOOKUP(K52,TL[],4,FALSE)</f>
        <v>16</v>
      </c>
    </row>
    <row r="53" spans="1:12" x14ac:dyDescent="0.2">
      <c r="A53" t="s">
        <v>197</v>
      </c>
      <c r="B53" t="s">
        <v>2545</v>
      </c>
      <c r="C53">
        <v>55</v>
      </c>
      <c r="D53" t="s">
        <v>6961</v>
      </c>
      <c r="E53">
        <v>55</v>
      </c>
      <c r="F53" t="s">
        <v>6961</v>
      </c>
      <c r="G53" s="220">
        <f t="shared" si="2"/>
        <v>55</v>
      </c>
      <c r="H53" s="220">
        <f t="shared" si="3"/>
        <v>55</v>
      </c>
      <c r="I53" s="221">
        <f>IF(A53="Total",VLOOKUP(B53,CORRESPONDANCE[#All],2,FALSE),I54)</f>
        <v>16</v>
      </c>
      <c r="J53" s="222" t="str">
        <f t="shared" si="0"/>
        <v>T</v>
      </c>
      <c r="K53" s="44" t="str">
        <f t="shared" si="1"/>
        <v>DIVES - Total</v>
      </c>
      <c r="L53" s="44" t="e">
        <f>+VLOOKUP(K53,TL[],4,FALSE)</f>
        <v>#N/A</v>
      </c>
    </row>
    <row r="54" spans="1:12" x14ac:dyDescent="0.2">
      <c r="A54" t="s">
        <v>2656</v>
      </c>
      <c r="B54" t="s">
        <v>258</v>
      </c>
      <c r="C54">
        <v>570.24</v>
      </c>
      <c r="D54" t="s">
        <v>6961</v>
      </c>
      <c r="E54">
        <v>570.24</v>
      </c>
      <c r="F54" t="s">
        <v>6961</v>
      </c>
      <c r="G54" s="220">
        <f t="shared" si="2"/>
        <v>570.24</v>
      </c>
      <c r="H54" s="220">
        <f t="shared" si="3"/>
        <v>570.24</v>
      </c>
      <c r="I54" s="221">
        <f>IF(A54="Total",VLOOKUP(B54,CORRESPONDANCE[#All],2,FALSE),I55)</f>
        <v>17</v>
      </c>
      <c r="J54" s="222" t="str">
        <f t="shared" si="0"/>
        <v>6</v>
      </c>
      <c r="K54" s="44" t="str">
        <f t="shared" si="1"/>
        <v>DIVES - 62780100</v>
      </c>
      <c r="L54" s="44" t="str">
        <f>+VLOOKUP(K54,TL[],4,FALSE)</f>
        <v>37</v>
      </c>
    </row>
    <row r="55" spans="1:12" x14ac:dyDescent="0.2">
      <c r="A55" t="s">
        <v>2657</v>
      </c>
      <c r="B55" t="s">
        <v>238</v>
      </c>
      <c r="C55">
        <v>847.43</v>
      </c>
      <c r="D55" t="s">
        <v>6961</v>
      </c>
      <c r="E55">
        <v>847.43</v>
      </c>
      <c r="F55" t="s">
        <v>6961</v>
      </c>
      <c r="G55" s="220">
        <f t="shared" si="2"/>
        <v>847.43</v>
      </c>
      <c r="H55" s="220">
        <f t="shared" si="3"/>
        <v>847.43</v>
      </c>
      <c r="I55" s="221">
        <f>IF(A55="Total",VLOOKUP(B55,CORRESPONDANCE[#All],2,FALSE),I56)</f>
        <v>17</v>
      </c>
      <c r="J55" s="222" t="str">
        <f t="shared" si="0"/>
        <v>6</v>
      </c>
      <c r="K55" s="44" t="str">
        <f t="shared" si="1"/>
        <v>DIVES - 62780200</v>
      </c>
      <c r="L55" s="44" t="str">
        <f>+VLOOKUP(K55,TL[],4,FALSE)</f>
        <v>37</v>
      </c>
    </row>
    <row r="56" spans="1:12" x14ac:dyDescent="0.2">
      <c r="A56" t="s">
        <v>2658</v>
      </c>
      <c r="B56" t="s">
        <v>363</v>
      </c>
      <c r="C56">
        <v>644.45000000000005</v>
      </c>
      <c r="D56" t="s">
        <v>6961</v>
      </c>
      <c r="E56">
        <v>644.45000000000005</v>
      </c>
      <c r="F56" t="s">
        <v>6961</v>
      </c>
      <c r="G56" s="220">
        <f t="shared" si="2"/>
        <v>644.45000000000005</v>
      </c>
      <c r="H56" s="220">
        <f t="shared" si="3"/>
        <v>644.45000000000005</v>
      </c>
      <c r="I56" s="221">
        <f>IF(A56="Total",VLOOKUP(B56,CORRESPONDANCE[#All],2,FALSE),I57)</f>
        <v>17</v>
      </c>
      <c r="J56" s="222" t="str">
        <f t="shared" si="0"/>
        <v>6</v>
      </c>
      <c r="K56" s="44" t="str">
        <f t="shared" si="1"/>
        <v>DIVES - 62780300</v>
      </c>
      <c r="L56" s="44" t="str">
        <f>+VLOOKUP(K56,TL[],4,FALSE)</f>
        <v>37</v>
      </c>
    </row>
    <row r="57" spans="1:12" x14ac:dyDescent="0.2">
      <c r="A57" t="s">
        <v>3656</v>
      </c>
      <c r="B57" t="s">
        <v>340</v>
      </c>
      <c r="C57">
        <v>67.75</v>
      </c>
      <c r="D57" t="s">
        <v>6961</v>
      </c>
      <c r="E57">
        <v>67.75</v>
      </c>
      <c r="F57" t="s">
        <v>6961</v>
      </c>
      <c r="G57" s="220">
        <f t="shared" si="2"/>
        <v>67.75</v>
      </c>
      <c r="H57" s="220">
        <f t="shared" si="3"/>
        <v>67.75</v>
      </c>
      <c r="I57" s="221">
        <f>IF(A57="Total",VLOOKUP(B57,CORRESPONDANCE[#All],2,FALSE),I58)</f>
        <v>17</v>
      </c>
      <c r="J57" s="222" t="str">
        <f t="shared" si="0"/>
        <v>6</v>
      </c>
      <c r="K57" s="44" t="str">
        <f t="shared" si="1"/>
        <v>DIVES - 62780500</v>
      </c>
      <c r="L57" s="44" t="str">
        <f>+VLOOKUP(K57,TL[],4,FALSE)</f>
        <v>37</v>
      </c>
    </row>
    <row r="58" spans="1:12" x14ac:dyDescent="0.2">
      <c r="A58" t="s">
        <v>6170</v>
      </c>
      <c r="B58" t="s">
        <v>416</v>
      </c>
      <c r="C58">
        <v>2.2799999999999998</v>
      </c>
      <c r="D58" t="s">
        <v>6961</v>
      </c>
      <c r="E58">
        <v>2.2799999999999998</v>
      </c>
      <c r="F58" t="s">
        <v>6961</v>
      </c>
      <c r="G58" s="220">
        <f t="shared" si="2"/>
        <v>2.2799999999999998</v>
      </c>
      <c r="H58" s="220">
        <f t="shared" si="3"/>
        <v>2.2799999999999998</v>
      </c>
      <c r="I58" s="221">
        <f>IF(A58="Total",VLOOKUP(B58,CORRESPONDANCE[#All],2,FALSE),I59)</f>
        <v>17</v>
      </c>
      <c r="J58" s="222" t="str">
        <f t="shared" si="0"/>
        <v>6</v>
      </c>
      <c r="K58" s="44" t="str">
        <f t="shared" si="1"/>
        <v>DIVES - 62780700</v>
      </c>
      <c r="L58" s="44" t="str">
        <f>+VLOOKUP(K58,TL[],4,FALSE)</f>
        <v>37</v>
      </c>
    </row>
    <row r="59" spans="1:12" x14ac:dyDescent="0.2">
      <c r="A59" t="s">
        <v>197</v>
      </c>
      <c r="B59" t="s">
        <v>2546</v>
      </c>
      <c r="C59">
        <v>2132.15</v>
      </c>
      <c r="D59" t="s">
        <v>6961</v>
      </c>
      <c r="E59">
        <v>2132.15</v>
      </c>
      <c r="F59" t="s">
        <v>6961</v>
      </c>
      <c r="G59" s="220">
        <f t="shared" si="2"/>
        <v>2132.15</v>
      </c>
      <c r="H59" s="220">
        <f t="shared" si="3"/>
        <v>2132.15</v>
      </c>
      <c r="I59" s="221">
        <f>IF(A59="Total",VLOOKUP(B59,CORRESPONDANCE[#All],2,FALSE),I60)</f>
        <v>17</v>
      </c>
      <c r="J59" s="222" t="str">
        <f t="shared" si="0"/>
        <v>T</v>
      </c>
      <c r="K59" s="44" t="str">
        <f t="shared" si="1"/>
        <v>DIVES - Total</v>
      </c>
      <c r="L59" s="44" t="e">
        <f>+VLOOKUP(K59,TL[],4,FALSE)</f>
        <v>#N/A</v>
      </c>
    </row>
    <row r="60" spans="1:12" x14ac:dyDescent="0.2">
      <c r="A60" t="s">
        <v>2660</v>
      </c>
      <c r="B60" t="s">
        <v>1153</v>
      </c>
      <c r="C60">
        <v>57.91</v>
      </c>
      <c r="D60" t="s">
        <v>6961</v>
      </c>
      <c r="E60">
        <v>57.91</v>
      </c>
      <c r="F60" t="s">
        <v>6961</v>
      </c>
      <c r="G60" s="220">
        <f t="shared" si="2"/>
        <v>57.91</v>
      </c>
      <c r="H60" s="220">
        <f t="shared" si="3"/>
        <v>57.91</v>
      </c>
      <c r="I60" s="221">
        <f>IF(A60="Total",VLOOKUP(B60,CORRESPONDANCE[#All],2,FALSE),I61)</f>
        <v>18</v>
      </c>
      <c r="J60" s="222" t="str">
        <f t="shared" si="0"/>
        <v>6</v>
      </c>
      <c r="K60" s="44" t="str">
        <f t="shared" si="1"/>
        <v>DIVES - 60630000</v>
      </c>
      <c r="L60" s="44" t="str">
        <f>+VLOOKUP(K60,TL[],4,FALSE)</f>
        <v>19</v>
      </c>
    </row>
    <row r="61" spans="1:12" x14ac:dyDescent="0.2">
      <c r="A61" t="s">
        <v>3599</v>
      </c>
      <c r="B61" t="s">
        <v>387</v>
      </c>
      <c r="C61">
        <v>249.14</v>
      </c>
      <c r="D61" t="s">
        <v>6961</v>
      </c>
      <c r="E61">
        <v>249.14</v>
      </c>
      <c r="F61" t="s">
        <v>6961</v>
      </c>
      <c r="G61" s="220">
        <f t="shared" si="2"/>
        <v>249.14</v>
      </c>
      <c r="H61" s="220">
        <f t="shared" si="3"/>
        <v>249.14</v>
      </c>
      <c r="I61" s="221">
        <f>IF(A61="Total",VLOOKUP(B61,CORRESPONDANCE[#All],2,FALSE),I62)</f>
        <v>18</v>
      </c>
      <c r="J61" s="222" t="str">
        <f t="shared" si="0"/>
        <v>6</v>
      </c>
      <c r="K61" s="44" t="str">
        <f t="shared" si="1"/>
        <v>DIVES - 61550000</v>
      </c>
      <c r="L61" s="44" t="str">
        <f>+VLOOKUP(K61,TL[],4,FALSE)</f>
        <v>19</v>
      </c>
    </row>
    <row r="62" spans="1:12" x14ac:dyDescent="0.2">
      <c r="A62" t="s">
        <v>197</v>
      </c>
      <c r="B62" t="s">
        <v>2547</v>
      </c>
      <c r="C62">
        <v>307.05</v>
      </c>
      <c r="D62" t="s">
        <v>6961</v>
      </c>
      <c r="E62">
        <v>307.05</v>
      </c>
      <c r="F62" t="s">
        <v>6961</v>
      </c>
      <c r="G62" s="220">
        <f t="shared" si="2"/>
        <v>307.05</v>
      </c>
      <c r="H62" s="220">
        <f t="shared" si="3"/>
        <v>307.05</v>
      </c>
      <c r="I62" s="221">
        <f>IF(A62="Total",VLOOKUP(B62,CORRESPONDANCE[#All],2,FALSE),I63)</f>
        <v>18</v>
      </c>
      <c r="J62" s="222" t="str">
        <f t="shared" si="0"/>
        <v>T</v>
      </c>
      <c r="K62" s="44" t="str">
        <f t="shared" si="1"/>
        <v>DIVES - Total</v>
      </c>
      <c r="L62" s="44" t="e">
        <f>+VLOOKUP(K62,TL[],4,FALSE)</f>
        <v>#N/A</v>
      </c>
    </row>
    <row r="63" spans="1:12" x14ac:dyDescent="0.2">
      <c r="A63" t="s">
        <v>3563</v>
      </c>
      <c r="B63" t="s">
        <v>1555</v>
      </c>
      <c r="C63">
        <v>200</v>
      </c>
      <c r="D63" t="s">
        <v>6961</v>
      </c>
      <c r="E63">
        <v>200</v>
      </c>
      <c r="F63" t="s">
        <v>6961</v>
      </c>
      <c r="G63" s="220">
        <f t="shared" si="2"/>
        <v>200</v>
      </c>
      <c r="H63" s="220">
        <f t="shared" si="3"/>
        <v>200</v>
      </c>
      <c r="I63" s="221">
        <f>IF(A63="Total",VLOOKUP(B63,CORRESPONDANCE[#All],2,FALSE),I64)</f>
        <v>19</v>
      </c>
      <c r="J63" s="222" t="str">
        <f t="shared" si="0"/>
        <v>6</v>
      </c>
      <c r="K63" s="44" t="str">
        <f t="shared" si="1"/>
        <v>DIVES - 61110000</v>
      </c>
      <c r="L63" s="44" t="str">
        <f>+VLOOKUP(K63,TL[],4,FALSE)</f>
        <v>32</v>
      </c>
    </row>
    <row r="64" spans="1:12" x14ac:dyDescent="0.2">
      <c r="A64" t="s">
        <v>3569</v>
      </c>
      <c r="B64" t="s">
        <v>219</v>
      </c>
      <c r="C64">
        <v>191.14</v>
      </c>
      <c r="D64" t="s">
        <v>6961</v>
      </c>
      <c r="E64">
        <v>191.14</v>
      </c>
      <c r="F64" t="s">
        <v>6961</v>
      </c>
      <c r="G64" s="220">
        <f t="shared" si="2"/>
        <v>191.14</v>
      </c>
      <c r="H64" s="220">
        <f t="shared" si="3"/>
        <v>191.14</v>
      </c>
      <c r="I64" s="221">
        <f>IF(A64="Total",VLOOKUP(B64,CORRESPONDANCE[#All],2,FALSE),I65)</f>
        <v>19</v>
      </c>
      <c r="J64" s="222" t="str">
        <f t="shared" si="0"/>
        <v>6</v>
      </c>
      <c r="K64" s="44" t="str">
        <f t="shared" si="1"/>
        <v>DIVES - 61300800</v>
      </c>
      <c r="L64" s="44" t="str">
        <f>+VLOOKUP(K64,TL[],4,FALSE)</f>
        <v>16</v>
      </c>
    </row>
    <row r="65" spans="1:12" x14ac:dyDescent="0.2">
      <c r="A65" t="s">
        <v>6514</v>
      </c>
      <c r="B65" t="s">
        <v>394</v>
      </c>
      <c r="C65">
        <v>131.94999999999999</v>
      </c>
      <c r="D65" t="s">
        <v>6961</v>
      </c>
      <c r="E65">
        <v>131.94999999999999</v>
      </c>
      <c r="F65" t="s">
        <v>6961</v>
      </c>
      <c r="G65" s="220">
        <f t="shared" si="2"/>
        <v>131.94999999999999</v>
      </c>
      <c r="H65" s="220">
        <f t="shared" si="3"/>
        <v>131.94999999999999</v>
      </c>
      <c r="I65" s="221">
        <f>IF(A65="Total",VLOOKUP(B65,CORRESPONDANCE[#All],2,FALSE),I66)</f>
        <v>19</v>
      </c>
      <c r="J65" s="222" t="str">
        <f t="shared" si="0"/>
        <v>6</v>
      </c>
      <c r="K65" s="44" t="str">
        <f t="shared" si="1"/>
        <v>DIVES - 61301000</v>
      </c>
      <c r="L65" s="44" t="str">
        <f>+VLOOKUP(K65,TL[],4,FALSE)</f>
        <v>16</v>
      </c>
    </row>
    <row r="66" spans="1:12" x14ac:dyDescent="0.2">
      <c r="A66" t="s">
        <v>2663</v>
      </c>
      <c r="B66" t="s">
        <v>1440</v>
      </c>
      <c r="C66">
        <v>46</v>
      </c>
      <c r="D66" t="s">
        <v>6961</v>
      </c>
      <c r="E66">
        <v>46</v>
      </c>
      <c r="F66" t="s">
        <v>6961</v>
      </c>
      <c r="G66" s="220">
        <f t="shared" si="2"/>
        <v>46</v>
      </c>
      <c r="H66" s="220">
        <f t="shared" si="3"/>
        <v>46</v>
      </c>
      <c r="I66" s="221">
        <f>IF(A66="Total",VLOOKUP(B66,CORRESPONDANCE[#All],2,FALSE),I67)</f>
        <v>19</v>
      </c>
      <c r="J66" s="222" t="str">
        <f t="shared" si="0"/>
        <v>6</v>
      </c>
      <c r="K66" s="44" t="str">
        <f t="shared" si="1"/>
        <v>DIVES - 61321000</v>
      </c>
      <c r="L66" s="44" t="str">
        <f>+VLOOKUP(K66,TL[],4,FALSE)</f>
        <v>16</v>
      </c>
    </row>
    <row r="67" spans="1:12" x14ac:dyDescent="0.2">
      <c r="A67" t="s">
        <v>3597</v>
      </c>
      <c r="B67" t="s">
        <v>154</v>
      </c>
      <c r="C67">
        <v>144</v>
      </c>
      <c r="D67" t="s">
        <v>6961</v>
      </c>
      <c r="E67">
        <v>144</v>
      </c>
      <c r="F67" t="s">
        <v>6961</v>
      </c>
      <c r="G67" s="220">
        <f t="shared" si="2"/>
        <v>144</v>
      </c>
      <c r="H67" s="220">
        <f t="shared" si="3"/>
        <v>144</v>
      </c>
      <c r="I67" s="221">
        <f>IF(A67="Total",VLOOKUP(B67,CORRESPONDANCE[#All],2,FALSE),I68)</f>
        <v>19</v>
      </c>
      <c r="J67" s="222" t="str">
        <f t="shared" ref="J67:J130" si="4">LEFT(A67,1)</f>
        <v>6</v>
      </c>
      <c r="K67" s="44" t="str">
        <f t="shared" ref="K67:K130" si="5">"DIVES"&amp;" - "&amp;A67</f>
        <v>DIVES - 61520000</v>
      </c>
      <c r="L67" s="44" t="str">
        <f>+VLOOKUP(K67,TL[],4,FALSE)</f>
        <v>16</v>
      </c>
    </row>
    <row r="68" spans="1:12" x14ac:dyDescent="0.2">
      <c r="A68" t="s">
        <v>2666</v>
      </c>
      <c r="B68" t="s">
        <v>419</v>
      </c>
      <c r="C68">
        <v>475</v>
      </c>
      <c r="D68" t="s">
        <v>6961</v>
      </c>
      <c r="E68">
        <v>475</v>
      </c>
      <c r="F68" t="s">
        <v>6961</v>
      </c>
      <c r="G68" s="220">
        <f t="shared" si="2"/>
        <v>475</v>
      </c>
      <c r="H68" s="220">
        <f t="shared" si="3"/>
        <v>475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DIVES - 61560000</v>
      </c>
      <c r="L68" s="44" t="str">
        <f>+VLOOKUP(K68,TL[],4,FALSE)</f>
        <v>16</v>
      </c>
    </row>
    <row r="69" spans="1:12" x14ac:dyDescent="0.2">
      <c r="A69" t="s">
        <v>2667</v>
      </c>
      <c r="B69" t="s">
        <v>234</v>
      </c>
      <c r="C69">
        <v>27.5</v>
      </c>
      <c r="D69" t="s">
        <v>6961</v>
      </c>
      <c r="E69">
        <v>27.5</v>
      </c>
      <c r="F69" t="s">
        <v>6961</v>
      </c>
      <c r="G69" s="220">
        <f t="shared" si="2"/>
        <v>27.5</v>
      </c>
      <c r="H69" s="220">
        <f t="shared" si="3"/>
        <v>27.5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DIVES - 61561000</v>
      </c>
      <c r="L69" s="44" t="str">
        <f>+VLOOKUP(K69,TL[],4,FALSE)</f>
        <v>16</v>
      </c>
    </row>
    <row r="70" spans="1:12" x14ac:dyDescent="0.2">
      <c r="A70" t="s">
        <v>2668</v>
      </c>
      <c r="B70" t="s">
        <v>1368</v>
      </c>
      <c r="C70">
        <v>249</v>
      </c>
      <c r="D70" t="s">
        <v>6961</v>
      </c>
      <c r="E70">
        <v>249</v>
      </c>
      <c r="F70" t="s">
        <v>6961</v>
      </c>
      <c r="G70" s="220">
        <f t="shared" ref="G70:G133" si="6">SUM(C70)-SUM(D70)</f>
        <v>249</v>
      </c>
      <c r="H70" s="220">
        <f t="shared" ref="H70:H133" si="7">SUM(E70)-SUM(F70)</f>
        <v>249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DIVES - 61561100</v>
      </c>
      <c r="L70" s="44" t="str">
        <f>+VLOOKUP(K70,TL[],4,FALSE)</f>
        <v>16</v>
      </c>
    </row>
    <row r="71" spans="1:12" x14ac:dyDescent="0.2">
      <c r="A71" t="s">
        <v>2669</v>
      </c>
      <c r="B71" t="s">
        <v>404</v>
      </c>
      <c r="C71">
        <v>119</v>
      </c>
      <c r="D71" t="s">
        <v>6961</v>
      </c>
      <c r="E71">
        <v>119</v>
      </c>
      <c r="F71" t="s">
        <v>6961</v>
      </c>
      <c r="G71" s="220">
        <f t="shared" si="6"/>
        <v>119</v>
      </c>
      <c r="H71" s="220">
        <f t="shared" si="7"/>
        <v>119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DIVES - 61561200</v>
      </c>
      <c r="L71" s="44" t="str">
        <f>+VLOOKUP(K71,TL[],4,FALSE)</f>
        <v>16</v>
      </c>
    </row>
    <row r="72" spans="1:12" x14ac:dyDescent="0.2">
      <c r="A72" t="s">
        <v>2670</v>
      </c>
      <c r="B72" t="s">
        <v>239</v>
      </c>
      <c r="C72">
        <v>420</v>
      </c>
      <c r="D72" t="s">
        <v>6961</v>
      </c>
      <c r="E72">
        <v>420</v>
      </c>
      <c r="F72" t="s">
        <v>6961</v>
      </c>
      <c r="G72" s="220">
        <f t="shared" si="6"/>
        <v>420</v>
      </c>
      <c r="H72" s="220">
        <f t="shared" si="7"/>
        <v>420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DIVES - 61561300</v>
      </c>
      <c r="L72" s="44" t="str">
        <f>+VLOOKUP(K72,TL[],4,FALSE)</f>
        <v>16</v>
      </c>
    </row>
    <row r="73" spans="1:12" x14ac:dyDescent="0.2">
      <c r="A73" t="s">
        <v>3603</v>
      </c>
      <c r="B73" t="s">
        <v>1317</v>
      </c>
      <c r="C73">
        <v>229</v>
      </c>
      <c r="D73" t="s">
        <v>6961</v>
      </c>
      <c r="E73">
        <v>229</v>
      </c>
      <c r="F73" t="s">
        <v>6961</v>
      </c>
      <c r="G73" s="220">
        <f t="shared" si="6"/>
        <v>229</v>
      </c>
      <c r="H73" s="220">
        <f t="shared" si="7"/>
        <v>229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DIVES - 61561400</v>
      </c>
      <c r="L73" s="44" t="str">
        <f>+VLOOKUP(K73,TL[],4,FALSE)</f>
        <v>16</v>
      </c>
    </row>
    <row r="74" spans="1:12" x14ac:dyDescent="0.2">
      <c r="A74" t="s">
        <v>2652</v>
      </c>
      <c r="B74" t="s">
        <v>240</v>
      </c>
      <c r="C74">
        <v>42.66</v>
      </c>
      <c r="D74" t="s">
        <v>6961</v>
      </c>
      <c r="E74">
        <v>42.66</v>
      </c>
      <c r="F74" t="s">
        <v>6961</v>
      </c>
      <c r="G74" s="220">
        <f t="shared" si="6"/>
        <v>42.66</v>
      </c>
      <c r="H74" s="220">
        <f t="shared" si="7"/>
        <v>42.66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DIVES - 61561500</v>
      </c>
      <c r="L74" s="44" t="str">
        <f>+VLOOKUP(K74,TL[],4,FALSE)</f>
        <v>16</v>
      </c>
    </row>
    <row r="75" spans="1:12" x14ac:dyDescent="0.2">
      <c r="A75" t="s">
        <v>2671</v>
      </c>
      <c r="B75" t="s">
        <v>229</v>
      </c>
      <c r="C75">
        <v>350</v>
      </c>
      <c r="D75" t="s">
        <v>6961</v>
      </c>
      <c r="E75">
        <v>350</v>
      </c>
      <c r="F75" t="s">
        <v>6961</v>
      </c>
      <c r="G75" s="220">
        <f t="shared" si="6"/>
        <v>350</v>
      </c>
      <c r="H75" s="220">
        <f t="shared" si="7"/>
        <v>350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DIVES - 61561600</v>
      </c>
      <c r="L75" s="44" t="str">
        <f>+VLOOKUP(K75,TL[],4,FALSE)</f>
        <v>16</v>
      </c>
    </row>
    <row r="76" spans="1:12" x14ac:dyDescent="0.2">
      <c r="A76" t="s">
        <v>2672</v>
      </c>
      <c r="B76" t="s">
        <v>233</v>
      </c>
      <c r="C76">
        <v>67.2</v>
      </c>
      <c r="D76" t="s">
        <v>6961</v>
      </c>
      <c r="E76">
        <v>67.2</v>
      </c>
      <c r="F76" t="s">
        <v>6961</v>
      </c>
      <c r="G76" s="220">
        <f t="shared" si="6"/>
        <v>67.2</v>
      </c>
      <c r="H76" s="220">
        <f t="shared" si="7"/>
        <v>67.2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DIVES - 61561800</v>
      </c>
      <c r="L76" s="44" t="str">
        <f>+VLOOKUP(K76,TL[],4,FALSE)</f>
        <v>16</v>
      </c>
    </row>
    <row r="77" spans="1:12" x14ac:dyDescent="0.2">
      <c r="A77" t="s">
        <v>2673</v>
      </c>
      <c r="B77" t="s">
        <v>488</v>
      </c>
      <c r="C77">
        <v>1335</v>
      </c>
      <c r="D77" t="s">
        <v>6961</v>
      </c>
      <c r="E77">
        <v>1335</v>
      </c>
      <c r="F77" t="s">
        <v>6961</v>
      </c>
      <c r="G77" s="220">
        <f t="shared" si="6"/>
        <v>1335</v>
      </c>
      <c r="H77" s="220">
        <f t="shared" si="7"/>
        <v>1335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DIVES - 61562100</v>
      </c>
      <c r="L77" s="44" t="str">
        <f>+VLOOKUP(K77,TL[],4,FALSE)</f>
        <v>16</v>
      </c>
    </row>
    <row r="78" spans="1:12" x14ac:dyDescent="0.2">
      <c r="A78" t="s">
        <v>3606</v>
      </c>
      <c r="B78" t="s">
        <v>280</v>
      </c>
      <c r="C78">
        <v>200</v>
      </c>
      <c r="D78" t="s">
        <v>6961</v>
      </c>
      <c r="E78">
        <v>200</v>
      </c>
      <c r="F78" t="s">
        <v>6961</v>
      </c>
      <c r="G78" s="220">
        <f t="shared" si="6"/>
        <v>200</v>
      </c>
      <c r="H78" s="220">
        <f t="shared" si="7"/>
        <v>200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DIVES - 61562200</v>
      </c>
      <c r="L78" s="44" t="str">
        <f>+VLOOKUP(K78,TL[],4,FALSE)</f>
        <v>16</v>
      </c>
    </row>
    <row r="79" spans="1:12" x14ac:dyDescent="0.2">
      <c r="A79" t="s">
        <v>2674</v>
      </c>
      <c r="B79" t="s">
        <v>242</v>
      </c>
      <c r="C79">
        <v>668.42</v>
      </c>
      <c r="D79" t="s">
        <v>6961</v>
      </c>
      <c r="E79">
        <v>668.42</v>
      </c>
      <c r="F79" t="s">
        <v>6961</v>
      </c>
      <c r="G79" s="220">
        <f t="shared" si="6"/>
        <v>668.42</v>
      </c>
      <c r="H79" s="220">
        <f t="shared" si="7"/>
        <v>668.42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DIVES - 61562300</v>
      </c>
      <c r="L79" s="44" t="str">
        <f>+VLOOKUP(K79,TL[],4,FALSE)</f>
        <v>16</v>
      </c>
    </row>
    <row r="80" spans="1:12" x14ac:dyDescent="0.2">
      <c r="A80" t="s">
        <v>2678</v>
      </c>
      <c r="B80" t="s">
        <v>259</v>
      </c>
      <c r="C80">
        <v>120</v>
      </c>
      <c r="D80" t="s">
        <v>6961</v>
      </c>
      <c r="E80">
        <v>120</v>
      </c>
      <c r="F80" t="s">
        <v>6961</v>
      </c>
      <c r="G80" s="220">
        <f t="shared" si="6"/>
        <v>120</v>
      </c>
      <c r="H80" s="220">
        <f t="shared" si="7"/>
        <v>120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DIVES - 61563000</v>
      </c>
      <c r="L80" s="44" t="str">
        <f>+VLOOKUP(K80,TL[],4,FALSE)</f>
        <v>16</v>
      </c>
    </row>
    <row r="81" spans="1:12" x14ac:dyDescent="0.2">
      <c r="A81" t="s">
        <v>2679</v>
      </c>
      <c r="B81" t="s">
        <v>900</v>
      </c>
      <c r="C81">
        <v>50.12</v>
      </c>
      <c r="D81" t="s">
        <v>6961</v>
      </c>
      <c r="E81">
        <v>50.12</v>
      </c>
      <c r="F81" t="s">
        <v>6961</v>
      </c>
      <c r="G81" s="220">
        <f t="shared" si="6"/>
        <v>50.12</v>
      </c>
      <c r="H81" s="220">
        <f t="shared" si="7"/>
        <v>50.12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DIVES - 61563200</v>
      </c>
      <c r="L81" s="44" t="str">
        <f>+VLOOKUP(K81,TL[],4,FALSE)</f>
        <v>16</v>
      </c>
    </row>
    <row r="82" spans="1:12" x14ac:dyDescent="0.2">
      <c r="A82" t="s">
        <v>3613</v>
      </c>
      <c r="B82" t="s">
        <v>252</v>
      </c>
      <c r="C82">
        <v>19</v>
      </c>
      <c r="D82" t="s">
        <v>6961</v>
      </c>
      <c r="E82">
        <v>19</v>
      </c>
      <c r="F82" t="s">
        <v>6961</v>
      </c>
      <c r="G82" s="220">
        <f t="shared" si="6"/>
        <v>19</v>
      </c>
      <c r="H82" s="220">
        <f t="shared" si="7"/>
        <v>19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DIVES - 61563400</v>
      </c>
      <c r="L82" s="44" t="str">
        <f>+VLOOKUP(K82,TL[],4,FALSE)</f>
        <v>16</v>
      </c>
    </row>
    <row r="83" spans="1:12" x14ac:dyDescent="0.2">
      <c r="A83" t="s">
        <v>2680</v>
      </c>
      <c r="B83" t="s">
        <v>249</v>
      </c>
      <c r="C83">
        <v>49</v>
      </c>
      <c r="D83" t="s">
        <v>6961</v>
      </c>
      <c r="E83">
        <v>49</v>
      </c>
      <c r="F83" t="s">
        <v>6961</v>
      </c>
      <c r="G83" s="220">
        <f t="shared" si="6"/>
        <v>49</v>
      </c>
      <c r="H83" s="220">
        <f t="shared" si="7"/>
        <v>49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DIVES - 61563500</v>
      </c>
      <c r="L83" s="44" t="str">
        <f>+VLOOKUP(K83,TL[],4,FALSE)</f>
        <v>16</v>
      </c>
    </row>
    <row r="84" spans="1:12" x14ac:dyDescent="0.2">
      <c r="A84" t="s">
        <v>2681</v>
      </c>
      <c r="B84" t="s">
        <v>373</v>
      </c>
      <c r="C84">
        <v>20</v>
      </c>
      <c r="D84" t="s">
        <v>6961</v>
      </c>
      <c r="E84">
        <v>20</v>
      </c>
      <c r="F84" t="s">
        <v>6961</v>
      </c>
      <c r="G84" s="220">
        <f t="shared" si="6"/>
        <v>20</v>
      </c>
      <c r="H84" s="220">
        <f t="shared" si="7"/>
        <v>20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DIVES - 61563600</v>
      </c>
      <c r="L84" s="44" t="str">
        <f>+VLOOKUP(K84,TL[],4,FALSE)</f>
        <v>16</v>
      </c>
    </row>
    <row r="85" spans="1:12" x14ac:dyDescent="0.2">
      <c r="A85" t="s">
        <v>2683</v>
      </c>
      <c r="B85" t="s">
        <v>1443</v>
      </c>
      <c r="C85">
        <v>99</v>
      </c>
      <c r="D85" t="s">
        <v>6961</v>
      </c>
      <c r="E85">
        <v>99</v>
      </c>
      <c r="F85" t="s">
        <v>6961</v>
      </c>
      <c r="G85" s="220">
        <f t="shared" si="6"/>
        <v>99</v>
      </c>
      <c r="H85" s="220">
        <f t="shared" si="7"/>
        <v>99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DIVES - 61563800</v>
      </c>
      <c r="L85" s="44" t="str">
        <f>+VLOOKUP(K85,TL[],4,FALSE)</f>
        <v>16</v>
      </c>
    </row>
    <row r="86" spans="1:12" x14ac:dyDescent="0.2">
      <c r="A86" t="s">
        <v>3615</v>
      </c>
      <c r="B86" t="s">
        <v>1547</v>
      </c>
      <c r="C86">
        <v>73.17</v>
      </c>
      <c r="D86" t="s">
        <v>6961</v>
      </c>
      <c r="E86">
        <v>73.17</v>
      </c>
      <c r="F86" t="s">
        <v>6961</v>
      </c>
      <c r="G86" s="220">
        <f t="shared" si="6"/>
        <v>73.17</v>
      </c>
      <c r="H86" s="220">
        <f t="shared" si="7"/>
        <v>73.17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DIVES - 61564000</v>
      </c>
      <c r="L86" s="44" t="str">
        <f>+VLOOKUP(K86,TL[],4,FALSE)</f>
        <v>16</v>
      </c>
    </row>
    <row r="87" spans="1:12" x14ac:dyDescent="0.2">
      <c r="A87" t="s">
        <v>2684</v>
      </c>
      <c r="B87" t="s">
        <v>1488</v>
      </c>
      <c r="C87">
        <v>84</v>
      </c>
      <c r="D87" t="s">
        <v>6961</v>
      </c>
      <c r="E87">
        <v>84</v>
      </c>
      <c r="F87" t="s">
        <v>6961</v>
      </c>
      <c r="G87" s="220">
        <f t="shared" si="6"/>
        <v>84</v>
      </c>
      <c r="H87" s="220">
        <f t="shared" si="7"/>
        <v>84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DIVES - 61564100</v>
      </c>
      <c r="L87" s="44" t="str">
        <f>+VLOOKUP(K87,TL[],4,FALSE)</f>
        <v>16</v>
      </c>
    </row>
    <row r="88" spans="1:12" x14ac:dyDescent="0.2">
      <c r="A88" t="s">
        <v>3616</v>
      </c>
      <c r="B88" t="s">
        <v>2099</v>
      </c>
      <c r="C88">
        <v>168</v>
      </c>
      <c r="D88" t="s">
        <v>6961</v>
      </c>
      <c r="E88">
        <v>168</v>
      </c>
      <c r="F88" t="s">
        <v>6961</v>
      </c>
      <c r="G88" s="220">
        <f t="shared" si="6"/>
        <v>168</v>
      </c>
      <c r="H88" s="220">
        <f t="shared" si="7"/>
        <v>168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DIVES - 61564200</v>
      </c>
      <c r="L88" s="44" t="str">
        <f>+VLOOKUP(K88,TL[],4,FALSE)</f>
        <v>16</v>
      </c>
    </row>
    <row r="89" spans="1:12" x14ac:dyDescent="0.2">
      <c r="A89" t="s">
        <v>2685</v>
      </c>
      <c r="B89" t="s">
        <v>6975</v>
      </c>
      <c r="C89">
        <v>40.26</v>
      </c>
      <c r="D89" t="s">
        <v>6961</v>
      </c>
      <c r="E89">
        <v>40.26</v>
      </c>
      <c r="F89" t="s">
        <v>6961</v>
      </c>
      <c r="G89" s="220">
        <f t="shared" si="6"/>
        <v>40.26</v>
      </c>
      <c r="H89" s="220">
        <f t="shared" si="7"/>
        <v>40.26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DIVES - 61564300</v>
      </c>
      <c r="L89" s="44" t="e">
        <f>+VLOOKUP(K89,TL[],4,FALSE)</f>
        <v>#N/A</v>
      </c>
    </row>
    <row r="90" spans="1:12" x14ac:dyDescent="0.2">
      <c r="A90" t="s">
        <v>7127</v>
      </c>
      <c r="B90" t="s">
        <v>7121</v>
      </c>
      <c r="C90">
        <v>8.83</v>
      </c>
      <c r="D90" t="s">
        <v>6961</v>
      </c>
      <c r="E90">
        <v>8.83</v>
      </c>
      <c r="F90" t="s">
        <v>6961</v>
      </c>
      <c r="G90" s="220">
        <f t="shared" si="6"/>
        <v>8.83</v>
      </c>
      <c r="H90" s="220">
        <f t="shared" si="7"/>
        <v>8.83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DIVES - 62630000</v>
      </c>
      <c r="L90" s="44" t="e">
        <f>+VLOOKUP(K90,TL[],4,FALSE)</f>
        <v>#N/A</v>
      </c>
    </row>
    <row r="91" spans="1:12" x14ac:dyDescent="0.2">
      <c r="A91" t="s">
        <v>2692</v>
      </c>
      <c r="B91" t="s">
        <v>1253</v>
      </c>
      <c r="C91">
        <v>514</v>
      </c>
      <c r="D91" t="s">
        <v>6961</v>
      </c>
      <c r="E91">
        <v>514</v>
      </c>
      <c r="F91" t="s">
        <v>6961</v>
      </c>
      <c r="G91" s="220">
        <f t="shared" si="6"/>
        <v>514</v>
      </c>
      <c r="H91" s="220">
        <f t="shared" si="7"/>
        <v>514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DIVES - 64750000</v>
      </c>
      <c r="L91" s="44" t="str">
        <f>+VLOOKUP(K91,TL[],4,FALSE)</f>
        <v>16</v>
      </c>
    </row>
    <row r="92" spans="1:12" x14ac:dyDescent="0.2">
      <c r="A92" t="s">
        <v>3690</v>
      </c>
      <c r="B92" t="s">
        <v>282</v>
      </c>
      <c r="C92">
        <v>84</v>
      </c>
      <c r="D92" t="s">
        <v>6961</v>
      </c>
      <c r="E92">
        <v>84</v>
      </c>
      <c r="F92" t="s">
        <v>6961</v>
      </c>
      <c r="G92" s="220">
        <f t="shared" si="6"/>
        <v>84</v>
      </c>
      <c r="H92" s="220">
        <f t="shared" si="7"/>
        <v>84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DIVES - 65100300</v>
      </c>
      <c r="L92" s="44" t="str">
        <f>+VLOOKUP(K92,TL[],4,FALSE)</f>
        <v>16</v>
      </c>
    </row>
    <row r="93" spans="1:12" x14ac:dyDescent="0.2">
      <c r="A93" t="s">
        <v>7128</v>
      </c>
      <c r="B93" t="s">
        <v>7135</v>
      </c>
      <c r="C93">
        <v>289.14999999999998</v>
      </c>
      <c r="D93" t="s">
        <v>6961</v>
      </c>
      <c r="E93">
        <v>289.14999999999998</v>
      </c>
      <c r="F93" t="s">
        <v>6961</v>
      </c>
      <c r="G93" s="220">
        <f t="shared" si="6"/>
        <v>289.14999999999998</v>
      </c>
      <c r="H93" s="220">
        <f t="shared" si="7"/>
        <v>289.14999999999998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DIVES - 65170000</v>
      </c>
      <c r="L93" s="44" t="e">
        <f>+VLOOKUP(K93,TL[],4,FALSE)</f>
        <v>#N/A</v>
      </c>
    </row>
    <row r="94" spans="1:12" x14ac:dyDescent="0.2">
      <c r="A94" t="s">
        <v>197</v>
      </c>
      <c r="B94" t="s">
        <v>2567</v>
      </c>
      <c r="C94">
        <v>6514.4</v>
      </c>
      <c r="D94" t="s">
        <v>6961</v>
      </c>
      <c r="E94">
        <v>6514.4</v>
      </c>
      <c r="F94" t="s">
        <v>6961</v>
      </c>
      <c r="G94" s="220">
        <f t="shared" si="6"/>
        <v>6514.4</v>
      </c>
      <c r="H94" s="220">
        <f t="shared" si="7"/>
        <v>6514.4</v>
      </c>
      <c r="I94" s="221">
        <f>IF(A94="Total",VLOOKUP(B94,CORRESPONDANCE[#All],2,FALSE),I95)</f>
        <v>19</v>
      </c>
      <c r="J94" s="222" t="str">
        <f t="shared" si="4"/>
        <v>T</v>
      </c>
      <c r="K94" s="44" t="str">
        <f t="shared" si="5"/>
        <v>DIVES - Total</v>
      </c>
      <c r="L94" s="44" t="e">
        <f>+VLOOKUP(K94,TL[],4,FALSE)</f>
        <v>#N/A</v>
      </c>
    </row>
    <row r="95" spans="1:12" x14ac:dyDescent="0.2">
      <c r="A95" t="s">
        <v>7071</v>
      </c>
      <c r="B95" t="s">
        <v>7136</v>
      </c>
      <c r="C95">
        <v>215.56</v>
      </c>
      <c r="D95" t="s">
        <v>6961</v>
      </c>
      <c r="E95">
        <v>215.56</v>
      </c>
      <c r="F95" t="s">
        <v>6961</v>
      </c>
      <c r="G95" s="220">
        <f t="shared" si="6"/>
        <v>215.56</v>
      </c>
      <c r="H95" s="220">
        <f t="shared" si="7"/>
        <v>215.56</v>
      </c>
      <c r="I95" s="221">
        <f>IF(A95="Total",VLOOKUP(B95,CORRESPONDANCE[#All],2,FALSE),I96)</f>
        <v>21</v>
      </c>
      <c r="J95" s="222" t="str">
        <f t="shared" si="4"/>
        <v>6</v>
      </c>
      <c r="K95" s="44" t="str">
        <f t="shared" si="5"/>
        <v>DIVES - 62221000</v>
      </c>
      <c r="L95" s="44" t="e">
        <f>+VLOOKUP(K95,TL[],4,FALSE)</f>
        <v>#N/A</v>
      </c>
    </row>
    <row r="96" spans="1:12" x14ac:dyDescent="0.2">
      <c r="A96" t="s">
        <v>197</v>
      </c>
      <c r="B96" t="s">
        <v>2568</v>
      </c>
      <c r="C96">
        <v>215.56</v>
      </c>
      <c r="D96" t="s">
        <v>6961</v>
      </c>
      <c r="E96">
        <v>215.56</v>
      </c>
      <c r="F96" t="s">
        <v>6961</v>
      </c>
      <c r="G96" s="220">
        <f t="shared" si="6"/>
        <v>215.56</v>
      </c>
      <c r="H96" s="220">
        <f t="shared" si="7"/>
        <v>215.56</v>
      </c>
      <c r="I96" s="221">
        <f>IF(A96="Total",VLOOKUP(B96,CORRESPONDANCE[#All],2,FALSE),I97)</f>
        <v>21</v>
      </c>
      <c r="J96" s="222" t="str">
        <f t="shared" si="4"/>
        <v>T</v>
      </c>
      <c r="K96" s="44" t="str">
        <f t="shared" si="5"/>
        <v>DIVES - Total</v>
      </c>
      <c r="L96" s="44" t="e">
        <f>+VLOOKUP(K96,TL[],4,FALSE)</f>
        <v>#N/A</v>
      </c>
    </row>
    <row r="97" spans="1:12" x14ac:dyDescent="0.2">
      <c r="A97" t="s">
        <v>2695</v>
      </c>
      <c r="B97" t="s">
        <v>6883</v>
      </c>
      <c r="C97">
        <v>9708.01</v>
      </c>
      <c r="D97" t="s">
        <v>6961</v>
      </c>
      <c r="E97">
        <v>9708.01</v>
      </c>
      <c r="F97" t="s">
        <v>6961</v>
      </c>
      <c r="G97" s="220">
        <f t="shared" si="6"/>
        <v>9708.01</v>
      </c>
      <c r="H97" s="220">
        <f t="shared" si="7"/>
        <v>9708.01</v>
      </c>
      <c r="I97" s="221">
        <f>IF(A97="Total",VLOOKUP(B97,CORRESPONDANCE[#All],2,FALSE),I98)</f>
        <v>22</v>
      </c>
      <c r="J97" s="222" t="str">
        <f t="shared" si="4"/>
        <v>6</v>
      </c>
      <c r="K97" s="44" t="str">
        <f t="shared" si="5"/>
        <v>DIVES - 62300000</v>
      </c>
      <c r="L97" s="44" t="str">
        <f>+VLOOKUP(K97,TL[],4,FALSE)</f>
        <v>14</v>
      </c>
    </row>
    <row r="98" spans="1:12" x14ac:dyDescent="0.2">
      <c r="A98" t="s">
        <v>197</v>
      </c>
      <c r="B98" t="s">
        <v>2569</v>
      </c>
      <c r="C98">
        <v>9708.01</v>
      </c>
      <c r="D98" t="s">
        <v>6961</v>
      </c>
      <c r="E98">
        <v>9708.01</v>
      </c>
      <c r="F98" t="s">
        <v>6961</v>
      </c>
      <c r="G98" s="220">
        <f t="shared" si="6"/>
        <v>9708.01</v>
      </c>
      <c r="H98" s="220">
        <f t="shared" si="7"/>
        <v>9708.01</v>
      </c>
      <c r="I98" s="221">
        <f>IF(A98="Total",VLOOKUP(B98,CORRESPONDANCE[#All],2,FALSE),I99)</f>
        <v>22</v>
      </c>
      <c r="J98" s="222" t="str">
        <f t="shared" si="4"/>
        <v>T</v>
      </c>
      <c r="K98" s="44" t="str">
        <f t="shared" si="5"/>
        <v>DIVES - Total</v>
      </c>
      <c r="L98" s="44" t="e">
        <f>+VLOOKUP(K98,TL[],4,FALSE)</f>
        <v>#N/A</v>
      </c>
    </row>
    <row r="99" spans="1:12" x14ac:dyDescent="0.2">
      <c r="A99" t="s">
        <v>2696</v>
      </c>
      <c r="B99" t="s">
        <v>215</v>
      </c>
      <c r="C99">
        <v>2700</v>
      </c>
      <c r="D99" t="s">
        <v>6961</v>
      </c>
      <c r="E99">
        <v>2700</v>
      </c>
      <c r="F99" t="s">
        <v>6961</v>
      </c>
      <c r="G99" s="220">
        <f t="shared" si="6"/>
        <v>2700</v>
      </c>
      <c r="H99" s="220">
        <f t="shared" si="7"/>
        <v>2700</v>
      </c>
      <c r="I99" s="221">
        <f>IF(A99="Total",VLOOKUP(B99,CORRESPONDANCE[#All],2,FALSE),I100)</f>
        <v>23</v>
      </c>
      <c r="J99" s="222" t="str">
        <f t="shared" si="4"/>
        <v>6</v>
      </c>
      <c r="K99" s="44" t="str">
        <f t="shared" si="5"/>
        <v>DIVES - 62300200</v>
      </c>
      <c r="L99" s="44" t="str">
        <f>+VLOOKUP(K99,TL[],4,FALSE)</f>
        <v>15</v>
      </c>
    </row>
    <row r="100" spans="1:12" x14ac:dyDescent="0.2">
      <c r="A100" t="s">
        <v>2698</v>
      </c>
      <c r="B100" t="s">
        <v>425</v>
      </c>
      <c r="C100">
        <v>1955.73</v>
      </c>
      <c r="D100" t="s">
        <v>6961</v>
      </c>
      <c r="E100">
        <v>1955.73</v>
      </c>
      <c r="F100" t="s">
        <v>6961</v>
      </c>
      <c r="G100" s="220">
        <f t="shared" si="6"/>
        <v>1955.73</v>
      </c>
      <c r="H100" s="220">
        <f t="shared" si="7"/>
        <v>1955.73</v>
      </c>
      <c r="I100" s="221">
        <f>IF(A100="Total",VLOOKUP(B100,CORRESPONDANCE[#All],2,FALSE),I101)</f>
        <v>23</v>
      </c>
      <c r="J100" s="222" t="str">
        <f t="shared" si="4"/>
        <v>6</v>
      </c>
      <c r="K100" s="44" t="str">
        <f t="shared" si="5"/>
        <v>DIVES - 62340100</v>
      </c>
      <c r="L100" s="44" t="str">
        <f>+VLOOKUP(K100,TL[],4,FALSE)</f>
        <v>15</v>
      </c>
    </row>
    <row r="101" spans="1:12" x14ac:dyDescent="0.2">
      <c r="A101" t="s">
        <v>2699</v>
      </c>
      <c r="B101" t="s">
        <v>254</v>
      </c>
      <c r="C101" t="s">
        <v>6961</v>
      </c>
      <c r="D101">
        <v>29.36</v>
      </c>
      <c r="E101" t="s">
        <v>6961</v>
      </c>
      <c r="F101">
        <v>29.36</v>
      </c>
      <c r="G101" s="220">
        <f t="shared" si="6"/>
        <v>-29.36</v>
      </c>
      <c r="H101" s="220">
        <f t="shared" si="7"/>
        <v>-29.36</v>
      </c>
      <c r="I101" s="221">
        <f>IF(A101="Total",VLOOKUP(B101,CORRESPONDANCE[#All],2,FALSE),I102)</f>
        <v>23</v>
      </c>
      <c r="J101" s="222" t="str">
        <f t="shared" si="4"/>
        <v>6</v>
      </c>
      <c r="K101" s="44" t="str">
        <f t="shared" si="5"/>
        <v>DIVES - 62341500</v>
      </c>
      <c r="L101" s="44" t="str">
        <f>+VLOOKUP(K101,TL[],4,FALSE)</f>
        <v>15</v>
      </c>
    </row>
    <row r="102" spans="1:12" x14ac:dyDescent="0.2">
      <c r="A102" t="s">
        <v>197</v>
      </c>
      <c r="B102" t="s">
        <v>2572</v>
      </c>
      <c r="C102">
        <v>4626.37</v>
      </c>
      <c r="D102" t="s">
        <v>6961</v>
      </c>
      <c r="E102">
        <v>4626.37</v>
      </c>
      <c r="F102" t="s">
        <v>6961</v>
      </c>
      <c r="G102" s="220">
        <f t="shared" si="6"/>
        <v>4626.37</v>
      </c>
      <c r="H102" s="220">
        <f t="shared" si="7"/>
        <v>4626.37</v>
      </c>
      <c r="I102" s="221">
        <f>IF(A102="Total",VLOOKUP(B102,CORRESPONDANCE[#All],2,FALSE),I103)</f>
        <v>23</v>
      </c>
      <c r="J102" s="222" t="str">
        <f t="shared" si="4"/>
        <v>T</v>
      </c>
      <c r="K102" s="44" t="str">
        <f t="shared" si="5"/>
        <v>DIVES - Total</v>
      </c>
      <c r="L102" s="44" t="e">
        <f>+VLOOKUP(K102,TL[],4,FALSE)</f>
        <v>#N/A</v>
      </c>
    </row>
    <row r="103" spans="1:12" x14ac:dyDescent="0.2">
      <c r="A103" t="s">
        <v>2700</v>
      </c>
      <c r="B103" t="s">
        <v>156</v>
      </c>
      <c r="C103">
        <v>559</v>
      </c>
      <c r="D103" t="s">
        <v>6961</v>
      </c>
      <c r="E103">
        <v>559</v>
      </c>
      <c r="F103" t="s">
        <v>6961</v>
      </c>
      <c r="G103" s="220">
        <f t="shared" si="6"/>
        <v>559</v>
      </c>
      <c r="H103" s="220">
        <f t="shared" si="7"/>
        <v>559</v>
      </c>
      <c r="I103" s="221">
        <f>IF(A103="Total",VLOOKUP(B103,CORRESPONDANCE[#All],2,FALSE),I104)</f>
        <v>24</v>
      </c>
      <c r="J103" s="222" t="str">
        <f t="shared" si="4"/>
        <v>6</v>
      </c>
      <c r="K103" s="44" t="str">
        <f t="shared" si="5"/>
        <v>DIVES - 60610100</v>
      </c>
      <c r="L103" s="44" t="str">
        <f>+VLOOKUP(K103,TL[],4,FALSE)</f>
        <v>20</v>
      </c>
    </row>
    <row r="104" spans="1:12" x14ac:dyDescent="0.2">
      <c r="A104" t="s">
        <v>2701</v>
      </c>
      <c r="B104" t="s">
        <v>241</v>
      </c>
      <c r="C104">
        <v>7353.25</v>
      </c>
      <c r="D104" t="s">
        <v>6961</v>
      </c>
      <c r="E104">
        <v>7353.25</v>
      </c>
      <c r="F104" t="s">
        <v>6961</v>
      </c>
      <c r="G104" s="220">
        <f t="shared" si="6"/>
        <v>7353.25</v>
      </c>
      <c r="H104" s="220">
        <f t="shared" si="7"/>
        <v>7353.25</v>
      </c>
      <c r="I104" s="221">
        <f>IF(A104="Total",VLOOKUP(B104,CORRESPONDANCE[#All],2,FALSE),I105)</f>
        <v>24</v>
      </c>
      <c r="J104" s="222" t="str">
        <f t="shared" si="4"/>
        <v>6</v>
      </c>
      <c r="K104" s="44" t="str">
        <f t="shared" si="5"/>
        <v>DIVES - 60610300</v>
      </c>
      <c r="L104" s="44" t="str">
        <f>+VLOOKUP(K104,TL[],4,FALSE)</f>
        <v>20</v>
      </c>
    </row>
    <row r="105" spans="1:12" x14ac:dyDescent="0.2">
      <c r="A105" t="s">
        <v>3552</v>
      </c>
      <c r="B105" t="s">
        <v>322</v>
      </c>
      <c r="C105">
        <v>510</v>
      </c>
      <c r="D105" t="s">
        <v>6961</v>
      </c>
      <c r="E105">
        <v>510</v>
      </c>
      <c r="F105" t="s">
        <v>6961</v>
      </c>
      <c r="G105" s="220">
        <f t="shared" si="6"/>
        <v>510</v>
      </c>
      <c r="H105" s="220">
        <f t="shared" si="7"/>
        <v>510</v>
      </c>
      <c r="I105" s="221">
        <f>IF(A105="Total",VLOOKUP(B105,CORRESPONDANCE[#All],2,FALSE),I106)</f>
        <v>24</v>
      </c>
      <c r="J105" s="222" t="str">
        <f t="shared" si="4"/>
        <v>6</v>
      </c>
      <c r="K105" s="44" t="str">
        <f t="shared" si="5"/>
        <v>DIVES - 60610500</v>
      </c>
      <c r="L105" s="44" t="str">
        <f>+VLOOKUP(K105,TL[],4,FALSE)</f>
        <v>20</v>
      </c>
    </row>
    <row r="106" spans="1:12" x14ac:dyDescent="0.2">
      <c r="A106" t="s">
        <v>2702</v>
      </c>
      <c r="B106" t="s">
        <v>388</v>
      </c>
      <c r="C106">
        <v>112.65</v>
      </c>
      <c r="D106" t="s">
        <v>6961</v>
      </c>
      <c r="E106">
        <v>112.65</v>
      </c>
      <c r="F106" t="s">
        <v>6961</v>
      </c>
      <c r="G106" s="220">
        <f t="shared" si="6"/>
        <v>112.65</v>
      </c>
      <c r="H106" s="220">
        <f t="shared" si="7"/>
        <v>112.65</v>
      </c>
      <c r="I106" s="221">
        <f>IF(A106="Total",VLOOKUP(B106,CORRESPONDANCE[#All],2,FALSE),I107)</f>
        <v>24</v>
      </c>
      <c r="J106" s="222" t="str">
        <f t="shared" si="4"/>
        <v>6</v>
      </c>
      <c r="K106" s="44" t="str">
        <f t="shared" si="5"/>
        <v>DIVES - 62620000</v>
      </c>
      <c r="L106" s="44" t="str">
        <f>+VLOOKUP(K106,TL[],4,FALSE)</f>
        <v>20</v>
      </c>
    </row>
    <row r="107" spans="1:12" x14ac:dyDescent="0.2">
      <c r="A107" t="s">
        <v>197</v>
      </c>
      <c r="B107" t="s">
        <v>2576</v>
      </c>
      <c r="C107">
        <v>8534.9</v>
      </c>
      <c r="D107" t="s">
        <v>6961</v>
      </c>
      <c r="E107">
        <v>8534.9</v>
      </c>
      <c r="F107" t="s">
        <v>6961</v>
      </c>
      <c r="G107" s="220">
        <f t="shared" si="6"/>
        <v>8534.9</v>
      </c>
      <c r="H107" s="220">
        <f t="shared" si="7"/>
        <v>8534.9</v>
      </c>
      <c r="I107" s="221">
        <f>IF(A107="Total",VLOOKUP(B107,CORRESPONDANCE[#All],2,FALSE),I108)</f>
        <v>24</v>
      </c>
      <c r="J107" s="222" t="str">
        <f t="shared" si="4"/>
        <v>T</v>
      </c>
      <c r="K107" s="44" t="str">
        <f t="shared" si="5"/>
        <v>DIVES - Total</v>
      </c>
      <c r="L107" s="44" t="e">
        <f>+VLOOKUP(K107,TL[],4,FALSE)</f>
        <v>#N/A</v>
      </c>
    </row>
    <row r="108" spans="1:12" x14ac:dyDescent="0.2">
      <c r="A108" t="s">
        <v>2703</v>
      </c>
      <c r="B108" t="s">
        <v>1365</v>
      </c>
      <c r="C108">
        <v>595</v>
      </c>
      <c r="D108" t="s">
        <v>6961</v>
      </c>
      <c r="E108">
        <v>595</v>
      </c>
      <c r="F108" t="s">
        <v>6961</v>
      </c>
      <c r="G108" s="220">
        <f t="shared" si="6"/>
        <v>595</v>
      </c>
      <c r="H108" s="220">
        <f t="shared" si="7"/>
        <v>595</v>
      </c>
      <c r="I108" s="221">
        <f>IF(A108="Total",VLOOKUP(B108,CORRESPONDANCE[#All],2,FALSE),I109)</f>
        <v>25</v>
      </c>
      <c r="J108" s="222" t="str">
        <f t="shared" si="4"/>
        <v>6</v>
      </c>
      <c r="K108" s="44" t="str">
        <f t="shared" si="5"/>
        <v>DIVES - 60630200</v>
      </c>
      <c r="L108" s="44" t="str">
        <f>+VLOOKUP(K108,TL[],4,FALSE)</f>
        <v>18</v>
      </c>
    </row>
    <row r="109" spans="1:12" x14ac:dyDescent="0.2">
      <c r="A109" t="s">
        <v>2704</v>
      </c>
      <c r="B109" t="s">
        <v>382</v>
      </c>
      <c r="C109">
        <v>38.1</v>
      </c>
      <c r="D109" t="s">
        <v>6961</v>
      </c>
      <c r="E109">
        <v>38.1</v>
      </c>
      <c r="F109" t="s">
        <v>6961</v>
      </c>
      <c r="G109" s="220">
        <f t="shared" si="6"/>
        <v>38.1</v>
      </c>
      <c r="H109" s="220">
        <f t="shared" si="7"/>
        <v>38.1</v>
      </c>
      <c r="I109" s="221">
        <f>IF(A109="Total",VLOOKUP(B109,CORRESPONDANCE[#All],2,FALSE),I110)</f>
        <v>25</v>
      </c>
      <c r="J109" s="222" t="str">
        <f t="shared" si="4"/>
        <v>6</v>
      </c>
      <c r="K109" s="44" t="str">
        <f t="shared" si="5"/>
        <v>DIVES - 60640100</v>
      </c>
      <c r="L109" s="44" t="str">
        <f>+VLOOKUP(K109,TL[],4,FALSE)</f>
        <v>21</v>
      </c>
    </row>
    <row r="110" spans="1:12" x14ac:dyDescent="0.2">
      <c r="A110" t="s">
        <v>197</v>
      </c>
      <c r="B110" t="s">
        <v>2578</v>
      </c>
      <c r="C110">
        <v>633.1</v>
      </c>
      <c r="D110" t="s">
        <v>6961</v>
      </c>
      <c r="E110">
        <v>633.1</v>
      </c>
      <c r="F110" t="s">
        <v>6961</v>
      </c>
      <c r="G110" s="220">
        <f t="shared" si="6"/>
        <v>633.1</v>
      </c>
      <c r="H110" s="220">
        <f t="shared" si="7"/>
        <v>633.1</v>
      </c>
      <c r="I110" s="221">
        <f>IF(A110="Total",VLOOKUP(B110,CORRESPONDANCE[#All],2,FALSE),I111)</f>
        <v>25</v>
      </c>
      <c r="J110" s="222" t="str">
        <f t="shared" si="4"/>
        <v>T</v>
      </c>
      <c r="K110" s="44" t="str">
        <f t="shared" si="5"/>
        <v>DIVES - Total</v>
      </c>
      <c r="L110" s="44" t="e">
        <f>+VLOOKUP(K110,TL[],4,FALSE)</f>
        <v>#N/A</v>
      </c>
    </row>
    <row r="111" spans="1:12" x14ac:dyDescent="0.2">
      <c r="A111" t="s">
        <v>3648</v>
      </c>
      <c r="B111" t="s">
        <v>909</v>
      </c>
      <c r="C111">
        <v>290</v>
      </c>
      <c r="D111" t="s">
        <v>6961</v>
      </c>
      <c r="E111">
        <v>290</v>
      </c>
      <c r="F111" t="s">
        <v>6961</v>
      </c>
      <c r="G111" s="220">
        <f t="shared" si="6"/>
        <v>290</v>
      </c>
      <c r="H111" s="220">
        <f t="shared" si="7"/>
        <v>290</v>
      </c>
      <c r="I111" s="221">
        <f>IF(A111="Total",VLOOKUP(B111,CORRESPONDANCE[#All],2,FALSE),I112)</f>
        <v>27</v>
      </c>
      <c r="J111" s="222" t="str">
        <f t="shared" si="4"/>
        <v>6</v>
      </c>
      <c r="K111" s="44" t="str">
        <f t="shared" si="5"/>
        <v>DIVES - 62570100</v>
      </c>
      <c r="L111" s="44" t="str">
        <f>+VLOOKUP(K111,TL[],4,FALSE)</f>
        <v>23</v>
      </c>
    </row>
    <row r="112" spans="1:12" x14ac:dyDescent="0.2">
      <c r="A112" t="s">
        <v>2706</v>
      </c>
      <c r="B112" t="s">
        <v>303</v>
      </c>
      <c r="C112">
        <v>286</v>
      </c>
      <c r="D112" t="s">
        <v>6961</v>
      </c>
      <c r="E112">
        <v>286</v>
      </c>
      <c r="F112" t="s">
        <v>6961</v>
      </c>
      <c r="G112" s="220">
        <f t="shared" si="6"/>
        <v>286</v>
      </c>
      <c r="H112" s="220">
        <f t="shared" si="7"/>
        <v>286</v>
      </c>
      <c r="I112" s="221">
        <f>IF(A112="Total",VLOOKUP(B112,CORRESPONDANCE[#All],2,FALSE),I113)</f>
        <v>27</v>
      </c>
      <c r="J112" s="222" t="str">
        <f t="shared" si="4"/>
        <v>6</v>
      </c>
      <c r="K112" s="44" t="str">
        <f t="shared" si="5"/>
        <v>DIVES - 62802300</v>
      </c>
      <c r="L112" s="44" t="str">
        <f>+VLOOKUP(K112,TL[],4,FALSE)</f>
        <v>23</v>
      </c>
    </row>
    <row r="113" spans="1:12" x14ac:dyDescent="0.2">
      <c r="A113" t="s">
        <v>2707</v>
      </c>
      <c r="B113" t="s">
        <v>385</v>
      </c>
      <c r="C113">
        <v>59.68</v>
      </c>
      <c r="D113" t="s">
        <v>6961</v>
      </c>
      <c r="E113">
        <v>59.68</v>
      </c>
      <c r="F113" t="s">
        <v>6961</v>
      </c>
      <c r="G113" s="220">
        <f t="shared" si="6"/>
        <v>59.68</v>
      </c>
      <c r="H113" s="220">
        <f t="shared" si="7"/>
        <v>59.68</v>
      </c>
      <c r="I113" s="221">
        <f>IF(A113="Total",VLOOKUP(B113,CORRESPONDANCE[#All],2,FALSE),I114)</f>
        <v>27</v>
      </c>
      <c r="J113" s="222" t="str">
        <f t="shared" si="4"/>
        <v>6</v>
      </c>
      <c r="K113" s="44" t="str">
        <f t="shared" si="5"/>
        <v>DIVES - 67110000</v>
      </c>
      <c r="L113" s="44" t="str">
        <f>+VLOOKUP(K113,TL[],4,FALSE)</f>
        <v>22</v>
      </c>
    </row>
    <row r="114" spans="1:12" x14ac:dyDescent="0.2">
      <c r="A114" t="s">
        <v>2708</v>
      </c>
      <c r="B114" t="s">
        <v>385</v>
      </c>
      <c r="C114" t="s">
        <v>6961</v>
      </c>
      <c r="D114">
        <v>55.49</v>
      </c>
      <c r="E114" t="s">
        <v>6961</v>
      </c>
      <c r="F114">
        <v>55.49</v>
      </c>
      <c r="G114" s="220">
        <f t="shared" si="6"/>
        <v>-55.49</v>
      </c>
      <c r="H114" s="220">
        <f t="shared" si="7"/>
        <v>-55.49</v>
      </c>
      <c r="I114" s="221">
        <f>IF(A114="Total",VLOOKUP(B114,CORRESPONDANCE[#All],2,FALSE),I115)</f>
        <v>27</v>
      </c>
      <c r="J114" s="222" t="str">
        <f t="shared" si="4"/>
        <v>7</v>
      </c>
      <c r="K114" s="44" t="str">
        <f t="shared" si="5"/>
        <v>DIVES - 77110000</v>
      </c>
      <c r="L114" s="44" t="str">
        <f>+VLOOKUP(K114,TL[],4,FALSE)</f>
        <v>22</v>
      </c>
    </row>
    <row r="115" spans="1:12" x14ac:dyDescent="0.2">
      <c r="A115" t="s">
        <v>197</v>
      </c>
      <c r="B115" t="s">
        <v>2583</v>
      </c>
      <c r="C115">
        <v>580.19000000000005</v>
      </c>
      <c r="D115" t="s">
        <v>6961</v>
      </c>
      <c r="E115">
        <v>580.19000000000005</v>
      </c>
      <c r="F115" t="s">
        <v>6961</v>
      </c>
      <c r="G115" s="220">
        <f t="shared" si="6"/>
        <v>580.19000000000005</v>
      </c>
      <c r="H115" s="220">
        <f t="shared" si="7"/>
        <v>580.19000000000005</v>
      </c>
      <c r="I115" s="221">
        <f>IF(A115="Total",VLOOKUP(B115,CORRESPONDANCE[#All],2,FALSE),I116)</f>
        <v>27</v>
      </c>
      <c r="J115" s="222" t="str">
        <f t="shared" si="4"/>
        <v>T</v>
      </c>
      <c r="K115" s="44" t="str">
        <f t="shared" si="5"/>
        <v>DIVES - Total</v>
      </c>
      <c r="L115" s="44" t="e">
        <f>+VLOOKUP(K115,TL[],4,FALSE)</f>
        <v>#N/A</v>
      </c>
    </row>
    <row r="116" spans="1:12" x14ac:dyDescent="0.2">
      <c r="A116" t="s">
        <v>2709</v>
      </c>
      <c r="B116" t="s">
        <v>1516</v>
      </c>
      <c r="C116">
        <v>31894.48</v>
      </c>
      <c r="D116" t="s">
        <v>6961</v>
      </c>
      <c r="E116">
        <v>31894.48</v>
      </c>
      <c r="F116" t="s">
        <v>6961</v>
      </c>
      <c r="G116" s="220">
        <f t="shared" si="6"/>
        <v>31894.48</v>
      </c>
      <c r="H116" s="220">
        <f t="shared" si="7"/>
        <v>31894.48</v>
      </c>
      <c r="I116" s="221">
        <f>IF(A116="Total",VLOOKUP(B116,CORRESPONDANCE[#All],2,FALSE),I117)</f>
        <v>29</v>
      </c>
      <c r="J116" s="222" t="str">
        <f t="shared" si="4"/>
        <v>6</v>
      </c>
      <c r="K116" s="44" t="str">
        <f t="shared" si="5"/>
        <v>DIVES - 61320000</v>
      </c>
      <c r="L116" s="44" t="str">
        <f>+VLOOKUP(K116,TL[],4,FALSE)</f>
        <v>30</v>
      </c>
    </row>
    <row r="117" spans="1:12" x14ac:dyDescent="0.2">
      <c r="A117" t="s">
        <v>197</v>
      </c>
      <c r="B117" t="s">
        <v>2584</v>
      </c>
      <c r="C117">
        <v>31894.48</v>
      </c>
      <c r="D117" t="s">
        <v>6961</v>
      </c>
      <c r="E117">
        <v>31894.48</v>
      </c>
      <c r="F117" t="s">
        <v>6961</v>
      </c>
      <c r="G117" s="220">
        <f t="shared" si="6"/>
        <v>31894.48</v>
      </c>
      <c r="H117" s="220">
        <f t="shared" si="7"/>
        <v>31894.48</v>
      </c>
      <c r="I117" s="221">
        <f>IF(A117="Total",VLOOKUP(B117,CORRESPONDANCE[#All],2,FALSE),I118)</f>
        <v>29</v>
      </c>
      <c r="J117" s="222" t="str">
        <f t="shared" si="4"/>
        <v>T</v>
      </c>
      <c r="K117" s="44" t="str">
        <f t="shared" si="5"/>
        <v>DIVES - Total</v>
      </c>
      <c r="L117" s="44" t="e">
        <f>+VLOOKUP(K117,TL[],4,FALSE)</f>
        <v>#N/A</v>
      </c>
    </row>
    <row r="118" spans="1:12" x14ac:dyDescent="0.2">
      <c r="A118" t="s">
        <v>2710</v>
      </c>
      <c r="B118" t="s">
        <v>1557</v>
      </c>
      <c r="C118" t="s">
        <v>6961</v>
      </c>
      <c r="D118">
        <v>343.57</v>
      </c>
      <c r="E118" t="s">
        <v>6961</v>
      </c>
      <c r="F118">
        <v>343.57</v>
      </c>
      <c r="G118" s="220">
        <f t="shared" si="6"/>
        <v>-343.57</v>
      </c>
      <c r="H118" s="220">
        <f t="shared" si="7"/>
        <v>-343.57</v>
      </c>
      <c r="I118" s="221">
        <f>IF(A118="Total",VLOOKUP(B118,CORRESPONDANCE[#All],2,FALSE),I119)</f>
        <v>31</v>
      </c>
      <c r="J118" s="222" t="str">
        <f t="shared" si="4"/>
        <v>6</v>
      </c>
      <c r="K118" s="44" t="str">
        <f t="shared" si="5"/>
        <v>DIVES - 65120000</v>
      </c>
      <c r="L118" s="44" t="str">
        <f>+VLOOKUP(K118,TL[],4,FALSE)</f>
        <v>30</v>
      </c>
    </row>
    <row r="119" spans="1:12" x14ac:dyDescent="0.2">
      <c r="A119" t="s">
        <v>2711</v>
      </c>
      <c r="B119" t="s">
        <v>1558</v>
      </c>
      <c r="C119" t="s">
        <v>6961</v>
      </c>
      <c r="D119">
        <v>131.53</v>
      </c>
      <c r="E119" t="s">
        <v>6961</v>
      </c>
      <c r="F119">
        <v>131.53</v>
      </c>
      <c r="G119" s="220">
        <f t="shared" si="6"/>
        <v>-131.53</v>
      </c>
      <c r="H119" s="220">
        <f t="shared" si="7"/>
        <v>-131.53</v>
      </c>
      <c r="I119" s="221">
        <f>IF(A119="Total",VLOOKUP(B119,CORRESPONDANCE[#All],2,FALSE),I120)</f>
        <v>31</v>
      </c>
      <c r="J119" s="222" t="str">
        <f t="shared" si="4"/>
        <v>6</v>
      </c>
      <c r="K119" s="44" t="str">
        <f t="shared" si="5"/>
        <v>DIVES - 65121000</v>
      </c>
      <c r="L119" s="44" t="str">
        <f>+VLOOKUP(K119,TL[],4,FALSE)</f>
        <v>31</v>
      </c>
    </row>
    <row r="120" spans="1:12" x14ac:dyDescent="0.2">
      <c r="A120" t="s">
        <v>197</v>
      </c>
      <c r="B120" t="s">
        <v>2585</v>
      </c>
      <c r="C120" t="s">
        <v>6961</v>
      </c>
      <c r="D120">
        <v>475.1</v>
      </c>
      <c r="E120" t="s">
        <v>6961</v>
      </c>
      <c r="F120">
        <v>475.1</v>
      </c>
      <c r="G120" s="220">
        <f t="shared" si="6"/>
        <v>-475.1</v>
      </c>
      <c r="H120" s="220">
        <f t="shared" si="7"/>
        <v>-475.1</v>
      </c>
      <c r="I120" s="221">
        <f>IF(A120="Total",VLOOKUP(B120,CORRESPONDANCE[#All],2,FALSE),I121)</f>
        <v>31</v>
      </c>
      <c r="J120" s="222" t="str">
        <f t="shared" si="4"/>
        <v>T</v>
      </c>
      <c r="K120" s="44" t="str">
        <f t="shared" si="5"/>
        <v>DIVES - Total</v>
      </c>
      <c r="L120" s="44" t="e">
        <f>+VLOOKUP(K120,TL[],4,FALSE)</f>
        <v>#N/A</v>
      </c>
    </row>
    <row r="121" spans="1:12" x14ac:dyDescent="0.2">
      <c r="A121" t="s">
        <v>2712</v>
      </c>
      <c r="B121" t="s">
        <v>434</v>
      </c>
      <c r="C121">
        <v>520</v>
      </c>
      <c r="D121" t="s">
        <v>6961</v>
      </c>
      <c r="E121">
        <v>520</v>
      </c>
      <c r="F121" t="s">
        <v>6961</v>
      </c>
      <c r="G121" s="220">
        <f t="shared" si="6"/>
        <v>520</v>
      </c>
      <c r="H121" s="220">
        <f t="shared" si="7"/>
        <v>520</v>
      </c>
      <c r="I121" s="221">
        <f>IF(A121="Total",VLOOKUP(B121,CORRESPONDANCE[#All],2,FALSE),I122)</f>
        <v>33</v>
      </c>
      <c r="J121" s="222" t="str">
        <f t="shared" si="4"/>
        <v>6</v>
      </c>
      <c r="K121" s="44" t="str">
        <f t="shared" si="5"/>
        <v>DIVES - 61410000</v>
      </c>
      <c r="L121" s="44" t="str">
        <f>+VLOOKUP(K121,TL[],4,FALSE)</f>
        <v>34</v>
      </c>
    </row>
    <row r="122" spans="1:12" x14ac:dyDescent="0.2">
      <c r="A122" t="s">
        <v>197</v>
      </c>
      <c r="B122" t="s">
        <v>2586</v>
      </c>
      <c r="C122">
        <v>520</v>
      </c>
      <c r="D122" t="s">
        <v>6961</v>
      </c>
      <c r="E122">
        <v>520</v>
      </c>
      <c r="F122" t="s">
        <v>6961</v>
      </c>
      <c r="G122" s="220">
        <f t="shared" si="6"/>
        <v>520</v>
      </c>
      <c r="H122" s="220">
        <f t="shared" si="7"/>
        <v>520</v>
      </c>
      <c r="I122" s="221">
        <f>IF(A122="Total",VLOOKUP(B122,CORRESPONDANCE[#All],2,FALSE),I123)</f>
        <v>33</v>
      </c>
      <c r="J122" s="222" t="str">
        <f t="shared" si="4"/>
        <v>T</v>
      </c>
      <c r="K122" s="44" t="str">
        <f t="shared" si="5"/>
        <v>DIVES - Total</v>
      </c>
      <c r="L122" s="44" t="e">
        <f>+VLOOKUP(K122,TL[],4,FALSE)</f>
        <v>#N/A</v>
      </c>
    </row>
    <row r="123" spans="1:12" x14ac:dyDescent="0.2">
      <c r="A123" t="s">
        <v>2713</v>
      </c>
      <c r="B123" t="s">
        <v>276</v>
      </c>
      <c r="C123">
        <v>12266.49</v>
      </c>
      <c r="D123" t="s">
        <v>6961</v>
      </c>
      <c r="E123">
        <v>12266.49</v>
      </c>
      <c r="F123" t="s">
        <v>6961</v>
      </c>
      <c r="G123" s="220">
        <f t="shared" si="6"/>
        <v>12266.49</v>
      </c>
      <c r="H123" s="220">
        <f t="shared" si="7"/>
        <v>12266.49</v>
      </c>
      <c r="I123" s="221">
        <f>IF(A123="Total",VLOOKUP(B123,CORRESPONDANCE[#All],2,FALSE),I124)</f>
        <v>34</v>
      </c>
      <c r="J123" s="222" t="str">
        <f t="shared" si="4"/>
        <v>6</v>
      </c>
      <c r="K123" s="44" t="str">
        <f t="shared" si="5"/>
        <v>DIVES - 65100100</v>
      </c>
      <c r="L123" s="44" t="str">
        <f>+VLOOKUP(K123,TL[],4,FALSE)</f>
        <v>31</v>
      </c>
    </row>
    <row r="124" spans="1:12" x14ac:dyDescent="0.2">
      <c r="A124" t="s">
        <v>197</v>
      </c>
      <c r="B124" t="s">
        <v>2588</v>
      </c>
      <c r="C124">
        <v>12266.49</v>
      </c>
      <c r="D124" t="s">
        <v>6961</v>
      </c>
      <c r="E124">
        <v>12266.49</v>
      </c>
      <c r="F124" t="s">
        <v>6961</v>
      </c>
      <c r="G124" s="220">
        <f t="shared" si="6"/>
        <v>12266.49</v>
      </c>
      <c r="H124" s="220">
        <f t="shared" si="7"/>
        <v>12266.49</v>
      </c>
      <c r="I124" s="221">
        <f>IF(A124="Total",VLOOKUP(B124,CORRESPONDANCE[#All],2,FALSE),I125)</f>
        <v>34</v>
      </c>
      <c r="J124" s="222" t="str">
        <f t="shared" si="4"/>
        <v>T</v>
      </c>
      <c r="K124" s="44" t="str">
        <f t="shared" si="5"/>
        <v>DIVES - Total</v>
      </c>
      <c r="L124" s="44" t="e">
        <f>+VLOOKUP(K124,TL[],4,FALSE)</f>
        <v>#N/A</v>
      </c>
    </row>
    <row r="125" spans="1:12" x14ac:dyDescent="0.2">
      <c r="A125" t="s">
        <v>2714</v>
      </c>
      <c r="B125" t="s">
        <v>392</v>
      </c>
      <c r="C125">
        <v>860</v>
      </c>
      <c r="D125" t="s">
        <v>6961</v>
      </c>
      <c r="E125">
        <v>860</v>
      </c>
      <c r="F125" t="s">
        <v>6961</v>
      </c>
      <c r="G125" s="220">
        <f t="shared" si="6"/>
        <v>860</v>
      </c>
      <c r="H125" s="220">
        <f t="shared" si="7"/>
        <v>860</v>
      </c>
      <c r="I125" s="221">
        <f>IF(A125="Total",VLOOKUP(B125,CORRESPONDANCE[#All],2,FALSE),I126)</f>
        <v>35</v>
      </c>
      <c r="J125" s="222" t="str">
        <f t="shared" si="4"/>
        <v>6</v>
      </c>
      <c r="K125" s="44" t="str">
        <f t="shared" si="5"/>
        <v>DIVES - 62260000</v>
      </c>
      <c r="L125" s="44" t="str">
        <f>+VLOOKUP(K125,TL[],4,FALSE)</f>
        <v>32</v>
      </c>
    </row>
    <row r="126" spans="1:12" x14ac:dyDescent="0.2">
      <c r="A126" t="s">
        <v>2715</v>
      </c>
      <c r="B126" t="s">
        <v>427</v>
      </c>
      <c r="C126">
        <v>62.5</v>
      </c>
      <c r="D126" t="s">
        <v>6961</v>
      </c>
      <c r="E126">
        <v>62.5</v>
      </c>
      <c r="F126" t="s">
        <v>6961</v>
      </c>
      <c r="G126" s="220">
        <f t="shared" si="6"/>
        <v>62.5</v>
      </c>
      <c r="H126" s="220">
        <f t="shared" si="7"/>
        <v>62.5</v>
      </c>
      <c r="I126" s="221">
        <f>IF(A126="Total",VLOOKUP(B126,CORRESPONDANCE[#All],2,FALSE),I127)</f>
        <v>35</v>
      </c>
      <c r="J126" s="222" t="str">
        <f t="shared" si="4"/>
        <v>6</v>
      </c>
      <c r="K126" s="44" t="str">
        <f t="shared" si="5"/>
        <v>DIVES - 62261000</v>
      </c>
      <c r="L126" s="44" t="str">
        <f>+VLOOKUP(K126,TL[],4,FALSE)</f>
        <v>32</v>
      </c>
    </row>
    <row r="127" spans="1:12" x14ac:dyDescent="0.2">
      <c r="A127" t="s">
        <v>3631</v>
      </c>
      <c r="B127" t="s">
        <v>903</v>
      </c>
      <c r="C127">
        <v>168.78</v>
      </c>
      <c r="D127" t="s">
        <v>6961</v>
      </c>
      <c r="E127">
        <v>168.78</v>
      </c>
      <c r="F127" t="s">
        <v>6961</v>
      </c>
      <c r="G127" s="220">
        <f t="shared" si="6"/>
        <v>168.78</v>
      </c>
      <c r="H127" s="220">
        <f t="shared" si="7"/>
        <v>168.78</v>
      </c>
      <c r="I127" s="221">
        <f>IF(A127="Total",VLOOKUP(B127,CORRESPONDANCE[#All],2,FALSE),I128)</f>
        <v>35</v>
      </c>
      <c r="J127" s="222" t="str">
        <f t="shared" si="4"/>
        <v>6</v>
      </c>
      <c r="K127" s="44" t="str">
        <f t="shared" si="5"/>
        <v>DIVES - 62262000</v>
      </c>
      <c r="L127" s="44" t="str">
        <f>+VLOOKUP(K127,TL[],4,FALSE)</f>
        <v>32</v>
      </c>
    </row>
    <row r="128" spans="1:12" x14ac:dyDescent="0.2">
      <c r="A128" t="s">
        <v>197</v>
      </c>
      <c r="B128" t="s">
        <v>2591</v>
      </c>
      <c r="C128">
        <v>1091.28</v>
      </c>
      <c r="D128" t="s">
        <v>6961</v>
      </c>
      <c r="E128">
        <v>1091.28</v>
      </c>
      <c r="F128" t="s">
        <v>6961</v>
      </c>
      <c r="G128" s="220">
        <f t="shared" si="6"/>
        <v>1091.28</v>
      </c>
      <c r="H128" s="220">
        <f t="shared" si="7"/>
        <v>1091.28</v>
      </c>
      <c r="I128" s="221">
        <f>IF(A128="Total",VLOOKUP(B128,CORRESPONDANCE[#All],2,FALSE),I129)</f>
        <v>35</v>
      </c>
      <c r="J128" s="222" t="str">
        <f t="shared" si="4"/>
        <v>T</v>
      </c>
      <c r="K128" s="44" t="str">
        <f t="shared" si="5"/>
        <v>DIVES - Total</v>
      </c>
      <c r="L128" s="44" t="e">
        <f>+VLOOKUP(K128,TL[],4,FALSE)</f>
        <v>#N/A</v>
      </c>
    </row>
    <row r="129" spans="1:12" x14ac:dyDescent="0.2">
      <c r="A129" t="s">
        <v>2716</v>
      </c>
      <c r="B129" t="s">
        <v>400</v>
      </c>
      <c r="C129">
        <v>1300</v>
      </c>
      <c r="D129" t="s">
        <v>6961</v>
      </c>
      <c r="E129">
        <v>1300</v>
      </c>
      <c r="F129" t="s">
        <v>6961</v>
      </c>
      <c r="G129" s="220">
        <f t="shared" si="6"/>
        <v>1300</v>
      </c>
      <c r="H129" s="220">
        <f t="shared" si="7"/>
        <v>1300</v>
      </c>
      <c r="I129" s="221">
        <f>IF(A129="Total",VLOOKUP(B129,CORRESPONDANCE[#All],2,FALSE),I130)</f>
        <v>36</v>
      </c>
      <c r="J129" s="222" t="str">
        <f t="shared" si="4"/>
        <v>6</v>
      </c>
      <c r="K129" s="44" t="str">
        <f t="shared" si="5"/>
        <v>DIVES - 61600100</v>
      </c>
      <c r="L129" s="44" t="str">
        <f>+VLOOKUP(K129,TL[],4,FALSE)</f>
        <v>33</v>
      </c>
    </row>
    <row r="130" spans="1:12" x14ac:dyDescent="0.2">
      <c r="A130" t="s">
        <v>3618</v>
      </c>
      <c r="B130" t="s">
        <v>217</v>
      </c>
      <c r="C130">
        <v>20</v>
      </c>
      <c r="D130" t="s">
        <v>6961</v>
      </c>
      <c r="E130">
        <v>20</v>
      </c>
      <c r="F130" t="s">
        <v>6961</v>
      </c>
      <c r="G130" s="220">
        <f t="shared" si="6"/>
        <v>20</v>
      </c>
      <c r="H130" s="220">
        <f t="shared" si="7"/>
        <v>20</v>
      </c>
      <c r="I130" s="221">
        <f>IF(A130="Total",VLOOKUP(B130,CORRESPONDANCE[#All],2,FALSE),I131)</f>
        <v>36</v>
      </c>
      <c r="J130" s="222" t="str">
        <f t="shared" si="4"/>
        <v>6</v>
      </c>
      <c r="K130" s="44" t="str">
        <f t="shared" si="5"/>
        <v>DIVES - 61600300</v>
      </c>
      <c r="L130" s="44" t="str">
        <f>+VLOOKUP(K130,TL[],4,FALSE)</f>
        <v>33</v>
      </c>
    </row>
    <row r="131" spans="1:12" x14ac:dyDescent="0.2">
      <c r="A131" t="s">
        <v>3621</v>
      </c>
      <c r="B131" t="s">
        <v>302</v>
      </c>
      <c r="C131">
        <v>80</v>
      </c>
      <c r="D131" t="s">
        <v>6961</v>
      </c>
      <c r="E131">
        <v>80</v>
      </c>
      <c r="F131" t="s">
        <v>6961</v>
      </c>
      <c r="G131" s="220">
        <f t="shared" si="6"/>
        <v>80</v>
      </c>
      <c r="H131" s="220">
        <f t="shared" si="7"/>
        <v>80</v>
      </c>
      <c r="I131" s="221">
        <f>IF(A131="Total",VLOOKUP(B131,CORRESPONDANCE[#All],2,FALSE),I132)</f>
        <v>36</v>
      </c>
      <c r="J131" s="222" t="str">
        <f t="shared" ref="J131:J162" si="8">LEFT(A131,1)</f>
        <v>6</v>
      </c>
      <c r="K131" s="44" t="str">
        <f t="shared" ref="K131:K162" si="9">"DIVES"&amp;" - "&amp;A131</f>
        <v>DIVES - 61600600</v>
      </c>
      <c r="L131" s="44" t="str">
        <f>+VLOOKUP(K131,TL[],4,FALSE)</f>
        <v>33</v>
      </c>
    </row>
    <row r="132" spans="1:12" x14ac:dyDescent="0.2">
      <c r="A132" t="s">
        <v>197</v>
      </c>
      <c r="B132" t="s">
        <v>2592</v>
      </c>
      <c r="C132">
        <v>1400</v>
      </c>
      <c r="D132" t="s">
        <v>6961</v>
      </c>
      <c r="E132">
        <v>1400</v>
      </c>
      <c r="F132" t="s">
        <v>6961</v>
      </c>
      <c r="G132" s="220">
        <f t="shared" si="6"/>
        <v>1400</v>
      </c>
      <c r="H132" s="220">
        <f t="shared" si="7"/>
        <v>1400</v>
      </c>
      <c r="I132" s="221">
        <f>IF(A132="Total",VLOOKUP(B132,CORRESPONDANCE[#All],2,FALSE),I133)</f>
        <v>36</v>
      </c>
      <c r="J132" s="222" t="str">
        <f t="shared" si="8"/>
        <v>T</v>
      </c>
      <c r="K132" s="44" t="str">
        <f t="shared" si="9"/>
        <v>DIVES - Total</v>
      </c>
      <c r="L132" s="44" t="e">
        <f>+VLOOKUP(K132,TL[],4,FALSE)</f>
        <v>#N/A</v>
      </c>
    </row>
    <row r="133" spans="1:12" x14ac:dyDescent="0.2">
      <c r="A133" t="s">
        <v>2717</v>
      </c>
      <c r="B133" t="s">
        <v>397</v>
      </c>
      <c r="C133">
        <v>487.11</v>
      </c>
      <c r="D133" t="s">
        <v>6961</v>
      </c>
      <c r="E133">
        <v>487.11</v>
      </c>
      <c r="F133" t="s">
        <v>6961</v>
      </c>
      <c r="G133" s="220">
        <f t="shared" si="6"/>
        <v>487.11</v>
      </c>
      <c r="H133" s="220">
        <f t="shared" si="7"/>
        <v>487.11</v>
      </c>
      <c r="I133" s="221">
        <f>IF(A133="Total",VLOOKUP(B133,CORRESPONDANCE[#All],2,FALSE),I134)</f>
        <v>37</v>
      </c>
      <c r="J133" s="222" t="str">
        <f t="shared" si="8"/>
        <v>6</v>
      </c>
      <c r="K133" s="44" t="str">
        <f t="shared" si="9"/>
        <v>DIVES - 63330000</v>
      </c>
      <c r="L133" s="44" t="str">
        <f>+VLOOKUP(K133,TL[],4,FALSE)</f>
        <v>34</v>
      </c>
    </row>
    <row r="134" spans="1:12" x14ac:dyDescent="0.2">
      <c r="A134" t="s">
        <v>2718</v>
      </c>
      <c r="B134" t="s">
        <v>307</v>
      </c>
      <c r="C134">
        <v>331.21</v>
      </c>
      <c r="D134" t="s">
        <v>6961</v>
      </c>
      <c r="E134">
        <v>331.21</v>
      </c>
      <c r="F134" t="s">
        <v>6961</v>
      </c>
      <c r="G134" s="220">
        <f t="shared" ref="G134:G162" si="10">SUM(C134)-SUM(D134)</f>
        <v>331.21</v>
      </c>
      <c r="H134" s="220">
        <f t="shared" ref="H134:H162" si="11">SUM(E134)-SUM(F134)</f>
        <v>331.21</v>
      </c>
      <c r="I134" s="221">
        <f>IF(A134="Total",VLOOKUP(B134,CORRESPONDANCE[#All],2,FALSE),I135)</f>
        <v>37</v>
      </c>
      <c r="J134" s="222" t="str">
        <f t="shared" si="8"/>
        <v>6</v>
      </c>
      <c r="K134" s="44" t="str">
        <f t="shared" si="9"/>
        <v>DIVES - 63350000</v>
      </c>
      <c r="L134" s="44" t="str">
        <f>+VLOOKUP(K134,TL[],4,FALSE)</f>
        <v>34</v>
      </c>
    </row>
    <row r="135" spans="1:12" x14ac:dyDescent="0.2">
      <c r="A135" t="s">
        <v>2719</v>
      </c>
      <c r="B135" t="s">
        <v>168</v>
      </c>
      <c r="C135">
        <v>229</v>
      </c>
      <c r="D135" t="s">
        <v>6961</v>
      </c>
      <c r="E135">
        <v>229</v>
      </c>
      <c r="F135" t="s">
        <v>6961</v>
      </c>
      <c r="G135" s="220">
        <f t="shared" si="10"/>
        <v>229</v>
      </c>
      <c r="H135" s="220">
        <f t="shared" si="11"/>
        <v>229</v>
      </c>
      <c r="I135" s="221">
        <f>IF(A135="Total",VLOOKUP(B135,CORRESPONDANCE[#All],2,FALSE),I136)</f>
        <v>37</v>
      </c>
      <c r="J135" s="222" t="str">
        <f t="shared" si="8"/>
        <v>6</v>
      </c>
      <c r="K135" s="44" t="str">
        <f t="shared" si="9"/>
        <v>DIVES - 63511100</v>
      </c>
      <c r="L135" s="44" t="str">
        <f>+VLOOKUP(K135,TL[],4,FALSE)</f>
        <v>34</v>
      </c>
    </row>
    <row r="136" spans="1:12" x14ac:dyDescent="0.2">
      <c r="A136" t="s">
        <v>2720</v>
      </c>
      <c r="B136" t="s">
        <v>165</v>
      </c>
      <c r="C136">
        <v>400</v>
      </c>
      <c r="D136" t="s">
        <v>6961</v>
      </c>
      <c r="E136">
        <v>400</v>
      </c>
      <c r="F136" t="s">
        <v>6961</v>
      </c>
      <c r="G136" s="220">
        <f t="shared" si="10"/>
        <v>400</v>
      </c>
      <c r="H136" s="220">
        <f t="shared" si="11"/>
        <v>400</v>
      </c>
      <c r="I136" s="221">
        <f>IF(A136="Total",VLOOKUP(B136,CORRESPONDANCE[#All],2,FALSE),I137)</f>
        <v>37</v>
      </c>
      <c r="J136" s="222" t="str">
        <f t="shared" si="8"/>
        <v>6</v>
      </c>
      <c r="K136" s="44" t="str">
        <f t="shared" si="9"/>
        <v>DIVES - 63511200</v>
      </c>
      <c r="L136" s="44" t="str">
        <f>+VLOOKUP(K136,TL[],4,FALSE)</f>
        <v>34</v>
      </c>
    </row>
    <row r="137" spans="1:12" x14ac:dyDescent="0.2">
      <c r="A137" t="s">
        <v>3666</v>
      </c>
      <c r="B137" t="s">
        <v>218</v>
      </c>
      <c r="C137">
        <v>60</v>
      </c>
      <c r="D137" t="s">
        <v>6961</v>
      </c>
      <c r="E137">
        <v>60</v>
      </c>
      <c r="F137" t="s">
        <v>6961</v>
      </c>
      <c r="G137" s="220">
        <f t="shared" si="10"/>
        <v>60</v>
      </c>
      <c r="H137" s="220">
        <f t="shared" si="11"/>
        <v>60</v>
      </c>
      <c r="I137" s="221">
        <f>IF(A137="Total",VLOOKUP(B137,CORRESPONDANCE[#All],2,FALSE),I138)</f>
        <v>37</v>
      </c>
      <c r="J137" s="222" t="str">
        <f t="shared" si="8"/>
        <v>6</v>
      </c>
      <c r="K137" s="44" t="str">
        <f t="shared" si="9"/>
        <v>DIVES - 63550000</v>
      </c>
      <c r="L137" s="44" t="str">
        <f>+VLOOKUP(K137,TL[],4,FALSE)</f>
        <v>34</v>
      </c>
    </row>
    <row r="138" spans="1:12" x14ac:dyDescent="0.2">
      <c r="A138" t="s">
        <v>2723</v>
      </c>
      <c r="B138" t="s">
        <v>432</v>
      </c>
      <c r="C138">
        <v>1500</v>
      </c>
      <c r="D138" t="s">
        <v>6961</v>
      </c>
      <c r="E138">
        <v>1500</v>
      </c>
      <c r="F138" t="s">
        <v>6961</v>
      </c>
      <c r="G138" s="220">
        <f t="shared" si="10"/>
        <v>1500</v>
      </c>
      <c r="H138" s="220">
        <f t="shared" si="11"/>
        <v>1500</v>
      </c>
      <c r="I138" s="221">
        <f>IF(A138="Total",VLOOKUP(B138,CORRESPONDANCE[#All],2,FALSE),I139)</f>
        <v>37</v>
      </c>
      <c r="J138" s="222" t="str">
        <f t="shared" si="8"/>
        <v>6</v>
      </c>
      <c r="K138" s="44" t="str">
        <f t="shared" si="9"/>
        <v>DIVES - 63730000</v>
      </c>
      <c r="L138" s="44" t="str">
        <f>+VLOOKUP(K138,TL[],4,FALSE)</f>
        <v>34</v>
      </c>
    </row>
    <row r="139" spans="1:12" x14ac:dyDescent="0.2">
      <c r="A139" t="s">
        <v>197</v>
      </c>
      <c r="B139" t="s">
        <v>2593</v>
      </c>
      <c r="C139">
        <v>3007.32</v>
      </c>
      <c r="D139" t="s">
        <v>6961</v>
      </c>
      <c r="E139">
        <v>3007.32</v>
      </c>
      <c r="F139" t="s">
        <v>6961</v>
      </c>
      <c r="G139" s="220">
        <f t="shared" si="10"/>
        <v>3007.32</v>
      </c>
      <c r="H139" s="220">
        <f t="shared" si="11"/>
        <v>3007.32</v>
      </c>
      <c r="I139" s="221">
        <f>IF(A139="Total",VLOOKUP(B139,CORRESPONDANCE[#All],2,FALSE),I140)</f>
        <v>37</v>
      </c>
      <c r="J139" s="222" t="str">
        <f t="shared" si="8"/>
        <v>T</v>
      </c>
      <c r="K139" s="44" t="str">
        <f t="shared" si="9"/>
        <v>DIVES - Total</v>
      </c>
      <c r="L139" s="44" t="e">
        <f>+VLOOKUP(K139,TL[],4,FALSE)</f>
        <v>#N/A</v>
      </c>
    </row>
    <row r="140" spans="1:12" x14ac:dyDescent="0.2">
      <c r="A140" t="s">
        <v>2724</v>
      </c>
      <c r="B140" t="s">
        <v>424</v>
      </c>
      <c r="C140">
        <v>10000</v>
      </c>
      <c r="D140" t="s">
        <v>6961</v>
      </c>
      <c r="E140">
        <v>10000</v>
      </c>
      <c r="F140" t="s">
        <v>6961</v>
      </c>
      <c r="G140" s="220">
        <f t="shared" si="10"/>
        <v>10000</v>
      </c>
      <c r="H140" s="220">
        <f t="shared" si="11"/>
        <v>10000</v>
      </c>
      <c r="I140" s="221">
        <f>IF(A140="Total",VLOOKUP(B140,CORRESPONDANCE[#All],2,FALSE),I141)</f>
        <v>38</v>
      </c>
      <c r="J140" s="222" t="str">
        <f t="shared" si="8"/>
        <v>6</v>
      </c>
      <c r="K140" s="44" t="str">
        <f t="shared" si="9"/>
        <v>DIVES - 68111000</v>
      </c>
      <c r="L140" s="44" t="str">
        <f>+VLOOKUP(K140,TL[],4,FALSE)</f>
        <v>36</v>
      </c>
    </row>
    <row r="141" spans="1:12" x14ac:dyDescent="0.2">
      <c r="A141" t="s">
        <v>197</v>
      </c>
      <c r="B141" t="s">
        <v>2594</v>
      </c>
      <c r="C141">
        <v>10000</v>
      </c>
      <c r="D141" t="s">
        <v>6961</v>
      </c>
      <c r="E141">
        <v>10000</v>
      </c>
      <c r="F141" t="s">
        <v>6961</v>
      </c>
      <c r="G141" s="220">
        <f t="shared" si="10"/>
        <v>10000</v>
      </c>
      <c r="H141" s="220">
        <f t="shared" si="11"/>
        <v>10000</v>
      </c>
      <c r="I141" s="221">
        <f>IF(A141="Total",VLOOKUP(B141,CORRESPONDANCE[#All],2,FALSE),I142)</f>
        <v>38</v>
      </c>
      <c r="J141" s="222" t="str">
        <f t="shared" si="8"/>
        <v>T</v>
      </c>
      <c r="K141" s="44" t="str">
        <f t="shared" si="9"/>
        <v>DIVES - Total</v>
      </c>
      <c r="L141" s="44" t="e">
        <f>+VLOOKUP(K141,TL[],4,FALSE)</f>
        <v>#N/A</v>
      </c>
    </row>
    <row r="142" spans="1:12" x14ac:dyDescent="0.2">
      <c r="A142" t="s">
        <v>6611</v>
      </c>
      <c r="B142" t="s">
        <v>7037</v>
      </c>
      <c r="C142">
        <v>85.32</v>
      </c>
      <c r="D142" t="s">
        <v>6961</v>
      </c>
      <c r="E142">
        <v>85.32</v>
      </c>
      <c r="F142" t="s">
        <v>6961</v>
      </c>
      <c r="G142" s="220">
        <f t="shared" si="10"/>
        <v>85.32</v>
      </c>
      <c r="H142" s="220">
        <f t="shared" si="11"/>
        <v>85.32</v>
      </c>
      <c r="I142" s="221">
        <f>IF(A142="Total",VLOOKUP(B142,CORRESPONDANCE[#All],2,FALSE),I143)</f>
        <v>39</v>
      </c>
      <c r="J142" s="222" t="str">
        <f t="shared" si="8"/>
        <v>6</v>
      </c>
      <c r="K142" s="44" t="str">
        <f t="shared" si="9"/>
        <v>DIVES - 61301800</v>
      </c>
      <c r="L142" s="44" t="e">
        <f>+VLOOKUP(K142,TL[],4,FALSE)</f>
        <v>#N/A</v>
      </c>
    </row>
    <row r="143" spans="1:12" x14ac:dyDescent="0.2">
      <c r="A143" t="s">
        <v>2682</v>
      </c>
      <c r="B143" t="s">
        <v>1442</v>
      </c>
      <c r="C143">
        <v>625</v>
      </c>
      <c r="D143" t="s">
        <v>6961</v>
      </c>
      <c r="E143">
        <v>625</v>
      </c>
      <c r="F143" t="s">
        <v>6961</v>
      </c>
      <c r="G143" s="220">
        <f t="shared" si="10"/>
        <v>625</v>
      </c>
      <c r="H143" s="220">
        <f t="shared" si="11"/>
        <v>625</v>
      </c>
      <c r="I143" s="221">
        <f>IF(A143="Total",VLOOKUP(B143,CORRESPONDANCE[#All],2,FALSE),I144)</f>
        <v>39</v>
      </c>
      <c r="J143" s="222" t="str">
        <f t="shared" si="8"/>
        <v>6</v>
      </c>
      <c r="K143" s="44" t="str">
        <f t="shared" si="9"/>
        <v>DIVES - 61563700</v>
      </c>
      <c r="L143" s="44" t="str">
        <f>+VLOOKUP(K143,TL[],4,FALSE)</f>
        <v>16</v>
      </c>
    </row>
    <row r="144" spans="1:12" x14ac:dyDescent="0.2">
      <c r="A144" t="s">
        <v>197</v>
      </c>
      <c r="B144" t="s">
        <v>3028</v>
      </c>
      <c r="C144">
        <v>710.32</v>
      </c>
      <c r="D144" t="s">
        <v>6961</v>
      </c>
      <c r="E144">
        <v>710.32</v>
      </c>
      <c r="F144" t="s">
        <v>6961</v>
      </c>
      <c r="G144" s="220">
        <f t="shared" si="10"/>
        <v>710.32</v>
      </c>
      <c r="H144" s="220">
        <f t="shared" si="11"/>
        <v>710.32</v>
      </c>
      <c r="I144" s="221">
        <f>IF(A144="Total",VLOOKUP(B144,CORRESPONDANCE[#All],2,FALSE),I145)</f>
        <v>39</v>
      </c>
      <c r="J144" s="222" t="str">
        <f t="shared" si="8"/>
        <v>T</v>
      </c>
      <c r="K144" s="44" t="str">
        <f t="shared" si="9"/>
        <v>DIVES - Total</v>
      </c>
      <c r="L144" s="44" t="e">
        <f>+VLOOKUP(K144,TL[],4,FALSE)</f>
        <v>#N/A</v>
      </c>
    </row>
    <row r="145" spans="1:12" x14ac:dyDescent="0.2">
      <c r="A145" t="s">
        <v>2642</v>
      </c>
      <c r="B145" t="s">
        <v>7076</v>
      </c>
      <c r="C145">
        <v>429.58</v>
      </c>
      <c r="D145" t="s">
        <v>6961</v>
      </c>
      <c r="E145">
        <v>429.58</v>
      </c>
      <c r="F145" t="s">
        <v>6961</v>
      </c>
      <c r="G145" s="220">
        <f t="shared" si="10"/>
        <v>429.58</v>
      </c>
      <c r="H145" s="220">
        <f t="shared" si="11"/>
        <v>429.58</v>
      </c>
      <c r="I145" s="221">
        <f>IF(A145="Total",VLOOKUP(B145,CORRESPONDANCE[#All],2,FALSE),I146)</f>
        <v>40</v>
      </c>
      <c r="J145" s="222" t="str">
        <f t="shared" si="8"/>
        <v>6</v>
      </c>
      <c r="K145" s="44" t="str">
        <f t="shared" si="9"/>
        <v>DIVES - 62140700</v>
      </c>
      <c r="L145" s="44" t="e">
        <f>+VLOOKUP(K145,TL[],4,FALSE)</f>
        <v>#N/A</v>
      </c>
    </row>
    <row r="146" spans="1:12" x14ac:dyDescent="0.2">
      <c r="A146" t="s">
        <v>3695</v>
      </c>
      <c r="B146" t="s">
        <v>306</v>
      </c>
      <c r="C146">
        <v>0.04</v>
      </c>
      <c r="D146" t="s">
        <v>6961</v>
      </c>
      <c r="E146">
        <v>0.04</v>
      </c>
      <c r="F146" t="s">
        <v>6961</v>
      </c>
      <c r="G146" s="220">
        <f t="shared" si="10"/>
        <v>0.04</v>
      </c>
      <c r="H146" s="220">
        <f t="shared" si="11"/>
        <v>0.04</v>
      </c>
      <c r="I146" s="221">
        <f>IF(A146="Total",VLOOKUP(B146,CORRESPONDANCE[#All],2,FALSE),I147)</f>
        <v>40</v>
      </c>
      <c r="J146" s="222" t="str">
        <f t="shared" si="8"/>
        <v>6</v>
      </c>
      <c r="K146" s="44" t="str">
        <f t="shared" si="9"/>
        <v>DIVES - 65800000</v>
      </c>
      <c r="L146" s="44" t="str">
        <f>+VLOOKUP(K146,TL[],4,FALSE)</f>
        <v>39</v>
      </c>
    </row>
    <row r="147" spans="1:12" x14ac:dyDescent="0.2">
      <c r="A147" t="s">
        <v>197</v>
      </c>
      <c r="B147" t="s">
        <v>2603</v>
      </c>
      <c r="C147">
        <v>429.62</v>
      </c>
      <c r="D147" t="s">
        <v>6961</v>
      </c>
      <c r="E147">
        <v>429.62</v>
      </c>
      <c r="F147" t="s">
        <v>6961</v>
      </c>
      <c r="G147" s="220">
        <f t="shared" si="10"/>
        <v>429.62</v>
      </c>
      <c r="H147" s="220">
        <f t="shared" si="11"/>
        <v>429.62</v>
      </c>
      <c r="I147" s="221">
        <f>IF(A147="Total",VLOOKUP(B147,CORRESPONDANCE[#All],2,FALSE),I148)</f>
        <v>40</v>
      </c>
      <c r="J147" s="222" t="str">
        <f t="shared" si="8"/>
        <v>T</v>
      </c>
      <c r="K147" s="44" t="str">
        <f t="shared" si="9"/>
        <v>DIVES - Total</v>
      </c>
      <c r="L147" s="44" t="e">
        <f>+VLOOKUP(K147,TL[],4,FALSE)</f>
        <v>#N/A</v>
      </c>
    </row>
    <row r="148" spans="1:12" x14ac:dyDescent="0.2">
      <c r="A148" t="s">
        <v>2737</v>
      </c>
      <c r="B148" t="s">
        <v>386</v>
      </c>
      <c r="C148">
        <v>0.91</v>
      </c>
      <c r="D148" t="s">
        <v>6961</v>
      </c>
      <c r="E148">
        <v>0.91</v>
      </c>
      <c r="F148" t="s">
        <v>6961</v>
      </c>
      <c r="G148" s="220">
        <f t="shared" si="10"/>
        <v>0.91</v>
      </c>
      <c r="H148" s="220">
        <f t="shared" si="11"/>
        <v>0.91</v>
      </c>
      <c r="I148" s="221">
        <f>IF(A148="Total",VLOOKUP(B148,CORRESPONDANCE[#All],2,FALSE),I149)</f>
        <v>42</v>
      </c>
      <c r="J148" s="222" t="str">
        <f t="shared" si="8"/>
        <v>6</v>
      </c>
      <c r="K148" s="44" t="str">
        <f t="shared" si="9"/>
        <v>DIVES - 66110000</v>
      </c>
      <c r="L148" s="44" t="str">
        <f>+VLOOKUP(K148,TL[],4,FALSE)</f>
        <v>37</v>
      </c>
    </row>
    <row r="149" spans="1:12" x14ac:dyDescent="0.2">
      <c r="A149" t="s">
        <v>197</v>
      </c>
      <c r="B149" t="s">
        <v>2604</v>
      </c>
      <c r="C149">
        <v>0.91</v>
      </c>
      <c r="D149" t="s">
        <v>6961</v>
      </c>
      <c r="E149">
        <v>0.91</v>
      </c>
      <c r="F149" t="s">
        <v>6961</v>
      </c>
      <c r="G149" s="220">
        <f t="shared" si="10"/>
        <v>0.91</v>
      </c>
      <c r="H149" s="220">
        <f t="shared" si="11"/>
        <v>0.91</v>
      </c>
      <c r="I149" s="221">
        <f>IF(A149="Total",VLOOKUP(B149,CORRESPONDANCE[#All],2,FALSE),I150)</f>
        <v>42</v>
      </c>
      <c r="J149" s="222" t="str">
        <f t="shared" si="8"/>
        <v>T</v>
      </c>
      <c r="K149" s="44" t="str">
        <f t="shared" si="9"/>
        <v>DIVES - Total</v>
      </c>
      <c r="L149" s="44" t="e">
        <f>+VLOOKUP(K149,TL[],4,FALSE)</f>
        <v>#N/A</v>
      </c>
    </row>
    <row r="150" spans="1:12" x14ac:dyDescent="0.2">
      <c r="A150" t="s">
        <v>3659</v>
      </c>
      <c r="B150" t="s">
        <v>2153</v>
      </c>
      <c r="C150">
        <v>19187</v>
      </c>
      <c r="D150" t="s">
        <v>6961</v>
      </c>
      <c r="E150">
        <v>19187</v>
      </c>
      <c r="F150" t="s">
        <v>6961</v>
      </c>
      <c r="G150" s="220">
        <f t="shared" si="10"/>
        <v>19187</v>
      </c>
      <c r="H150" s="220">
        <f t="shared" si="11"/>
        <v>19187</v>
      </c>
      <c r="I150" s="221">
        <f>IF(A150="Total",VLOOKUP(B150,CORRESPONDANCE[#All],2,FALSE),I151)</f>
        <v>46</v>
      </c>
      <c r="J150" s="222" t="str">
        <f t="shared" si="8"/>
        <v>6</v>
      </c>
      <c r="K150" s="44" t="str">
        <f t="shared" si="9"/>
        <v>DIVES - 62830000</v>
      </c>
      <c r="L150" s="44" t="str">
        <f>+VLOOKUP(K150,TL[],4,FALSE)</f>
        <v>51</v>
      </c>
    </row>
    <row r="151" spans="1:12" x14ac:dyDescent="0.2">
      <c r="A151" t="s">
        <v>2739</v>
      </c>
      <c r="B151" t="s">
        <v>2154</v>
      </c>
      <c r="C151">
        <v>833.33</v>
      </c>
      <c r="D151" t="s">
        <v>6961</v>
      </c>
      <c r="E151">
        <v>833.33</v>
      </c>
      <c r="F151" t="s">
        <v>6961</v>
      </c>
      <c r="G151" s="220">
        <f t="shared" si="10"/>
        <v>833.33</v>
      </c>
      <c r="H151" s="220">
        <f t="shared" si="11"/>
        <v>833.33</v>
      </c>
      <c r="I151" s="221">
        <f>IF(A151="Total",VLOOKUP(B151,CORRESPONDANCE[#All],2,FALSE),I152)</f>
        <v>46</v>
      </c>
      <c r="J151" s="222" t="str">
        <f t="shared" si="8"/>
        <v>6</v>
      </c>
      <c r="K151" s="44" t="str">
        <f t="shared" si="9"/>
        <v>DIVES - 62850000</v>
      </c>
      <c r="L151" s="44" t="str">
        <f>+VLOOKUP(K151,TL[],4,FALSE)</f>
        <v>51</v>
      </c>
    </row>
    <row r="152" spans="1:12" x14ac:dyDescent="0.2">
      <c r="A152" t="s">
        <v>197</v>
      </c>
      <c r="B152" t="s">
        <v>2607</v>
      </c>
      <c r="C152">
        <v>20020.330000000002</v>
      </c>
      <c r="D152" t="s">
        <v>6961</v>
      </c>
      <c r="E152">
        <v>20020.330000000002</v>
      </c>
      <c r="F152" t="s">
        <v>6961</v>
      </c>
      <c r="G152" s="220">
        <f t="shared" si="10"/>
        <v>20020.330000000002</v>
      </c>
      <c r="H152" s="220">
        <f t="shared" si="11"/>
        <v>20020.330000000002</v>
      </c>
      <c r="I152" s="221">
        <f>IF(A152="Total",VLOOKUP(B152,CORRESPONDANCE[#All],2,FALSE),I153)</f>
        <v>46</v>
      </c>
      <c r="J152" s="222" t="str">
        <f t="shared" si="8"/>
        <v>T</v>
      </c>
      <c r="K152" s="44" t="str">
        <f t="shared" si="9"/>
        <v>DIVES - Total</v>
      </c>
      <c r="L152" s="44" t="e">
        <f>+VLOOKUP(K152,TL[],4,FALSE)</f>
        <v>#N/A</v>
      </c>
    </row>
    <row r="153" spans="1:12" x14ac:dyDescent="0.2">
      <c r="A153" t="s">
        <v>2740</v>
      </c>
      <c r="B153" t="s">
        <v>7077</v>
      </c>
      <c r="C153" t="s">
        <v>6961</v>
      </c>
      <c r="D153">
        <v>3920.76</v>
      </c>
      <c r="E153" t="s">
        <v>6961</v>
      </c>
      <c r="F153">
        <v>3920.76</v>
      </c>
      <c r="G153" s="220">
        <f t="shared" si="10"/>
        <v>-3920.76</v>
      </c>
      <c r="H153" s="220">
        <f t="shared" si="11"/>
        <v>-3920.76</v>
      </c>
      <c r="I153" s="221" t="str">
        <f>IF(A153="Total",VLOOKUP(B153,CORRESPONDANCE[#All],2,FALSE),I154)</f>
        <v>41.1</v>
      </c>
      <c r="J153" s="222" t="str">
        <f t="shared" si="8"/>
        <v>7</v>
      </c>
      <c r="K153" s="44" t="str">
        <f t="shared" si="9"/>
        <v>DIVES - 70230000</v>
      </c>
      <c r="L153" s="44" t="str">
        <f>+VLOOKUP(K153,TL[],4,FALSE)</f>
        <v>60</v>
      </c>
    </row>
    <row r="154" spans="1:12" x14ac:dyDescent="0.2">
      <c r="A154" t="s">
        <v>197</v>
      </c>
      <c r="B154" t="s">
        <v>2609</v>
      </c>
      <c r="C154" t="s">
        <v>6961</v>
      </c>
      <c r="D154">
        <v>3920.76</v>
      </c>
      <c r="E154" t="s">
        <v>6961</v>
      </c>
      <c r="F154">
        <v>3920.76</v>
      </c>
      <c r="G154" s="220">
        <f t="shared" si="10"/>
        <v>-3920.76</v>
      </c>
      <c r="H154" s="220">
        <f t="shared" si="11"/>
        <v>-3920.76</v>
      </c>
      <c r="I154" s="221" t="str">
        <f>IF(A154="Total",VLOOKUP(B154,CORRESPONDANCE[#All],2,FALSE),I155)</f>
        <v>41.1</v>
      </c>
      <c r="J154" s="222" t="str">
        <f t="shared" si="8"/>
        <v>T</v>
      </c>
      <c r="K154" s="44" t="str">
        <f t="shared" si="9"/>
        <v>DIVES - Total</v>
      </c>
      <c r="L154" s="44" t="e">
        <f>+VLOOKUP(K154,TL[],4,FALSE)</f>
        <v>#N/A</v>
      </c>
    </row>
    <row r="155" spans="1:12" x14ac:dyDescent="0.2">
      <c r="A155" t="s">
        <v>2741</v>
      </c>
      <c r="B155" t="s">
        <v>268</v>
      </c>
      <c r="C155">
        <v>1674.11</v>
      </c>
      <c r="D155" t="s">
        <v>6961</v>
      </c>
      <c r="E155">
        <v>1674.11</v>
      </c>
      <c r="F155" t="s">
        <v>6961</v>
      </c>
      <c r="G155" s="220">
        <f t="shared" si="10"/>
        <v>1674.11</v>
      </c>
      <c r="H155" s="220">
        <f t="shared" si="11"/>
        <v>1674.11</v>
      </c>
      <c r="I155" s="221" t="str">
        <f>IF(A155="Total",VLOOKUP(B155,CORRESPONDANCE[#All],2,FALSE),I156)</f>
        <v>41.2</v>
      </c>
      <c r="J155" s="222" t="str">
        <f t="shared" si="8"/>
        <v>6</v>
      </c>
      <c r="K155" s="44" t="str">
        <f t="shared" si="9"/>
        <v>DIVES - 60220200</v>
      </c>
      <c r="L155" s="44" t="str">
        <f>+VLOOKUP(K155,TL[],4,FALSE)</f>
        <v>62</v>
      </c>
    </row>
    <row r="156" spans="1:12" x14ac:dyDescent="0.2">
      <c r="A156" t="s">
        <v>2742</v>
      </c>
      <c r="B156" t="s">
        <v>6884</v>
      </c>
      <c r="C156">
        <v>873.52</v>
      </c>
      <c r="D156" t="s">
        <v>6961</v>
      </c>
      <c r="E156">
        <v>873.52</v>
      </c>
      <c r="F156" t="s">
        <v>6961</v>
      </c>
      <c r="G156" s="220">
        <f t="shared" si="10"/>
        <v>873.52</v>
      </c>
      <c r="H156" s="220">
        <f t="shared" si="11"/>
        <v>873.52</v>
      </c>
      <c r="I156" s="221" t="str">
        <f>IF(A156="Total",VLOOKUP(B156,CORRESPONDANCE[#All],2,FALSE),I157)</f>
        <v>41.2</v>
      </c>
      <c r="J156" s="222" t="str">
        <f t="shared" si="8"/>
        <v>6</v>
      </c>
      <c r="K156" s="44" t="str">
        <f t="shared" si="9"/>
        <v>DIVES - 60320100</v>
      </c>
      <c r="L156" s="44" t="str">
        <f>+VLOOKUP(K156,TL[],4,FALSE)</f>
        <v>62</v>
      </c>
    </row>
    <row r="157" spans="1:12" x14ac:dyDescent="0.2">
      <c r="A157" t="s">
        <v>197</v>
      </c>
      <c r="B157" t="s">
        <v>2611</v>
      </c>
      <c r="C157">
        <v>2547.63</v>
      </c>
      <c r="D157" t="s">
        <v>6961</v>
      </c>
      <c r="E157">
        <v>2547.63</v>
      </c>
      <c r="F157" t="s">
        <v>6961</v>
      </c>
      <c r="G157" s="220">
        <f t="shared" si="10"/>
        <v>2547.63</v>
      </c>
      <c r="H157" s="220">
        <f t="shared" si="11"/>
        <v>2547.63</v>
      </c>
      <c r="I157" s="221" t="str">
        <f>IF(A157="Total",VLOOKUP(B157,CORRESPONDANCE[#All],2,FALSE),I158)</f>
        <v>41.2</v>
      </c>
      <c r="J157" s="222" t="str">
        <f t="shared" si="8"/>
        <v>T</v>
      </c>
      <c r="K157" s="44" t="str">
        <f t="shared" si="9"/>
        <v>DIVES - Total</v>
      </c>
      <c r="L157" s="44" t="e">
        <f>+VLOOKUP(K157,TL[],4,FALSE)</f>
        <v>#N/A</v>
      </c>
    </row>
    <row r="158" spans="1:12" x14ac:dyDescent="0.2">
      <c r="A158" t="s">
        <v>6961</v>
      </c>
      <c r="B158" t="s">
        <v>2612</v>
      </c>
      <c r="C158">
        <v>259239.46</v>
      </c>
      <c r="D158">
        <v>254303.08</v>
      </c>
      <c r="E158">
        <v>259239.46</v>
      </c>
      <c r="F158">
        <v>254303.08</v>
      </c>
      <c r="G158" s="220">
        <f t="shared" si="10"/>
        <v>4936.3800000000047</v>
      </c>
      <c r="H158" s="220">
        <f t="shared" si="11"/>
        <v>4936.3800000000047</v>
      </c>
      <c r="I158" s="221" t="e">
        <f>IF(A158="Total",VLOOKUP(B158,CORRESPONDANCE[#All],2,FALSE),I159)</f>
        <v>#REF!</v>
      </c>
      <c r="J158" s="222" t="str">
        <f t="shared" si="8"/>
        <v/>
      </c>
      <c r="K158" s="44" t="str">
        <f t="shared" si="9"/>
        <v xml:space="preserve">DIVES - </v>
      </c>
      <c r="L158" s="44" t="e">
        <f>+VLOOKUP(K158,TL[],4,FALSE)</f>
        <v>#N/A</v>
      </c>
    </row>
    <row r="159" spans="1:12" x14ac:dyDescent="0.2">
      <c r="G159" s="220">
        <f t="shared" si="10"/>
        <v>0</v>
      </c>
      <c r="H159" s="220">
        <f t="shared" si="11"/>
        <v>0</v>
      </c>
      <c r="I159" s="221" t="e">
        <f>IF(A159="Total",VLOOKUP(B159,CORRESPONDANCE[#All],2,FALSE),I160)</f>
        <v>#REF!</v>
      </c>
      <c r="J159" s="222" t="str">
        <f t="shared" si="8"/>
        <v/>
      </c>
      <c r="K159" s="44" t="str">
        <f t="shared" si="9"/>
        <v xml:space="preserve">DIVES - </v>
      </c>
      <c r="L159" s="44" t="e">
        <f>+VLOOKUP(K159,TL[],4,FALSE)</f>
        <v>#N/A</v>
      </c>
    </row>
    <row r="160" spans="1:12" x14ac:dyDescent="0.2">
      <c r="G160" s="220">
        <f t="shared" si="10"/>
        <v>0</v>
      </c>
      <c r="H160" s="220">
        <f t="shared" si="11"/>
        <v>0</v>
      </c>
      <c r="I160" s="221" t="e">
        <f>IF(A160="Total",VLOOKUP(B160,CORRESPONDANCE[#All],2,FALSE),I161)</f>
        <v>#REF!</v>
      </c>
      <c r="J160" s="222" t="str">
        <f t="shared" si="8"/>
        <v/>
      </c>
      <c r="K160" s="44" t="str">
        <f t="shared" si="9"/>
        <v xml:space="preserve">DIVES - </v>
      </c>
      <c r="L160" s="44" t="e">
        <f>+VLOOKUP(K160,TL[],4,FALSE)</f>
        <v>#N/A</v>
      </c>
    </row>
    <row r="161" spans="7:12" x14ac:dyDescent="0.2">
      <c r="G161" s="220">
        <f t="shared" si="10"/>
        <v>0</v>
      </c>
      <c r="H161" s="220">
        <f t="shared" si="11"/>
        <v>0</v>
      </c>
      <c r="I161" s="221" t="e">
        <f>IF(A161="Total",VLOOKUP(B161,CORRESPONDANCE[#All],2,FALSE),I162)</f>
        <v>#REF!</v>
      </c>
      <c r="J161" s="222" t="str">
        <f t="shared" si="8"/>
        <v/>
      </c>
      <c r="K161" s="44" t="str">
        <f t="shared" si="9"/>
        <v xml:space="preserve">DIVES - </v>
      </c>
      <c r="L161" s="44" t="e">
        <f>+VLOOKUP(K161,TL[],4,FALSE)</f>
        <v>#N/A</v>
      </c>
    </row>
    <row r="162" spans="7:12" x14ac:dyDescent="0.2">
      <c r="G162" s="220">
        <f t="shared" si="10"/>
        <v>0</v>
      </c>
      <c r="H162" s="220">
        <f t="shared" si="11"/>
        <v>0</v>
      </c>
      <c r="I162" s="221" t="e">
        <f>IF(A162="Total",VLOOKUP(B162,CORRESPONDANCE[#All],2,FALSE),I163)</f>
        <v>#REF!</v>
      </c>
      <c r="J162" s="222" t="str">
        <f t="shared" si="8"/>
        <v/>
      </c>
      <c r="K162" s="44" t="str">
        <f t="shared" si="9"/>
        <v xml:space="preserve">DIVES - </v>
      </c>
      <c r="L162" s="44" t="e">
        <f>+VLOOKUP(K162,TL[],4,FALSE)</f>
        <v>#N/A</v>
      </c>
    </row>
    <row r="163" spans="7:12" x14ac:dyDescent="0.2">
      <c r="G163" s="220">
        <f t="shared" ref="G163:G173" si="12">SUM(C163)-SUM(D163)</f>
        <v>0</v>
      </c>
      <c r="H163" s="220">
        <f t="shared" ref="H163:H173" si="13">SUM(E163)-SUM(F163)</f>
        <v>0</v>
      </c>
      <c r="I163" s="221" t="e">
        <f>IF(A163="Total",VLOOKUP(B163,CORRESPONDANCE[#All],2,FALSE),I164)</f>
        <v>#REF!</v>
      </c>
      <c r="J163" s="222" t="str">
        <f t="shared" ref="J163:J173" si="14">LEFT(A163,1)</f>
        <v/>
      </c>
      <c r="K163" s="44" t="str">
        <f t="shared" ref="K163:K173" si="15">"DIVES"&amp;" - "&amp;A163</f>
        <v xml:space="preserve">DIVES - </v>
      </c>
      <c r="L163" s="44" t="e">
        <f>+VLOOKUP(K163,TL[],4,FALSE)</f>
        <v>#N/A</v>
      </c>
    </row>
    <row r="164" spans="7:12" x14ac:dyDescent="0.2">
      <c r="G164" s="220">
        <f t="shared" si="12"/>
        <v>0</v>
      </c>
      <c r="H164" s="220">
        <f t="shared" si="13"/>
        <v>0</v>
      </c>
      <c r="I164" s="221" t="e">
        <f>IF(A164="Total",VLOOKUP(B164,CORRESPONDANCE[#All],2,FALSE),I165)</f>
        <v>#REF!</v>
      </c>
      <c r="J164" s="222" t="str">
        <f t="shared" si="14"/>
        <v/>
      </c>
      <c r="K164" s="44" t="str">
        <f t="shared" si="15"/>
        <v xml:space="preserve">DIVES - </v>
      </c>
      <c r="L164" s="44" t="e">
        <f>+VLOOKUP(K164,TL[],4,FALSE)</f>
        <v>#N/A</v>
      </c>
    </row>
    <row r="165" spans="7:12" x14ac:dyDescent="0.2">
      <c r="G165" s="220">
        <f t="shared" si="12"/>
        <v>0</v>
      </c>
      <c r="H165" s="220">
        <f t="shared" si="13"/>
        <v>0</v>
      </c>
      <c r="I165" s="221" t="e">
        <f>IF(A165="Total",VLOOKUP(B165,CORRESPONDANCE[#All],2,FALSE),I166)</f>
        <v>#REF!</v>
      </c>
      <c r="J165" s="222" t="str">
        <f t="shared" si="14"/>
        <v/>
      </c>
      <c r="K165" s="44" t="str">
        <f t="shared" si="15"/>
        <v xml:space="preserve">DIVES - </v>
      </c>
      <c r="L165" s="44" t="e">
        <f>+VLOOKUP(K165,TL[],4,FALSE)</f>
        <v>#N/A</v>
      </c>
    </row>
    <row r="166" spans="7:12" x14ac:dyDescent="0.2">
      <c r="G166" s="220">
        <f t="shared" si="12"/>
        <v>0</v>
      </c>
      <c r="H166" s="220">
        <f t="shared" si="13"/>
        <v>0</v>
      </c>
      <c r="I166" s="221" t="e">
        <f>IF(A166="Total",VLOOKUP(B166,CORRESPONDANCE[#All],2,FALSE),I167)</f>
        <v>#REF!</v>
      </c>
      <c r="J166" s="222" t="str">
        <f t="shared" si="14"/>
        <v/>
      </c>
      <c r="K166" s="44" t="str">
        <f t="shared" si="15"/>
        <v xml:space="preserve">DIVES - </v>
      </c>
      <c r="L166" s="44" t="e">
        <f>+VLOOKUP(K166,TL[],4,FALSE)</f>
        <v>#N/A</v>
      </c>
    </row>
    <row r="167" spans="7:12" x14ac:dyDescent="0.2">
      <c r="G167" s="220">
        <f t="shared" si="12"/>
        <v>0</v>
      </c>
      <c r="H167" s="220">
        <f t="shared" si="13"/>
        <v>0</v>
      </c>
      <c r="I167" s="221" t="e">
        <f>IF(A167="Total",VLOOKUP(B167,CORRESPONDANCE[#All],2,FALSE),I168)</f>
        <v>#REF!</v>
      </c>
      <c r="J167" s="222" t="str">
        <f t="shared" si="14"/>
        <v/>
      </c>
      <c r="K167" s="44" t="str">
        <f t="shared" si="15"/>
        <v xml:space="preserve">DIVES - </v>
      </c>
      <c r="L167" s="44" t="e">
        <f>+VLOOKUP(K167,TL[],4,FALSE)</f>
        <v>#N/A</v>
      </c>
    </row>
    <row r="168" spans="7:12" x14ac:dyDescent="0.2">
      <c r="G168" s="220">
        <f t="shared" si="12"/>
        <v>0</v>
      </c>
      <c r="H168" s="220">
        <f t="shared" si="13"/>
        <v>0</v>
      </c>
      <c r="I168" s="221" t="e">
        <f>IF(A168="Total",VLOOKUP(B168,CORRESPONDANCE[#All],2,FALSE),I169)</f>
        <v>#REF!</v>
      </c>
      <c r="J168" s="222" t="str">
        <f t="shared" si="14"/>
        <v/>
      </c>
      <c r="K168" s="44" t="str">
        <f t="shared" si="15"/>
        <v xml:space="preserve">DIVES - </v>
      </c>
      <c r="L168" s="44" t="e">
        <f>+VLOOKUP(K168,TL[],4,FALSE)</f>
        <v>#N/A</v>
      </c>
    </row>
    <row r="169" spans="7:12" x14ac:dyDescent="0.2">
      <c r="G169" s="220">
        <f t="shared" si="12"/>
        <v>0</v>
      </c>
      <c r="H169" s="220">
        <f t="shared" si="13"/>
        <v>0</v>
      </c>
      <c r="I169" s="221" t="e">
        <f>IF(A169="Total",VLOOKUP(B169,CORRESPONDANCE[#All],2,FALSE),I170)</f>
        <v>#REF!</v>
      </c>
      <c r="J169" s="222" t="str">
        <f t="shared" si="14"/>
        <v/>
      </c>
      <c r="K169" s="44" t="str">
        <f t="shared" si="15"/>
        <v xml:space="preserve">DIVES - </v>
      </c>
      <c r="L169" s="44" t="e">
        <f>+VLOOKUP(K169,TL[],4,FALSE)</f>
        <v>#N/A</v>
      </c>
    </row>
    <row r="170" spans="7:12" x14ac:dyDescent="0.2">
      <c r="G170" s="220">
        <f t="shared" si="12"/>
        <v>0</v>
      </c>
      <c r="H170" s="220">
        <f t="shared" si="13"/>
        <v>0</v>
      </c>
      <c r="I170" s="221" t="e">
        <f>IF(A170="Total",VLOOKUP(B170,CORRESPONDANCE[#All],2,FALSE),I171)</f>
        <v>#REF!</v>
      </c>
      <c r="J170" s="222" t="str">
        <f t="shared" si="14"/>
        <v/>
      </c>
      <c r="K170" s="44" t="str">
        <f t="shared" si="15"/>
        <v xml:space="preserve">DIVES - </v>
      </c>
      <c r="L170" s="44" t="e">
        <f>+VLOOKUP(K170,TL[],4,FALSE)</f>
        <v>#N/A</v>
      </c>
    </row>
    <row r="171" spans="7:12" x14ac:dyDescent="0.2">
      <c r="G171" s="220">
        <f t="shared" si="12"/>
        <v>0</v>
      </c>
      <c r="H171" s="220">
        <f t="shared" si="13"/>
        <v>0</v>
      </c>
      <c r="I171" s="221" t="e">
        <f>IF(A171="Total",VLOOKUP(B171,CORRESPONDANCE[#All],2,FALSE),I172)</f>
        <v>#REF!</v>
      </c>
      <c r="J171" s="222" t="str">
        <f t="shared" si="14"/>
        <v/>
      </c>
      <c r="K171" s="44" t="str">
        <f t="shared" si="15"/>
        <v xml:space="preserve">DIVES - </v>
      </c>
      <c r="L171" s="44" t="e">
        <f>+VLOOKUP(K171,TL[],4,FALSE)</f>
        <v>#N/A</v>
      </c>
    </row>
    <row r="172" spans="7:12" x14ac:dyDescent="0.2">
      <c r="G172" s="220">
        <f t="shared" si="12"/>
        <v>0</v>
      </c>
      <c r="H172" s="220">
        <f t="shared" si="13"/>
        <v>0</v>
      </c>
      <c r="I172" s="221" t="e">
        <f>IF(A172="Total",VLOOKUP(B172,CORRESPONDANCE[#All],2,FALSE),I173)</f>
        <v>#REF!</v>
      </c>
      <c r="J172" s="222" t="str">
        <f t="shared" si="14"/>
        <v/>
      </c>
      <c r="K172" s="44" t="str">
        <f t="shared" si="15"/>
        <v xml:space="preserve">DIVES - </v>
      </c>
      <c r="L172" s="44" t="e">
        <f>+VLOOKUP(K172,TL[],4,FALSE)</f>
        <v>#N/A</v>
      </c>
    </row>
    <row r="173" spans="7:12" x14ac:dyDescent="0.2">
      <c r="G173" s="220">
        <f t="shared" si="12"/>
        <v>0</v>
      </c>
      <c r="H173" s="220">
        <f t="shared" si="13"/>
        <v>0</v>
      </c>
      <c r="I173" s="221" t="e">
        <f>IF(A173="Total",VLOOKUP(B173,CORRESPONDANCE[#All],2,FALSE),I174)</f>
        <v>#REF!</v>
      </c>
      <c r="J173" s="222" t="str">
        <f t="shared" si="14"/>
        <v/>
      </c>
      <c r="K173" s="44" t="str">
        <f t="shared" si="15"/>
        <v xml:space="preserve">DIVES - </v>
      </c>
      <c r="L173" s="44" t="e">
        <f>+VLOOKUP(K173,TL[],4,FALSE)</f>
        <v>#N/A</v>
      </c>
    </row>
    <row r="174" spans="7:12" x14ac:dyDescent="0.2">
      <c r="G174" s="220">
        <f t="shared" ref="G174:G237" si="16">SUM(C174)-SUM(D174)</f>
        <v>0</v>
      </c>
      <c r="H174" s="220">
        <f t="shared" ref="H174:H237" si="17">SUM(E174)-SUM(F174)</f>
        <v>0</v>
      </c>
      <c r="I174" s="221" t="e">
        <f>IF(A174="Total",VLOOKUP(B174,CORRESPONDANCE[#All],2,FALSE),I175)</f>
        <v>#REF!</v>
      </c>
      <c r="J174" s="222" t="str">
        <f t="shared" ref="J174:J237" si="18">LEFT(A174,1)</f>
        <v/>
      </c>
      <c r="K174" s="44" t="str">
        <f t="shared" ref="K174:K237" si="19">"DIVES"&amp;" - "&amp;A174</f>
        <v xml:space="preserve">DIVES - </v>
      </c>
      <c r="L174" s="44" t="e">
        <f>+VLOOKUP(K174,TL[],4,FALSE)</f>
        <v>#N/A</v>
      </c>
    </row>
    <row r="175" spans="7:12" x14ac:dyDescent="0.2">
      <c r="G175" s="220">
        <f t="shared" si="16"/>
        <v>0</v>
      </c>
      <c r="H175" s="220">
        <f t="shared" si="17"/>
        <v>0</v>
      </c>
      <c r="I175" s="221" t="e">
        <f>IF(A175="Total",VLOOKUP(B175,CORRESPONDANCE[#All],2,FALSE),I176)</f>
        <v>#REF!</v>
      </c>
      <c r="J175" s="222" t="str">
        <f t="shared" si="18"/>
        <v/>
      </c>
      <c r="K175" s="44" t="str">
        <f t="shared" si="19"/>
        <v xml:space="preserve">DIVES - </v>
      </c>
      <c r="L175" s="44" t="e">
        <f>+VLOOKUP(K175,TL[],4,FALSE)</f>
        <v>#N/A</v>
      </c>
    </row>
    <row r="176" spans="7:12" x14ac:dyDescent="0.2">
      <c r="G176" s="220">
        <f t="shared" si="16"/>
        <v>0</v>
      </c>
      <c r="H176" s="220">
        <f t="shared" si="17"/>
        <v>0</v>
      </c>
      <c r="I176" s="221" t="e">
        <f>IF(A176="Total",VLOOKUP(B176,CORRESPONDANCE[#All],2,FALSE),#REF!)</f>
        <v>#REF!</v>
      </c>
      <c r="J176" s="222" t="str">
        <f t="shared" si="18"/>
        <v/>
      </c>
      <c r="K176" s="44" t="str">
        <f t="shared" si="19"/>
        <v xml:space="preserve">DIVES - </v>
      </c>
      <c r="L176" s="44" t="e">
        <f>+VLOOKUP(K176,TL[],4,FALSE)</f>
        <v>#N/A</v>
      </c>
    </row>
    <row r="177" spans="7:12" x14ac:dyDescent="0.2">
      <c r="G177" s="220">
        <f t="shared" si="16"/>
        <v>0</v>
      </c>
      <c r="H177" s="220">
        <f t="shared" si="17"/>
        <v>0</v>
      </c>
      <c r="I177" s="221" t="e">
        <f>IF(A177="Total",VLOOKUP(B177,CORRESPONDANCE[#All],2,FALSE),#REF!)</f>
        <v>#REF!</v>
      </c>
      <c r="J177" s="222" t="str">
        <f t="shared" si="18"/>
        <v/>
      </c>
      <c r="K177" s="44" t="str">
        <f t="shared" si="19"/>
        <v xml:space="preserve">DIVES - </v>
      </c>
      <c r="L177" s="44" t="e">
        <f>+VLOOKUP(K177,TL[],4,FALSE)</f>
        <v>#N/A</v>
      </c>
    </row>
    <row r="178" spans="7:12" x14ac:dyDescent="0.2">
      <c r="G178" s="220">
        <f t="shared" si="16"/>
        <v>0</v>
      </c>
      <c r="H178" s="220">
        <f t="shared" si="17"/>
        <v>0</v>
      </c>
      <c r="I178" s="221" t="e">
        <f>IF(A178="Total",VLOOKUP(B178,CORRESPONDANCE[#All],2,FALSE),#REF!)</f>
        <v>#REF!</v>
      </c>
      <c r="J178" s="222" t="str">
        <f t="shared" si="18"/>
        <v/>
      </c>
      <c r="K178" s="44" t="str">
        <f t="shared" si="19"/>
        <v xml:space="preserve">DIVES - </v>
      </c>
      <c r="L178" s="44" t="e">
        <f>+VLOOKUP(K178,TL[],4,FALSE)</f>
        <v>#N/A</v>
      </c>
    </row>
    <row r="179" spans="7:12" x14ac:dyDescent="0.2">
      <c r="G179" s="220">
        <f t="shared" si="16"/>
        <v>0</v>
      </c>
      <c r="H179" s="220">
        <f t="shared" si="17"/>
        <v>0</v>
      </c>
      <c r="I179" s="221" t="e">
        <f>IF(A179="Total",VLOOKUP(B179,CORRESPONDANCE[#All],2,FALSE),#REF!)</f>
        <v>#REF!</v>
      </c>
      <c r="J179" s="222" t="str">
        <f t="shared" si="18"/>
        <v/>
      </c>
      <c r="K179" s="44" t="str">
        <f t="shared" si="19"/>
        <v xml:space="preserve">DIVES - </v>
      </c>
      <c r="L179" s="44" t="e">
        <f>+VLOOKUP(K179,TL[],4,FALSE)</f>
        <v>#N/A</v>
      </c>
    </row>
    <row r="180" spans="7:12" x14ac:dyDescent="0.2">
      <c r="G180" s="220">
        <f t="shared" si="16"/>
        <v>0</v>
      </c>
      <c r="H180" s="220">
        <f t="shared" si="17"/>
        <v>0</v>
      </c>
      <c r="I180" s="221" t="e">
        <f>IF(A180="Total",VLOOKUP(B180,CORRESPONDANCE[#All],2,FALSE),#REF!)</f>
        <v>#REF!</v>
      </c>
      <c r="J180" s="222" t="str">
        <f t="shared" si="18"/>
        <v/>
      </c>
      <c r="K180" s="44" t="str">
        <f t="shared" si="19"/>
        <v xml:space="preserve">DIVES - </v>
      </c>
      <c r="L180" s="44" t="e">
        <f>+VLOOKUP(K180,TL[],4,FALSE)</f>
        <v>#N/A</v>
      </c>
    </row>
    <row r="181" spans="7:12" x14ac:dyDescent="0.2">
      <c r="G181" s="220">
        <f t="shared" si="16"/>
        <v>0</v>
      </c>
      <c r="H181" s="220">
        <f t="shared" si="17"/>
        <v>0</v>
      </c>
      <c r="I181" s="221" t="e">
        <f>IF(A181="Total",VLOOKUP(B181,CORRESPONDANCE[#All],2,FALSE),#REF!)</f>
        <v>#REF!</v>
      </c>
      <c r="J181" s="222" t="str">
        <f t="shared" si="18"/>
        <v/>
      </c>
      <c r="K181" s="44" t="str">
        <f t="shared" si="19"/>
        <v xml:space="preserve">DIVES - </v>
      </c>
      <c r="L181" s="44" t="e">
        <f>+VLOOKUP(K181,TL[],4,FALSE)</f>
        <v>#N/A</v>
      </c>
    </row>
    <row r="182" spans="7:12" x14ac:dyDescent="0.2">
      <c r="G182" s="220">
        <f t="shared" si="16"/>
        <v>0</v>
      </c>
      <c r="H182" s="220">
        <f t="shared" si="17"/>
        <v>0</v>
      </c>
      <c r="I182" s="221" t="e">
        <f>IF(A182="Total",VLOOKUP(B182,CORRESPONDANCE[#All],2,FALSE),#REF!)</f>
        <v>#REF!</v>
      </c>
      <c r="J182" s="222" t="str">
        <f t="shared" si="18"/>
        <v/>
      </c>
      <c r="K182" s="44" t="str">
        <f t="shared" si="19"/>
        <v xml:space="preserve">DIVES - </v>
      </c>
      <c r="L182" s="44" t="e">
        <f>+VLOOKUP(K182,TL[],4,FALSE)</f>
        <v>#N/A</v>
      </c>
    </row>
    <row r="183" spans="7:12" x14ac:dyDescent="0.2">
      <c r="G183" s="220">
        <f t="shared" si="16"/>
        <v>0</v>
      </c>
      <c r="H183" s="220">
        <f t="shared" si="17"/>
        <v>0</v>
      </c>
      <c r="I183" s="221" t="e">
        <f>IF(A183="Total",VLOOKUP(B183,CORRESPONDANCE[#All],2,FALSE),#REF!)</f>
        <v>#REF!</v>
      </c>
      <c r="J183" s="222" t="str">
        <f t="shared" si="18"/>
        <v/>
      </c>
      <c r="K183" s="44" t="str">
        <f t="shared" si="19"/>
        <v xml:space="preserve">DIVES - </v>
      </c>
      <c r="L183" s="44" t="e">
        <f>+VLOOKUP(K183,TL[],4,FALSE)</f>
        <v>#N/A</v>
      </c>
    </row>
    <row r="184" spans="7:12" x14ac:dyDescent="0.2">
      <c r="G184" s="220">
        <f t="shared" si="16"/>
        <v>0</v>
      </c>
      <c r="H184" s="220">
        <f t="shared" si="17"/>
        <v>0</v>
      </c>
      <c r="I184" s="221" t="e">
        <f>IF(A184="Total",VLOOKUP(B184,CORRESPONDANCE[#All],2,FALSE),#REF!)</f>
        <v>#REF!</v>
      </c>
      <c r="J184" s="222" t="str">
        <f t="shared" si="18"/>
        <v/>
      </c>
      <c r="K184" s="44" t="str">
        <f t="shared" si="19"/>
        <v xml:space="preserve">DIVES - </v>
      </c>
      <c r="L184" s="44" t="e">
        <f>+VLOOKUP(K184,TL[],4,FALSE)</f>
        <v>#N/A</v>
      </c>
    </row>
    <row r="185" spans="7:12" x14ac:dyDescent="0.2">
      <c r="G185" s="220">
        <f t="shared" si="16"/>
        <v>0</v>
      </c>
      <c r="H185" s="220">
        <f t="shared" si="17"/>
        <v>0</v>
      </c>
      <c r="I185" s="221" t="e">
        <f>IF(A185="Total",VLOOKUP(B185,CORRESPONDANCE[#All],2,FALSE),#REF!)</f>
        <v>#REF!</v>
      </c>
      <c r="J185" s="222" t="str">
        <f t="shared" si="18"/>
        <v/>
      </c>
      <c r="K185" s="44" t="str">
        <f t="shared" si="19"/>
        <v xml:space="preserve">DIVES - </v>
      </c>
      <c r="L185" s="44" t="e">
        <f>+VLOOKUP(K185,TL[],4,FALSE)</f>
        <v>#N/A</v>
      </c>
    </row>
    <row r="186" spans="7:12" x14ac:dyDescent="0.2">
      <c r="G186" s="220">
        <f t="shared" si="16"/>
        <v>0</v>
      </c>
      <c r="H186" s="220">
        <f t="shared" si="17"/>
        <v>0</v>
      </c>
      <c r="I186" s="221" t="e">
        <f>IF(A186="Total",VLOOKUP(B186,CORRESPONDANCE[#All],2,FALSE),#REF!)</f>
        <v>#REF!</v>
      </c>
      <c r="J186" s="222" t="str">
        <f t="shared" si="18"/>
        <v/>
      </c>
      <c r="K186" s="44" t="str">
        <f t="shared" si="19"/>
        <v xml:space="preserve">DIVES - </v>
      </c>
      <c r="L186" s="44" t="e">
        <f>+VLOOKUP(K186,TL[],4,FALSE)</f>
        <v>#N/A</v>
      </c>
    </row>
    <row r="187" spans="7:12" x14ac:dyDescent="0.2">
      <c r="G187" s="220">
        <f t="shared" si="16"/>
        <v>0</v>
      </c>
      <c r="H187" s="220">
        <f t="shared" si="17"/>
        <v>0</v>
      </c>
      <c r="I187" s="221" t="e">
        <f>IF(A187="Total",VLOOKUP(B187,CORRESPONDANCE[#All],2,FALSE),#REF!)</f>
        <v>#REF!</v>
      </c>
      <c r="J187" s="222" t="str">
        <f t="shared" si="18"/>
        <v/>
      </c>
      <c r="K187" s="44" t="str">
        <f t="shared" si="19"/>
        <v xml:space="preserve">DIVES - </v>
      </c>
      <c r="L187" s="44" t="e">
        <f>+VLOOKUP(K187,TL[],4,FALSE)</f>
        <v>#N/A</v>
      </c>
    </row>
    <row r="188" spans="7:12" x14ac:dyDescent="0.2">
      <c r="G188" s="220">
        <f t="shared" si="16"/>
        <v>0</v>
      </c>
      <c r="H188" s="220">
        <f t="shared" si="17"/>
        <v>0</v>
      </c>
      <c r="I188" s="221" t="e">
        <f>IF(A188="Total",VLOOKUP(B188,CORRESPONDANCE[#All],2,FALSE),#REF!)</f>
        <v>#REF!</v>
      </c>
      <c r="J188" s="222" t="str">
        <f t="shared" si="18"/>
        <v/>
      </c>
      <c r="K188" s="44" t="str">
        <f t="shared" si="19"/>
        <v xml:space="preserve">DIVES - </v>
      </c>
      <c r="L188" s="44" t="e">
        <f>+VLOOKUP(K188,TL[],4,FALSE)</f>
        <v>#N/A</v>
      </c>
    </row>
    <row r="189" spans="7:12" x14ac:dyDescent="0.2">
      <c r="G189" s="220">
        <f t="shared" si="16"/>
        <v>0</v>
      </c>
      <c r="H189" s="220">
        <f t="shared" si="17"/>
        <v>0</v>
      </c>
      <c r="I189" s="221" t="e">
        <f>IF(A189="Total",VLOOKUP(B189,CORRESPONDANCE[#All],2,FALSE),#REF!)</f>
        <v>#REF!</v>
      </c>
      <c r="J189" s="222" t="str">
        <f t="shared" si="18"/>
        <v/>
      </c>
      <c r="K189" s="44" t="str">
        <f t="shared" si="19"/>
        <v xml:space="preserve">DIVES - </v>
      </c>
      <c r="L189" s="44" t="e">
        <f>+VLOOKUP(K189,TL[],4,FALSE)</f>
        <v>#N/A</v>
      </c>
    </row>
    <row r="190" spans="7:12" x14ac:dyDescent="0.2">
      <c r="G190" s="220">
        <f t="shared" si="16"/>
        <v>0</v>
      </c>
      <c r="H190" s="220">
        <f t="shared" si="17"/>
        <v>0</v>
      </c>
      <c r="I190" s="221" t="e">
        <f>IF(A190="Total",VLOOKUP(B190,CORRESPONDANCE[#All],2,FALSE),#REF!)</f>
        <v>#REF!</v>
      </c>
      <c r="J190" s="222" t="str">
        <f t="shared" si="18"/>
        <v/>
      </c>
      <c r="K190" s="44" t="str">
        <f t="shared" si="19"/>
        <v xml:space="preserve">DIVES - </v>
      </c>
      <c r="L190" s="44" t="e">
        <f>+VLOOKUP(K190,TL[],4,FALSE)</f>
        <v>#N/A</v>
      </c>
    </row>
    <row r="191" spans="7:12" x14ac:dyDescent="0.2">
      <c r="G191" s="220">
        <f t="shared" si="16"/>
        <v>0</v>
      </c>
      <c r="H191" s="220">
        <f t="shared" si="17"/>
        <v>0</v>
      </c>
      <c r="I191" s="221" t="e">
        <f>IF(A191="Total",VLOOKUP(B191,CORRESPONDANCE[#All],2,FALSE),#REF!)</f>
        <v>#REF!</v>
      </c>
      <c r="J191" s="222" t="str">
        <f t="shared" si="18"/>
        <v/>
      </c>
      <c r="K191" s="44" t="str">
        <f t="shared" si="19"/>
        <v xml:space="preserve">DIVES - </v>
      </c>
      <c r="L191" s="44" t="e">
        <f>+VLOOKUP(K191,TL[],4,FALSE)</f>
        <v>#N/A</v>
      </c>
    </row>
    <row r="192" spans="7:12" x14ac:dyDescent="0.2">
      <c r="G192" s="220">
        <f t="shared" si="16"/>
        <v>0</v>
      </c>
      <c r="H192" s="220">
        <f t="shared" si="17"/>
        <v>0</v>
      </c>
      <c r="I192" s="221" t="e">
        <f>IF(A192="Total",VLOOKUP(B192,CORRESPONDANCE[#All],2,FALSE),#REF!)</f>
        <v>#REF!</v>
      </c>
      <c r="J192" s="222" t="str">
        <f t="shared" si="18"/>
        <v/>
      </c>
      <c r="K192" s="44" t="str">
        <f t="shared" si="19"/>
        <v xml:space="preserve">DIVES - </v>
      </c>
      <c r="L192" s="44" t="e">
        <f>+VLOOKUP(K192,TL[],4,FALSE)</f>
        <v>#N/A</v>
      </c>
    </row>
    <row r="193" spans="7:12" x14ac:dyDescent="0.2">
      <c r="G193" s="220">
        <f t="shared" si="16"/>
        <v>0</v>
      </c>
      <c r="H193" s="220">
        <f t="shared" si="17"/>
        <v>0</v>
      </c>
      <c r="I193" s="221" t="e">
        <f>IF(A193="Total",VLOOKUP(B193,CORRESPONDANCE[#All],2,FALSE),#REF!)</f>
        <v>#REF!</v>
      </c>
      <c r="J193" s="222" t="str">
        <f t="shared" si="18"/>
        <v/>
      </c>
      <c r="K193" s="44" t="str">
        <f t="shared" si="19"/>
        <v xml:space="preserve">DIVES - </v>
      </c>
      <c r="L193" s="44" t="e">
        <f>+VLOOKUP(K193,TL[],4,FALSE)</f>
        <v>#N/A</v>
      </c>
    </row>
    <row r="194" spans="7:12" x14ac:dyDescent="0.2">
      <c r="G194" s="220">
        <f t="shared" si="16"/>
        <v>0</v>
      </c>
      <c r="H194" s="220">
        <f t="shared" si="17"/>
        <v>0</v>
      </c>
      <c r="I194" s="221" t="e">
        <f>IF(A194="Total",VLOOKUP(B194,CORRESPONDANCE[#All],2,FALSE),#REF!)</f>
        <v>#REF!</v>
      </c>
      <c r="J194" s="222" t="str">
        <f t="shared" si="18"/>
        <v/>
      </c>
      <c r="K194" s="44" t="str">
        <f t="shared" si="19"/>
        <v xml:space="preserve">DIVES - </v>
      </c>
      <c r="L194" s="44" t="e">
        <f>+VLOOKUP(K194,TL[],4,FALSE)</f>
        <v>#N/A</v>
      </c>
    </row>
    <row r="195" spans="7:12" x14ac:dyDescent="0.2">
      <c r="G195" s="220">
        <f t="shared" si="16"/>
        <v>0</v>
      </c>
      <c r="H195" s="220">
        <f t="shared" si="17"/>
        <v>0</v>
      </c>
      <c r="I195" s="221" t="e">
        <f>IF(A195="Total",VLOOKUP(B195,CORRESPONDANCE[#All],2,FALSE),#REF!)</f>
        <v>#REF!</v>
      </c>
      <c r="J195" s="222" t="str">
        <f t="shared" si="18"/>
        <v/>
      </c>
      <c r="K195" s="44" t="str">
        <f t="shared" si="19"/>
        <v xml:space="preserve">DIVES - </v>
      </c>
      <c r="L195" s="44" t="e">
        <f>+VLOOKUP(K195,TL[],4,FALSE)</f>
        <v>#N/A</v>
      </c>
    </row>
    <row r="196" spans="7:12" x14ac:dyDescent="0.2">
      <c r="G196" s="220">
        <f t="shared" si="16"/>
        <v>0</v>
      </c>
      <c r="H196" s="220">
        <f t="shared" si="17"/>
        <v>0</v>
      </c>
      <c r="I196" s="221" t="e">
        <f>IF(A196="Total",VLOOKUP(B196,CORRESPONDANCE[#All],2,FALSE),#REF!)</f>
        <v>#REF!</v>
      </c>
      <c r="J196" s="222" t="str">
        <f t="shared" si="18"/>
        <v/>
      </c>
      <c r="K196" s="44" t="str">
        <f t="shared" si="19"/>
        <v xml:space="preserve">DIVES - </v>
      </c>
      <c r="L196" s="44" t="e">
        <f>+VLOOKUP(K196,TL[],4,FALSE)</f>
        <v>#N/A</v>
      </c>
    </row>
    <row r="197" spans="7:12" x14ac:dyDescent="0.2">
      <c r="G197" s="220">
        <f t="shared" si="16"/>
        <v>0</v>
      </c>
      <c r="H197" s="220">
        <f t="shared" si="17"/>
        <v>0</v>
      </c>
      <c r="I197" s="221" t="e">
        <f>IF(A197="Total",VLOOKUP(B197,CORRESPONDANCE[#All],2,FALSE),#REF!)</f>
        <v>#REF!</v>
      </c>
      <c r="J197" s="222" t="str">
        <f t="shared" si="18"/>
        <v/>
      </c>
      <c r="K197" s="44" t="str">
        <f t="shared" si="19"/>
        <v xml:space="preserve">DIVES - </v>
      </c>
      <c r="L197" s="44" t="e">
        <f>+VLOOKUP(K197,TL[],4,FALSE)</f>
        <v>#N/A</v>
      </c>
    </row>
    <row r="198" spans="7:12" x14ac:dyDescent="0.2">
      <c r="G198" s="220">
        <f t="shared" si="16"/>
        <v>0</v>
      </c>
      <c r="H198" s="220">
        <f t="shared" si="17"/>
        <v>0</v>
      </c>
      <c r="I198" s="221" t="e">
        <f>IF(A198="Total",VLOOKUP(B198,CORRESPONDANCE[#All],2,FALSE),#REF!)</f>
        <v>#REF!</v>
      </c>
      <c r="J198" s="222" t="str">
        <f t="shared" si="18"/>
        <v/>
      </c>
      <c r="K198" s="44" t="str">
        <f t="shared" si="19"/>
        <v xml:space="preserve">DIVES - </v>
      </c>
      <c r="L198" s="44" t="e">
        <f>+VLOOKUP(K198,TL[],4,FALSE)</f>
        <v>#N/A</v>
      </c>
    </row>
    <row r="199" spans="7:12" x14ac:dyDescent="0.2">
      <c r="G199" s="220">
        <f t="shared" si="16"/>
        <v>0</v>
      </c>
      <c r="H199" s="220">
        <f t="shared" si="17"/>
        <v>0</v>
      </c>
      <c r="I199" s="221" t="e">
        <f>IF(A199="Total",VLOOKUP(B199,CORRESPONDANCE[#All],2,FALSE),#REF!)</f>
        <v>#REF!</v>
      </c>
      <c r="J199" s="222" t="str">
        <f t="shared" si="18"/>
        <v/>
      </c>
      <c r="K199" s="44" t="str">
        <f t="shared" si="19"/>
        <v xml:space="preserve">DIVES - </v>
      </c>
      <c r="L199" s="44" t="e">
        <f>+VLOOKUP(K199,TL[],4,FALSE)</f>
        <v>#N/A</v>
      </c>
    </row>
    <row r="200" spans="7:12" x14ac:dyDescent="0.2">
      <c r="G200" s="220">
        <f t="shared" si="16"/>
        <v>0</v>
      </c>
      <c r="H200" s="220">
        <f t="shared" si="17"/>
        <v>0</v>
      </c>
      <c r="I200" s="221" t="e">
        <f>IF(A200="Total",VLOOKUP(B200,CORRESPONDANCE[#All],2,FALSE),#REF!)</f>
        <v>#REF!</v>
      </c>
      <c r="J200" s="222" t="str">
        <f t="shared" si="18"/>
        <v/>
      </c>
      <c r="K200" s="44" t="str">
        <f t="shared" si="19"/>
        <v xml:space="preserve">DIVES - </v>
      </c>
      <c r="L200" s="44" t="e">
        <f>+VLOOKUP(K200,TL[],4,FALSE)</f>
        <v>#N/A</v>
      </c>
    </row>
    <row r="201" spans="7:12" x14ac:dyDescent="0.2">
      <c r="G201" s="220">
        <f t="shared" si="16"/>
        <v>0</v>
      </c>
      <c r="H201" s="220">
        <f t="shared" si="17"/>
        <v>0</v>
      </c>
      <c r="I201" s="221" t="e">
        <f>IF(A201="Total",VLOOKUP(B201,CORRESPONDANCE[#All],2,FALSE),#REF!)</f>
        <v>#REF!</v>
      </c>
      <c r="J201" s="222" t="str">
        <f t="shared" si="18"/>
        <v/>
      </c>
      <c r="K201" s="44" t="str">
        <f t="shared" si="19"/>
        <v xml:space="preserve">DIVES - </v>
      </c>
      <c r="L201" s="44" t="e">
        <f>+VLOOKUP(K201,TL[],4,FALSE)</f>
        <v>#N/A</v>
      </c>
    </row>
    <row r="202" spans="7:12" x14ac:dyDescent="0.2">
      <c r="G202" s="220">
        <f t="shared" si="16"/>
        <v>0</v>
      </c>
      <c r="H202" s="220">
        <f t="shared" si="17"/>
        <v>0</v>
      </c>
      <c r="I202" s="221" t="e">
        <f>IF(A202="Total",VLOOKUP(B202,CORRESPONDANCE[#All],2,FALSE),#REF!)</f>
        <v>#REF!</v>
      </c>
      <c r="J202" s="222" t="str">
        <f t="shared" si="18"/>
        <v/>
      </c>
      <c r="K202" s="44" t="str">
        <f t="shared" si="19"/>
        <v xml:space="preserve">DIVES - </v>
      </c>
      <c r="L202" s="44" t="e">
        <f>+VLOOKUP(K202,TL[],4,FALSE)</f>
        <v>#N/A</v>
      </c>
    </row>
    <row r="203" spans="7:12" x14ac:dyDescent="0.2">
      <c r="G203" s="220">
        <f t="shared" si="16"/>
        <v>0</v>
      </c>
      <c r="H203" s="220">
        <f t="shared" si="17"/>
        <v>0</v>
      </c>
      <c r="I203" s="221" t="e">
        <f>IF(A203="Total",VLOOKUP(B203,CORRESPONDANCE[#All],2,FALSE),#REF!)</f>
        <v>#REF!</v>
      </c>
      <c r="J203" s="222" t="str">
        <f t="shared" si="18"/>
        <v/>
      </c>
      <c r="K203" s="44" t="str">
        <f t="shared" si="19"/>
        <v xml:space="preserve">DIVES - </v>
      </c>
      <c r="L203" s="44" t="e">
        <f>+VLOOKUP(K203,TL[],4,FALSE)</f>
        <v>#N/A</v>
      </c>
    </row>
    <row r="204" spans="7:12" x14ac:dyDescent="0.2">
      <c r="G204" s="220">
        <f t="shared" si="16"/>
        <v>0</v>
      </c>
      <c r="H204" s="220">
        <f t="shared" si="17"/>
        <v>0</v>
      </c>
      <c r="I204" s="221" t="e">
        <f>IF(A204="Total",VLOOKUP(B204,CORRESPONDANCE[#All],2,FALSE),#REF!)</f>
        <v>#REF!</v>
      </c>
      <c r="J204" s="222" t="str">
        <f t="shared" si="18"/>
        <v/>
      </c>
      <c r="K204" s="44" t="str">
        <f t="shared" si="19"/>
        <v xml:space="preserve">DIVES - </v>
      </c>
      <c r="L204" s="44" t="e">
        <f>+VLOOKUP(K204,TL[],4,FALSE)</f>
        <v>#N/A</v>
      </c>
    </row>
    <row r="205" spans="7:12" x14ac:dyDescent="0.2">
      <c r="G205" s="220">
        <f t="shared" si="16"/>
        <v>0</v>
      </c>
      <c r="H205" s="220">
        <f t="shared" si="17"/>
        <v>0</v>
      </c>
      <c r="I205" s="221" t="e">
        <f>IF(A205="Total",VLOOKUP(B205,CORRESPONDANCE[#All],2,FALSE),#REF!)</f>
        <v>#REF!</v>
      </c>
      <c r="J205" s="222" t="str">
        <f t="shared" si="18"/>
        <v/>
      </c>
      <c r="K205" s="44" t="str">
        <f t="shared" si="19"/>
        <v xml:space="preserve">DIVES - </v>
      </c>
      <c r="L205" s="44" t="e">
        <f>+VLOOKUP(K205,TL[],4,FALSE)</f>
        <v>#N/A</v>
      </c>
    </row>
    <row r="206" spans="7:12" x14ac:dyDescent="0.2">
      <c r="G206" s="220">
        <f t="shared" si="16"/>
        <v>0</v>
      </c>
      <c r="H206" s="220">
        <f t="shared" si="17"/>
        <v>0</v>
      </c>
      <c r="I206" s="221" t="e">
        <f>IF(A206="Total",VLOOKUP(B206,CORRESPONDANCE[#All],2,FALSE),#REF!)</f>
        <v>#REF!</v>
      </c>
      <c r="J206" s="222" t="str">
        <f t="shared" si="18"/>
        <v/>
      </c>
      <c r="K206" s="44" t="str">
        <f t="shared" si="19"/>
        <v xml:space="preserve">DIVES - </v>
      </c>
      <c r="L206" s="44" t="e">
        <f>+VLOOKUP(K206,TL[],4,FALSE)</f>
        <v>#N/A</v>
      </c>
    </row>
    <row r="207" spans="7:12" x14ac:dyDescent="0.2">
      <c r="G207" s="220">
        <f t="shared" si="16"/>
        <v>0</v>
      </c>
      <c r="H207" s="220">
        <f t="shared" si="17"/>
        <v>0</v>
      </c>
      <c r="I207" s="221" t="e">
        <f>IF(A207="Total",VLOOKUP(B207,CORRESPONDANCE[#All],2,FALSE),#REF!)</f>
        <v>#REF!</v>
      </c>
      <c r="J207" s="222" t="str">
        <f t="shared" si="18"/>
        <v/>
      </c>
      <c r="K207" s="44" t="str">
        <f t="shared" si="19"/>
        <v xml:space="preserve">DIVES - </v>
      </c>
      <c r="L207" s="44" t="e">
        <f>+VLOOKUP(K207,TL[],4,FALSE)</f>
        <v>#N/A</v>
      </c>
    </row>
    <row r="208" spans="7:12" x14ac:dyDescent="0.2">
      <c r="G208" s="220">
        <f t="shared" si="16"/>
        <v>0</v>
      </c>
      <c r="H208" s="220">
        <f t="shared" si="17"/>
        <v>0</v>
      </c>
      <c r="I208" s="221" t="e">
        <f>IF(A208="Total",VLOOKUP(B208,CORRESPONDANCE[#All],2,FALSE),#REF!)</f>
        <v>#REF!</v>
      </c>
      <c r="J208" s="222" t="str">
        <f t="shared" si="18"/>
        <v/>
      </c>
      <c r="K208" s="44" t="str">
        <f t="shared" si="19"/>
        <v xml:space="preserve">DIVES - </v>
      </c>
      <c r="L208" s="44" t="e">
        <f>+VLOOKUP(K208,TL[],4,FALSE)</f>
        <v>#N/A</v>
      </c>
    </row>
    <row r="209" spans="7:12" x14ac:dyDescent="0.2">
      <c r="G209" s="220">
        <f t="shared" si="16"/>
        <v>0</v>
      </c>
      <c r="H209" s="220">
        <f t="shared" si="17"/>
        <v>0</v>
      </c>
      <c r="I209" s="221" t="e">
        <f>IF(A209="Total",VLOOKUP(B209,CORRESPONDANCE[#All],2,FALSE),#REF!)</f>
        <v>#REF!</v>
      </c>
      <c r="J209" s="222" t="str">
        <f t="shared" si="18"/>
        <v/>
      </c>
      <c r="K209" s="44" t="str">
        <f t="shared" si="19"/>
        <v xml:space="preserve">DIVES - </v>
      </c>
      <c r="L209" s="44" t="e">
        <f>+VLOOKUP(K209,TL[],4,FALSE)</f>
        <v>#N/A</v>
      </c>
    </row>
    <row r="210" spans="7:12" x14ac:dyDescent="0.2">
      <c r="G210" s="220">
        <f t="shared" si="16"/>
        <v>0</v>
      </c>
      <c r="H210" s="220">
        <f t="shared" si="17"/>
        <v>0</v>
      </c>
      <c r="I210" s="221" t="e">
        <f>IF(A210="Total",VLOOKUP(B210,CORRESPONDANCE[#All],2,FALSE),#REF!)</f>
        <v>#REF!</v>
      </c>
      <c r="J210" s="222" t="str">
        <f t="shared" si="18"/>
        <v/>
      </c>
      <c r="K210" s="44" t="str">
        <f t="shared" si="19"/>
        <v xml:space="preserve">DIVES - </v>
      </c>
      <c r="L210" s="44" t="e">
        <f>+VLOOKUP(K210,TL[],4,FALSE)</f>
        <v>#N/A</v>
      </c>
    </row>
    <row r="211" spans="7:12" x14ac:dyDescent="0.2">
      <c r="G211" s="220">
        <f t="shared" si="16"/>
        <v>0</v>
      </c>
      <c r="H211" s="220">
        <f t="shared" si="17"/>
        <v>0</v>
      </c>
      <c r="I211" s="221" t="e">
        <f>IF(A211="Total",VLOOKUP(B211,CORRESPONDANCE[#All],2,FALSE),#REF!)</f>
        <v>#REF!</v>
      </c>
      <c r="J211" s="222" t="str">
        <f t="shared" si="18"/>
        <v/>
      </c>
      <c r="K211" s="44" t="str">
        <f t="shared" si="19"/>
        <v xml:space="preserve">DIVES - </v>
      </c>
      <c r="L211" s="44" t="e">
        <f>+VLOOKUP(K211,TL[],4,FALSE)</f>
        <v>#N/A</v>
      </c>
    </row>
    <row r="212" spans="7:12" x14ac:dyDescent="0.2">
      <c r="G212" s="220">
        <f t="shared" si="16"/>
        <v>0</v>
      </c>
      <c r="H212" s="220">
        <f t="shared" si="17"/>
        <v>0</v>
      </c>
      <c r="I212" s="221" t="e">
        <f>IF(A212="Total",VLOOKUP(B212,CORRESPONDANCE[#All],2,FALSE),#REF!)</f>
        <v>#REF!</v>
      </c>
      <c r="J212" s="222" t="str">
        <f t="shared" si="18"/>
        <v/>
      </c>
      <c r="K212" s="44" t="str">
        <f t="shared" si="19"/>
        <v xml:space="preserve">DIVES - </v>
      </c>
      <c r="L212" s="44" t="e">
        <f>+VLOOKUP(K212,TL[],4,FALSE)</f>
        <v>#N/A</v>
      </c>
    </row>
    <row r="213" spans="7:12" x14ac:dyDescent="0.2">
      <c r="G213" s="220">
        <f t="shared" si="16"/>
        <v>0</v>
      </c>
      <c r="H213" s="220">
        <f t="shared" si="17"/>
        <v>0</v>
      </c>
      <c r="I213" s="221" t="e">
        <f>IF(A213="Total",VLOOKUP(B213,CORRESPONDANCE[#All],2,FALSE),#REF!)</f>
        <v>#REF!</v>
      </c>
      <c r="J213" s="222" t="str">
        <f t="shared" si="18"/>
        <v/>
      </c>
      <c r="K213" s="44" t="str">
        <f t="shared" si="19"/>
        <v xml:space="preserve">DIVES - </v>
      </c>
      <c r="L213" s="44" t="e">
        <f>+VLOOKUP(K213,TL[],4,FALSE)</f>
        <v>#N/A</v>
      </c>
    </row>
    <row r="214" spans="7:12" x14ac:dyDescent="0.2">
      <c r="G214" s="220">
        <f t="shared" si="16"/>
        <v>0</v>
      </c>
      <c r="H214" s="220">
        <f t="shared" si="17"/>
        <v>0</v>
      </c>
      <c r="I214" s="221" t="e">
        <f>IF(A214="Total",VLOOKUP(B214,CORRESPONDANCE[#All],2,FALSE),#REF!)</f>
        <v>#REF!</v>
      </c>
      <c r="J214" s="222" t="str">
        <f t="shared" si="18"/>
        <v/>
      </c>
      <c r="K214" s="44" t="str">
        <f t="shared" si="19"/>
        <v xml:space="preserve">DIVES - </v>
      </c>
      <c r="L214" s="44" t="e">
        <f>+VLOOKUP(K214,TL[],4,FALSE)</f>
        <v>#N/A</v>
      </c>
    </row>
    <row r="215" spans="7:12" x14ac:dyDescent="0.2">
      <c r="G215" s="220">
        <f t="shared" si="16"/>
        <v>0</v>
      </c>
      <c r="H215" s="220">
        <f t="shared" si="17"/>
        <v>0</v>
      </c>
      <c r="I215" s="221" t="e">
        <f>IF(A215="Total",VLOOKUP(B215,CORRESPONDANCE[#All],2,FALSE),#REF!)</f>
        <v>#REF!</v>
      </c>
      <c r="J215" s="222" t="str">
        <f t="shared" si="18"/>
        <v/>
      </c>
      <c r="K215" s="44" t="str">
        <f t="shared" si="19"/>
        <v xml:space="preserve">DIVES - </v>
      </c>
      <c r="L215" s="44" t="e">
        <f>+VLOOKUP(K215,TL[],4,FALSE)</f>
        <v>#N/A</v>
      </c>
    </row>
    <row r="216" spans="7:12" x14ac:dyDescent="0.2">
      <c r="G216" s="220">
        <f t="shared" si="16"/>
        <v>0</v>
      </c>
      <c r="H216" s="220">
        <f t="shared" si="17"/>
        <v>0</v>
      </c>
      <c r="I216" s="221" t="e">
        <f>IF(A216="Total",VLOOKUP(B216,CORRESPONDANCE[#All],2,FALSE),#REF!)</f>
        <v>#REF!</v>
      </c>
      <c r="J216" s="222" t="str">
        <f t="shared" si="18"/>
        <v/>
      </c>
      <c r="K216" s="44" t="str">
        <f t="shared" si="19"/>
        <v xml:space="preserve">DIVES - </v>
      </c>
      <c r="L216" s="44" t="e">
        <f>+VLOOKUP(K216,TL[],4,FALSE)</f>
        <v>#N/A</v>
      </c>
    </row>
    <row r="217" spans="7:12" x14ac:dyDescent="0.2">
      <c r="G217" s="220">
        <f t="shared" si="16"/>
        <v>0</v>
      </c>
      <c r="H217" s="220">
        <f t="shared" si="17"/>
        <v>0</v>
      </c>
      <c r="I217" s="221" t="e">
        <f>IF(A217="Total",VLOOKUP(B217,CORRESPONDANCE[#All],2,FALSE),#REF!)</f>
        <v>#REF!</v>
      </c>
      <c r="J217" s="222" t="str">
        <f t="shared" si="18"/>
        <v/>
      </c>
      <c r="K217" s="44" t="str">
        <f t="shared" si="19"/>
        <v xml:space="preserve">DIVES - </v>
      </c>
      <c r="L217" s="44" t="e">
        <f>+VLOOKUP(K217,TL[],4,FALSE)</f>
        <v>#N/A</v>
      </c>
    </row>
    <row r="218" spans="7:12" x14ac:dyDescent="0.2">
      <c r="G218" s="220">
        <f t="shared" si="16"/>
        <v>0</v>
      </c>
      <c r="H218" s="220">
        <f t="shared" si="17"/>
        <v>0</v>
      </c>
      <c r="I218" s="221" t="e">
        <f>IF(A218="Total",VLOOKUP(B218,CORRESPONDANCE[#All],2,FALSE),#REF!)</f>
        <v>#REF!</v>
      </c>
      <c r="J218" s="222" t="str">
        <f t="shared" si="18"/>
        <v/>
      </c>
      <c r="K218" s="44" t="str">
        <f t="shared" si="19"/>
        <v xml:space="preserve">DIVES - </v>
      </c>
      <c r="L218" s="44" t="e">
        <f>+VLOOKUP(K218,TL[],4,FALSE)</f>
        <v>#N/A</v>
      </c>
    </row>
    <row r="219" spans="7:12" x14ac:dyDescent="0.2">
      <c r="G219" s="220">
        <f t="shared" si="16"/>
        <v>0</v>
      </c>
      <c r="H219" s="220">
        <f t="shared" si="17"/>
        <v>0</v>
      </c>
      <c r="I219" s="221" t="e">
        <f>IF(A219="Total",VLOOKUP(B219,CORRESPONDANCE[#All],2,FALSE),#REF!)</f>
        <v>#REF!</v>
      </c>
      <c r="J219" s="222" t="str">
        <f t="shared" si="18"/>
        <v/>
      </c>
      <c r="K219" s="44" t="str">
        <f t="shared" si="19"/>
        <v xml:space="preserve">DIVES - </v>
      </c>
      <c r="L219" s="44" t="e">
        <f>+VLOOKUP(K219,TL[],4,FALSE)</f>
        <v>#N/A</v>
      </c>
    </row>
    <row r="220" spans="7:12" x14ac:dyDescent="0.2">
      <c r="G220" s="220">
        <f t="shared" si="16"/>
        <v>0</v>
      </c>
      <c r="H220" s="220">
        <f t="shared" si="17"/>
        <v>0</v>
      </c>
      <c r="I220" s="221" t="e">
        <f>IF(A220="Total",VLOOKUP(B220,CORRESPONDANCE[#All],2,FALSE),#REF!)</f>
        <v>#REF!</v>
      </c>
      <c r="J220" s="222" t="str">
        <f t="shared" si="18"/>
        <v/>
      </c>
      <c r="K220" s="44" t="str">
        <f t="shared" si="19"/>
        <v xml:space="preserve">DIVES - </v>
      </c>
      <c r="L220" s="44" t="e">
        <f>+VLOOKUP(K220,TL[],4,FALSE)</f>
        <v>#N/A</v>
      </c>
    </row>
    <row r="221" spans="7:12" x14ac:dyDescent="0.2">
      <c r="G221" s="220">
        <f t="shared" si="16"/>
        <v>0</v>
      </c>
      <c r="H221" s="220">
        <f t="shared" si="17"/>
        <v>0</v>
      </c>
      <c r="I221" s="221" t="e">
        <f>IF(A221="Total",VLOOKUP(B221,CORRESPONDANCE[#All],2,FALSE),#REF!)</f>
        <v>#REF!</v>
      </c>
      <c r="J221" s="222" t="str">
        <f t="shared" si="18"/>
        <v/>
      </c>
      <c r="K221" s="44" t="str">
        <f t="shared" si="19"/>
        <v xml:space="preserve">DIVES - </v>
      </c>
      <c r="L221" s="44" t="e">
        <f>+VLOOKUP(K221,TL[],4,FALSE)</f>
        <v>#N/A</v>
      </c>
    </row>
    <row r="222" spans="7:12" x14ac:dyDescent="0.2">
      <c r="G222" s="220">
        <f t="shared" si="16"/>
        <v>0</v>
      </c>
      <c r="H222" s="220">
        <f t="shared" si="17"/>
        <v>0</v>
      </c>
      <c r="I222" s="221" t="e">
        <f>IF(A222="Total",VLOOKUP(B222,CORRESPONDANCE[#All],2,FALSE),#REF!)</f>
        <v>#REF!</v>
      </c>
      <c r="J222" s="222" t="str">
        <f t="shared" si="18"/>
        <v/>
      </c>
      <c r="K222" s="44" t="str">
        <f t="shared" si="19"/>
        <v xml:space="preserve">DIVES - </v>
      </c>
      <c r="L222" s="44" t="e">
        <f>+VLOOKUP(K222,TL[],4,FALSE)</f>
        <v>#N/A</v>
      </c>
    </row>
    <row r="223" spans="7:12" x14ac:dyDescent="0.2">
      <c r="G223" s="220">
        <f t="shared" si="16"/>
        <v>0</v>
      </c>
      <c r="H223" s="220">
        <f t="shared" si="17"/>
        <v>0</v>
      </c>
      <c r="I223" s="221" t="e">
        <f>IF(A223="Total",VLOOKUP(B223,CORRESPONDANCE[#All],2,FALSE),#REF!)</f>
        <v>#REF!</v>
      </c>
      <c r="J223" s="222" t="str">
        <f t="shared" si="18"/>
        <v/>
      </c>
      <c r="K223" s="44" t="str">
        <f t="shared" si="19"/>
        <v xml:space="preserve">DIVES - </v>
      </c>
      <c r="L223" s="44" t="e">
        <f>+VLOOKUP(K223,TL[],4,FALSE)</f>
        <v>#N/A</v>
      </c>
    </row>
    <row r="224" spans="7:12" x14ac:dyDescent="0.2">
      <c r="G224" s="220">
        <f t="shared" si="16"/>
        <v>0</v>
      </c>
      <c r="H224" s="220">
        <f t="shared" si="17"/>
        <v>0</v>
      </c>
      <c r="I224" s="221" t="e">
        <f>IF(A224="Total",VLOOKUP(B224,CORRESPONDANCE[#All],2,FALSE),#REF!)</f>
        <v>#REF!</v>
      </c>
      <c r="J224" s="222" t="str">
        <f t="shared" si="18"/>
        <v/>
      </c>
      <c r="K224" s="44" t="str">
        <f t="shared" si="19"/>
        <v xml:space="preserve">DIVES - </v>
      </c>
      <c r="L224" s="44" t="e">
        <f>+VLOOKUP(K224,TL[],4,FALSE)</f>
        <v>#N/A</v>
      </c>
    </row>
    <row r="225" spans="7:12" x14ac:dyDescent="0.2">
      <c r="G225" s="220">
        <f t="shared" si="16"/>
        <v>0</v>
      </c>
      <c r="H225" s="220">
        <f t="shared" si="17"/>
        <v>0</v>
      </c>
      <c r="I225" s="221" t="e">
        <f>IF(A225="Total",VLOOKUP(B225,CORRESPONDANCE[#All],2,FALSE),#REF!)</f>
        <v>#REF!</v>
      </c>
      <c r="J225" s="222" t="str">
        <f t="shared" si="18"/>
        <v/>
      </c>
      <c r="K225" s="44" t="str">
        <f t="shared" si="19"/>
        <v xml:space="preserve">DIVES - </v>
      </c>
      <c r="L225" s="44" t="e">
        <f>+VLOOKUP(K225,TL[],4,FALSE)</f>
        <v>#N/A</v>
      </c>
    </row>
    <row r="226" spans="7:12" x14ac:dyDescent="0.2">
      <c r="G226" s="220">
        <f t="shared" si="16"/>
        <v>0</v>
      </c>
      <c r="H226" s="220">
        <f t="shared" si="17"/>
        <v>0</v>
      </c>
      <c r="I226" s="221" t="e">
        <f>IF(A226="Total",VLOOKUP(B226,CORRESPONDANCE[#All],2,FALSE),#REF!)</f>
        <v>#REF!</v>
      </c>
      <c r="J226" s="222" t="str">
        <f t="shared" si="18"/>
        <v/>
      </c>
      <c r="K226" s="44" t="str">
        <f t="shared" si="19"/>
        <v xml:space="preserve">DIVES - </v>
      </c>
      <c r="L226" s="44" t="e">
        <f>+VLOOKUP(K226,TL[],4,FALSE)</f>
        <v>#N/A</v>
      </c>
    </row>
    <row r="227" spans="7:12" x14ac:dyDescent="0.2">
      <c r="G227" s="220">
        <f t="shared" si="16"/>
        <v>0</v>
      </c>
      <c r="H227" s="220">
        <f t="shared" si="17"/>
        <v>0</v>
      </c>
      <c r="I227" s="221" t="e">
        <f>IF(A227="Total",VLOOKUP(B227,CORRESPONDANCE[#All],2,FALSE),#REF!)</f>
        <v>#REF!</v>
      </c>
      <c r="J227" s="222" t="str">
        <f t="shared" si="18"/>
        <v/>
      </c>
      <c r="K227" s="44" t="str">
        <f t="shared" si="19"/>
        <v xml:space="preserve">DIVES - </v>
      </c>
      <c r="L227" s="44" t="e">
        <f>+VLOOKUP(K227,TL[],4,FALSE)</f>
        <v>#N/A</v>
      </c>
    </row>
    <row r="228" spans="7:12" x14ac:dyDescent="0.2">
      <c r="G228" s="220">
        <f t="shared" si="16"/>
        <v>0</v>
      </c>
      <c r="H228" s="220">
        <f t="shared" si="17"/>
        <v>0</v>
      </c>
      <c r="I228" s="221" t="e">
        <f>IF(A228="Total",VLOOKUP(B228,CORRESPONDANCE[#All],2,FALSE),#REF!)</f>
        <v>#REF!</v>
      </c>
      <c r="J228" s="222" t="str">
        <f t="shared" si="18"/>
        <v/>
      </c>
      <c r="K228" s="44" t="str">
        <f t="shared" si="19"/>
        <v xml:space="preserve">DIVES - </v>
      </c>
      <c r="L228" s="44" t="e">
        <f>+VLOOKUP(K228,TL[],4,FALSE)</f>
        <v>#N/A</v>
      </c>
    </row>
    <row r="229" spans="7:12" x14ac:dyDescent="0.2">
      <c r="G229" s="220">
        <f t="shared" si="16"/>
        <v>0</v>
      </c>
      <c r="H229" s="220">
        <f t="shared" si="17"/>
        <v>0</v>
      </c>
      <c r="I229" s="221" t="e">
        <f>IF(A229="Total",VLOOKUP(B229,CORRESPONDANCE[#All],2,FALSE),#REF!)</f>
        <v>#REF!</v>
      </c>
      <c r="J229" s="222" t="str">
        <f t="shared" si="18"/>
        <v/>
      </c>
      <c r="K229" s="44" t="str">
        <f t="shared" si="19"/>
        <v xml:space="preserve">DIVES - </v>
      </c>
      <c r="L229" s="44" t="e">
        <f>+VLOOKUP(K229,TL[],4,FALSE)</f>
        <v>#N/A</v>
      </c>
    </row>
    <row r="230" spans="7:12" x14ac:dyDescent="0.2">
      <c r="G230" s="220">
        <f t="shared" si="16"/>
        <v>0</v>
      </c>
      <c r="H230" s="220">
        <f t="shared" si="17"/>
        <v>0</v>
      </c>
      <c r="I230" s="221" t="e">
        <f>IF(A230="Total",VLOOKUP(B230,CORRESPONDANCE[#All],2,FALSE),#REF!)</f>
        <v>#REF!</v>
      </c>
      <c r="J230" s="222" t="str">
        <f t="shared" si="18"/>
        <v/>
      </c>
      <c r="K230" s="44" t="str">
        <f t="shared" si="19"/>
        <v xml:space="preserve">DIVES - </v>
      </c>
      <c r="L230" s="44" t="e">
        <f>+VLOOKUP(K230,TL[],4,FALSE)</f>
        <v>#N/A</v>
      </c>
    </row>
    <row r="231" spans="7:12" x14ac:dyDescent="0.2">
      <c r="G231" s="220">
        <f t="shared" si="16"/>
        <v>0</v>
      </c>
      <c r="H231" s="220">
        <f t="shared" si="17"/>
        <v>0</v>
      </c>
      <c r="I231" s="221" t="e">
        <f>IF(A231="Total",VLOOKUP(B231,CORRESPONDANCE[#All],2,FALSE),#REF!)</f>
        <v>#REF!</v>
      </c>
      <c r="J231" s="222" t="str">
        <f t="shared" si="18"/>
        <v/>
      </c>
      <c r="K231" s="44" t="str">
        <f t="shared" si="19"/>
        <v xml:space="preserve">DIVES - </v>
      </c>
      <c r="L231" s="44" t="e">
        <f>+VLOOKUP(K231,TL[],4,FALSE)</f>
        <v>#N/A</v>
      </c>
    </row>
    <row r="232" spans="7:12" x14ac:dyDescent="0.2">
      <c r="G232" s="220">
        <f t="shared" si="16"/>
        <v>0</v>
      </c>
      <c r="H232" s="220">
        <f t="shared" si="17"/>
        <v>0</v>
      </c>
      <c r="I232" s="221" t="e">
        <f>IF(A232="Total",VLOOKUP(B232,CORRESPONDANCE[#All],2,FALSE),#REF!)</f>
        <v>#REF!</v>
      </c>
      <c r="J232" s="222" t="str">
        <f t="shared" si="18"/>
        <v/>
      </c>
      <c r="K232" s="44" t="str">
        <f t="shared" si="19"/>
        <v xml:space="preserve">DIVES - </v>
      </c>
      <c r="L232" s="44" t="e">
        <f>+VLOOKUP(K232,TL[],4,FALSE)</f>
        <v>#N/A</v>
      </c>
    </row>
    <row r="233" spans="7:12" x14ac:dyDescent="0.2">
      <c r="G233" s="220">
        <f t="shared" si="16"/>
        <v>0</v>
      </c>
      <c r="H233" s="220">
        <f t="shared" si="17"/>
        <v>0</v>
      </c>
      <c r="I233" s="221" t="e">
        <f>IF(A233="Total",VLOOKUP(B233,CORRESPONDANCE[#All],2,FALSE),#REF!)</f>
        <v>#REF!</v>
      </c>
      <c r="J233" s="222" t="str">
        <f t="shared" si="18"/>
        <v/>
      </c>
      <c r="K233" s="44" t="str">
        <f t="shared" si="19"/>
        <v xml:space="preserve">DIVES - </v>
      </c>
      <c r="L233" s="44" t="e">
        <f>+VLOOKUP(K233,TL[],4,FALSE)</f>
        <v>#N/A</v>
      </c>
    </row>
    <row r="234" spans="7:12" x14ac:dyDescent="0.2">
      <c r="G234" s="220">
        <f t="shared" si="16"/>
        <v>0</v>
      </c>
      <c r="H234" s="220">
        <f t="shared" si="17"/>
        <v>0</v>
      </c>
      <c r="I234" s="221" t="e">
        <f>IF(A234="Total",VLOOKUP(B234,CORRESPONDANCE[#All],2,FALSE),#REF!)</f>
        <v>#REF!</v>
      </c>
      <c r="J234" s="222" t="str">
        <f t="shared" si="18"/>
        <v/>
      </c>
      <c r="K234" s="44" t="str">
        <f t="shared" si="19"/>
        <v xml:space="preserve">DIVES - </v>
      </c>
      <c r="L234" s="44" t="e">
        <f>+VLOOKUP(K234,TL[],4,FALSE)</f>
        <v>#N/A</v>
      </c>
    </row>
    <row r="235" spans="7:12" x14ac:dyDescent="0.2">
      <c r="G235" s="220">
        <f t="shared" si="16"/>
        <v>0</v>
      </c>
      <c r="H235" s="220">
        <f t="shared" si="17"/>
        <v>0</v>
      </c>
      <c r="I235" s="221" t="e">
        <f>IF(A235="Total",VLOOKUP(B235,CORRESPONDANCE[#All],2,FALSE),#REF!)</f>
        <v>#REF!</v>
      </c>
      <c r="J235" s="222" t="str">
        <f t="shared" si="18"/>
        <v/>
      </c>
      <c r="K235" s="44" t="str">
        <f t="shared" si="19"/>
        <v xml:space="preserve">DIVES - </v>
      </c>
      <c r="L235" s="44" t="e">
        <f>+VLOOKUP(K235,TL[],4,FALSE)</f>
        <v>#N/A</v>
      </c>
    </row>
    <row r="236" spans="7:12" x14ac:dyDescent="0.2">
      <c r="G236" s="220">
        <f t="shared" si="16"/>
        <v>0</v>
      </c>
      <c r="H236" s="220">
        <f t="shared" si="17"/>
        <v>0</v>
      </c>
      <c r="I236" s="221" t="e">
        <f>IF(A236="Total",VLOOKUP(B236,CORRESPONDANCE[#All],2,FALSE),#REF!)</f>
        <v>#REF!</v>
      </c>
      <c r="J236" s="222" t="str">
        <f t="shared" si="18"/>
        <v/>
      </c>
      <c r="K236" s="44" t="str">
        <f t="shared" si="19"/>
        <v xml:space="preserve">DIVES - </v>
      </c>
      <c r="L236" s="44" t="e">
        <f>+VLOOKUP(K236,TL[],4,FALSE)</f>
        <v>#N/A</v>
      </c>
    </row>
    <row r="237" spans="7:12" x14ac:dyDescent="0.2">
      <c r="G237" s="220">
        <f t="shared" si="16"/>
        <v>0</v>
      </c>
      <c r="H237" s="220">
        <f t="shared" si="17"/>
        <v>0</v>
      </c>
      <c r="I237" s="221" t="e">
        <f>IF(A237="Total",VLOOKUP(B237,CORRESPONDANCE[#All],2,FALSE),#REF!)</f>
        <v>#REF!</v>
      </c>
      <c r="J237" s="222" t="str">
        <f t="shared" si="18"/>
        <v/>
      </c>
      <c r="K237" s="44" t="str">
        <f t="shared" si="19"/>
        <v xml:space="preserve">DIVES - </v>
      </c>
      <c r="L237" s="44" t="e">
        <f>+VLOOKUP(K237,TL[],4,FALSE)</f>
        <v>#N/A</v>
      </c>
    </row>
    <row r="238" spans="7:12" x14ac:dyDescent="0.2">
      <c r="G238" s="220">
        <f t="shared" ref="G238:G265" si="20">SUM(C238)-SUM(D238)</f>
        <v>0</v>
      </c>
      <c r="H238" s="220">
        <f t="shared" ref="H238:H265" si="21">SUM(E238)-SUM(F238)</f>
        <v>0</v>
      </c>
      <c r="I238" s="221" t="e">
        <f>IF(A238="Total",VLOOKUP(B238,CORRESPONDANCE[#All],2,FALSE),#REF!)</f>
        <v>#REF!</v>
      </c>
      <c r="J238" s="222" t="str">
        <f t="shared" ref="J238:J265" si="22">LEFT(A238,1)</f>
        <v/>
      </c>
      <c r="K238" s="44" t="str">
        <f t="shared" ref="K238:K265" si="23">"DIVES"&amp;" - "&amp;A238</f>
        <v xml:space="preserve">DIVES - </v>
      </c>
      <c r="L238" s="44" t="e">
        <f>+VLOOKUP(K238,TL[],4,FALSE)</f>
        <v>#N/A</v>
      </c>
    </row>
    <row r="239" spans="7:12" x14ac:dyDescent="0.2">
      <c r="G239" s="220">
        <f t="shared" si="20"/>
        <v>0</v>
      </c>
      <c r="H239" s="220">
        <f t="shared" si="21"/>
        <v>0</v>
      </c>
      <c r="I239" s="221" t="e">
        <f>IF(A239="Total",VLOOKUP(B239,CORRESPONDANCE[#All],2,FALSE),#REF!)</f>
        <v>#REF!</v>
      </c>
      <c r="J239" s="222" t="str">
        <f t="shared" si="22"/>
        <v/>
      </c>
      <c r="K239" s="44" t="str">
        <f t="shared" si="23"/>
        <v xml:space="preserve">DIVES - </v>
      </c>
      <c r="L239" s="44" t="e">
        <f>+VLOOKUP(K239,TL[],4,FALSE)</f>
        <v>#N/A</v>
      </c>
    </row>
    <row r="240" spans="7:12" x14ac:dyDescent="0.2">
      <c r="G240" s="220">
        <f t="shared" si="20"/>
        <v>0</v>
      </c>
      <c r="H240" s="220">
        <f t="shared" si="21"/>
        <v>0</v>
      </c>
      <c r="I240" s="221" t="e">
        <f>IF(A240="Total",VLOOKUP(B240,CORRESPONDANCE[#All],2,FALSE),#REF!)</f>
        <v>#REF!</v>
      </c>
      <c r="J240" s="222" t="str">
        <f t="shared" si="22"/>
        <v/>
      </c>
      <c r="K240" s="44" t="str">
        <f t="shared" si="23"/>
        <v xml:space="preserve">DIVES - </v>
      </c>
      <c r="L240" s="44" t="e">
        <f>+VLOOKUP(K240,TL[],4,FALSE)</f>
        <v>#N/A</v>
      </c>
    </row>
    <row r="241" spans="7:12" x14ac:dyDescent="0.2">
      <c r="G241" s="220">
        <f t="shared" si="20"/>
        <v>0</v>
      </c>
      <c r="H241" s="220">
        <f t="shared" si="21"/>
        <v>0</v>
      </c>
      <c r="I241" s="221" t="e">
        <f>IF(A241="Total",VLOOKUP(B241,CORRESPONDANCE[#All],2,FALSE),#REF!)</f>
        <v>#REF!</v>
      </c>
      <c r="J241" s="222" t="str">
        <f t="shared" si="22"/>
        <v/>
      </c>
      <c r="K241" s="44" t="str">
        <f t="shared" si="23"/>
        <v xml:space="preserve">DIVES - </v>
      </c>
      <c r="L241" s="44" t="e">
        <f>+VLOOKUP(K241,TL[],4,FALSE)</f>
        <v>#N/A</v>
      </c>
    </row>
    <row r="242" spans="7:12" x14ac:dyDescent="0.2">
      <c r="G242" s="220">
        <f t="shared" si="20"/>
        <v>0</v>
      </c>
      <c r="H242" s="220">
        <f t="shared" si="21"/>
        <v>0</v>
      </c>
      <c r="I242" s="221" t="e">
        <f>IF(A242="Total",VLOOKUP(B242,CORRESPONDANCE[#All],2,FALSE),#REF!)</f>
        <v>#REF!</v>
      </c>
      <c r="J242" s="222" t="str">
        <f t="shared" si="22"/>
        <v/>
      </c>
      <c r="K242" s="44" t="str">
        <f t="shared" si="23"/>
        <v xml:space="preserve">DIVES - </v>
      </c>
      <c r="L242" s="44" t="e">
        <f>+VLOOKUP(K242,TL[],4,FALSE)</f>
        <v>#N/A</v>
      </c>
    </row>
    <row r="243" spans="7:12" x14ac:dyDescent="0.2">
      <c r="G243" s="220">
        <f t="shared" si="20"/>
        <v>0</v>
      </c>
      <c r="H243" s="220">
        <f t="shared" si="21"/>
        <v>0</v>
      </c>
      <c r="I243" s="221" t="e">
        <f>IF(A243="Total",VLOOKUP(B243,CORRESPONDANCE[#All],2,FALSE),#REF!)</f>
        <v>#REF!</v>
      </c>
      <c r="J243" s="222" t="str">
        <f t="shared" si="22"/>
        <v/>
      </c>
      <c r="K243" s="44" t="str">
        <f t="shared" si="23"/>
        <v xml:space="preserve">DIVES - </v>
      </c>
      <c r="L243" s="44" t="e">
        <f>+VLOOKUP(K243,TL[],4,FALSE)</f>
        <v>#N/A</v>
      </c>
    </row>
    <row r="244" spans="7:12" x14ac:dyDescent="0.2">
      <c r="G244" s="220">
        <f t="shared" si="20"/>
        <v>0</v>
      </c>
      <c r="H244" s="220">
        <f t="shared" si="21"/>
        <v>0</v>
      </c>
      <c r="I244" s="221" t="e">
        <f>IF(A244="Total",VLOOKUP(B244,CORRESPONDANCE[#All],2,FALSE),#REF!)</f>
        <v>#REF!</v>
      </c>
      <c r="J244" s="222" t="str">
        <f t="shared" si="22"/>
        <v/>
      </c>
      <c r="K244" s="44" t="str">
        <f t="shared" si="23"/>
        <v xml:space="preserve">DIVES - </v>
      </c>
      <c r="L244" s="44" t="e">
        <f>+VLOOKUP(K244,TL[],4,FALSE)</f>
        <v>#N/A</v>
      </c>
    </row>
    <row r="245" spans="7:12" x14ac:dyDescent="0.2">
      <c r="G245" s="220">
        <f t="shared" si="20"/>
        <v>0</v>
      </c>
      <c r="H245" s="220">
        <f t="shared" si="21"/>
        <v>0</v>
      </c>
      <c r="I245" s="221" t="e">
        <f>IF(A245="Total",VLOOKUP(B245,CORRESPONDANCE[#All],2,FALSE),#REF!)</f>
        <v>#REF!</v>
      </c>
      <c r="J245" s="222" t="str">
        <f t="shared" si="22"/>
        <v/>
      </c>
      <c r="K245" s="44" t="str">
        <f t="shared" si="23"/>
        <v xml:space="preserve">DIVES - </v>
      </c>
      <c r="L245" s="44" t="e">
        <f>+VLOOKUP(K245,TL[],4,FALSE)</f>
        <v>#N/A</v>
      </c>
    </row>
    <row r="246" spans="7:12" x14ac:dyDescent="0.2">
      <c r="G246" s="220">
        <f t="shared" si="20"/>
        <v>0</v>
      </c>
      <c r="H246" s="220">
        <f t="shared" si="21"/>
        <v>0</v>
      </c>
      <c r="I246" s="221" t="e">
        <f>IF(A246="Total",VLOOKUP(B246,CORRESPONDANCE[#All],2,FALSE),#REF!)</f>
        <v>#REF!</v>
      </c>
      <c r="J246" s="222" t="str">
        <f t="shared" si="22"/>
        <v/>
      </c>
      <c r="K246" s="44" t="str">
        <f t="shared" si="23"/>
        <v xml:space="preserve">DIVES - </v>
      </c>
      <c r="L246" s="44" t="e">
        <f>+VLOOKUP(K246,TL[],4,FALSE)</f>
        <v>#N/A</v>
      </c>
    </row>
    <row r="247" spans="7:12" x14ac:dyDescent="0.2">
      <c r="G247" s="220">
        <f t="shared" si="20"/>
        <v>0</v>
      </c>
      <c r="H247" s="220">
        <f t="shared" si="21"/>
        <v>0</v>
      </c>
      <c r="I247" s="221" t="e">
        <f>IF(A247="Total",VLOOKUP(B247,CORRESPONDANCE[#All],2,FALSE),#REF!)</f>
        <v>#REF!</v>
      </c>
      <c r="J247" s="222" t="str">
        <f t="shared" si="22"/>
        <v/>
      </c>
      <c r="K247" s="44" t="str">
        <f t="shared" si="23"/>
        <v xml:space="preserve">DIVES - </v>
      </c>
      <c r="L247" s="44" t="e">
        <f>+VLOOKUP(K247,TL[],4,FALSE)</f>
        <v>#N/A</v>
      </c>
    </row>
    <row r="248" spans="7:12" x14ac:dyDescent="0.2">
      <c r="G248" s="220">
        <f t="shared" si="20"/>
        <v>0</v>
      </c>
      <c r="H248" s="220">
        <f t="shared" si="21"/>
        <v>0</v>
      </c>
      <c r="I248" s="221" t="e">
        <f>IF(A248="Total",VLOOKUP(B248,CORRESPONDANCE[#All],2,FALSE),#REF!)</f>
        <v>#REF!</v>
      </c>
      <c r="J248" s="222" t="str">
        <f t="shared" si="22"/>
        <v/>
      </c>
      <c r="K248" s="44" t="str">
        <f t="shared" si="23"/>
        <v xml:space="preserve">DIVES - </v>
      </c>
      <c r="L248" s="44" t="e">
        <f>+VLOOKUP(K248,TL[],4,FALSE)</f>
        <v>#N/A</v>
      </c>
    </row>
    <row r="249" spans="7:12" x14ac:dyDescent="0.2">
      <c r="G249" s="220">
        <f t="shared" si="20"/>
        <v>0</v>
      </c>
      <c r="H249" s="220">
        <f t="shared" si="21"/>
        <v>0</v>
      </c>
      <c r="I249" s="221" t="e">
        <f>IF(A249="Total",VLOOKUP(B249,CORRESPONDANCE[#All],2,FALSE),#REF!)</f>
        <v>#REF!</v>
      </c>
      <c r="J249" s="222" t="str">
        <f t="shared" si="22"/>
        <v/>
      </c>
      <c r="K249" s="44" t="str">
        <f t="shared" si="23"/>
        <v xml:space="preserve">DIVES - </v>
      </c>
      <c r="L249" s="44" t="e">
        <f>+VLOOKUP(K249,TL[],4,FALSE)</f>
        <v>#N/A</v>
      </c>
    </row>
    <row r="250" spans="7:12" x14ac:dyDescent="0.2">
      <c r="G250" s="220">
        <f t="shared" si="20"/>
        <v>0</v>
      </c>
      <c r="H250" s="220">
        <f t="shared" si="21"/>
        <v>0</v>
      </c>
      <c r="I250" s="221" t="e">
        <f>IF(A250="Total",VLOOKUP(B250,CORRESPONDANCE[#All],2,FALSE),#REF!)</f>
        <v>#REF!</v>
      </c>
      <c r="J250" s="222" t="str">
        <f t="shared" si="22"/>
        <v/>
      </c>
      <c r="K250" s="44" t="str">
        <f t="shared" si="23"/>
        <v xml:space="preserve">DIVES - </v>
      </c>
      <c r="L250" s="44" t="e">
        <f>+VLOOKUP(K250,TL[],4,FALSE)</f>
        <v>#N/A</v>
      </c>
    </row>
    <row r="251" spans="7:12" x14ac:dyDescent="0.2">
      <c r="G251" s="220">
        <f t="shared" si="20"/>
        <v>0</v>
      </c>
      <c r="H251" s="220">
        <f t="shared" si="21"/>
        <v>0</v>
      </c>
      <c r="I251" s="221" t="e">
        <f>IF(A251="Total",VLOOKUP(B251,CORRESPONDANCE[#All],2,FALSE),#REF!)</f>
        <v>#REF!</v>
      </c>
      <c r="J251" s="222" t="str">
        <f t="shared" si="22"/>
        <v/>
      </c>
      <c r="K251" s="44" t="str">
        <f t="shared" si="23"/>
        <v xml:space="preserve">DIVES - </v>
      </c>
      <c r="L251" s="44" t="e">
        <f>+VLOOKUP(K251,TL[],4,FALSE)</f>
        <v>#N/A</v>
      </c>
    </row>
    <row r="252" spans="7:12" x14ac:dyDescent="0.2">
      <c r="G252" s="220">
        <f t="shared" si="20"/>
        <v>0</v>
      </c>
      <c r="H252" s="220">
        <f t="shared" si="21"/>
        <v>0</v>
      </c>
      <c r="I252" s="221" t="e">
        <f>IF(A252="Total",VLOOKUP(B252,CORRESPONDANCE[#All],2,FALSE),#REF!)</f>
        <v>#REF!</v>
      </c>
      <c r="J252" s="222" t="str">
        <f t="shared" si="22"/>
        <v/>
      </c>
      <c r="K252" s="44" t="str">
        <f t="shared" si="23"/>
        <v xml:space="preserve">DIVES - </v>
      </c>
      <c r="L252" s="44" t="e">
        <f>+VLOOKUP(K252,TL[],4,FALSE)</f>
        <v>#N/A</v>
      </c>
    </row>
    <row r="253" spans="7:12" x14ac:dyDescent="0.2">
      <c r="G253" s="220">
        <f t="shared" si="20"/>
        <v>0</v>
      </c>
      <c r="H253" s="220">
        <f t="shared" si="21"/>
        <v>0</v>
      </c>
      <c r="I253" s="221" t="e">
        <f>IF(A253="Total",VLOOKUP(B253,CORRESPONDANCE[#All],2,FALSE),#REF!)</f>
        <v>#REF!</v>
      </c>
      <c r="J253" s="222" t="str">
        <f t="shared" si="22"/>
        <v/>
      </c>
      <c r="K253" s="44" t="str">
        <f t="shared" si="23"/>
        <v xml:space="preserve">DIVES - </v>
      </c>
      <c r="L253" s="44" t="e">
        <f>+VLOOKUP(K253,TL[],4,FALSE)</f>
        <v>#N/A</v>
      </c>
    </row>
    <row r="254" spans="7:12" x14ac:dyDescent="0.2">
      <c r="G254" s="220">
        <f t="shared" si="20"/>
        <v>0</v>
      </c>
      <c r="H254" s="220">
        <f t="shared" si="21"/>
        <v>0</v>
      </c>
      <c r="I254" s="221" t="e">
        <f>IF(A254="Total",VLOOKUP(B254,CORRESPONDANCE[#All],2,FALSE),#REF!)</f>
        <v>#REF!</v>
      </c>
      <c r="J254" s="222" t="str">
        <f t="shared" si="22"/>
        <v/>
      </c>
      <c r="K254" s="44" t="str">
        <f t="shared" si="23"/>
        <v xml:space="preserve">DIVES - </v>
      </c>
      <c r="L254" s="44" t="e">
        <f>+VLOOKUP(K254,TL[],4,FALSE)</f>
        <v>#N/A</v>
      </c>
    </row>
    <row r="255" spans="7:12" x14ac:dyDescent="0.2">
      <c r="G255" s="220">
        <f t="shared" si="20"/>
        <v>0</v>
      </c>
      <c r="H255" s="220">
        <f t="shared" si="21"/>
        <v>0</v>
      </c>
      <c r="I255" s="221" t="e">
        <f>IF(A255="Total",VLOOKUP(B255,CORRESPONDANCE[#All],2,FALSE),#REF!)</f>
        <v>#REF!</v>
      </c>
      <c r="J255" s="222" t="str">
        <f t="shared" si="22"/>
        <v/>
      </c>
      <c r="K255" s="44" t="str">
        <f t="shared" si="23"/>
        <v xml:space="preserve">DIVES - </v>
      </c>
      <c r="L255" s="44" t="e">
        <f>+VLOOKUP(K255,TL[],4,FALSE)</f>
        <v>#N/A</v>
      </c>
    </row>
    <row r="256" spans="7:12" x14ac:dyDescent="0.2">
      <c r="G256" s="220">
        <f t="shared" si="20"/>
        <v>0</v>
      </c>
      <c r="H256" s="220">
        <f t="shared" si="21"/>
        <v>0</v>
      </c>
      <c r="I256" s="221" t="e">
        <f>IF(A256="Total",VLOOKUP(B256,CORRESPONDANCE[#All],2,FALSE),#REF!)</f>
        <v>#REF!</v>
      </c>
      <c r="J256" s="222" t="str">
        <f t="shared" si="22"/>
        <v/>
      </c>
      <c r="K256" s="44" t="str">
        <f t="shared" si="23"/>
        <v xml:space="preserve">DIVES - </v>
      </c>
      <c r="L256" s="44" t="e">
        <f>+VLOOKUP(K256,TL[],4,FALSE)</f>
        <v>#N/A</v>
      </c>
    </row>
    <row r="257" spans="7:12" x14ac:dyDescent="0.2">
      <c r="G257" s="220">
        <f t="shared" si="20"/>
        <v>0</v>
      </c>
      <c r="H257" s="220">
        <f t="shared" si="21"/>
        <v>0</v>
      </c>
      <c r="I257" s="221" t="e">
        <f>IF(A257="Total",VLOOKUP(B257,CORRESPONDANCE[#All],2,FALSE),#REF!)</f>
        <v>#REF!</v>
      </c>
      <c r="J257" s="222" t="str">
        <f t="shared" si="22"/>
        <v/>
      </c>
      <c r="K257" s="44" t="str">
        <f t="shared" si="23"/>
        <v xml:space="preserve">DIVES - </v>
      </c>
      <c r="L257" s="44" t="e">
        <f>+VLOOKUP(K257,TL[],4,FALSE)</f>
        <v>#N/A</v>
      </c>
    </row>
    <row r="258" spans="7:12" x14ac:dyDescent="0.2">
      <c r="G258" s="220">
        <f t="shared" si="20"/>
        <v>0</v>
      </c>
      <c r="H258" s="220">
        <f t="shared" si="21"/>
        <v>0</v>
      </c>
      <c r="I258" s="221" t="e">
        <f>IF(A258="Total",VLOOKUP(B258,CORRESPONDANCE[#All],2,FALSE),#REF!)</f>
        <v>#REF!</v>
      </c>
      <c r="J258" s="222" t="str">
        <f t="shared" si="22"/>
        <v/>
      </c>
      <c r="K258" s="44" t="str">
        <f t="shared" si="23"/>
        <v xml:space="preserve">DIVES - </v>
      </c>
      <c r="L258" s="44" t="e">
        <f>+VLOOKUP(K258,TL[],4,FALSE)</f>
        <v>#N/A</v>
      </c>
    </row>
    <row r="259" spans="7:12" x14ac:dyDescent="0.2">
      <c r="G259" s="220">
        <f t="shared" si="20"/>
        <v>0</v>
      </c>
      <c r="H259" s="220">
        <f t="shared" si="21"/>
        <v>0</v>
      </c>
      <c r="I259" s="221" t="e">
        <f>IF(A259="Total",VLOOKUP(B259,CORRESPONDANCE[#All],2,FALSE),#REF!)</f>
        <v>#REF!</v>
      </c>
      <c r="J259" s="222" t="str">
        <f t="shared" si="22"/>
        <v/>
      </c>
      <c r="K259" s="44" t="str">
        <f t="shared" si="23"/>
        <v xml:space="preserve">DIVES - </v>
      </c>
      <c r="L259" s="44" t="e">
        <f>+VLOOKUP(K259,TL[],4,FALSE)</f>
        <v>#N/A</v>
      </c>
    </row>
    <row r="260" spans="7:12" x14ac:dyDescent="0.2">
      <c r="G260" s="220">
        <f t="shared" si="20"/>
        <v>0</v>
      </c>
      <c r="H260" s="220">
        <f t="shared" si="21"/>
        <v>0</v>
      </c>
      <c r="I260" s="221" t="e">
        <f>IF(A260="Total",VLOOKUP(B260,CORRESPONDANCE[#All],2,FALSE),#REF!)</f>
        <v>#REF!</v>
      </c>
      <c r="J260" s="222" t="str">
        <f t="shared" si="22"/>
        <v/>
      </c>
      <c r="K260" s="44" t="str">
        <f t="shared" si="23"/>
        <v xml:space="preserve">DIVES - </v>
      </c>
      <c r="L260" s="44" t="e">
        <f>+VLOOKUP(K260,TL[],4,FALSE)</f>
        <v>#N/A</v>
      </c>
    </row>
    <row r="261" spans="7:12" x14ac:dyDescent="0.2">
      <c r="G261" s="220">
        <f t="shared" si="20"/>
        <v>0</v>
      </c>
      <c r="H261" s="220">
        <f t="shared" si="21"/>
        <v>0</v>
      </c>
      <c r="I261" s="221" t="e">
        <f>IF(A261="Total",VLOOKUP(B261,CORRESPONDANCE[#All],2,FALSE),#REF!)</f>
        <v>#REF!</v>
      </c>
      <c r="J261" s="222" t="str">
        <f t="shared" si="22"/>
        <v/>
      </c>
      <c r="K261" s="44" t="str">
        <f t="shared" si="23"/>
        <v xml:space="preserve">DIVES - </v>
      </c>
      <c r="L261" s="44" t="e">
        <f>+VLOOKUP(K261,TL[],4,FALSE)</f>
        <v>#N/A</v>
      </c>
    </row>
    <row r="262" spans="7:12" x14ac:dyDescent="0.2">
      <c r="G262" s="220">
        <f t="shared" si="20"/>
        <v>0</v>
      </c>
      <c r="H262" s="220">
        <f t="shared" si="21"/>
        <v>0</v>
      </c>
      <c r="I262" s="221" t="e">
        <f>IF(A262="Total",VLOOKUP(B262,CORRESPONDANCE[#All],2,FALSE),#REF!)</f>
        <v>#REF!</v>
      </c>
      <c r="J262" s="222" t="str">
        <f t="shared" si="22"/>
        <v/>
      </c>
      <c r="K262" s="44" t="str">
        <f t="shared" si="23"/>
        <v xml:space="preserve">DIVES - </v>
      </c>
      <c r="L262" s="44" t="e">
        <f>+VLOOKUP(K262,TL[],4,FALSE)</f>
        <v>#N/A</v>
      </c>
    </row>
    <row r="263" spans="7:12" x14ac:dyDescent="0.2">
      <c r="G263" s="220">
        <f t="shared" si="20"/>
        <v>0</v>
      </c>
      <c r="H263" s="220">
        <f t="shared" si="21"/>
        <v>0</v>
      </c>
      <c r="I263" s="221" t="e">
        <f>IF(A263="Total",VLOOKUP(B263,CORRESPONDANCE[#All],2,FALSE),#REF!)</f>
        <v>#REF!</v>
      </c>
      <c r="J263" s="222" t="str">
        <f t="shared" si="22"/>
        <v/>
      </c>
      <c r="K263" s="44" t="str">
        <f t="shared" si="23"/>
        <v xml:space="preserve">DIVES - </v>
      </c>
      <c r="L263" s="44" t="e">
        <f>+VLOOKUP(K263,TL[],4,FALSE)</f>
        <v>#N/A</v>
      </c>
    </row>
    <row r="264" spans="7:12" x14ac:dyDescent="0.2">
      <c r="G264" s="220">
        <f t="shared" si="20"/>
        <v>0</v>
      </c>
      <c r="H264" s="220">
        <f t="shared" si="21"/>
        <v>0</v>
      </c>
      <c r="I264" s="221" t="e">
        <f>IF(A264="Total",VLOOKUP(B264,CORRESPONDANCE[#All],2,FALSE),#REF!)</f>
        <v>#REF!</v>
      </c>
      <c r="J264" s="222" t="str">
        <f t="shared" si="22"/>
        <v/>
      </c>
      <c r="K264" s="44" t="str">
        <f t="shared" si="23"/>
        <v xml:space="preserve">DIVES - </v>
      </c>
      <c r="L264" s="44" t="e">
        <f>+VLOOKUP(K264,TL[],4,FALSE)</f>
        <v>#N/A</v>
      </c>
    </row>
    <row r="265" spans="7:12" x14ac:dyDescent="0.2">
      <c r="G265" s="220">
        <f t="shared" si="20"/>
        <v>0</v>
      </c>
      <c r="H265" s="220">
        <f t="shared" si="21"/>
        <v>0</v>
      </c>
      <c r="I265" s="221" t="e">
        <f>IF(A265="Total",VLOOKUP(B265,CORRESPONDANCE[#All],2,FALSE),#REF!)</f>
        <v>#REF!</v>
      </c>
      <c r="J265" s="222" t="str">
        <f t="shared" si="22"/>
        <v/>
      </c>
      <c r="K265" s="44" t="str">
        <f t="shared" si="23"/>
        <v xml:space="preserve">DIVES - </v>
      </c>
      <c r="L265" s="44" t="e">
        <f>+VLOOKUP(K265,TL[],4,FALSE)</f>
        <v>#N/A</v>
      </c>
    </row>
    <row r="266" spans="7:12" x14ac:dyDescent="0.2">
      <c r="G266" s="220">
        <f t="shared" ref="G266:G271" si="24">SUM(C266)-SUM(D266)</f>
        <v>0</v>
      </c>
      <c r="H266" s="220">
        <f t="shared" ref="H266:H271" si="25">SUM(E266)-SUM(F266)</f>
        <v>0</v>
      </c>
      <c r="I266" s="221" t="e">
        <f>IF(A266="Total",VLOOKUP(B266,CORRESPONDANCE[#All],2,FALSE),#REF!)</f>
        <v>#REF!</v>
      </c>
      <c r="J266" s="222" t="str">
        <f t="shared" ref="J266:J271" si="26">LEFT(A266,1)</f>
        <v/>
      </c>
      <c r="K266" s="44" t="str">
        <f t="shared" ref="K266:K271" si="27">"DIVES"&amp;" - "&amp;A266</f>
        <v xml:space="preserve">DIVES - </v>
      </c>
      <c r="L266" s="44" t="e">
        <f>+VLOOKUP(K266,TL[],4,FALSE)</f>
        <v>#N/A</v>
      </c>
    </row>
    <row r="267" spans="7:12" x14ac:dyDescent="0.2">
      <c r="G267" s="220">
        <f t="shared" si="24"/>
        <v>0</v>
      </c>
      <c r="H267" s="220">
        <f t="shared" si="25"/>
        <v>0</v>
      </c>
      <c r="I267" s="221" t="e">
        <f>IF(A267="Total",VLOOKUP(B267,CORRESPONDANCE[#All],2,FALSE),#REF!)</f>
        <v>#REF!</v>
      </c>
      <c r="J267" s="222" t="str">
        <f t="shared" si="26"/>
        <v/>
      </c>
      <c r="K267" s="44" t="str">
        <f t="shared" si="27"/>
        <v xml:space="preserve">DIVES - </v>
      </c>
      <c r="L267" s="44" t="e">
        <f>+VLOOKUP(K267,TL[],4,FALSE)</f>
        <v>#N/A</v>
      </c>
    </row>
    <row r="268" spans="7:12" x14ac:dyDescent="0.2">
      <c r="G268" s="220">
        <f t="shared" si="24"/>
        <v>0</v>
      </c>
      <c r="H268" s="220">
        <f t="shared" si="25"/>
        <v>0</v>
      </c>
      <c r="I268" s="221" t="e">
        <f>IF(A268="Total",VLOOKUP(B268,CORRESPONDANCE[#All],2,FALSE),#REF!)</f>
        <v>#REF!</v>
      </c>
      <c r="J268" s="222" t="str">
        <f t="shared" si="26"/>
        <v/>
      </c>
      <c r="K268" s="44" t="str">
        <f t="shared" si="27"/>
        <v xml:space="preserve">DIVES - </v>
      </c>
      <c r="L268" s="44" t="e">
        <f>+VLOOKUP(K268,TL[],4,FALSE)</f>
        <v>#N/A</v>
      </c>
    </row>
    <row r="269" spans="7:12" x14ac:dyDescent="0.2">
      <c r="G269" s="220">
        <f t="shared" si="24"/>
        <v>0</v>
      </c>
      <c r="H269" s="220">
        <f t="shared" si="25"/>
        <v>0</v>
      </c>
      <c r="I269" s="221" t="e">
        <f>IF(A269="Total",VLOOKUP(B269,CORRESPONDANCE[#All],2,FALSE),#REF!)</f>
        <v>#REF!</v>
      </c>
      <c r="J269" s="222" t="str">
        <f t="shared" si="26"/>
        <v/>
      </c>
      <c r="K269" s="44" t="str">
        <f t="shared" si="27"/>
        <v xml:space="preserve">DIVES - </v>
      </c>
      <c r="L269" s="44" t="e">
        <f>+VLOOKUP(K269,TL[],4,FALSE)</f>
        <v>#N/A</v>
      </c>
    </row>
    <row r="270" spans="7:12" x14ac:dyDescent="0.2">
      <c r="G270" s="220">
        <f t="shared" si="24"/>
        <v>0</v>
      </c>
      <c r="H270" s="220">
        <f t="shared" si="25"/>
        <v>0</v>
      </c>
      <c r="I270" s="221" t="e">
        <f>IF(A270="Total",VLOOKUP(B270,CORRESPONDANCE[#All],2,FALSE),#REF!)</f>
        <v>#REF!</v>
      </c>
      <c r="J270" s="222" t="str">
        <f t="shared" si="26"/>
        <v/>
      </c>
      <c r="K270" s="44" t="str">
        <f t="shared" si="27"/>
        <v xml:space="preserve">DIVES - </v>
      </c>
      <c r="L270" s="44" t="e">
        <f>+VLOOKUP(K270,TL[],4,FALSE)</f>
        <v>#N/A</v>
      </c>
    </row>
    <row r="271" spans="7:12" x14ac:dyDescent="0.2">
      <c r="G271" s="220">
        <f t="shared" si="24"/>
        <v>0</v>
      </c>
      <c r="H271" s="220">
        <f t="shared" si="25"/>
        <v>0</v>
      </c>
      <c r="I271" s="221" t="e">
        <f>IF(A271="Total",VLOOKUP(B271,CORRESPONDANCE[#All],2,FALSE),#REF!)</f>
        <v>#REF!</v>
      </c>
      <c r="J271" s="222" t="str">
        <f t="shared" si="26"/>
        <v/>
      </c>
      <c r="K271" s="44" t="str">
        <f t="shared" si="27"/>
        <v xml:space="preserve">DIVES - </v>
      </c>
      <c r="L271" s="44" t="e">
        <f>+VLOOKUP(K271,TL[],4,FALSE)</f>
        <v>#N/A</v>
      </c>
    </row>
  </sheetData>
  <autoFilter ref="A1:L265" xr:uid="{ED66672B-D9DC-4A7A-B6C7-2515CDF2AB8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81CEF-6B4D-4A67-8769-4FD11D76E2A8}">
  <sheetPr>
    <tabColor theme="7" tint="0.59999389629810485"/>
  </sheetPr>
  <dimension ref="A1:L305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7109375" style="224" bestFit="1" customWidth="1"/>
    <col min="10" max="10" width="11.5703125" style="44"/>
    <col min="11" max="11" width="17.5703125" style="44" bestFit="1" customWidth="1"/>
    <col min="12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2613</v>
      </c>
      <c r="B2" t="s">
        <v>283</v>
      </c>
      <c r="C2">
        <v>5414.25</v>
      </c>
      <c r="D2" t="s">
        <v>6961</v>
      </c>
      <c r="E2">
        <v>5414.25</v>
      </c>
      <c r="F2" t="s">
        <v>6961</v>
      </c>
      <c r="G2" s="220">
        <f>SUM(C2)-SUM(D2)</f>
        <v>5414.25</v>
      </c>
      <c r="H2" s="220">
        <f>SUM(E2)-SUM(F2)</f>
        <v>5414.25</v>
      </c>
      <c r="I2" s="221">
        <f>IF(A2="Total",VLOOKUP(B2,CORRESPONDANCE[#All],2,FALSE),I3)</f>
        <v>2</v>
      </c>
      <c r="J2" s="222" t="str">
        <f>LEFT(A2,1)</f>
        <v>7</v>
      </c>
      <c r="K2" s="44" t="str">
        <f>"R314"&amp;" - "&amp;A2</f>
        <v>R314 - 70100100</v>
      </c>
      <c r="L2" s="44" t="str">
        <f>+VLOOKUP(K2,TL[],4,FALSE)</f>
        <v>01</v>
      </c>
    </row>
    <row r="3" spans="1:12" x14ac:dyDescent="0.2">
      <c r="A3" t="s">
        <v>2614</v>
      </c>
      <c r="B3" t="s">
        <v>7078</v>
      </c>
      <c r="C3" t="s">
        <v>6961</v>
      </c>
      <c r="D3">
        <v>1608.07</v>
      </c>
      <c r="E3" t="s">
        <v>6961</v>
      </c>
      <c r="F3">
        <v>1608.07</v>
      </c>
      <c r="G3" s="220">
        <f>SUM(C3)-SUM(D3)</f>
        <v>-1608.07</v>
      </c>
      <c r="H3" s="220">
        <f>SUM(E3)-SUM(F3)</f>
        <v>-1608.07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"R314"&amp;" - "&amp;A3</f>
        <v>R314 - 70100200</v>
      </c>
      <c r="L3" s="44" t="str">
        <f>+VLOOKUP(K3,TL[],4,FALSE)</f>
        <v>01</v>
      </c>
    </row>
    <row r="4" spans="1:12" x14ac:dyDescent="0.2">
      <c r="A4" t="s">
        <v>2615</v>
      </c>
      <c r="B4" t="s">
        <v>7079</v>
      </c>
      <c r="C4" t="s">
        <v>6961</v>
      </c>
      <c r="D4">
        <v>321323.65999999997</v>
      </c>
      <c r="E4" t="s">
        <v>6961</v>
      </c>
      <c r="F4">
        <v>321323.65999999997</v>
      </c>
      <c r="G4" s="220">
        <f>SUM(C4)-SUM(D4)</f>
        <v>-321323.65999999997</v>
      </c>
      <c r="H4" s="220">
        <f>SUM(E4)-SUM(F4)</f>
        <v>-321323.65999999997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R314 - 70101000</v>
      </c>
      <c r="L4" s="44" t="str">
        <f>+VLOOKUP(K4,TL[],4,FALSE)</f>
        <v>01</v>
      </c>
    </row>
    <row r="5" spans="1:12" x14ac:dyDescent="0.2">
      <c r="A5" t="s">
        <v>2616</v>
      </c>
      <c r="B5" t="s">
        <v>7080</v>
      </c>
      <c r="C5" t="s">
        <v>6961</v>
      </c>
      <c r="D5">
        <v>1038.46</v>
      </c>
      <c r="E5" t="s">
        <v>6961</v>
      </c>
      <c r="F5">
        <v>1038.46</v>
      </c>
      <c r="G5" s="220">
        <f>SUM(C5)-SUM(D5)</f>
        <v>-1038.46</v>
      </c>
      <c r="H5" s="220">
        <f>SUM(E5)-SUM(F5)</f>
        <v>-1038.46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R314 - 70102000</v>
      </c>
      <c r="L5" s="44" t="str">
        <f>+VLOOKUP(K5,TL[],4,FALSE)</f>
        <v>01</v>
      </c>
    </row>
    <row r="6" spans="1:12" x14ac:dyDescent="0.2">
      <c r="A6" t="s">
        <v>197</v>
      </c>
      <c r="B6" t="s">
        <v>2514</v>
      </c>
      <c r="C6" t="s">
        <v>6961</v>
      </c>
      <c r="D6">
        <v>318555.94</v>
      </c>
      <c r="E6" t="s">
        <v>6961</v>
      </c>
      <c r="F6">
        <v>318555.94</v>
      </c>
      <c r="G6" s="220">
        <f t="shared" ref="G6:G69" si="2">SUM(C6)-SUM(D6)</f>
        <v>-318555.94</v>
      </c>
      <c r="H6" s="220">
        <f t="shared" ref="H6:H69" si="3">SUM(E6)-SUM(F6)</f>
        <v>-318555.94</v>
      </c>
      <c r="I6" s="221">
        <f>IF(A6="Total",VLOOKUP(B6,CORRESPONDANCE[#All],2,FALSE),I7)</f>
        <v>2</v>
      </c>
      <c r="J6" s="222" t="str">
        <f t="shared" si="0"/>
        <v>T</v>
      </c>
      <c r="K6" s="44" t="str">
        <f t="shared" si="1"/>
        <v>R314 - Total</v>
      </c>
      <c r="L6" s="44" t="e">
        <f>+VLOOKUP(K6,TL[],4,FALSE)</f>
        <v>#N/A</v>
      </c>
    </row>
    <row r="7" spans="1:12" x14ac:dyDescent="0.2">
      <c r="A7" t="s">
        <v>2617</v>
      </c>
      <c r="B7" t="s">
        <v>171</v>
      </c>
      <c r="C7">
        <v>66502.460000000006</v>
      </c>
      <c r="D7" t="s">
        <v>6961</v>
      </c>
      <c r="E7">
        <v>66502.460000000006</v>
      </c>
      <c r="F7" t="s">
        <v>6961</v>
      </c>
      <c r="G7" s="220">
        <f t="shared" si="2"/>
        <v>66502.460000000006</v>
      </c>
      <c r="H7" s="220">
        <f t="shared" si="3"/>
        <v>66502.460000000006</v>
      </c>
      <c r="I7" s="221">
        <f>IF(A7="Total",VLOOKUP(B7,CORRESPONDANCE[#All],2,FALSE),I8)</f>
        <v>3</v>
      </c>
      <c r="J7" s="222" t="str">
        <f t="shared" si="0"/>
        <v>6</v>
      </c>
      <c r="K7" s="44" t="str">
        <f t="shared" si="1"/>
        <v>R314 - 60110000</v>
      </c>
      <c r="L7" s="44" t="str">
        <f>+VLOOKUP(K7,TL[],4,FALSE)</f>
        <v>06</v>
      </c>
    </row>
    <row r="8" spans="1:12" x14ac:dyDescent="0.2">
      <c r="A8" t="s">
        <v>2618</v>
      </c>
      <c r="B8" t="s">
        <v>310</v>
      </c>
      <c r="C8">
        <v>3899.61</v>
      </c>
      <c r="D8" t="s">
        <v>6961</v>
      </c>
      <c r="E8">
        <v>3899.61</v>
      </c>
      <c r="F8" t="s">
        <v>6961</v>
      </c>
      <c r="G8" s="220">
        <f t="shared" si="2"/>
        <v>3899.61</v>
      </c>
      <c r="H8" s="220">
        <f t="shared" si="3"/>
        <v>3899.61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R314 - 60310000</v>
      </c>
      <c r="L8" s="44" t="str">
        <f>+VLOOKUP(K8,TL[],4,FALSE)</f>
        <v>06</v>
      </c>
    </row>
    <row r="9" spans="1:12" x14ac:dyDescent="0.2">
      <c r="A9" t="s">
        <v>2619</v>
      </c>
      <c r="B9" t="s">
        <v>269</v>
      </c>
      <c r="C9">
        <v>930</v>
      </c>
      <c r="D9" t="s">
        <v>6961</v>
      </c>
      <c r="E9">
        <v>930</v>
      </c>
      <c r="F9" t="s">
        <v>6961</v>
      </c>
      <c r="G9" s="220">
        <f t="shared" si="2"/>
        <v>930</v>
      </c>
      <c r="H9" s="220">
        <f t="shared" si="3"/>
        <v>930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R314 - 63551100</v>
      </c>
      <c r="L9" s="44" t="str">
        <f>+VLOOKUP(K9,TL[],4,FALSE)</f>
        <v>09</v>
      </c>
    </row>
    <row r="10" spans="1:12" x14ac:dyDescent="0.2">
      <c r="A10" t="s">
        <v>2620</v>
      </c>
      <c r="B10" t="s">
        <v>1509</v>
      </c>
      <c r="C10" t="s">
        <v>6961</v>
      </c>
      <c r="D10">
        <v>2269.63</v>
      </c>
      <c r="E10" t="s">
        <v>6961</v>
      </c>
      <c r="F10">
        <v>2269.63</v>
      </c>
      <c r="G10" s="220">
        <f t="shared" si="2"/>
        <v>-2269.63</v>
      </c>
      <c r="H10" s="220">
        <f t="shared" si="3"/>
        <v>-2269.63</v>
      </c>
      <c r="I10" s="221">
        <f>IF(A10="Total",VLOOKUP(B10,CORRESPONDANCE[#All],2,FALSE),I11)</f>
        <v>3</v>
      </c>
      <c r="J10" s="222" t="str">
        <f t="shared" si="0"/>
        <v>7</v>
      </c>
      <c r="K10" s="44" t="str">
        <f t="shared" si="1"/>
        <v>R314 - 70800000</v>
      </c>
      <c r="L10" s="44" t="str">
        <f>+VLOOKUP(K10,TL[],4,FALSE)</f>
        <v>06</v>
      </c>
    </row>
    <row r="11" spans="1:12" x14ac:dyDescent="0.2">
      <c r="A11" t="s">
        <v>197</v>
      </c>
      <c r="B11" t="s">
        <v>2516</v>
      </c>
      <c r="C11">
        <v>69062.44</v>
      </c>
      <c r="D11" t="s">
        <v>6961</v>
      </c>
      <c r="E11">
        <v>69062.44</v>
      </c>
      <c r="F11" t="s">
        <v>6961</v>
      </c>
      <c r="G11" s="220">
        <f t="shared" si="2"/>
        <v>69062.44</v>
      </c>
      <c r="H11" s="220">
        <f t="shared" si="3"/>
        <v>69062.44</v>
      </c>
      <c r="I11" s="221">
        <f>IF(A11="Total",VLOOKUP(B11,CORRESPONDANCE[#All],2,FALSE),I12)</f>
        <v>3</v>
      </c>
      <c r="J11" s="222" t="str">
        <f t="shared" si="0"/>
        <v>T</v>
      </c>
      <c r="K11" s="44" t="str">
        <f t="shared" si="1"/>
        <v>R314 - Total</v>
      </c>
      <c r="L11" s="44" t="e">
        <f>+VLOOKUP(K11,TL[],4,FALSE)</f>
        <v>#N/A</v>
      </c>
    </row>
    <row r="12" spans="1:12" x14ac:dyDescent="0.2">
      <c r="A12" t="s">
        <v>2621</v>
      </c>
      <c r="B12" t="s">
        <v>160</v>
      </c>
      <c r="C12">
        <v>1654.31</v>
      </c>
      <c r="D12" t="s">
        <v>6961</v>
      </c>
      <c r="E12">
        <v>1654.31</v>
      </c>
      <c r="F12" t="s">
        <v>6961</v>
      </c>
      <c r="G12" s="220">
        <f t="shared" si="2"/>
        <v>1654.31</v>
      </c>
      <c r="H12" s="220">
        <f t="shared" si="3"/>
        <v>1654.31</v>
      </c>
      <c r="I12" s="221">
        <f>IF(A12="Total",VLOOKUP(B12,CORRESPONDANCE[#All],2,FALSE),I13)</f>
        <v>4</v>
      </c>
      <c r="J12" s="222" t="str">
        <f t="shared" si="0"/>
        <v>6</v>
      </c>
      <c r="K12" s="44" t="str">
        <f t="shared" si="1"/>
        <v>R314 - 60110300</v>
      </c>
      <c r="L12" s="44" t="str">
        <f>+VLOOKUP(K12,TL[],4,FALSE)</f>
        <v>08</v>
      </c>
    </row>
    <row r="13" spans="1:12" x14ac:dyDescent="0.2">
      <c r="A13" t="s">
        <v>197</v>
      </c>
      <c r="B13" t="s">
        <v>2517</v>
      </c>
      <c r="C13">
        <v>1654.31</v>
      </c>
      <c r="D13" t="s">
        <v>6961</v>
      </c>
      <c r="E13">
        <v>1654.31</v>
      </c>
      <c r="F13" t="s">
        <v>6961</v>
      </c>
      <c r="G13" s="220">
        <f t="shared" si="2"/>
        <v>1654.31</v>
      </c>
      <c r="H13" s="220">
        <f t="shared" si="3"/>
        <v>1654.31</v>
      </c>
      <c r="I13" s="221">
        <f>IF(A13="Total",VLOOKUP(B13,CORRESPONDANCE[#All],2,FALSE),I14)</f>
        <v>4</v>
      </c>
      <c r="J13" s="222" t="str">
        <f t="shared" si="0"/>
        <v>T</v>
      </c>
      <c r="K13" s="44" t="str">
        <f t="shared" si="1"/>
        <v>R314 - Total</v>
      </c>
      <c r="L13" s="44" t="e">
        <f>+VLOOKUP(K13,TL[],4,FALSE)</f>
        <v>#N/A</v>
      </c>
    </row>
    <row r="14" spans="1:12" x14ac:dyDescent="0.2">
      <c r="A14" t="s">
        <v>2622</v>
      </c>
      <c r="B14" t="s">
        <v>225</v>
      </c>
      <c r="C14">
        <v>2347.48</v>
      </c>
      <c r="D14" t="s">
        <v>6961</v>
      </c>
      <c r="E14">
        <v>2347.48</v>
      </c>
      <c r="F14" t="s">
        <v>6961</v>
      </c>
      <c r="G14" s="220">
        <f t="shared" si="2"/>
        <v>2347.48</v>
      </c>
      <c r="H14" s="220">
        <f t="shared" si="3"/>
        <v>2347.48</v>
      </c>
      <c r="I14" s="221">
        <f>IF(A14="Total",VLOOKUP(B14,CORRESPONDANCE[#All],2,FALSE),I15)</f>
        <v>5</v>
      </c>
      <c r="J14" s="222" t="str">
        <f t="shared" si="0"/>
        <v>6</v>
      </c>
      <c r="K14" s="44" t="str">
        <f t="shared" si="1"/>
        <v>R314 - 60110200</v>
      </c>
      <c r="L14" s="44" t="str">
        <f>+VLOOKUP(K14,TL[],4,FALSE)</f>
        <v>07</v>
      </c>
    </row>
    <row r="15" spans="1:12" x14ac:dyDescent="0.2">
      <c r="A15" t="s">
        <v>197</v>
      </c>
      <c r="B15" t="s">
        <v>2518</v>
      </c>
      <c r="C15">
        <v>2347.48</v>
      </c>
      <c r="D15" t="s">
        <v>6961</v>
      </c>
      <c r="E15">
        <v>2347.48</v>
      </c>
      <c r="F15" t="s">
        <v>6961</v>
      </c>
      <c r="G15" s="220">
        <f t="shared" si="2"/>
        <v>2347.48</v>
      </c>
      <c r="H15" s="220">
        <f t="shared" si="3"/>
        <v>2347.48</v>
      </c>
      <c r="I15" s="221">
        <f>IF(A15="Total",VLOOKUP(B15,CORRESPONDANCE[#All],2,FALSE),I16)</f>
        <v>5</v>
      </c>
      <c r="J15" s="222" t="str">
        <f t="shared" si="0"/>
        <v>T</v>
      </c>
      <c r="K15" s="44" t="str">
        <f t="shared" si="1"/>
        <v>R314 - Total</v>
      </c>
      <c r="L15" s="44" t="e">
        <f>+VLOOKUP(K15,TL[],4,FALSE)</f>
        <v>#N/A</v>
      </c>
    </row>
    <row r="16" spans="1:12" x14ac:dyDescent="0.2">
      <c r="A16" t="s">
        <v>2623</v>
      </c>
      <c r="B16" t="s">
        <v>265</v>
      </c>
      <c r="C16">
        <v>6799.59</v>
      </c>
      <c r="D16" t="s">
        <v>6961</v>
      </c>
      <c r="E16">
        <v>6799.59</v>
      </c>
      <c r="F16" t="s">
        <v>6961</v>
      </c>
      <c r="G16" s="220">
        <f t="shared" si="2"/>
        <v>6799.59</v>
      </c>
      <c r="H16" s="220">
        <f t="shared" si="3"/>
        <v>6799.59</v>
      </c>
      <c r="I16" s="221">
        <f>IF(A16="Total",VLOOKUP(B16,CORRESPONDANCE[#All],2,FALSE),I17)</f>
        <v>6</v>
      </c>
      <c r="J16" s="222" t="str">
        <f t="shared" si="0"/>
        <v>6</v>
      </c>
      <c r="K16" s="44" t="str">
        <f t="shared" si="1"/>
        <v>R314 - 60220100</v>
      </c>
      <c r="L16" s="44" t="str">
        <f>+VLOOKUP(K16,TL[],4,FALSE)</f>
        <v>03</v>
      </c>
    </row>
    <row r="17" spans="1:12" x14ac:dyDescent="0.2">
      <c r="A17" t="s">
        <v>2624</v>
      </c>
      <c r="B17" t="s">
        <v>1149</v>
      </c>
      <c r="C17">
        <v>1042.3499999999999</v>
      </c>
      <c r="D17" t="s">
        <v>6961</v>
      </c>
      <c r="E17">
        <v>1042.3499999999999</v>
      </c>
      <c r="F17" t="s">
        <v>6961</v>
      </c>
      <c r="G17" s="220">
        <f t="shared" si="2"/>
        <v>1042.3499999999999</v>
      </c>
      <c r="H17" s="220">
        <f t="shared" si="3"/>
        <v>1042.3499999999999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R314 - 60320000</v>
      </c>
      <c r="L17" s="44" t="str">
        <f>+VLOOKUP(K17,TL[],4,FALSE)</f>
        <v>03</v>
      </c>
    </row>
    <row r="18" spans="1:12" x14ac:dyDescent="0.2">
      <c r="A18" t="s">
        <v>197</v>
      </c>
      <c r="B18" t="s">
        <v>2519</v>
      </c>
      <c r="C18">
        <v>7841.94</v>
      </c>
      <c r="D18" t="s">
        <v>6961</v>
      </c>
      <c r="E18">
        <v>7841.94</v>
      </c>
      <c r="F18" t="s">
        <v>6961</v>
      </c>
      <c r="G18" s="220">
        <f t="shared" si="2"/>
        <v>7841.94</v>
      </c>
      <c r="H18" s="220">
        <f t="shared" si="3"/>
        <v>7841.94</v>
      </c>
      <c r="I18" s="221">
        <f>IF(A18="Total",VLOOKUP(B18,CORRESPONDANCE[#All],2,FALSE),I19)</f>
        <v>6</v>
      </c>
      <c r="J18" s="222" t="str">
        <f t="shared" si="0"/>
        <v>T</v>
      </c>
      <c r="K18" s="44" t="str">
        <f t="shared" si="1"/>
        <v>R314 - Total</v>
      </c>
      <c r="L18" s="44" t="e">
        <f>+VLOOKUP(K18,TL[],4,FALSE)</f>
        <v>#N/A</v>
      </c>
    </row>
    <row r="19" spans="1:12" x14ac:dyDescent="0.2">
      <c r="A19" t="s">
        <v>3548</v>
      </c>
      <c r="B19" t="s">
        <v>3549</v>
      </c>
      <c r="C19">
        <v>626.47</v>
      </c>
      <c r="D19" t="s">
        <v>6961</v>
      </c>
      <c r="E19">
        <v>626.47</v>
      </c>
      <c r="F19" t="s">
        <v>6961</v>
      </c>
      <c r="G19" s="220">
        <f t="shared" si="2"/>
        <v>626.47</v>
      </c>
      <c r="H19" s="220">
        <f t="shared" si="3"/>
        <v>626.47</v>
      </c>
      <c r="I19" s="221" t="str">
        <f>IF(A19="Total",VLOOKUP(B19,CORRESPONDANCE[#All],2,FALSE),I20)</f>
        <v>6.1</v>
      </c>
      <c r="J19" s="222" t="str">
        <f t="shared" si="0"/>
        <v>6</v>
      </c>
      <c r="K19" s="44" t="str">
        <f t="shared" si="1"/>
        <v>R314 - 60261200</v>
      </c>
      <c r="L19" s="44" t="str">
        <f>+VLOOKUP(K19,TL[],4,FALSE)</f>
        <v>06</v>
      </c>
    </row>
    <row r="20" spans="1:12" x14ac:dyDescent="0.2">
      <c r="A20" t="s">
        <v>6905</v>
      </c>
      <c r="B20" t="s">
        <v>6885</v>
      </c>
      <c r="C20" t="s">
        <v>6961</v>
      </c>
      <c r="D20">
        <v>402.53</v>
      </c>
      <c r="E20" t="s">
        <v>6961</v>
      </c>
      <c r="F20">
        <v>402.53</v>
      </c>
      <c r="G20" s="220">
        <f t="shared" si="2"/>
        <v>-402.53</v>
      </c>
      <c r="H20" s="220">
        <f t="shared" si="3"/>
        <v>-402.53</v>
      </c>
      <c r="I20" s="221" t="str">
        <f>IF(A20="Total",VLOOKUP(B20,CORRESPONDANCE[#All],2,FALSE),I21)</f>
        <v>6.1</v>
      </c>
      <c r="J20" s="222" t="str">
        <f t="shared" si="0"/>
        <v>6</v>
      </c>
      <c r="K20" s="44" t="str">
        <f t="shared" si="1"/>
        <v>R314 - 60321100</v>
      </c>
      <c r="L20" s="44" t="str">
        <f>+VLOOKUP(K20,TL[],4,FALSE)</f>
        <v>06</v>
      </c>
    </row>
    <row r="21" spans="1:12" x14ac:dyDescent="0.2">
      <c r="A21" t="s">
        <v>197</v>
      </c>
      <c r="B21" t="s">
        <v>3010</v>
      </c>
      <c r="C21">
        <v>223.94</v>
      </c>
      <c r="D21" t="s">
        <v>6961</v>
      </c>
      <c r="E21">
        <v>223.94</v>
      </c>
      <c r="F21" t="s">
        <v>6961</v>
      </c>
      <c r="G21" s="220">
        <f t="shared" si="2"/>
        <v>223.94</v>
      </c>
      <c r="H21" s="220">
        <f t="shared" si="3"/>
        <v>223.94</v>
      </c>
      <c r="I21" s="221" t="str">
        <f>IF(A21="Total",VLOOKUP(B21,CORRESPONDANCE[#All],2,FALSE),I22)</f>
        <v>6.1</v>
      </c>
      <c r="J21" s="222" t="str">
        <f t="shared" si="0"/>
        <v>T</v>
      </c>
      <c r="K21" s="44" t="str">
        <f t="shared" si="1"/>
        <v>R314 - Total</v>
      </c>
      <c r="L21" s="44" t="e">
        <f>+VLOOKUP(K21,TL[],4,FALSE)</f>
        <v>#N/A</v>
      </c>
    </row>
    <row r="22" spans="1:12" x14ac:dyDescent="0.2">
      <c r="A22" t="s">
        <v>2625</v>
      </c>
      <c r="B22" t="s">
        <v>1239</v>
      </c>
      <c r="C22">
        <v>49640.04</v>
      </c>
      <c r="D22" t="s">
        <v>6961</v>
      </c>
      <c r="E22">
        <v>49640.04</v>
      </c>
      <c r="F22" t="s">
        <v>6961</v>
      </c>
      <c r="G22" s="220">
        <f t="shared" si="2"/>
        <v>49640.04</v>
      </c>
      <c r="H22" s="220">
        <f t="shared" si="3"/>
        <v>49640.04</v>
      </c>
      <c r="I22" s="221">
        <f>IF(A22="Total",VLOOKUP(B22,CORRESPONDANCE[#All],2,FALSE),I23)</f>
        <v>8</v>
      </c>
      <c r="J22" s="222" t="str">
        <f t="shared" si="0"/>
        <v>6</v>
      </c>
      <c r="K22" s="44" t="str">
        <f t="shared" si="1"/>
        <v>R314 - 64110100</v>
      </c>
      <c r="L22" s="44" t="str">
        <f>+VLOOKUP(K22,TL[],4,FALSE)</f>
        <v>10</v>
      </c>
    </row>
    <row r="23" spans="1:12" x14ac:dyDescent="0.2">
      <c r="A23" t="s">
        <v>2626</v>
      </c>
      <c r="B23" t="s">
        <v>1084</v>
      </c>
      <c r="C23">
        <v>1499.67</v>
      </c>
      <c r="D23" t="s">
        <v>6961</v>
      </c>
      <c r="E23">
        <v>1499.67</v>
      </c>
      <c r="F23" t="s">
        <v>6961</v>
      </c>
      <c r="G23" s="220">
        <f t="shared" si="2"/>
        <v>1499.67</v>
      </c>
      <c r="H23" s="220">
        <f t="shared" si="3"/>
        <v>1499.67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R314 - 64120000</v>
      </c>
      <c r="L23" s="44" t="str">
        <f>+VLOOKUP(K23,TL[],4,FALSE)</f>
        <v>10</v>
      </c>
    </row>
    <row r="24" spans="1:12" x14ac:dyDescent="0.2">
      <c r="A24" t="s">
        <v>2627</v>
      </c>
      <c r="B24" t="s">
        <v>284</v>
      </c>
      <c r="C24">
        <v>2485.58</v>
      </c>
      <c r="D24" t="s">
        <v>6961</v>
      </c>
      <c r="E24">
        <v>2485.58</v>
      </c>
      <c r="F24" t="s">
        <v>6961</v>
      </c>
      <c r="G24" s="220">
        <f t="shared" si="2"/>
        <v>2485.58</v>
      </c>
      <c r="H24" s="220">
        <f t="shared" si="3"/>
        <v>2485.58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R314 - 64140100</v>
      </c>
      <c r="L24" s="44" t="str">
        <f>+VLOOKUP(K24,TL[],4,FALSE)</f>
        <v>10</v>
      </c>
    </row>
    <row r="25" spans="1:12" x14ac:dyDescent="0.2">
      <c r="A25" t="s">
        <v>6178</v>
      </c>
      <c r="B25" t="s">
        <v>1244</v>
      </c>
      <c r="C25">
        <v>533</v>
      </c>
      <c r="D25" t="s">
        <v>6961</v>
      </c>
      <c r="E25">
        <v>533</v>
      </c>
      <c r="F25" t="s">
        <v>6961</v>
      </c>
      <c r="G25" s="220">
        <f t="shared" si="2"/>
        <v>533</v>
      </c>
      <c r="H25" s="220">
        <f t="shared" si="3"/>
        <v>533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R314 - 64140500</v>
      </c>
      <c r="L25" s="44" t="str">
        <f>+VLOOKUP(K25,TL[],4,FALSE)</f>
        <v>10</v>
      </c>
    </row>
    <row r="26" spans="1:12" x14ac:dyDescent="0.2">
      <c r="A26" t="s">
        <v>2628</v>
      </c>
      <c r="B26" t="s">
        <v>1245</v>
      </c>
      <c r="C26">
        <v>467.74</v>
      </c>
      <c r="D26" t="s">
        <v>6961</v>
      </c>
      <c r="E26">
        <v>467.74</v>
      </c>
      <c r="F26" t="s">
        <v>6961</v>
      </c>
      <c r="G26" s="220">
        <f t="shared" si="2"/>
        <v>467.74</v>
      </c>
      <c r="H26" s="220">
        <f t="shared" si="3"/>
        <v>467.74</v>
      </c>
      <c r="I26" s="221">
        <f>IF(A26="Total",VLOOKUP(B26,CORRESPONDANCE[#All],2,FALSE),I27)</f>
        <v>8</v>
      </c>
      <c r="J26" s="222" t="str">
        <f t="shared" si="0"/>
        <v>6</v>
      </c>
      <c r="K26" s="44" t="str">
        <f t="shared" si="1"/>
        <v>R314 - 64141100</v>
      </c>
      <c r="L26" s="44" t="str">
        <f>+VLOOKUP(K26,TL[],4,FALSE)</f>
        <v>10</v>
      </c>
    </row>
    <row r="27" spans="1:12" x14ac:dyDescent="0.2">
      <c r="A27" t="s">
        <v>6194</v>
      </c>
      <c r="B27" t="s">
        <v>1274</v>
      </c>
      <c r="C27" t="s">
        <v>6961</v>
      </c>
      <c r="D27">
        <v>5356.43</v>
      </c>
      <c r="E27" t="s">
        <v>6961</v>
      </c>
      <c r="F27">
        <v>5356.43</v>
      </c>
      <c r="G27" s="220">
        <f t="shared" si="2"/>
        <v>-5356.43</v>
      </c>
      <c r="H27" s="220">
        <f t="shared" si="3"/>
        <v>-5356.43</v>
      </c>
      <c r="I27" s="221">
        <f>IF(A27="Total",VLOOKUP(B27,CORRESPONDANCE[#All],2,FALSE),I28)</f>
        <v>8</v>
      </c>
      <c r="J27" s="222" t="str">
        <f t="shared" si="0"/>
        <v>7</v>
      </c>
      <c r="K27" s="44" t="str">
        <f t="shared" si="1"/>
        <v>R314 - 70810100</v>
      </c>
      <c r="L27" s="44" t="str">
        <f>+VLOOKUP(K27,TL[],4,FALSE)</f>
        <v>10</v>
      </c>
    </row>
    <row r="28" spans="1:12" x14ac:dyDescent="0.2">
      <c r="A28" t="s">
        <v>2629</v>
      </c>
      <c r="B28" t="s">
        <v>1332</v>
      </c>
      <c r="C28" t="s">
        <v>6961</v>
      </c>
      <c r="D28">
        <v>2485.58</v>
      </c>
      <c r="E28" t="s">
        <v>6961</v>
      </c>
      <c r="F28">
        <v>2485.58</v>
      </c>
      <c r="G28" s="220">
        <f t="shared" si="2"/>
        <v>-2485.58</v>
      </c>
      <c r="H28" s="220">
        <f t="shared" si="3"/>
        <v>-2485.58</v>
      </c>
      <c r="I28" s="221">
        <f>IF(A28="Total",VLOOKUP(B28,CORRESPONDANCE[#All],2,FALSE),I29)</f>
        <v>8</v>
      </c>
      <c r="J28" s="222" t="str">
        <f t="shared" si="0"/>
        <v>7</v>
      </c>
      <c r="K28" s="44" t="str">
        <f t="shared" si="1"/>
        <v>R314 - 72610000</v>
      </c>
      <c r="L28" s="44" t="str">
        <f>+VLOOKUP(K28,TL[],4,FALSE)</f>
        <v>10</v>
      </c>
    </row>
    <row r="29" spans="1:12" x14ac:dyDescent="0.2">
      <c r="A29" t="s">
        <v>3765</v>
      </c>
      <c r="B29" t="s">
        <v>1294</v>
      </c>
      <c r="C29" t="s">
        <v>6961</v>
      </c>
      <c r="D29">
        <v>533</v>
      </c>
      <c r="E29" t="s">
        <v>6961</v>
      </c>
      <c r="F29">
        <v>533</v>
      </c>
      <c r="G29" s="220">
        <f t="shared" si="2"/>
        <v>-533</v>
      </c>
      <c r="H29" s="220">
        <f t="shared" si="3"/>
        <v>-533</v>
      </c>
      <c r="I29" s="221">
        <f>IF(A29="Total",VLOOKUP(B29,CORRESPONDANCE[#All],2,FALSE),I30)</f>
        <v>8</v>
      </c>
      <c r="J29" s="222" t="str">
        <f t="shared" si="0"/>
        <v>7</v>
      </c>
      <c r="K29" s="44" t="str">
        <f t="shared" si="1"/>
        <v>R314 - 79110500</v>
      </c>
      <c r="L29" s="44" t="str">
        <f>+VLOOKUP(K29,TL[],4,FALSE)</f>
        <v>10</v>
      </c>
    </row>
    <row r="30" spans="1:12" x14ac:dyDescent="0.2">
      <c r="A30" t="s">
        <v>197</v>
      </c>
      <c r="B30" t="s">
        <v>2523</v>
      </c>
      <c r="C30">
        <v>46251.02</v>
      </c>
      <c r="D30" t="s">
        <v>6961</v>
      </c>
      <c r="E30">
        <v>46251.02</v>
      </c>
      <c r="F30" t="s">
        <v>6961</v>
      </c>
      <c r="G30" s="220">
        <f t="shared" si="2"/>
        <v>46251.02</v>
      </c>
      <c r="H30" s="220">
        <f t="shared" si="3"/>
        <v>46251.02</v>
      </c>
      <c r="I30" s="221">
        <f>IF(A30="Total",VLOOKUP(B30,CORRESPONDANCE[#All],2,FALSE),I31)</f>
        <v>8</v>
      </c>
      <c r="J30" s="222" t="str">
        <f t="shared" si="0"/>
        <v>T</v>
      </c>
      <c r="K30" s="44" t="str">
        <f t="shared" si="1"/>
        <v>R314 - Total</v>
      </c>
      <c r="L30" s="44" t="e">
        <f>+VLOOKUP(K30,TL[],4,FALSE)</f>
        <v>#N/A</v>
      </c>
    </row>
    <row r="31" spans="1:12" x14ac:dyDescent="0.2">
      <c r="A31" t="s">
        <v>3684</v>
      </c>
      <c r="B31" t="s">
        <v>271</v>
      </c>
      <c r="C31">
        <v>245.04</v>
      </c>
      <c r="D31" t="s">
        <v>6961</v>
      </c>
      <c r="E31">
        <v>245.04</v>
      </c>
      <c r="F31" t="s">
        <v>6961</v>
      </c>
      <c r="G31" s="220">
        <f t="shared" si="2"/>
        <v>245.04</v>
      </c>
      <c r="H31" s="220">
        <f t="shared" si="3"/>
        <v>245.04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R314 - 64504100</v>
      </c>
      <c r="L31" s="44" t="str">
        <f>+VLOOKUP(K31,TL[],4,FALSE)</f>
        <v>10</v>
      </c>
    </row>
    <row r="32" spans="1:12" x14ac:dyDescent="0.2">
      <c r="A32" t="s">
        <v>2630</v>
      </c>
      <c r="B32" t="s">
        <v>158</v>
      </c>
      <c r="C32">
        <v>5950.24</v>
      </c>
      <c r="D32" t="s">
        <v>6961</v>
      </c>
      <c r="E32">
        <v>5950.24</v>
      </c>
      <c r="F32" t="s">
        <v>6961</v>
      </c>
      <c r="G32" s="220">
        <f t="shared" si="2"/>
        <v>5950.24</v>
      </c>
      <c r="H32" s="220">
        <f t="shared" si="3"/>
        <v>5950.24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R314 - 64510100</v>
      </c>
      <c r="L32" s="44" t="str">
        <f>+VLOOKUP(K32,TL[],4,FALSE)</f>
        <v>10</v>
      </c>
    </row>
    <row r="33" spans="1:12" x14ac:dyDescent="0.2">
      <c r="A33" t="s">
        <v>2632</v>
      </c>
      <c r="B33" t="s">
        <v>281</v>
      </c>
      <c r="C33">
        <v>1922.21</v>
      </c>
      <c r="D33" t="s">
        <v>6961</v>
      </c>
      <c r="E33">
        <v>1922.21</v>
      </c>
      <c r="F33" t="s">
        <v>6961</v>
      </c>
      <c r="G33" s="220">
        <f t="shared" si="2"/>
        <v>1922.21</v>
      </c>
      <c r="H33" s="220">
        <f t="shared" si="3"/>
        <v>1922.21</v>
      </c>
      <c r="I33" s="221">
        <f>IF(A33="Total",VLOOKUP(B33,CORRESPONDANCE[#All],2,FALSE),I34)</f>
        <v>9</v>
      </c>
      <c r="J33" s="222" t="str">
        <f t="shared" si="0"/>
        <v>6</v>
      </c>
      <c r="K33" s="44" t="str">
        <f t="shared" si="1"/>
        <v>R314 - 64530100</v>
      </c>
      <c r="L33" s="44" t="str">
        <f>+VLOOKUP(K33,TL[],4,FALSE)</f>
        <v>10</v>
      </c>
    </row>
    <row r="34" spans="1:12" x14ac:dyDescent="0.2">
      <c r="A34" t="s">
        <v>2633</v>
      </c>
      <c r="B34" t="s">
        <v>270</v>
      </c>
      <c r="C34">
        <v>1739.53</v>
      </c>
      <c r="D34" t="s">
        <v>6961</v>
      </c>
      <c r="E34">
        <v>1739.53</v>
      </c>
      <c r="F34" t="s">
        <v>6961</v>
      </c>
      <c r="G34" s="220">
        <f t="shared" si="2"/>
        <v>1739.53</v>
      </c>
      <c r="H34" s="220">
        <f t="shared" si="3"/>
        <v>1739.53</v>
      </c>
      <c r="I34" s="221">
        <f>IF(A34="Total",VLOOKUP(B34,CORRESPONDANCE[#All],2,FALSE),I35)</f>
        <v>9</v>
      </c>
      <c r="J34" s="222" t="str">
        <f t="shared" si="0"/>
        <v>6</v>
      </c>
      <c r="K34" s="44" t="str">
        <f t="shared" si="1"/>
        <v>R314 - 64540100</v>
      </c>
      <c r="L34" s="44" t="str">
        <f>+VLOOKUP(K34,TL[],4,FALSE)</f>
        <v>10</v>
      </c>
    </row>
    <row r="35" spans="1:12" x14ac:dyDescent="0.2">
      <c r="A35" t="s">
        <v>2634</v>
      </c>
      <c r="B35" t="s">
        <v>1086</v>
      </c>
      <c r="C35">
        <v>339.05</v>
      </c>
      <c r="D35" t="s">
        <v>6961</v>
      </c>
      <c r="E35">
        <v>339.05</v>
      </c>
      <c r="F35" t="s">
        <v>6961</v>
      </c>
      <c r="G35" s="220">
        <f t="shared" si="2"/>
        <v>339.05</v>
      </c>
      <c r="H35" s="220">
        <f t="shared" si="3"/>
        <v>339.05</v>
      </c>
      <c r="I35" s="221">
        <f>IF(A35="Total",VLOOKUP(B35,CORRESPONDANCE[#All],2,FALSE),I36)</f>
        <v>9</v>
      </c>
      <c r="J35" s="222" t="str">
        <f t="shared" si="0"/>
        <v>6</v>
      </c>
      <c r="K35" s="44" t="str">
        <f t="shared" si="1"/>
        <v>R314 - 64580000</v>
      </c>
      <c r="L35" s="44" t="str">
        <f>+VLOOKUP(K35,TL[],4,FALSE)</f>
        <v>10</v>
      </c>
    </row>
    <row r="36" spans="1:12" x14ac:dyDescent="0.2">
      <c r="A36" t="s">
        <v>6195</v>
      </c>
      <c r="B36" t="s">
        <v>2957</v>
      </c>
      <c r="C36" t="s">
        <v>6961</v>
      </c>
      <c r="D36">
        <v>1896.34</v>
      </c>
      <c r="E36" t="s">
        <v>6961</v>
      </c>
      <c r="F36">
        <v>1896.34</v>
      </c>
      <c r="G36" s="220">
        <f t="shared" si="2"/>
        <v>-1896.34</v>
      </c>
      <c r="H36" s="220">
        <f t="shared" si="3"/>
        <v>-1896.34</v>
      </c>
      <c r="I36" s="221">
        <f>IF(A36="Total",VLOOKUP(B36,CORRESPONDANCE[#All],2,FALSE),I37)</f>
        <v>9</v>
      </c>
      <c r="J36" s="222" t="str">
        <f t="shared" si="0"/>
        <v>7</v>
      </c>
      <c r="K36" s="44" t="str">
        <f t="shared" si="1"/>
        <v>R314 - 70810200</v>
      </c>
      <c r="L36" s="44" t="str">
        <f>+VLOOKUP(K36,TL[],4,FALSE)</f>
        <v>10</v>
      </c>
    </row>
    <row r="37" spans="1:12" x14ac:dyDescent="0.2">
      <c r="A37" t="s">
        <v>197</v>
      </c>
      <c r="B37" t="s">
        <v>2529</v>
      </c>
      <c r="C37">
        <v>8299.73</v>
      </c>
      <c r="D37" t="s">
        <v>6961</v>
      </c>
      <c r="E37">
        <v>8299.73</v>
      </c>
      <c r="F37" t="s">
        <v>6961</v>
      </c>
      <c r="G37" s="220">
        <f t="shared" si="2"/>
        <v>8299.73</v>
      </c>
      <c r="H37" s="220">
        <f t="shared" si="3"/>
        <v>8299.73</v>
      </c>
      <c r="I37" s="221">
        <f>IF(A37="Total",VLOOKUP(B37,CORRESPONDANCE[#All],2,FALSE),I38)</f>
        <v>9</v>
      </c>
      <c r="J37" s="222" t="str">
        <f t="shared" si="0"/>
        <v>T</v>
      </c>
      <c r="K37" s="44" t="str">
        <f t="shared" si="1"/>
        <v>R314 - Total</v>
      </c>
      <c r="L37" s="44" t="e">
        <f>+VLOOKUP(K37,TL[],4,FALSE)</f>
        <v>#N/A</v>
      </c>
    </row>
    <row r="38" spans="1:12" x14ac:dyDescent="0.2">
      <c r="A38" t="s">
        <v>2636</v>
      </c>
      <c r="B38" t="s">
        <v>144</v>
      </c>
      <c r="C38">
        <v>18794.43</v>
      </c>
      <c r="D38" t="s">
        <v>6961</v>
      </c>
      <c r="E38">
        <v>18794.43</v>
      </c>
      <c r="F38" t="s">
        <v>6961</v>
      </c>
      <c r="G38" s="220">
        <f t="shared" si="2"/>
        <v>18794.43</v>
      </c>
      <c r="H38" s="220">
        <f t="shared" si="3"/>
        <v>18794.43</v>
      </c>
      <c r="I38" s="221">
        <f>IF(A38="Total",VLOOKUP(B38,CORRESPONDANCE[#All],2,FALSE),I39)</f>
        <v>10</v>
      </c>
      <c r="J38" s="222" t="str">
        <f t="shared" si="0"/>
        <v>6</v>
      </c>
      <c r="K38" s="44" t="str">
        <f t="shared" si="1"/>
        <v>R314 - 64110400</v>
      </c>
      <c r="L38" s="44" t="str">
        <f>+VLOOKUP(K38,TL[],4,FALSE)</f>
        <v>11</v>
      </c>
    </row>
    <row r="39" spans="1:12" x14ac:dyDescent="0.2">
      <c r="A39" t="s">
        <v>2637</v>
      </c>
      <c r="B39" t="s">
        <v>1085</v>
      </c>
      <c r="C39">
        <v>176.2</v>
      </c>
      <c r="D39" t="s">
        <v>6961</v>
      </c>
      <c r="E39">
        <v>176.2</v>
      </c>
      <c r="F39" t="s">
        <v>6961</v>
      </c>
      <c r="G39" s="220">
        <f t="shared" si="2"/>
        <v>176.2</v>
      </c>
      <c r="H39" s="220">
        <f t="shared" si="3"/>
        <v>176.2</v>
      </c>
      <c r="I39" s="221">
        <f>IF(A39="Total",VLOOKUP(B39,CORRESPONDANCE[#All],2,FALSE),I40)</f>
        <v>10</v>
      </c>
      <c r="J39" s="222" t="str">
        <f t="shared" si="0"/>
        <v>6</v>
      </c>
      <c r="K39" s="44" t="str">
        <f t="shared" si="1"/>
        <v>R314 - 64121000</v>
      </c>
      <c r="L39" s="44" t="str">
        <f>+VLOOKUP(K39,TL[],4,FALSE)</f>
        <v>11</v>
      </c>
    </row>
    <row r="40" spans="1:12" x14ac:dyDescent="0.2">
      <c r="A40" t="s">
        <v>2638</v>
      </c>
      <c r="B40" t="s">
        <v>272</v>
      </c>
      <c r="C40">
        <v>468.42</v>
      </c>
      <c r="D40" t="s">
        <v>6961</v>
      </c>
      <c r="E40">
        <v>468.42</v>
      </c>
      <c r="F40" t="s">
        <v>6961</v>
      </c>
      <c r="G40" s="220">
        <f t="shared" si="2"/>
        <v>468.42</v>
      </c>
      <c r="H40" s="220">
        <f t="shared" si="3"/>
        <v>468.42</v>
      </c>
      <c r="I40" s="221">
        <f>IF(A40="Total",VLOOKUP(B40,CORRESPONDANCE[#All],2,FALSE),I41)</f>
        <v>10</v>
      </c>
      <c r="J40" s="222" t="str">
        <f t="shared" si="0"/>
        <v>6</v>
      </c>
      <c r="K40" s="44" t="str">
        <f t="shared" si="1"/>
        <v>R314 - 64140400</v>
      </c>
      <c r="L40" s="44" t="str">
        <f>+VLOOKUP(K40,TL[],4,FALSE)</f>
        <v>11</v>
      </c>
    </row>
    <row r="41" spans="1:12" x14ac:dyDescent="0.2">
      <c r="A41" t="s">
        <v>2639</v>
      </c>
      <c r="B41" t="s">
        <v>1246</v>
      </c>
      <c r="C41">
        <v>145.58000000000001</v>
      </c>
      <c r="D41" t="s">
        <v>6961</v>
      </c>
      <c r="E41">
        <v>145.58000000000001</v>
      </c>
      <c r="F41" t="s">
        <v>6961</v>
      </c>
      <c r="G41" s="220">
        <f t="shared" si="2"/>
        <v>145.58000000000001</v>
      </c>
      <c r="H41" s="220">
        <f t="shared" si="3"/>
        <v>145.58000000000001</v>
      </c>
      <c r="I41" s="221">
        <f>IF(A41="Total",VLOOKUP(B41,CORRESPONDANCE[#All],2,FALSE),I42)</f>
        <v>10</v>
      </c>
      <c r="J41" s="222" t="str">
        <f t="shared" si="0"/>
        <v>6</v>
      </c>
      <c r="K41" s="44" t="str">
        <f t="shared" si="1"/>
        <v>R314 - 64141400</v>
      </c>
      <c r="L41" s="44" t="str">
        <f>+VLOOKUP(K41,TL[],4,FALSE)</f>
        <v>11</v>
      </c>
    </row>
    <row r="42" spans="1:12" x14ac:dyDescent="0.2">
      <c r="A42" t="s">
        <v>2641</v>
      </c>
      <c r="B42" t="s">
        <v>1333</v>
      </c>
      <c r="C42" t="s">
        <v>6961</v>
      </c>
      <c r="D42">
        <v>468.42</v>
      </c>
      <c r="E42" t="s">
        <v>6961</v>
      </c>
      <c r="F42">
        <v>468.42</v>
      </c>
      <c r="G42" s="220">
        <f t="shared" si="2"/>
        <v>-468.42</v>
      </c>
      <c r="H42" s="220">
        <f t="shared" si="3"/>
        <v>-468.42</v>
      </c>
      <c r="I42" s="221">
        <f>IF(A42="Total",VLOOKUP(B42,CORRESPONDANCE[#All],2,FALSE),I43)</f>
        <v>10</v>
      </c>
      <c r="J42" s="222" t="str">
        <f t="shared" si="0"/>
        <v>7</v>
      </c>
      <c r="K42" s="44" t="str">
        <f t="shared" si="1"/>
        <v>R314 - 72611000</v>
      </c>
      <c r="L42" s="44" t="str">
        <f>+VLOOKUP(K42,TL[],4,FALSE)</f>
        <v>11</v>
      </c>
    </row>
    <row r="43" spans="1:12" x14ac:dyDescent="0.2">
      <c r="A43" t="s">
        <v>197</v>
      </c>
      <c r="B43" t="s">
        <v>2532</v>
      </c>
      <c r="C43">
        <v>19116.21</v>
      </c>
      <c r="D43" t="s">
        <v>6961</v>
      </c>
      <c r="E43">
        <v>19116.21</v>
      </c>
      <c r="F43" t="s">
        <v>6961</v>
      </c>
      <c r="G43" s="220">
        <f t="shared" si="2"/>
        <v>19116.21</v>
      </c>
      <c r="H43" s="220">
        <f t="shared" si="3"/>
        <v>19116.21</v>
      </c>
      <c r="I43" s="221">
        <f>IF(A43="Total",VLOOKUP(B43,CORRESPONDANCE[#All],2,FALSE),I44)</f>
        <v>10</v>
      </c>
      <c r="J43" s="222" t="str">
        <f t="shared" si="0"/>
        <v>T</v>
      </c>
      <c r="K43" s="44" t="str">
        <f t="shared" si="1"/>
        <v>R314 - Total</v>
      </c>
      <c r="L43" s="44" t="e">
        <f>+VLOOKUP(K43,TL[],4,FALSE)</f>
        <v>#N/A</v>
      </c>
    </row>
    <row r="44" spans="1:12" x14ac:dyDescent="0.2">
      <c r="A44" t="s">
        <v>3685</v>
      </c>
      <c r="B44" t="s">
        <v>273</v>
      </c>
      <c r="C44">
        <v>82.26</v>
      </c>
      <c r="D44" t="s">
        <v>6961</v>
      </c>
      <c r="E44">
        <v>82.26</v>
      </c>
      <c r="F44" t="s">
        <v>6961</v>
      </c>
      <c r="G44" s="220">
        <f t="shared" si="2"/>
        <v>82.26</v>
      </c>
      <c r="H44" s="220">
        <f t="shared" si="3"/>
        <v>82.26</v>
      </c>
      <c r="I44" s="221">
        <f>IF(A44="Total",VLOOKUP(B44,CORRESPONDANCE[#All],2,FALSE),I45)</f>
        <v>11</v>
      </c>
      <c r="J44" s="222" t="str">
        <f t="shared" si="0"/>
        <v>6</v>
      </c>
      <c r="K44" s="44" t="str">
        <f t="shared" si="1"/>
        <v>R314 - 64504400</v>
      </c>
      <c r="L44" s="44" t="str">
        <f>+VLOOKUP(K44,TL[],4,FALSE)</f>
        <v>12</v>
      </c>
    </row>
    <row r="45" spans="1:12" x14ac:dyDescent="0.2">
      <c r="A45" t="s">
        <v>2644</v>
      </c>
      <c r="B45" t="s">
        <v>1247</v>
      </c>
      <c r="C45">
        <v>3067.94</v>
      </c>
      <c r="D45" t="s">
        <v>6961</v>
      </c>
      <c r="E45">
        <v>3067.94</v>
      </c>
      <c r="F45" t="s">
        <v>6961</v>
      </c>
      <c r="G45" s="220">
        <f t="shared" si="2"/>
        <v>3067.94</v>
      </c>
      <c r="H45" s="220">
        <f t="shared" si="3"/>
        <v>3067.94</v>
      </c>
      <c r="I45" s="221">
        <f>IF(A45="Total",VLOOKUP(B45,CORRESPONDANCE[#All],2,FALSE),I46)</f>
        <v>11</v>
      </c>
      <c r="J45" s="222" t="str">
        <f t="shared" si="0"/>
        <v>6</v>
      </c>
      <c r="K45" s="44" t="str">
        <f t="shared" si="1"/>
        <v>R314 - 64510400</v>
      </c>
      <c r="L45" s="44" t="str">
        <f>+VLOOKUP(K45,TL[],4,FALSE)</f>
        <v>12</v>
      </c>
    </row>
    <row r="46" spans="1:12" x14ac:dyDescent="0.2">
      <c r="A46" t="s">
        <v>2646</v>
      </c>
      <c r="B46" t="s">
        <v>275</v>
      </c>
      <c r="C46">
        <v>1040.3900000000001</v>
      </c>
      <c r="D46" t="s">
        <v>6961</v>
      </c>
      <c r="E46">
        <v>1040.3900000000001</v>
      </c>
      <c r="F46" t="s">
        <v>6961</v>
      </c>
      <c r="G46" s="220">
        <f t="shared" si="2"/>
        <v>1040.3900000000001</v>
      </c>
      <c r="H46" s="220">
        <f t="shared" si="3"/>
        <v>1040.3900000000001</v>
      </c>
      <c r="I46" s="221">
        <f>IF(A46="Total",VLOOKUP(B46,CORRESPONDANCE[#All],2,FALSE),I47)</f>
        <v>11</v>
      </c>
      <c r="J46" s="222" t="str">
        <f t="shared" si="0"/>
        <v>6</v>
      </c>
      <c r="K46" s="44" t="str">
        <f t="shared" si="1"/>
        <v>R314 - 64530400</v>
      </c>
      <c r="L46" s="44" t="str">
        <f>+VLOOKUP(K46,TL[],4,FALSE)</f>
        <v>12</v>
      </c>
    </row>
    <row r="47" spans="1:12" x14ac:dyDescent="0.2">
      <c r="A47" t="s">
        <v>2647</v>
      </c>
      <c r="B47" t="s">
        <v>1248</v>
      </c>
      <c r="C47">
        <v>620.35</v>
      </c>
      <c r="D47" t="s">
        <v>6961</v>
      </c>
      <c r="E47">
        <v>620.35</v>
      </c>
      <c r="F47" t="s">
        <v>6961</v>
      </c>
      <c r="G47" s="220">
        <f t="shared" si="2"/>
        <v>620.35</v>
      </c>
      <c r="H47" s="220">
        <f t="shared" si="3"/>
        <v>620.35</v>
      </c>
      <c r="I47" s="221">
        <f>IF(A47="Total",VLOOKUP(B47,CORRESPONDANCE[#All],2,FALSE),I48)</f>
        <v>11</v>
      </c>
      <c r="J47" s="222" t="str">
        <f t="shared" si="0"/>
        <v>6</v>
      </c>
      <c r="K47" s="44" t="str">
        <f t="shared" si="1"/>
        <v>R314 - 64540400</v>
      </c>
      <c r="L47" s="44" t="str">
        <f>+VLOOKUP(K47,TL[],4,FALSE)</f>
        <v>12</v>
      </c>
    </row>
    <row r="48" spans="1:12" x14ac:dyDescent="0.2">
      <c r="A48" t="s">
        <v>2648</v>
      </c>
      <c r="B48" t="s">
        <v>1087</v>
      </c>
      <c r="C48">
        <v>142.6</v>
      </c>
      <c r="D48" t="s">
        <v>6961</v>
      </c>
      <c r="E48">
        <v>142.6</v>
      </c>
      <c r="F48" t="s">
        <v>6961</v>
      </c>
      <c r="G48" s="220">
        <f t="shared" si="2"/>
        <v>142.6</v>
      </c>
      <c r="H48" s="220">
        <f t="shared" si="3"/>
        <v>142.6</v>
      </c>
      <c r="I48" s="221">
        <f>IF(A48="Total",VLOOKUP(B48,CORRESPONDANCE[#All],2,FALSE),I49)</f>
        <v>11</v>
      </c>
      <c r="J48" s="222" t="str">
        <f t="shared" si="0"/>
        <v>6</v>
      </c>
      <c r="K48" s="44" t="str">
        <f t="shared" si="1"/>
        <v>R314 - 64581000</v>
      </c>
      <c r="L48" s="44" t="str">
        <f>+VLOOKUP(K48,TL[],4,FALSE)</f>
        <v>12</v>
      </c>
    </row>
    <row r="49" spans="1:12" x14ac:dyDescent="0.2">
      <c r="A49" t="s">
        <v>197</v>
      </c>
      <c r="B49" t="s">
        <v>2539</v>
      </c>
      <c r="C49">
        <v>4953.54</v>
      </c>
      <c r="D49" t="s">
        <v>6961</v>
      </c>
      <c r="E49">
        <v>4953.54</v>
      </c>
      <c r="F49" t="s">
        <v>6961</v>
      </c>
      <c r="G49" s="220">
        <f t="shared" si="2"/>
        <v>4953.54</v>
      </c>
      <c r="H49" s="220">
        <f t="shared" si="3"/>
        <v>4953.54</v>
      </c>
      <c r="I49" s="221">
        <f>IF(A49="Total",VLOOKUP(B49,CORRESPONDANCE[#All],2,FALSE),I50)</f>
        <v>11</v>
      </c>
      <c r="J49" s="222" t="str">
        <f t="shared" si="0"/>
        <v>T</v>
      </c>
      <c r="K49" s="44" t="str">
        <f t="shared" si="1"/>
        <v>R314 - Total</v>
      </c>
      <c r="L49" s="44" t="e">
        <f>+VLOOKUP(K49,TL[],4,FALSE)</f>
        <v>#N/A</v>
      </c>
    </row>
    <row r="50" spans="1:12" x14ac:dyDescent="0.2">
      <c r="A50" t="s">
        <v>2652</v>
      </c>
      <c r="B50" t="s">
        <v>240</v>
      </c>
      <c r="C50">
        <v>57</v>
      </c>
      <c r="D50" t="s">
        <v>6961</v>
      </c>
      <c r="E50">
        <v>57</v>
      </c>
      <c r="F50" t="s">
        <v>6961</v>
      </c>
      <c r="G50" s="220">
        <f t="shared" si="2"/>
        <v>57</v>
      </c>
      <c r="H50" s="220">
        <f t="shared" si="3"/>
        <v>57</v>
      </c>
      <c r="I50" s="221">
        <f>IF(A50="Total",VLOOKUP(B50,CORRESPONDANCE[#All],2,FALSE),I51)</f>
        <v>15</v>
      </c>
      <c r="J50" s="222" t="str">
        <f t="shared" si="0"/>
        <v>6</v>
      </c>
      <c r="K50" s="44" t="str">
        <f t="shared" si="1"/>
        <v>R314 - 61561500</v>
      </c>
      <c r="L50" s="44" t="str">
        <f>+VLOOKUP(K50,TL[],4,FALSE)</f>
        <v>16</v>
      </c>
    </row>
    <row r="51" spans="1:12" x14ac:dyDescent="0.2">
      <c r="A51" t="s">
        <v>3605</v>
      </c>
      <c r="B51" t="s">
        <v>1318</v>
      </c>
      <c r="C51">
        <v>7200</v>
      </c>
      <c r="D51" t="s">
        <v>6961</v>
      </c>
      <c r="E51">
        <v>7200</v>
      </c>
      <c r="F51" t="s">
        <v>6961</v>
      </c>
      <c r="G51" s="220">
        <f t="shared" si="2"/>
        <v>7200</v>
      </c>
      <c r="H51" s="220">
        <f t="shared" si="3"/>
        <v>7200</v>
      </c>
      <c r="I51" s="221">
        <f>IF(A51="Total",VLOOKUP(B51,CORRESPONDANCE[#All],2,FALSE),I52)</f>
        <v>15</v>
      </c>
      <c r="J51" s="222" t="str">
        <f t="shared" si="0"/>
        <v>6</v>
      </c>
      <c r="K51" s="44" t="str">
        <f t="shared" si="1"/>
        <v>R314 - 61561900</v>
      </c>
      <c r="L51" s="44" t="str">
        <f>+VLOOKUP(K51,TL[],4,FALSE)</f>
        <v>16</v>
      </c>
    </row>
    <row r="52" spans="1:12" x14ac:dyDescent="0.2">
      <c r="A52" t="s">
        <v>197</v>
      </c>
      <c r="B52" t="s">
        <v>2544</v>
      </c>
      <c r="C52">
        <v>7257</v>
      </c>
      <c r="D52" t="s">
        <v>6961</v>
      </c>
      <c r="E52">
        <v>7257</v>
      </c>
      <c r="F52" t="s">
        <v>6961</v>
      </c>
      <c r="G52" s="220">
        <f t="shared" si="2"/>
        <v>7257</v>
      </c>
      <c r="H52" s="220">
        <f t="shared" si="3"/>
        <v>7257</v>
      </c>
      <c r="I52" s="221">
        <f>IF(A52="Total",VLOOKUP(B52,CORRESPONDANCE[#All],2,FALSE),I53)</f>
        <v>15</v>
      </c>
      <c r="J52" s="222" t="str">
        <f t="shared" si="0"/>
        <v>T</v>
      </c>
      <c r="K52" s="44" t="str">
        <f t="shared" si="1"/>
        <v>R314 - Total</v>
      </c>
      <c r="L52" s="44" t="e">
        <f>+VLOOKUP(K52,TL[],4,FALSE)</f>
        <v>#N/A</v>
      </c>
    </row>
    <row r="53" spans="1:12" x14ac:dyDescent="0.2">
      <c r="A53" t="s">
        <v>2653</v>
      </c>
      <c r="B53" t="s">
        <v>266</v>
      </c>
      <c r="C53">
        <v>1</v>
      </c>
      <c r="D53" t="s">
        <v>6961</v>
      </c>
      <c r="E53">
        <v>1</v>
      </c>
      <c r="F53" t="s">
        <v>6961</v>
      </c>
      <c r="G53" s="220">
        <f t="shared" si="2"/>
        <v>1</v>
      </c>
      <c r="H53" s="220">
        <f t="shared" si="3"/>
        <v>1</v>
      </c>
      <c r="I53" s="221">
        <f>IF(A53="Total",VLOOKUP(B53,CORRESPONDANCE[#All],2,FALSE),I54)</f>
        <v>16</v>
      </c>
      <c r="J53" s="222" t="str">
        <f t="shared" si="0"/>
        <v>6</v>
      </c>
      <c r="K53" s="44" t="str">
        <f t="shared" si="1"/>
        <v>R314 - 61562000</v>
      </c>
      <c r="L53" s="44" t="str">
        <f>+VLOOKUP(K53,TL[],4,FALSE)</f>
        <v>16</v>
      </c>
    </row>
    <row r="54" spans="1:12" x14ac:dyDescent="0.2">
      <c r="A54" t="s">
        <v>2676</v>
      </c>
      <c r="B54" t="s">
        <v>7081</v>
      </c>
      <c r="C54">
        <v>46.67</v>
      </c>
      <c r="D54" t="s">
        <v>6961</v>
      </c>
      <c r="E54">
        <v>46.67</v>
      </c>
      <c r="F54" t="s">
        <v>6961</v>
      </c>
      <c r="G54" s="220">
        <f t="shared" si="2"/>
        <v>46.67</v>
      </c>
      <c r="H54" s="220">
        <f t="shared" si="3"/>
        <v>46.67</v>
      </c>
      <c r="I54" s="221">
        <f>IF(A54="Total",VLOOKUP(B54,CORRESPONDANCE[#All],2,FALSE),I55)</f>
        <v>16</v>
      </c>
      <c r="J54" s="222" t="str">
        <f t="shared" si="0"/>
        <v>6</v>
      </c>
      <c r="K54" s="44" t="str">
        <f t="shared" si="1"/>
        <v>R314 - 61562500</v>
      </c>
      <c r="L54" s="44" t="e">
        <f>+VLOOKUP(K54,TL[],4,FALSE)</f>
        <v>#N/A</v>
      </c>
    </row>
    <row r="55" spans="1:12" x14ac:dyDescent="0.2">
      <c r="A55" t="s">
        <v>197</v>
      </c>
      <c r="B55" t="s">
        <v>2545</v>
      </c>
      <c r="C55">
        <v>47.67</v>
      </c>
      <c r="D55" t="s">
        <v>6961</v>
      </c>
      <c r="E55">
        <v>47.67</v>
      </c>
      <c r="F55" t="s">
        <v>6961</v>
      </c>
      <c r="G55" s="220">
        <f t="shared" si="2"/>
        <v>47.67</v>
      </c>
      <c r="H55" s="220">
        <f t="shared" si="3"/>
        <v>47.67</v>
      </c>
      <c r="I55" s="221">
        <f>IF(A55="Total",VLOOKUP(B55,CORRESPONDANCE[#All],2,FALSE),I56)</f>
        <v>16</v>
      </c>
      <c r="J55" s="222" t="str">
        <f t="shared" si="0"/>
        <v>T</v>
      </c>
      <c r="K55" s="44" t="str">
        <f t="shared" si="1"/>
        <v>R314 - Total</v>
      </c>
      <c r="L55" s="44" t="e">
        <f>+VLOOKUP(K55,TL[],4,FALSE)</f>
        <v>#N/A</v>
      </c>
    </row>
    <row r="56" spans="1:12" x14ac:dyDescent="0.2">
      <c r="A56" t="s">
        <v>2656</v>
      </c>
      <c r="B56" t="s">
        <v>258</v>
      </c>
      <c r="C56">
        <v>242.12</v>
      </c>
      <c r="D56" t="s">
        <v>6961</v>
      </c>
      <c r="E56">
        <v>242.12</v>
      </c>
      <c r="F56" t="s">
        <v>6961</v>
      </c>
      <c r="G56" s="220">
        <f t="shared" si="2"/>
        <v>242.12</v>
      </c>
      <c r="H56" s="220">
        <f t="shared" si="3"/>
        <v>242.12</v>
      </c>
      <c r="I56" s="221">
        <f>IF(A56="Total",VLOOKUP(B56,CORRESPONDANCE[#All],2,FALSE),I57)</f>
        <v>17</v>
      </c>
      <c r="J56" s="222" t="str">
        <f t="shared" si="0"/>
        <v>6</v>
      </c>
      <c r="K56" s="44" t="str">
        <f t="shared" si="1"/>
        <v>R314 - 62780100</v>
      </c>
      <c r="L56" s="44" t="str">
        <f>+VLOOKUP(K56,TL[],4,FALSE)</f>
        <v>37</v>
      </c>
    </row>
    <row r="57" spans="1:12" x14ac:dyDescent="0.2">
      <c r="A57" t="s">
        <v>2657</v>
      </c>
      <c r="B57" t="s">
        <v>238</v>
      </c>
      <c r="C57">
        <v>1246.8800000000001</v>
      </c>
      <c r="D57" t="s">
        <v>6961</v>
      </c>
      <c r="E57">
        <v>1246.8800000000001</v>
      </c>
      <c r="F57" t="s">
        <v>6961</v>
      </c>
      <c r="G57" s="220">
        <f t="shared" si="2"/>
        <v>1246.8800000000001</v>
      </c>
      <c r="H57" s="220">
        <f t="shared" si="3"/>
        <v>1246.8800000000001</v>
      </c>
      <c r="I57" s="221">
        <f>IF(A57="Total",VLOOKUP(B57,CORRESPONDANCE[#All],2,FALSE),I58)</f>
        <v>17</v>
      </c>
      <c r="J57" s="222" t="str">
        <f t="shared" si="0"/>
        <v>6</v>
      </c>
      <c r="K57" s="44" t="str">
        <f t="shared" si="1"/>
        <v>R314 - 62780200</v>
      </c>
      <c r="L57" s="44" t="str">
        <f>+VLOOKUP(K57,TL[],4,FALSE)</f>
        <v>37</v>
      </c>
    </row>
    <row r="58" spans="1:12" x14ac:dyDescent="0.2">
      <c r="A58" t="s">
        <v>2658</v>
      </c>
      <c r="B58" t="s">
        <v>263</v>
      </c>
      <c r="C58">
        <v>879.19</v>
      </c>
      <c r="D58" t="s">
        <v>6961</v>
      </c>
      <c r="E58">
        <v>879.19</v>
      </c>
      <c r="F58" t="s">
        <v>6961</v>
      </c>
      <c r="G58" s="220">
        <f t="shared" si="2"/>
        <v>879.19</v>
      </c>
      <c r="H58" s="220">
        <f t="shared" si="3"/>
        <v>879.19</v>
      </c>
      <c r="I58" s="221">
        <f>IF(A58="Total",VLOOKUP(B58,CORRESPONDANCE[#All],2,FALSE),I59)</f>
        <v>17</v>
      </c>
      <c r="J58" s="222" t="str">
        <f t="shared" si="0"/>
        <v>6</v>
      </c>
      <c r="K58" s="44" t="str">
        <f t="shared" si="1"/>
        <v>R314 - 62780300</v>
      </c>
      <c r="L58" s="44" t="str">
        <f>+VLOOKUP(K58,TL[],4,FALSE)</f>
        <v>37</v>
      </c>
    </row>
    <row r="59" spans="1:12" x14ac:dyDescent="0.2">
      <c r="A59" t="s">
        <v>3656</v>
      </c>
      <c r="B59" t="s">
        <v>244</v>
      </c>
      <c r="C59">
        <v>24.88</v>
      </c>
      <c r="D59" t="s">
        <v>6961</v>
      </c>
      <c r="E59">
        <v>24.88</v>
      </c>
      <c r="F59" t="s">
        <v>6961</v>
      </c>
      <c r="G59" s="220">
        <f t="shared" si="2"/>
        <v>24.88</v>
      </c>
      <c r="H59" s="220">
        <f t="shared" si="3"/>
        <v>24.88</v>
      </c>
      <c r="I59" s="221">
        <f>IF(A59="Total",VLOOKUP(B59,CORRESPONDANCE[#All],2,FALSE),I60)</f>
        <v>17</v>
      </c>
      <c r="J59" s="222" t="str">
        <f t="shared" si="0"/>
        <v>6</v>
      </c>
      <c r="K59" s="44" t="str">
        <f t="shared" si="1"/>
        <v>R314 - 62780500</v>
      </c>
      <c r="L59" s="44" t="str">
        <f>+VLOOKUP(K59,TL[],4,FALSE)</f>
        <v>37</v>
      </c>
    </row>
    <row r="60" spans="1:12" x14ac:dyDescent="0.2">
      <c r="A60" t="s">
        <v>6170</v>
      </c>
      <c r="B60" t="s">
        <v>1072</v>
      </c>
      <c r="C60">
        <v>11.05</v>
      </c>
      <c r="D60" t="s">
        <v>6961</v>
      </c>
      <c r="E60">
        <v>11.05</v>
      </c>
      <c r="F60" t="s">
        <v>6961</v>
      </c>
      <c r="G60" s="220">
        <f t="shared" si="2"/>
        <v>11.05</v>
      </c>
      <c r="H60" s="220">
        <f t="shared" si="3"/>
        <v>11.05</v>
      </c>
      <c r="I60" s="221">
        <f>IF(A60="Total",VLOOKUP(B60,CORRESPONDANCE[#All],2,FALSE),I61)</f>
        <v>17</v>
      </c>
      <c r="J60" s="222" t="str">
        <f t="shared" si="0"/>
        <v>6</v>
      </c>
      <c r="K60" s="44" t="str">
        <f t="shared" si="1"/>
        <v>R314 - 62780700</v>
      </c>
      <c r="L60" s="44" t="str">
        <f>+VLOOKUP(K60,TL[],4,FALSE)</f>
        <v>37</v>
      </c>
    </row>
    <row r="61" spans="1:12" x14ac:dyDescent="0.2">
      <c r="A61" t="s">
        <v>197</v>
      </c>
      <c r="B61" t="s">
        <v>2546</v>
      </c>
      <c r="C61">
        <v>2404.12</v>
      </c>
      <c r="D61" t="s">
        <v>6961</v>
      </c>
      <c r="E61">
        <v>2404.12</v>
      </c>
      <c r="F61" t="s">
        <v>6961</v>
      </c>
      <c r="G61" s="220">
        <f t="shared" si="2"/>
        <v>2404.12</v>
      </c>
      <c r="H61" s="220">
        <f t="shared" si="3"/>
        <v>2404.12</v>
      </c>
      <c r="I61" s="221">
        <f>IF(A61="Total",VLOOKUP(B61,CORRESPONDANCE[#All],2,FALSE),I62)</f>
        <v>17</v>
      </c>
      <c r="J61" s="222" t="str">
        <f t="shared" si="0"/>
        <v>T</v>
      </c>
      <c r="K61" s="44" t="str">
        <f t="shared" si="1"/>
        <v>R314 - Total</v>
      </c>
      <c r="L61" s="44" t="e">
        <f>+VLOOKUP(K61,TL[],4,FALSE)</f>
        <v>#N/A</v>
      </c>
    </row>
    <row r="62" spans="1:12" x14ac:dyDescent="0.2">
      <c r="A62" t="s">
        <v>2660</v>
      </c>
      <c r="B62" t="s">
        <v>1153</v>
      </c>
      <c r="C62">
        <v>261.52999999999997</v>
      </c>
      <c r="D62" t="s">
        <v>6961</v>
      </c>
      <c r="E62">
        <v>261.52999999999997</v>
      </c>
      <c r="F62" t="s">
        <v>6961</v>
      </c>
      <c r="G62" s="220">
        <f t="shared" si="2"/>
        <v>261.52999999999997</v>
      </c>
      <c r="H62" s="220">
        <f t="shared" si="3"/>
        <v>261.52999999999997</v>
      </c>
      <c r="I62" s="221">
        <f>IF(A62="Total",VLOOKUP(B62,CORRESPONDANCE[#All],2,FALSE),I63)</f>
        <v>18</v>
      </c>
      <c r="J62" s="222" t="str">
        <f t="shared" si="0"/>
        <v>6</v>
      </c>
      <c r="K62" s="44" t="str">
        <f t="shared" si="1"/>
        <v>R314 - 60630000</v>
      </c>
      <c r="L62" s="44" t="str">
        <f>+VLOOKUP(K62,TL[],4,FALSE)</f>
        <v>19</v>
      </c>
    </row>
    <row r="63" spans="1:12" x14ac:dyDescent="0.2">
      <c r="A63" t="s">
        <v>197</v>
      </c>
      <c r="B63" t="s">
        <v>2547</v>
      </c>
      <c r="C63">
        <v>261.52999999999997</v>
      </c>
      <c r="D63" t="s">
        <v>6961</v>
      </c>
      <c r="E63">
        <v>261.52999999999997</v>
      </c>
      <c r="F63" t="s">
        <v>6961</v>
      </c>
      <c r="G63" s="220">
        <f t="shared" si="2"/>
        <v>261.52999999999997</v>
      </c>
      <c r="H63" s="220">
        <f t="shared" si="3"/>
        <v>261.52999999999997</v>
      </c>
      <c r="I63" s="221">
        <f>IF(A63="Total",VLOOKUP(B63,CORRESPONDANCE[#All],2,FALSE),I64)</f>
        <v>18</v>
      </c>
      <c r="J63" s="222" t="str">
        <f t="shared" si="0"/>
        <v>T</v>
      </c>
      <c r="K63" s="44" t="str">
        <f t="shared" si="1"/>
        <v>R314 - Total</v>
      </c>
      <c r="L63" s="44" t="e">
        <f>+VLOOKUP(K63,TL[],4,FALSE)</f>
        <v>#N/A</v>
      </c>
    </row>
    <row r="64" spans="1:12" x14ac:dyDescent="0.2">
      <c r="A64" t="s">
        <v>2661</v>
      </c>
      <c r="B64" t="s">
        <v>1572</v>
      </c>
      <c r="C64">
        <v>231</v>
      </c>
      <c r="D64" t="s">
        <v>6961</v>
      </c>
      <c r="E64">
        <v>231</v>
      </c>
      <c r="F64" t="s">
        <v>6961</v>
      </c>
      <c r="G64" s="220">
        <f t="shared" si="2"/>
        <v>231</v>
      </c>
      <c r="H64" s="220">
        <f t="shared" si="3"/>
        <v>231</v>
      </c>
      <c r="I64" s="221">
        <f>IF(A64="Total",VLOOKUP(B64,CORRESPONDANCE[#All],2,FALSE),I65)</f>
        <v>19</v>
      </c>
      <c r="J64" s="222" t="str">
        <f t="shared" si="0"/>
        <v>6</v>
      </c>
      <c r="K64" s="44" t="str">
        <f t="shared" si="1"/>
        <v>R314 - 61101200</v>
      </c>
      <c r="L64" s="44" t="str">
        <f>+VLOOKUP(K64,TL[],4,FALSE)</f>
        <v>32</v>
      </c>
    </row>
    <row r="65" spans="1:12" x14ac:dyDescent="0.2">
      <c r="A65" t="s">
        <v>2663</v>
      </c>
      <c r="B65" t="s">
        <v>253</v>
      </c>
      <c r="C65">
        <v>255.96</v>
      </c>
      <c r="D65" t="s">
        <v>6961</v>
      </c>
      <c r="E65">
        <v>255.96</v>
      </c>
      <c r="F65" t="s">
        <v>6961</v>
      </c>
      <c r="G65" s="220">
        <f t="shared" si="2"/>
        <v>255.96</v>
      </c>
      <c r="H65" s="220">
        <f t="shared" si="3"/>
        <v>255.96</v>
      </c>
      <c r="I65" s="221">
        <f>IF(A65="Total",VLOOKUP(B65,CORRESPONDANCE[#All],2,FALSE),I66)</f>
        <v>19</v>
      </c>
      <c r="J65" s="222" t="str">
        <f t="shared" si="0"/>
        <v>6</v>
      </c>
      <c r="K65" s="44" t="str">
        <f t="shared" si="1"/>
        <v>R314 - 61321000</v>
      </c>
      <c r="L65" s="44" t="str">
        <f>+VLOOKUP(K65,TL[],4,FALSE)</f>
        <v>16</v>
      </c>
    </row>
    <row r="66" spans="1:12" x14ac:dyDescent="0.2">
      <c r="A66" t="s">
        <v>3581</v>
      </c>
      <c r="B66" t="s">
        <v>1568</v>
      </c>
      <c r="C66">
        <v>46</v>
      </c>
      <c r="D66" t="s">
        <v>6961</v>
      </c>
      <c r="E66">
        <v>46</v>
      </c>
      <c r="F66" t="s">
        <v>6961</v>
      </c>
      <c r="G66" s="220">
        <f t="shared" si="2"/>
        <v>46</v>
      </c>
      <c r="H66" s="220">
        <f t="shared" si="3"/>
        <v>46</v>
      </c>
      <c r="I66" s="221">
        <f>IF(A66="Total",VLOOKUP(B66,CORRESPONDANCE[#All],2,FALSE),I67)</f>
        <v>19</v>
      </c>
      <c r="J66" s="222" t="str">
        <f t="shared" si="0"/>
        <v>6</v>
      </c>
      <c r="K66" s="44" t="str">
        <f t="shared" si="1"/>
        <v>R314 - 61352800</v>
      </c>
      <c r="L66" s="44" t="str">
        <f>+VLOOKUP(K66,TL[],4,FALSE)</f>
        <v>16</v>
      </c>
    </row>
    <row r="67" spans="1:12" x14ac:dyDescent="0.2">
      <c r="A67" t="s">
        <v>6132</v>
      </c>
      <c r="B67" t="s">
        <v>506</v>
      </c>
      <c r="C67">
        <v>118.01</v>
      </c>
      <c r="D67" t="s">
        <v>6961</v>
      </c>
      <c r="E67">
        <v>118.01</v>
      </c>
      <c r="F67" t="s">
        <v>6961</v>
      </c>
      <c r="G67" s="220">
        <f t="shared" si="2"/>
        <v>118.01</v>
      </c>
      <c r="H67" s="220">
        <f t="shared" si="3"/>
        <v>118.01</v>
      </c>
      <c r="I67" s="221">
        <f>IF(A67="Total",VLOOKUP(B67,CORRESPONDANCE[#All],2,FALSE),I68)</f>
        <v>19</v>
      </c>
      <c r="J67" s="222" t="str">
        <f t="shared" ref="J67:J130" si="4">LEFT(A67,1)</f>
        <v>6</v>
      </c>
      <c r="K67" s="44" t="str">
        <f t="shared" ref="K67:K130" si="5">"R314"&amp;" - "&amp;A67</f>
        <v>R314 - 61353700</v>
      </c>
      <c r="L67" s="44" t="str">
        <f>+VLOOKUP(K67,TL[],4,FALSE)</f>
        <v>16</v>
      </c>
    </row>
    <row r="68" spans="1:12" x14ac:dyDescent="0.2">
      <c r="A68" t="s">
        <v>3597</v>
      </c>
      <c r="B68" t="s">
        <v>154</v>
      </c>
      <c r="C68">
        <v>264</v>
      </c>
      <c r="D68" t="s">
        <v>6961</v>
      </c>
      <c r="E68">
        <v>264</v>
      </c>
      <c r="F68" t="s">
        <v>6961</v>
      </c>
      <c r="G68" s="220">
        <f t="shared" si="2"/>
        <v>264</v>
      </c>
      <c r="H68" s="220">
        <f t="shared" si="3"/>
        <v>264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R314 - 61520000</v>
      </c>
      <c r="L68" s="44" t="str">
        <f>+VLOOKUP(K68,TL[],4,FALSE)</f>
        <v>16</v>
      </c>
    </row>
    <row r="69" spans="1:12" x14ac:dyDescent="0.2">
      <c r="A69" t="s">
        <v>2666</v>
      </c>
      <c r="B69" t="s">
        <v>1183</v>
      </c>
      <c r="C69">
        <v>450</v>
      </c>
      <c r="D69" t="s">
        <v>6961</v>
      </c>
      <c r="E69">
        <v>450</v>
      </c>
      <c r="F69" t="s">
        <v>6961</v>
      </c>
      <c r="G69" s="220">
        <f t="shared" si="2"/>
        <v>450</v>
      </c>
      <c r="H69" s="220">
        <f t="shared" si="3"/>
        <v>450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R314 - 61560000</v>
      </c>
      <c r="L69" s="44" t="str">
        <f>+VLOOKUP(K69,TL[],4,FALSE)</f>
        <v>16</v>
      </c>
    </row>
    <row r="70" spans="1:12" x14ac:dyDescent="0.2">
      <c r="A70" t="s">
        <v>2667</v>
      </c>
      <c r="B70" t="s">
        <v>234</v>
      </c>
      <c r="C70">
        <v>27.5</v>
      </c>
      <c r="D70" t="s">
        <v>6961</v>
      </c>
      <c r="E70">
        <v>27.5</v>
      </c>
      <c r="F70" t="s">
        <v>6961</v>
      </c>
      <c r="G70" s="220">
        <f t="shared" ref="G70:G133" si="6">SUM(C70)-SUM(D70)</f>
        <v>27.5</v>
      </c>
      <c r="H70" s="220">
        <f t="shared" ref="H70:H133" si="7">SUM(E70)-SUM(F70)</f>
        <v>27.5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R314 - 61561000</v>
      </c>
      <c r="L70" s="44" t="str">
        <f>+VLOOKUP(K70,TL[],4,FALSE)</f>
        <v>16</v>
      </c>
    </row>
    <row r="71" spans="1:12" x14ac:dyDescent="0.2">
      <c r="A71" t="s">
        <v>2668</v>
      </c>
      <c r="B71" t="s">
        <v>1184</v>
      </c>
      <c r="C71">
        <v>269</v>
      </c>
      <c r="D71" t="s">
        <v>6961</v>
      </c>
      <c r="E71">
        <v>269</v>
      </c>
      <c r="F71" t="s">
        <v>6961</v>
      </c>
      <c r="G71" s="220">
        <f t="shared" si="6"/>
        <v>269</v>
      </c>
      <c r="H71" s="220">
        <f t="shared" si="7"/>
        <v>269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R314 - 61561100</v>
      </c>
      <c r="L71" s="44" t="str">
        <f>+VLOOKUP(K71,TL[],4,FALSE)</f>
        <v>16</v>
      </c>
    </row>
    <row r="72" spans="1:12" x14ac:dyDescent="0.2">
      <c r="A72" t="s">
        <v>2669</v>
      </c>
      <c r="B72" t="s">
        <v>1185</v>
      </c>
      <c r="C72">
        <v>99</v>
      </c>
      <c r="D72" t="s">
        <v>6961</v>
      </c>
      <c r="E72">
        <v>99</v>
      </c>
      <c r="F72" t="s">
        <v>6961</v>
      </c>
      <c r="G72" s="220">
        <f t="shared" si="6"/>
        <v>99</v>
      </c>
      <c r="H72" s="220">
        <f t="shared" si="7"/>
        <v>99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R314 - 61561200</v>
      </c>
      <c r="L72" s="44" t="str">
        <f>+VLOOKUP(K72,TL[],4,FALSE)</f>
        <v>16</v>
      </c>
    </row>
    <row r="73" spans="1:12" x14ac:dyDescent="0.2">
      <c r="A73" t="s">
        <v>2670</v>
      </c>
      <c r="B73" t="s">
        <v>1186</v>
      </c>
      <c r="C73">
        <v>600</v>
      </c>
      <c r="D73" t="s">
        <v>6961</v>
      </c>
      <c r="E73">
        <v>600</v>
      </c>
      <c r="F73" t="s">
        <v>6961</v>
      </c>
      <c r="G73" s="220">
        <f t="shared" si="6"/>
        <v>600</v>
      </c>
      <c r="H73" s="220">
        <f t="shared" si="7"/>
        <v>600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R314 - 61561300</v>
      </c>
      <c r="L73" s="44" t="str">
        <f>+VLOOKUP(K73,TL[],4,FALSE)</f>
        <v>16</v>
      </c>
    </row>
    <row r="74" spans="1:12" x14ac:dyDescent="0.2">
      <c r="A74" t="s">
        <v>3603</v>
      </c>
      <c r="B74" t="s">
        <v>1317</v>
      </c>
      <c r="C74">
        <v>113.33</v>
      </c>
      <c r="D74" t="s">
        <v>6961</v>
      </c>
      <c r="E74">
        <v>113.33</v>
      </c>
      <c r="F74" t="s">
        <v>6961</v>
      </c>
      <c r="G74" s="220">
        <f t="shared" si="6"/>
        <v>113.33</v>
      </c>
      <c r="H74" s="220">
        <f t="shared" si="7"/>
        <v>113.33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R314 - 61561400</v>
      </c>
      <c r="L74" s="44" t="str">
        <f>+VLOOKUP(K74,TL[],4,FALSE)</f>
        <v>16</v>
      </c>
    </row>
    <row r="75" spans="1:12" x14ac:dyDescent="0.2">
      <c r="A75" t="s">
        <v>2671</v>
      </c>
      <c r="B75" t="s">
        <v>229</v>
      </c>
      <c r="C75">
        <v>360</v>
      </c>
      <c r="D75" t="s">
        <v>6961</v>
      </c>
      <c r="E75">
        <v>360</v>
      </c>
      <c r="F75" t="s">
        <v>6961</v>
      </c>
      <c r="G75" s="220">
        <f t="shared" si="6"/>
        <v>360</v>
      </c>
      <c r="H75" s="220">
        <f t="shared" si="7"/>
        <v>360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R314 - 61561600</v>
      </c>
      <c r="L75" s="44" t="str">
        <f>+VLOOKUP(K75,TL[],4,FALSE)</f>
        <v>16</v>
      </c>
    </row>
    <row r="76" spans="1:12" x14ac:dyDescent="0.2">
      <c r="A76" t="s">
        <v>3604</v>
      </c>
      <c r="B76" t="s">
        <v>285</v>
      </c>
      <c r="C76">
        <v>34</v>
      </c>
      <c r="D76" t="s">
        <v>6961</v>
      </c>
      <c r="E76">
        <v>34</v>
      </c>
      <c r="F76" t="s">
        <v>6961</v>
      </c>
      <c r="G76" s="220">
        <f t="shared" si="6"/>
        <v>34</v>
      </c>
      <c r="H76" s="220">
        <f t="shared" si="7"/>
        <v>34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R314 - 61561700</v>
      </c>
      <c r="L76" s="44" t="str">
        <f>+VLOOKUP(K76,TL[],4,FALSE)</f>
        <v>16</v>
      </c>
    </row>
    <row r="77" spans="1:12" x14ac:dyDescent="0.2">
      <c r="A77" t="s">
        <v>2672</v>
      </c>
      <c r="B77" t="s">
        <v>233</v>
      </c>
      <c r="C77">
        <v>77.2</v>
      </c>
      <c r="D77" t="s">
        <v>6961</v>
      </c>
      <c r="E77">
        <v>77.2</v>
      </c>
      <c r="F77" t="s">
        <v>6961</v>
      </c>
      <c r="G77" s="220">
        <f t="shared" si="6"/>
        <v>77.2</v>
      </c>
      <c r="H77" s="220">
        <f t="shared" si="7"/>
        <v>77.2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R314 - 61561800</v>
      </c>
      <c r="L77" s="44" t="str">
        <f>+VLOOKUP(K77,TL[],4,FALSE)</f>
        <v>16</v>
      </c>
    </row>
    <row r="78" spans="1:12" x14ac:dyDescent="0.2">
      <c r="A78" t="s">
        <v>2673</v>
      </c>
      <c r="B78" t="s">
        <v>1187</v>
      </c>
      <c r="C78">
        <v>1900</v>
      </c>
      <c r="D78" t="s">
        <v>6961</v>
      </c>
      <c r="E78">
        <v>1900</v>
      </c>
      <c r="F78" t="s">
        <v>6961</v>
      </c>
      <c r="G78" s="220">
        <f t="shared" si="6"/>
        <v>1900</v>
      </c>
      <c r="H78" s="220">
        <f t="shared" si="7"/>
        <v>1900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R314 - 61562100</v>
      </c>
      <c r="L78" s="44" t="str">
        <f>+VLOOKUP(K78,TL[],4,FALSE)</f>
        <v>16</v>
      </c>
    </row>
    <row r="79" spans="1:12" x14ac:dyDescent="0.2">
      <c r="A79" t="s">
        <v>3606</v>
      </c>
      <c r="B79" t="s">
        <v>280</v>
      </c>
      <c r="C79">
        <v>152.47</v>
      </c>
      <c r="D79" t="s">
        <v>6961</v>
      </c>
      <c r="E79">
        <v>152.47</v>
      </c>
      <c r="F79" t="s">
        <v>6961</v>
      </c>
      <c r="G79" s="220">
        <f t="shared" si="6"/>
        <v>152.47</v>
      </c>
      <c r="H79" s="220">
        <f t="shared" si="7"/>
        <v>152.47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R314 - 61562200</v>
      </c>
      <c r="L79" s="44" t="str">
        <f>+VLOOKUP(K79,TL[],4,FALSE)</f>
        <v>16</v>
      </c>
    </row>
    <row r="80" spans="1:12" x14ac:dyDescent="0.2">
      <c r="A80" t="s">
        <v>2674</v>
      </c>
      <c r="B80" t="s">
        <v>2959</v>
      </c>
      <c r="C80">
        <v>668.42</v>
      </c>
      <c r="D80" t="s">
        <v>6961</v>
      </c>
      <c r="E80">
        <v>668.42</v>
      </c>
      <c r="F80" t="s">
        <v>6961</v>
      </c>
      <c r="G80" s="220">
        <f t="shared" si="6"/>
        <v>668.42</v>
      </c>
      <c r="H80" s="220">
        <f t="shared" si="7"/>
        <v>668.42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R314 - 61562300</v>
      </c>
      <c r="L80" s="44" t="str">
        <f>+VLOOKUP(K80,TL[],4,FALSE)</f>
        <v>16</v>
      </c>
    </row>
    <row r="81" spans="1:12" x14ac:dyDescent="0.2">
      <c r="A81" t="s">
        <v>2677</v>
      </c>
      <c r="B81" t="s">
        <v>1190</v>
      </c>
      <c r="C81">
        <v>360</v>
      </c>
      <c r="D81" t="s">
        <v>6961</v>
      </c>
      <c r="E81">
        <v>360</v>
      </c>
      <c r="F81" t="s">
        <v>6961</v>
      </c>
      <c r="G81" s="220">
        <f t="shared" si="6"/>
        <v>360</v>
      </c>
      <c r="H81" s="220">
        <f t="shared" si="7"/>
        <v>360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R314 - 61562800</v>
      </c>
      <c r="L81" s="44" t="str">
        <f>+VLOOKUP(K81,TL[],4,FALSE)</f>
        <v>16</v>
      </c>
    </row>
    <row r="82" spans="1:12" x14ac:dyDescent="0.2">
      <c r="A82" t="s">
        <v>2678</v>
      </c>
      <c r="B82" t="s">
        <v>1319</v>
      </c>
      <c r="C82">
        <v>116.17</v>
      </c>
      <c r="D82" t="s">
        <v>6961</v>
      </c>
      <c r="E82">
        <v>116.17</v>
      </c>
      <c r="F82" t="s">
        <v>6961</v>
      </c>
      <c r="G82" s="220">
        <f t="shared" si="6"/>
        <v>116.17</v>
      </c>
      <c r="H82" s="220">
        <f t="shared" si="7"/>
        <v>116.17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R314 - 61563000</v>
      </c>
      <c r="L82" s="44" t="str">
        <f>+VLOOKUP(K82,TL[],4,FALSE)</f>
        <v>16</v>
      </c>
    </row>
    <row r="83" spans="1:12" x14ac:dyDescent="0.2">
      <c r="A83" t="s">
        <v>2682</v>
      </c>
      <c r="B83" t="s">
        <v>7137</v>
      </c>
      <c r="C83">
        <v>162.66999999999999</v>
      </c>
      <c r="D83" t="s">
        <v>6961</v>
      </c>
      <c r="E83">
        <v>162.66999999999999</v>
      </c>
      <c r="F83" t="s">
        <v>6961</v>
      </c>
      <c r="G83" s="220">
        <f t="shared" si="6"/>
        <v>162.66999999999999</v>
      </c>
      <c r="H83" s="220">
        <f t="shared" si="7"/>
        <v>162.66999999999999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R314 - 61563700</v>
      </c>
      <c r="L83" s="44" t="e">
        <f>+VLOOKUP(K83,TL[],4,FALSE)</f>
        <v>#N/A</v>
      </c>
    </row>
    <row r="84" spans="1:12" x14ac:dyDescent="0.2">
      <c r="A84" t="s">
        <v>3614</v>
      </c>
      <c r="B84" t="s">
        <v>6975</v>
      </c>
      <c r="C84">
        <v>10</v>
      </c>
      <c r="D84" t="s">
        <v>6961</v>
      </c>
      <c r="E84">
        <v>10</v>
      </c>
      <c r="F84" t="s">
        <v>6961</v>
      </c>
      <c r="G84" s="220">
        <f t="shared" si="6"/>
        <v>10</v>
      </c>
      <c r="H84" s="220">
        <f t="shared" si="7"/>
        <v>10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R314 - 61563900</v>
      </c>
      <c r="L84" s="44" t="e">
        <f>+VLOOKUP(K84,TL[],4,FALSE)</f>
        <v>#N/A</v>
      </c>
    </row>
    <row r="85" spans="1:12" x14ac:dyDescent="0.2">
      <c r="A85" t="s">
        <v>3615</v>
      </c>
      <c r="B85" t="s">
        <v>1193</v>
      </c>
      <c r="C85">
        <v>125</v>
      </c>
      <c r="D85" t="s">
        <v>6961</v>
      </c>
      <c r="E85">
        <v>125</v>
      </c>
      <c r="F85" t="s">
        <v>6961</v>
      </c>
      <c r="G85" s="220">
        <f t="shared" si="6"/>
        <v>125</v>
      </c>
      <c r="H85" s="220">
        <f t="shared" si="7"/>
        <v>125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R314 - 61564000</v>
      </c>
      <c r="L85" s="44" t="str">
        <f>+VLOOKUP(K85,TL[],4,FALSE)</f>
        <v>16</v>
      </c>
    </row>
    <row r="86" spans="1:12" x14ac:dyDescent="0.2">
      <c r="A86" t="s">
        <v>6140</v>
      </c>
      <c r="B86" t="s">
        <v>7082</v>
      </c>
      <c r="C86">
        <v>20</v>
      </c>
      <c r="D86" t="s">
        <v>6961</v>
      </c>
      <c r="E86">
        <v>20</v>
      </c>
      <c r="F86" t="s">
        <v>6961</v>
      </c>
      <c r="G86" s="220">
        <f t="shared" si="6"/>
        <v>20</v>
      </c>
      <c r="H86" s="220">
        <f t="shared" si="7"/>
        <v>20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R314 - 61565100</v>
      </c>
      <c r="L86" s="44" t="str">
        <f>+VLOOKUP(K86,TL[],4,FALSE)</f>
        <v>16</v>
      </c>
    </row>
    <row r="87" spans="1:12" x14ac:dyDescent="0.2">
      <c r="A87" t="s">
        <v>6141</v>
      </c>
      <c r="B87" t="s">
        <v>249</v>
      </c>
      <c r="C87">
        <v>121.82</v>
      </c>
      <c r="D87" t="s">
        <v>6961</v>
      </c>
      <c r="E87">
        <v>121.82</v>
      </c>
      <c r="F87" t="s">
        <v>6961</v>
      </c>
      <c r="G87" s="220">
        <f t="shared" si="6"/>
        <v>121.82</v>
      </c>
      <c r="H87" s="220">
        <f t="shared" si="7"/>
        <v>121.82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R314 - 61565200</v>
      </c>
      <c r="L87" s="44" t="str">
        <f>+VLOOKUP(K87,TL[],4,FALSE)</f>
        <v>16</v>
      </c>
    </row>
    <row r="88" spans="1:12" x14ac:dyDescent="0.2">
      <c r="A88" t="s">
        <v>6144</v>
      </c>
      <c r="B88" t="s">
        <v>7083</v>
      </c>
      <c r="C88">
        <v>80</v>
      </c>
      <c r="D88" t="s">
        <v>6961</v>
      </c>
      <c r="E88">
        <v>80</v>
      </c>
      <c r="F88" t="s">
        <v>6961</v>
      </c>
      <c r="G88" s="220">
        <f t="shared" si="6"/>
        <v>80</v>
      </c>
      <c r="H88" s="220">
        <f t="shared" si="7"/>
        <v>80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R314 - 61565500</v>
      </c>
      <c r="L88" s="44" t="str">
        <f>+VLOOKUP(K88,TL[],4,FALSE)</f>
        <v>16</v>
      </c>
    </row>
    <row r="89" spans="1:12" x14ac:dyDescent="0.2">
      <c r="A89" t="s">
        <v>6148</v>
      </c>
      <c r="B89" t="s">
        <v>1443</v>
      </c>
      <c r="C89">
        <v>91</v>
      </c>
      <c r="D89" t="s">
        <v>6961</v>
      </c>
      <c r="E89">
        <v>91</v>
      </c>
      <c r="F89" t="s">
        <v>6961</v>
      </c>
      <c r="G89" s="220">
        <f t="shared" si="6"/>
        <v>91</v>
      </c>
      <c r="H89" s="220">
        <f t="shared" si="7"/>
        <v>91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R314 - 61566200</v>
      </c>
      <c r="L89" s="44" t="str">
        <f>+VLOOKUP(K89,TL[],4,FALSE)</f>
        <v>16</v>
      </c>
    </row>
    <row r="90" spans="1:12" x14ac:dyDescent="0.2">
      <c r="A90" t="s">
        <v>6149</v>
      </c>
      <c r="B90" t="s">
        <v>1547</v>
      </c>
      <c r="C90">
        <v>73.17</v>
      </c>
      <c r="D90" t="s">
        <v>6961</v>
      </c>
      <c r="E90">
        <v>73.17</v>
      </c>
      <c r="F90" t="s">
        <v>6961</v>
      </c>
      <c r="G90" s="220">
        <f t="shared" si="6"/>
        <v>73.17</v>
      </c>
      <c r="H90" s="220">
        <f t="shared" si="7"/>
        <v>73.17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R314 - 61566300</v>
      </c>
      <c r="L90" s="44" t="str">
        <f>+VLOOKUP(K90,TL[],4,FALSE)</f>
        <v>16</v>
      </c>
    </row>
    <row r="91" spans="1:12" x14ac:dyDescent="0.2">
      <c r="A91" t="s">
        <v>6150</v>
      </c>
      <c r="B91" t="s">
        <v>2095</v>
      </c>
      <c r="C91">
        <v>168</v>
      </c>
      <c r="D91" t="s">
        <v>6961</v>
      </c>
      <c r="E91">
        <v>168</v>
      </c>
      <c r="F91" t="s">
        <v>6961</v>
      </c>
      <c r="G91" s="220">
        <f t="shared" si="6"/>
        <v>168</v>
      </c>
      <c r="H91" s="220">
        <f t="shared" si="7"/>
        <v>168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R314 - 61566400</v>
      </c>
      <c r="L91" s="44" t="str">
        <f>+VLOOKUP(K91,TL[],4,FALSE)</f>
        <v>16</v>
      </c>
    </row>
    <row r="92" spans="1:12" x14ac:dyDescent="0.2">
      <c r="A92" t="s">
        <v>7084</v>
      </c>
      <c r="B92" t="s">
        <v>7085</v>
      </c>
      <c r="C92">
        <v>32.5</v>
      </c>
      <c r="D92" t="s">
        <v>6961</v>
      </c>
      <c r="E92">
        <v>32.5</v>
      </c>
      <c r="F92" t="s">
        <v>6961</v>
      </c>
      <c r="G92" s="220">
        <f t="shared" si="6"/>
        <v>32.5</v>
      </c>
      <c r="H92" s="220">
        <f t="shared" si="7"/>
        <v>32.5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R314 - 61566600</v>
      </c>
      <c r="L92" s="44" t="e">
        <f>+VLOOKUP(K92,TL[],4,FALSE)</f>
        <v>#N/A</v>
      </c>
    </row>
    <row r="93" spans="1:12" x14ac:dyDescent="0.2">
      <c r="A93" t="s">
        <v>7111</v>
      </c>
      <c r="B93" t="s">
        <v>7092</v>
      </c>
      <c r="C93">
        <v>76.7</v>
      </c>
      <c r="D93" t="s">
        <v>6961</v>
      </c>
      <c r="E93">
        <v>76.7</v>
      </c>
      <c r="F93" t="s">
        <v>6961</v>
      </c>
      <c r="G93" s="220">
        <f t="shared" si="6"/>
        <v>76.7</v>
      </c>
      <c r="H93" s="220">
        <f t="shared" si="7"/>
        <v>76.7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R314 - 61566700</v>
      </c>
      <c r="L93" s="44" t="e">
        <f>+VLOOKUP(K93,TL[],4,FALSE)</f>
        <v>#N/A</v>
      </c>
    </row>
    <row r="94" spans="1:12" x14ac:dyDescent="0.2">
      <c r="A94" t="s">
        <v>7127</v>
      </c>
      <c r="B94" t="s">
        <v>7121</v>
      </c>
      <c r="C94">
        <v>12.36</v>
      </c>
      <c r="D94" t="s">
        <v>6961</v>
      </c>
      <c r="E94">
        <v>12.36</v>
      </c>
      <c r="F94" t="s">
        <v>6961</v>
      </c>
      <c r="G94" s="220">
        <f t="shared" si="6"/>
        <v>12.36</v>
      </c>
      <c r="H94" s="220">
        <f t="shared" si="7"/>
        <v>12.36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R314 - 62630000</v>
      </c>
      <c r="L94" s="44" t="e">
        <f>+VLOOKUP(K94,TL[],4,FALSE)</f>
        <v>#N/A</v>
      </c>
    </row>
    <row r="95" spans="1:12" x14ac:dyDescent="0.2">
      <c r="A95" t="s">
        <v>2692</v>
      </c>
      <c r="B95" t="s">
        <v>1253</v>
      </c>
      <c r="C95">
        <v>684</v>
      </c>
      <c r="D95" t="s">
        <v>6961</v>
      </c>
      <c r="E95">
        <v>684</v>
      </c>
      <c r="F95" t="s">
        <v>6961</v>
      </c>
      <c r="G95" s="220">
        <f t="shared" si="6"/>
        <v>684</v>
      </c>
      <c r="H95" s="220">
        <f t="shared" si="7"/>
        <v>684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R314 - 64750000</v>
      </c>
      <c r="L95" s="44" t="str">
        <f>+VLOOKUP(K95,TL[],4,FALSE)</f>
        <v>16</v>
      </c>
    </row>
    <row r="96" spans="1:12" x14ac:dyDescent="0.2">
      <c r="A96" t="s">
        <v>3690</v>
      </c>
      <c r="B96" t="s">
        <v>282</v>
      </c>
      <c r="C96">
        <v>94</v>
      </c>
      <c r="D96" t="s">
        <v>6961</v>
      </c>
      <c r="E96">
        <v>94</v>
      </c>
      <c r="F96" t="s">
        <v>6961</v>
      </c>
      <c r="G96" s="220">
        <f t="shared" si="6"/>
        <v>94</v>
      </c>
      <c r="H96" s="220">
        <f t="shared" si="7"/>
        <v>94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R314 - 65100300</v>
      </c>
      <c r="L96" s="44" t="str">
        <f>+VLOOKUP(K96,TL[],4,FALSE)</f>
        <v>16</v>
      </c>
    </row>
    <row r="97" spans="1:12" x14ac:dyDescent="0.2">
      <c r="A97" t="s">
        <v>7128</v>
      </c>
      <c r="B97" t="s">
        <v>7135</v>
      </c>
      <c r="C97">
        <v>247.65</v>
      </c>
      <c r="D97" t="s">
        <v>6961</v>
      </c>
      <c r="E97">
        <v>247.65</v>
      </c>
      <c r="F97" t="s">
        <v>6961</v>
      </c>
      <c r="G97" s="220">
        <f t="shared" si="6"/>
        <v>247.65</v>
      </c>
      <c r="H97" s="220">
        <f t="shared" si="7"/>
        <v>247.65</v>
      </c>
      <c r="I97" s="221">
        <f>IF(A97="Total",VLOOKUP(B97,CORRESPONDANCE[#All],2,FALSE),I98)</f>
        <v>19</v>
      </c>
      <c r="J97" s="222" t="str">
        <f t="shared" si="4"/>
        <v>6</v>
      </c>
      <c r="K97" s="44" t="str">
        <f t="shared" si="5"/>
        <v>R314 - 65170000</v>
      </c>
      <c r="L97" s="44" t="e">
        <f>+VLOOKUP(K97,TL[],4,FALSE)</f>
        <v>#N/A</v>
      </c>
    </row>
    <row r="98" spans="1:12" x14ac:dyDescent="0.2">
      <c r="A98" t="s">
        <v>197</v>
      </c>
      <c r="B98" t="s">
        <v>2567</v>
      </c>
      <c r="C98">
        <v>8140.93</v>
      </c>
      <c r="D98" t="s">
        <v>6961</v>
      </c>
      <c r="E98">
        <v>8140.93</v>
      </c>
      <c r="F98" t="s">
        <v>6961</v>
      </c>
      <c r="G98" s="220">
        <f t="shared" si="6"/>
        <v>8140.93</v>
      </c>
      <c r="H98" s="220">
        <f t="shared" si="7"/>
        <v>8140.93</v>
      </c>
      <c r="I98" s="221">
        <f>IF(A98="Total",VLOOKUP(B98,CORRESPONDANCE[#All],2,FALSE),I99)</f>
        <v>19</v>
      </c>
      <c r="J98" s="222" t="str">
        <f t="shared" si="4"/>
        <v>T</v>
      </c>
      <c r="K98" s="44" t="str">
        <f t="shared" si="5"/>
        <v>R314 - Total</v>
      </c>
      <c r="L98" s="44" t="e">
        <f>+VLOOKUP(K98,TL[],4,FALSE)</f>
        <v>#N/A</v>
      </c>
    </row>
    <row r="99" spans="1:12" x14ac:dyDescent="0.2">
      <c r="A99" t="s">
        <v>6158</v>
      </c>
      <c r="B99" t="s">
        <v>7086</v>
      </c>
      <c r="C99">
        <v>5112.33</v>
      </c>
      <c r="D99" t="s">
        <v>6961</v>
      </c>
      <c r="E99">
        <v>5112.33</v>
      </c>
      <c r="F99" t="s">
        <v>6961</v>
      </c>
      <c r="G99" s="220">
        <f t="shared" si="6"/>
        <v>5112.33</v>
      </c>
      <c r="H99" s="220">
        <f t="shared" si="7"/>
        <v>5112.33</v>
      </c>
      <c r="I99" s="221">
        <f>IF(A99="Total",VLOOKUP(B99,CORRESPONDANCE[#All],2,FALSE),I100)</f>
        <v>21</v>
      </c>
      <c r="J99" s="222" t="str">
        <f t="shared" si="4"/>
        <v>6</v>
      </c>
      <c r="K99" s="44" t="str">
        <f t="shared" si="5"/>
        <v>R314 - 62268000</v>
      </c>
      <c r="L99" s="44" t="str">
        <f>+VLOOKUP(K99,TL[],4,FALSE)</f>
        <v>32</v>
      </c>
    </row>
    <row r="100" spans="1:12" x14ac:dyDescent="0.2">
      <c r="A100" t="s">
        <v>197</v>
      </c>
      <c r="B100" t="s">
        <v>2568</v>
      </c>
      <c r="C100">
        <v>5112.33</v>
      </c>
      <c r="D100" t="s">
        <v>6961</v>
      </c>
      <c r="E100">
        <v>5112.33</v>
      </c>
      <c r="F100" t="s">
        <v>6961</v>
      </c>
      <c r="G100" s="220">
        <f t="shared" si="6"/>
        <v>5112.33</v>
      </c>
      <c r="H100" s="220">
        <f t="shared" si="7"/>
        <v>5112.33</v>
      </c>
      <c r="I100" s="221">
        <f>IF(A100="Total",VLOOKUP(B100,CORRESPONDANCE[#All],2,FALSE),I101)</f>
        <v>21</v>
      </c>
      <c r="J100" s="222" t="str">
        <f t="shared" si="4"/>
        <v>T</v>
      </c>
      <c r="K100" s="44" t="str">
        <f t="shared" si="5"/>
        <v>R314 - Total</v>
      </c>
      <c r="L100" s="44" t="e">
        <f>+VLOOKUP(K100,TL[],4,FALSE)</f>
        <v>#N/A</v>
      </c>
    </row>
    <row r="101" spans="1:12" x14ac:dyDescent="0.2">
      <c r="A101" t="s">
        <v>2695</v>
      </c>
      <c r="B101" t="s">
        <v>153</v>
      </c>
      <c r="C101">
        <v>12854.06</v>
      </c>
      <c r="D101" t="s">
        <v>6961</v>
      </c>
      <c r="E101">
        <v>12854.06</v>
      </c>
      <c r="F101" t="s">
        <v>6961</v>
      </c>
      <c r="G101" s="220">
        <f t="shared" si="6"/>
        <v>12854.06</v>
      </c>
      <c r="H101" s="220">
        <f t="shared" si="7"/>
        <v>12854.06</v>
      </c>
      <c r="I101" s="221">
        <f>IF(A101="Total",VLOOKUP(B101,CORRESPONDANCE[#All],2,FALSE),I102)</f>
        <v>22</v>
      </c>
      <c r="J101" s="222" t="str">
        <f t="shared" si="4"/>
        <v>6</v>
      </c>
      <c r="K101" s="44" t="str">
        <f t="shared" si="5"/>
        <v>R314 - 62300000</v>
      </c>
      <c r="L101" s="44" t="str">
        <f>+VLOOKUP(K101,TL[],4,FALSE)</f>
        <v>14</v>
      </c>
    </row>
    <row r="102" spans="1:12" x14ac:dyDescent="0.2">
      <c r="A102" t="s">
        <v>197</v>
      </c>
      <c r="B102" t="s">
        <v>2569</v>
      </c>
      <c r="C102">
        <v>12854.06</v>
      </c>
      <c r="D102" t="s">
        <v>6961</v>
      </c>
      <c r="E102">
        <v>12854.06</v>
      </c>
      <c r="F102" t="s">
        <v>6961</v>
      </c>
      <c r="G102" s="220">
        <f t="shared" si="6"/>
        <v>12854.06</v>
      </c>
      <c r="H102" s="220">
        <f t="shared" si="7"/>
        <v>12854.06</v>
      </c>
      <c r="I102" s="221">
        <f>IF(A102="Total",VLOOKUP(B102,CORRESPONDANCE[#All],2,FALSE),I103)</f>
        <v>22</v>
      </c>
      <c r="J102" s="222" t="str">
        <f t="shared" si="4"/>
        <v>T</v>
      </c>
      <c r="K102" s="44" t="str">
        <f t="shared" si="5"/>
        <v>R314 - Total</v>
      </c>
      <c r="L102" s="44" t="e">
        <f>+VLOOKUP(K102,TL[],4,FALSE)</f>
        <v>#N/A</v>
      </c>
    </row>
    <row r="103" spans="1:12" x14ac:dyDescent="0.2">
      <c r="A103" t="s">
        <v>2696</v>
      </c>
      <c r="B103" t="s">
        <v>215</v>
      </c>
      <c r="C103">
        <v>2700</v>
      </c>
      <c r="D103" t="s">
        <v>6961</v>
      </c>
      <c r="E103">
        <v>2700</v>
      </c>
      <c r="F103" t="s">
        <v>6961</v>
      </c>
      <c r="G103" s="220">
        <f t="shared" si="6"/>
        <v>2700</v>
      </c>
      <c r="H103" s="220">
        <f t="shared" si="7"/>
        <v>2700</v>
      </c>
      <c r="I103" s="221">
        <f>IF(A103="Total",VLOOKUP(B103,CORRESPONDANCE[#All],2,FALSE),I104)</f>
        <v>23</v>
      </c>
      <c r="J103" s="222" t="str">
        <f t="shared" si="4"/>
        <v>6</v>
      </c>
      <c r="K103" s="44" t="str">
        <f t="shared" si="5"/>
        <v>R314 - 62300200</v>
      </c>
      <c r="L103" s="44" t="str">
        <f>+VLOOKUP(K103,TL[],4,FALSE)</f>
        <v>15</v>
      </c>
    </row>
    <row r="104" spans="1:12" x14ac:dyDescent="0.2">
      <c r="A104" t="s">
        <v>2698</v>
      </c>
      <c r="B104" t="s">
        <v>226</v>
      </c>
      <c r="C104">
        <v>1967.14</v>
      </c>
      <c r="D104" t="s">
        <v>6961</v>
      </c>
      <c r="E104">
        <v>1967.14</v>
      </c>
      <c r="F104" t="s">
        <v>6961</v>
      </c>
      <c r="G104" s="220">
        <f t="shared" si="6"/>
        <v>1967.14</v>
      </c>
      <c r="H104" s="220">
        <f t="shared" si="7"/>
        <v>1967.14</v>
      </c>
      <c r="I104" s="221">
        <f>IF(A104="Total",VLOOKUP(B104,CORRESPONDANCE[#All],2,FALSE),I105)</f>
        <v>23</v>
      </c>
      <c r="J104" s="222" t="str">
        <f t="shared" si="4"/>
        <v>6</v>
      </c>
      <c r="K104" s="44" t="str">
        <f t="shared" si="5"/>
        <v>R314 - 62340100</v>
      </c>
      <c r="L104" s="44" t="str">
        <f>+VLOOKUP(K104,TL[],4,FALSE)</f>
        <v>15</v>
      </c>
    </row>
    <row r="105" spans="1:12" x14ac:dyDescent="0.2">
      <c r="A105" t="s">
        <v>2699</v>
      </c>
      <c r="B105" t="s">
        <v>254</v>
      </c>
      <c r="C105">
        <v>134.63999999999999</v>
      </c>
      <c r="D105" t="s">
        <v>6961</v>
      </c>
      <c r="E105">
        <v>134.63999999999999</v>
      </c>
      <c r="F105" t="s">
        <v>6961</v>
      </c>
      <c r="G105" s="220">
        <f t="shared" si="6"/>
        <v>134.63999999999999</v>
      </c>
      <c r="H105" s="220">
        <f t="shared" si="7"/>
        <v>134.63999999999999</v>
      </c>
      <c r="I105" s="221">
        <f>IF(A105="Total",VLOOKUP(B105,CORRESPONDANCE[#All],2,FALSE),I106)</f>
        <v>23</v>
      </c>
      <c r="J105" s="222" t="str">
        <f t="shared" si="4"/>
        <v>6</v>
      </c>
      <c r="K105" s="44" t="str">
        <f t="shared" si="5"/>
        <v>R314 - 62341500</v>
      </c>
      <c r="L105" s="44" t="str">
        <f>+VLOOKUP(K105,TL[],4,FALSE)</f>
        <v>15</v>
      </c>
    </row>
    <row r="106" spans="1:12" x14ac:dyDescent="0.2">
      <c r="A106" t="s">
        <v>197</v>
      </c>
      <c r="B106" t="s">
        <v>2572</v>
      </c>
      <c r="C106">
        <v>4801.78</v>
      </c>
      <c r="D106" t="s">
        <v>6961</v>
      </c>
      <c r="E106">
        <v>4801.78</v>
      </c>
      <c r="F106" t="s">
        <v>6961</v>
      </c>
      <c r="G106" s="220">
        <f t="shared" si="6"/>
        <v>4801.78</v>
      </c>
      <c r="H106" s="220">
        <f t="shared" si="7"/>
        <v>4801.78</v>
      </c>
      <c r="I106" s="221">
        <f>IF(A106="Total",VLOOKUP(B106,CORRESPONDANCE[#All],2,FALSE),I107)</f>
        <v>23</v>
      </c>
      <c r="J106" s="222" t="str">
        <f t="shared" si="4"/>
        <v>T</v>
      </c>
      <c r="K106" s="44" t="str">
        <f t="shared" si="5"/>
        <v>R314 - Total</v>
      </c>
      <c r="L106" s="44" t="e">
        <f>+VLOOKUP(K106,TL[],4,FALSE)</f>
        <v>#N/A</v>
      </c>
    </row>
    <row r="107" spans="1:12" x14ac:dyDescent="0.2">
      <c r="A107" t="s">
        <v>2700</v>
      </c>
      <c r="B107" t="s">
        <v>156</v>
      </c>
      <c r="C107">
        <v>720</v>
      </c>
      <c r="D107" t="s">
        <v>6961</v>
      </c>
      <c r="E107">
        <v>720</v>
      </c>
      <c r="F107" t="s">
        <v>6961</v>
      </c>
      <c r="G107" s="220">
        <f t="shared" si="6"/>
        <v>720</v>
      </c>
      <c r="H107" s="220">
        <f t="shared" si="7"/>
        <v>720</v>
      </c>
      <c r="I107" s="221">
        <f>IF(A107="Total",VLOOKUP(B107,CORRESPONDANCE[#All],2,FALSE),I108)</f>
        <v>24</v>
      </c>
      <c r="J107" s="222" t="str">
        <f t="shared" si="4"/>
        <v>6</v>
      </c>
      <c r="K107" s="44" t="str">
        <f t="shared" si="5"/>
        <v>R314 - 60610100</v>
      </c>
      <c r="L107" s="44" t="str">
        <f>+VLOOKUP(K107,TL[],4,FALSE)</f>
        <v>20</v>
      </c>
    </row>
    <row r="108" spans="1:12" x14ac:dyDescent="0.2">
      <c r="A108" t="s">
        <v>2701</v>
      </c>
      <c r="B108" t="s">
        <v>241</v>
      </c>
      <c r="C108">
        <v>9123</v>
      </c>
      <c r="D108" t="s">
        <v>6961</v>
      </c>
      <c r="E108">
        <v>9123</v>
      </c>
      <c r="F108" t="s">
        <v>6961</v>
      </c>
      <c r="G108" s="220">
        <f t="shared" si="6"/>
        <v>9123</v>
      </c>
      <c r="H108" s="220">
        <f t="shared" si="7"/>
        <v>9123</v>
      </c>
      <c r="I108" s="221">
        <f>IF(A108="Total",VLOOKUP(B108,CORRESPONDANCE[#All],2,FALSE),I109)</f>
        <v>24</v>
      </c>
      <c r="J108" s="222" t="str">
        <f t="shared" si="4"/>
        <v>6</v>
      </c>
      <c r="K108" s="44" t="str">
        <f t="shared" si="5"/>
        <v>R314 - 60610300</v>
      </c>
      <c r="L108" s="44" t="str">
        <f>+VLOOKUP(K108,TL[],4,FALSE)</f>
        <v>20</v>
      </c>
    </row>
    <row r="109" spans="1:12" x14ac:dyDescent="0.2">
      <c r="A109" t="s">
        <v>3552</v>
      </c>
      <c r="B109" t="s">
        <v>1152</v>
      </c>
      <c r="C109">
        <v>375</v>
      </c>
      <c r="D109" t="s">
        <v>6961</v>
      </c>
      <c r="E109">
        <v>375</v>
      </c>
      <c r="F109" t="s">
        <v>6961</v>
      </c>
      <c r="G109" s="220">
        <f t="shared" si="6"/>
        <v>375</v>
      </c>
      <c r="H109" s="220">
        <f t="shared" si="7"/>
        <v>375</v>
      </c>
      <c r="I109" s="221">
        <f>IF(A109="Total",VLOOKUP(B109,CORRESPONDANCE[#All],2,FALSE),I110)</f>
        <v>24</v>
      </c>
      <c r="J109" s="222" t="str">
        <f t="shared" si="4"/>
        <v>6</v>
      </c>
      <c r="K109" s="44" t="str">
        <f t="shared" si="5"/>
        <v>R314 - 60610500</v>
      </c>
      <c r="L109" s="44" t="str">
        <f>+VLOOKUP(K109,TL[],4,FALSE)</f>
        <v>20</v>
      </c>
    </row>
    <row r="110" spans="1:12" x14ac:dyDescent="0.2">
      <c r="A110" t="s">
        <v>2702</v>
      </c>
      <c r="B110" t="s">
        <v>1218</v>
      </c>
      <c r="C110">
        <v>365</v>
      </c>
      <c r="D110" t="s">
        <v>6961</v>
      </c>
      <c r="E110">
        <v>365</v>
      </c>
      <c r="F110" t="s">
        <v>6961</v>
      </c>
      <c r="G110" s="220">
        <f t="shared" si="6"/>
        <v>365</v>
      </c>
      <c r="H110" s="220">
        <f t="shared" si="7"/>
        <v>365</v>
      </c>
      <c r="I110" s="221">
        <f>IF(A110="Total",VLOOKUP(B110,CORRESPONDANCE[#All],2,FALSE),I111)</f>
        <v>24</v>
      </c>
      <c r="J110" s="222" t="str">
        <f t="shared" si="4"/>
        <v>6</v>
      </c>
      <c r="K110" s="44" t="str">
        <f t="shared" si="5"/>
        <v>R314 - 62620000</v>
      </c>
      <c r="L110" s="44" t="str">
        <f>+VLOOKUP(K110,TL[],4,FALSE)</f>
        <v>20</v>
      </c>
    </row>
    <row r="111" spans="1:12" x14ac:dyDescent="0.2">
      <c r="A111" t="s">
        <v>197</v>
      </c>
      <c r="B111" t="s">
        <v>2576</v>
      </c>
      <c r="C111">
        <v>10583</v>
      </c>
      <c r="D111" t="s">
        <v>6961</v>
      </c>
      <c r="E111">
        <v>10583</v>
      </c>
      <c r="F111" t="s">
        <v>6961</v>
      </c>
      <c r="G111" s="220">
        <f t="shared" si="6"/>
        <v>10583</v>
      </c>
      <c r="H111" s="220">
        <f t="shared" si="7"/>
        <v>10583</v>
      </c>
      <c r="I111" s="221">
        <f>IF(A111="Total",VLOOKUP(B111,CORRESPONDANCE[#All],2,FALSE),I112)</f>
        <v>24</v>
      </c>
      <c r="J111" s="222" t="str">
        <f t="shared" si="4"/>
        <v>T</v>
      </c>
      <c r="K111" s="44" t="str">
        <f t="shared" si="5"/>
        <v>R314 - Total</v>
      </c>
      <c r="L111" s="44" t="e">
        <f>+VLOOKUP(K111,TL[],4,FALSE)</f>
        <v>#N/A</v>
      </c>
    </row>
    <row r="112" spans="1:12" x14ac:dyDescent="0.2">
      <c r="A112" t="s">
        <v>3547</v>
      </c>
      <c r="B112" t="s">
        <v>1148</v>
      </c>
      <c r="C112">
        <v>175.92</v>
      </c>
      <c r="D112" t="s">
        <v>6961</v>
      </c>
      <c r="E112">
        <v>175.92</v>
      </c>
      <c r="F112" t="s">
        <v>6961</v>
      </c>
      <c r="G112" s="220">
        <f t="shared" si="6"/>
        <v>175.92</v>
      </c>
      <c r="H112" s="220">
        <f t="shared" si="7"/>
        <v>175.92</v>
      </c>
      <c r="I112" s="221">
        <f>IF(A112="Total",VLOOKUP(B112,CORRESPONDANCE[#All],2,FALSE),I113)</f>
        <v>25</v>
      </c>
      <c r="J112" s="222" t="str">
        <f t="shared" si="4"/>
        <v>6</v>
      </c>
      <c r="K112" s="44" t="str">
        <f t="shared" si="5"/>
        <v>R314 - 60261000</v>
      </c>
      <c r="L112" s="44" t="str">
        <f>+VLOOKUP(K112,TL[],4,FALSE)</f>
        <v>18</v>
      </c>
    </row>
    <row r="113" spans="1:12" x14ac:dyDescent="0.2">
      <c r="A113" t="s">
        <v>2703</v>
      </c>
      <c r="B113" t="s">
        <v>1154</v>
      </c>
      <c r="C113">
        <v>234.54</v>
      </c>
      <c r="D113" t="s">
        <v>6961</v>
      </c>
      <c r="E113">
        <v>234.54</v>
      </c>
      <c r="F113" t="s">
        <v>6961</v>
      </c>
      <c r="G113" s="220">
        <f t="shared" si="6"/>
        <v>234.54</v>
      </c>
      <c r="H113" s="220">
        <f t="shared" si="7"/>
        <v>234.54</v>
      </c>
      <c r="I113" s="221">
        <f>IF(A113="Total",VLOOKUP(B113,CORRESPONDANCE[#All],2,FALSE),I114)</f>
        <v>25</v>
      </c>
      <c r="J113" s="222" t="str">
        <f t="shared" si="4"/>
        <v>6</v>
      </c>
      <c r="K113" s="44" t="str">
        <f t="shared" si="5"/>
        <v>R314 - 60630200</v>
      </c>
      <c r="L113" s="44" t="str">
        <f>+VLOOKUP(K113,TL[],4,FALSE)</f>
        <v>18</v>
      </c>
    </row>
    <row r="114" spans="1:12" x14ac:dyDescent="0.2">
      <c r="A114" t="s">
        <v>2704</v>
      </c>
      <c r="B114" t="s">
        <v>1156</v>
      </c>
      <c r="C114">
        <v>108.72</v>
      </c>
      <c r="D114" t="s">
        <v>6961</v>
      </c>
      <c r="E114">
        <v>108.72</v>
      </c>
      <c r="F114" t="s">
        <v>6961</v>
      </c>
      <c r="G114" s="220">
        <f t="shared" si="6"/>
        <v>108.72</v>
      </c>
      <c r="H114" s="220">
        <f t="shared" si="7"/>
        <v>108.72</v>
      </c>
      <c r="I114" s="221">
        <f>IF(A114="Total",VLOOKUP(B114,CORRESPONDANCE[#All],2,FALSE),I115)</f>
        <v>25</v>
      </c>
      <c r="J114" s="222" t="str">
        <f t="shared" si="4"/>
        <v>6</v>
      </c>
      <c r="K114" s="44" t="str">
        <f t="shared" si="5"/>
        <v>R314 - 60640100</v>
      </c>
      <c r="L114" s="44" t="str">
        <f>+VLOOKUP(K114,TL[],4,FALSE)</f>
        <v>21</v>
      </c>
    </row>
    <row r="115" spans="1:12" x14ac:dyDescent="0.2">
      <c r="A115" t="s">
        <v>197</v>
      </c>
      <c r="B115" t="s">
        <v>2578</v>
      </c>
      <c r="C115">
        <v>519.17999999999995</v>
      </c>
      <c r="D115" t="s">
        <v>6961</v>
      </c>
      <c r="E115">
        <v>519.17999999999995</v>
      </c>
      <c r="F115" t="s">
        <v>6961</v>
      </c>
      <c r="G115" s="220">
        <f t="shared" si="6"/>
        <v>519.17999999999995</v>
      </c>
      <c r="H115" s="220">
        <f t="shared" si="7"/>
        <v>519.17999999999995</v>
      </c>
      <c r="I115" s="221">
        <f>IF(A115="Total",VLOOKUP(B115,CORRESPONDANCE[#All],2,FALSE),I116)</f>
        <v>25</v>
      </c>
      <c r="J115" s="222" t="str">
        <f t="shared" si="4"/>
        <v>T</v>
      </c>
      <c r="K115" s="44" t="str">
        <f t="shared" si="5"/>
        <v>R314 - Total</v>
      </c>
      <c r="L115" s="44" t="e">
        <f>+VLOOKUP(K115,TL[],4,FALSE)</f>
        <v>#N/A</v>
      </c>
    </row>
    <row r="116" spans="1:12" x14ac:dyDescent="0.2">
      <c r="A116" t="s">
        <v>3647</v>
      </c>
      <c r="B116" t="s">
        <v>1211</v>
      </c>
      <c r="C116">
        <v>82</v>
      </c>
      <c r="D116" t="s">
        <v>6961</v>
      </c>
      <c r="E116">
        <v>82</v>
      </c>
      <c r="F116" t="s">
        <v>6961</v>
      </c>
      <c r="G116" s="220">
        <f t="shared" si="6"/>
        <v>82</v>
      </c>
      <c r="H116" s="220">
        <f t="shared" si="7"/>
        <v>82</v>
      </c>
      <c r="I116" s="221">
        <f>IF(A116="Total",VLOOKUP(B116,CORRESPONDANCE[#All],2,FALSE),I117)</f>
        <v>26</v>
      </c>
      <c r="J116" s="222" t="str">
        <f t="shared" si="4"/>
        <v>6</v>
      </c>
      <c r="K116" s="44" t="str">
        <f t="shared" si="5"/>
        <v>R314 - 62520400</v>
      </c>
      <c r="L116" s="44" t="str">
        <f>+VLOOKUP(K116,TL[],4,FALSE)</f>
        <v>13</v>
      </c>
    </row>
    <row r="117" spans="1:12" x14ac:dyDescent="0.2">
      <c r="A117" t="s">
        <v>197</v>
      </c>
      <c r="B117" t="s">
        <v>2580</v>
      </c>
      <c r="C117">
        <v>82</v>
      </c>
      <c r="D117" t="s">
        <v>6961</v>
      </c>
      <c r="E117">
        <v>82</v>
      </c>
      <c r="F117" t="s">
        <v>6961</v>
      </c>
      <c r="G117" s="220">
        <f t="shared" si="6"/>
        <v>82</v>
      </c>
      <c r="H117" s="220">
        <f t="shared" si="7"/>
        <v>82</v>
      </c>
      <c r="I117" s="221">
        <f>IF(A117="Total",VLOOKUP(B117,CORRESPONDANCE[#All],2,FALSE),I118)</f>
        <v>26</v>
      </c>
      <c r="J117" s="222" t="str">
        <f t="shared" si="4"/>
        <v>T</v>
      </c>
      <c r="K117" s="44" t="str">
        <f t="shared" si="5"/>
        <v>R314 - Total</v>
      </c>
      <c r="L117" s="44" t="e">
        <f>+VLOOKUP(K117,TL[],4,FALSE)</f>
        <v>#N/A</v>
      </c>
    </row>
    <row r="118" spans="1:12" x14ac:dyDescent="0.2">
      <c r="A118" t="s">
        <v>3648</v>
      </c>
      <c r="B118" t="s">
        <v>1213</v>
      </c>
      <c r="C118">
        <v>410</v>
      </c>
      <c r="D118" t="s">
        <v>6961</v>
      </c>
      <c r="E118">
        <v>410</v>
      </c>
      <c r="F118" t="s">
        <v>6961</v>
      </c>
      <c r="G118" s="220">
        <f t="shared" si="6"/>
        <v>410</v>
      </c>
      <c r="H118" s="220">
        <f t="shared" si="7"/>
        <v>410</v>
      </c>
      <c r="I118" s="221">
        <f>IF(A118="Total",VLOOKUP(B118,CORRESPONDANCE[#All],2,FALSE),I119)</f>
        <v>27</v>
      </c>
      <c r="J118" s="222" t="str">
        <f t="shared" si="4"/>
        <v>6</v>
      </c>
      <c r="K118" s="44" t="str">
        <f t="shared" si="5"/>
        <v>R314 - 62570100</v>
      </c>
      <c r="L118" s="44" t="str">
        <f>+VLOOKUP(K118,TL[],4,FALSE)</f>
        <v>23</v>
      </c>
    </row>
    <row r="119" spans="1:12" x14ac:dyDescent="0.2">
      <c r="A119" t="s">
        <v>2706</v>
      </c>
      <c r="B119" t="s">
        <v>303</v>
      </c>
      <c r="C119">
        <v>286</v>
      </c>
      <c r="D119" t="s">
        <v>6961</v>
      </c>
      <c r="E119">
        <v>286</v>
      </c>
      <c r="F119" t="s">
        <v>6961</v>
      </c>
      <c r="G119" s="220">
        <f t="shared" si="6"/>
        <v>286</v>
      </c>
      <c r="H119" s="220">
        <f t="shared" si="7"/>
        <v>286</v>
      </c>
      <c r="I119" s="221">
        <f>IF(A119="Total",VLOOKUP(B119,CORRESPONDANCE[#All],2,FALSE),I120)</f>
        <v>27</v>
      </c>
      <c r="J119" s="222" t="str">
        <f t="shared" si="4"/>
        <v>6</v>
      </c>
      <c r="K119" s="44" t="str">
        <f t="shared" si="5"/>
        <v>R314 - 62802300</v>
      </c>
      <c r="L119" s="44" t="str">
        <f>+VLOOKUP(K119,TL[],4,FALSE)</f>
        <v>23</v>
      </c>
    </row>
    <row r="120" spans="1:12" x14ac:dyDescent="0.2">
      <c r="A120" t="s">
        <v>2707</v>
      </c>
      <c r="B120" t="s">
        <v>1263</v>
      </c>
      <c r="C120">
        <v>145.72999999999999</v>
      </c>
      <c r="D120" t="s">
        <v>6961</v>
      </c>
      <c r="E120">
        <v>145.72999999999999</v>
      </c>
      <c r="F120" t="s">
        <v>6961</v>
      </c>
      <c r="G120" s="220">
        <f t="shared" si="6"/>
        <v>145.72999999999999</v>
      </c>
      <c r="H120" s="220">
        <f t="shared" si="7"/>
        <v>145.72999999999999</v>
      </c>
      <c r="I120" s="221">
        <f>IF(A120="Total",VLOOKUP(B120,CORRESPONDANCE[#All],2,FALSE),I121)</f>
        <v>27</v>
      </c>
      <c r="J120" s="222" t="str">
        <f t="shared" si="4"/>
        <v>6</v>
      </c>
      <c r="K120" s="44" t="str">
        <f t="shared" si="5"/>
        <v>R314 - 67110000</v>
      </c>
      <c r="L120" s="44" t="str">
        <f>+VLOOKUP(K120,TL[],4,FALSE)</f>
        <v>22</v>
      </c>
    </row>
    <row r="121" spans="1:12" x14ac:dyDescent="0.2">
      <c r="A121" t="s">
        <v>2708</v>
      </c>
      <c r="B121" t="s">
        <v>31</v>
      </c>
      <c r="C121" t="s">
        <v>6961</v>
      </c>
      <c r="D121">
        <v>61.33</v>
      </c>
      <c r="E121" t="s">
        <v>6961</v>
      </c>
      <c r="F121">
        <v>61.33</v>
      </c>
      <c r="G121" s="220">
        <f t="shared" si="6"/>
        <v>-61.33</v>
      </c>
      <c r="H121" s="220">
        <f t="shared" si="7"/>
        <v>-61.33</v>
      </c>
      <c r="I121" s="221">
        <f>IF(A121="Total",VLOOKUP(B121,CORRESPONDANCE[#All],2,FALSE),I122)</f>
        <v>27</v>
      </c>
      <c r="J121" s="222" t="str">
        <f t="shared" si="4"/>
        <v>7</v>
      </c>
      <c r="K121" s="44" t="str">
        <f t="shared" si="5"/>
        <v>R314 - 77110000</v>
      </c>
      <c r="L121" s="44" t="str">
        <f>+VLOOKUP(K121,TL[],4,FALSE)</f>
        <v>22</v>
      </c>
    </row>
    <row r="122" spans="1:12" x14ac:dyDescent="0.2">
      <c r="A122" t="s">
        <v>197</v>
      </c>
      <c r="B122" t="s">
        <v>2583</v>
      </c>
      <c r="C122">
        <v>780.4</v>
      </c>
      <c r="D122" t="s">
        <v>6961</v>
      </c>
      <c r="E122">
        <v>780.4</v>
      </c>
      <c r="F122" t="s">
        <v>6961</v>
      </c>
      <c r="G122" s="220">
        <f t="shared" si="6"/>
        <v>780.4</v>
      </c>
      <c r="H122" s="220">
        <f t="shared" si="7"/>
        <v>780.4</v>
      </c>
      <c r="I122" s="221">
        <f>IF(A122="Total",VLOOKUP(B122,CORRESPONDANCE[#All],2,FALSE),I123)</f>
        <v>27</v>
      </c>
      <c r="J122" s="222" t="str">
        <f t="shared" si="4"/>
        <v>T</v>
      </c>
      <c r="K122" s="44" t="str">
        <f t="shared" si="5"/>
        <v>R314 - Total</v>
      </c>
      <c r="L122" s="44" t="e">
        <f>+VLOOKUP(K122,TL[],4,FALSE)</f>
        <v>#N/A</v>
      </c>
    </row>
    <row r="123" spans="1:12" x14ac:dyDescent="0.2">
      <c r="A123" t="s">
        <v>2709</v>
      </c>
      <c r="B123" t="s">
        <v>1163</v>
      </c>
      <c r="C123">
        <v>53454.080000000002</v>
      </c>
      <c r="D123" t="s">
        <v>6961</v>
      </c>
      <c r="E123">
        <v>53454.080000000002</v>
      </c>
      <c r="F123" t="s">
        <v>6961</v>
      </c>
      <c r="G123" s="220">
        <f t="shared" si="6"/>
        <v>53454.080000000002</v>
      </c>
      <c r="H123" s="220">
        <f t="shared" si="7"/>
        <v>53454.080000000002</v>
      </c>
      <c r="I123" s="221">
        <f>IF(A123="Total",VLOOKUP(B123,CORRESPONDANCE[#All],2,FALSE),I124)</f>
        <v>29</v>
      </c>
      <c r="J123" s="222" t="str">
        <f t="shared" si="4"/>
        <v>6</v>
      </c>
      <c r="K123" s="44" t="str">
        <f t="shared" si="5"/>
        <v>R314 - 61320000</v>
      </c>
      <c r="L123" s="44" t="str">
        <f>+VLOOKUP(K123,TL[],4,FALSE)</f>
        <v>30</v>
      </c>
    </row>
    <row r="124" spans="1:12" x14ac:dyDescent="0.2">
      <c r="A124" t="s">
        <v>197</v>
      </c>
      <c r="B124" t="s">
        <v>2584</v>
      </c>
      <c r="C124">
        <v>53454.080000000002</v>
      </c>
      <c r="D124" t="s">
        <v>6961</v>
      </c>
      <c r="E124">
        <v>53454.080000000002</v>
      </c>
      <c r="F124" t="s">
        <v>6961</v>
      </c>
      <c r="G124" s="220">
        <f t="shared" si="6"/>
        <v>53454.080000000002</v>
      </c>
      <c r="H124" s="220">
        <f t="shared" si="7"/>
        <v>53454.080000000002</v>
      </c>
      <c r="I124" s="221">
        <f>IF(A124="Total",VLOOKUP(B124,CORRESPONDANCE[#All],2,FALSE),I125)</f>
        <v>29</v>
      </c>
      <c r="J124" s="222" t="str">
        <f t="shared" si="4"/>
        <v>T</v>
      </c>
      <c r="K124" s="44" t="str">
        <f t="shared" si="5"/>
        <v>R314 - Total</v>
      </c>
      <c r="L124" s="44" t="e">
        <f>+VLOOKUP(K124,TL[],4,FALSE)</f>
        <v>#N/A</v>
      </c>
    </row>
    <row r="125" spans="1:12" x14ac:dyDescent="0.2">
      <c r="A125" t="s">
        <v>2710</v>
      </c>
      <c r="B125" t="s">
        <v>1255</v>
      </c>
      <c r="C125" t="s">
        <v>6961</v>
      </c>
      <c r="D125">
        <v>431.14</v>
      </c>
      <c r="E125" t="s">
        <v>6961</v>
      </c>
      <c r="F125">
        <v>431.14</v>
      </c>
      <c r="G125" s="220">
        <f t="shared" si="6"/>
        <v>-431.14</v>
      </c>
      <c r="H125" s="220">
        <f t="shared" si="7"/>
        <v>-431.14</v>
      </c>
      <c r="I125" s="221">
        <f>IF(A125="Total",VLOOKUP(B125,CORRESPONDANCE[#All],2,FALSE),I126)</f>
        <v>31</v>
      </c>
      <c r="J125" s="222" t="str">
        <f t="shared" si="4"/>
        <v>6</v>
      </c>
      <c r="K125" s="44" t="str">
        <f t="shared" si="5"/>
        <v>R314 - 65120000</v>
      </c>
      <c r="L125" s="44" t="str">
        <f>+VLOOKUP(K125,TL[],4,FALSE)</f>
        <v>30</v>
      </c>
    </row>
    <row r="126" spans="1:12" x14ac:dyDescent="0.2">
      <c r="A126" t="s">
        <v>2711</v>
      </c>
      <c r="B126" t="s">
        <v>277</v>
      </c>
      <c r="C126" t="s">
        <v>6961</v>
      </c>
      <c r="D126">
        <v>129.94999999999999</v>
      </c>
      <c r="E126" t="s">
        <v>6961</v>
      </c>
      <c r="F126">
        <v>129.94999999999999</v>
      </c>
      <c r="G126" s="220">
        <f t="shared" si="6"/>
        <v>-129.94999999999999</v>
      </c>
      <c r="H126" s="220">
        <f t="shared" si="7"/>
        <v>-129.94999999999999</v>
      </c>
      <c r="I126" s="221">
        <f>IF(A126="Total",VLOOKUP(B126,CORRESPONDANCE[#All],2,FALSE),I127)</f>
        <v>31</v>
      </c>
      <c r="J126" s="222" t="str">
        <f t="shared" si="4"/>
        <v>6</v>
      </c>
      <c r="K126" s="44" t="str">
        <f t="shared" si="5"/>
        <v>R314 - 65121000</v>
      </c>
      <c r="L126" s="44" t="str">
        <f>+VLOOKUP(K126,TL[],4,FALSE)</f>
        <v>31</v>
      </c>
    </row>
    <row r="127" spans="1:12" x14ac:dyDescent="0.2">
      <c r="A127" t="s">
        <v>197</v>
      </c>
      <c r="B127" t="s">
        <v>2585</v>
      </c>
      <c r="C127" t="s">
        <v>6961</v>
      </c>
      <c r="D127">
        <v>561.09</v>
      </c>
      <c r="E127" t="s">
        <v>6961</v>
      </c>
      <c r="F127">
        <v>561.09</v>
      </c>
      <c r="G127" s="220">
        <f t="shared" si="6"/>
        <v>-561.09</v>
      </c>
      <c r="H127" s="220">
        <f t="shared" si="7"/>
        <v>-561.09</v>
      </c>
      <c r="I127" s="221">
        <f>IF(A127="Total",VLOOKUP(B127,CORRESPONDANCE[#All],2,FALSE),I128)</f>
        <v>31</v>
      </c>
      <c r="J127" s="222" t="str">
        <f t="shared" si="4"/>
        <v>T</v>
      </c>
      <c r="K127" s="44" t="str">
        <f t="shared" si="5"/>
        <v>R314 - Total</v>
      </c>
      <c r="L127" s="44" t="e">
        <f>+VLOOKUP(K127,TL[],4,FALSE)</f>
        <v>#N/A</v>
      </c>
    </row>
    <row r="128" spans="1:12" x14ac:dyDescent="0.2">
      <c r="A128" t="s">
        <v>2712</v>
      </c>
      <c r="B128" t="s">
        <v>1178</v>
      </c>
      <c r="C128">
        <v>349</v>
      </c>
      <c r="D128" t="s">
        <v>6961</v>
      </c>
      <c r="E128">
        <v>349</v>
      </c>
      <c r="F128" t="s">
        <v>6961</v>
      </c>
      <c r="G128" s="220">
        <f t="shared" si="6"/>
        <v>349</v>
      </c>
      <c r="H128" s="220">
        <f t="shared" si="7"/>
        <v>349</v>
      </c>
      <c r="I128" s="221">
        <f>IF(A128="Total",VLOOKUP(B128,CORRESPONDANCE[#All],2,FALSE),I129)</f>
        <v>33</v>
      </c>
      <c r="J128" s="222" t="str">
        <f t="shared" si="4"/>
        <v>6</v>
      </c>
      <c r="K128" s="44" t="str">
        <f t="shared" si="5"/>
        <v>R314 - 61410000</v>
      </c>
      <c r="L128" s="44" t="str">
        <f>+VLOOKUP(K128,TL[],4,FALSE)</f>
        <v>34</v>
      </c>
    </row>
    <row r="129" spans="1:12" x14ac:dyDescent="0.2">
      <c r="A129" t="s">
        <v>197</v>
      </c>
      <c r="B129" t="s">
        <v>2586</v>
      </c>
      <c r="C129">
        <v>349</v>
      </c>
      <c r="D129" t="s">
        <v>6961</v>
      </c>
      <c r="E129">
        <v>349</v>
      </c>
      <c r="F129" t="s">
        <v>6961</v>
      </c>
      <c r="G129" s="220">
        <f t="shared" si="6"/>
        <v>349</v>
      </c>
      <c r="H129" s="220">
        <f t="shared" si="7"/>
        <v>349</v>
      </c>
      <c r="I129" s="221">
        <f>IF(A129="Total",VLOOKUP(B129,CORRESPONDANCE[#All],2,FALSE),I130)</f>
        <v>33</v>
      </c>
      <c r="J129" s="222" t="str">
        <f t="shared" si="4"/>
        <v>T</v>
      </c>
      <c r="K129" s="44" t="str">
        <f t="shared" si="5"/>
        <v>R314 - Total</v>
      </c>
      <c r="L129" s="44" t="e">
        <f>+VLOOKUP(K129,TL[],4,FALSE)</f>
        <v>#N/A</v>
      </c>
    </row>
    <row r="130" spans="1:12" x14ac:dyDescent="0.2">
      <c r="A130" t="s">
        <v>2713</v>
      </c>
      <c r="B130" t="s">
        <v>276</v>
      </c>
      <c r="C130">
        <v>16197.51</v>
      </c>
      <c r="D130" t="s">
        <v>6961</v>
      </c>
      <c r="E130">
        <v>16197.51</v>
      </c>
      <c r="F130" t="s">
        <v>6961</v>
      </c>
      <c r="G130" s="220">
        <f t="shared" si="6"/>
        <v>16197.51</v>
      </c>
      <c r="H130" s="220">
        <f t="shared" si="7"/>
        <v>16197.51</v>
      </c>
      <c r="I130" s="221">
        <f>IF(A130="Total",VLOOKUP(B130,CORRESPONDANCE[#All],2,FALSE),I131)</f>
        <v>34</v>
      </c>
      <c r="J130" s="222" t="str">
        <f t="shared" si="4"/>
        <v>6</v>
      </c>
      <c r="K130" s="44" t="str">
        <f t="shared" si="5"/>
        <v>R314 - 65100100</v>
      </c>
      <c r="L130" s="44" t="str">
        <f>+VLOOKUP(K130,TL[],4,FALSE)</f>
        <v>31</v>
      </c>
    </row>
    <row r="131" spans="1:12" x14ac:dyDescent="0.2">
      <c r="A131" t="s">
        <v>197</v>
      </c>
      <c r="B131" t="s">
        <v>2588</v>
      </c>
      <c r="C131">
        <v>16197.51</v>
      </c>
      <c r="D131" t="s">
        <v>6961</v>
      </c>
      <c r="E131">
        <v>16197.51</v>
      </c>
      <c r="F131" t="s">
        <v>6961</v>
      </c>
      <c r="G131" s="220">
        <f t="shared" si="6"/>
        <v>16197.51</v>
      </c>
      <c r="H131" s="220">
        <f t="shared" si="7"/>
        <v>16197.51</v>
      </c>
      <c r="I131" s="221">
        <f>IF(A131="Total",VLOOKUP(B131,CORRESPONDANCE[#All],2,FALSE),I132)</f>
        <v>34</v>
      </c>
      <c r="J131" s="222" t="str">
        <f t="shared" ref="J131:J171" si="8">LEFT(A131,1)</f>
        <v>T</v>
      </c>
      <c r="K131" s="44" t="str">
        <f t="shared" ref="K131:K171" si="9">"R314"&amp;" - "&amp;A131</f>
        <v>R314 - Total</v>
      </c>
      <c r="L131" s="44" t="e">
        <f>+VLOOKUP(K131,TL[],4,FALSE)</f>
        <v>#N/A</v>
      </c>
    </row>
    <row r="132" spans="1:12" x14ac:dyDescent="0.2">
      <c r="A132" t="s">
        <v>2714</v>
      </c>
      <c r="B132" t="s">
        <v>1203</v>
      </c>
      <c r="C132">
        <v>860</v>
      </c>
      <c r="D132" t="s">
        <v>6961</v>
      </c>
      <c r="E132">
        <v>860</v>
      </c>
      <c r="F132" t="s">
        <v>6961</v>
      </c>
      <c r="G132" s="220">
        <f t="shared" si="6"/>
        <v>860</v>
      </c>
      <c r="H132" s="220">
        <f t="shared" si="7"/>
        <v>860</v>
      </c>
      <c r="I132" s="221">
        <f>IF(A132="Total",VLOOKUP(B132,CORRESPONDANCE[#All],2,FALSE),I133)</f>
        <v>35</v>
      </c>
      <c r="J132" s="222" t="str">
        <f t="shared" si="8"/>
        <v>6</v>
      </c>
      <c r="K132" s="44" t="str">
        <f t="shared" si="9"/>
        <v>R314 - 62260000</v>
      </c>
      <c r="L132" s="44" t="str">
        <f>+VLOOKUP(K132,TL[],4,FALSE)</f>
        <v>32</v>
      </c>
    </row>
    <row r="133" spans="1:12" x14ac:dyDescent="0.2">
      <c r="A133" t="s">
        <v>2715</v>
      </c>
      <c r="B133" t="s">
        <v>162</v>
      </c>
      <c r="C133">
        <v>42</v>
      </c>
      <c r="D133" t="s">
        <v>6961</v>
      </c>
      <c r="E133">
        <v>42</v>
      </c>
      <c r="F133" t="s">
        <v>6961</v>
      </c>
      <c r="G133" s="220">
        <f t="shared" si="6"/>
        <v>42</v>
      </c>
      <c r="H133" s="220">
        <f t="shared" si="7"/>
        <v>42</v>
      </c>
      <c r="I133" s="221">
        <f>IF(A133="Total",VLOOKUP(B133,CORRESPONDANCE[#All],2,FALSE),I134)</f>
        <v>35</v>
      </c>
      <c r="J133" s="222" t="str">
        <f t="shared" si="8"/>
        <v>6</v>
      </c>
      <c r="K133" s="44" t="str">
        <f t="shared" si="9"/>
        <v>R314 - 62261000</v>
      </c>
      <c r="L133" s="44" t="str">
        <f>+VLOOKUP(K133,TL[],4,FALSE)</f>
        <v>32</v>
      </c>
    </row>
    <row r="134" spans="1:12" x14ac:dyDescent="0.2">
      <c r="A134" t="s">
        <v>6155</v>
      </c>
      <c r="B134" t="s">
        <v>1204</v>
      </c>
      <c r="C134">
        <v>450</v>
      </c>
      <c r="D134" t="s">
        <v>6961</v>
      </c>
      <c r="E134">
        <v>450</v>
      </c>
      <c r="F134" t="s">
        <v>6961</v>
      </c>
      <c r="G134" s="220">
        <f t="shared" ref="G134:G171" si="10">SUM(C134)-SUM(D134)</f>
        <v>450</v>
      </c>
      <c r="H134" s="220">
        <f t="shared" ref="H134:H171" si="11">SUM(E134)-SUM(F134)</f>
        <v>450</v>
      </c>
      <c r="I134" s="221">
        <f>IF(A134="Total",VLOOKUP(B134,CORRESPONDANCE[#All],2,FALSE),I135)</f>
        <v>35</v>
      </c>
      <c r="J134" s="222" t="str">
        <f t="shared" si="8"/>
        <v>6</v>
      </c>
      <c r="K134" s="44" t="str">
        <f t="shared" si="9"/>
        <v>R314 - 62265000</v>
      </c>
      <c r="L134" s="44" t="str">
        <f>+VLOOKUP(K134,TL[],4,FALSE)</f>
        <v>32</v>
      </c>
    </row>
    <row r="135" spans="1:12" x14ac:dyDescent="0.2">
      <c r="A135" t="s">
        <v>6156</v>
      </c>
      <c r="B135" t="s">
        <v>1205</v>
      </c>
      <c r="C135">
        <v>238.68</v>
      </c>
      <c r="D135" t="s">
        <v>6961</v>
      </c>
      <c r="E135">
        <v>238.68</v>
      </c>
      <c r="F135" t="s">
        <v>6961</v>
      </c>
      <c r="G135" s="220">
        <f t="shared" si="10"/>
        <v>238.68</v>
      </c>
      <c r="H135" s="220">
        <f t="shared" si="11"/>
        <v>238.68</v>
      </c>
      <c r="I135" s="221">
        <f>IF(A135="Total",VLOOKUP(B135,CORRESPONDANCE[#All],2,FALSE),I136)</f>
        <v>35</v>
      </c>
      <c r="J135" s="222" t="str">
        <f t="shared" si="8"/>
        <v>6</v>
      </c>
      <c r="K135" s="44" t="str">
        <f t="shared" si="9"/>
        <v>R314 - 62266000</v>
      </c>
      <c r="L135" s="44" t="str">
        <f>+VLOOKUP(K135,TL[],4,FALSE)</f>
        <v>32</v>
      </c>
    </row>
    <row r="136" spans="1:12" x14ac:dyDescent="0.2">
      <c r="A136" t="s">
        <v>197</v>
      </c>
      <c r="B136" t="s">
        <v>2591</v>
      </c>
      <c r="C136">
        <v>1590.68</v>
      </c>
      <c r="D136" t="s">
        <v>6961</v>
      </c>
      <c r="E136">
        <v>1590.68</v>
      </c>
      <c r="F136" t="s">
        <v>6961</v>
      </c>
      <c r="G136" s="220">
        <f t="shared" si="10"/>
        <v>1590.68</v>
      </c>
      <c r="H136" s="220">
        <f t="shared" si="11"/>
        <v>1590.68</v>
      </c>
      <c r="I136" s="221">
        <f>IF(A136="Total",VLOOKUP(B136,CORRESPONDANCE[#All],2,FALSE),I137)</f>
        <v>35</v>
      </c>
      <c r="J136" s="222" t="str">
        <f t="shared" si="8"/>
        <v>T</v>
      </c>
      <c r="K136" s="44" t="str">
        <f t="shared" si="9"/>
        <v>R314 - Total</v>
      </c>
      <c r="L136" s="44" t="e">
        <f>+VLOOKUP(K136,TL[],4,FALSE)</f>
        <v>#N/A</v>
      </c>
    </row>
    <row r="137" spans="1:12" x14ac:dyDescent="0.2">
      <c r="A137" t="s">
        <v>2716</v>
      </c>
      <c r="B137" t="s">
        <v>1197</v>
      </c>
      <c r="C137">
        <v>1850</v>
      </c>
      <c r="D137" t="s">
        <v>6961</v>
      </c>
      <c r="E137">
        <v>1850</v>
      </c>
      <c r="F137" t="s">
        <v>6961</v>
      </c>
      <c r="G137" s="220">
        <f t="shared" si="10"/>
        <v>1850</v>
      </c>
      <c r="H137" s="220">
        <f t="shared" si="11"/>
        <v>1850</v>
      </c>
      <c r="I137" s="221">
        <f>IF(A137="Total",VLOOKUP(B137,CORRESPONDANCE[#All],2,FALSE),I138)</f>
        <v>36</v>
      </c>
      <c r="J137" s="222" t="str">
        <f t="shared" si="8"/>
        <v>6</v>
      </c>
      <c r="K137" s="44" t="str">
        <f t="shared" si="9"/>
        <v>R314 - 61600100</v>
      </c>
      <c r="L137" s="44" t="str">
        <f>+VLOOKUP(K137,TL[],4,FALSE)</f>
        <v>33</v>
      </c>
    </row>
    <row r="138" spans="1:12" x14ac:dyDescent="0.2">
      <c r="A138" t="s">
        <v>2731</v>
      </c>
      <c r="B138" t="s">
        <v>1538</v>
      </c>
      <c r="C138">
        <v>68</v>
      </c>
      <c r="D138" t="s">
        <v>6961</v>
      </c>
      <c r="E138">
        <v>68</v>
      </c>
      <c r="F138" t="s">
        <v>6961</v>
      </c>
      <c r="G138" s="220">
        <f t="shared" si="10"/>
        <v>68</v>
      </c>
      <c r="H138" s="220">
        <f t="shared" si="11"/>
        <v>68</v>
      </c>
      <c r="I138" s="221">
        <f>IF(A138="Total",VLOOKUP(B138,CORRESPONDANCE[#All],2,FALSE),I139)</f>
        <v>36</v>
      </c>
      <c r="J138" s="222" t="str">
        <f t="shared" si="8"/>
        <v>6</v>
      </c>
      <c r="K138" s="44" t="str">
        <f t="shared" si="9"/>
        <v>R314 - 61600200</v>
      </c>
      <c r="L138" s="44" t="str">
        <f>+VLOOKUP(K138,TL[],4,FALSE)</f>
        <v>33</v>
      </c>
    </row>
    <row r="139" spans="1:12" x14ac:dyDescent="0.2">
      <c r="A139" t="s">
        <v>3618</v>
      </c>
      <c r="B139" t="s">
        <v>217</v>
      </c>
      <c r="C139">
        <v>20</v>
      </c>
      <c r="D139" t="s">
        <v>6961</v>
      </c>
      <c r="E139">
        <v>20</v>
      </c>
      <c r="F139" t="s">
        <v>6961</v>
      </c>
      <c r="G139" s="220">
        <f t="shared" si="10"/>
        <v>20</v>
      </c>
      <c r="H139" s="220">
        <f t="shared" si="11"/>
        <v>20</v>
      </c>
      <c r="I139" s="221">
        <f>IF(A139="Total",VLOOKUP(B139,CORRESPONDANCE[#All],2,FALSE),I140)</f>
        <v>36</v>
      </c>
      <c r="J139" s="222" t="str">
        <f t="shared" si="8"/>
        <v>6</v>
      </c>
      <c r="K139" s="44" t="str">
        <f t="shared" si="9"/>
        <v>R314 - 61600300</v>
      </c>
      <c r="L139" s="44" t="str">
        <f>+VLOOKUP(K139,TL[],4,FALSE)</f>
        <v>33</v>
      </c>
    </row>
    <row r="140" spans="1:12" x14ac:dyDescent="0.2">
      <c r="A140" t="s">
        <v>3621</v>
      </c>
      <c r="B140" t="s">
        <v>1199</v>
      </c>
      <c r="C140">
        <v>28</v>
      </c>
      <c r="D140" t="s">
        <v>6961</v>
      </c>
      <c r="E140">
        <v>28</v>
      </c>
      <c r="F140" t="s">
        <v>6961</v>
      </c>
      <c r="G140" s="220">
        <f t="shared" si="10"/>
        <v>28</v>
      </c>
      <c r="H140" s="220">
        <f t="shared" si="11"/>
        <v>28</v>
      </c>
      <c r="I140" s="221">
        <f>IF(A140="Total",VLOOKUP(B140,CORRESPONDANCE[#All],2,FALSE),I141)</f>
        <v>36</v>
      </c>
      <c r="J140" s="222" t="str">
        <f t="shared" si="8"/>
        <v>6</v>
      </c>
      <c r="K140" s="44" t="str">
        <f t="shared" si="9"/>
        <v>R314 - 61600600</v>
      </c>
      <c r="L140" s="44" t="str">
        <f>+VLOOKUP(K140,TL[],4,FALSE)</f>
        <v>33</v>
      </c>
    </row>
    <row r="141" spans="1:12" x14ac:dyDescent="0.2">
      <c r="A141" t="s">
        <v>197</v>
      </c>
      <c r="B141" t="s">
        <v>2592</v>
      </c>
      <c r="C141">
        <v>1966</v>
      </c>
      <c r="D141" t="s">
        <v>6961</v>
      </c>
      <c r="E141">
        <v>1966</v>
      </c>
      <c r="F141" t="s">
        <v>6961</v>
      </c>
      <c r="G141" s="220">
        <f t="shared" si="10"/>
        <v>1966</v>
      </c>
      <c r="H141" s="220">
        <f t="shared" si="11"/>
        <v>1966</v>
      </c>
      <c r="I141" s="221">
        <f>IF(A141="Total",VLOOKUP(B141,CORRESPONDANCE[#All],2,FALSE),I142)</f>
        <v>36</v>
      </c>
      <c r="J141" s="222" t="str">
        <f t="shared" si="8"/>
        <v>T</v>
      </c>
      <c r="K141" s="44" t="str">
        <f t="shared" si="9"/>
        <v>R314 - Total</v>
      </c>
      <c r="L141" s="44" t="e">
        <f>+VLOOKUP(K141,TL[],4,FALSE)</f>
        <v>#N/A</v>
      </c>
    </row>
    <row r="142" spans="1:12" x14ac:dyDescent="0.2">
      <c r="A142" t="s">
        <v>2717</v>
      </c>
      <c r="B142" t="s">
        <v>1227</v>
      </c>
      <c r="C142">
        <v>727</v>
      </c>
      <c r="D142" t="s">
        <v>6961</v>
      </c>
      <c r="E142">
        <v>727</v>
      </c>
      <c r="F142" t="s">
        <v>6961</v>
      </c>
      <c r="G142" s="220">
        <f t="shared" si="10"/>
        <v>727</v>
      </c>
      <c r="H142" s="220">
        <f t="shared" si="11"/>
        <v>727</v>
      </c>
      <c r="I142" s="221">
        <f>IF(A142="Total",VLOOKUP(B142,CORRESPONDANCE[#All],2,FALSE),I143)</f>
        <v>37</v>
      </c>
      <c r="J142" s="222" t="str">
        <f t="shared" si="8"/>
        <v>6</v>
      </c>
      <c r="K142" s="44" t="str">
        <f t="shared" si="9"/>
        <v>R314 - 63330000</v>
      </c>
      <c r="L142" s="44" t="str">
        <f>+VLOOKUP(K142,TL[],4,FALSE)</f>
        <v>34</v>
      </c>
    </row>
    <row r="143" spans="1:12" x14ac:dyDescent="0.2">
      <c r="A143" t="s">
        <v>2718</v>
      </c>
      <c r="B143" t="s">
        <v>307</v>
      </c>
      <c r="C143">
        <v>503.05</v>
      </c>
      <c r="D143" t="s">
        <v>6961</v>
      </c>
      <c r="E143">
        <v>503.05</v>
      </c>
      <c r="F143" t="s">
        <v>6961</v>
      </c>
      <c r="G143" s="220">
        <f t="shared" si="10"/>
        <v>503.05</v>
      </c>
      <c r="H143" s="220">
        <f t="shared" si="11"/>
        <v>503.05</v>
      </c>
      <c r="I143" s="221">
        <f>IF(A143="Total",VLOOKUP(B143,CORRESPONDANCE[#All],2,FALSE),I144)</f>
        <v>37</v>
      </c>
      <c r="J143" s="222" t="str">
        <f t="shared" si="8"/>
        <v>6</v>
      </c>
      <c r="K143" s="44" t="str">
        <f t="shared" si="9"/>
        <v>R314 - 63350000</v>
      </c>
      <c r="L143" s="44" t="str">
        <f>+VLOOKUP(K143,TL[],4,FALSE)</f>
        <v>34</v>
      </c>
    </row>
    <row r="144" spans="1:12" x14ac:dyDescent="0.2">
      <c r="A144" t="s">
        <v>2719</v>
      </c>
      <c r="B144" t="s">
        <v>1229</v>
      </c>
      <c r="C144">
        <v>174</v>
      </c>
      <c r="D144" t="s">
        <v>6961</v>
      </c>
      <c r="E144">
        <v>174</v>
      </c>
      <c r="F144" t="s">
        <v>6961</v>
      </c>
      <c r="G144" s="220">
        <f t="shared" si="10"/>
        <v>174</v>
      </c>
      <c r="H144" s="220">
        <f t="shared" si="11"/>
        <v>174</v>
      </c>
      <c r="I144" s="221">
        <f>IF(A144="Total",VLOOKUP(B144,CORRESPONDANCE[#All],2,FALSE),I145)</f>
        <v>37</v>
      </c>
      <c r="J144" s="222" t="str">
        <f t="shared" si="8"/>
        <v>6</v>
      </c>
      <c r="K144" s="44" t="str">
        <f t="shared" si="9"/>
        <v>R314 - 63511100</v>
      </c>
      <c r="L144" s="44" t="str">
        <f>+VLOOKUP(K144,TL[],4,FALSE)</f>
        <v>34</v>
      </c>
    </row>
    <row r="145" spans="1:12" x14ac:dyDescent="0.2">
      <c r="A145" t="s">
        <v>2720</v>
      </c>
      <c r="B145" t="s">
        <v>1230</v>
      </c>
      <c r="C145">
        <v>580</v>
      </c>
      <c r="D145" t="s">
        <v>6961</v>
      </c>
      <c r="E145">
        <v>580</v>
      </c>
      <c r="F145" t="s">
        <v>6961</v>
      </c>
      <c r="G145" s="220">
        <f t="shared" si="10"/>
        <v>580</v>
      </c>
      <c r="H145" s="220">
        <f t="shared" si="11"/>
        <v>580</v>
      </c>
      <c r="I145" s="221">
        <f>IF(A145="Total",VLOOKUP(B145,CORRESPONDANCE[#All],2,FALSE),I146)</f>
        <v>37</v>
      </c>
      <c r="J145" s="222" t="str">
        <f t="shared" si="8"/>
        <v>6</v>
      </c>
      <c r="K145" s="44" t="str">
        <f t="shared" si="9"/>
        <v>R314 - 63511200</v>
      </c>
      <c r="L145" s="44" t="str">
        <f>+VLOOKUP(K145,TL[],4,FALSE)</f>
        <v>34</v>
      </c>
    </row>
    <row r="146" spans="1:12" x14ac:dyDescent="0.2">
      <c r="A146" t="s">
        <v>2722</v>
      </c>
      <c r="B146" t="s">
        <v>1077</v>
      </c>
      <c r="C146">
        <v>290</v>
      </c>
      <c r="D146" t="s">
        <v>6961</v>
      </c>
      <c r="E146">
        <v>290</v>
      </c>
      <c r="F146" t="s">
        <v>6961</v>
      </c>
      <c r="G146" s="220">
        <f t="shared" si="10"/>
        <v>290</v>
      </c>
      <c r="H146" s="220">
        <f t="shared" si="11"/>
        <v>290</v>
      </c>
      <c r="I146" s="221">
        <f>IF(A146="Total",VLOOKUP(B146,CORRESPONDANCE[#All],2,FALSE),I147)</f>
        <v>37</v>
      </c>
      <c r="J146" s="222" t="str">
        <f t="shared" si="8"/>
        <v>6</v>
      </c>
      <c r="K146" s="44" t="str">
        <f t="shared" si="9"/>
        <v>R314 - 63553000</v>
      </c>
      <c r="L146" s="44" t="str">
        <f>+VLOOKUP(K146,TL[],4,FALSE)</f>
        <v>34</v>
      </c>
    </row>
    <row r="147" spans="1:12" x14ac:dyDescent="0.2">
      <c r="A147" t="s">
        <v>2723</v>
      </c>
      <c r="B147" t="s">
        <v>1238</v>
      </c>
      <c r="C147">
        <v>2275</v>
      </c>
      <c r="D147" t="s">
        <v>6961</v>
      </c>
      <c r="E147">
        <v>2275</v>
      </c>
      <c r="F147" t="s">
        <v>6961</v>
      </c>
      <c r="G147" s="220">
        <f t="shared" si="10"/>
        <v>2275</v>
      </c>
      <c r="H147" s="220">
        <f t="shared" si="11"/>
        <v>2275</v>
      </c>
      <c r="I147" s="221">
        <f>IF(A147="Total",VLOOKUP(B147,CORRESPONDANCE[#All],2,FALSE),I148)</f>
        <v>37</v>
      </c>
      <c r="J147" s="222" t="str">
        <f t="shared" si="8"/>
        <v>6</v>
      </c>
      <c r="K147" s="44" t="str">
        <f t="shared" si="9"/>
        <v>R314 - 63730000</v>
      </c>
      <c r="L147" s="44" t="str">
        <f>+VLOOKUP(K147,TL[],4,FALSE)</f>
        <v>34</v>
      </c>
    </row>
    <row r="148" spans="1:12" x14ac:dyDescent="0.2">
      <c r="A148" t="s">
        <v>197</v>
      </c>
      <c r="B148" t="s">
        <v>2593</v>
      </c>
      <c r="C148">
        <v>4549.05</v>
      </c>
      <c r="D148" t="s">
        <v>6961</v>
      </c>
      <c r="E148">
        <v>4549.05</v>
      </c>
      <c r="F148" t="s">
        <v>6961</v>
      </c>
      <c r="G148" s="220">
        <f t="shared" si="10"/>
        <v>4549.05</v>
      </c>
      <c r="H148" s="220">
        <f t="shared" si="11"/>
        <v>4549.05</v>
      </c>
      <c r="I148" s="221">
        <f>IF(A148="Total",VLOOKUP(B148,CORRESPONDANCE[#All],2,FALSE),I149)</f>
        <v>37</v>
      </c>
      <c r="J148" s="222" t="str">
        <f t="shared" si="8"/>
        <v>T</v>
      </c>
      <c r="K148" s="44" t="str">
        <f t="shared" si="9"/>
        <v>R314 - Total</v>
      </c>
      <c r="L148" s="44" t="e">
        <f>+VLOOKUP(K148,TL[],4,FALSE)</f>
        <v>#N/A</v>
      </c>
    </row>
    <row r="149" spans="1:12" x14ac:dyDescent="0.2">
      <c r="A149" t="s">
        <v>3710</v>
      </c>
      <c r="B149" t="s">
        <v>312</v>
      </c>
      <c r="C149">
        <v>17300</v>
      </c>
      <c r="D149" t="s">
        <v>6961</v>
      </c>
      <c r="E149">
        <v>17300</v>
      </c>
      <c r="F149" t="s">
        <v>6961</v>
      </c>
      <c r="G149" s="220">
        <f t="shared" si="10"/>
        <v>17300</v>
      </c>
      <c r="H149" s="220">
        <f t="shared" si="11"/>
        <v>17300</v>
      </c>
      <c r="I149" s="221">
        <f>IF(A149="Total",VLOOKUP(B149,CORRESPONDANCE[#All],2,FALSE),I150)</f>
        <v>38</v>
      </c>
      <c r="J149" s="222" t="str">
        <f t="shared" si="8"/>
        <v>6</v>
      </c>
      <c r="K149" s="44" t="str">
        <f t="shared" si="9"/>
        <v>R314 - 68112000</v>
      </c>
      <c r="L149" s="44" t="str">
        <f>+VLOOKUP(K149,TL[],4,FALSE)</f>
        <v>36</v>
      </c>
    </row>
    <row r="150" spans="1:12" x14ac:dyDescent="0.2">
      <c r="A150" t="s">
        <v>197</v>
      </c>
      <c r="B150" t="s">
        <v>2594</v>
      </c>
      <c r="C150">
        <v>17300</v>
      </c>
      <c r="D150" t="s">
        <v>6961</v>
      </c>
      <c r="E150">
        <v>17300</v>
      </c>
      <c r="F150" t="s">
        <v>6961</v>
      </c>
      <c r="G150" s="220">
        <f t="shared" si="10"/>
        <v>17300</v>
      </c>
      <c r="H150" s="220">
        <f t="shared" si="11"/>
        <v>17300</v>
      </c>
      <c r="I150" s="221">
        <f>IF(A150="Total",VLOOKUP(B150,CORRESPONDANCE[#All],2,FALSE),I151)</f>
        <v>38</v>
      </c>
      <c r="J150" s="222" t="str">
        <f t="shared" si="8"/>
        <v>T</v>
      </c>
      <c r="K150" s="44" t="str">
        <f t="shared" si="9"/>
        <v>R314 - Total</v>
      </c>
      <c r="L150" s="44" t="e">
        <f>+VLOOKUP(K150,TL[],4,FALSE)</f>
        <v>#N/A</v>
      </c>
    </row>
    <row r="151" spans="1:12" x14ac:dyDescent="0.2">
      <c r="A151" t="s">
        <v>3573</v>
      </c>
      <c r="B151" t="s">
        <v>1531</v>
      </c>
      <c r="C151">
        <v>321.35000000000002</v>
      </c>
      <c r="D151" t="s">
        <v>6961</v>
      </c>
      <c r="E151">
        <v>321.35000000000002</v>
      </c>
      <c r="F151" t="s">
        <v>6961</v>
      </c>
      <c r="G151" s="220">
        <f t="shared" si="10"/>
        <v>321.35000000000002</v>
      </c>
      <c r="H151" s="220">
        <f t="shared" si="11"/>
        <v>321.35000000000002</v>
      </c>
      <c r="I151" s="221" t="e">
        <f>IF(A151="Total",VLOOKUP(B151,CORRESPONDANCE[#All],2,FALSE),#REF!)</f>
        <v>#REF!</v>
      </c>
      <c r="J151" s="222" t="str">
        <f t="shared" si="8"/>
        <v>6</v>
      </c>
      <c r="K151" s="44" t="str">
        <f t="shared" si="9"/>
        <v>R314 - 61352000</v>
      </c>
      <c r="L151" s="44" t="str">
        <f>+VLOOKUP(K151,TL[],4,FALSE)</f>
        <v>16</v>
      </c>
    </row>
    <row r="152" spans="1:12" x14ac:dyDescent="0.2">
      <c r="A152" t="s">
        <v>197</v>
      </c>
      <c r="B152" t="s">
        <v>3028</v>
      </c>
      <c r="C152">
        <v>321.35000000000002</v>
      </c>
      <c r="D152" t="s">
        <v>6961</v>
      </c>
      <c r="E152">
        <v>321.35000000000002</v>
      </c>
      <c r="F152" t="s">
        <v>6961</v>
      </c>
      <c r="G152" s="220">
        <f t="shared" si="10"/>
        <v>321.35000000000002</v>
      </c>
      <c r="H152" s="220">
        <f t="shared" si="11"/>
        <v>321.35000000000002</v>
      </c>
      <c r="I152" s="221">
        <f>IF(A152="Total",VLOOKUP(B152,CORRESPONDANCE[#All],2,FALSE),I153)</f>
        <v>39</v>
      </c>
      <c r="J152" s="222" t="str">
        <f t="shared" si="8"/>
        <v>T</v>
      </c>
      <c r="K152" s="44" t="str">
        <f t="shared" si="9"/>
        <v>R314 - Total</v>
      </c>
      <c r="L152" s="44" t="e">
        <f>+VLOOKUP(K152,TL[],4,FALSE)</f>
        <v>#N/A</v>
      </c>
    </row>
    <row r="153" spans="1:12" x14ac:dyDescent="0.2">
      <c r="A153" t="s">
        <v>6131</v>
      </c>
      <c r="B153" t="s">
        <v>1476</v>
      </c>
      <c r="C153">
        <v>3811</v>
      </c>
      <c r="D153" t="s">
        <v>6961</v>
      </c>
      <c r="E153">
        <v>3811</v>
      </c>
      <c r="F153" t="s">
        <v>6961</v>
      </c>
      <c r="G153" s="220">
        <f t="shared" si="10"/>
        <v>3811</v>
      </c>
      <c r="H153" s="220">
        <f t="shared" si="11"/>
        <v>3811</v>
      </c>
      <c r="I153" s="221">
        <f>IF(A153="Total",VLOOKUP(B153,CORRESPONDANCE[#All],2,FALSE),I154)</f>
        <v>40</v>
      </c>
      <c r="J153" s="222" t="str">
        <f t="shared" si="8"/>
        <v>6</v>
      </c>
      <c r="K153" s="44" t="str">
        <f t="shared" si="9"/>
        <v>R314 - 61353600</v>
      </c>
      <c r="L153" s="44" t="str">
        <f>+VLOOKUP(K153,TL[],4,FALSE)</f>
        <v>39</v>
      </c>
    </row>
    <row r="154" spans="1:12" x14ac:dyDescent="0.2">
      <c r="A154" t="s">
        <v>3620</v>
      </c>
      <c r="B154" t="s">
        <v>257</v>
      </c>
      <c r="C154">
        <v>177.85</v>
      </c>
      <c r="D154" t="s">
        <v>6961</v>
      </c>
      <c r="E154">
        <v>177.85</v>
      </c>
      <c r="F154" t="s">
        <v>6961</v>
      </c>
      <c r="G154" s="220">
        <f t="shared" si="10"/>
        <v>177.85</v>
      </c>
      <c r="H154" s="220">
        <f t="shared" si="11"/>
        <v>177.85</v>
      </c>
      <c r="I154" s="221">
        <f>IF(A154="Total",VLOOKUP(B154,CORRESPONDANCE[#All],2,FALSE),I155)</f>
        <v>40</v>
      </c>
      <c r="J154" s="222" t="str">
        <f t="shared" si="8"/>
        <v>6</v>
      </c>
      <c r="K154" s="44" t="str">
        <f t="shared" si="9"/>
        <v>R314 - 61600500</v>
      </c>
      <c r="L154" s="44" t="str">
        <f>+VLOOKUP(K154,TL[],4,FALSE)</f>
        <v>39</v>
      </c>
    </row>
    <row r="155" spans="1:12" x14ac:dyDescent="0.2">
      <c r="A155" t="s">
        <v>2721</v>
      </c>
      <c r="B155" t="s">
        <v>1073</v>
      </c>
      <c r="C155">
        <v>60</v>
      </c>
      <c r="D155" t="s">
        <v>6961</v>
      </c>
      <c r="E155">
        <v>60</v>
      </c>
      <c r="F155" t="s">
        <v>6961</v>
      </c>
      <c r="G155" s="220">
        <f t="shared" si="10"/>
        <v>60</v>
      </c>
      <c r="H155" s="220">
        <f t="shared" si="11"/>
        <v>60</v>
      </c>
      <c r="I155" s="221">
        <f>IF(A155="Total",VLOOKUP(B155,CORRESPONDANCE[#All],2,FALSE),I156)</f>
        <v>40</v>
      </c>
      <c r="J155" s="222" t="str">
        <f t="shared" si="8"/>
        <v>6</v>
      </c>
      <c r="K155" s="44" t="str">
        <f t="shared" si="9"/>
        <v>R314 - 63514000</v>
      </c>
      <c r="L155" s="44" t="str">
        <f>+VLOOKUP(K155,TL[],4,FALSE)</f>
        <v>34</v>
      </c>
    </row>
    <row r="156" spans="1:12" x14ac:dyDescent="0.2">
      <c r="A156" t="s">
        <v>3695</v>
      </c>
      <c r="B156" t="s">
        <v>306</v>
      </c>
      <c r="C156">
        <v>0.04</v>
      </c>
      <c r="D156" t="s">
        <v>6961</v>
      </c>
      <c r="E156">
        <v>0.04</v>
      </c>
      <c r="F156" t="s">
        <v>6961</v>
      </c>
      <c r="G156" s="220">
        <f t="shared" si="10"/>
        <v>0.04</v>
      </c>
      <c r="H156" s="220">
        <f t="shared" si="11"/>
        <v>0.04</v>
      </c>
      <c r="I156" s="221">
        <f>IF(A156="Total",VLOOKUP(B156,CORRESPONDANCE[#All],2,FALSE),I157)</f>
        <v>40</v>
      </c>
      <c r="J156" s="222" t="str">
        <f t="shared" si="8"/>
        <v>6</v>
      </c>
      <c r="K156" s="44" t="str">
        <f t="shared" si="9"/>
        <v>R314 - 65800000</v>
      </c>
      <c r="L156" s="44" t="str">
        <f>+VLOOKUP(K156,TL[],4,FALSE)</f>
        <v>39</v>
      </c>
    </row>
    <row r="157" spans="1:12" x14ac:dyDescent="0.2">
      <c r="A157" t="s">
        <v>197</v>
      </c>
      <c r="B157" t="s">
        <v>2603</v>
      </c>
      <c r="C157">
        <v>4048.89</v>
      </c>
      <c r="D157" t="s">
        <v>6961</v>
      </c>
      <c r="E157">
        <v>4048.89</v>
      </c>
      <c r="F157" t="s">
        <v>6961</v>
      </c>
      <c r="G157" s="220">
        <f t="shared" si="10"/>
        <v>4048.89</v>
      </c>
      <c r="H157" s="220">
        <f t="shared" si="11"/>
        <v>4048.89</v>
      </c>
      <c r="I157" s="221">
        <f>IF(A157="Total",VLOOKUP(B157,CORRESPONDANCE[#All],2,FALSE),I158)</f>
        <v>40</v>
      </c>
      <c r="J157" s="222" t="str">
        <f t="shared" si="8"/>
        <v>T</v>
      </c>
      <c r="K157" s="44" t="str">
        <f t="shared" si="9"/>
        <v>R314 - Total</v>
      </c>
      <c r="L157" s="44" t="e">
        <f>+VLOOKUP(K157,TL[],4,FALSE)</f>
        <v>#N/A</v>
      </c>
    </row>
    <row r="158" spans="1:12" x14ac:dyDescent="0.2">
      <c r="A158" t="s">
        <v>6186</v>
      </c>
      <c r="B158" t="s">
        <v>1257</v>
      </c>
      <c r="C158">
        <v>276.07</v>
      </c>
      <c r="D158" t="s">
        <v>6961</v>
      </c>
      <c r="E158">
        <v>276.07</v>
      </c>
      <c r="F158" t="s">
        <v>6961</v>
      </c>
      <c r="G158" s="220">
        <f t="shared" si="10"/>
        <v>276.07</v>
      </c>
      <c r="H158" s="220">
        <f t="shared" si="11"/>
        <v>276.07</v>
      </c>
      <c r="I158" s="221">
        <f>IF(A158="Total",VLOOKUP(B158,CORRESPONDANCE[#All],2,FALSE),I159)</f>
        <v>42</v>
      </c>
      <c r="J158" s="222" t="str">
        <f t="shared" si="8"/>
        <v>6</v>
      </c>
      <c r="K158" s="44" t="str">
        <f t="shared" si="9"/>
        <v>R314 - 66111000</v>
      </c>
      <c r="L158" s="44" t="str">
        <f>+VLOOKUP(K158,TL[],4,FALSE)</f>
        <v>37</v>
      </c>
    </row>
    <row r="159" spans="1:12" x14ac:dyDescent="0.2">
      <c r="A159" t="s">
        <v>197</v>
      </c>
      <c r="B159" t="s">
        <v>2604</v>
      </c>
      <c r="C159">
        <v>276.07</v>
      </c>
      <c r="D159" t="s">
        <v>6961</v>
      </c>
      <c r="E159">
        <v>276.07</v>
      </c>
      <c r="F159" t="s">
        <v>6961</v>
      </c>
      <c r="G159" s="220">
        <f t="shared" si="10"/>
        <v>276.07</v>
      </c>
      <c r="H159" s="220">
        <f t="shared" si="11"/>
        <v>276.07</v>
      </c>
      <c r="I159" s="221">
        <f>IF(A159="Total",VLOOKUP(B159,CORRESPONDANCE[#All],2,FALSE),I160)</f>
        <v>42</v>
      </c>
      <c r="J159" s="222" t="str">
        <f t="shared" si="8"/>
        <v>T</v>
      </c>
      <c r="K159" s="44" t="str">
        <f t="shared" si="9"/>
        <v>R314 - Total</v>
      </c>
      <c r="L159" s="44" t="e">
        <f>+VLOOKUP(K159,TL[],4,FALSE)</f>
        <v>#N/A</v>
      </c>
    </row>
    <row r="160" spans="1:12" x14ac:dyDescent="0.2">
      <c r="A160" t="s">
        <v>3659</v>
      </c>
      <c r="B160" t="s">
        <v>1225</v>
      </c>
      <c r="C160">
        <v>27219</v>
      </c>
      <c r="D160" t="s">
        <v>6961</v>
      </c>
      <c r="E160">
        <v>27219</v>
      </c>
      <c r="F160" t="s">
        <v>6961</v>
      </c>
      <c r="G160" s="220">
        <f t="shared" si="10"/>
        <v>27219</v>
      </c>
      <c r="H160" s="220">
        <f t="shared" si="11"/>
        <v>27219</v>
      </c>
      <c r="I160" s="221">
        <f>IF(A160="Total",VLOOKUP(B160,CORRESPONDANCE[#All],2,FALSE),I161)</f>
        <v>46</v>
      </c>
      <c r="J160" s="222" t="str">
        <f t="shared" si="8"/>
        <v>6</v>
      </c>
      <c r="K160" s="44" t="str">
        <f t="shared" si="9"/>
        <v>R314 - 62830000</v>
      </c>
      <c r="L160" s="44" t="str">
        <f>+VLOOKUP(K160,TL[],4,FALSE)</f>
        <v>51</v>
      </c>
    </row>
    <row r="161" spans="1:12" x14ac:dyDescent="0.2">
      <c r="A161" t="s">
        <v>2739</v>
      </c>
      <c r="B161" t="s">
        <v>2110</v>
      </c>
      <c r="C161">
        <v>833.33</v>
      </c>
      <c r="D161" t="s">
        <v>6961</v>
      </c>
      <c r="E161">
        <v>833.33</v>
      </c>
      <c r="F161" t="s">
        <v>6961</v>
      </c>
      <c r="G161" s="220">
        <f t="shared" si="10"/>
        <v>833.33</v>
      </c>
      <c r="H161" s="220">
        <f t="shared" si="11"/>
        <v>833.33</v>
      </c>
      <c r="I161" s="221">
        <f>IF(A161="Total",VLOOKUP(B161,CORRESPONDANCE[#All],2,FALSE),I162)</f>
        <v>46</v>
      </c>
      <c r="J161" s="222" t="str">
        <f t="shared" si="8"/>
        <v>6</v>
      </c>
      <c r="K161" s="44" t="str">
        <f t="shared" si="9"/>
        <v>R314 - 62850000</v>
      </c>
      <c r="L161" s="44" t="str">
        <f>+VLOOKUP(K161,TL[],4,FALSE)</f>
        <v>51</v>
      </c>
    </row>
    <row r="162" spans="1:12" x14ac:dyDescent="0.2">
      <c r="A162" t="s">
        <v>197</v>
      </c>
      <c r="B162" t="s">
        <v>2607</v>
      </c>
      <c r="C162">
        <v>28052.33</v>
      </c>
      <c r="D162" t="s">
        <v>6961</v>
      </c>
      <c r="E162">
        <v>28052.33</v>
      </c>
      <c r="F162" t="s">
        <v>6961</v>
      </c>
      <c r="G162" s="220">
        <f t="shared" si="10"/>
        <v>28052.33</v>
      </c>
      <c r="H162" s="220">
        <f t="shared" si="11"/>
        <v>28052.33</v>
      </c>
      <c r="I162" s="221">
        <f>IF(A162="Total",VLOOKUP(B162,CORRESPONDANCE[#All],2,FALSE),I163)</f>
        <v>46</v>
      </c>
      <c r="J162" s="222" t="str">
        <f t="shared" si="8"/>
        <v>T</v>
      </c>
      <c r="K162" s="44" t="str">
        <f t="shared" si="9"/>
        <v>R314 - Total</v>
      </c>
      <c r="L162" s="44" t="e">
        <f>+VLOOKUP(K162,TL[],4,FALSE)</f>
        <v>#N/A</v>
      </c>
    </row>
    <row r="163" spans="1:12" x14ac:dyDescent="0.2">
      <c r="A163" t="s">
        <v>2740</v>
      </c>
      <c r="B163" t="s">
        <v>256</v>
      </c>
      <c r="C163" t="s">
        <v>6961</v>
      </c>
      <c r="D163">
        <v>5414.25</v>
      </c>
      <c r="E163" t="s">
        <v>6961</v>
      </c>
      <c r="F163">
        <v>5414.25</v>
      </c>
      <c r="G163" s="220">
        <f t="shared" si="10"/>
        <v>-5414.25</v>
      </c>
      <c r="H163" s="220">
        <f t="shared" si="11"/>
        <v>-5414.25</v>
      </c>
      <c r="I163" s="221" t="str">
        <f>IF(A163="Total",VLOOKUP(B163,CORRESPONDANCE[#All],2,FALSE),I164)</f>
        <v>41.1</v>
      </c>
      <c r="J163" s="222" t="str">
        <f t="shared" si="8"/>
        <v>7</v>
      </c>
      <c r="K163" s="44" t="str">
        <f t="shared" si="9"/>
        <v>R314 - 70230000</v>
      </c>
      <c r="L163" s="44" t="str">
        <f>+VLOOKUP(K163,TL[],4,FALSE)</f>
        <v>60</v>
      </c>
    </row>
    <row r="164" spans="1:12" x14ac:dyDescent="0.2">
      <c r="A164" t="s">
        <v>3733</v>
      </c>
      <c r="B164" t="s">
        <v>1326</v>
      </c>
      <c r="C164" t="s">
        <v>6961</v>
      </c>
      <c r="D164">
        <v>321.44</v>
      </c>
      <c r="E164" t="s">
        <v>6961</v>
      </c>
      <c r="F164">
        <v>321.44</v>
      </c>
      <c r="G164" s="220">
        <f t="shared" si="10"/>
        <v>-321.44</v>
      </c>
      <c r="H164" s="220">
        <f t="shared" si="11"/>
        <v>-321.44</v>
      </c>
      <c r="I164" s="221" t="str">
        <f>IF(A164="Total",VLOOKUP(B164,CORRESPONDANCE[#All],2,FALSE),I165)</f>
        <v>41.1</v>
      </c>
      <c r="J164" s="222" t="str">
        <f t="shared" si="8"/>
        <v>7</v>
      </c>
      <c r="K164" s="44" t="str">
        <f t="shared" si="9"/>
        <v>R314 - 70850000</v>
      </c>
      <c r="L164" s="44" t="str">
        <f>+VLOOKUP(K164,TL[],4,FALSE)</f>
        <v>62</v>
      </c>
    </row>
    <row r="165" spans="1:12" x14ac:dyDescent="0.2">
      <c r="A165" t="s">
        <v>197</v>
      </c>
      <c r="B165" t="s">
        <v>2609</v>
      </c>
      <c r="C165" t="s">
        <v>6961</v>
      </c>
      <c r="D165">
        <v>5735.69</v>
      </c>
      <c r="E165" t="s">
        <v>6961</v>
      </c>
      <c r="F165">
        <v>5735.69</v>
      </c>
      <c r="G165" s="220">
        <f t="shared" si="10"/>
        <v>-5735.69</v>
      </c>
      <c r="H165" s="220">
        <f t="shared" si="11"/>
        <v>-5735.69</v>
      </c>
      <c r="I165" s="221" t="str">
        <f>IF(A165="Total",VLOOKUP(B165,CORRESPONDANCE[#All],2,FALSE),I166)</f>
        <v>41.1</v>
      </c>
      <c r="J165" s="222" t="str">
        <f t="shared" si="8"/>
        <v>T</v>
      </c>
      <c r="K165" s="44" t="str">
        <f t="shared" si="9"/>
        <v>R314 - Total</v>
      </c>
      <c r="L165" s="44" t="e">
        <f>+VLOOKUP(K165,TL[],4,FALSE)</f>
        <v>#N/A</v>
      </c>
    </row>
    <row r="166" spans="1:12" x14ac:dyDescent="0.2">
      <c r="A166" t="s">
        <v>2741</v>
      </c>
      <c r="B166" t="s">
        <v>268</v>
      </c>
      <c r="C166">
        <v>1650.6</v>
      </c>
      <c r="D166" t="s">
        <v>6961</v>
      </c>
      <c r="E166">
        <v>1650.6</v>
      </c>
      <c r="F166" t="s">
        <v>6961</v>
      </c>
      <c r="G166" s="220">
        <f t="shared" si="10"/>
        <v>1650.6</v>
      </c>
      <c r="H166" s="220">
        <f t="shared" si="11"/>
        <v>1650.6</v>
      </c>
      <c r="I166" s="221" t="str">
        <f>IF(A166="Total",VLOOKUP(B166,CORRESPONDANCE[#All],2,FALSE),I167)</f>
        <v>41.2</v>
      </c>
      <c r="J166" s="222" t="str">
        <f t="shared" si="8"/>
        <v>6</v>
      </c>
      <c r="K166" s="44" t="str">
        <f t="shared" si="9"/>
        <v>R314 - 60220200</v>
      </c>
      <c r="L166" s="44" t="str">
        <f>+VLOOKUP(K166,TL[],4,FALSE)</f>
        <v>62</v>
      </c>
    </row>
    <row r="167" spans="1:12" x14ac:dyDescent="0.2">
      <c r="A167" t="s">
        <v>2742</v>
      </c>
      <c r="B167" t="s">
        <v>1150</v>
      </c>
      <c r="C167" t="s">
        <v>6961</v>
      </c>
      <c r="D167">
        <v>641.17999999999995</v>
      </c>
      <c r="E167" t="s">
        <v>6961</v>
      </c>
      <c r="F167">
        <v>641.17999999999995</v>
      </c>
      <c r="G167" s="220">
        <f t="shared" si="10"/>
        <v>-641.17999999999995</v>
      </c>
      <c r="H167" s="220">
        <f t="shared" si="11"/>
        <v>-641.17999999999995</v>
      </c>
      <c r="I167" s="221" t="str">
        <f>IF(A167="Total",VLOOKUP(B167,CORRESPONDANCE[#All],2,FALSE),I168)</f>
        <v>41.2</v>
      </c>
      <c r="J167" s="222" t="str">
        <f t="shared" si="8"/>
        <v>6</v>
      </c>
      <c r="K167" s="44" t="str">
        <f t="shared" si="9"/>
        <v>R314 - 60320100</v>
      </c>
      <c r="L167" s="44" t="str">
        <f>+VLOOKUP(K167,TL[],4,FALSE)</f>
        <v>62</v>
      </c>
    </row>
    <row r="168" spans="1:12" x14ac:dyDescent="0.2">
      <c r="A168" t="s">
        <v>197</v>
      </c>
      <c r="B168" t="s">
        <v>2611</v>
      </c>
      <c r="C168">
        <v>1009.42</v>
      </c>
      <c r="D168" t="s">
        <v>6961</v>
      </c>
      <c r="E168">
        <v>1009.42</v>
      </c>
      <c r="F168" t="s">
        <v>6961</v>
      </c>
      <c r="G168" s="220">
        <f t="shared" si="10"/>
        <v>1009.42</v>
      </c>
      <c r="H168" s="220">
        <f t="shared" si="11"/>
        <v>1009.42</v>
      </c>
      <c r="I168" s="221" t="str">
        <f>IF(A168="Total",VLOOKUP(B168,CORRESPONDANCE[#All],2,FALSE),I169)</f>
        <v>41.2</v>
      </c>
      <c r="J168" s="222" t="str">
        <f t="shared" si="8"/>
        <v>T</v>
      </c>
      <c r="K168" s="44" t="str">
        <f t="shared" si="9"/>
        <v>R314 - Total</v>
      </c>
      <c r="L168" s="44" t="e">
        <f>+VLOOKUP(K168,TL[],4,FALSE)</f>
        <v>#N/A</v>
      </c>
    </row>
    <row r="169" spans="1:12" x14ac:dyDescent="0.2">
      <c r="A169" t="s">
        <v>6961</v>
      </c>
      <c r="B169" t="s">
        <v>2612</v>
      </c>
      <c r="C169">
        <v>361237.68</v>
      </c>
      <c r="D169">
        <v>344381.41</v>
      </c>
      <c r="E169">
        <v>361237.68</v>
      </c>
      <c r="F169">
        <v>344381.41</v>
      </c>
      <c r="G169" s="220">
        <f t="shared" si="10"/>
        <v>16856.270000000019</v>
      </c>
      <c r="H169" s="220">
        <f t="shared" si="11"/>
        <v>16856.270000000019</v>
      </c>
      <c r="I169" s="221">
        <f>IF(A169="Total",VLOOKUP(B169,CORRESPONDANCE[#All],2,FALSE),I170)</f>
        <v>0</v>
      </c>
      <c r="J169" s="222" t="str">
        <f t="shared" si="8"/>
        <v/>
      </c>
      <c r="K169" s="44" t="str">
        <f t="shared" si="9"/>
        <v xml:space="preserve">R314 - </v>
      </c>
      <c r="L169" s="44" t="e">
        <f>+VLOOKUP(K169,TL[],4,FALSE)</f>
        <v>#N/A</v>
      </c>
    </row>
    <row r="170" spans="1:12" x14ac:dyDescent="0.2">
      <c r="G170" s="220">
        <f t="shared" si="10"/>
        <v>0</v>
      </c>
      <c r="H170" s="220">
        <f t="shared" si="11"/>
        <v>0</v>
      </c>
      <c r="I170" s="221">
        <f>IF(A170="Total",VLOOKUP(B170,CORRESPONDANCE[#All],2,FALSE),I171)</f>
        <v>0</v>
      </c>
      <c r="J170" s="222" t="str">
        <f t="shared" si="8"/>
        <v/>
      </c>
      <c r="K170" s="44" t="str">
        <f t="shared" si="9"/>
        <v xml:space="preserve">R314 - </v>
      </c>
      <c r="L170" s="44" t="e">
        <f>+VLOOKUP(K170,TL[],4,FALSE)</f>
        <v>#N/A</v>
      </c>
    </row>
    <row r="171" spans="1:12" x14ac:dyDescent="0.2">
      <c r="G171" s="220">
        <f t="shared" si="10"/>
        <v>0</v>
      </c>
      <c r="H171" s="220">
        <f t="shared" si="11"/>
        <v>0</v>
      </c>
      <c r="I171" s="221">
        <f>IF(A171="Total",VLOOKUP(B171,CORRESPONDANCE[#All],2,FALSE),I172)</f>
        <v>0</v>
      </c>
      <c r="J171" s="222" t="str">
        <f t="shared" si="8"/>
        <v/>
      </c>
      <c r="K171" s="44" t="str">
        <f t="shared" si="9"/>
        <v xml:space="preserve">R314 - </v>
      </c>
      <c r="L171" s="44" t="e">
        <f>+VLOOKUP(K171,TL[],4,FALSE)</f>
        <v>#N/A</v>
      </c>
    </row>
    <row r="172" spans="1:12" x14ac:dyDescent="0.2">
      <c r="G172" s="220">
        <f t="shared" ref="G172:G199" si="12">SUM(C172)-SUM(D172)</f>
        <v>0</v>
      </c>
      <c r="H172" s="220">
        <f t="shared" ref="H172:H199" si="13">SUM(E172)-SUM(F172)</f>
        <v>0</v>
      </c>
      <c r="I172" s="221">
        <f>IF(A172="Total",VLOOKUP(B172,CORRESPONDANCE[#All],2,FALSE),I173)</f>
        <v>0</v>
      </c>
      <c r="J172" s="222" t="str">
        <f t="shared" ref="J172:J199" si="14">LEFT(A172,1)</f>
        <v/>
      </c>
      <c r="K172" s="44" t="str">
        <f t="shared" ref="K172:K199" si="15">"R314"&amp;" - "&amp;A172</f>
        <v xml:space="preserve">R314 - </v>
      </c>
      <c r="L172" s="44" t="e">
        <f>+VLOOKUP(K172,TL[],4,FALSE)</f>
        <v>#N/A</v>
      </c>
    </row>
    <row r="173" spans="1:12" x14ac:dyDescent="0.2">
      <c r="G173" s="220">
        <f t="shared" si="12"/>
        <v>0</v>
      </c>
      <c r="H173" s="220">
        <f t="shared" si="13"/>
        <v>0</v>
      </c>
      <c r="I173" s="221">
        <f>IF(A173="Total",VLOOKUP(B173,CORRESPONDANCE[#All],2,FALSE),I174)</f>
        <v>0</v>
      </c>
      <c r="J173" s="222" t="str">
        <f t="shared" si="14"/>
        <v/>
      </c>
      <c r="K173" s="44" t="str">
        <f t="shared" si="15"/>
        <v xml:space="preserve">R314 - </v>
      </c>
      <c r="L173" s="44" t="e">
        <f>+VLOOKUP(K173,TL[],4,FALSE)</f>
        <v>#N/A</v>
      </c>
    </row>
    <row r="174" spans="1:12" x14ac:dyDescent="0.2">
      <c r="G174" s="220">
        <f t="shared" si="12"/>
        <v>0</v>
      </c>
      <c r="H174" s="220">
        <f t="shared" si="13"/>
        <v>0</v>
      </c>
      <c r="I174" s="221">
        <f>IF(A174="Total",VLOOKUP(B174,CORRESPONDANCE[#All],2,FALSE),I175)</f>
        <v>0</v>
      </c>
      <c r="J174" s="222" t="str">
        <f t="shared" si="14"/>
        <v/>
      </c>
      <c r="K174" s="44" t="str">
        <f t="shared" si="15"/>
        <v xml:space="preserve">R314 - </v>
      </c>
      <c r="L174" s="44" t="e">
        <f>+VLOOKUP(K174,TL[],4,FALSE)</f>
        <v>#N/A</v>
      </c>
    </row>
    <row r="175" spans="1:12" x14ac:dyDescent="0.2">
      <c r="G175" s="220">
        <f t="shared" si="12"/>
        <v>0</v>
      </c>
      <c r="H175" s="220">
        <f t="shared" si="13"/>
        <v>0</v>
      </c>
      <c r="I175" s="221">
        <f>IF(A175="Total",VLOOKUP(B175,CORRESPONDANCE[#All],2,FALSE),I176)</f>
        <v>0</v>
      </c>
      <c r="J175" s="222" t="str">
        <f t="shared" si="14"/>
        <v/>
      </c>
      <c r="K175" s="44" t="str">
        <f t="shared" si="15"/>
        <v xml:space="preserve">R314 - </v>
      </c>
      <c r="L175" s="44" t="e">
        <f>+VLOOKUP(K175,TL[],4,FALSE)</f>
        <v>#N/A</v>
      </c>
    </row>
    <row r="176" spans="1:12" x14ac:dyDescent="0.2">
      <c r="G176" s="220">
        <f t="shared" si="12"/>
        <v>0</v>
      </c>
      <c r="H176" s="220">
        <f t="shared" si="13"/>
        <v>0</v>
      </c>
      <c r="I176" s="221">
        <f>IF(A176="Total",VLOOKUP(B176,CORRESPONDANCE[#All],2,FALSE),I177)</f>
        <v>0</v>
      </c>
      <c r="J176" s="222" t="str">
        <f t="shared" si="14"/>
        <v/>
      </c>
      <c r="K176" s="44" t="str">
        <f t="shared" si="15"/>
        <v xml:space="preserve">R314 - </v>
      </c>
      <c r="L176" s="44" t="e">
        <f>+VLOOKUP(K176,TL[],4,FALSE)</f>
        <v>#N/A</v>
      </c>
    </row>
    <row r="177" spans="7:12" x14ac:dyDescent="0.2">
      <c r="G177" s="220">
        <f t="shared" si="12"/>
        <v>0</v>
      </c>
      <c r="H177" s="220">
        <f t="shared" si="13"/>
        <v>0</v>
      </c>
      <c r="I177" s="221">
        <f>IF(A177="Total",VLOOKUP(B177,CORRESPONDANCE[#All],2,FALSE),I178)</f>
        <v>0</v>
      </c>
      <c r="J177" s="222" t="str">
        <f t="shared" si="14"/>
        <v/>
      </c>
      <c r="K177" s="44" t="str">
        <f t="shared" si="15"/>
        <v xml:space="preserve">R314 - </v>
      </c>
      <c r="L177" s="44" t="e">
        <f>+VLOOKUP(K177,TL[],4,FALSE)</f>
        <v>#N/A</v>
      </c>
    </row>
    <row r="178" spans="7:12" x14ac:dyDescent="0.2">
      <c r="G178" s="220">
        <f t="shared" si="12"/>
        <v>0</v>
      </c>
      <c r="H178" s="220">
        <f t="shared" si="13"/>
        <v>0</v>
      </c>
      <c r="I178" s="221">
        <f>IF(A178="Total",VLOOKUP(B178,CORRESPONDANCE[#All],2,FALSE),I179)</f>
        <v>0</v>
      </c>
      <c r="J178" s="222" t="str">
        <f t="shared" si="14"/>
        <v/>
      </c>
      <c r="K178" s="44" t="str">
        <f t="shared" si="15"/>
        <v xml:space="preserve">R314 - </v>
      </c>
      <c r="L178" s="44" t="e">
        <f>+VLOOKUP(K178,TL[],4,FALSE)</f>
        <v>#N/A</v>
      </c>
    </row>
    <row r="179" spans="7:12" x14ac:dyDescent="0.2">
      <c r="G179" s="220">
        <f t="shared" si="12"/>
        <v>0</v>
      </c>
      <c r="H179" s="220">
        <f t="shared" si="13"/>
        <v>0</v>
      </c>
      <c r="I179" s="221">
        <f>IF(A179="Total",VLOOKUP(B179,CORRESPONDANCE[#All],2,FALSE),I180)</f>
        <v>0</v>
      </c>
      <c r="J179" s="222" t="str">
        <f t="shared" si="14"/>
        <v/>
      </c>
      <c r="K179" s="44" t="str">
        <f t="shared" si="15"/>
        <v xml:space="preserve">R314 - </v>
      </c>
      <c r="L179" s="44" t="e">
        <f>+VLOOKUP(K179,TL[],4,FALSE)</f>
        <v>#N/A</v>
      </c>
    </row>
    <row r="180" spans="7:12" x14ac:dyDescent="0.2">
      <c r="G180" s="220">
        <f t="shared" si="12"/>
        <v>0</v>
      </c>
      <c r="H180" s="220">
        <f t="shared" si="13"/>
        <v>0</v>
      </c>
      <c r="I180" s="221">
        <f>IF(A180="Total",VLOOKUP(B180,CORRESPONDANCE[#All],2,FALSE),I181)</f>
        <v>0</v>
      </c>
      <c r="J180" s="222" t="str">
        <f t="shared" si="14"/>
        <v/>
      </c>
      <c r="K180" s="44" t="str">
        <f t="shared" si="15"/>
        <v xml:space="preserve">R314 - </v>
      </c>
      <c r="L180" s="44" t="e">
        <f>+VLOOKUP(K180,TL[],4,FALSE)</f>
        <v>#N/A</v>
      </c>
    </row>
    <row r="181" spans="7:12" x14ac:dyDescent="0.2">
      <c r="G181" s="220">
        <f t="shared" si="12"/>
        <v>0</v>
      </c>
      <c r="H181" s="220">
        <f t="shared" si="13"/>
        <v>0</v>
      </c>
      <c r="I181" s="221">
        <f>IF(A181="Total",VLOOKUP(B181,CORRESPONDANCE[#All],2,FALSE),I182)</f>
        <v>0</v>
      </c>
      <c r="J181" s="222" t="str">
        <f t="shared" si="14"/>
        <v/>
      </c>
      <c r="K181" s="44" t="str">
        <f t="shared" si="15"/>
        <v xml:space="preserve">R314 - </v>
      </c>
      <c r="L181" s="44" t="e">
        <f>+VLOOKUP(K181,TL[],4,FALSE)</f>
        <v>#N/A</v>
      </c>
    </row>
    <row r="182" spans="7:12" x14ac:dyDescent="0.2">
      <c r="G182" s="220">
        <f t="shared" si="12"/>
        <v>0</v>
      </c>
      <c r="H182" s="220">
        <f t="shared" si="13"/>
        <v>0</v>
      </c>
      <c r="I182" s="221">
        <f>IF(A182="Total",VLOOKUP(B182,CORRESPONDANCE[#All],2,FALSE),I183)</f>
        <v>0</v>
      </c>
      <c r="J182" s="222" t="str">
        <f t="shared" si="14"/>
        <v/>
      </c>
      <c r="K182" s="44" t="str">
        <f t="shared" si="15"/>
        <v xml:space="preserve">R314 - </v>
      </c>
      <c r="L182" s="44" t="e">
        <f>+VLOOKUP(K182,TL[],4,FALSE)</f>
        <v>#N/A</v>
      </c>
    </row>
    <row r="183" spans="7:12" x14ac:dyDescent="0.2">
      <c r="G183" s="220">
        <f t="shared" si="12"/>
        <v>0</v>
      </c>
      <c r="H183" s="220">
        <f t="shared" si="13"/>
        <v>0</v>
      </c>
      <c r="I183" s="221">
        <f>IF(A183="Total",VLOOKUP(B183,CORRESPONDANCE[#All],2,FALSE),I184)</f>
        <v>0</v>
      </c>
      <c r="J183" s="222" t="str">
        <f t="shared" si="14"/>
        <v/>
      </c>
      <c r="K183" s="44" t="str">
        <f t="shared" si="15"/>
        <v xml:space="preserve">R314 - </v>
      </c>
      <c r="L183" s="44" t="e">
        <f>+VLOOKUP(K183,TL[],4,FALSE)</f>
        <v>#N/A</v>
      </c>
    </row>
    <row r="184" spans="7:12" x14ac:dyDescent="0.2">
      <c r="G184" s="220">
        <f t="shared" si="12"/>
        <v>0</v>
      </c>
      <c r="H184" s="220">
        <f t="shared" si="13"/>
        <v>0</v>
      </c>
      <c r="I184" s="221">
        <f>IF(A184="Total",VLOOKUP(B184,CORRESPONDANCE[#All],2,FALSE),I185)</f>
        <v>0</v>
      </c>
      <c r="J184" s="222" t="str">
        <f t="shared" si="14"/>
        <v/>
      </c>
      <c r="K184" s="44" t="str">
        <f t="shared" si="15"/>
        <v xml:space="preserve">R314 - </v>
      </c>
      <c r="L184" s="44" t="e">
        <f>+VLOOKUP(K184,TL[],4,FALSE)</f>
        <v>#N/A</v>
      </c>
    </row>
    <row r="185" spans="7:12" x14ac:dyDescent="0.2">
      <c r="G185" s="220">
        <f t="shared" si="12"/>
        <v>0</v>
      </c>
      <c r="H185" s="220">
        <f t="shared" si="13"/>
        <v>0</v>
      </c>
      <c r="I185" s="221">
        <f>IF(A185="Total",VLOOKUP(B185,CORRESPONDANCE[#All],2,FALSE),I186)</f>
        <v>0</v>
      </c>
      <c r="J185" s="222" t="str">
        <f t="shared" si="14"/>
        <v/>
      </c>
      <c r="K185" s="44" t="str">
        <f t="shared" si="15"/>
        <v xml:space="preserve">R314 - </v>
      </c>
      <c r="L185" s="44" t="e">
        <f>+VLOOKUP(K185,TL[],4,FALSE)</f>
        <v>#N/A</v>
      </c>
    </row>
    <row r="186" spans="7:12" x14ac:dyDescent="0.2">
      <c r="G186" s="220">
        <f t="shared" si="12"/>
        <v>0</v>
      </c>
      <c r="H186" s="220">
        <f t="shared" si="13"/>
        <v>0</v>
      </c>
      <c r="I186" s="221">
        <f>IF(A186="Total",VLOOKUP(B186,CORRESPONDANCE[#All],2,FALSE),I187)</f>
        <v>0</v>
      </c>
      <c r="J186" s="222" t="str">
        <f t="shared" si="14"/>
        <v/>
      </c>
      <c r="K186" s="44" t="str">
        <f t="shared" si="15"/>
        <v xml:space="preserve">R314 - </v>
      </c>
      <c r="L186" s="44" t="e">
        <f>+VLOOKUP(K186,TL[],4,FALSE)</f>
        <v>#N/A</v>
      </c>
    </row>
    <row r="187" spans="7:12" x14ac:dyDescent="0.2">
      <c r="G187" s="220">
        <f t="shared" si="12"/>
        <v>0</v>
      </c>
      <c r="H187" s="220">
        <f t="shared" si="13"/>
        <v>0</v>
      </c>
      <c r="I187" s="221">
        <f>IF(A187="Total",VLOOKUP(B187,CORRESPONDANCE[#All],2,FALSE),I188)</f>
        <v>0</v>
      </c>
      <c r="J187" s="222" t="str">
        <f t="shared" si="14"/>
        <v/>
      </c>
      <c r="K187" s="44" t="str">
        <f t="shared" si="15"/>
        <v xml:space="preserve">R314 - </v>
      </c>
      <c r="L187" s="44" t="e">
        <f>+VLOOKUP(K187,TL[],4,FALSE)</f>
        <v>#N/A</v>
      </c>
    </row>
    <row r="188" spans="7:12" x14ac:dyDescent="0.2">
      <c r="G188" s="220">
        <f t="shared" si="12"/>
        <v>0</v>
      </c>
      <c r="H188" s="220">
        <f t="shared" si="13"/>
        <v>0</v>
      </c>
      <c r="I188" s="221">
        <f>IF(A188="Total",VLOOKUP(B188,CORRESPONDANCE[#All],2,FALSE),I189)</f>
        <v>0</v>
      </c>
      <c r="J188" s="222" t="str">
        <f t="shared" si="14"/>
        <v/>
      </c>
      <c r="K188" s="44" t="str">
        <f t="shared" si="15"/>
        <v xml:space="preserve">R314 - </v>
      </c>
      <c r="L188" s="44" t="e">
        <f>+VLOOKUP(K188,TL[],4,FALSE)</f>
        <v>#N/A</v>
      </c>
    </row>
    <row r="189" spans="7:12" x14ac:dyDescent="0.2">
      <c r="G189" s="220">
        <f t="shared" si="12"/>
        <v>0</v>
      </c>
      <c r="H189" s="220">
        <f t="shared" si="13"/>
        <v>0</v>
      </c>
      <c r="I189" s="221">
        <f>IF(A189="Total",VLOOKUP(B189,CORRESPONDANCE[#All],2,FALSE),I190)</f>
        <v>0</v>
      </c>
      <c r="J189" s="222" t="str">
        <f t="shared" si="14"/>
        <v/>
      </c>
      <c r="K189" s="44" t="str">
        <f t="shared" si="15"/>
        <v xml:space="preserve">R314 - </v>
      </c>
      <c r="L189" s="44" t="e">
        <f>+VLOOKUP(K189,TL[],4,FALSE)</f>
        <v>#N/A</v>
      </c>
    </row>
    <row r="190" spans="7:12" x14ac:dyDescent="0.2">
      <c r="G190" s="220">
        <f t="shared" si="12"/>
        <v>0</v>
      </c>
      <c r="H190" s="220">
        <f t="shared" si="13"/>
        <v>0</v>
      </c>
      <c r="I190" s="221">
        <f>IF(A190="Total",VLOOKUP(B190,CORRESPONDANCE[#All],2,FALSE),I191)</f>
        <v>0</v>
      </c>
      <c r="J190" s="222" t="str">
        <f t="shared" si="14"/>
        <v/>
      </c>
      <c r="K190" s="44" t="str">
        <f t="shared" si="15"/>
        <v xml:space="preserve">R314 - </v>
      </c>
      <c r="L190" s="44" t="e">
        <f>+VLOOKUP(K190,TL[],4,FALSE)</f>
        <v>#N/A</v>
      </c>
    </row>
    <row r="191" spans="7:12" x14ac:dyDescent="0.2">
      <c r="G191" s="220">
        <f t="shared" si="12"/>
        <v>0</v>
      </c>
      <c r="H191" s="220">
        <f t="shared" si="13"/>
        <v>0</v>
      </c>
      <c r="I191" s="221">
        <f>IF(A191="Total",VLOOKUP(B191,CORRESPONDANCE[#All],2,FALSE),I192)</f>
        <v>0</v>
      </c>
      <c r="J191" s="222" t="str">
        <f t="shared" si="14"/>
        <v/>
      </c>
      <c r="K191" s="44" t="str">
        <f t="shared" si="15"/>
        <v xml:space="preserve">R314 - </v>
      </c>
      <c r="L191" s="44" t="e">
        <f>+VLOOKUP(K191,TL[],4,FALSE)</f>
        <v>#N/A</v>
      </c>
    </row>
    <row r="192" spans="7:12" x14ac:dyDescent="0.2">
      <c r="G192" s="220">
        <f t="shared" si="12"/>
        <v>0</v>
      </c>
      <c r="H192" s="220">
        <f t="shared" si="13"/>
        <v>0</v>
      </c>
      <c r="I192" s="221">
        <f>IF(A192="Total",VLOOKUP(B192,CORRESPONDANCE[#All],2,FALSE),I193)</f>
        <v>0</v>
      </c>
      <c r="J192" s="222" t="str">
        <f t="shared" si="14"/>
        <v/>
      </c>
      <c r="K192" s="44" t="str">
        <f t="shared" si="15"/>
        <v xml:space="preserve">R314 - </v>
      </c>
      <c r="L192" s="44" t="e">
        <f>+VLOOKUP(K192,TL[],4,FALSE)</f>
        <v>#N/A</v>
      </c>
    </row>
    <row r="193" spans="7:12" x14ac:dyDescent="0.2">
      <c r="G193" s="220">
        <f t="shared" si="12"/>
        <v>0</v>
      </c>
      <c r="H193" s="220">
        <f t="shared" si="13"/>
        <v>0</v>
      </c>
      <c r="I193" s="221">
        <f>IF(A193="Total",VLOOKUP(B193,CORRESPONDANCE[#All],2,FALSE),I194)</f>
        <v>0</v>
      </c>
      <c r="J193" s="222" t="str">
        <f t="shared" si="14"/>
        <v/>
      </c>
      <c r="K193" s="44" t="str">
        <f t="shared" si="15"/>
        <v xml:space="preserve">R314 - </v>
      </c>
      <c r="L193" s="44" t="e">
        <f>+VLOOKUP(K193,TL[],4,FALSE)</f>
        <v>#N/A</v>
      </c>
    </row>
    <row r="194" spans="7:12" x14ac:dyDescent="0.2">
      <c r="G194" s="220">
        <f t="shared" si="12"/>
        <v>0</v>
      </c>
      <c r="H194" s="220">
        <f t="shared" si="13"/>
        <v>0</v>
      </c>
      <c r="I194" s="221">
        <f>IF(A194="Total",VLOOKUP(B194,CORRESPONDANCE[#All],2,FALSE),I195)</f>
        <v>0</v>
      </c>
      <c r="J194" s="222" t="str">
        <f t="shared" si="14"/>
        <v/>
      </c>
      <c r="K194" s="44" t="str">
        <f t="shared" si="15"/>
        <v xml:space="preserve">R314 - </v>
      </c>
      <c r="L194" s="44" t="e">
        <f>+VLOOKUP(K194,TL[],4,FALSE)</f>
        <v>#N/A</v>
      </c>
    </row>
    <row r="195" spans="7:12" x14ac:dyDescent="0.2">
      <c r="G195" s="220">
        <f t="shared" si="12"/>
        <v>0</v>
      </c>
      <c r="H195" s="220">
        <f t="shared" si="13"/>
        <v>0</v>
      </c>
      <c r="I195" s="221">
        <f>IF(A195="Total",VLOOKUP(B195,CORRESPONDANCE[#All],2,FALSE),I196)</f>
        <v>0</v>
      </c>
      <c r="J195" s="222" t="str">
        <f t="shared" si="14"/>
        <v/>
      </c>
      <c r="K195" s="44" t="str">
        <f t="shared" si="15"/>
        <v xml:space="preserve">R314 - </v>
      </c>
      <c r="L195" s="44" t="e">
        <f>+VLOOKUP(K195,TL[],4,FALSE)</f>
        <v>#N/A</v>
      </c>
    </row>
    <row r="196" spans="7:12" x14ac:dyDescent="0.2">
      <c r="G196" s="220">
        <f t="shared" si="12"/>
        <v>0</v>
      </c>
      <c r="H196" s="220">
        <f t="shared" si="13"/>
        <v>0</v>
      </c>
      <c r="I196" s="221">
        <f>IF(A196="Total",VLOOKUP(B196,CORRESPONDANCE[#All],2,FALSE),I197)</f>
        <v>0</v>
      </c>
      <c r="J196" s="222" t="str">
        <f t="shared" si="14"/>
        <v/>
      </c>
      <c r="K196" s="44" t="str">
        <f t="shared" si="15"/>
        <v xml:space="preserve">R314 - </v>
      </c>
      <c r="L196" s="44" t="e">
        <f>+VLOOKUP(K196,TL[],4,FALSE)</f>
        <v>#N/A</v>
      </c>
    </row>
    <row r="197" spans="7:12" x14ac:dyDescent="0.2">
      <c r="G197" s="220">
        <f>SUM(C197)-SUM(D197)</f>
        <v>0</v>
      </c>
      <c r="H197" s="220">
        <f>SUM(E197)-SUM(F197)</f>
        <v>0</v>
      </c>
      <c r="I197" s="221">
        <f>IF(A197="Total",VLOOKUP(B197,CORRESPONDANCE[#All],2,FALSE),I198)</f>
        <v>0</v>
      </c>
      <c r="J197" s="222" t="str">
        <f>LEFT(A197,1)</f>
        <v/>
      </c>
      <c r="K197" s="44" t="str">
        <f>"R314"&amp;" - "&amp;A197</f>
        <v xml:space="preserve">R314 - </v>
      </c>
      <c r="L197" s="44" t="e">
        <f>+VLOOKUP(K197,TL[],4,FALSE)</f>
        <v>#N/A</v>
      </c>
    </row>
    <row r="198" spans="7:12" x14ac:dyDescent="0.2">
      <c r="G198" s="220">
        <f t="shared" si="12"/>
        <v>0</v>
      </c>
      <c r="H198" s="220">
        <f t="shared" si="13"/>
        <v>0</v>
      </c>
      <c r="I198" s="221">
        <f>IF(A198="Total",VLOOKUP(B198,CORRESPONDANCE[#All],2,FALSE),I199)</f>
        <v>0</v>
      </c>
      <c r="J198" s="222" t="str">
        <f t="shared" si="14"/>
        <v/>
      </c>
      <c r="K198" s="44" t="str">
        <f t="shared" si="15"/>
        <v xml:space="preserve">R314 - </v>
      </c>
      <c r="L198" s="44" t="e">
        <f>+VLOOKUP(K198,TL[],4,FALSE)</f>
        <v>#N/A</v>
      </c>
    </row>
    <row r="199" spans="7:12" x14ac:dyDescent="0.2">
      <c r="G199" s="220">
        <f t="shared" si="12"/>
        <v>0</v>
      </c>
      <c r="H199" s="220">
        <f t="shared" si="13"/>
        <v>0</v>
      </c>
      <c r="I199" s="221">
        <f>IF(A199="Total",VLOOKUP(B199,CORRESPONDANCE[#All],2,FALSE),I200)</f>
        <v>0</v>
      </c>
      <c r="J199" s="222" t="str">
        <f t="shared" si="14"/>
        <v/>
      </c>
      <c r="K199" s="44" t="str">
        <f t="shared" si="15"/>
        <v xml:space="preserve">R314 - </v>
      </c>
      <c r="L199" s="44" t="e">
        <f>+VLOOKUP(K199,TL[],4,FALSE)</f>
        <v>#N/A</v>
      </c>
    </row>
    <row r="200" spans="7:12" x14ac:dyDescent="0.2">
      <c r="G200" s="220">
        <f>SUM(C200)-SUM(D200)</f>
        <v>0</v>
      </c>
      <c r="H200" s="220">
        <f>SUM(E200)-SUM(F200)</f>
        <v>0</v>
      </c>
      <c r="I200" s="221">
        <f>IF(A200="Total",VLOOKUP(B200,CORRESPONDANCE[#All],2,FALSE),I201)</f>
        <v>0</v>
      </c>
      <c r="J200" s="222" t="str">
        <f>LEFT(A200,1)</f>
        <v/>
      </c>
      <c r="K200" s="44" t="str">
        <f>"R314"&amp;" - "&amp;A200</f>
        <v xml:space="preserve">R314 - </v>
      </c>
      <c r="L200" s="44" t="e">
        <f>+VLOOKUP(K200,TL[],4,FALSE)</f>
        <v>#N/A</v>
      </c>
    </row>
    <row r="201" spans="7:12" x14ac:dyDescent="0.2">
      <c r="G201" s="220">
        <f>SUM(C201)-SUM(D201)</f>
        <v>0</v>
      </c>
      <c r="H201" s="220">
        <f>SUM(E201)-SUM(F201)</f>
        <v>0</v>
      </c>
      <c r="I201" s="221">
        <f>IF(A201="Total",VLOOKUP(B201,CORRESPONDANCE[#All],2,FALSE),I202)</f>
        <v>0</v>
      </c>
      <c r="J201" s="222" t="str">
        <f>LEFT(A201,1)</f>
        <v/>
      </c>
      <c r="K201" s="44" t="str">
        <f>"R314"&amp;" - "&amp;A201</f>
        <v xml:space="preserve">R314 - </v>
      </c>
      <c r="L201" s="44" t="e">
        <f>+VLOOKUP(K201,TL[],4,FALSE)</f>
        <v>#N/A</v>
      </c>
    </row>
    <row r="202" spans="7:12" x14ac:dyDescent="0.2">
      <c r="G202" s="220">
        <f>SUM(C202)-SUM(D202)</f>
        <v>0</v>
      </c>
      <c r="H202" s="220">
        <f>SUM(E202)-SUM(F202)</f>
        <v>0</v>
      </c>
      <c r="I202" s="221">
        <f>IF(A202="Total",VLOOKUP(B202,CORRESPONDANCE[#All],2,FALSE),I203)</f>
        <v>0</v>
      </c>
      <c r="J202" s="222" t="str">
        <f>LEFT(A202,1)</f>
        <v/>
      </c>
      <c r="K202" s="44" t="str">
        <f>"R314"&amp;" - "&amp;A202</f>
        <v xml:space="preserve">R314 - </v>
      </c>
      <c r="L202" s="44" t="e">
        <f>+VLOOKUP(K202,TL[],4,FALSE)</f>
        <v>#N/A</v>
      </c>
    </row>
    <row r="203" spans="7:12" x14ac:dyDescent="0.2">
      <c r="G203" s="220">
        <f t="shared" ref="G203:G216" si="16">SUM(C203)-SUM(D203)</f>
        <v>0</v>
      </c>
      <c r="H203" s="220">
        <f t="shared" ref="H203:H214" si="17">SUM(E203)-SUM(F203)</f>
        <v>0</v>
      </c>
      <c r="I203" s="221">
        <f>IF(A203="Total",VLOOKUP(B203,CORRESPONDANCE[#All],2,FALSE),I204)</f>
        <v>0</v>
      </c>
      <c r="J203" s="222" t="str">
        <f t="shared" ref="J203:J214" si="18">LEFT(A203,1)</f>
        <v/>
      </c>
      <c r="K203" s="44" t="str">
        <f t="shared" ref="K203:K214" si="19">"R314"&amp;" - "&amp;A203</f>
        <v xml:space="preserve">R314 - </v>
      </c>
      <c r="L203" s="44" t="e">
        <f>+VLOOKUP(K203,TL[],4,FALSE)</f>
        <v>#N/A</v>
      </c>
    </row>
    <row r="204" spans="7:12" x14ac:dyDescent="0.2">
      <c r="G204" s="220">
        <f t="shared" si="16"/>
        <v>0</v>
      </c>
      <c r="H204" s="220">
        <f t="shared" si="17"/>
        <v>0</v>
      </c>
      <c r="I204" s="221">
        <f>IF(A204="Total",VLOOKUP(B204,CORRESPONDANCE[#All],2,FALSE),I205)</f>
        <v>0</v>
      </c>
      <c r="J204" s="222" t="str">
        <f t="shared" si="18"/>
        <v/>
      </c>
      <c r="K204" s="44" t="str">
        <f t="shared" si="19"/>
        <v xml:space="preserve">R314 - </v>
      </c>
      <c r="L204" s="44" t="e">
        <f>+VLOOKUP(K204,TL[],4,FALSE)</f>
        <v>#N/A</v>
      </c>
    </row>
    <row r="205" spans="7:12" x14ac:dyDescent="0.2">
      <c r="G205" s="220">
        <f t="shared" si="16"/>
        <v>0</v>
      </c>
      <c r="H205" s="220">
        <f t="shared" si="17"/>
        <v>0</v>
      </c>
      <c r="I205" s="221">
        <f>IF(A205="Total",VLOOKUP(B205,CORRESPONDANCE[#All],2,FALSE),I206)</f>
        <v>0</v>
      </c>
      <c r="J205" s="222" t="str">
        <f t="shared" si="18"/>
        <v/>
      </c>
      <c r="K205" s="44" t="str">
        <f t="shared" si="19"/>
        <v xml:space="preserve">R314 - </v>
      </c>
      <c r="L205" s="44" t="e">
        <f>+VLOOKUP(K205,TL[],4,FALSE)</f>
        <v>#N/A</v>
      </c>
    </row>
    <row r="206" spans="7:12" x14ac:dyDescent="0.2">
      <c r="G206" s="220">
        <f t="shared" si="16"/>
        <v>0</v>
      </c>
      <c r="H206" s="220">
        <f t="shared" si="17"/>
        <v>0</v>
      </c>
      <c r="I206" s="221">
        <f>IF(A206="Total",VLOOKUP(B206,CORRESPONDANCE[#All],2,FALSE),I207)</f>
        <v>0</v>
      </c>
      <c r="J206" s="222" t="str">
        <f t="shared" si="18"/>
        <v/>
      </c>
      <c r="K206" s="44" t="str">
        <f t="shared" si="19"/>
        <v xml:space="preserve">R314 - </v>
      </c>
      <c r="L206" s="44" t="e">
        <f>+VLOOKUP(K206,TL[],4,FALSE)</f>
        <v>#N/A</v>
      </c>
    </row>
    <row r="207" spans="7:12" x14ac:dyDescent="0.2">
      <c r="G207" s="220">
        <f t="shared" si="16"/>
        <v>0</v>
      </c>
      <c r="H207" s="220">
        <f t="shared" si="17"/>
        <v>0</v>
      </c>
      <c r="I207" s="221">
        <f>IF(A207="Total",VLOOKUP(B207,CORRESPONDANCE[#All],2,FALSE),I208)</f>
        <v>0</v>
      </c>
      <c r="J207" s="222" t="str">
        <f t="shared" si="18"/>
        <v/>
      </c>
      <c r="K207" s="44" t="str">
        <f t="shared" si="19"/>
        <v xml:space="preserve">R314 - </v>
      </c>
      <c r="L207" s="44" t="e">
        <f>+VLOOKUP(K207,TL[],4,FALSE)</f>
        <v>#N/A</v>
      </c>
    </row>
    <row r="208" spans="7:12" x14ac:dyDescent="0.2">
      <c r="G208" s="220">
        <f t="shared" si="16"/>
        <v>0</v>
      </c>
      <c r="H208" s="220">
        <f t="shared" si="17"/>
        <v>0</v>
      </c>
      <c r="I208" s="221">
        <f>IF(A208="Total",VLOOKUP(B208,CORRESPONDANCE[#All],2,FALSE),I209)</f>
        <v>0</v>
      </c>
      <c r="J208" s="222" t="str">
        <f t="shared" si="18"/>
        <v/>
      </c>
      <c r="K208" s="44" t="str">
        <f t="shared" si="19"/>
        <v xml:space="preserve">R314 - </v>
      </c>
      <c r="L208" s="44" t="e">
        <f>+VLOOKUP(K208,TL[],4,FALSE)</f>
        <v>#N/A</v>
      </c>
    </row>
    <row r="209" spans="7:12" x14ac:dyDescent="0.2">
      <c r="G209" s="220">
        <f t="shared" si="16"/>
        <v>0</v>
      </c>
      <c r="H209" s="220">
        <f t="shared" si="17"/>
        <v>0</v>
      </c>
      <c r="I209" s="221">
        <f>IF(A209="Total",VLOOKUP(B209,CORRESPONDANCE[#All],2,FALSE),I210)</f>
        <v>0</v>
      </c>
      <c r="J209" s="222" t="str">
        <f t="shared" si="18"/>
        <v/>
      </c>
      <c r="K209" s="44" t="str">
        <f t="shared" si="19"/>
        <v xml:space="preserve">R314 - </v>
      </c>
      <c r="L209" s="44" t="e">
        <f>+VLOOKUP(K209,TL[],4,FALSE)</f>
        <v>#N/A</v>
      </c>
    </row>
    <row r="210" spans="7:12" x14ac:dyDescent="0.2">
      <c r="G210" s="220">
        <f t="shared" si="16"/>
        <v>0</v>
      </c>
      <c r="H210" s="220">
        <f t="shared" si="17"/>
        <v>0</v>
      </c>
      <c r="I210" s="221">
        <f>IF(A210="Total",VLOOKUP(B210,CORRESPONDANCE[#All],2,FALSE),I211)</f>
        <v>0</v>
      </c>
      <c r="J210" s="222" t="str">
        <f t="shared" si="18"/>
        <v/>
      </c>
      <c r="K210" s="44" t="str">
        <f t="shared" si="19"/>
        <v xml:space="preserve">R314 - </v>
      </c>
      <c r="L210" s="44" t="e">
        <f>+VLOOKUP(K210,TL[],4,FALSE)</f>
        <v>#N/A</v>
      </c>
    </row>
    <row r="211" spans="7:12" x14ac:dyDescent="0.2">
      <c r="G211" s="220">
        <f t="shared" si="16"/>
        <v>0</v>
      </c>
      <c r="H211" s="220">
        <f t="shared" si="17"/>
        <v>0</v>
      </c>
      <c r="I211" s="221">
        <f>IF(A211="Total",VLOOKUP(B211,CORRESPONDANCE[#All],2,FALSE),I212)</f>
        <v>0</v>
      </c>
      <c r="J211" s="222" t="str">
        <f t="shared" si="18"/>
        <v/>
      </c>
      <c r="K211" s="44" t="str">
        <f t="shared" si="19"/>
        <v xml:space="preserve">R314 - </v>
      </c>
      <c r="L211" s="44" t="e">
        <f>+VLOOKUP(K211,TL[],4,FALSE)</f>
        <v>#N/A</v>
      </c>
    </row>
    <row r="212" spans="7:12" x14ac:dyDescent="0.2">
      <c r="G212" s="220">
        <f t="shared" si="16"/>
        <v>0</v>
      </c>
      <c r="H212" s="220">
        <f t="shared" si="17"/>
        <v>0</v>
      </c>
      <c r="I212" s="221">
        <f>IF(A212="Total",VLOOKUP(B212,CORRESPONDANCE[#All],2,FALSE),I213)</f>
        <v>0</v>
      </c>
      <c r="J212" s="222" t="str">
        <f t="shared" si="18"/>
        <v/>
      </c>
      <c r="K212" s="44" t="str">
        <f t="shared" si="19"/>
        <v xml:space="preserve">R314 - </v>
      </c>
      <c r="L212" s="44" t="e">
        <f>+VLOOKUP(K212,TL[],4,FALSE)</f>
        <v>#N/A</v>
      </c>
    </row>
    <row r="213" spans="7:12" x14ac:dyDescent="0.2">
      <c r="G213" s="220">
        <f t="shared" si="16"/>
        <v>0</v>
      </c>
      <c r="H213" s="220">
        <f t="shared" si="17"/>
        <v>0</v>
      </c>
      <c r="I213" s="221">
        <f>IF(A213="Total",VLOOKUP(B213,CORRESPONDANCE[#All],2,FALSE),I214)</f>
        <v>0</v>
      </c>
      <c r="J213" s="222" t="str">
        <f t="shared" si="18"/>
        <v/>
      </c>
      <c r="K213" s="44" t="str">
        <f t="shared" si="19"/>
        <v xml:space="preserve">R314 - </v>
      </c>
      <c r="L213" s="44" t="e">
        <f>+VLOOKUP(K213,TL[],4,FALSE)</f>
        <v>#N/A</v>
      </c>
    </row>
    <row r="214" spans="7:12" x14ac:dyDescent="0.2">
      <c r="G214" s="220">
        <f t="shared" si="16"/>
        <v>0</v>
      </c>
      <c r="H214" s="220">
        <f t="shared" si="17"/>
        <v>0</v>
      </c>
      <c r="I214" s="221">
        <f>IF(A214="Total",VLOOKUP(B214,CORRESPONDANCE[#All],2,FALSE),I215)</f>
        <v>0</v>
      </c>
      <c r="J214" s="222" t="str">
        <f t="shared" si="18"/>
        <v/>
      </c>
      <c r="K214" s="44" t="str">
        <f t="shared" si="19"/>
        <v xml:space="preserve">R314 - </v>
      </c>
      <c r="L214" s="44" t="e">
        <f>+VLOOKUP(K214,TL[],4,FALSE)</f>
        <v>#N/A</v>
      </c>
    </row>
    <row r="215" spans="7:12" x14ac:dyDescent="0.2">
      <c r="G215" s="220">
        <f t="shared" si="16"/>
        <v>0</v>
      </c>
      <c r="H215" s="220">
        <f t="shared" ref="H215:H217" si="20">SUM(E215)-SUM(F215)</f>
        <v>0</v>
      </c>
      <c r="I215" s="221">
        <f>IF(A215="Total",VLOOKUP(B215,CORRESPONDANCE[#All],2,FALSE),I216)</f>
        <v>0</v>
      </c>
      <c r="J215" s="222" t="str">
        <f t="shared" ref="J215:J217" si="21">LEFT(A215,1)</f>
        <v/>
      </c>
      <c r="K215" s="44" t="str">
        <f t="shared" ref="K215:K217" si="22">"R314"&amp;" - "&amp;A215</f>
        <v xml:space="preserve">R314 - </v>
      </c>
      <c r="L215" s="44" t="e">
        <f>+VLOOKUP(K215,TL[],4,FALSE)</f>
        <v>#N/A</v>
      </c>
    </row>
    <row r="216" spans="7:12" x14ac:dyDescent="0.2">
      <c r="G216" s="220">
        <f t="shared" si="16"/>
        <v>0</v>
      </c>
      <c r="H216" s="220">
        <f t="shared" si="20"/>
        <v>0</v>
      </c>
      <c r="I216" s="221">
        <f>IF(A216="Total",VLOOKUP(B216,CORRESPONDANCE[#All],2,FALSE),I217)</f>
        <v>0</v>
      </c>
      <c r="J216" s="222" t="str">
        <f t="shared" si="21"/>
        <v/>
      </c>
      <c r="K216" s="44" t="str">
        <f t="shared" si="22"/>
        <v xml:space="preserve">R314 - </v>
      </c>
      <c r="L216" s="44" t="e">
        <f>+VLOOKUP(K216,TL[],4,FALSE)</f>
        <v>#N/A</v>
      </c>
    </row>
    <row r="217" spans="7:12" x14ac:dyDescent="0.2">
      <c r="G217" s="220">
        <f t="shared" ref="G217" si="23">SUM(C217)-SUM(D217)</f>
        <v>0</v>
      </c>
      <c r="H217" s="220">
        <f t="shared" si="20"/>
        <v>0</v>
      </c>
      <c r="I217" s="221">
        <f>IF(A217="Total",VLOOKUP(B217,CORRESPONDANCE[#All],2,FALSE),I218)</f>
        <v>0</v>
      </c>
      <c r="J217" s="222" t="str">
        <f t="shared" si="21"/>
        <v/>
      </c>
      <c r="K217" s="44" t="str">
        <f t="shared" si="22"/>
        <v xml:space="preserve">R314 - </v>
      </c>
      <c r="L217" s="44" t="e">
        <f>+VLOOKUP(K217,TL[],4,FALSE)</f>
        <v>#N/A</v>
      </c>
    </row>
    <row r="218" spans="7:12" x14ac:dyDescent="0.2">
      <c r="G218" s="220">
        <f t="shared" ref="G218:G281" si="24">SUM(C218)-SUM(D218)</f>
        <v>0</v>
      </c>
      <c r="H218" s="220">
        <f t="shared" ref="H218:H281" si="25">SUM(E218)-SUM(F218)</f>
        <v>0</v>
      </c>
      <c r="I218" s="221">
        <f>IF(A218="Total",VLOOKUP(B218,CORRESPONDANCE[#All],2,FALSE),I219)</f>
        <v>0</v>
      </c>
      <c r="J218" s="222" t="str">
        <f t="shared" ref="J218:J281" si="26">LEFT(A218,1)</f>
        <v/>
      </c>
      <c r="K218" s="44" t="str">
        <f t="shared" ref="K218:K281" si="27">"R314"&amp;" - "&amp;A218</f>
        <v xml:space="preserve">R314 - </v>
      </c>
      <c r="L218" s="44" t="e">
        <f>+VLOOKUP(K218,TL[],4,FALSE)</f>
        <v>#N/A</v>
      </c>
    </row>
    <row r="219" spans="7:12" x14ac:dyDescent="0.2">
      <c r="G219" s="220">
        <f t="shared" si="24"/>
        <v>0</v>
      </c>
      <c r="H219" s="220">
        <f t="shared" si="25"/>
        <v>0</v>
      </c>
      <c r="I219" s="221">
        <f>IF(A219="Total",VLOOKUP(B219,CORRESPONDANCE[#All],2,FALSE),I220)</f>
        <v>0</v>
      </c>
      <c r="J219" s="222" t="str">
        <f t="shared" si="26"/>
        <v/>
      </c>
      <c r="K219" s="44" t="str">
        <f t="shared" si="27"/>
        <v xml:space="preserve">R314 - </v>
      </c>
      <c r="L219" s="44" t="e">
        <f>+VLOOKUP(K219,TL[],4,FALSE)</f>
        <v>#N/A</v>
      </c>
    </row>
    <row r="220" spans="7:12" x14ac:dyDescent="0.2">
      <c r="G220" s="220">
        <f t="shared" si="24"/>
        <v>0</v>
      </c>
      <c r="H220" s="220">
        <f t="shared" si="25"/>
        <v>0</v>
      </c>
      <c r="I220" s="221">
        <f>IF(A220="Total",VLOOKUP(B220,CORRESPONDANCE[#All],2,FALSE),I221)</f>
        <v>0</v>
      </c>
      <c r="J220" s="222" t="str">
        <f t="shared" si="26"/>
        <v/>
      </c>
      <c r="K220" s="44" t="str">
        <f t="shared" si="27"/>
        <v xml:space="preserve">R314 - </v>
      </c>
      <c r="L220" s="44" t="e">
        <f>+VLOOKUP(K220,TL[],4,FALSE)</f>
        <v>#N/A</v>
      </c>
    </row>
    <row r="221" spans="7:12" x14ac:dyDescent="0.2">
      <c r="G221" s="220">
        <f t="shared" si="24"/>
        <v>0</v>
      </c>
      <c r="H221" s="220">
        <f t="shared" si="25"/>
        <v>0</v>
      </c>
      <c r="I221" s="221">
        <f>IF(A221="Total",VLOOKUP(B221,CORRESPONDANCE[#All],2,FALSE),I222)</f>
        <v>0</v>
      </c>
      <c r="J221" s="222" t="str">
        <f t="shared" si="26"/>
        <v/>
      </c>
      <c r="K221" s="44" t="str">
        <f t="shared" si="27"/>
        <v xml:space="preserve">R314 - </v>
      </c>
      <c r="L221" s="44" t="e">
        <f>+VLOOKUP(K221,TL[],4,FALSE)</f>
        <v>#N/A</v>
      </c>
    </row>
    <row r="222" spans="7:12" x14ac:dyDescent="0.2">
      <c r="G222" s="220">
        <f t="shared" si="24"/>
        <v>0</v>
      </c>
      <c r="H222" s="220">
        <f t="shared" si="25"/>
        <v>0</v>
      </c>
      <c r="I222" s="221">
        <f>IF(A222="Total",VLOOKUP(B222,CORRESPONDANCE[#All],2,FALSE),I223)</f>
        <v>0</v>
      </c>
      <c r="J222" s="222" t="str">
        <f t="shared" si="26"/>
        <v/>
      </c>
      <c r="K222" s="44" t="str">
        <f t="shared" si="27"/>
        <v xml:space="preserve">R314 - </v>
      </c>
      <c r="L222" s="44" t="e">
        <f>+VLOOKUP(K222,TL[],4,FALSE)</f>
        <v>#N/A</v>
      </c>
    </row>
    <row r="223" spans="7:12" x14ac:dyDescent="0.2">
      <c r="G223" s="220">
        <f t="shared" si="24"/>
        <v>0</v>
      </c>
      <c r="H223" s="220">
        <f t="shared" si="25"/>
        <v>0</v>
      </c>
      <c r="I223" s="221">
        <f>IF(A223="Total",VLOOKUP(B223,CORRESPONDANCE[#All],2,FALSE),I224)</f>
        <v>0</v>
      </c>
      <c r="J223" s="222" t="str">
        <f t="shared" si="26"/>
        <v/>
      </c>
      <c r="K223" s="44" t="str">
        <f t="shared" si="27"/>
        <v xml:space="preserve">R314 - </v>
      </c>
      <c r="L223" s="44" t="e">
        <f>+VLOOKUP(K223,TL[],4,FALSE)</f>
        <v>#N/A</v>
      </c>
    </row>
    <row r="224" spans="7:12" x14ac:dyDescent="0.2">
      <c r="G224" s="220">
        <f t="shared" si="24"/>
        <v>0</v>
      </c>
      <c r="H224" s="220">
        <f t="shared" si="25"/>
        <v>0</v>
      </c>
      <c r="I224" s="221">
        <f>IF(A224="Total",VLOOKUP(B224,CORRESPONDANCE[#All],2,FALSE),I225)</f>
        <v>0</v>
      </c>
      <c r="J224" s="222" t="str">
        <f t="shared" si="26"/>
        <v/>
      </c>
      <c r="K224" s="44" t="str">
        <f t="shared" si="27"/>
        <v xml:space="preserve">R314 - </v>
      </c>
      <c r="L224" s="44" t="e">
        <f>+VLOOKUP(K224,TL[],4,FALSE)</f>
        <v>#N/A</v>
      </c>
    </row>
    <row r="225" spans="7:12" x14ac:dyDescent="0.2">
      <c r="G225" s="220">
        <f t="shared" si="24"/>
        <v>0</v>
      </c>
      <c r="H225" s="220">
        <f t="shared" si="25"/>
        <v>0</v>
      </c>
      <c r="I225" s="221">
        <f>IF(A225="Total",VLOOKUP(B225,CORRESPONDANCE[#All],2,FALSE),I226)</f>
        <v>0</v>
      </c>
      <c r="J225" s="222" t="str">
        <f t="shared" si="26"/>
        <v/>
      </c>
      <c r="K225" s="44" t="str">
        <f t="shared" si="27"/>
        <v xml:space="preserve">R314 - </v>
      </c>
      <c r="L225" s="44" t="e">
        <f>+VLOOKUP(K225,TL[],4,FALSE)</f>
        <v>#N/A</v>
      </c>
    </row>
    <row r="226" spans="7:12" x14ac:dyDescent="0.2">
      <c r="G226" s="220">
        <f t="shared" si="24"/>
        <v>0</v>
      </c>
      <c r="H226" s="220">
        <f t="shared" si="25"/>
        <v>0</v>
      </c>
      <c r="I226" s="221">
        <f>IF(A226="Total",VLOOKUP(B226,CORRESPONDANCE[#All],2,FALSE),I227)</f>
        <v>0</v>
      </c>
      <c r="J226" s="222" t="str">
        <f t="shared" si="26"/>
        <v/>
      </c>
      <c r="K226" s="44" t="str">
        <f t="shared" si="27"/>
        <v xml:space="preserve">R314 - </v>
      </c>
      <c r="L226" s="44" t="e">
        <f>+VLOOKUP(K226,TL[],4,FALSE)</f>
        <v>#N/A</v>
      </c>
    </row>
    <row r="227" spans="7:12" x14ac:dyDescent="0.2">
      <c r="G227" s="220">
        <f t="shared" si="24"/>
        <v>0</v>
      </c>
      <c r="H227" s="220">
        <f t="shared" si="25"/>
        <v>0</v>
      </c>
      <c r="I227" s="221">
        <f>IF(A227="Total",VLOOKUP(B227,CORRESPONDANCE[#All],2,FALSE),I228)</f>
        <v>0</v>
      </c>
      <c r="J227" s="222" t="str">
        <f t="shared" si="26"/>
        <v/>
      </c>
      <c r="K227" s="44" t="str">
        <f t="shared" si="27"/>
        <v xml:space="preserve">R314 - </v>
      </c>
      <c r="L227" s="44" t="e">
        <f>+VLOOKUP(K227,TL[],4,FALSE)</f>
        <v>#N/A</v>
      </c>
    </row>
    <row r="228" spans="7:12" x14ac:dyDescent="0.2">
      <c r="G228" s="220">
        <f t="shared" si="24"/>
        <v>0</v>
      </c>
      <c r="H228" s="220">
        <f t="shared" si="25"/>
        <v>0</v>
      </c>
      <c r="I228" s="221">
        <f>IF(A228="Total",VLOOKUP(B228,CORRESPONDANCE[#All],2,FALSE),I229)</f>
        <v>0</v>
      </c>
      <c r="J228" s="222" t="str">
        <f t="shared" si="26"/>
        <v/>
      </c>
      <c r="K228" s="44" t="str">
        <f t="shared" si="27"/>
        <v xml:space="preserve">R314 - </v>
      </c>
      <c r="L228" s="44" t="e">
        <f>+VLOOKUP(K228,TL[],4,FALSE)</f>
        <v>#N/A</v>
      </c>
    </row>
    <row r="229" spans="7:12" x14ac:dyDescent="0.2">
      <c r="G229" s="220">
        <f t="shared" si="24"/>
        <v>0</v>
      </c>
      <c r="H229" s="220">
        <f t="shared" si="25"/>
        <v>0</v>
      </c>
      <c r="I229" s="221">
        <f>IF(A229="Total",VLOOKUP(B229,CORRESPONDANCE[#All],2,FALSE),I230)</f>
        <v>0</v>
      </c>
      <c r="J229" s="222" t="str">
        <f t="shared" si="26"/>
        <v/>
      </c>
      <c r="K229" s="44" t="str">
        <f t="shared" si="27"/>
        <v xml:space="preserve">R314 - </v>
      </c>
      <c r="L229" s="44" t="e">
        <f>+VLOOKUP(K229,TL[],4,FALSE)</f>
        <v>#N/A</v>
      </c>
    </row>
    <row r="230" spans="7:12" x14ac:dyDescent="0.2">
      <c r="G230" s="220">
        <f t="shared" si="24"/>
        <v>0</v>
      </c>
      <c r="H230" s="220">
        <f t="shared" si="25"/>
        <v>0</v>
      </c>
      <c r="I230" s="221">
        <f>IF(A230="Total",VLOOKUP(B230,CORRESPONDANCE[#All],2,FALSE),I231)</f>
        <v>0</v>
      </c>
      <c r="J230" s="222" t="str">
        <f t="shared" si="26"/>
        <v/>
      </c>
      <c r="K230" s="44" t="str">
        <f t="shared" si="27"/>
        <v xml:space="preserve">R314 - </v>
      </c>
      <c r="L230" s="44" t="e">
        <f>+VLOOKUP(K230,TL[],4,FALSE)</f>
        <v>#N/A</v>
      </c>
    </row>
    <row r="231" spans="7:12" x14ac:dyDescent="0.2">
      <c r="G231" s="220">
        <f t="shared" si="24"/>
        <v>0</v>
      </c>
      <c r="H231" s="220">
        <f t="shared" si="25"/>
        <v>0</v>
      </c>
      <c r="I231" s="221">
        <f>IF(A231="Total",VLOOKUP(B231,CORRESPONDANCE[#All],2,FALSE),I232)</f>
        <v>0</v>
      </c>
      <c r="J231" s="222" t="str">
        <f t="shared" si="26"/>
        <v/>
      </c>
      <c r="K231" s="44" t="str">
        <f t="shared" si="27"/>
        <v xml:space="preserve">R314 - </v>
      </c>
      <c r="L231" s="44" t="e">
        <f>+VLOOKUP(K231,TL[],4,FALSE)</f>
        <v>#N/A</v>
      </c>
    </row>
    <row r="232" spans="7:12" x14ac:dyDescent="0.2">
      <c r="G232" s="220">
        <f t="shared" si="24"/>
        <v>0</v>
      </c>
      <c r="H232" s="220">
        <f t="shared" si="25"/>
        <v>0</v>
      </c>
      <c r="I232" s="221">
        <f>IF(A232="Total",VLOOKUP(B232,CORRESPONDANCE[#All],2,FALSE),I233)</f>
        <v>0</v>
      </c>
      <c r="J232" s="222" t="str">
        <f t="shared" si="26"/>
        <v/>
      </c>
      <c r="K232" s="44" t="str">
        <f t="shared" si="27"/>
        <v xml:space="preserve">R314 - </v>
      </c>
      <c r="L232" s="44" t="e">
        <f>+VLOOKUP(K232,TL[],4,FALSE)</f>
        <v>#N/A</v>
      </c>
    </row>
    <row r="233" spans="7:12" x14ac:dyDescent="0.2">
      <c r="G233" s="220">
        <f t="shared" si="24"/>
        <v>0</v>
      </c>
      <c r="H233" s="220">
        <f t="shared" si="25"/>
        <v>0</v>
      </c>
      <c r="I233" s="221">
        <f>IF(A233="Total",VLOOKUP(B233,CORRESPONDANCE[#All],2,FALSE),I234)</f>
        <v>0</v>
      </c>
      <c r="J233" s="222" t="str">
        <f t="shared" si="26"/>
        <v/>
      </c>
      <c r="K233" s="44" t="str">
        <f t="shared" si="27"/>
        <v xml:space="preserve">R314 - </v>
      </c>
      <c r="L233" s="44" t="e">
        <f>+VLOOKUP(K233,TL[],4,FALSE)</f>
        <v>#N/A</v>
      </c>
    </row>
    <row r="234" spans="7:12" x14ac:dyDescent="0.2">
      <c r="G234" s="220">
        <f t="shared" si="24"/>
        <v>0</v>
      </c>
      <c r="H234" s="220">
        <f t="shared" si="25"/>
        <v>0</v>
      </c>
      <c r="I234" s="221">
        <f>IF(A234="Total",VLOOKUP(B234,CORRESPONDANCE[#All],2,FALSE),I235)</f>
        <v>0</v>
      </c>
      <c r="J234" s="222" t="str">
        <f t="shared" si="26"/>
        <v/>
      </c>
      <c r="K234" s="44" t="str">
        <f t="shared" si="27"/>
        <v xml:space="preserve">R314 - </v>
      </c>
      <c r="L234" s="44" t="e">
        <f>+VLOOKUP(K234,TL[],4,FALSE)</f>
        <v>#N/A</v>
      </c>
    </row>
    <row r="235" spans="7:12" x14ac:dyDescent="0.2">
      <c r="G235" s="220">
        <f t="shared" si="24"/>
        <v>0</v>
      </c>
      <c r="H235" s="220">
        <f t="shared" si="25"/>
        <v>0</v>
      </c>
      <c r="I235" s="221">
        <f>IF(A235="Total",VLOOKUP(B235,CORRESPONDANCE[#All],2,FALSE),I236)</f>
        <v>0</v>
      </c>
      <c r="J235" s="222" t="str">
        <f t="shared" si="26"/>
        <v/>
      </c>
      <c r="K235" s="44" t="str">
        <f t="shared" si="27"/>
        <v xml:space="preserve">R314 - </v>
      </c>
      <c r="L235" s="44" t="e">
        <f>+VLOOKUP(K235,TL[],4,FALSE)</f>
        <v>#N/A</v>
      </c>
    </row>
    <row r="236" spans="7:12" x14ac:dyDescent="0.2">
      <c r="G236" s="220">
        <f t="shared" si="24"/>
        <v>0</v>
      </c>
      <c r="H236" s="220">
        <f t="shared" si="25"/>
        <v>0</v>
      </c>
      <c r="I236" s="221">
        <f>IF(A236="Total",VLOOKUP(B236,CORRESPONDANCE[#All],2,FALSE),I237)</f>
        <v>0</v>
      </c>
      <c r="J236" s="222" t="str">
        <f t="shared" si="26"/>
        <v/>
      </c>
      <c r="K236" s="44" t="str">
        <f t="shared" si="27"/>
        <v xml:space="preserve">R314 - </v>
      </c>
      <c r="L236" s="44" t="e">
        <f>+VLOOKUP(K236,TL[],4,FALSE)</f>
        <v>#N/A</v>
      </c>
    </row>
    <row r="237" spans="7:12" x14ac:dyDescent="0.2">
      <c r="G237" s="220">
        <f t="shared" si="24"/>
        <v>0</v>
      </c>
      <c r="H237" s="220">
        <f t="shared" si="25"/>
        <v>0</v>
      </c>
      <c r="I237" s="221">
        <f>IF(A237="Total",VLOOKUP(B237,CORRESPONDANCE[#All],2,FALSE),I238)</f>
        <v>0</v>
      </c>
      <c r="J237" s="222" t="str">
        <f t="shared" si="26"/>
        <v/>
      </c>
      <c r="K237" s="44" t="str">
        <f t="shared" si="27"/>
        <v xml:space="preserve">R314 - </v>
      </c>
      <c r="L237" s="44" t="e">
        <f>+VLOOKUP(K237,TL[],4,FALSE)</f>
        <v>#N/A</v>
      </c>
    </row>
    <row r="238" spans="7:12" x14ac:dyDescent="0.2">
      <c r="G238" s="220">
        <f t="shared" si="24"/>
        <v>0</v>
      </c>
      <c r="H238" s="220">
        <f t="shared" si="25"/>
        <v>0</v>
      </c>
      <c r="I238" s="221">
        <f>IF(A238="Total",VLOOKUP(B238,CORRESPONDANCE[#All],2,FALSE),I239)</f>
        <v>0</v>
      </c>
      <c r="J238" s="222" t="str">
        <f t="shared" si="26"/>
        <v/>
      </c>
      <c r="K238" s="44" t="str">
        <f t="shared" si="27"/>
        <v xml:space="preserve">R314 - </v>
      </c>
      <c r="L238" s="44" t="e">
        <f>+VLOOKUP(K238,TL[],4,FALSE)</f>
        <v>#N/A</v>
      </c>
    </row>
    <row r="239" spans="7:12" x14ac:dyDescent="0.2">
      <c r="G239" s="220">
        <f t="shared" si="24"/>
        <v>0</v>
      </c>
      <c r="H239" s="220">
        <f t="shared" si="25"/>
        <v>0</v>
      </c>
      <c r="I239" s="221">
        <f>IF(A239="Total",VLOOKUP(B239,CORRESPONDANCE[#All],2,FALSE),I240)</f>
        <v>0</v>
      </c>
      <c r="J239" s="222" t="str">
        <f t="shared" si="26"/>
        <v/>
      </c>
      <c r="K239" s="44" t="str">
        <f t="shared" si="27"/>
        <v xml:space="preserve">R314 - </v>
      </c>
      <c r="L239" s="44" t="e">
        <f>+VLOOKUP(K239,TL[],4,FALSE)</f>
        <v>#N/A</v>
      </c>
    </row>
    <row r="240" spans="7:12" x14ac:dyDescent="0.2">
      <c r="G240" s="220">
        <f t="shared" si="24"/>
        <v>0</v>
      </c>
      <c r="H240" s="220">
        <f t="shared" si="25"/>
        <v>0</v>
      </c>
      <c r="I240" s="221">
        <f>IF(A240="Total",VLOOKUP(B240,CORRESPONDANCE[#All],2,FALSE),I241)</f>
        <v>0</v>
      </c>
      <c r="J240" s="222" t="str">
        <f t="shared" si="26"/>
        <v/>
      </c>
      <c r="K240" s="44" t="str">
        <f t="shared" si="27"/>
        <v xml:space="preserve">R314 - </v>
      </c>
      <c r="L240" s="44" t="e">
        <f>+VLOOKUP(K240,TL[],4,FALSE)</f>
        <v>#N/A</v>
      </c>
    </row>
    <row r="241" spans="7:12" x14ac:dyDescent="0.2">
      <c r="G241" s="220">
        <f t="shared" si="24"/>
        <v>0</v>
      </c>
      <c r="H241" s="220">
        <f t="shared" si="25"/>
        <v>0</v>
      </c>
      <c r="I241" s="221">
        <f>IF(A241="Total",VLOOKUP(B241,CORRESPONDANCE[#All],2,FALSE),I242)</f>
        <v>0</v>
      </c>
      <c r="J241" s="222" t="str">
        <f t="shared" si="26"/>
        <v/>
      </c>
      <c r="K241" s="44" t="str">
        <f t="shared" si="27"/>
        <v xml:space="preserve">R314 - </v>
      </c>
      <c r="L241" s="44" t="e">
        <f>+VLOOKUP(K241,TL[],4,FALSE)</f>
        <v>#N/A</v>
      </c>
    </row>
    <row r="242" spans="7:12" x14ac:dyDescent="0.2">
      <c r="G242" s="220">
        <f t="shared" si="24"/>
        <v>0</v>
      </c>
      <c r="H242" s="220">
        <f t="shared" si="25"/>
        <v>0</v>
      </c>
      <c r="I242" s="221">
        <f>IF(A242="Total",VLOOKUP(B242,CORRESPONDANCE[#All],2,FALSE),I243)</f>
        <v>0</v>
      </c>
      <c r="J242" s="222" t="str">
        <f t="shared" si="26"/>
        <v/>
      </c>
      <c r="K242" s="44" t="str">
        <f t="shared" si="27"/>
        <v xml:space="preserve">R314 - </v>
      </c>
      <c r="L242" s="44" t="e">
        <f>+VLOOKUP(K242,TL[],4,FALSE)</f>
        <v>#N/A</v>
      </c>
    </row>
    <row r="243" spans="7:12" x14ac:dyDescent="0.2">
      <c r="G243" s="220">
        <f t="shared" si="24"/>
        <v>0</v>
      </c>
      <c r="H243" s="220">
        <f t="shared" si="25"/>
        <v>0</v>
      </c>
      <c r="I243" s="221">
        <f>IF(A243="Total",VLOOKUP(B243,CORRESPONDANCE[#All],2,FALSE),I244)</f>
        <v>0</v>
      </c>
      <c r="J243" s="222" t="str">
        <f t="shared" si="26"/>
        <v/>
      </c>
      <c r="K243" s="44" t="str">
        <f t="shared" si="27"/>
        <v xml:space="preserve">R314 - </v>
      </c>
      <c r="L243" s="44" t="e">
        <f>+VLOOKUP(K243,TL[],4,FALSE)</f>
        <v>#N/A</v>
      </c>
    </row>
    <row r="244" spans="7:12" x14ac:dyDescent="0.2">
      <c r="G244" s="220">
        <f t="shared" si="24"/>
        <v>0</v>
      </c>
      <c r="H244" s="220">
        <f t="shared" si="25"/>
        <v>0</v>
      </c>
      <c r="I244" s="221">
        <f>IF(A244="Total",VLOOKUP(B244,CORRESPONDANCE[#All],2,FALSE),I245)</f>
        <v>0</v>
      </c>
      <c r="J244" s="222" t="str">
        <f t="shared" si="26"/>
        <v/>
      </c>
      <c r="K244" s="44" t="str">
        <f t="shared" si="27"/>
        <v xml:space="preserve">R314 - </v>
      </c>
      <c r="L244" s="44" t="e">
        <f>+VLOOKUP(K244,TL[],4,FALSE)</f>
        <v>#N/A</v>
      </c>
    </row>
    <row r="245" spans="7:12" x14ac:dyDescent="0.2">
      <c r="G245" s="220">
        <f t="shared" si="24"/>
        <v>0</v>
      </c>
      <c r="H245" s="220">
        <f t="shared" si="25"/>
        <v>0</v>
      </c>
      <c r="I245" s="221">
        <f>IF(A245="Total",VLOOKUP(B245,CORRESPONDANCE[#All],2,FALSE),I246)</f>
        <v>0</v>
      </c>
      <c r="J245" s="222" t="str">
        <f t="shared" si="26"/>
        <v/>
      </c>
      <c r="K245" s="44" t="str">
        <f t="shared" si="27"/>
        <v xml:space="preserve">R314 - </v>
      </c>
      <c r="L245" s="44" t="e">
        <f>+VLOOKUP(K245,TL[],4,FALSE)</f>
        <v>#N/A</v>
      </c>
    </row>
    <row r="246" spans="7:12" x14ac:dyDescent="0.2">
      <c r="G246" s="220">
        <f t="shared" si="24"/>
        <v>0</v>
      </c>
      <c r="H246" s="220">
        <f t="shared" si="25"/>
        <v>0</v>
      </c>
      <c r="I246" s="221">
        <f>IF(A246="Total",VLOOKUP(B246,CORRESPONDANCE[#All],2,FALSE),I247)</f>
        <v>0</v>
      </c>
      <c r="J246" s="222" t="str">
        <f t="shared" si="26"/>
        <v/>
      </c>
      <c r="K246" s="44" t="str">
        <f t="shared" si="27"/>
        <v xml:space="preserve">R314 - </v>
      </c>
      <c r="L246" s="44" t="e">
        <f>+VLOOKUP(K246,TL[],4,FALSE)</f>
        <v>#N/A</v>
      </c>
    </row>
    <row r="247" spans="7:12" x14ac:dyDescent="0.2">
      <c r="G247" s="220">
        <f t="shared" si="24"/>
        <v>0</v>
      </c>
      <c r="H247" s="220">
        <f t="shared" si="25"/>
        <v>0</v>
      </c>
      <c r="I247" s="221">
        <f>IF(A247="Total",VLOOKUP(B247,CORRESPONDANCE[#All],2,FALSE),I248)</f>
        <v>0</v>
      </c>
      <c r="J247" s="222" t="str">
        <f t="shared" si="26"/>
        <v/>
      </c>
      <c r="K247" s="44" t="str">
        <f t="shared" si="27"/>
        <v xml:space="preserve">R314 - </v>
      </c>
      <c r="L247" s="44" t="e">
        <f>+VLOOKUP(K247,TL[],4,FALSE)</f>
        <v>#N/A</v>
      </c>
    </row>
    <row r="248" spans="7:12" x14ac:dyDescent="0.2">
      <c r="G248" s="220">
        <f t="shared" si="24"/>
        <v>0</v>
      </c>
      <c r="H248" s="220">
        <f t="shared" si="25"/>
        <v>0</v>
      </c>
      <c r="I248" s="221">
        <f>IF(A248="Total",VLOOKUP(B248,CORRESPONDANCE[#All],2,FALSE),I249)</f>
        <v>0</v>
      </c>
      <c r="J248" s="222" t="str">
        <f t="shared" si="26"/>
        <v/>
      </c>
      <c r="K248" s="44" t="str">
        <f t="shared" si="27"/>
        <v xml:space="preserve">R314 - </v>
      </c>
      <c r="L248" s="44" t="e">
        <f>+VLOOKUP(K248,TL[],4,FALSE)</f>
        <v>#N/A</v>
      </c>
    </row>
    <row r="249" spans="7:12" x14ac:dyDescent="0.2">
      <c r="G249" s="220">
        <f t="shared" si="24"/>
        <v>0</v>
      </c>
      <c r="H249" s="220">
        <f t="shared" si="25"/>
        <v>0</v>
      </c>
      <c r="I249" s="221">
        <f>IF(A249="Total",VLOOKUP(B249,CORRESPONDANCE[#All],2,FALSE),I250)</f>
        <v>0</v>
      </c>
      <c r="J249" s="222" t="str">
        <f t="shared" si="26"/>
        <v/>
      </c>
      <c r="K249" s="44" t="str">
        <f t="shared" si="27"/>
        <v xml:space="preserve">R314 - </v>
      </c>
      <c r="L249" s="44" t="e">
        <f>+VLOOKUP(K249,TL[],4,FALSE)</f>
        <v>#N/A</v>
      </c>
    </row>
    <row r="250" spans="7:12" x14ac:dyDescent="0.2">
      <c r="G250" s="220">
        <f t="shared" si="24"/>
        <v>0</v>
      </c>
      <c r="H250" s="220">
        <f t="shared" si="25"/>
        <v>0</v>
      </c>
      <c r="I250" s="221">
        <f>IF(A250="Total",VLOOKUP(B250,CORRESPONDANCE[#All],2,FALSE),I251)</f>
        <v>0</v>
      </c>
      <c r="J250" s="222" t="str">
        <f t="shared" si="26"/>
        <v/>
      </c>
      <c r="K250" s="44" t="str">
        <f t="shared" si="27"/>
        <v xml:space="preserve">R314 - </v>
      </c>
      <c r="L250" s="44" t="e">
        <f>+VLOOKUP(K250,TL[],4,FALSE)</f>
        <v>#N/A</v>
      </c>
    </row>
    <row r="251" spans="7:12" x14ac:dyDescent="0.2">
      <c r="G251" s="220">
        <f t="shared" si="24"/>
        <v>0</v>
      </c>
      <c r="H251" s="220">
        <f t="shared" si="25"/>
        <v>0</v>
      </c>
      <c r="I251" s="221">
        <f>IF(A251="Total",VLOOKUP(B251,CORRESPONDANCE[#All],2,FALSE),I252)</f>
        <v>0</v>
      </c>
      <c r="J251" s="222" t="str">
        <f t="shared" si="26"/>
        <v/>
      </c>
      <c r="K251" s="44" t="str">
        <f t="shared" si="27"/>
        <v xml:space="preserve">R314 - </v>
      </c>
      <c r="L251" s="44" t="e">
        <f>+VLOOKUP(K251,TL[],4,FALSE)</f>
        <v>#N/A</v>
      </c>
    </row>
    <row r="252" spans="7:12" x14ac:dyDescent="0.2">
      <c r="G252" s="220">
        <f t="shared" si="24"/>
        <v>0</v>
      </c>
      <c r="H252" s="220">
        <f t="shared" si="25"/>
        <v>0</v>
      </c>
      <c r="I252" s="221">
        <f>IF(A252="Total",VLOOKUP(B252,CORRESPONDANCE[#All],2,FALSE),I253)</f>
        <v>0</v>
      </c>
      <c r="J252" s="222" t="str">
        <f t="shared" si="26"/>
        <v/>
      </c>
      <c r="K252" s="44" t="str">
        <f t="shared" si="27"/>
        <v xml:space="preserve">R314 - </v>
      </c>
      <c r="L252" s="44" t="e">
        <f>+VLOOKUP(K252,TL[],4,FALSE)</f>
        <v>#N/A</v>
      </c>
    </row>
    <row r="253" spans="7:12" x14ac:dyDescent="0.2">
      <c r="G253" s="220">
        <f t="shared" si="24"/>
        <v>0</v>
      </c>
      <c r="H253" s="220">
        <f t="shared" si="25"/>
        <v>0</v>
      </c>
      <c r="I253" s="221">
        <f>IF(A253="Total",VLOOKUP(B253,CORRESPONDANCE[#All],2,FALSE),I254)</f>
        <v>0</v>
      </c>
      <c r="J253" s="222" t="str">
        <f t="shared" si="26"/>
        <v/>
      </c>
      <c r="K253" s="44" t="str">
        <f t="shared" si="27"/>
        <v xml:space="preserve">R314 - </v>
      </c>
      <c r="L253" s="44" t="e">
        <f>+VLOOKUP(K253,TL[],4,FALSE)</f>
        <v>#N/A</v>
      </c>
    </row>
    <row r="254" spans="7:12" x14ac:dyDescent="0.2">
      <c r="G254" s="220">
        <f t="shared" si="24"/>
        <v>0</v>
      </c>
      <c r="H254" s="220">
        <f t="shared" si="25"/>
        <v>0</v>
      </c>
      <c r="I254" s="221">
        <f>IF(A254="Total",VLOOKUP(B254,CORRESPONDANCE[#All],2,FALSE),I255)</f>
        <v>0</v>
      </c>
      <c r="J254" s="222" t="str">
        <f t="shared" si="26"/>
        <v/>
      </c>
      <c r="K254" s="44" t="str">
        <f t="shared" si="27"/>
        <v xml:space="preserve">R314 - </v>
      </c>
      <c r="L254" s="44" t="e">
        <f>+VLOOKUP(K254,TL[],4,FALSE)</f>
        <v>#N/A</v>
      </c>
    </row>
    <row r="255" spans="7:12" x14ac:dyDescent="0.2">
      <c r="G255" s="220">
        <f t="shared" si="24"/>
        <v>0</v>
      </c>
      <c r="H255" s="220">
        <f t="shared" si="25"/>
        <v>0</v>
      </c>
      <c r="I255" s="221">
        <f>IF(A255="Total",VLOOKUP(B255,CORRESPONDANCE[#All],2,FALSE),I256)</f>
        <v>0</v>
      </c>
      <c r="J255" s="222" t="str">
        <f t="shared" si="26"/>
        <v/>
      </c>
      <c r="K255" s="44" t="str">
        <f t="shared" si="27"/>
        <v xml:space="preserve">R314 - </v>
      </c>
      <c r="L255" s="44" t="e">
        <f>+VLOOKUP(K255,TL[],4,FALSE)</f>
        <v>#N/A</v>
      </c>
    </row>
    <row r="256" spans="7:12" x14ac:dyDescent="0.2">
      <c r="G256" s="220">
        <f t="shared" si="24"/>
        <v>0</v>
      </c>
      <c r="H256" s="220">
        <f t="shared" si="25"/>
        <v>0</v>
      </c>
      <c r="I256" s="221">
        <f>IF(A256="Total",VLOOKUP(B256,CORRESPONDANCE[#All],2,FALSE),I257)</f>
        <v>0</v>
      </c>
      <c r="J256" s="222" t="str">
        <f t="shared" si="26"/>
        <v/>
      </c>
      <c r="K256" s="44" t="str">
        <f t="shared" si="27"/>
        <v xml:space="preserve">R314 - </v>
      </c>
      <c r="L256" s="44" t="e">
        <f>+VLOOKUP(K256,TL[],4,FALSE)</f>
        <v>#N/A</v>
      </c>
    </row>
    <row r="257" spans="7:12" x14ac:dyDescent="0.2">
      <c r="G257" s="220">
        <f t="shared" si="24"/>
        <v>0</v>
      </c>
      <c r="H257" s="220">
        <f t="shared" si="25"/>
        <v>0</v>
      </c>
      <c r="I257" s="221">
        <f>IF(A257="Total",VLOOKUP(B257,CORRESPONDANCE[#All],2,FALSE),I258)</f>
        <v>0</v>
      </c>
      <c r="J257" s="222" t="str">
        <f t="shared" si="26"/>
        <v/>
      </c>
      <c r="K257" s="44" t="str">
        <f t="shared" si="27"/>
        <v xml:space="preserve">R314 - </v>
      </c>
      <c r="L257" s="44" t="e">
        <f>+VLOOKUP(K257,TL[],4,FALSE)</f>
        <v>#N/A</v>
      </c>
    </row>
    <row r="258" spans="7:12" x14ac:dyDescent="0.2">
      <c r="G258" s="220">
        <f t="shared" si="24"/>
        <v>0</v>
      </c>
      <c r="H258" s="220">
        <f t="shared" si="25"/>
        <v>0</v>
      </c>
      <c r="I258" s="221">
        <f>IF(A258="Total",VLOOKUP(B258,CORRESPONDANCE[#All],2,FALSE),I259)</f>
        <v>0</v>
      </c>
      <c r="J258" s="222" t="str">
        <f t="shared" si="26"/>
        <v/>
      </c>
      <c r="K258" s="44" t="str">
        <f t="shared" si="27"/>
        <v xml:space="preserve">R314 - </v>
      </c>
      <c r="L258" s="44" t="e">
        <f>+VLOOKUP(K258,TL[],4,FALSE)</f>
        <v>#N/A</v>
      </c>
    </row>
    <row r="259" spans="7:12" x14ac:dyDescent="0.2">
      <c r="G259" s="220">
        <f t="shared" si="24"/>
        <v>0</v>
      </c>
      <c r="H259" s="220">
        <f t="shared" si="25"/>
        <v>0</v>
      </c>
      <c r="I259" s="221">
        <f>IF(A259="Total",VLOOKUP(B259,CORRESPONDANCE[#All],2,FALSE),I260)</f>
        <v>0</v>
      </c>
      <c r="J259" s="222" t="str">
        <f t="shared" si="26"/>
        <v/>
      </c>
      <c r="K259" s="44" t="str">
        <f t="shared" si="27"/>
        <v xml:space="preserve">R314 - </v>
      </c>
      <c r="L259" s="44" t="e">
        <f>+VLOOKUP(K259,TL[],4,FALSE)</f>
        <v>#N/A</v>
      </c>
    </row>
    <row r="260" spans="7:12" x14ac:dyDescent="0.2">
      <c r="G260" s="220">
        <f t="shared" si="24"/>
        <v>0</v>
      </c>
      <c r="H260" s="220">
        <f t="shared" si="25"/>
        <v>0</v>
      </c>
      <c r="I260" s="221">
        <f>IF(A260="Total",VLOOKUP(B260,CORRESPONDANCE[#All],2,FALSE),I261)</f>
        <v>0</v>
      </c>
      <c r="J260" s="222" t="str">
        <f t="shared" si="26"/>
        <v/>
      </c>
      <c r="K260" s="44" t="str">
        <f t="shared" si="27"/>
        <v xml:space="preserve">R314 - </v>
      </c>
      <c r="L260" s="44" t="e">
        <f>+VLOOKUP(K260,TL[],4,FALSE)</f>
        <v>#N/A</v>
      </c>
    </row>
    <row r="261" spans="7:12" x14ac:dyDescent="0.2">
      <c r="G261" s="220">
        <f t="shared" si="24"/>
        <v>0</v>
      </c>
      <c r="H261" s="220">
        <f t="shared" si="25"/>
        <v>0</v>
      </c>
      <c r="I261" s="221">
        <f>IF(A261="Total",VLOOKUP(B261,CORRESPONDANCE[#All],2,FALSE),I262)</f>
        <v>0</v>
      </c>
      <c r="J261" s="222" t="str">
        <f t="shared" si="26"/>
        <v/>
      </c>
      <c r="K261" s="44" t="str">
        <f t="shared" si="27"/>
        <v xml:space="preserve">R314 - </v>
      </c>
      <c r="L261" s="44" t="e">
        <f>+VLOOKUP(K261,TL[],4,FALSE)</f>
        <v>#N/A</v>
      </c>
    </row>
    <row r="262" spans="7:12" x14ac:dyDescent="0.2">
      <c r="G262" s="220">
        <f t="shared" si="24"/>
        <v>0</v>
      </c>
      <c r="H262" s="220">
        <f t="shared" si="25"/>
        <v>0</v>
      </c>
      <c r="I262" s="221">
        <f>IF(A262="Total",VLOOKUP(B262,CORRESPONDANCE[#All],2,FALSE),I263)</f>
        <v>0</v>
      </c>
      <c r="J262" s="222" t="str">
        <f t="shared" si="26"/>
        <v/>
      </c>
      <c r="K262" s="44" t="str">
        <f t="shared" si="27"/>
        <v xml:space="preserve">R314 - </v>
      </c>
      <c r="L262" s="44" t="e">
        <f>+VLOOKUP(K262,TL[],4,FALSE)</f>
        <v>#N/A</v>
      </c>
    </row>
    <row r="263" spans="7:12" x14ac:dyDescent="0.2">
      <c r="G263" s="220">
        <f t="shared" si="24"/>
        <v>0</v>
      </c>
      <c r="H263" s="220">
        <f t="shared" si="25"/>
        <v>0</v>
      </c>
      <c r="I263" s="221">
        <f>IF(A263="Total",VLOOKUP(B263,CORRESPONDANCE[#All],2,FALSE),I264)</f>
        <v>0</v>
      </c>
      <c r="J263" s="222" t="str">
        <f t="shared" si="26"/>
        <v/>
      </c>
      <c r="K263" s="44" t="str">
        <f t="shared" si="27"/>
        <v xml:space="preserve">R314 - </v>
      </c>
      <c r="L263" s="44" t="e">
        <f>+VLOOKUP(K263,TL[],4,FALSE)</f>
        <v>#N/A</v>
      </c>
    </row>
    <row r="264" spans="7:12" x14ac:dyDescent="0.2">
      <c r="G264" s="220">
        <f t="shared" si="24"/>
        <v>0</v>
      </c>
      <c r="H264" s="220">
        <f t="shared" si="25"/>
        <v>0</v>
      </c>
      <c r="I264" s="221">
        <f>IF(A264="Total",VLOOKUP(B264,CORRESPONDANCE[#All],2,FALSE),I265)</f>
        <v>0</v>
      </c>
      <c r="J264" s="222" t="str">
        <f t="shared" si="26"/>
        <v/>
      </c>
      <c r="K264" s="44" t="str">
        <f t="shared" si="27"/>
        <v xml:space="preserve">R314 - </v>
      </c>
      <c r="L264" s="44" t="e">
        <f>+VLOOKUP(K264,TL[],4,FALSE)</f>
        <v>#N/A</v>
      </c>
    </row>
    <row r="265" spans="7:12" x14ac:dyDescent="0.2">
      <c r="G265" s="220">
        <f t="shared" si="24"/>
        <v>0</v>
      </c>
      <c r="H265" s="220">
        <f t="shared" si="25"/>
        <v>0</v>
      </c>
      <c r="I265" s="221">
        <f>IF(A265="Total",VLOOKUP(B265,CORRESPONDANCE[#All],2,FALSE),I266)</f>
        <v>0</v>
      </c>
      <c r="J265" s="222" t="str">
        <f t="shared" si="26"/>
        <v/>
      </c>
      <c r="K265" s="44" t="str">
        <f t="shared" si="27"/>
        <v xml:space="preserve">R314 - </v>
      </c>
      <c r="L265" s="44" t="e">
        <f>+VLOOKUP(K265,TL[],4,FALSE)</f>
        <v>#N/A</v>
      </c>
    </row>
    <row r="266" spans="7:12" x14ac:dyDescent="0.2">
      <c r="G266" s="220">
        <f t="shared" si="24"/>
        <v>0</v>
      </c>
      <c r="H266" s="220">
        <f t="shared" si="25"/>
        <v>0</v>
      </c>
      <c r="I266" s="221">
        <f>IF(A266="Total",VLOOKUP(B266,CORRESPONDANCE[#All],2,FALSE),I267)</f>
        <v>0</v>
      </c>
      <c r="J266" s="222" t="str">
        <f t="shared" si="26"/>
        <v/>
      </c>
      <c r="K266" s="44" t="str">
        <f t="shared" si="27"/>
        <v xml:space="preserve">R314 - </v>
      </c>
      <c r="L266" s="44" t="e">
        <f>+VLOOKUP(K266,TL[],4,FALSE)</f>
        <v>#N/A</v>
      </c>
    </row>
    <row r="267" spans="7:12" x14ac:dyDescent="0.2">
      <c r="G267" s="220">
        <f t="shared" si="24"/>
        <v>0</v>
      </c>
      <c r="H267" s="220">
        <f t="shared" si="25"/>
        <v>0</v>
      </c>
      <c r="I267" s="221">
        <f>IF(A267="Total",VLOOKUP(B267,CORRESPONDANCE[#All],2,FALSE),I268)</f>
        <v>0</v>
      </c>
      <c r="J267" s="222" t="str">
        <f t="shared" si="26"/>
        <v/>
      </c>
      <c r="K267" s="44" t="str">
        <f t="shared" si="27"/>
        <v xml:space="preserve">R314 - </v>
      </c>
      <c r="L267" s="44" t="e">
        <f>+VLOOKUP(K267,TL[],4,FALSE)</f>
        <v>#N/A</v>
      </c>
    </row>
    <row r="268" spans="7:12" x14ac:dyDescent="0.2">
      <c r="G268" s="220">
        <f t="shared" si="24"/>
        <v>0</v>
      </c>
      <c r="H268" s="220">
        <f t="shared" si="25"/>
        <v>0</v>
      </c>
      <c r="I268" s="221">
        <f>IF(A268="Total",VLOOKUP(B268,CORRESPONDANCE[#All],2,FALSE),I269)</f>
        <v>0</v>
      </c>
      <c r="J268" s="222" t="str">
        <f t="shared" si="26"/>
        <v/>
      </c>
      <c r="K268" s="44" t="str">
        <f t="shared" si="27"/>
        <v xml:space="preserve">R314 - </v>
      </c>
      <c r="L268" s="44" t="e">
        <f>+VLOOKUP(K268,TL[],4,FALSE)</f>
        <v>#N/A</v>
      </c>
    </row>
    <row r="269" spans="7:12" x14ac:dyDescent="0.2">
      <c r="G269" s="220">
        <f t="shared" si="24"/>
        <v>0</v>
      </c>
      <c r="H269" s="220">
        <f t="shared" si="25"/>
        <v>0</v>
      </c>
      <c r="I269" s="221">
        <f>IF(A269="Total",VLOOKUP(B269,CORRESPONDANCE[#All],2,FALSE),I270)</f>
        <v>0</v>
      </c>
      <c r="J269" s="222" t="str">
        <f t="shared" si="26"/>
        <v/>
      </c>
      <c r="K269" s="44" t="str">
        <f t="shared" si="27"/>
        <v xml:space="preserve">R314 - </v>
      </c>
      <c r="L269" s="44" t="e">
        <f>+VLOOKUP(K269,TL[],4,FALSE)</f>
        <v>#N/A</v>
      </c>
    </row>
    <row r="270" spans="7:12" x14ac:dyDescent="0.2">
      <c r="G270" s="220">
        <f t="shared" si="24"/>
        <v>0</v>
      </c>
      <c r="H270" s="220">
        <f t="shared" si="25"/>
        <v>0</v>
      </c>
      <c r="I270" s="221">
        <f>IF(A270="Total",VLOOKUP(B270,CORRESPONDANCE[#All],2,FALSE),I271)</f>
        <v>0</v>
      </c>
      <c r="J270" s="222" t="str">
        <f t="shared" si="26"/>
        <v/>
      </c>
      <c r="K270" s="44" t="str">
        <f t="shared" si="27"/>
        <v xml:space="preserve">R314 - </v>
      </c>
      <c r="L270" s="44" t="e">
        <f>+VLOOKUP(K270,TL[],4,FALSE)</f>
        <v>#N/A</v>
      </c>
    </row>
    <row r="271" spans="7:12" x14ac:dyDescent="0.2">
      <c r="G271" s="220">
        <f t="shared" si="24"/>
        <v>0</v>
      </c>
      <c r="H271" s="220">
        <f t="shared" si="25"/>
        <v>0</v>
      </c>
      <c r="I271" s="221">
        <f>IF(A271="Total",VLOOKUP(B271,CORRESPONDANCE[#All],2,FALSE),I272)</f>
        <v>0</v>
      </c>
      <c r="J271" s="222" t="str">
        <f t="shared" si="26"/>
        <v/>
      </c>
      <c r="K271" s="44" t="str">
        <f t="shared" si="27"/>
        <v xml:space="preserve">R314 - </v>
      </c>
      <c r="L271" s="44" t="e">
        <f>+VLOOKUP(K271,TL[],4,FALSE)</f>
        <v>#N/A</v>
      </c>
    </row>
    <row r="272" spans="7:12" x14ac:dyDescent="0.2">
      <c r="G272" s="220">
        <f t="shared" si="24"/>
        <v>0</v>
      </c>
      <c r="H272" s="220">
        <f t="shared" si="25"/>
        <v>0</v>
      </c>
      <c r="I272" s="221">
        <f>IF(A272="Total",VLOOKUP(B272,CORRESPONDANCE[#All],2,FALSE),I273)</f>
        <v>0</v>
      </c>
      <c r="J272" s="222" t="str">
        <f t="shared" si="26"/>
        <v/>
      </c>
      <c r="K272" s="44" t="str">
        <f t="shared" si="27"/>
        <v xml:space="preserve">R314 - </v>
      </c>
      <c r="L272" s="44" t="e">
        <f>+VLOOKUP(K272,TL[],4,FALSE)</f>
        <v>#N/A</v>
      </c>
    </row>
    <row r="273" spans="7:12" x14ac:dyDescent="0.2">
      <c r="G273" s="220">
        <f t="shared" si="24"/>
        <v>0</v>
      </c>
      <c r="H273" s="220">
        <f t="shared" si="25"/>
        <v>0</v>
      </c>
      <c r="I273" s="221">
        <f>IF(A273="Total",VLOOKUP(B273,CORRESPONDANCE[#All],2,FALSE),I274)</f>
        <v>0</v>
      </c>
      <c r="J273" s="222" t="str">
        <f t="shared" si="26"/>
        <v/>
      </c>
      <c r="K273" s="44" t="str">
        <f t="shared" si="27"/>
        <v xml:space="preserve">R314 - </v>
      </c>
      <c r="L273" s="44" t="e">
        <f>+VLOOKUP(K273,TL[],4,FALSE)</f>
        <v>#N/A</v>
      </c>
    </row>
    <row r="274" spans="7:12" x14ac:dyDescent="0.2">
      <c r="G274" s="220">
        <f t="shared" si="24"/>
        <v>0</v>
      </c>
      <c r="H274" s="220">
        <f t="shared" si="25"/>
        <v>0</v>
      </c>
      <c r="I274" s="221">
        <f>IF(A274="Total",VLOOKUP(B274,CORRESPONDANCE[#All],2,FALSE),I275)</f>
        <v>0</v>
      </c>
      <c r="J274" s="222" t="str">
        <f t="shared" si="26"/>
        <v/>
      </c>
      <c r="K274" s="44" t="str">
        <f t="shared" si="27"/>
        <v xml:space="preserve">R314 - </v>
      </c>
      <c r="L274" s="44" t="e">
        <f>+VLOOKUP(K274,TL[],4,FALSE)</f>
        <v>#N/A</v>
      </c>
    </row>
    <row r="275" spans="7:12" x14ac:dyDescent="0.2">
      <c r="G275" s="220">
        <f t="shared" si="24"/>
        <v>0</v>
      </c>
      <c r="H275" s="220">
        <f t="shared" si="25"/>
        <v>0</v>
      </c>
      <c r="I275" s="221">
        <f>IF(A275="Total",VLOOKUP(B275,CORRESPONDANCE[#All],2,FALSE),I276)</f>
        <v>0</v>
      </c>
      <c r="J275" s="222" t="str">
        <f t="shared" si="26"/>
        <v/>
      </c>
      <c r="K275" s="44" t="str">
        <f t="shared" si="27"/>
        <v xml:space="preserve">R314 - </v>
      </c>
      <c r="L275" s="44" t="e">
        <f>+VLOOKUP(K275,TL[],4,FALSE)</f>
        <v>#N/A</v>
      </c>
    </row>
    <row r="276" spans="7:12" x14ac:dyDescent="0.2">
      <c r="G276" s="220">
        <f t="shared" si="24"/>
        <v>0</v>
      </c>
      <c r="H276" s="220">
        <f t="shared" si="25"/>
        <v>0</v>
      </c>
      <c r="I276" s="221">
        <f>IF(A276="Total",VLOOKUP(B276,CORRESPONDANCE[#All],2,FALSE),I277)</f>
        <v>0</v>
      </c>
      <c r="J276" s="222" t="str">
        <f t="shared" si="26"/>
        <v/>
      </c>
      <c r="K276" s="44" t="str">
        <f t="shared" si="27"/>
        <v xml:space="preserve">R314 - </v>
      </c>
      <c r="L276" s="44" t="e">
        <f>+VLOOKUP(K276,TL[],4,FALSE)</f>
        <v>#N/A</v>
      </c>
    </row>
    <row r="277" spans="7:12" x14ac:dyDescent="0.2">
      <c r="G277" s="220">
        <f t="shared" si="24"/>
        <v>0</v>
      </c>
      <c r="H277" s="220">
        <f t="shared" si="25"/>
        <v>0</v>
      </c>
      <c r="I277" s="221">
        <f>IF(A277="Total",VLOOKUP(B277,CORRESPONDANCE[#All],2,FALSE),I278)</f>
        <v>0</v>
      </c>
      <c r="J277" s="222" t="str">
        <f t="shared" si="26"/>
        <v/>
      </c>
      <c r="K277" s="44" t="str">
        <f t="shared" si="27"/>
        <v xml:space="preserve">R314 - </v>
      </c>
      <c r="L277" s="44" t="e">
        <f>+VLOOKUP(K277,TL[],4,FALSE)</f>
        <v>#N/A</v>
      </c>
    </row>
    <row r="278" spans="7:12" x14ac:dyDescent="0.2">
      <c r="G278" s="220">
        <f t="shared" si="24"/>
        <v>0</v>
      </c>
      <c r="H278" s="220">
        <f t="shared" si="25"/>
        <v>0</v>
      </c>
      <c r="I278" s="221">
        <f>IF(A278="Total",VLOOKUP(B278,CORRESPONDANCE[#All],2,FALSE),I279)</f>
        <v>0</v>
      </c>
      <c r="J278" s="222" t="str">
        <f t="shared" si="26"/>
        <v/>
      </c>
      <c r="K278" s="44" t="str">
        <f t="shared" si="27"/>
        <v xml:space="preserve">R314 - </v>
      </c>
      <c r="L278" s="44" t="e">
        <f>+VLOOKUP(K278,TL[],4,FALSE)</f>
        <v>#N/A</v>
      </c>
    </row>
    <row r="279" spans="7:12" x14ac:dyDescent="0.2">
      <c r="G279" s="220">
        <f t="shared" si="24"/>
        <v>0</v>
      </c>
      <c r="H279" s="220">
        <f t="shared" si="25"/>
        <v>0</v>
      </c>
      <c r="I279" s="221">
        <f>IF(A279="Total",VLOOKUP(B279,CORRESPONDANCE[#All],2,FALSE),I280)</f>
        <v>0</v>
      </c>
      <c r="J279" s="222" t="str">
        <f t="shared" si="26"/>
        <v/>
      </c>
      <c r="K279" s="44" t="str">
        <f t="shared" si="27"/>
        <v xml:space="preserve">R314 - </v>
      </c>
      <c r="L279" s="44" t="e">
        <f>+VLOOKUP(K279,TL[],4,FALSE)</f>
        <v>#N/A</v>
      </c>
    </row>
    <row r="280" spans="7:12" x14ac:dyDescent="0.2">
      <c r="G280" s="220">
        <f t="shared" si="24"/>
        <v>0</v>
      </c>
      <c r="H280" s="220">
        <f t="shared" si="25"/>
        <v>0</v>
      </c>
      <c r="I280" s="221">
        <f>IF(A280="Total",VLOOKUP(B280,CORRESPONDANCE[#All],2,FALSE),I281)</f>
        <v>0</v>
      </c>
      <c r="J280" s="222" t="str">
        <f t="shared" si="26"/>
        <v/>
      </c>
      <c r="K280" s="44" t="str">
        <f t="shared" si="27"/>
        <v xml:space="preserve">R314 - </v>
      </c>
      <c r="L280" s="44" t="e">
        <f>+VLOOKUP(K280,TL[],4,FALSE)</f>
        <v>#N/A</v>
      </c>
    </row>
    <row r="281" spans="7:12" x14ac:dyDescent="0.2">
      <c r="G281" s="220">
        <f t="shared" si="24"/>
        <v>0</v>
      </c>
      <c r="H281" s="220">
        <f t="shared" si="25"/>
        <v>0</v>
      </c>
      <c r="I281" s="221">
        <f>IF(A281="Total",VLOOKUP(B281,CORRESPONDANCE[#All],2,FALSE),I282)</f>
        <v>0</v>
      </c>
      <c r="J281" s="222" t="str">
        <f t="shared" si="26"/>
        <v/>
      </c>
      <c r="K281" s="44" t="str">
        <f t="shared" si="27"/>
        <v xml:space="preserve">R314 - </v>
      </c>
      <c r="L281" s="44" t="e">
        <f>+VLOOKUP(K281,TL[],4,FALSE)</f>
        <v>#N/A</v>
      </c>
    </row>
    <row r="282" spans="7:12" x14ac:dyDescent="0.2">
      <c r="G282" s="220">
        <f t="shared" ref="G282:G305" si="28">SUM(C282)-SUM(D282)</f>
        <v>0</v>
      </c>
      <c r="H282" s="220">
        <f t="shared" ref="H282:H305" si="29">SUM(E282)-SUM(F282)</f>
        <v>0</v>
      </c>
      <c r="I282" s="221">
        <f>IF(A282="Total",VLOOKUP(B282,CORRESPONDANCE[#All],2,FALSE),I283)</f>
        <v>0</v>
      </c>
      <c r="J282" s="222" t="str">
        <f t="shared" ref="J282:J305" si="30">LEFT(A282,1)</f>
        <v/>
      </c>
      <c r="K282" s="44" t="str">
        <f t="shared" ref="K282:K305" si="31">"R314"&amp;" - "&amp;A282</f>
        <v xml:space="preserve">R314 - </v>
      </c>
      <c r="L282" s="44" t="e">
        <f>+VLOOKUP(K282,TL[],4,FALSE)</f>
        <v>#N/A</v>
      </c>
    </row>
    <row r="283" spans="7:12" x14ac:dyDescent="0.2">
      <c r="G283" s="220">
        <f t="shared" si="28"/>
        <v>0</v>
      </c>
      <c r="H283" s="220">
        <f t="shared" si="29"/>
        <v>0</v>
      </c>
      <c r="I283" s="221">
        <f>IF(A283="Total",VLOOKUP(B283,CORRESPONDANCE[#All],2,FALSE),I284)</f>
        <v>0</v>
      </c>
      <c r="J283" s="222" t="str">
        <f t="shared" si="30"/>
        <v/>
      </c>
      <c r="K283" s="44" t="str">
        <f t="shared" si="31"/>
        <v xml:space="preserve">R314 - </v>
      </c>
      <c r="L283" s="44" t="e">
        <f>+VLOOKUP(K283,TL[],4,FALSE)</f>
        <v>#N/A</v>
      </c>
    </row>
    <row r="284" spans="7:12" x14ac:dyDescent="0.2">
      <c r="G284" s="220">
        <f t="shared" si="28"/>
        <v>0</v>
      </c>
      <c r="H284" s="220">
        <f t="shared" si="29"/>
        <v>0</v>
      </c>
      <c r="I284" s="221">
        <f>IF(A284="Total",VLOOKUP(B284,CORRESPONDANCE[#All],2,FALSE),I285)</f>
        <v>0</v>
      </c>
      <c r="J284" s="222" t="str">
        <f t="shared" si="30"/>
        <v/>
      </c>
      <c r="K284" s="44" t="str">
        <f t="shared" si="31"/>
        <v xml:space="preserve">R314 - </v>
      </c>
      <c r="L284" s="44" t="e">
        <f>+VLOOKUP(K284,TL[],4,FALSE)</f>
        <v>#N/A</v>
      </c>
    </row>
    <row r="285" spans="7:12" x14ac:dyDescent="0.2">
      <c r="G285" s="220">
        <f t="shared" si="28"/>
        <v>0</v>
      </c>
      <c r="H285" s="220">
        <f t="shared" si="29"/>
        <v>0</v>
      </c>
      <c r="I285" s="221">
        <f>IF(A285="Total",VLOOKUP(B285,CORRESPONDANCE[#All],2,FALSE),I286)</f>
        <v>0</v>
      </c>
      <c r="J285" s="222" t="str">
        <f t="shared" si="30"/>
        <v/>
      </c>
      <c r="K285" s="44" t="str">
        <f t="shared" si="31"/>
        <v xml:space="preserve">R314 - </v>
      </c>
      <c r="L285" s="44" t="e">
        <f>+VLOOKUP(K285,TL[],4,FALSE)</f>
        <v>#N/A</v>
      </c>
    </row>
    <row r="286" spans="7:12" x14ac:dyDescent="0.2">
      <c r="G286" s="220">
        <f t="shared" si="28"/>
        <v>0</v>
      </c>
      <c r="H286" s="220">
        <f t="shared" si="29"/>
        <v>0</v>
      </c>
      <c r="I286" s="221">
        <f>IF(A286="Total",VLOOKUP(B286,CORRESPONDANCE[#All],2,FALSE),I287)</f>
        <v>0</v>
      </c>
      <c r="J286" s="222" t="str">
        <f t="shared" si="30"/>
        <v/>
      </c>
      <c r="K286" s="44" t="str">
        <f t="shared" si="31"/>
        <v xml:space="preserve">R314 - </v>
      </c>
      <c r="L286" s="44" t="e">
        <f>+VLOOKUP(K286,TL[],4,FALSE)</f>
        <v>#N/A</v>
      </c>
    </row>
    <row r="287" spans="7:12" x14ac:dyDescent="0.2">
      <c r="G287" s="220">
        <f t="shared" si="28"/>
        <v>0</v>
      </c>
      <c r="H287" s="220">
        <f t="shared" si="29"/>
        <v>0</v>
      </c>
      <c r="I287" s="221">
        <f>IF(A287="Total",VLOOKUP(B287,CORRESPONDANCE[#All],2,FALSE),I288)</f>
        <v>0</v>
      </c>
      <c r="J287" s="222" t="str">
        <f t="shared" si="30"/>
        <v/>
      </c>
      <c r="K287" s="44" t="str">
        <f t="shared" si="31"/>
        <v xml:space="preserve">R314 - </v>
      </c>
      <c r="L287" s="44" t="e">
        <f>+VLOOKUP(K287,TL[],4,FALSE)</f>
        <v>#N/A</v>
      </c>
    </row>
    <row r="288" spans="7:12" x14ac:dyDescent="0.2">
      <c r="G288" s="220">
        <f t="shared" si="28"/>
        <v>0</v>
      </c>
      <c r="H288" s="220">
        <f t="shared" si="29"/>
        <v>0</v>
      </c>
      <c r="I288" s="221">
        <f>IF(A288="Total",VLOOKUP(B288,CORRESPONDANCE[#All],2,FALSE),I289)</f>
        <v>0</v>
      </c>
      <c r="J288" s="222" t="str">
        <f t="shared" si="30"/>
        <v/>
      </c>
      <c r="K288" s="44" t="str">
        <f t="shared" si="31"/>
        <v xml:space="preserve">R314 - </v>
      </c>
      <c r="L288" s="44" t="e">
        <f>+VLOOKUP(K288,TL[],4,FALSE)</f>
        <v>#N/A</v>
      </c>
    </row>
    <row r="289" spans="7:12" x14ac:dyDescent="0.2">
      <c r="G289" s="220">
        <f t="shared" si="28"/>
        <v>0</v>
      </c>
      <c r="H289" s="220">
        <f t="shared" si="29"/>
        <v>0</v>
      </c>
      <c r="I289" s="221">
        <f>IF(A289="Total",VLOOKUP(B289,CORRESPONDANCE[#All],2,FALSE),I290)</f>
        <v>0</v>
      </c>
      <c r="J289" s="222" t="str">
        <f t="shared" si="30"/>
        <v/>
      </c>
      <c r="K289" s="44" t="str">
        <f t="shared" si="31"/>
        <v xml:space="preserve">R314 - </v>
      </c>
      <c r="L289" s="44" t="e">
        <f>+VLOOKUP(K289,TL[],4,FALSE)</f>
        <v>#N/A</v>
      </c>
    </row>
    <row r="290" spans="7:12" x14ac:dyDescent="0.2">
      <c r="G290" s="220">
        <f t="shared" si="28"/>
        <v>0</v>
      </c>
      <c r="H290" s="220">
        <f t="shared" si="29"/>
        <v>0</v>
      </c>
      <c r="I290" s="221">
        <f>IF(A290="Total",VLOOKUP(B290,CORRESPONDANCE[#All],2,FALSE),I291)</f>
        <v>0</v>
      </c>
      <c r="J290" s="222" t="str">
        <f t="shared" si="30"/>
        <v/>
      </c>
      <c r="K290" s="44" t="str">
        <f t="shared" si="31"/>
        <v xml:space="preserve">R314 - </v>
      </c>
      <c r="L290" s="44" t="e">
        <f>+VLOOKUP(K290,TL[],4,FALSE)</f>
        <v>#N/A</v>
      </c>
    </row>
    <row r="291" spans="7:12" x14ac:dyDescent="0.2">
      <c r="G291" s="220">
        <f t="shared" si="28"/>
        <v>0</v>
      </c>
      <c r="H291" s="220">
        <f t="shared" si="29"/>
        <v>0</v>
      </c>
      <c r="I291" s="221">
        <f>IF(A291="Total",VLOOKUP(B291,CORRESPONDANCE[#All],2,FALSE),I292)</f>
        <v>0</v>
      </c>
      <c r="J291" s="222" t="str">
        <f t="shared" si="30"/>
        <v/>
      </c>
      <c r="K291" s="44" t="str">
        <f t="shared" si="31"/>
        <v xml:space="preserve">R314 - </v>
      </c>
      <c r="L291" s="44" t="e">
        <f>+VLOOKUP(K291,TL[],4,FALSE)</f>
        <v>#N/A</v>
      </c>
    </row>
    <row r="292" spans="7:12" x14ac:dyDescent="0.2">
      <c r="G292" s="220">
        <f t="shared" si="28"/>
        <v>0</v>
      </c>
      <c r="H292" s="220">
        <f t="shared" si="29"/>
        <v>0</v>
      </c>
      <c r="I292" s="221">
        <f>IF(A292="Total",VLOOKUP(B292,CORRESPONDANCE[#All],2,FALSE),I293)</f>
        <v>0</v>
      </c>
      <c r="J292" s="222" t="str">
        <f t="shared" si="30"/>
        <v/>
      </c>
      <c r="K292" s="44" t="str">
        <f t="shared" si="31"/>
        <v xml:space="preserve">R314 - </v>
      </c>
      <c r="L292" s="44" t="e">
        <f>+VLOOKUP(K292,TL[],4,FALSE)</f>
        <v>#N/A</v>
      </c>
    </row>
    <row r="293" spans="7:12" x14ac:dyDescent="0.2">
      <c r="G293" s="220">
        <f t="shared" si="28"/>
        <v>0</v>
      </c>
      <c r="H293" s="220">
        <f t="shared" si="29"/>
        <v>0</v>
      </c>
      <c r="I293" s="221">
        <f>IF(A293="Total",VLOOKUP(B293,CORRESPONDANCE[#All],2,FALSE),I294)</f>
        <v>0</v>
      </c>
      <c r="J293" s="222" t="str">
        <f t="shared" si="30"/>
        <v/>
      </c>
      <c r="K293" s="44" t="str">
        <f t="shared" si="31"/>
        <v xml:space="preserve">R314 - </v>
      </c>
      <c r="L293" s="44" t="e">
        <f>+VLOOKUP(K293,TL[],4,FALSE)</f>
        <v>#N/A</v>
      </c>
    </row>
    <row r="294" spans="7:12" x14ac:dyDescent="0.2">
      <c r="G294" s="220">
        <f t="shared" si="28"/>
        <v>0</v>
      </c>
      <c r="H294" s="220">
        <f t="shared" si="29"/>
        <v>0</v>
      </c>
      <c r="I294" s="221">
        <f>IF(A294="Total",VLOOKUP(B294,CORRESPONDANCE[#All],2,FALSE),I295)</f>
        <v>0</v>
      </c>
      <c r="J294" s="222" t="str">
        <f t="shared" si="30"/>
        <v/>
      </c>
      <c r="K294" s="44" t="str">
        <f t="shared" si="31"/>
        <v xml:space="preserve">R314 - </v>
      </c>
      <c r="L294" s="44" t="e">
        <f>+VLOOKUP(K294,TL[],4,FALSE)</f>
        <v>#N/A</v>
      </c>
    </row>
    <row r="295" spans="7:12" x14ac:dyDescent="0.2">
      <c r="G295" s="220">
        <f t="shared" si="28"/>
        <v>0</v>
      </c>
      <c r="H295" s="220">
        <f t="shared" si="29"/>
        <v>0</v>
      </c>
      <c r="I295" s="221">
        <f>IF(A295="Total",VLOOKUP(B295,CORRESPONDANCE[#All],2,FALSE),I296)</f>
        <v>0</v>
      </c>
      <c r="J295" s="222" t="str">
        <f t="shared" si="30"/>
        <v/>
      </c>
      <c r="K295" s="44" t="str">
        <f t="shared" si="31"/>
        <v xml:space="preserve">R314 - </v>
      </c>
      <c r="L295" s="44" t="e">
        <f>+VLOOKUP(K295,TL[],4,FALSE)</f>
        <v>#N/A</v>
      </c>
    </row>
    <row r="296" spans="7:12" x14ac:dyDescent="0.2">
      <c r="G296" s="220">
        <f t="shared" si="28"/>
        <v>0</v>
      </c>
      <c r="H296" s="220">
        <f t="shared" si="29"/>
        <v>0</v>
      </c>
      <c r="I296" s="221">
        <f>IF(A296="Total",VLOOKUP(B296,CORRESPONDANCE[#All],2,FALSE),I297)</f>
        <v>0</v>
      </c>
      <c r="J296" s="222" t="str">
        <f t="shared" si="30"/>
        <v/>
      </c>
      <c r="K296" s="44" t="str">
        <f t="shared" si="31"/>
        <v xml:space="preserve">R314 - </v>
      </c>
      <c r="L296" s="44" t="e">
        <f>+VLOOKUP(K296,TL[],4,FALSE)</f>
        <v>#N/A</v>
      </c>
    </row>
    <row r="297" spans="7:12" x14ac:dyDescent="0.2">
      <c r="G297" s="220">
        <f t="shared" si="28"/>
        <v>0</v>
      </c>
      <c r="H297" s="220">
        <f t="shared" si="29"/>
        <v>0</v>
      </c>
      <c r="I297" s="221">
        <f>IF(A297="Total",VLOOKUP(B297,CORRESPONDANCE[#All],2,FALSE),I298)</f>
        <v>0</v>
      </c>
      <c r="J297" s="222" t="str">
        <f t="shared" si="30"/>
        <v/>
      </c>
      <c r="K297" s="44" t="str">
        <f t="shared" si="31"/>
        <v xml:space="preserve">R314 - </v>
      </c>
      <c r="L297" s="44" t="e">
        <f>+VLOOKUP(K297,TL[],4,FALSE)</f>
        <v>#N/A</v>
      </c>
    </row>
    <row r="298" spans="7:12" x14ac:dyDescent="0.2">
      <c r="G298" s="220">
        <f t="shared" si="28"/>
        <v>0</v>
      </c>
      <c r="H298" s="220">
        <f t="shared" si="29"/>
        <v>0</v>
      </c>
      <c r="I298" s="221">
        <f>IF(A298="Total",VLOOKUP(B298,CORRESPONDANCE[#All],2,FALSE),I299)</f>
        <v>0</v>
      </c>
      <c r="J298" s="222" t="str">
        <f t="shared" si="30"/>
        <v/>
      </c>
      <c r="K298" s="44" t="str">
        <f t="shared" si="31"/>
        <v xml:space="preserve">R314 - </v>
      </c>
      <c r="L298" s="44" t="e">
        <f>+VLOOKUP(K298,TL[],4,FALSE)</f>
        <v>#N/A</v>
      </c>
    </row>
    <row r="299" spans="7:12" x14ac:dyDescent="0.2">
      <c r="G299" s="220">
        <f t="shared" si="28"/>
        <v>0</v>
      </c>
      <c r="H299" s="220">
        <f t="shared" si="29"/>
        <v>0</v>
      </c>
      <c r="I299" s="221">
        <f>IF(A299="Total",VLOOKUP(B299,CORRESPONDANCE[#All],2,FALSE),I300)</f>
        <v>0</v>
      </c>
      <c r="J299" s="222" t="str">
        <f t="shared" si="30"/>
        <v/>
      </c>
      <c r="K299" s="44" t="str">
        <f t="shared" si="31"/>
        <v xml:space="preserve">R314 - </v>
      </c>
      <c r="L299" s="44" t="e">
        <f>+VLOOKUP(K299,TL[],4,FALSE)</f>
        <v>#N/A</v>
      </c>
    </row>
    <row r="300" spans="7:12" x14ac:dyDescent="0.2">
      <c r="G300" s="220">
        <f t="shared" si="28"/>
        <v>0</v>
      </c>
      <c r="H300" s="220">
        <f t="shared" si="29"/>
        <v>0</v>
      </c>
      <c r="I300" s="221">
        <f>IF(A300="Total",VLOOKUP(B300,CORRESPONDANCE[#All],2,FALSE),I301)</f>
        <v>0</v>
      </c>
      <c r="J300" s="222" t="str">
        <f t="shared" si="30"/>
        <v/>
      </c>
      <c r="K300" s="44" t="str">
        <f t="shared" si="31"/>
        <v xml:space="preserve">R314 - </v>
      </c>
      <c r="L300" s="44" t="e">
        <f>+VLOOKUP(K300,TL[],4,FALSE)</f>
        <v>#N/A</v>
      </c>
    </row>
    <row r="301" spans="7:12" x14ac:dyDescent="0.2">
      <c r="G301" s="220">
        <f t="shared" si="28"/>
        <v>0</v>
      </c>
      <c r="H301" s="220">
        <f t="shared" si="29"/>
        <v>0</v>
      </c>
      <c r="I301" s="221">
        <f>IF(A301="Total",VLOOKUP(B301,CORRESPONDANCE[#All],2,FALSE),I302)</f>
        <v>0</v>
      </c>
      <c r="J301" s="222" t="str">
        <f t="shared" si="30"/>
        <v/>
      </c>
      <c r="K301" s="44" t="str">
        <f t="shared" si="31"/>
        <v xml:space="preserve">R314 - </v>
      </c>
      <c r="L301" s="44" t="e">
        <f>+VLOOKUP(K301,TL[],4,FALSE)</f>
        <v>#N/A</v>
      </c>
    </row>
    <row r="302" spans="7:12" x14ac:dyDescent="0.2">
      <c r="G302" s="220">
        <f t="shared" si="28"/>
        <v>0</v>
      </c>
      <c r="H302" s="220">
        <f t="shared" si="29"/>
        <v>0</v>
      </c>
      <c r="I302" s="221">
        <f>IF(A302="Total",VLOOKUP(B302,CORRESPONDANCE[#All],2,FALSE),I303)</f>
        <v>0</v>
      </c>
      <c r="J302" s="222" t="str">
        <f t="shared" si="30"/>
        <v/>
      </c>
      <c r="K302" s="44" t="str">
        <f t="shared" si="31"/>
        <v xml:space="preserve">R314 - </v>
      </c>
      <c r="L302" s="44" t="e">
        <f>+VLOOKUP(K302,TL[],4,FALSE)</f>
        <v>#N/A</v>
      </c>
    </row>
    <row r="303" spans="7:12" x14ac:dyDescent="0.2">
      <c r="G303" s="220">
        <f t="shared" si="28"/>
        <v>0</v>
      </c>
      <c r="H303" s="220">
        <f t="shared" si="29"/>
        <v>0</v>
      </c>
      <c r="I303" s="221">
        <f>IF(A303="Total",VLOOKUP(B303,CORRESPONDANCE[#All],2,FALSE),I304)</f>
        <v>0</v>
      </c>
      <c r="J303" s="222" t="str">
        <f t="shared" si="30"/>
        <v/>
      </c>
      <c r="K303" s="44" t="str">
        <f t="shared" si="31"/>
        <v xml:space="preserve">R314 - </v>
      </c>
      <c r="L303" s="44" t="e">
        <f>+VLOOKUP(K303,TL[],4,FALSE)</f>
        <v>#N/A</v>
      </c>
    </row>
    <row r="304" spans="7:12" x14ac:dyDescent="0.2">
      <c r="G304" s="220">
        <f t="shared" si="28"/>
        <v>0</v>
      </c>
      <c r="H304" s="220">
        <f t="shared" si="29"/>
        <v>0</v>
      </c>
      <c r="I304" s="221">
        <f>IF(A304="Total",VLOOKUP(B304,CORRESPONDANCE[#All],2,FALSE),I305)</f>
        <v>0</v>
      </c>
      <c r="J304" s="222" t="str">
        <f t="shared" si="30"/>
        <v/>
      </c>
      <c r="K304" s="44" t="str">
        <f t="shared" si="31"/>
        <v xml:space="preserve">R314 - </v>
      </c>
      <c r="L304" s="44" t="e">
        <f>+VLOOKUP(K304,TL[],4,FALSE)</f>
        <v>#N/A</v>
      </c>
    </row>
    <row r="305" spans="7:12" x14ac:dyDescent="0.2">
      <c r="G305" s="220">
        <f t="shared" si="28"/>
        <v>0</v>
      </c>
      <c r="H305" s="220">
        <f t="shared" si="29"/>
        <v>0</v>
      </c>
      <c r="I305" s="221">
        <f>IF(A305="Total",VLOOKUP(B305,CORRESPONDANCE[#All],2,FALSE),I306)</f>
        <v>0</v>
      </c>
      <c r="J305" s="222" t="str">
        <f t="shared" si="30"/>
        <v/>
      </c>
      <c r="K305" s="44" t="str">
        <f t="shared" si="31"/>
        <v xml:space="preserve">R314 - </v>
      </c>
      <c r="L305" s="44" t="e">
        <f>+VLOOKUP(K305,TL[],4,FALSE)</f>
        <v>#N/A</v>
      </c>
    </row>
  </sheetData>
  <autoFilter ref="A1:L215" xr:uid="{A1681CEF-6B4D-4A67-8769-4FD11D76E2A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26E48-B1A4-4840-B14C-EA483E052F7D}">
  <sheetPr>
    <tabColor theme="7" tint="0.59999389629810485"/>
  </sheetPr>
  <dimension ref="A1:L286"/>
  <sheetViews>
    <sheetView zoomScale="85" zoomScaleNormal="85" workbookViewId="0">
      <selection sqref="A1:F1048576"/>
    </sheetView>
  </sheetViews>
  <sheetFormatPr baseColWidth="10" defaultColWidth="11.5703125" defaultRowHeight="12.75" x14ac:dyDescent="0.2"/>
  <cols>
    <col min="7" max="8" width="13.28515625" style="223" customWidth="1"/>
    <col min="9" max="9" width="11.7109375" style="224" bestFit="1" customWidth="1"/>
    <col min="10" max="16384" width="11.5703125" style="44"/>
  </cols>
  <sheetData>
    <row r="1" spans="1:12" x14ac:dyDescent="0.2">
      <c r="A1" t="s">
        <v>2433</v>
      </c>
      <c r="B1" t="s">
        <v>6954</v>
      </c>
      <c r="C1" t="s">
        <v>7117</v>
      </c>
      <c r="D1" t="s">
        <v>7118</v>
      </c>
      <c r="E1" t="s">
        <v>7117</v>
      </c>
      <c r="F1" t="s">
        <v>7118</v>
      </c>
      <c r="G1" s="217" t="s">
        <v>2509</v>
      </c>
      <c r="H1" s="217" t="s">
        <v>2510</v>
      </c>
      <c r="I1" s="218" t="s">
        <v>2511</v>
      </c>
      <c r="J1" s="219" t="s">
        <v>2512</v>
      </c>
      <c r="K1" s="44" t="s">
        <v>3047</v>
      </c>
      <c r="L1" s="44" t="s">
        <v>2997</v>
      </c>
    </row>
    <row r="2" spans="1:12" x14ac:dyDescent="0.2">
      <c r="A2" t="s">
        <v>1793</v>
      </c>
      <c r="B2" t="s">
        <v>283</v>
      </c>
      <c r="C2">
        <v>7358.87</v>
      </c>
      <c r="D2" t="s">
        <v>6961</v>
      </c>
      <c r="E2">
        <v>7358.87</v>
      </c>
      <c r="F2" t="s">
        <v>6961</v>
      </c>
      <c r="G2" s="220">
        <f>SUM(C2)-SUM(D2)</f>
        <v>7358.87</v>
      </c>
      <c r="H2" s="220">
        <f>SUM(E2)-SUM(F2)</f>
        <v>7358.87</v>
      </c>
      <c r="I2" s="221">
        <f>IF(A2="Total",VLOOKUP(B2,CORRESPONDANCE[#All],2,FALSE),I3)</f>
        <v>2</v>
      </c>
      <c r="J2" s="222" t="str">
        <f>LEFT(A2,1)</f>
        <v>7</v>
      </c>
      <c r="K2" s="44" t="str">
        <f>"LYSE"&amp;" - "&amp;A2</f>
        <v>LYSE - 701001</v>
      </c>
      <c r="L2" s="44" t="str">
        <f>+VLOOKUP(K2,TL[],4,FALSE)</f>
        <v>01</v>
      </c>
    </row>
    <row r="3" spans="1:12" x14ac:dyDescent="0.2">
      <c r="A3" t="s">
        <v>1797</v>
      </c>
      <c r="B3" t="s">
        <v>245</v>
      </c>
      <c r="C3" t="s">
        <v>6961</v>
      </c>
      <c r="D3">
        <v>1413.64</v>
      </c>
      <c r="E3" t="s">
        <v>6961</v>
      </c>
      <c r="F3">
        <v>1413.64</v>
      </c>
      <c r="G3" s="220">
        <f>SUM(C3)-SUM(D3)</f>
        <v>-1413.64</v>
      </c>
      <c r="H3" s="220">
        <f>SUM(E3)-SUM(F3)</f>
        <v>-1413.64</v>
      </c>
      <c r="I3" s="221">
        <f>IF(A3="Total",VLOOKUP(B3,CORRESPONDANCE[#All],2,FALSE),I4)</f>
        <v>2</v>
      </c>
      <c r="J3" s="222" t="str">
        <f t="shared" ref="J3:J66" si="0">LEFT(A3,1)</f>
        <v>7</v>
      </c>
      <c r="K3" s="44" t="str">
        <f t="shared" ref="K3:K66" si="1">"LYSE"&amp;" - "&amp;A3</f>
        <v>LYSE - 701002</v>
      </c>
      <c r="L3" s="44" t="str">
        <f>+VLOOKUP(K3,TL[],4,FALSE)</f>
        <v>01</v>
      </c>
    </row>
    <row r="4" spans="1:12" x14ac:dyDescent="0.2">
      <c r="A4" t="s">
        <v>1800</v>
      </c>
      <c r="B4" t="s">
        <v>246</v>
      </c>
      <c r="C4" t="s">
        <v>6961</v>
      </c>
      <c r="D4">
        <v>384205.71</v>
      </c>
      <c r="E4" t="s">
        <v>6961</v>
      </c>
      <c r="F4">
        <v>384205.71</v>
      </c>
      <c r="G4" s="220">
        <f>SUM(C4)-SUM(D4)</f>
        <v>-384205.71</v>
      </c>
      <c r="H4" s="220">
        <f>SUM(E4)-SUM(F4)</f>
        <v>-384205.71</v>
      </c>
      <c r="I4" s="221">
        <f>IF(A4="Total",VLOOKUP(B4,CORRESPONDANCE[#All],2,FALSE),I5)</f>
        <v>2</v>
      </c>
      <c r="J4" s="222" t="str">
        <f t="shared" si="0"/>
        <v>7</v>
      </c>
      <c r="K4" s="44" t="str">
        <f t="shared" si="1"/>
        <v>LYSE - 701005</v>
      </c>
      <c r="L4" s="44" t="str">
        <f>+VLOOKUP(K4,TL[],4,FALSE)</f>
        <v>01</v>
      </c>
    </row>
    <row r="5" spans="1:12" x14ac:dyDescent="0.2">
      <c r="A5" t="s">
        <v>1799</v>
      </c>
      <c r="B5" t="s">
        <v>251</v>
      </c>
      <c r="C5" t="s">
        <v>6961</v>
      </c>
      <c r="D5">
        <v>961.98</v>
      </c>
      <c r="E5" t="s">
        <v>6961</v>
      </c>
      <c r="F5">
        <v>961.98</v>
      </c>
      <c r="G5" s="220">
        <f>SUM(C5)-SUM(D5)</f>
        <v>-961.98</v>
      </c>
      <c r="H5" s="220">
        <f>SUM(E5)-SUM(F5)</f>
        <v>-961.98</v>
      </c>
      <c r="I5" s="221">
        <f>IF(A5="Total",VLOOKUP(B5,CORRESPONDANCE[#All],2,FALSE),I6)</f>
        <v>2</v>
      </c>
      <c r="J5" s="222" t="str">
        <f t="shared" si="0"/>
        <v>7</v>
      </c>
      <c r="K5" s="44" t="str">
        <f t="shared" si="1"/>
        <v>LYSE - 701006</v>
      </c>
      <c r="L5" s="44" t="str">
        <f>+VLOOKUP(K5,TL[],4,FALSE)</f>
        <v>01</v>
      </c>
    </row>
    <row r="6" spans="1:12" x14ac:dyDescent="0.2">
      <c r="A6" t="s">
        <v>197</v>
      </c>
      <c r="B6" t="s">
        <v>2514</v>
      </c>
      <c r="C6" t="s">
        <v>6961</v>
      </c>
      <c r="D6">
        <v>379222.46</v>
      </c>
      <c r="E6" t="s">
        <v>6961</v>
      </c>
      <c r="F6">
        <v>379222.46</v>
      </c>
      <c r="G6" s="220">
        <f t="shared" ref="G6:G69" si="2">SUM(C6)-SUM(D6)</f>
        <v>-379222.46</v>
      </c>
      <c r="H6" s="220">
        <f t="shared" ref="H6:H69" si="3">SUM(E6)-SUM(F6)</f>
        <v>-379222.46</v>
      </c>
      <c r="I6" s="221">
        <f>IF(A6="Total",VLOOKUP(B6,CORRESPONDANCE[#All],2,FALSE),I7)</f>
        <v>2</v>
      </c>
      <c r="J6" s="222" t="str">
        <f t="shared" si="0"/>
        <v>T</v>
      </c>
      <c r="K6" s="44" t="str">
        <f t="shared" si="1"/>
        <v>LYSE - Total</v>
      </c>
      <c r="L6" s="44" t="e">
        <f>+VLOOKUP(K6,TL[],4,FALSE)</f>
        <v>#N/A</v>
      </c>
    </row>
    <row r="7" spans="1:12" x14ac:dyDescent="0.2">
      <c r="A7" t="s">
        <v>1607</v>
      </c>
      <c r="B7" t="s">
        <v>171</v>
      </c>
      <c r="C7">
        <v>79212.88</v>
      </c>
      <c r="D7" t="s">
        <v>6961</v>
      </c>
      <c r="E7">
        <v>79212.88</v>
      </c>
      <c r="F7" t="s">
        <v>6961</v>
      </c>
      <c r="G7" s="220">
        <f t="shared" si="2"/>
        <v>79212.88</v>
      </c>
      <c r="H7" s="220">
        <f t="shared" si="3"/>
        <v>79212.88</v>
      </c>
      <c r="I7" s="221">
        <f>IF(A7="Total",VLOOKUP(B7,CORRESPONDANCE[#All],2,FALSE),I8)</f>
        <v>3</v>
      </c>
      <c r="J7" s="222" t="str">
        <f t="shared" si="0"/>
        <v>6</v>
      </c>
      <c r="K7" s="44" t="str">
        <f t="shared" si="1"/>
        <v>LYSE - 601100</v>
      </c>
      <c r="L7" s="44" t="str">
        <f>+VLOOKUP(K7,TL[],4,FALSE)</f>
        <v>06</v>
      </c>
    </row>
    <row r="8" spans="1:12" x14ac:dyDescent="0.2">
      <c r="A8" t="s">
        <v>1780</v>
      </c>
      <c r="B8" t="s">
        <v>310</v>
      </c>
      <c r="C8">
        <v>5814.66</v>
      </c>
      <c r="D8" t="s">
        <v>6961</v>
      </c>
      <c r="E8">
        <v>5814.66</v>
      </c>
      <c r="F8" t="s">
        <v>6961</v>
      </c>
      <c r="G8" s="220">
        <f t="shared" si="2"/>
        <v>5814.66</v>
      </c>
      <c r="H8" s="220">
        <f t="shared" si="3"/>
        <v>5814.66</v>
      </c>
      <c r="I8" s="221">
        <f>IF(A8="Total",VLOOKUP(B8,CORRESPONDANCE[#All],2,FALSE),I9)</f>
        <v>3</v>
      </c>
      <c r="J8" s="222" t="str">
        <f t="shared" si="0"/>
        <v>6</v>
      </c>
      <c r="K8" s="44" t="str">
        <f t="shared" si="1"/>
        <v>LYSE - 603100</v>
      </c>
      <c r="L8" s="44" t="str">
        <f>+VLOOKUP(K8,TL[],4,FALSE)</f>
        <v>06</v>
      </c>
    </row>
    <row r="9" spans="1:12" x14ac:dyDescent="0.2">
      <c r="A9" t="s">
        <v>1724</v>
      </c>
      <c r="B9" t="s">
        <v>456</v>
      </c>
      <c r="C9">
        <v>1243</v>
      </c>
      <c r="D9" t="s">
        <v>6961</v>
      </c>
      <c r="E9">
        <v>1243</v>
      </c>
      <c r="F9" t="s">
        <v>6961</v>
      </c>
      <c r="G9" s="220">
        <f t="shared" si="2"/>
        <v>1243</v>
      </c>
      <c r="H9" s="220">
        <f t="shared" si="3"/>
        <v>1243</v>
      </c>
      <c r="I9" s="221">
        <f>IF(A9="Total",VLOOKUP(B9,CORRESPONDANCE[#All],2,FALSE),I10)</f>
        <v>3</v>
      </c>
      <c r="J9" s="222" t="str">
        <f t="shared" si="0"/>
        <v>6</v>
      </c>
      <c r="K9" s="44" t="str">
        <f t="shared" si="1"/>
        <v>LYSE - 635511</v>
      </c>
      <c r="L9" s="44" t="str">
        <f>+VLOOKUP(K9,TL[],4,FALSE)</f>
        <v>09</v>
      </c>
    </row>
    <row r="10" spans="1:12" x14ac:dyDescent="0.2">
      <c r="A10" t="s">
        <v>1735</v>
      </c>
      <c r="B10" t="s">
        <v>309</v>
      </c>
      <c r="C10" t="s">
        <v>6961</v>
      </c>
      <c r="D10">
        <v>2444.08</v>
      </c>
      <c r="E10" t="s">
        <v>6961</v>
      </c>
      <c r="F10">
        <v>2444.08</v>
      </c>
      <c r="G10" s="220">
        <f t="shared" si="2"/>
        <v>-2444.08</v>
      </c>
      <c r="H10" s="220">
        <f t="shared" si="3"/>
        <v>-2444.08</v>
      </c>
      <c r="I10" s="221">
        <f>IF(A10="Total",VLOOKUP(B10,CORRESPONDANCE[#All],2,FALSE),I11)</f>
        <v>3</v>
      </c>
      <c r="J10" s="222" t="str">
        <f t="shared" si="0"/>
        <v>7</v>
      </c>
      <c r="K10" s="44" t="str">
        <f t="shared" si="1"/>
        <v>LYSE - 708000</v>
      </c>
      <c r="L10" s="44" t="str">
        <f>+VLOOKUP(K10,TL[],4,FALSE)</f>
        <v>06</v>
      </c>
    </row>
    <row r="11" spans="1:12" x14ac:dyDescent="0.2">
      <c r="A11" t="s">
        <v>197</v>
      </c>
      <c r="B11" t="s">
        <v>2516</v>
      </c>
      <c r="C11">
        <v>83826.460000000006</v>
      </c>
      <c r="D11" t="s">
        <v>6961</v>
      </c>
      <c r="E11">
        <v>83826.460000000006</v>
      </c>
      <c r="F11" t="s">
        <v>6961</v>
      </c>
      <c r="G11" s="220">
        <f t="shared" si="2"/>
        <v>83826.460000000006</v>
      </c>
      <c r="H11" s="220">
        <f t="shared" si="3"/>
        <v>83826.460000000006</v>
      </c>
      <c r="I11" s="221">
        <f>IF(A11="Total",VLOOKUP(B11,CORRESPONDANCE[#All],2,FALSE),I12)</f>
        <v>3</v>
      </c>
      <c r="J11" s="222" t="str">
        <f t="shared" si="0"/>
        <v>T</v>
      </c>
      <c r="K11" s="44" t="str">
        <f t="shared" si="1"/>
        <v>LYSE - Total</v>
      </c>
      <c r="L11" s="44" t="e">
        <f>+VLOOKUP(K11,TL[],4,FALSE)</f>
        <v>#N/A</v>
      </c>
    </row>
    <row r="12" spans="1:12" x14ac:dyDescent="0.2">
      <c r="A12" t="s">
        <v>1789</v>
      </c>
      <c r="B12" t="s">
        <v>517</v>
      </c>
      <c r="C12">
        <v>1513.63</v>
      </c>
      <c r="D12" t="s">
        <v>6961</v>
      </c>
      <c r="E12">
        <v>1513.63</v>
      </c>
      <c r="F12" t="s">
        <v>6961</v>
      </c>
      <c r="G12" s="220">
        <f t="shared" si="2"/>
        <v>1513.63</v>
      </c>
      <c r="H12" s="220">
        <f t="shared" si="3"/>
        <v>1513.63</v>
      </c>
      <c r="I12" s="221">
        <f>IF(A12="Total",VLOOKUP(B12,CORRESPONDANCE[#All],2,FALSE),I13)</f>
        <v>4</v>
      </c>
      <c r="J12" s="222" t="str">
        <f t="shared" si="0"/>
        <v>6</v>
      </c>
      <c r="K12" s="44" t="str">
        <f t="shared" si="1"/>
        <v>LYSE - 601103</v>
      </c>
      <c r="L12" s="44" t="str">
        <f>+VLOOKUP(K12,TL[],4,FALSE)</f>
        <v>08</v>
      </c>
    </row>
    <row r="13" spans="1:12" x14ac:dyDescent="0.2">
      <c r="A13" t="s">
        <v>197</v>
      </c>
      <c r="B13" t="s">
        <v>2517</v>
      </c>
      <c r="C13">
        <v>1513.63</v>
      </c>
      <c r="D13" t="s">
        <v>6961</v>
      </c>
      <c r="E13">
        <v>1513.63</v>
      </c>
      <c r="F13" t="s">
        <v>6961</v>
      </c>
      <c r="G13" s="220">
        <f t="shared" si="2"/>
        <v>1513.63</v>
      </c>
      <c r="H13" s="220">
        <f t="shared" si="3"/>
        <v>1513.63</v>
      </c>
      <c r="I13" s="221">
        <f>IF(A13="Total",VLOOKUP(B13,CORRESPONDANCE[#All],2,FALSE),I14)</f>
        <v>4</v>
      </c>
      <c r="J13" s="222" t="str">
        <f t="shared" si="0"/>
        <v>T</v>
      </c>
      <c r="K13" s="44" t="str">
        <f t="shared" si="1"/>
        <v>LYSE - Total</v>
      </c>
      <c r="L13" s="44" t="e">
        <f>+VLOOKUP(K13,TL[],4,FALSE)</f>
        <v>#N/A</v>
      </c>
    </row>
    <row r="14" spans="1:12" x14ac:dyDescent="0.2">
      <c r="A14" t="s">
        <v>1790</v>
      </c>
      <c r="B14" t="s">
        <v>2</v>
      </c>
      <c r="C14">
        <v>2800.7</v>
      </c>
      <c r="D14" t="s">
        <v>6961</v>
      </c>
      <c r="E14">
        <v>2800.7</v>
      </c>
      <c r="F14" t="s">
        <v>6961</v>
      </c>
      <c r="G14" s="220">
        <f t="shared" si="2"/>
        <v>2800.7</v>
      </c>
      <c r="H14" s="220">
        <f t="shared" si="3"/>
        <v>2800.7</v>
      </c>
      <c r="I14" s="221">
        <f>IF(A14="Total",VLOOKUP(B14,CORRESPONDANCE[#All],2,FALSE),I15)</f>
        <v>5</v>
      </c>
      <c r="J14" s="222" t="str">
        <f t="shared" si="0"/>
        <v>6</v>
      </c>
      <c r="K14" s="44" t="str">
        <f t="shared" si="1"/>
        <v>LYSE - 601102</v>
      </c>
      <c r="L14" s="44" t="str">
        <f>+VLOOKUP(K14,TL[],4,FALSE)</f>
        <v>07</v>
      </c>
    </row>
    <row r="15" spans="1:12" x14ac:dyDescent="0.2">
      <c r="A15" t="s">
        <v>197</v>
      </c>
      <c r="B15" t="s">
        <v>2518</v>
      </c>
      <c r="C15">
        <v>2800.7</v>
      </c>
      <c r="D15" t="s">
        <v>6961</v>
      </c>
      <c r="E15">
        <v>2800.7</v>
      </c>
      <c r="F15" t="s">
        <v>6961</v>
      </c>
      <c r="G15" s="220">
        <f t="shared" si="2"/>
        <v>2800.7</v>
      </c>
      <c r="H15" s="220">
        <f t="shared" si="3"/>
        <v>2800.7</v>
      </c>
      <c r="I15" s="221">
        <f>IF(A15="Total",VLOOKUP(B15,CORRESPONDANCE[#All],2,FALSE),I16)</f>
        <v>5</v>
      </c>
      <c r="J15" s="222" t="str">
        <f t="shared" si="0"/>
        <v>T</v>
      </c>
      <c r="K15" s="44" t="str">
        <f t="shared" si="1"/>
        <v>LYSE - Total</v>
      </c>
      <c r="L15" s="44" t="e">
        <f>+VLOOKUP(K15,TL[],4,FALSE)</f>
        <v>#N/A</v>
      </c>
    </row>
    <row r="16" spans="1:12" x14ac:dyDescent="0.2">
      <c r="A16" t="s">
        <v>1630</v>
      </c>
      <c r="B16" t="s">
        <v>452</v>
      </c>
      <c r="C16">
        <v>7593</v>
      </c>
      <c r="D16" t="s">
        <v>6961</v>
      </c>
      <c r="E16">
        <v>7593</v>
      </c>
      <c r="F16" t="s">
        <v>6961</v>
      </c>
      <c r="G16" s="220">
        <f t="shared" si="2"/>
        <v>7593</v>
      </c>
      <c r="H16" s="220">
        <f t="shared" si="3"/>
        <v>7593</v>
      </c>
      <c r="I16" s="221">
        <f>IF(A16="Total",VLOOKUP(B16,CORRESPONDANCE[#All],2,FALSE),I17)</f>
        <v>6</v>
      </c>
      <c r="J16" s="222" t="str">
        <f t="shared" si="0"/>
        <v>6</v>
      </c>
      <c r="K16" s="44" t="str">
        <f t="shared" si="1"/>
        <v>LYSE - 602201</v>
      </c>
      <c r="L16" s="44" t="str">
        <f>+VLOOKUP(K16,TL[],4,FALSE)</f>
        <v>03</v>
      </c>
    </row>
    <row r="17" spans="1:12" x14ac:dyDescent="0.2">
      <c r="A17" t="s">
        <v>1781</v>
      </c>
      <c r="B17" t="s">
        <v>494</v>
      </c>
      <c r="C17">
        <v>1540.39</v>
      </c>
      <c r="D17" t="s">
        <v>6961</v>
      </c>
      <c r="E17">
        <v>1540.39</v>
      </c>
      <c r="F17" t="s">
        <v>6961</v>
      </c>
      <c r="G17" s="220">
        <f t="shared" si="2"/>
        <v>1540.39</v>
      </c>
      <c r="H17" s="220">
        <f t="shared" si="3"/>
        <v>1540.39</v>
      </c>
      <c r="I17" s="221">
        <f>IF(A17="Total",VLOOKUP(B17,CORRESPONDANCE[#All],2,FALSE),I18)</f>
        <v>6</v>
      </c>
      <c r="J17" s="222" t="str">
        <f t="shared" si="0"/>
        <v>6</v>
      </c>
      <c r="K17" s="44" t="str">
        <f t="shared" si="1"/>
        <v>LYSE - 603200</v>
      </c>
      <c r="L17" s="44" t="str">
        <f>+VLOOKUP(K17,TL[],4,FALSE)</f>
        <v>03</v>
      </c>
    </row>
    <row r="18" spans="1:12" x14ac:dyDescent="0.2">
      <c r="A18" t="s">
        <v>197</v>
      </c>
      <c r="B18" t="s">
        <v>2519</v>
      </c>
      <c r="C18">
        <v>9133.39</v>
      </c>
      <c r="D18" t="s">
        <v>6961</v>
      </c>
      <c r="E18">
        <v>9133.39</v>
      </c>
      <c r="F18" t="s">
        <v>6961</v>
      </c>
      <c r="G18" s="220">
        <f t="shared" si="2"/>
        <v>9133.39</v>
      </c>
      <c r="H18" s="220">
        <f t="shared" si="3"/>
        <v>9133.39</v>
      </c>
      <c r="I18" s="221">
        <f>IF(A18="Total",VLOOKUP(B18,CORRESPONDANCE[#All],2,FALSE),I19)</f>
        <v>6</v>
      </c>
      <c r="J18" s="222" t="str">
        <f t="shared" si="0"/>
        <v>T</v>
      </c>
      <c r="K18" s="44" t="str">
        <f t="shared" si="1"/>
        <v>LYSE - Total</v>
      </c>
      <c r="L18" s="44" t="e">
        <f>+VLOOKUP(K18,TL[],4,FALSE)</f>
        <v>#N/A</v>
      </c>
    </row>
    <row r="19" spans="1:12" x14ac:dyDescent="0.2">
      <c r="A19" t="s">
        <v>6279</v>
      </c>
      <c r="B19" t="s">
        <v>3549</v>
      </c>
      <c r="C19">
        <v>456.05</v>
      </c>
      <c r="D19" t="s">
        <v>6961</v>
      </c>
      <c r="E19">
        <v>456.05</v>
      </c>
      <c r="F19" t="s">
        <v>6961</v>
      </c>
      <c r="G19" s="220">
        <f t="shared" si="2"/>
        <v>456.05</v>
      </c>
      <c r="H19" s="220">
        <f t="shared" si="3"/>
        <v>456.05</v>
      </c>
      <c r="I19" s="221" t="str">
        <f>IF(A19="Total",VLOOKUP(B19,CORRESPONDANCE[#All],2,FALSE),I20)</f>
        <v>6.1</v>
      </c>
      <c r="J19" s="222" t="str">
        <f t="shared" si="0"/>
        <v>6</v>
      </c>
      <c r="K19" s="44" t="str">
        <f t="shared" si="1"/>
        <v>LYSE - 602612</v>
      </c>
      <c r="L19" s="44" t="e">
        <f>+VLOOKUP(K19,TL[],4,FALSE)</f>
        <v>#N/A</v>
      </c>
    </row>
    <row r="20" spans="1:12" x14ac:dyDescent="0.2">
      <c r="A20" t="s">
        <v>6857</v>
      </c>
      <c r="B20" t="s">
        <v>6858</v>
      </c>
      <c r="C20" t="s">
        <v>6961</v>
      </c>
      <c r="D20">
        <v>170.11</v>
      </c>
      <c r="E20" t="s">
        <v>6961</v>
      </c>
      <c r="F20">
        <v>170.11</v>
      </c>
      <c r="G20" s="220">
        <f t="shared" si="2"/>
        <v>-170.11</v>
      </c>
      <c r="H20" s="220">
        <f t="shared" si="3"/>
        <v>-170.11</v>
      </c>
      <c r="I20" s="221" t="str">
        <f>IF(A20="Total",VLOOKUP(B20,CORRESPONDANCE[#All],2,FALSE),I21)</f>
        <v>6.1</v>
      </c>
      <c r="J20" s="222" t="str">
        <f t="shared" si="0"/>
        <v>6</v>
      </c>
      <c r="K20" s="44" t="str">
        <f t="shared" si="1"/>
        <v>LYSE - 603211</v>
      </c>
      <c r="L20" s="44" t="str">
        <f>+VLOOKUP(K20,TL[],4,FALSE)</f>
        <v>06</v>
      </c>
    </row>
    <row r="21" spans="1:12" x14ac:dyDescent="0.2">
      <c r="A21" t="s">
        <v>197</v>
      </c>
      <c r="B21" t="s">
        <v>3010</v>
      </c>
      <c r="C21">
        <v>285.94</v>
      </c>
      <c r="D21" t="s">
        <v>6961</v>
      </c>
      <c r="E21">
        <v>285.94</v>
      </c>
      <c r="F21" t="s">
        <v>6961</v>
      </c>
      <c r="G21" s="220">
        <f t="shared" si="2"/>
        <v>285.94</v>
      </c>
      <c r="H21" s="220">
        <f t="shared" si="3"/>
        <v>285.94</v>
      </c>
      <c r="I21" s="221" t="str">
        <f>IF(A21="Total",VLOOKUP(B21,CORRESPONDANCE[#All],2,FALSE),I22)</f>
        <v>6.1</v>
      </c>
      <c r="J21" s="222" t="str">
        <f t="shared" si="0"/>
        <v>T</v>
      </c>
      <c r="K21" s="44" t="str">
        <f t="shared" si="1"/>
        <v>LYSE - Total</v>
      </c>
      <c r="L21" s="44" t="e">
        <f>+VLOOKUP(K21,TL[],4,FALSE)</f>
        <v>#N/A</v>
      </c>
    </row>
    <row r="22" spans="1:12" x14ac:dyDescent="0.2">
      <c r="A22" t="s">
        <v>1749</v>
      </c>
      <c r="B22" t="s">
        <v>406</v>
      </c>
      <c r="C22">
        <v>55861.46</v>
      </c>
      <c r="D22" t="s">
        <v>6961</v>
      </c>
      <c r="E22">
        <v>55861.46</v>
      </c>
      <c r="F22" t="s">
        <v>6961</v>
      </c>
      <c r="G22" s="220">
        <f t="shared" si="2"/>
        <v>55861.46</v>
      </c>
      <c r="H22" s="220">
        <f t="shared" si="3"/>
        <v>55861.46</v>
      </c>
      <c r="I22" s="221">
        <f>IF(A22="Total",VLOOKUP(B22,CORRESPONDANCE[#All],2,FALSE),I23)</f>
        <v>8</v>
      </c>
      <c r="J22" s="222" t="str">
        <f t="shared" si="0"/>
        <v>6</v>
      </c>
      <c r="K22" s="44" t="str">
        <f t="shared" si="1"/>
        <v>LYSE - 641101</v>
      </c>
      <c r="L22" s="44" t="str">
        <f>+VLOOKUP(K22,TL[],4,FALSE)</f>
        <v>10</v>
      </c>
    </row>
    <row r="23" spans="1:12" x14ac:dyDescent="0.2">
      <c r="A23" t="s">
        <v>1773</v>
      </c>
      <c r="B23" t="s">
        <v>501</v>
      </c>
      <c r="C23">
        <v>242.23</v>
      </c>
      <c r="D23" t="s">
        <v>6961</v>
      </c>
      <c r="E23">
        <v>242.23</v>
      </c>
      <c r="F23" t="s">
        <v>6961</v>
      </c>
      <c r="G23" s="220">
        <f t="shared" si="2"/>
        <v>242.23</v>
      </c>
      <c r="H23" s="220">
        <f t="shared" si="3"/>
        <v>242.23</v>
      </c>
      <c r="I23" s="221">
        <f>IF(A23="Total",VLOOKUP(B23,CORRESPONDANCE[#All],2,FALSE),I24)</f>
        <v>8</v>
      </c>
      <c r="J23" s="222" t="str">
        <f t="shared" si="0"/>
        <v>6</v>
      </c>
      <c r="K23" s="44" t="str">
        <f t="shared" si="1"/>
        <v>LYSE - 641200</v>
      </c>
      <c r="L23" s="44" t="str">
        <f>+VLOOKUP(K23,TL[],4,FALSE)</f>
        <v>10</v>
      </c>
    </row>
    <row r="24" spans="1:12" x14ac:dyDescent="0.2">
      <c r="A24" t="s">
        <v>1745</v>
      </c>
      <c r="B24" t="s">
        <v>284</v>
      </c>
      <c r="C24">
        <v>3557.46</v>
      </c>
      <c r="D24" t="s">
        <v>6961</v>
      </c>
      <c r="E24">
        <v>3557.46</v>
      </c>
      <c r="F24" t="s">
        <v>6961</v>
      </c>
      <c r="G24" s="220">
        <f t="shared" si="2"/>
        <v>3557.46</v>
      </c>
      <c r="H24" s="220">
        <f t="shared" si="3"/>
        <v>3557.46</v>
      </c>
      <c r="I24" s="221">
        <f>IF(A24="Total",VLOOKUP(B24,CORRESPONDANCE[#All],2,FALSE),I25)</f>
        <v>8</v>
      </c>
      <c r="J24" s="222" t="str">
        <f t="shared" si="0"/>
        <v>6</v>
      </c>
      <c r="K24" s="44" t="str">
        <f t="shared" si="1"/>
        <v>LYSE - 641401</v>
      </c>
      <c r="L24" s="44" t="str">
        <f>+VLOOKUP(K24,TL[],4,FALSE)</f>
        <v>10</v>
      </c>
    </row>
    <row r="25" spans="1:12" x14ac:dyDescent="0.2">
      <c r="A25" t="s">
        <v>1751</v>
      </c>
      <c r="B25" t="s">
        <v>465</v>
      </c>
      <c r="C25">
        <v>654.58000000000004</v>
      </c>
      <c r="D25" t="s">
        <v>6961</v>
      </c>
      <c r="E25">
        <v>654.58000000000004</v>
      </c>
      <c r="F25" t="s">
        <v>6961</v>
      </c>
      <c r="G25" s="220">
        <f t="shared" si="2"/>
        <v>654.58000000000004</v>
      </c>
      <c r="H25" s="220">
        <f t="shared" si="3"/>
        <v>654.58000000000004</v>
      </c>
      <c r="I25" s="221">
        <f>IF(A25="Total",VLOOKUP(B25,CORRESPONDANCE[#All],2,FALSE),I26)</f>
        <v>8</v>
      </c>
      <c r="J25" s="222" t="str">
        <f t="shared" si="0"/>
        <v>6</v>
      </c>
      <c r="K25" s="44" t="str">
        <f t="shared" si="1"/>
        <v>LYSE - 641411</v>
      </c>
      <c r="L25" s="44" t="str">
        <f>+VLOOKUP(K25,TL[],4,FALSE)</f>
        <v>10</v>
      </c>
    </row>
    <row r="26" spans="1:12" x14ac:dyDescent="0.2">
      <c r="A26" t="s">
        <v>1746</v>
      </c>
      <c r="B26" t="s">
        <v>1355</v>
      </c>
      <c r="C26" t="s">
        <v>6961</v>
      </c>
      <c r="D26">
        <v>3557.46</v>
      </c>
      <c r="E26" t="s">
        <v>6961</v>
      </c>
      <c r="F26">
        <v>3557.46</v>
      </c>
      <c r="G26" s="220">
        <f t="shared" si="2"/>
        <v>-3557.46</v>
      </c>
      <c r="H26" s="220">
        <f t="shared" si="3"/>
        <v>-3557.46</v>
      </c>
      <c r="I26" s="221">
        <f>IF(A26="Total",VLOOKUP(B26,CORRESPONDANCE[#All],2,FALSE),I27)</f>
        <v>8</v>
      </c>
      <c r="J26" s="222" t="str">
        <f t="shared" si="0"/>
        <v>7</v>
      </c>
      <c r="K26" s="44" t="str">
        <f t="shared" si="1"/>
        <v>LYSE - 726100</v>
      </c>
      <c r="L26" s="44" t="str">
        <f>+VLOOKUP(K26,TL[],4,FALSE)</f>
        <v>10</v>
      </c>
    </row>
    <row r="27" spans="1:12" x14ac:dyDescent="0.2">
      <c r="A27" t="s">
        <v>197</v>
      </c>
      <c r="B27" t="s">
        <v>2523</v>
      </c>
      <c r="C27">
        <v>56758.27</v>
      </c>
      <c r="D27" t="s">
        <v>6961</v>
      </c>
      <c r="E27">
        <v>56758.27</v>
      </c>
      <c r="F27" t="s">
        <v>6961</v>
      </c>
      <c r="G27" s="220">
        <f t="shared" si="2"/>
        <v>56758.27</v>
      </c>
      <c r="H27" s="220">
        <f t="shared" si="3"/>
        <v>56758.27</v>
      </c>
      <c r="I27" s="221">
        <f>IF(A27="Total",VLOOKUP(B27,CORRESPONDANCE[#All],2,FALSE),I28)</f>
        <v>8</v>
      </c>
      <c r="J27" s="222" t="str">
        <f t="shared" si="0"/>
        <v>T</v>
      </c>
      <c r="K27" s="44" t="str">
        <f t="shared" si="1"/>
        <v>LYSE - Total</v>
      </c>
      <c r="L27" s="44" t="e">
        <f>+VLOOKUP(K27,TL[],4,FALSE)</f>
        <v>#N/A</v>
      </c>
    </row>
    <row r="28" spans="1:12" x14ac:dyDescent="0.2">
      <c r="A28" t="s">
        <v>1759</v>
      </c>
      <c r="B28" t="s">
        <v>271</v>
      </c>
      <c r="C28">
        <v>377.77</v>
      </c>
      <c r="D28" t="s">
        <v>6961</v>
      </c>
      <c r="E28">
        <v>377.77</v>
      </c>
      <c r="F28" t="s">
        <v>6961</v>
      </c>
      <c r="G28" s="220">
        <f t="shared" si="2"/>
        <v>377.77</v>
      </c>
      <c r="H28" s="220">
        <f t="shared" si="3"/>
        <v>377.77</v>
      </c>
      <c r="I28" s="221">
        <f>IF(A28="Total",VLOOKUP(B28,CORRESPONDANCE[#All],2,FALSE),I29)</f>
        <v>9</v>
      </c>
      <c r="J28" s="222" t="str">
        <f t="shared" si="0"/>
        <v>6</v>
      </c>
      <c r="K28" s="44" t="str">
        <f t="shared" si="1"/>
        <v>LYSE - 645041</v>
      </c>
      <c r="L28" s="44" t="str">
        <f>+VLOOKUP(K28,TL[],4,FALSE)</f>
        <v>10</v>
      </c>
    </row>
    <row r="29" spans="1:12" x14ac:dyDescent="0.2">
      <c r="A29" t="s">
        <v>1755</v>
      </c>
      <c r="B29" t="s">
        <v>158</v>
      </c>
      <c r="C29">
        <v>4717.53</v>
      </c>
      <c r="D29" t="s">
        <v>6961</v>
      </c>
      <c r="E29">
        <v>4717.53</v>
      </c>
      <c r="F29" t="s">
        <v>6961</v>
      </c>
      <c r="G29" s="220">
        <f t="shared" si="2"/>
        <v>4717.53</v>
      </c>
      <c r="H29" s="220">
        <f t="shared" si="3"/>
        <v>4717.53</v>
      </c>
      <c r="I29" s="221">
        <f>IF(A29="Total",VLOOKUP(B29,CORRESPONDANCE[#All],2,FALSE),I30)</f>
        <v>9</v>
      </c>
      <c r="J29" s="222" t="str">
        <f t="shared" si="0"/>
        <v>6</v>
      </c>
      <c r="K29" s="44" t="str">
        <f t="shared" si="1"/>
        <v>LYSE - 645101</v>
      </c>
      <c r="L29" s="44" t="str">
        <f>+VLOOKUP(K29,TL[],4,FALSE)</f>
        <v>10</v>
      </c>
    </row>
    <row r="30" spans="1:12" x14ac:dyDescent="0.2">
      <c r="A30" t="s">
        <v>1757</v>
      </c>
      <c r="B30" t="s">
        <v>281</v>
      </c>
      <c r="C30">
        <v>1580.66</v>
      </c>
      <c r="D30" t="s">
        <v>6961</v>
      </c>
      <c r="E30">
        <v>1580.66</v>
      </c>
      <c r="F30" t="s">
        <v>6961</v>
      </c>
      <c r="G30" s="220">
        <f t="shared" si="2"/>
        <v>1580.66</v>
      </c>
      <c r="H30" s="220">
        <f t="shared" si="3"/>
        <v>1580.66</v>
      </c>
      <c r="I30" s="221">
        <f>IF(A30="Total",VLOOKUP(B30,CORRESPONDANCE[#All],2,FALSE),I31)</f>
        <v>9</v>
      </c>
      <c r="J30" s="222" t="str">
        <f t="shared" si="0"/>
        <v>6</v>
      </c>
      <c r="K30" s="44" t="str">
        <f t="shared" si="1"/>
        <v>LYSE - 645301</v>
      </c>
      <c r="L30" s="44" t="str">
        <f>+VLOOKUP(K30,TL[],4,FALSE)</f>
        <v>10</v>
      </c>
    </row>
    <row r="31" spans="1:12" x14ac:dyDescent="0.2">
      <c r="A31" t="s">
        <v>1753</v>
      </c>
      <c r="B31" t="s">
        <v>270</v>
      </c>
      <c r="C31">
        <v>1918.78</v>
      </c>
      <c r="D31" t="s">
        <v>6961</v>
      </c>
      <c r="E31">
        <v>1918.78</v>
      </c>
      <c r="F31" t="s">
        <v>6961</v>
      </c>
      <c r="G31" s="220">
        <f t="shared" si="2"/>
        <v>1918.78</v>
      </c>
      <c r="H31" s="220">
        <f t="shared" si="3"/>
        <v>1918.78</v>
      </c>
      <c r="I31" s="221">
        <f>IF(A31="Total",VLOOKUP(B31,CORRESPONDANCE[#All],2,FALSE),I32)</f>
        <v>9</v>
      </c>
      <c r="J31" s="222" t="str">
        <f t="shared" si="0"/>
        <v>6</v>
      </c>
      <c r="K31" s="44" t="str">
        <f t="shared" si="1"/>
        <v>LYSE - 645401</v>
      </c>
      <c r="L31" s="44" t="str">
        <f>+VLOOKUP(K31,TL[],4,FALSE)</f>
        <v>10</v>
      </c>
    </row>
    <row r="32" spans="1:12" x14ac:dyDescent="0.2">
      <c r="A32" t="s">
        <v>1775</v>
      </c>
      <c r="B32" t="s">
        <v>471</v>
      </c>
      <c r="C32" t="s">
        <v>6961</v>
      </c>
      <c r="D32">
        <v>19.25</v>
      </c>
      <c r="E32" t="s">
        <v>6961</v>
      </c>
      <c r="F32">
        <v>19.25</v>
      </c>
      <c r="G32" s="220">
        <f t="shared" si="2"/>
        <v>-19.25</v>
      </c>
      <c r="H32" s="220">
        <f t="shared" si="3"/>
        <v>-19.25</v>
      </c>
      <c r="I32" s="221">
        <f>IF(A32="Total",VLOOKUP(B32,CORRESPONDANCE[#All],2,FALSE),I33)</f>
        <v>9</v>
      </c>
      <c r="J32" s="222" t="str">
        <f t="shared" si="0"/>
        <v>6</v>
      </c>
      <c r="K32" s="44" t="str">
        <f t="shared" si="1"/>
        <v>LYSE - 645800</v>
      </c>
      <c r="L32" s="44" t="str">
        <f>+VLOOKUP(K32,TL[],4,FALSE)</f>
        <v>10</v>
      </c>
    </row>
    <row r="33" spans="1:12" x14ac:dyDescent="0.2">
      <c r="A33" t="s">
        <v>197</v>
      </c>
      <c r="B33" t="s">
        <v>2529</v>
      </c>
      <c r="C33">
        <v>8575.49</v>
      </c>
      <c r="D33" t="s">
        <v>6961</v>
      </c>
      <c r="E33">
        <v>8575.49</v>
      </c>
      <c r="F33" t="s">
        <v>6961</v>
      </c>
      <c r="G33" s="220">
        <f t="shared" si="2"/>
        <v>8575.49</v>
      </c>
      <c r="H33" s="220">
        <f t="shared" si="3"/>
        <v>8575.49</v>
      </c>
      <c r="I33" s="221">
        <f>IF(A33="Total",VLOOKUP(B33,CORRESPONDANCE[#All],2,FALSE),I34)</f>
        <v>9</v>
      </c>
      <c r="J33" s="222" t="str">
        <f t="shared" si="0"/>
        <v>T</v>
      </c>
      <c r="K33" s="44" t="str">
        <f t="shared" si="1"/>
        <v>LYSE - Total</v>
      </c>
      <c r="L33" s="44" t="e">
        <f>+VLOOKUP(K33,TL[],4,FALSE)</f>
        <v>#N/A</v>
      </c>
    </row>
    <row r="34" spans="1:12" x14ac:dyDescent="0.2">
      <c r="A34" t="s">
        <v>1750</v>
      </c>
      <c r="B34" t="s">
        <v>516</v>
      </c>
      <c r="C34">
        <v>16189.49</v>
      </c>
      <c r="D34" t="s">
        <v>6961</v>
      </c>
      <c r="E34">
        <v>16189.49</v>
      </c>
      <c r="F34" t="s">
        <v>6961</v>
      </c>
      <c r="G34" s="220">
        <f t="shared" si="2"/>
        <v>16189.49</v>
      </c>
      <c r="H34" s="220">
        <f t="shared" si="3"/>
        <v>16189.49</v>
      </c>
      <c r="I34" s="221">
        <f>IF(A34="Total",VLOOKUP(B34,CORRESPONDANCE[#All],2,FALSE),I35)</f>
        <v>10</v>
      </c>
      <c r="J34" s="222" t="str">
        <f t="shared" si="0"/>
        <v>6</v>
      </c>
      <c r="K34" s="44" t="str">
        <f t="shared" si="1"/>
        <v>LYSE - 641104</v>
      </c>
      <c r="L34" s="44" t="str">
        <f>+VLOOKUP(K34,TL[],4,FALSE)</f>
        <v>11</v>
      </c>
    </row>
    <row r="35" spans="1:12" x14ac:dyDescent="0.2">
      <c r="A35" t="s">
        <v>1774</v>
      </c>
      <c r="B35" t="s">
        <v>470</v>
      </c>
      <c r="C35" t="s">
        <v>6961</v>
      </c>
      <c r="D35">
        <v>4334.47</v>
      </c>
      <c r="E35" t="s">
        <v>6961</v>
      </c>
      <c r="F35">
        <v>4334.47</v>
      </c>
      <c r="G35" s="220">
        <f t="shared" si="2"/>
        <v>-4334.47</v>
      </c>
      <c r="H35" s="220">
        <f t="shared" si="3"/>
        <v>-4334.47</v>
      </c>
      <c r="I35" s="221">
        <f>IF(A35="Total",VLOOKUP(B35,CORRESPONDANCE[#All],2,FALSE),I36)</f>
        <v>10</v>
      </c>
      <c r="J35" s="222" t="str">
        <f t="shared" si="0"/>
        <v>6</v>
      </c>
      <c r="K35" s="44" t="str">
        <f t="shared" si="1"/>
        <v>LYSE - 641210</v>
      </c>
      <c r="L35" s="44" t="str">
        <f>+VLOOKUP(K35,TL[],4,FALSE)</f>
        <v>11</v>
      </c>
    </row>
    <row r="36" spans="1:12" x14ac:dyDescent="0.2">
      <c r="A36" t="s">
        <v>1747</v>
      </c>
      <c r="B36" t="s">
        <v>272</v>
      </c>
      <c r="C36">
        <v>286.95999999999998</v>
      </c>
      <c r="D36" t="s">
        <v>6961</v>
      </c>
      <c r="E36">
        <v>286.95999999999998</v>
      </c>
      <c r="F36" t="s">
        <v>6961</v>
      </c>
      <c r="G36" s="220">
        <f t="shared" si="2"/>
        <v>286.95999999999998</v>
      </c>
      <c r="H36" s="220">
        <f t="shared" si="3"/>
        <v>286.95999999999998</v>
      </c>
      <c r="I36" s="221">
        <f>IF(A36="Total",VLOOKUP(B36,CORRESPONDANCE[#All],2,FALSE),I37)</f>
        <v>10</v>
      </c>
      <c r="J36" s="222" t="str">
        <f t="shared" si="0"/>
        <v>6</v>
      </c>
      <c r="K36" s="44" t="str">
        <f t="shared" si="1"/>
        <v>LYSE - 641404</v>
      </c>
      <c r="L36" s="44" t="str">
        <f>+VLOOKUP(K36,TL[],4,FALSE)</f>
        <v>11</v>
      </c>
    </row>
    <row r="37" spans="1:12" x14ac:dyDescent="0.2">
      <c r="A37" t="s">
        <v>1752</v>
      </c>
      <c r="B37" t="s">
        <v>482</v>
      </c>
      <c r="C37">
        <v>121.83</v>
      </c>
      <c r="D37" t="s">
        <v>6961</v>
      </c>
      <c r="E37">
        <v>121.83</v>
      </c>
      <c r="F37" t="s">
        <v>6961</v>
      </c>
      <c r="G37" s="220">
        <f t="shared" si="2"/>
        <v>121.83</v>
      </c>
      <c r="H37" s="220">
        <f t="shared" si="3"/>
        <v>121.83</v>
      </c>
      <c r="I37" s="221">
        <f>IF(A37="Total",VLOOKUP(B37,CORRESPONDANCE[#All],2,FALSE),I38)</f>
        <v>10</v>
      </c>
      <c r="J37" s="222" t="str">
        <f t="shared" si="0"/>
        <v>6</v>
      </c>
      <c r="K37" s="44" t="str">
        <f t="shared" si="1"/>
        <v>LYSE - 641414</v>
      </c>
      <c r="L37" s="44" t="str">
        <f>+VLOOKUP(K37,TL[],4,FALSE)</f>
        <v>11</v>
      </c>
    </row>
    <row r="38" spans="1:12" x14ac:dyDescent="0.2">
      <c r="A38" t="s">
        <v>1748</v>
      </c>
      <c r="B38" t="s">
        <v>1356</v>
      </c>
      <c r="C38" t="s">
        <v>6961</v>
      </c>
      <c r="D38">
        <v>286.95999999999998</v>
      </c>
      <c r="E38" t="s">
        <v>6961</v>
      </c>
      <c r="F38">
        <v>286.95999999999998</v>
      </c>
      <c r="G38" s="220">
        <f t="shared" si="2"/>
        <v>-286.95999999999998</v>
      </c>
      <c r="H38" s="220">
        <f t="shared" si="3"/>
        <v>-286.95999999999998</v>
      </c>
      <c r="I38" s="221">
        <f>IF(A38="Total",VLOOKUP(B38,CORRESPONDANCE[#All],2,FALSE),I39)</f>
        <v>10</v>
      </c>
      <c r="J38" s="222" t="str">
        <f t="shared" si="0"/>
        <v>7</v>
      </c>
      <c r="K38" s="44" t="str">
        <f t="shared" si="1"/>
        <v>LYSE - 726110</v>
      </c>
      <c r="L38" s="44" t="str">
        <f>+VLOOKUP(K38,TL[],4,FALSE)</f>
        <v>11</v>
      </c>
    </row>
    <row r="39" spans="1:12" x14ac:dyDescent="0.2">
      <c r="A39" t="s">
        <v>197</v>
      </c>
      <c r="B39" t="s">
        <v>2532</v>
      </c>
      <c r="C39">
        <v>11976.85</v>
      </c>
      <c r="D39" t="s">
        <v>6961</v>
      </c>
      <c r="E39">
        <v>11976.85</v>
      </c>
      <c r="F39" t="s">
        <v>6961</v>
      </c>
      <c r="G39" s="220">
        <f t="shared" si="2"/>
        <v>11976.85</v>
      </c>
      <c r="H39" s="220">
        <f t="shared" si="3"/>
        <v>11976.85</v>
      </c>
      <c r="I39" s="221">
        <f>IF(A39="Total",VLOOKUP(B39,CORRESPONDANCE[#All],2,FALSE),I40)</f>
        <v>10</v>
      </c>
      <c r="J39" s="222" t="str">
        <f t="shared" si="0"/>
        <v>T</v>
      </c>
      <c r="K39" s="44" t="str">
        <f t="shared" si="1"/>
        <v>LYSE - Total</v>
      </c>
      <c r="L39" s="44" t="e">
        <f>+VLOOKUP(K39,TL[],4,FALSE)</f>
        <v>#N/A</v>
      </c>
    </row>
    <row r="40" spans="1:12" x14ac:dyDescent="0.2">
      <c r="A40" t="s">
        <v>1760</v>
      </c>
      <c r="B40" t="s">
        <v>273</v>
      </c>
      <c r="C40">
        <v>92.47</v>
      </c>
      <c r="D40" t="s">
        <v>6961</v>
      </c>
      <c r="E40">
        <v>92.47</v>
      </c>
      <c r="F40" t="s">
        <v>6961</v>
      </c>
      <c r="G40" s="220">
        <f t="shared" si="2"/>
        <v>92.47</v>
      </c>
      <c r="H40" s="220">
        <f t="shared" si="3"/>
        <v>92.47</v>
      </c>
      <c r="I40" s="221">
        <f>IF(A40="Total",VLOOKUP(B40,CORRESPONDANCE[#All],2,FALSE),I41)</f>
        <v>11</v>
      </c>
      <c r="J40" s="222" t="str">
        <f t="shared" si="0"/>
        <v>6</v>
      </c>
      <c r="K40" s="44" t="str">
        <f t="shared" si="1"/>
        <v>LYSE - 645044</v>
      </c>
      <c r="L40" s="44" t="str">
        <f>+VLOOKUP(K40,TL[],4,FALSE)</f>
        <v>12</v>
      </c>
    </row>
    <row r="41" spans="1:12" x14ac:dyDescent="0.2">
      <c r="A41" t="s">
        <v>1756</v>
      </c>
      <c r="B41" t="s">
        <v>500</v>
      </c>
      <c r="C41" t="s">
        <v>6961</v>
      </c>
      <c r="D41">
        <v>809.16</v>
      </c>
      <c r="E41" t="s">
        <v>6961</v>
      </c>
      <c r="F41">
        <v>809.16</v>
      </c>
      <c r="G41" s="220">
        <f t="shared" si="2"/>
        <v>-809.16</v>
      </c>
      <c r="H41" s="220">
        <f t="shared" si="3"/>
        <v>-809.16</v>
      </c>
      <c r="I41" s="221">
        <f>IF(A41="Total",VLOOKUP(B41,CORRESPONDANCE[#All],2,FALSE),I42)</f>
        <v>11</v>
      </c>
      <c r="J41" s="222" t="str">
        <f t="shared" si="0"/>
        <v>6</v>
      </c>
      <c r="K41" s="44" t="str">
        <f t="shared" si="1"/>
        <v>LYSE - 645104</v>
      </c>
      <c r="L41" s="44" t="str">
        <f>+VLOOKUP(K41,TL[],4,FALSE)</f>
        <v>12</v>
      </c>
    </row>
    <row r="42" spans="1:12" x14ac:dyDescent="0.2">
      <c r="A42" t="s">
        <v>1758</v>
      </c>
      <c r="B42" t="s">
        <v>275</v>
      </c>
      <c r="C42">
        <v>3248.52</v>
      </c>
      <c r="D42" t="s">
        <v>6961</v>
      </c>
      <c r="E42">
        <v>3248.52</v>
      </c>
      <c r="F42" t="s">
        <v>6961</v>
      </c>
      <c r="G42" s="220">
        <f t="shared" si="2"/>
        <v>3248.52</v>
      </c>
      <c r="H42" s="220">
        <f t="shared" si="3"/>
        <v>3248.52</v>
      </c>
      <c r="I42" s="221">
        <f>IF(A42="Total",VLOOKUP(B42,CORRESPONDANCE[#All],2,FALSE),I43)</f>
        <v>11</v>
      </c>
      <c r="J42" s="222" t="str">
        <f t="shared" si="0"/>
        <v>6</v>
      </c>
      <c r="K42" s="44" t="str">
        <f t="shared" si="1"/>
        <v>LYSE - 645304</v>
      </c>
      <c r="L42" s="44" t="str">
        <f>+VLOOKUP(K42,TL[],4,FALSE)</f>
        <v>12</v>
      </c>
    </row>
    <row r="43" spans="1:12" x14ac:dyDescent="0.2">
      <c r="A43" t="s">
        <v>1754</v>
      </c>
      <c r="B43" t="s">
        <v>483</v>
      </c>
      <c r="C43">
        <v>937.54</v>
      </c>
      <c r="D43" t="s">
        <v>6961</v>
      </c>
      <c r="E43">
        <v>937.54</v>
      </c>
      <c r="F43" t="s">
        <v>6961</v>
      </c>
      <c r="G43" s="220">
        <f t="shared" si="2"/>
        <v>937.54</v>
      </c>
      <c r="H43" s="220">
        <f t="shared" si="3"/>
        <v>937.54</v>
      </c>
      <c r="I43" s="221">
        <f>IF(A43="Total",VLOOKUP(B43,CORRESPONDANCE[#All],2,FALSE),I44)</f>
        <v>11</v>
      </c>
      <c r="J43" s="222" t="str">
        <f t="shared" si="0"/>
        <v>6</v>
      </c>
      <c r="K43" s="44" t="str">
        <f t="shared" si="1"/>
        <v>LYSE - 645404</v>
      </c>
      <c r="L43" s="44" t="str">
        <f>+VLOOKUP(K43,TL[],4,FALSE)</f>
        <v>12</v>
      </c>
    </row>
    <row r="44" spans="1:12" x14ac:dyDescent="0.2">
      <c r="A44" t="s">
        <v>1776</v>
      </c>
      <c r="B44" t="s">
        <v>485</v>
      </c>
      <c r="C44" t="s">
        <v>6961</v>
      </c>
      <c r="D44">
        <v>2008.72</v>
      </c>
      <c r="E44" t="s">
        <v>6961</v>
      </c>
      <c r="F44">
        <v>2008.72</v>
      </c>
      <c r="G44" s="220">
        <f t="shared" si="2"/>
        <v>-2008.72</v>
      </c>
      <c r="H44" s="220">
        <f t="shared" si="3"/>
        <v>-2008.72</v>
      </c>
      <c r="I44" s="221">
        <f>IF(A44="Total",VLOOKUP(B44,CORRESPONDANCE[#All],2,FALSE),I45)</f>
        <v>11</v>
      </c>
      <c r="J44" s="222" t="str">
        <f t="shared" si="0"/>
        <v>6</v>
      </c>
      <c r="K44" s="44" t="str">
        <f t="shared" si="1"/>
        <v>LYSE - 645810</v>
      </c>
      <c r="L44" s="44" t="str">
        <f>+VLOOKUP(K44,TL[],4,FALSE)</f>
        <v>12</v>
      </c>
    </row>
    <row r="45" spans="1:12" x14ac:dyDescent="0.2">
      <c r="A45" t="s">
        <v>197</v>
      </c>
      <c r="B45" t="s">
        <v>2539</v>
      </c>
      <c r="C45">
        <v>1460.65</v>
      </c>
      <c r="D45" t="s">
        <v>6961</v>
      </c>
      <c r="E45">
        <v>1460.65</v>
      </c>
      <c r="F45" t="s">
        <v>6961</v>
      </c>
      <c r="G45" s="220">
        <f t="shared" si="2"/>
        <v>1460.65</v>
      </c>
      <c r="H45" s="220">
        <f t="shared" si="3"/>
        <v>1460.65</v>
      </c>
      <c r="I45" s="221">
        <f>IF(A45="Total",VLOOKUP(B45,CORRESPONDANCE[#All],2,FALSE),I46)</f>
        <v>11</v>
      </c>
      <c r="J45" s="222" t="str">
        <f t="shared" si="0"/>
        <v>T</v>
      </c>
      <c r="K45" s="44" t="str">
        <f t="shared" si="1"/>
        <v>LYSE - Total</v>
      </c>
      <c r="L45" s="44" t="e">
        <f>+VLOOKUP(K45,TL[],4,FALSE)</f>
        <v>#N/A</v>
      </c>
    </row>
    <row r="46" spans="1:12" x14ac:dyDescent="0.2">
      <c r="A46" t="s">
        <v>1992</v>
      </c>
      <c r="B46" t="s">
        <v>468</v>
      </c>
      <c r="C46" t="s">
        <v>6961</v>
      </c>
      <c r="D46" t="s">
        <v>6961</v>
      </c>
      <c r="E46" t="s">
        <v>6961</v>
      </c>
      <c r="F46" t="s">
        <v>6961</v>
      </c>
      <c r="G46" s="220">
        <f t="shared" si="2"/>
        <v>0</v>
      </c>
      <c r="H46" s="220">
        <f t="shared" si="3"/>
        <v>0</v>
      </c>
      <c r="I46" s="221">
        <f>IF(A46="Total",VLOOKUP(B46,CORRESPONDANCE[#All],2,FALSE),I47)</f>
        <v>13</v>
      </c>
      <c r="J46" s="222" t="str">
        <f t="shared" si="0"/>
        <v>6</v>
      </c>
      <c r="K46" s="44" t="str">
        <f t="shared" si="1"/>
        <v>LYSE - 641112</v>
      </c>
      <c r="L46" s="44" t="str">
        <f>+VLOOKUP(K46,TL[],4,FALSE)</f>
        <v>39</v>
      </c>
    </row>
    <row r="47" spans="1:12" x14ac:dyDescent="0.2">
      <c r="A47" t="s">
        <v>197</v>
      </c>
      <c r="B47" t="s">
        <v>2541</v>
      </c>
      <c r="C47" t="s">
        <v>6961</v>
      </c>
      <c r="D47" t="s">
        <v>6961</v>
      </c>
      <c r="E47" t="s">
        <v>6961</v>
      </c>
      <c r="F47" t="s">
        <v>6961</v>
      </c>
      <c r="G47" s="220">
        <f t="shared" si="2"/>
        <v>0</v>
      </c>
      <c r="H47" s="220">
        <f t="shared" si="3"/>
        <v>0</v>
      </c>
      <c r="I47" s="221">
        <f>IF(A47="Total",VLOOKUP(B47,CORRESPONDANCE[#All],2,FALSE),I48)</f>
        <v>13</v>
      </c>
      <c r="J47" s="222" t="str">
        <f t="shared" si="0"/>
        <v>T</v>
      </c>
      <c r="K47" s="44" t="str">
        <f t="shared" si="1"/>
        <v>LYSE - Total</v>
      </c>
      <c r="L47" s="44" t="e">
        <f>+VLOOKUP(K47,TL[],4,FALSE)</f>
        <v>#N/A</v>
      </c>
    </row>
    <row r="48" spans="1:12" x14ac:dyDescent="0.2">
      <c r="A48" t="s">
        <v>1602</v>
      </c>
      <c r="B48" t="s">
        <v>260</v>
      </c>
      <c r="C48">
        <v>319.88</v>
      </c>
      <c r="D48" t="s">
        <v>6961</v>
      </c>
      <c r="E48">
        <v>319.88</v>
      </c>
      <c r="F48" t="s">
        <v>6961</v>
      </c>
      <c r="G48" s="220">
        <f t="shared" si="2"/>
        <v>319.88</v>
      </c>
      <c r="H48" s="220">
        <f t="shared" si="3"/>
        <v>319.88</v>
      </c>
      <c r="I48" s="221">
        <f>IF(A48="Total",VLOOKUP(B48,CORRESPONDANCE[#All],2,FALSE),I49)</f>
        <v>15</v>
      </c>
      <c r="J48" s="222" t="str">
        <f t="shared" si="0"/>
        <v>6</v>
      </c>
      <c r="K48" s="44" t="str">
        <f t="shared" si="1"/>
        <v>LYSE - 615210</v>
      </c>
      <c r="L48" s="44" t="str">
        <f>+VLOOKUP(K48,TL[],4,FALSE)</f>
        <v>16</v>
      </c>
    </row>
    <row r="49" spans="1:12" x14ac:dyDescent="0.2">
      <c r="A49" t="s">
        <v>7087</v>
      </c>
      <c r="B49" t="s">
        <v>2543</v>
      </c>
      <c r="C49">
        <v>8700</v>
      </c>
      <c r="D49" t="s">
        <v>6961</v>
      </c>
      <c r="E49">
        <v>8700</v>
      </c>
      <c r="F49" t="s">
        <v>6961</v>
      </c>
      <c r="G49" s="220">
        <f t="shared" si="2"/>
        <v>8700</v>
      </c>
      <c r="H49" s="220">
        <f t="shared" si="3"/>
        <v>8700</v>
      </c>
      <c r="I49" s="221">
        <f>IF(A49="Total",VLOOKUP(B49,CORRESPONDANCE[#All],2,FALSE),I50)</f>
        <v>15</v>
      </c>
      <c r="J49" s="222" t="str">
        <f t="shared" si="0"/>
        <v>6</v>
      </c>
      <c r="K49" s="44" t="str">
        <f t="shared" si="1"/>
        <v>LYSE - 615212</v>
      </c>
      <c r="L49" s="44" t="e">
        <f>+VLOOKUP(K49,TL[],4,FALSE)</f>
        <v>#N/A</v>
      </c>
    </row>
    <row r="50" spans="1:12" x14ac:dyDescent="0.2">
      <c r="A50" t="s">
        <v>1598</v>
      </c>
      <c r="B50" t="s">
        <v>451</v>
      </c>
      <c r="C50">
        <v>59.01</v>
      </c>
      <c r="D50" t="s">
        <v>6961</v>
      </c>
      <c r="E50">
        <v>59.01</v>
      </c>
      <c r="F50" t="s">
        <v>6961</v>
      </c>
      <c r="G50" s="220">
        <f t="shared" si="2"/>
        <v>59.01</v>
      </c>
      <c r="H50" s="220">
        <f t="shared" si="3"/>
        <v>59.01</v>
      </c>
      <c r="I50" s="221">
        <f>IF(A50="Total",VLOOKUP(B50,CORRESPONDANCE[#All],2,FALSE),I51)</f>
        <v>15</v>
      </c>
      <c r="J50" s="222" t="str">
        <f t="shared" si="0"/>
        <v>6</v>
      </c>
      <c r="K50" s="44" t="str">
        <f t="shared" si="1"/>
        <v>LYSE - 615615</v>
      </c>
      <c r="L50" s="44" t="str">
        <f>+VLOOKUP(K50,TL[],4,FALSE)</f>
        <v>16</v>
      </c>
    </row>
    <row r="51" spans="1:12" x14ac:dyDescent="0.2">
      <c r="A51" t="s">
        <v>197</v>
      </c>
      <c r="B51" t="s">
        <v>2544</v>
      </c>
      <c r="C51">
        <v>9078.89</v>
      </c>
      <c r="D51" t="s">
        <v>6961</v>
      </c>
      <c r="E51">
        <v>9078.89</v>
      </c>
      <c r="F51" t="s">
        <v>6961</v>
      </c>
      <c r="G51" s="220">
        <f t="shared" si="2"/>
        <v>9078.89</v>
      </c>
      <c r="H51" s="220">
        <f t="shared" si="3"/>
        <v>9078.89</v>
      </c>
      <c r="I51" s="221">
        <f>IF(A51="Total",VLOOKUP(B51,CORRESPONDANCE[#All],2,FALSE),I52)</f>
        <v>15</v>
      </c>
      <c r="J51" s="222" t="str">
        <f t="shared" si="0"/>
        <v>T</v>
      </c>
      <c r="K51" s="44" t="str">
        <f t="shared" si="1"/>
        <v>LYSE - Total</v>
      </c>
      <c r="L51" s="44" t="e">
        <f>+VLOOKUP(K51,TL[],4,FALSE)</f>
        <v>#N/A</v>
      </c>
    </row>
    <row r="52" spans="1:12" x14ac:dyDescent="0.2">
      <c r="A52" t="s">
        <v>1583</v>
      </c>
      <c r="B52" t="s">
        <v>459</v>
      </c>
      <c r="C52">
        <v>449</v>
      </c>
      <c r="D52" t="s">
        <v>6961</v>
      </c>
      <c r="E52">
        <v>449</v>
      </c>
      <c r="F52" t="s">
        <v>6961</v>
      </c>
      <c r="G52" s="220">
        <f t="shared" si="2"/>
        <v>449</v>
      </c>
      <c r="H52" s="220">
        <f t="shared" si="3"/>
        <v>449</v>
      </c>
      <c r="I52" s="221">
        <f>IF(A52="Total",VLOOKUP(B52,CORRESPONDANCE[#All],2,FALSE),I53)</f>
        <v>16</v>
      </c>
      <c r="J52" s="222" t="str">
        <f t="shared" si="0"/>
        <v>6</v>
      </c>
      <c r="K52" s="44" t="str">
        <f t="shared" si="1"/>
        <v>LYSE - 615620</v>
      </c>
      <c r="L52" s="44" t="str">
        <f>+VLOOKUP(K52,TL[],4,FALSE)</f>
        <v>16</v>
      </c>
    </row>
    <row r="53" spans="1:12" x14ac:dyDescent="0.2">
      <c r="A53" t="s">
        <v>1593</v>
      </c>
      <c r="B53" t="s">
        <v>418</v>
      </c>
      <c r="C53">
        <v>71.23</v>
      </c>
      <c r="D53" t="s">
        <v>6961</v>
      </c>
      <c r="E53">
        <v>71.23</v>
      </c>
      <c r="F53" t="s">
        <v>6961</v>
      </c>
      <c r="G53" s="220">
        <f t="shared" si="2"/>
        <v>71.23</v>
      </c>
      <c r="H53" s="220">
        <f t="shared" si="3"/>
        <v>71.23</v>
      </c>
      <c r="I53" s="221">
        <f>IF(A53="Total",VLOOKUP(B53,CORRESPONDANCE[#All],2,FALSE),I54)</f>
        <v>16</v>
      </c>
      <c r="J53" s="222" t="str">
        <f t="shared" si="0"/>
        <v>6</v>
      </c>
      <c r="K53" s="44" t="str">
        <f t="shared" si="1"/>
        <v>LYSE - 615628</v>
      </c>
      <c r="L53" s="44" t="str">
        <f>+VLOOKUP(K53,TL[],4,FALSE)</f>
        <v>16</v>
      </c>
    </row>
    <row r="54" spans="1:12" x14ac:dyDescent="0.2">
      <c r="A54" t="s">
        <v>197</v>
      </c>
      <c r="B54" t="s">
        <v>2545</v>
      </c>
      <c r="C54">
        <v>520.23</v>
      </c>
      <c r="D54" t="s">
        <v>6961</v>
      </c>
      <c r="E54">
        <v>520.23</v>
      </c>
      <c r="F54" t="s">
        <v>6961</v>
      </c>
      <c r="G54" s="220">
        <f t="shared" si="2"/>
        <v>520.23</v>
      </c>
      <c r="H54" s="220">
        <f t="shared" si="3"/>
        <v>520.23</v>
      </c>
      <c r="I54" s="221">
        <f>IF(A54="Total",VLOOKUP(B54,CORRESPONDANCE[#All],2,FALSE),I55)</f>
        <v>16</v>
      </c>
      <c r="J54" s="222" t="str">
        <f t="shared" si="0"/>
        <v>T</v>
      </c>
      <c r="K54" s="44" t="str">
        <f t="shared" si="1"/>
        <v>LYSE - Total</v>
      </c>
      <c r="L54" s="44" t="e">
        <f>+VLOOKUP(K54,TL[],4,FALSE)</f>
        <v>#N/A</v>
      </c>
    </row>
    <row r="55" spans="1:12" x14ac:dyDescent="0.2">
      <c r="A55" t="s">
        <v>1711</v>
      </c>
      <c r="B55" t="s">
        <v>258</v>
      </c>
      <c r="C55">
        <v>226.95</v>
      </c>
      <c r="D55" t="s">
        <v>6961</v>
      </c>
      <c r="E55">
        <v>226.95</v>
      </c>
      <c r="F55" t="s">
        <v>6961</v>
      </c>
      <c r="G55" s="220">
        <f t="shared" si="2"/>
        <v>226.95</v>
      </c>
      <c r="H55" s="220">
        <f t="shared" si="3"/>
        <v>226.95</v>
      </c>
      <c r="I55" s="221">
        <f>IF(A55="Total",VLOOKUP(B55,CORRESPONDANCE[#All],2,FALSE),I56)</f>
        <v>17</v>
      </c>
      <c r="J55" s="222" t="str">
        <f t="shared" si="0"/>
        <v>6</v>
      </c>
      <c r="K55" s="44" t="str">
        <f t="shared" si="1"/>
        <v>LYSE - 627801</v>
      </c>
      <c r="L55" s="44" t="str">
        <f>+VLOOKUP(K55,TL[],4,FALSE)</f>
        <v>37</v>
      </c>
    </row>
    <row r="56" spans="1:12" x14ac:dyDescent="0.2">
      <c r="A56" t="s">
        <v>1600</v>
      </c>
      <c r="B56" t="s">
        <v>238</v>
      </c>
      <c r="C56">
        <v>1324.59</v>
      </c>
      <c r="D56" t="s">
        <v>6961</v>
      </c>
      <c r="E56">
        <v>1324.59</v>
      </c>
      <c r="F56" t="s">
        <v>6961</v>
      </c>
      <c r="G56" s="220">
        <f t="shared" si="2"/>
        <v>1324.59</v>
      </c>
      <c r="H56" s="220">
        <f t="shared" si="3"/>
        <v>1324.59</v>
      </c>
      <c r="I56" s="221">
        <f>IF(A56="Total",VLOOKUP(B56,CORRESPONDANCE[#All],2,FALSE),I57)</f>
        <v>17</v>
      </c>
      <c r="J56" s="222" t="str">
        <f t="shared" si="0"/>
        <v>6</v>
      </c>
      <c r="K56" s="44" t="str">
        <f t="shared" si="1"/>
        <v>LYSE - 627802</v>
      </c>
      <c r="L56" s="44" t="str">
        <f>+VLOOKUP(K56,TL[],4,FALSE)</f>
        <v>37</v>
      </c>
    </row>
    <row r="57" spans="1:12" x14ac:dyDescent="0.2">
      <c r="A57" t="s">
        <v>1716</v>
      </c>
      <c r="B57" t="s">
        <v>363</v>
      </c>
      <c r="C57">
        <v>1047.21</v>
      </c>
      <c r="D57" t="s">
        <v>6961</v>
      </c>
      <c r="E57">
        <v>1047.21</v>
      </c>
      <c r="F57" t="s">
        <v>6961</v>
      </c>
      <c r="G57" s="220">
        <f t="shared" si="2"/>
        <v>1047.21</v>
      </c>
      <c r="H57" s="220">
        <f t="shared" si="3"/>
        <v>1047.21</v>
      </c>
      <c r="I57" s="221">
        <f>IF(A57="Total",VLOOKUP(B57,CORRESPONDANCE[#All],2,FALSE),I58)</f>
        <v>17</v>
      </c>
      <c r="J57" s="222" t="str">
        <f t="shared" si="0"/>
        <v>6</v>
      </c>
      <c r="K57" s="44" t="str">
        <f t="shared" si="1"/>
        <v>LYSE - 627803</v>
      </c>
      <c r="L57" s="44" t="str">
        <f>+VLOOKUP(K57,TL[],4,FALSE)</f>
        <v>37</v>
      </c>
    </row>
    <row r="58" spans="1:12" x14ac:dyDescent="0.2">
      <c r="A58" t="s">
        <v>1714</v>
      </c>
      <c r="B58" t="s">
        <v>340</v>
      </c>
      <c r="C58">
        <v>116.93</v>
      </c>
      <c r="D58" t="s">
        <v>6961</v>
      </c>
      <c r="E58">
        <v>116.93</v>
      </c>
      <c r="F58" t="s">
        <v>6961</v>
      </c>
      <c r="G58" s="220">
        <f t="shared" si="2"/>
        <v>116.93</v>
      </c>
      <c r="H58" s="220">
        <f t="shared" si="3"/>
        <v>116.93</v>
      </c>
      <c r="I58" s="221">
        <f>IF(A58="Total",VLOOKUP(B58,CORRESPONDANCE[#All],2,FALSE),I59)</f>
        <v>17</v>
      </c>
      <c r="J58" s="222" t="str">
        <f t="shared" si="0"/>
        <v>6</v>
      </c>
      <c r="K58" s="44" t="str">
        <f t="shared" si="1"/>
        <v>LYSE - 627805</v>
      </c>
      <c r="L58" s="44" t="str">
        <f>+VLOOKUP(K58,TL[],4,FALSE)</f>
        <v>37</v>
      </c>
    </row>
    <row r="59" spans="1:12" x14ac:dyDescent="0.2">
      <c r="A59" t="s">
        <v>1713</v>
      </c>
      <c r="B59" t="s">
        <v>328</v>
      </c>
      <c r="C59">
        <v>18.07</v>
      </c>
      <c r="D59" t="s">
        <v>6961</v>
      </c>
      <c r="E59">
        <v>18.07</v>
      </c>
      <c r="F59" t="s">
        <v>6961</v>
      </c>
      <c r="G59" s="220">
        <f t="shared" si="2"/>
        <v>18.07</v>
      </c>
      <c r="H59" s="220">
        <f t="shared" si="3"/>
        <v>18.07</v>
      </c>
      <c r="I59" s="221">
        <f>IF(A59="Total",VLOOKUP(B59,CORRESPONDANCE[#All],2,FALSE),I60)</f>
        <v>17</v>
      </c>
      <c r="J59" s="222" t="str">
        <f t="shared" si="0"/>
        <v>6</v>
      </c>
      <c r="K59" s="44" t="str">
        <f t="shared" si="1"/>
        <v>LYSE - 627807</v>
      </c>
      <c r="L59" s="44" t="str">
        <f>+VLOOKUP(K59,TL[],4,FALSE)</f>
        <v>37</v>
      </c>
    </row>
    <row r="60" spans="1:12" x14ac:dyDescent="0.2">
      <c r="A60" t="s">
        <v>197</v>
      </c>
      <c r="B60" t="s">
        <v>2546</v>
      </c>
      <c r="C60">
        <v>2733.75</v>
      </c>
      <c r="D60" t="s">
        <v>6961</v>
      </c>
      <c r="E60">
        <v>2733.75</v>
      </c>
      <c r="F60" t="s">
        <v>6961</v>
      </c>
      <c r="G60" s="220">
        <f t="shared" si="2"/>
        <v>2733.75</v>
      </c>
      <c r="H60" s="220">
        <f t="shared" si="3"/>
        <v>2733.75</v>
      </c>
      <c r="I60" s="221">
        <f>IF(A60="Total",VLOOKUP(B60,CORRESPONDANCE[#All],2,FALSE),I61)</f>
        <v>17</v>
      </c>
      <c r="J60" s="222" t="str">
        <f t="shared" si="0"/>
        <v>T</v>
      </c>
      <c r="K60" s="44" t="str">
        <f t="shared" si="1"/>
        <v>LYSE - Total</v>
      </c>
      <c r="L60" s="44" t="e">
        <f>+VLOOKUP(K60,TL[],4,FALSE)</f>
        <v>#N/A</v>
      </c>
    </row>
    <row r="61" spans="1:12" x14ac:dyDescent="0.2">
      <c r="A61" t="s">
        <v>1586</v>
      </c>
      <c r="B61" t="s">
        <v>1153</v>
      </c>
      <c r="C61">
        <v>732.43</v>
      </c>
      <c r="D61" t="s">
        <v>6961</v>
      </c>
      <c r="E61">
        <v>732.43</v>
      </c>
      <c r="F61" t="s">
        <v>6961</v>
      </c>
      <c r="G61" s="220">
        <f t="shared" si="2"/>
        <v>732.43</v>
      </c>
      <c r="H61" s="220">
        <f t="shared" si="3"/>
        <v>732.43</v>
      </c>
      <c r="I61" s="221">
        <f>IF(A61="Total",VLOOKUP(B61,CORRESPONDANCE[#All],2,FALSE),I62)</f>
        <v>18</v>
      </c>
      <c r="J61" s="222" t="str">
        <f t="shared" si="0"/>
        <v>6</v>
      </c>
      <c r="K61" s="44" t="str">
        <f t="shared" si="1"/>
        <v>LYSE - 606300</v>
      </c>
      <c r="L61" s="44" t="str">
        <f>+VLOOKUP(K61,TL[],4,FALSE)</f>
        <v>19</v>
      </c>
    </row>
    <row r="62" spans="1:12" x14ac:dyDescent="0.2">
      <c r="A62" t="s">
        <v>1589</v>
      </c>
      <c r="B62" t="s">
        <v>444</v>
      </c>
      <c r="C62">
        <v>1618.9</v>
      </c>
      <c r="D62" t="s">
        <v>6961</v>
      </c>
      <c r="E62">
        <v>1618.9</v>
      </c>
      <c r="F62" t="s">
        <v>6961</v>
      </c>
      <c r="G62" s="220">
        <f t="shared" si="2"/>
        <v>1618.9</v>
      </c>
      <c r="H62" s="220">
        <f t="shared" si="3"/>
        <v>1618.9</v>
      </c>
      <c r="I62" s="221">
        <f>IF(A62="Total",VLOOKUP(B62,CORRESPONDANCE[#All],2,FALSE),I63)</f>
        <v>18</v>
      </c>
      <c r="J62" s="222" t="str">
        <f t="shared" si="0"/>
        <v>6</v>
      </c>
      <c r="K62" s="44" t="str">
        <f t="shared" si="1"/>
        <v>LYSE - 615500</v>
      </c>
      <c r="L62" s="44" t="str">
        <f>+VLOOKUP(K62,TL[],4,FALSE)</f>
        <v>19</v>
      </c>
    </row>
    <row r="63" spans="1:12" x14ac:dyDescent="0.2">
      <c r="A63" t="s">
        <v>197</v>
      </c>
      <c r="B63" t="s">
        <v>2547</v>
      </c>
      <c r="C63">
        <v>2351.33</v>
      </c>
      <c r="D63" t="s">
        <v>6961</v>
      </c>
      <c r="E63">
        <v>2351.33</v>
      </c>
      <c r="F63" t="s">
        <v>6961</v>
      </c>
      <c r="G63" s="220">
        <f t="shared" si="2"/>
        <v>2351.33</v>
      </c>
      <c r="H63" s="220">
        <f t="shared" si="3"/>
        <v>2351.33</v>
      </c>
      <c r="I63" s="221">
        <f>IF(A63="Total",VLOOKUP(B63,CORRESPONDANCE[#All],2,FALSE),I64)</f>
        <v>18</v>
      </c>
      <c r="J63" s="222" t="str">
        <f t="shared" si="0"/>
        <v>T</v>
      </c>
      <c r="K63" s="44" t="str">
        <f t="shared" si="1"/>
        <v>LYSE - Total</v>
      </c>
      <c r="L63" s="44" t="e">
        <f>+VLOOKUP(K63,TL[],4,FALSE)</f>
        <v>#N/A</v>
      </c>
    </row>
    <row r="64" spans="1:12" x14ac:dyDescent="0.2">
      <c r="A64" t="s">
        <v>1899</v>
      </c>
      <c r="B64" t="s">
        <v>732</v>
      </c>
      <c r="C64">
        <v>235</v>
      </c>
      <c r="D64" t="s">
        <v>6961</v>
      </c>
      <c r="E64">
        <v>235</v>
      </c>
      <c r="F64" t="s">
        <v>6961</v>
      </c>
      <c r="G64" s="220">
        <f t="shared" si="2"/>
        <v>235</v>
      </c>
      <c r="H64" s="220">
        <f t="shared" si="3"/>
        <v>235</v>
      </c>
      <c r="I64" s="221">
        <f>IF(A64="Total",VLOOKUP(B64,CORRESPONDANCE[#All],2,FALSE),I65)</f>
        <v>19</v>
      </c>
      <c r="J64" s="222" t="str">
        <f t="shared" si="0"/>
        <v>6</v>
      </c>
      <c r="K64" s="44" t="str">
        <f t="shared" si="1"/>
        <v>LYSE - 611000</v>
      </c>
      <c r="L64" s="44" t="str">
        <f>+VLOOKUP(K64,TL[],4,FALSE)</f>
        <v>32</v>
      </c>
    </row>
    <row r="65" spans="1:12" x14ac:dyDescent="0.2">
      <c r="A65" t="s">
        <v>1767</v>
      </c>
      <c r="B65" t="s">
        <v>1440</v>
      </c>
      <c r="C65">
        <v>46</v>
      </c>
      <c r="D65" t="s">
        <v>6961</v>
      </c>
      <c r="E65">
        <v>46</v>
      </c>
      <c r="F65" t="s">
        <v>6961</v>
      </c>
      <c r="G65" s="220">
        <f t="shared" si="2"/>
        <v>46</v>
      </c>
      <c r="H65" s="220">
        <f t="shared" si="3"/>
        <v>46</v>
      </c>
      <c r="I65" s="221">
        <f>IF(A65="Total",VLOOKUP(B65,CORRESPONDANCE[#All],2,FALSE),I66)</f>
        <v>19</v>
      </c>
      <c r="J65" s="222" t="str">
        <f t="shared" si="0"/>
        <v>6</v>
      </c>
      <c r="K65" s="44" t="str">
        <f t="shared" si="1"/>
        <v>LYSE - 613120</v>
      </c>
      <c r="L65" s="44" t="str">
        <f>+VLOOKUP(K65,TL[],4,FALSE)</f>
        <v>16</v>
      </c>
    </row>
    <row r="66" spans="1:12" x14ac:dyDescent="0.2">
      <c r="A66" t="s">
        <v>1727</v>
      </c>
      <c r="B66" t="s">
        <v>506</v>
      </c>
      <c r="C66">
        <v>163.86</v>
      </c>
      <c r="D66" t="s">
        <v>6961</v>
      </c>
      <c r="E66">
        <v>163.86</v>
      </c>
      <c r="F66" t="s">
        <v>6961</v>
      </c>
      <c r="G66" s="220">
        <f t="shared" si="2"/>
        <v>163.86</v>
      </c>
      <c r="H66" s="220">
        <f t="shared" si="3"/>
        <v>163.86</v>
      </c>
      <c r="I66" s="221">
        <f>IF(A66="Total",VLOOKUP(B66,CORRESPONDANCE[#All],2,FALSE),I67)</f>
        <v>19</v>
      </c>
      <c r="J66" s="222" t="str">
        <f t="shared" si="0"/>
        <v>6</v>
      </c>
      <c r="K66" s="44" t="str">
        <f t="shared" si="1"/>
        <v>LYSE - 613501</v>
      </c>
      <c r="L66" s="44" t="str">
        <f>+VLOOKUP(K66,TL[],4,FALSE)</f>
        <v>16</v>
      </c>
    </row>
    <row r="67" spans="1:12" x14ac:dyDescent="0.2">
      <c r="A67" t="s">
        <v>1579</v>
      </c>
      <c r="B67" t="s">
        <v>253</v>
      </c>
      <c r="C67">
        <v>240.17</v>
      </c>
      <c r="D67" t="s">
        <v>6961</v>
      </c>
      <c r="E67">
        <v>240.17</v>
      </c>
      <c r="F67" t="s">
        <v>6961</v>
      </c>
      <c r="G67" s="220">
        <f t="shared" si="2"/>
        <v>240.17</v>
      </c>
      <c r="H67" s="220">
        <f t="shared" si="3"/>
        <v>240.17</v>
      </c>
      <c r="I67" s="221">
        <f>IF(A67="Total",VLOOKUP(B67,CORRESPONDANCE[#All],2,FALSE),I68)</f>
        <v>19</v>
      </c>
      <c r="J67" s="222" t="str">
        <f t="shared" ref="J67:J129" si="4">LEFT(A67,1)</f>
        <v>6</v>
      </c>
      <c r="K67" s="44" t="str">
        <f t="shared" ref="K67:K129" si="5">"LYSE"&amp;" - "&amp;A67</f>
        <v>LYSE - 613510</v>
      </c>
      <c r="L67" s="44" t="str">
        <f>+VLOOKUP(K67,TL[],4,FALSE)</f>
        <v>16</v>
      </c>
    </row>
    <row r="68" spans="1:12" x14ac:dyDescent="0.2">
      <c r="A68" t="s">
        <v>7088</v>
      </c>
      <c r="B68" t="s">
        <v>7089</v>
      </c>
      <c r="C68">
        <v>113.33</v>
      </c>
      <c r="D68" t="s">
        <v>6961</v>
      </c>
      <c r="E68">
        <v>113.33</v>
      </c>
      <c r="F68" t="s">
        <v>6961</v>
      </c>
      <c r="G68" s="220">
        <f t="shared" si="2"/>
        <v>113.33</v>
      </c>
      <c r="H68" s="220">
        <f t="shared" si="3"/>
        <v>113.33</v>
      </c>
      <c r="I68" s="221">
        <f>IF(A68="Total",VLOOKUP(B68,CORRESPONDANCE[#All],2,FALSE),I69)</f>
        <v>19</v>
      </c>
      <c r="J68" s="222" t="str">
        <f t="shared" si="4"/>
        <v>6</v>
      </c>
      <c r="K68" s="44" t="str">
        <f t="shared" si="5"/>
        <v>LYSE - 615010</v>
      </c>
      <c r="L68" s="44" t="e">
        <f>+VLOOKUP(K68,TL[],4,FALSE)</f>
        <v>#N/A</v>
      </c>
    </row>
    <row r="69" spans="1:12" x14ac:dyDescent="0.2">
      <c r="A69" t="s">
        <v>1629</v>
      </c>
      <c r="B69" t="s">
        <v>154</v>
      </c>
      <c r="C69">
        <v>379</v>
      </c>
      <c r="D69" t="s">
        <v>6961</v>
      </c>
      <c r="E69">
        <v>379</v>
      </c>
      <c r="F69" t="s">
        <v>6961</v>
      </c>
      <c r="G69" s="220">
        <f t="shared" si="2"/>
        <v>379</v>
      </c>
      <c r="H69" s="220">
        <f t="shared" si="3"/>
        <v>379</v>
      </c>
      <c r="I69" s="221">
        <f>IF(A69="Total",VLOOKUP(B69,CORRESPONDANCE[#All],2,FALSE),I70)</f>
        <v>19</v>
      </c>
      <c r="J69" s="222" t="str">
        <f t="shared" si="4"/>
        <v>6</v>
      </c>
      <c r="K69" s="44" t="str">
        <f t="shared" si="5"/>
        <v>LYSE - 615200</v>
      </c>
      <c r="L69" s="44" t="str">
        <f>+VLOOKUP(K69,TL[],4,FALSE)</f>
        <v>16</v>
      </c>
    </row>
    <row r="70" spans="1:12" x14ac:dyDescent="0.2">
      <c r="A70" t="s">
        <v>1627</v>
      </c>
      <c r="B70" t="s">
        <v>486</v>
      </c>
      <c r="C70">
        <v>450</v>
      </c>
      <c r="D70" t="s">
        <v>6961</v>
      </c>
      <c r="E70">
        <v>450</v>
      </c>
      <c r="F70" t="s">
        <v>6961</v>
      </c>
      <c r="G70" s="220">
        <f t="shared" ref="G70:G132" si="6">SUM(C70)-SUM(D70)</f>
        <v>450</v>
      </c>
      <c r="H70" s="220">
        <f t="shared" ref="H70:H132" si="7">SUM(E70)-SUM(F70)</f>
        <v>450</v>
      </c>
      <c r="I70" s="221">
        <f>IF(A70="Total",VLOOKUP(B70,CORRESPONDANCE[#All],2,FALSE),I71)</f>
        <v>19</v>
      </c>
      <c r="J70" s="222" t="str">
        <f t="shared" si="4"/>
        <v>6</v>
      </c>
      <c r="K70" s="44" t="str">
        <f t="shared" si="5"/>
        <v>LYSE - 615600</v>
      </c>
      <c r="L70" s="44" t="str">
        <f>+VLOOKUP(K70,TL[],4,FALSE)</f>
        <v>16</v>
      </c>
    </row>
    <row r="71" spans="1:12" x14ac:dyDescent="0.2">
      <c r="A71" t="s">
        <v>1779</v>
      </c>
      <c r="B71" t="s">
        <v>503</v>
      </c>
      <c r="C71">
        <v>26.5</v>
      </c>
      <c r="D71" t="s">
        <v>6961</v>
      </c>
      <c r="E71">
        <v>26.5</v>
      </c>
      <c r="F71" t="s">
        <v>6961</v>
      </c>
      <c r="G71" s="220">
        <f t="shared" si="6"/>
        <v>26.5</v>
      </c>
      <c r="H71" s="220">
        <f t="shared" si="7"/>
        <v>26.5</v>
      </c>
      <c r="I71" s="221">
        <f>IF(A71="Total",VLOOKUP(B71,CORRESPONDANCE[#All],2,FALSE),I72)</f>
        <v>19</v>
      </c>
      <c r="J71" s="222" t="str">
        <f t="shared" si="4"/>
        <v>6</v>
      </c>
      <c r="K71" s="44" t="str">
        <f t="shared" si="5"/>
        <v>LYSE - 615610</v>
      </c>
      <c r="L71" s="44" t="str">
        <f>+VLOOKUP(K71,TL[],4,FALSE)</f>
        <v>16</v>
      </c>
    </row>
    <row r="72" spans="1:12" x14ac:dyDescent="0.2">
      <c r="A72" t="s">
        <v>1608</v>
      </c>
      <c r="B72" t="s">
        <v>481</v>
      </c>
      <c r="C72">
        <v>274</v>
      </c>
      <c r="D72" t="s">
        <v>6961</v>
      </c>
      <c r="E72">
        <v>274</v>
      </c>
      <c r="F72" t="s">
        <v>6961</v>
      </c>
      <c r="G72" s="220">
        <f t="shared" si="6"/>
        <v>274</v>
      </c>
      <c r="H72" s="220">
        <f t="shared" si="7"/>
        <v>274</v>
      </c>
      <c r="I72" s="221">
        <f>IF(A72="Total",VLOOKUP(B72,CORRESPONDANCE[#All],2,FALSE),I73)</f>
        <v>19</v>
      </c>
      <c r="J72" s="222" t="str">
        <f t="shared" si="4"/>
        <v>6</v>
      </c>
      <c r="K72" s="44" t="str">
        <f t="shared" si="5"/>
        <v>LYSE - 615611</v>
      </c>
      <c r="L72" s="44" t="str">
        <f>+VLOOKUP(K72,TL[],4,FALSE)</f>
        <v>16</v>
      </c>
    </row>
    <row r="73" spans="1:12" x14ac:dyDescent="0.2">
      <c r="A73" t="s">
        <v>1635</v>
      </c>
      <c r="B73" t="s">
        <v>1344</v>
      </c>
      <c r="C73">
        <v>129</v>
      </c>
      <c r="D73" t="s">
        <v>6961</v>
      </c>
      <c r="E73">
        <v>129</v>
      </c>
      <c r="F73" t="s">
        <v>6961</v>
      </c>
      <c r="G73" s="220">
        <f t="shared" si="6"/>
        <v>129</v>
      </c>
      <c r="H73" s="220">
        <f t="shared" si="7"/>
        <v>129</v>
      </c>
      <c r="I73" s="221">
        <f>IF(A73="Total",VLOOKUP(B73,CORRESPONDANCE[#All],2,FALSE),I74)</f>
        <v>19</v>
      </c>
      <c r="J73" s="222" t="str">
        <f t="shared" si="4"/>
        <v>6</v>
      </c>
      <c r="K73" s="44" t="str">
        <f t="shared" si="5"/>
        <v>LYSE - 615612</v>
      </c>
      <c r="L73" s="44" t="str">
        <f>+VLOOKUP(K73,TL[],4,FALSE)</f>
        <v>16</v>
      </c>
    </row>
    <row r="74" spans="1:12" x14ac:dyDescent="0.2">
      <c r="A74" t="s">
        <v>1617</v>
      </c>
      <c r="B74" t="s">
        <v>447</v>
      </c>
      <c r="C74">
        <v>334</v>
      </c>
      <c r="D74" t="s">
        <v>6961</v>
      </c>
      <c r="E74">
        <v>334</v>
      </c>
      <c r="F74" t="s">
        <v>6961</v>
      </c>
      <c r="G74" s="220">
        <f t="shared" si="6"/>
        <v>334</v>
      </c>
      <c r="H74" s="220">
        <f t="shared" si="7"/>
        <v>334</v>
      </c>
      <c r="I74" s="221">
        <f>IF(A74="Total",VLOOKUP(B74,CORRESPONDANCE[#All],2,FALSE),I75)</f>
        <v>19</v>
      </c>
      <c r="J74" s="222" t="str">
        <f t="shared" si="4"/>
        <v>6</v>
      </c>
      <c r="K74" s="44" t="str">
        <f t="shared" si="5"/>
        <v>LYSE - 615613</v>
      </c>
      <c r="L74" s="44" t="str">
        <f>+VLOOKUP(K74,TL[],4,FALSE)</f>
        <v>16</v>
      </c>
    </row>
    <row r="75" spans="1:12" x14ac:dyDescent="0.2">
      <c r="A75" t="s">
        <v>1620</v>
      </c>
      <c r="B75" t="s">
        <v>449</v>
      </c>
      <c r="C75">
        <v>103</v>
      </c>
      <c r="D75" t="s">
        <v>6961</v>
      </c>
      <c r="E75">
        <v>103</v>
      </c>
      <c r="F75" t="s">
        <v>6961</v>
      </c>
      <c r="G75" s="220">
        <f t="shared" si="6"/>
        <v>103</v>
      </c>
      <c r="H75" s="220">
        <f t="shared" si="7"/>
        <v>103</v>
      </c>
      <c r="I75" s="221">
        <f>IF(A75="Total",VLOOKUP(B75,CORRESPONDANCE[#All],2,FALSE),I76)</f>
        <v>19</v>
      </c>
      <c r="J75" s="222" t="str">
        <f t="shared" si="4"/>
        <v>6</v>
      </c>
      <c r="K75" s="44" t="str">
        <f t="shared" si="5"/>
        <v>LYSE - 615614</v>
      </c>
      <c r="L75" s="44" t="str">
        <f>+VLOOKUP(K75,TL[],4,FALSE)</f>
        <v>16</v>
      </c>
    </row>
    <row r="76" spans="1:12" x14ac:dyDescent="0.2">
      <c r="A76" t="s">
        <v>1625</v>
      </c>
      <c r="B76" t="s">
        <v>484</v>
      </c>
      <c r="C76">
        <v>375</v>
      </c>
      <c r="D76" t="s">
        <v>6961</v>
      </c>
      <c r="E76">
        <v>375</v>
      </c>
      <c r="F76" t="s">
        <v>6961</v>
      </c>
      <c r="G76" s="220">
        <f t="shared" si="6"/>
        <v>375</v>
      </c>
      <c r="H76" s="220">
        <f t="shared" si="7"/>
        <v>375</v>
      </c>
      <c r="I76" s="221">
        <f>IF(A76="Total",VLOOKUP(B76,CORRESPONDANCE[#All],2,FALSE),I77)</f>
        <v>19</v>
      </c>
      <c r="J76" s="222" t="str">
        <f t="shared" si="4"/>
        <v>6</v>
      </c>
      <c r="K76" s="44" t="str">
        <f t="shared" si="5"/>
        <v>LYSE - 615616</v>
      </c>
      <c r="L76" s="44" t="str">
        <f>+VLOOKUP(K76,TL[],4,FALSE)</f>
        <v>16</v>
      </c>
    </row>
    <row r="77" spans="1:12" x14ac:dyDescent="0.2">
      <c r="A77" t="s">
        <v>1611</v>
      </c>
      <c r="B77" t="s">
        <v>446</v>
      </c>
      <c r="C77">
        <v>19</v>
      </c>
      <c r="D77" t="s">
        <v>6961</v>
      </c>
      <c r="E77">
        <v>19</v>
      </c>
      <c r="F77" t="s">
        <v>6961</v>
      </c>
      <c r="G77" s="220">
        <f t="shared" si="6"/>
        <v>19</v>
      </c>
      <c r="H77" s="220">
        <f t="shared" si="7"/>
        <v>19</v>
      </c>
      <c r="I77" s="221">
        <f>IF(A77="Total",VLOOKUP(B77,CORRESPONDANCE[#All],2,FALSE),I78)</f>
        <v>19</v>
      </c>
      <c r="J77" s="222" t="str">
        <f t="shared" si="4"/>
        <v>6</v>
      </c>
      <c r="K77" s="44" t="str">
        <f t="shared" si="5"/>
        <v>LYSE - 615617</v>
      </c>
      <c r="L77" s="44" t="str">
        <f>+VLOOKUP(K77,TL[],4,FALSE)</f>
        <v>16</v>
      </c>
    </row>
    <row r="78" spans="1:12" x14ac:dyDescent="0.2">
      <c r="A78" t="s">
        <v>1582</v>
      </c>
      <c r="B78" t="s">
        <v>233</v>
      </c>
      <c r="C78">
        <v>89.1</v>
      </c>
      <c r="D78" t="s">
        <v>6961</v>
      </c>
      <c r="E78">
        <v>89.1</v>
      </c>
      <c r="F78" t="s">
        <v>6961</v>
      </c>
      <c r="G78" s="220">
        <f t="shared" si="6"/>
        <v>89.1</v>
      </c>
      <c r="H78" s="220">
        <f t="shared" si="7"/>
        <v>89.1</v>
      </c>
      <c r="I78" s="221">
        <f>IF(A78="Total",VLOOKUP(B78,CORRESPONDANCE[#All],2,FALSE),I79)</f>
        <v>19</v>
      </c>
      <c r="J78" s="222" t="str">
        <f t="shared" si="4"/>
        <v>6</v>
      </c>
      <c r="K78" s="44" t="str">
        <f t="shared" si="5"/>
        <v>LYSE - 615618</v>
      </c>
      <c r="L78" s="44" t="str">
        <f>+VLOOKUP(K78,TL[],4,FALSE)</f>
        <v>16</v>
      </c>
    </row>
    <row r="79" spans="1:12" x14ac:dyDescent="0.2">
      <c r="A79" t="s">
        <v>1595</v>
      </c>
      <c r="B79" t="s">
        <v>488</v>
      </c>
      <c r="C79">
        <v>1100</v>
      </c>
      <c r="D79" t="s">
        <v>6961</v>
      </c>
      <c r="E79">
        <v>1100</v>
      </c>
      <c r="F79" t="s">
        <v>6961</v>
      </c>
      <c r="G79" s="220">
        <f t="shared" si="6"/>
        <v>1100</v>
      </c>
      <c r="H79" s="220">
        <f t="shared" si="7"/>
        <v>1100</v>
      </c>
      <c r="I79" s="221">
        <f>IF(A79="Total",VLOOKUP(B79,CORRESPONDANCE[#All],2,FALSE),I80)</f>
        <v>19</v>
      </c>
      <c r="J79" s="222" t="str">
        <f t="shared" si="4"/>
        <v>6</v>
      </c>
      <c r="K79" s="44" t="str">
        <f t="shared" si="5"/>
        <v>LYSE - 615621</v>
      </c>
      <c r="L79" s="44" t="str">
        <f>+VLOOKUP(K79,TL[],4,FALSE)</f>
        <v>16</v>
      </c>
    </row>
    <row r="80" spans="1:12" x14ac:dyDescent="0.2">
      <c r="A80" t="s">
        <v>1614</v>
      </c>
      <c r="B80" t="s">
        <v>1345</v>
      </c>
      <c r="C80">
        <v>102</v>
      </c>
      <c r="D80" t="s">
        <v>6961</v>
      </c>
      <c r="E80">
        <v>102</v>
      </c>
      <c r="F80" t="s">
        <v>6961</v>
      </c>
      <c r="G80" s="220">
        <f t="shared" si="6"/>
        <v>102</v>
      </c>
      <c r="H80" s="220">
        <f t="shared" si="7"/>
        <v>102</v>
      </c>
      <c r="I80" s="221">
        <f>IF(A80="Total",VLOOKUP(B80,CORRESPONDANCE[#All],2,FALSE),I81)</f>
        <v>19</v>
      </c>
      <c r="J80" s="222" t="str">
        <f t="shared" si="4"/>
        <v>6</v>
      </c>
      <c r="K80" s="44" t="str">
        <f t="shared" si="5"/>
        <v>LYSE - 615622</v>
      </c>
      <c r="L80" s="44" t="str">
        <f>+VLOOKUP(K80,TL[],4,FALSE)</f>
        <v>16</v>
      </c>
    </row>
    <row r="81" spans="1:12" x14ac:dyDescent="0.2">
      <c r="A81" t="s">
        <v>1626</v>
      </c>
      <c r="B81" t="s">
        <v>2959</v>
      </c>
      <c r="C81">
        <v>668.42</v>
      </c>
      <c r="D81" t="s">
        <v>6961</v>
      </c>
      <c r="E81">
        <v>668.42</v>
      </c>
      <c r="F81" t="s">
        <v>6961</v>
      </c>
      <c r="G81" s="220">
        <f t="shared" si="6"/>
        <v>668.42</v>
      </c>
      <c r="H81" s="220">
        <f t="shared" si="7"/>
        <v>668.42</v>
      </c>
      <c r="I81" s="221">
        <f>IF(A81="Total",VLOOKUP(B81,CORRESPONDANCE[#All],2,FALSE),I82)</f>
        <v>19</v>
      </c>
      <c r="J81" s="222" t="str">
        <f t="shared" si="4"/>
        <v>6</v>
      </c>
      <c r="K81" s="44" t="str">
        <f t="shared" si="5"/>
        <v>LYSE - 615623</v>
      </c>
      <c r="L81" s="44" t="str">
        <f>+VLOOKUP(K81,TL[],4,FALSE)</f>
        <v>16</v>
      </c>
    </row>
    <row r="82" spans="1:12" x14ac:dyDescent="0.2">
      <c r="A82" t="s">
        <v>1785</v>
      </c>
      <c r="B82" t="s">
        <v>235</v>
      </c>
      <c r="C82">
        <v>120.02</v>
      </c>
      <c r="D82" t="s">
        <v>6961</v>
      </c>
      <c r="E82">
        <v>120.02</v>
      </c>
      <c r="F82" t="s">
        <v>6961</v>
      </c>
      <c r="G82" s="220">
        <f t="shared" si="6"/>
        <v>120.02</v>
      </c>
      <c r="H82" s="220">
        <f t="shared" si="7"/>
        <v>120.02</v>
      </c>
      <c r="I82" s="221">
        <f>IF(A82="Total",VLOOKUP(B82,CORRESPONDANCE[#All],2,FALSE),I83)</f>
        <v>19</v>
      </c>
      <c r="J82" s="222" t="str">
        <f t="shared" si="4"/>
        <v>6</v>
      </c>
      <c r="K82" s="44" t="str">
        <f t="shared" si="5"/>
        <v>LYSE - 615625</v>
      </c>
      <c r="L82" s="44" t="str">
        <f>+VLOOKUP(K82,TL[],4,FALSE)</f>
        <v>16</v>
      </c>
    </row>
    <row r="83" spans="1:12" x14ac:dyDescent="0.2">
      <c r="A83" t="s">
        <v>1597</v>
      </c>
      <c r="B83" t="s">
        <v>476</v>
      </c>
      <c r="C83">
        <v>599</v>
      </c>
      <c r="D83" t="s">
        <v>6961</v>
      </c>
      <c r="E83">
        <v>599</v>
      </c>
      <c r="F83" t="s">
        <v>6961</v>
      </c>
      <c r="G83" s="220">
        <f t="shared" si="6"/>
        <v>599</v>
      </c>
      <c r="H83" s="220">
        <f t="shared" si="7"/>
        <v>599</v>
      </c>
      <c r="I83" s="221">
        <f>IF(A83="Total",VLOOKUP(B83,CORRESPONDANCE[#All],2,FALSE),I84)</f>
        <v>19</v>
      </c>
      <c r="J83" s="222" t="str">
        <f t="shared" si="4"/>
        <v>6</v>
      </c>
      <c r="K83" s="44" t="str">
        <f t="shared" si="5"/>
        <v>LYSE - 615630</v>
      </c>
      <c r="L83" s="44" t="str">
        <f>+VLOOKUP(K83,TL[],4,FALSE)</f>
        <v>16</v>
      </c>
    </row>
    <row r="84" spans="1:12" x14ac:dyDescent="0.2">
      <c r="A84" t="s">
        <v>1613</v>
      </c>
      <c r="B84" t="s">
        <v>453</v>
      </c>
      <c r="C84">
        <v>121</v>
      </c>
      <c r="D84" t="s">
        <v>6961</v>
      </c>
      <c r="E84">
        <v>121</v>
      </c>
      <c r="F84" t="s">
        <v>6961</v>
      </c>
      <c r="G84" s="220">
        <f t="shared" si="6"/>
        <v>121</v>
      </c>
      <c r="H84" s="220">
        <f t="shared" si="7"/>
        <v>121</v>
      </c>
      <c r="I84" s="221">
        <f>IF(A84="Total",VLOOKUP(B84,CORRESPONDANCE[#All],2,FALSE),I85)</f>
        <v>19</v>
      </c>
      <c r="J84" s="222" t="str">
        <f t="shared" si="4"/>
        <v>6</v>
      </c>
      <c r="K84" s="44" t="str">
        <f t="shared" si="5"/>
        <v>LYSE - 615632</v>
      </c>
      <c r="L84" s="44" t="str">
        <f>+VLOOKUP(K84,TL[],4,FALSE)</f>
        <v>16</v>
      </c>
    </row>
    <row r="85" spans="1:12" x14ac:dyDescent="0.2">
      <c r="A85" t="s">
        <v>1772</v>
      </c>
      <c r="B85" t="s">
        <v>1486</v>
      </c>
      <c r="C85">
        <v>50.47</v>
      </c>
      <c r="D85" t="s">
        <v>6961</v>
      </c>
      <c r="E85">
        <v>50.47</v>
      </c>
      <c r="F85" t="s">
        <v>6961</v>
      </c>
      <c r="G85" s="220">
        <f t="shared" si="6"/>
        <v>50.47</v>
      </c>
      <c r="H85" s="220">
        <f t="shared" si="7"/>
        <v>50.47</v>
      </c>
      <c r="I85" s="221">
        <f>IF(A85="Total",VLOOKUP(B85,CORRESPONDANCE[#All],2,FALSE),I86)</f>
        <v>19</v>
      </c>
      <c r="J85" s="222" t="str">
        <f t="shared" si="4"/>
        <v>6</v>
      </c>
      <c r="K85" s="44" t="str">
        <f t="shared" si="5"/>
        <v>LYSE - 615636</v>
      </c>
      <c r="L85" s="44" t="str">
        <f>+VLOOKUP(K85,TL[],4,FALSE)</f>
        <v>16</v>
      </c>
    </row>
    <row r="86" spans="1:12" x14ac:dyDescent="0.2">
      <c r="A86" t="s">
        <v>1628</v>
      </c>
      <c r="B86" t="s">
        <v>7090</v>
      </c>
      <c r="C86">
        <v>20</v>
      </c>
      <c r="D86" t="s">
        <v>6961</v>
      </c>
      <c r="E86">
        <v>20</v>
      </c>
      <c r="F86" t="s">
        <v>6961</v>
      </c>
      <c r="G86" s="220">
        <f t="shared" si="6"/>
        <v>20</v>
      </c>
      <c r="H86" s="220">
        <f t="shared" si="7"/>
        <v>20</v>
      </c>
      <c r="I86" s="221">
        <f>IF(A86="Total",VLOOKUP(B86,CORRESPONDANCE[#All],2,FALSE),I87)</f>
        <v>19</v>
      </c>
      <c r="J86" s="222" t="str">
        <f t="shared" si="4"/>
        <v>6</v>
      </c>
      <c r="K86" s="44" t="str">
        <f t="shared" si="5"/>
        <v>LYSE - 615637</v>
      </c>
      <c r="L86" s="44" t="str">
        <f>+VLOOKUP(K86,TL[],4,FALSE)</f>
        <v>16</v>
      </c>
    </row>
    <row r="87" spans="1:12" x14ac:dyDescent="0.2">
      <c r="A87" t="s">
        <v>1592</v>
      </c>
      <c r="B87" t="s">
        <v>2240</v>
      </c>
      <c r="C87">
        <v>84</v>
      </c>
      <c r="D87" t="s">
        <v>6961</v>
      </c>
      <c r="E87">
        <v>84</v>
      </c>
      <c r="F87" t="s">
        <v>6961</v>
      </c>
      <c r="G87" s="220">
        <f t="shared" si="6"/>
        <v>84</v>
      </c>
      <c r="H87" s="220">
        <f t="shared" si="7"/>
        <v>84</v>
      </c>
      <c r="I87" s="221">
        <f>IF(A87="Total",VLOOKUP(B87,CORRESPONDANCE[#All],2,FALSE),I88)</f>
        <v>19</v>
      </c>
      <c r="J87" s="222" t="str">
        <f t="shared" si="4"/>
        <v>6</v>
      </c>
      <c r="K87" s="44" t="str">
        <f t="shared" si="5"/>
        <v>LYSE - 615639</v>
      </c>
      <c r="L87" s="44" t="str">
        <f>+VLOOKUP(K87,TL[],4,FALSE)</f>
        <v>16</v>
      </c>
    </row>
    <row r="88" spans="1:12" x14ac:dyDescent="0.2">
      <c r="A88" t="s">
        <v>1769</v>
      </c>
      <c r="B88" t="s">
        <v>6860</v>
      </c>
      <c r="C88">
        <v>73.17</v>
      </c>
      <c r="D88" t="s">
        <v>6961</v>
      </c>
      <c r="E88">
        <v>73.17</v>
      </c>
      <c r="F88" t="s">
        <v>6961</v>
      </c>
      <c r="G88" s="220">
        <f t="shared" si="6"/>
        <v>73.17</v>
      </c>
      <c r="H88" s="220">
        <f t="shared" si="7"/>
        <v>73.17</v>
      </c>
      <c r="I88" s="221">
        <f>IF(A88="Total",VLOOKUP(B88,CORRESPONDANCE[#All],2,FALSE),I89)</f>
        <v>19</v>
      </c>
      <c r="J88" s="222" t="str">
        <f t="shared" si="4"/>
        <v>6</v>
      </c>
      <c r="K88" s="44" t="str">
        <f t="shared" si="5"/>
        <v>LYSE - 615640</v>
      </c>
      <c r="L88" s="44" t="str">
        <f>+VLOOKUP(K88,TL[],4,FALSE)</f>
        <v>16</v>
      </c>
    </row>
    <row r="89" spans="1:12" x14ac:dyDescent="0.2">
      <c r="A89" t="s">
        <v>2096</v>
      </c>
      <c r="B89" t="s">
        <v>7083</v>
      </c>
      <c r="C89">
        <v>190</v>
      </c>
      <c r="D89" t="s">
        <v>6961</v>
      </c>
      <c r="E89">
        <v>190</v>
      </c>
      <c r="F89" t="s">
        <v>6961</v>
      </c>
      <c r="G89" s="220">
        <f t="shared" si="6"/>
        <v>190</v>
      </c>
      <c r="H89" s="220">
        <f t="shared" si="7"/>
        <v>190</v>
      </c>
      <c r="I89" s="221">
        <f>IF(A89="Total",VLOOKUP(B89,CORRESPONDANCE[#All],2,FALSE),I90)</f>
        <v>19</v>
      </c>
      <c r="J89" s="222" t="str">
        <f t="shared" si="4"/>
        <v>6</v>
      </c>
      <c r="K89" s="44" t="str">
        <f t="shared" si="5"/>
        <v>LYSE - 615641</v>
      </c>
      <c r="L89" s="44" t="str">
        <f>+VLOOKUP(K89,TL[],4,FALSE)</f>
        <v>16</v>
      </c>
    </row>
    <row r="90" spans="1:12" x14ac:dyDescent="0.2">
      <c r="A90" t="s">
        <v>2097</v>
      </c>
      <c r="B90" t="s">
        <v>7091</v>
      </c>
      <c r="C90">
        <v>168</v>
      </c>
      <c r="D90" t="s">
        <v>6961</v>
      </c>
      <c r="E90">
        <v>168</v>
      </c>
      <c r="F90" t="s">
        <v>6961</v>
      </c>
      <c r="G90" s="220">
        <f t="shared" si="6"/>
        <v>168</v>
      </c>
      <c r="H90" s="220">
        <f t="shared" si="7"/>
        <v>168</v>
      </c>
      <c r="I90" s="221">
        <f>IF(A90="Total",VLOOKUP(B90,CORRESPONDANCE[#All],2,FALSE),I91)</f>
        <v>19</v>
      </c>
      <c r="J90" s="222" t="str">
        <f t="shared" si="4"/>
        <v>6</v>
      </c>
      <c r="K90" s="44" t="str">
        <f t="shared" si="5"/>
        <v>LYSE - 615642</v>
      </c>
      <c r="L90" s="44" t="str">
        <f>+VLOOKUP(K90,TL[],4,FALSE)</f>
        <v>16</v>
      </c>
    </row>
    <row r="91" spans="1:12" x14ac:dyDescent="0.2">
      <c r="A91" t="s">
        <v>3246</v>
      </c>
      <c r="B91" t="s">
        <v>6941</v>
      </c>
      <c r="C91">
        <v>44.03</v>
      </c>
      <c r="D91" t="s">
        <v>6961</v>
      </c>
      <c r="E91">
        <v>44.03</v>
      </c>
      <c r="F91" t="s">
        <v>6961</v>
      </c>
      <c r="G91" s="220">
        <f t="shared" si="6"/>
        <v>44.03</v>
      </c>
      <c r="H91" s="220">
        <f t="shared" si="7"/>
        <v>44.03</v>
      </c>
      <c r="I91" s="221">
        <f>IF(A91="Total",VLOOKUP(B91,CORRESPONDANCE[#All],2,FALSE),I92)</f>
        <v>19</v>
      </c>
      <c r="J91" s="222" t="str">
        <f t="shared" si="4"/>
        <v>6</v>
      </c>
      <c r="K91" s="44" t="str">
        <f t="shared" si="5"/>
        <v>LYSE - 615643</v>
      </c>
      <c r="L91" s="44" t="str">
        <f>+VLOOKUP(K91,TL[],4,FALSE)</f>
        <v>16</v>
      </c>
    </row>
    <row r="92" spans="1:12" x14ac:dyDescent="0.2">
      <c r="A92" t="s">
        <v>2822</v>
      </c>
      <c r="B92" t="s">
        <v>7092</v>
      </c>
      <c r="C92">
        <v>76.7</v>
      </c>
      <c r="D92" t="s">
        <v>6961</v>
      </c>
      <c r="E92">
        <v>76.7</v>
      </c>
      <c r="F92" t="s">
        <v>6961</v>
      </c>
      <c r="G92" s="220">
        <f t="shared" si="6"/>
        <v>76.7</v>
      </c>
      <c r="H92" s="220">
        <f t="shared" si="7"/>
        <v>76.7</v>
      </c>
      <c r="I92" s="221">
        <f>IF(A92="Total",VLOOKUP(B92,CORRESPONDANCE[#All],2,FALSE),I93)</f>
        <v>19</v>
      </c>
      <c r="J92" s="222" t="str">
        <f t="shared" si="4"/>
        <v>6</v>
      </c>
      <c r="K92" s="44" t="str">
        <f t="shared" si="5"/>
        <v>LYSE - 615644</v>
      </c>
      <c r="L92" s="44" t="e">
        <f>+VLOOKUP(K92,TL[],4,FALSE)</f>
        <v>#N/A</v>
      </c>
    </row>
    <row r="93" spans="1:12" x14ac:dyDescent="0.2">
      <c r="A93" t="s">
        <v>2554</v>
      </c>
      <c r="B93" t="s">
        <v>7137</v>
      </c>
      <c r="C93">
        <v>162.66999999999999</v>
      </c>
      <c r="D93" t="s">
        <v>6961</v>
      </c>
      <c r="E93">
        <v>162.66999999999999</v>
      </c>
      <c r="F93" t="s">
        <v>6961</v>
      </c>
      <c r="G93" s="220">
        <f t="shared" si="6"/>
        <v>162.66999999999999</v>
      </c>
      <c r="H93" s="220">
        <f t="shared" si="7"/>
        <v>162.66999999999999</v>
      </c>
      <c r="I93" s="221">
        <f>IF(A93="Total",VLOOKUP(B93,CORRESPONDANCE[#All],2,FALSE),I94)</f>
        <v>19</v>
      </c>
      <c r="J93" s="222" t="str">
        <f t="shared" si="4"/>
        <v>6</v>
      </c>
      <c r="K93" s="44" t="str">
        <f t="shared" si="5"/>
        <v>LYSE - 615645</v>
      </c>
      <c r="L93" s="44" t="e">
        <f>+VLOOKUP(K93,TL[],4,FALSE)</f>
        <v>#N/A</v>
      </c>
    </row>
    <row r="94" spans="1:12" x14ac:dyDescent="0.2">
      <c r="A94" t="s">
        <v>6316</v>
      </c>
      <c r="B94" t="s">
        <v>6975</v>
      </c>
      <c r="C94">
        <v>40</v>
      </c>
      <c r="D94" t="s">
        <v>6961</v>
      </c>
      <c r="E94">
        <v>40</v>
      </c>
      <c r="F94" t="s">
        <v>6961</v>
      </c>
      <c r="G94" s="220">
        <f t="shared" si="6"/>
        <v>40</v>
      </c>
      <c r="H94" s="220">
        <f t="shared" si="7"/>
        <v>40</v>
      </c>
      <c r="I94" s="221">
        <f>IF(A94="Total",VLOOKUP(B94,CORRESPONDANCE[#All],2,FALSE),I95)</f>
        <v>19</v>
      </c>
      <c r="J94" s="222" t="str">
        <f t="shared" si="4"/>
        <v>6</v>
      </c>
      <c r="K94" s="44" t="str">
        <f t="shared" si="5"/>
        <v>LYSE - 615646</v>
      </c>
      <c r="L94" s="44" t="e">
        <f>+VLOOKUP(K94,TL[],4,FALSE)</f>
        <v>#N/A</v>
      </c>
    </row>
    <row r="95" spans="1:12" x14ac:dyDescent="0.2">
      <c r="A95" t="s">
        <v>7120</v>
      </c>
      <c r="B95" t="s">
        <v>7138</v>
      </c>
      <c r="C95">
        <v>12.36</v>
      </c>
      <c r="D95" t="s">
        <v>6961</v>
      </c>
      <c r="E95">
        <v>12.36</v>
      </c>
      <c r="F95" t="s">
        <v>6961</v>
      </c>
      <c r="G95" s="220">
        <f t="shared" si="6"/>
        <v>12.36</v>
      </c>
      <c r="H95" s="220">
        <f t="shared" si="7"/>
        <v>12.36</v>
      </c>
      <c r="I95" s="221">
        <f>IF(A95="Total",VLOOKUP(B95,CORRESPONDANCE[#All],2,FALSE),I96)</f>
        <v>19</v>
      </c>
      <c r="J95" s="222" t="str">
        <f t="shared" si="4"/>
        <v>6</v>
      </c>
      <c r="K95" s="44" t="str">
        <f t="shared" si="5"/>
        <v>LYSE - 626300</v>
      </c>
      <c r="L95" s="44" t="e">
        <f>+VLOOKUP(K95,TL[],4,FALSE)</f>
        <v>#N/A</v>
      </c>
    </row>
    <row r="96" spans="1:12" x14ac:dyDescent="0.2">
      <c r="A96" t="s">
        <v>1610</v>
      </c>
      <c r="B96" t="s">
        <v>480</v>
      </c>
      <c r="C96">
        <v>1000</v>
      </c>
      <c r="D96" t="s">
        <v>6961</v>
      </c>
      <c r="E96">
        <v>1000</v>
      </c>
      <c r="F96" t="s">
        <v>6961</v>
      </c>
      <c r="G96" s="220">
        <f t="shared" si="6"/>
        <v>1000</v>
      </c>
      <c r="H96" s="220">
        <f t="shared" si="7"/>
        <v>1000</v>
      </c>
      <c r="I96" s="221">
        <f>IF(A96="Total",VLOOKUP(B96,CORRESPONDANCE[#All],2,FALSE),I97)</f>
        <v>19</v>
      </c>
      <c r="J96" s="222" t="str">
        <f t="shared" si="4"/>
        <v>6</v>
      </c>
      <c r="K96" s="44" t="str">
        <f t="shared" si="5"/>
        <v>LYSE - 647500</v>
      </c>
      <c r="L96" s="44" t="str">
        <f>+VLOOKUP(K96,TL[],4,FALSE)</f>
        <v>16</v>
      </c>
    </row>
    <row r="97" spans="1:12" x14ac:dyDescent="0.2">
      <c r="A97" t="s">
        <v>1796</v>
      </c>
      <c r="B97" t="s">
        <v>282</v>
      </c>
      <c r="C97">
        <v>100</v>
      </c>
      <c r="D97" t="s">
        <v>6961</v>
      </c>
      <c r="E97">
        <v>100</v>
      </c>
      <c r="F97" t="s">
        <v>6961</v>
      </c>
      <c r="G97" s="220">
        <f t="shared" si="6"/>
        <v>100</v>
      </c>
      <c r="H97" s="220">
        <f t="shared" si="7"/>
        <v>100</v>
      </c>
      <c r="I97" s="221">
        <f>IF(A97="Total",VLOOKUP(B97,CORRESPONDANCE[#All],2,FALSE),I98)</f>
        <v>19</v>
      </c>
      <c r="J97" s="222" t="str">
        <f t="shared" si="4"/>
        <v>6</v>
      </c>
      <c r="K97" s="44" t="str">
        <f t="shared" si="5"/>
        <v>LYSE - 651003</v>
      </c>
      <c r="L97" s="44" t="str">
        <f>+VLOOKUP(K97,TL[],4,FALSE)</f>
        <v>16</v>
      </c>
    </row>
    <row r="98" spans="1:12" x14ac:dyDescent="0.2">
      <c r="A98" t="s">
        <v>7123</v>
      </c>
      <c r="B98" t="s">
        <v>7124</v>
      </c>
      <c r="C98">
        <v>247.65</v>
      </c>
      <c r="D98" t="s">
        <v>6961</v>
      </c>
      <c r="E98">
        <v>247.65</v>
      </c>
      <c r="F98" t="s">
        <v>6961</v>
      </c>
      <c r="G98" s="220">
        <f t="shared" si="6"/>
        <v>247.65</v>
      </c>
      <c r="H98" s="220">
        <f t="shared" si="7"/>
        <v>247.65</v>
      </c>
      <c r="I98" s="221">
        <f>IF(A98="Total",VLOOKUP(B98,CORRESPONDANCE[#All],2,FALSE),I99)</f>
        <v>19</v>
      </c>
      <c r="J98" s="222" t="str">
        <f t="shared" si="4"/>
        <v>6</v>
      </c>
      <c r="K98" s="44" t="str">
        <f t="shared" si="5"/>
        <v>LYSE - 651700</v>
      </c>
      <c r="L98" s="44" t="e">
        <f>+VLOOKUP(K98,TL[],4,FALSE)</f>
        <v>#N/A</v>
      </c>
    </row>
    <row r="99" spans="1:12" x14ac:dyDescent="0.2">
      <c r="A99" t="s">
        <v>197</v>
      </c>
      <c r="B99" t="s">
        <v>2567</v>
      </c>
      <c r="C99">
        <v>7956.45</v>
      </c>
      <c r="D99" t="s">
        <v>6961</v>
      </c>
      <c r="E99">
        <v>7956.45</v>
      </c>
      <c r="F99" t="s">
        <v>6961</v>
      </c>
      <c r="G99" s="220">
        <f t="shared" si="6"/>
        <v>7956.45</v>
      </c>
      <c r="H99" s="220">
        <f t="shared" si="7"/>
        <v>7956.45</v>
      </c>
      <c r="I99" s="221">
        <f>IF(A99="Total",VLOOKUP(B99,CORRESPONDANCE[#All],2,FALSE),#REF!)</f>
        <v>19</v>
      </c>
      <c r="J99" s="222" t="str">
        <f t="shared" si="4"/>
        <v>T</v>
      </c>
      <c r="K99" s="44" t="str">
        <f t="shared" si="5"/>
        <v>LYSE - Total</v>
      </c>
      <c r="L99" s="44" t="e">
        <f>+VLOOKUP(K99,TL[],4,FALSE)</f>
        <v>#N/A</v>
      </c>
    </row>
    <row r="100" spans="1:12" x14ac:dyDescent="0.2">
      <c r="A100" t="s">
        <v>1738</v>
      </c>
      <c r="B100" t="s">
        <v>6957</v>
      </c>
      <c r="C100">
        <v>6948.62</v>
      </c>
      <c r="D100" t="s">
        <v>6961</v>
      </c>
      <c r="E100">
        <v>6948.62</v>
      </c>
      <c r="F100" t="s">
        <v>6961</v>
      </c>
      <c r="G100" s="220">
        <f t="shared" si="6"/>
        <v>6948.62</v>
      </c>
      <c r="H100" s="220">
        <f t="shared" si="7"/>
        <v>6948.62</v>
      </c>
      <c r="I100" s="221">
        <f>IF(A100="Total",VLOOKUP(B100,CORRESPONDANCE[#All],2,FALSE),I101)</f>
        <v>21</v>
      </c>
      <c r="J100" s="222" t="str">
        <f t="shared" si="4"/>
        <v>6</v>
      </c>
      <c r="K100" s="44" t="str">
        <f t="shared" si="5"/>
        <v>LYSE - 622800</v>
      </c>
      <c r="L100" s="44" t="str">
        <f>+VLOOKUP(K100,TL[],4,FALSE)</f>
        <v>32</v>
      </c>
    </row>
    <row r="101" spans="1:12" x14ac:dyDescent="0.2">
      <c r="A101" t="s">
        <v>197</v>
      </c>
      <c r="B101" t="s">
        <v>2568</v>
      </c>
      <c r="C101">
        <v>6948.62</v>
      </c>
      <c r="D101" t="s">
        <v>6961</v>
      </c>
      <c r="E101">
        <v>6948.62</v>
      </c>
      <c r="F101" t="s">
        <v>6961</v>
      </c>
      <c r="G101" s="220">
        <f t="shared" si="6"/>
        <v>6948.62</v>
      </c>
      <c r="H101" s="220">
        <f t="shared" si="7"/>
        <v>6948.62</v>
      </c>
      <c r="I101" s="221">
        <f>IF(A101="Total",VLOOKUP(B101,CORRESPONDANCE[#All],2,FALSE),I102)</f>
        <v>21</v>
      </c>
      <c r="J101" s="222" t="str">
        <f t="shared" si="4"/>
        <v>T</v>
      </c>
      <c r="K101" s="44" t="str">
        <f t="shared" si="5"/>
        <v>LYSE - Total</v>
      </c>
      <c r="L101" s="44" t="e">
        <f>+VLOOKUP(K101,TL[],4,FALSE)</f>
        <v>#N/A</v>
      </c>
    </row>
    <row r="102" spans="1:12" x14ac:dyDescent="0.2">
      <c r="A102" t="s">
        <v>1594</v>
      </c>
      <c r="B102" t="s">
        <v>153</v>
      </c>
      <c r="C102">
        <v>15259.5</v>
      </c>
      <c r="D102" t="s">
        <v>6961</v>
      </c>
      <c r="E102">
        <v>15259.5</v>
      </c>
      <c r="F102" t="s">
        <v>6961</v>
      </c>
      <c r="G102" s="220">
        <f t="shared" si="6"/>
        <v>15259.5</v>
      </c>
      <c r="H102" s="220">
        <f t="shared" si="7"/>
        <v>15259.5</v>
      </c>
      <c r="I102" s="221">
        <f>IF(A102="Total",VLOOKUP(B102,CORRESPONDANCE[#All],2,FALSE),I103)</f>
        <v>22</v>
      </c>
      <c r="J102" s="222" t="str">
        <f t="shared" si="4"/>
        <v>6</v>
      </c>
      <c r="K102" s="44" t="str">
        <f t="shared" si="5"/>
        <v>LYSE - 623000</v>
      </c>
      <c r="L102" s="44" t="str">
        <f>+VLOOKUP(K102,TL[],4,FALSE)</f>
        <v>14</v>
      </c>
    </row>
    <row r="103" spans="1:12" x14ac:dyDescent="0.2">
      <c r="A103" t="s">
        <v>197</v>
      </c>
      <c r="B103" t="s">
        <v>2569</v>
      </c>
      <c r="C103">
        <v>15259.5</v>
      </c>
      <c r="D103" t="s">
        <v>6961</v>
      </c>
      <c r="E103">
        <v>15259.5</v>
      </c>
      <c r="F103" t="s">
        <v>6961</v>
      </c>
      <c r="G103" s="220">
        <f t="shared" si="6"/>
        <v>15259.5</v>
      </c>
      <c r="H103" s="220">
        <f t="shared" si="7"/>
        <v>15259.5</v>
      </c>
      <c r="I103" s="221">
        <f>IF(A103="Total",VLOOKUP(B103,CORRESPONDANCE[#All],2,FALSE),I104)</f>
        <v>22</v>
      </c>
      <c r="J103" s="222" t="str">
        <f t="shared" si="4"/>
        <v>T</v>
      </c>
      <c r="K103" s="44" t="str">
        <f t="shared" si="5"/>
        <v>LYSE - Total</v>
      </c>
      <c r="L103" s="44" t="e">
        <f>+VLOOKUP(K103,TL[],4,FALSE)</f>
        <v>#N/A</v>
      </c>
    </row>
    <row r="104" spans="1:12" x14ac:dyDescent="0.2">
      <c r="A104" t="s">
        <v>1596</v>
      </c>
      <c r="B104" t="s">
        <v>495</v>
      </c>
      <c r="C104">
        <v>2700</v>
      </c>
      <c r="D104" t="s">
        <v>6961</v>
      </c>
      <c r="E104">
        <v>2700</v>
      </c>
      <c r="F104" t="s">
        <v>6961</v>
      </c>
      <c r="G104" s="220">
        <f t="shared" si="6"/>
        <v>2700</v>
      </c>
      <c r="H104" s="220">
        <f t="shared" si="7"/>
        <v>2700</v>
      </c>
      <c r="I104" s="221">
        <f>IF(A104="Total",VLOOKUP(B104,CORRESPONDANCE[#All],2,FALSE),I105)</f>
        <v>23</v>
      </c>
      <c r="J104" s="222" t="str">
        <f t="shared" si="4"/>
        <v>6</v>
      </c>
      <c r="K104" s="44" t="str">
        <f t="shared" si="5"/>
        <v>LYSE - 623002</v>
      </c>
      <c r="L104" s="44" t="str">
        <f>+VLOOKUP(K104,TL[],4,FALSE)</f>
        <v>15</v>
      </c>
    </row>
    <row r="105" spans="1:12" x14ac:dyDescent="0.2">
      <c r="A105" t="s">
        <v>1788</v>
      </c>
      <c r="B105" t="s">
        <v>226</v>
      </c>
      <c r="C105">
        <v>4185.13</v>
      </c>
      <c r="D105" t="s">
        <v>6961</v>
      </c>
      <c r="E105">
        <v>4185.13</v>
      </c>
      <c r="F105" t="s">
        <v>6961</v>
      </c>
      <c r="G105" s="220">
        <f t="shared" si="6"/>
        <v>4185.13</v>
      </c>
      <c r="H105" s="220">
        <f t="shared" si="7"/>
        <v>4185.13</v>
      </c>
      <c r="I105" s="221">
        <f>IF(A105="Total",VLOOKUP(B105,CORRESPONDANCE[#All],2,FALSE),I106)</f>
        <v>23</v>
      </c>
      <c r="J105" s="222" t="str">
        <f t="shared" si="4"/>
        <v>6</v>
      </c>
      <c r="K105" s="44" t="str">
        <f t="shared" si="5"/>
        <v>LYSE - 623401</v>
      </c>
      <c r="L105" s="44" t="str">
        <f>+VLOOKUP(K105,TL[],4,FALSE)</f>
        <v>15</v>
      </c>
    </row>
    <row r="106" spans="1:12" x14ac:dyDescent="0.2">
      <c r="A106" t="s">
        <v>1633</v>
      </c>
      <c r="B106" t="s">
        <v>254</v>
      </c>
      <c r="C106">
        <v>254.15</v>
      </c>
      <c r="D106" t="s">
        <v>6961</v>
      </c>
      <c r="E106">
        <v>254.15</v>
      </c>
      <c r="F106" t="s">
        <v>6961</v>
      </c>
      <c r="G106" s="220">
        <f t="shared" si="6"/>
        <v>254.15</v>
      </c>
      <c r="H106" s="220">
        <f t="shared" si="7"/>
        <v>254.15</v>
      </c>
      <c r="I106" s="221">
        <f>IF(A106="Total",VLOOKUP(B106,CORRESPONDANCE[#All],2,FALSE),I107)</f>
        <v>23</v>
      </c>
      <c r="J106" s="222" t="str">
        <f t="shared" si="4"/>
        <v>6</v>
      </c>
      <c r="K106" s="44" t="str">
        <f t="shared" si="5"/>
        <v>LYSE - 623415</v>
      </c>
      <c r="L106" s="44" t="str">
        <f>+VLOOKUP(K106,TL[],4,FALSE)</f>
        <v>15</v>
      </c>
    </row>
    <row r="107" spans="1:12" x14ac:dyDescent="0.2">
      <c r="A107" t="s">
        <v>197</v>
      </c>
      <c r="B107" t="s">
        <v>2572</v>
      </c>
      <c r="C107">
        <v>7139.28</v>
      </c>
      <c r="D107" t="s">
        <v>6961</v>
      </c>
      <c r="E107">
        <v>7139.28</v>
      </c>
      <c r="F107" t="s">
        <v>6961</v>
      </c>
      <c r="G107" s="220">
        <f t="shared" si="6"/>
        <v>7139.28</v>
      </c>
      <c r="H107" s="220">
        <f t="shared" si="7"/>
        <v>7139.28</v>
      </c>
      <c r="I107" s="221">
        <f>IF(A107="Total",VLOOKUP(B107,CORRESPONDANCE[#All],2,FALSE),I108)</f>
        <v>23</v>
      </c>
      <c r="J107" s="222" t="str">
        <f t="shared" si="4"/>
        <v>T</v>
      </c>
      <c r="K107" s="44" t="str">
        <f t="shared" si="5"/>
        <v>LYSE - Total</v>
      </c>
      <c r="L107" s="44" t="e">
        <f>+VLOOKUP(K107,TL[],4,FALSE)</f>
        <v>#N/A</v>
      </c>
    </row>
    <row r="108" spans="1:12" x14ac:dyDescent="0.2">
      <c r="A108" t="s">
        <v>1765</v>
      </c>
      <c r="B108" t="s">
        <v>156</v>
      </c>
      <c r="C108">
        <v>654</v>
      </c>
      <c r="D108" t="s">
        <v>6961</v>
      </c>
      <c r="E108">
        <v>654</v>
      </c>
      <c r="F108" t="s">
        <v>6961</v>
      </c>
      <c r="G108" s="220">
        <f t="shared" si="6"/>
        <v>654</v>
      </c>
      <c r="H108" s="220">
        <f t="shared" si="7"/>
        <v>654</v>
      </c>
      <c r="I108" s="221">
        <f>IF(A108="Total",VLOOKUP(B108,CORRESPONDANCE[#All],2,FALSE),I109)</f>
        <v>24</v>
      </c>
      <c r="J108" s="222" t="str">
        <f t="shared" si="4"/>
        <v>6</v>
      </c>
      <c r="K108" s="44" t="str">
        <f t="shared" si="5"/>
        <v>LYSE - 606101</v>
      </c>
      <c r="L108" s="44" t="str">
        <f>+VLOOKUP(K108,TL[],4,FALSE)</f>
        <v>20</v>
      </c>
    </row>
    <row r="109" spans="1:12" x14ac:dyDescent="0.2">
      <c r="A109" t="s">
        <v>1621</v>
      </c>
      <c r="B109" t="s">
        <v>241</v>
      </c>
      <c r="C109">
        <v>9223</v>
      </c>
      <c r="D109" t="s">
        <v>6961</v>
      </c>
      <c r="E109">
        <v>9223</v>
      </c>
      <c r="F109" t="s">
        <v>6961</v>
      </c>
      <c r="G109" s="220">
        <f t="shared" si="6"/>
        <v>9223</v>
      </c>
      <c r="H109" s="220">
        <f t="shared" si="7"/>
        <v>9223</v>
      </c>
      <c r="I109" s="221">
        <f>IF(A109="Total",VLOOKUP(B109,CORRESPONDANCE[#All],2,FALSE),I110)</f>
        <v>24</v>
      </c>
      <c r="J109" s="222" t="str">
        <f t="shared" si="4"/>
        <v>6</v>
      </c>
      <c r="K109" s="44" t="str">
        <f t="shared" si="5"/>
        <v>LYSE - 606103</v>
      </c>
      <c r="L109" s="44" t="str">
        <f>+VLOOKUP(K109,TL[],4,FALSE)</f>
        <v>20</v>
      </c>
    </row>
    <row r="110" spans="1:12" x14ac:dyDescent="0.2">
      <c r="A110" t="s">
        <v>1588</v>
      </c>
      <c r="B110" t="s">
        <v>322</v>
      </c>
      <c r="C110">
        <v>589.98</v>
      </c>
      <c r="D110" t="s">
        <v>6961</v>
      </c>
      <c r="E110">
        <v>589.98</v>
      </c>
      <c r="F110" t="s">
        <v>6961</v>
      </c>
      <c r="G110" s="220">
        <f t="shared" si="6"/>
        <v>589.98</v>
      </c>
      <c r="H110" s="220">
        <f t="shared" si="7"/>
        <v>589.98</v>
      </c>
      <c r="I110" s="221">
        <f>IF(A110="Total",VLOOKUP(B110,CORRESPONDANCE[#All],2,FALSE),I111)</f>
        <v>24</v>
      </c>
      <c r="J110" s="222" t="str">
        <f t="shared" si="4"/>
        <v>6</v>
      </c>
      <c r="K110" s="44" t="str">
        <f t="shared" si="5"/>
        <v>LYSE - 606105</v>
      </c>
      <c r="L110" s="44" t="str">
        <f>+VLOOKUP(K110,TL[],4,FALSE)</f>
        <v>20</v>
      </c>
    </row>
    <row r="111" spans="1:12" x14ac:dyDescent="0.2">
      <c r="A111" t="s">
        <v>1590</v>
      </c>
      <c r="B111" t="s">
        <v>167</v>
      </c>
      <c r="C111">
        <v>200</v>
      </c>
      <c r="D111" t="s">
        <v>6961</v>
      </c>
      <c r="E111">
        <v>200</v>
      </c>
      <c r="F111" t="s">
        <v>6961</v>
      </c>
      <c r="G111" s="220">
        <f t="shared" si="6"/>
        <v>200</v>
      </c>
      <c r="H111" s="220">
        <f t="shared" si="7"/>
        <v>200</v>
      </c>
      <c r="I111" s="221">
        <f>IF(A111="Total",VLOOKUP(B111,CORRESPONDANCE[#All],2,FALSE),I112)</f>
        <v>24</v>
      </c>
      <c r="J111" s="222" t="str">
        <f t="shared" si="4"/>
        <v>6</v>
      </c>
      <c r="K111" s="44" t="str">
        <f t="shared" si="5"/>
        <v>LYSE - 626200</v>
      </c>
      <c r="L111" s="44" t="str">
        <f>+VLOOKUP(K111,TL[],4,FALSE)</f>
        <v>20</v>
      </c>
    </row>
    <row r="112" spans="1:12" x14ac:dyDescent="0.2">
      <c r="A112" t="s">
        <v>197</v>
      </c>
      <c r="B112" t="s">
        <v>2576</v>
      </c>
      <c r="C112">
        <v>10666.98</v>
      </c>
      <c r="D112" t="s">
        <v>6961</v>
      </c>
      <c r="E112">
        <v>10666.98</v>
      </c>
      <c r="F112" t="s">
        <v>6961</v>
      </c>
      <c r="G112" s="220">
        <f t="shared" si="6"/>
        <v>10666.98</v>
      </c>
      <c r="H112" s="220">
        <f t="shared" si="7"/>
        <v>10666.98</v>
      </c>
      <c r="I112" s="221">
        <f>IF(A112="Total",VLOOKUP(B112,CORRESPONDANCE[#All],2,FALSE),I113)</f>
        <v>24</v>
      </c>
      <c r="J112" s="222" t="str">
        <f t="shared" si="4"/>
        <v>T</v>
      </c>
      <c r="K112" s="44" t="str">
        <f t="shared" si="5"/>
        <v>LYSE - Total</v>
      </c>
      <c r="L112" s="44" t="e">
        <f>+VLOOKUP(K112,TL[],4,FALSE)</f>
        <v>#N/A</v>
      </c>
    </row>
    <row r="113" spans="1:12" x14ac:dyDescent="0.2">
      <c r="A113" t="s">
        <v>1634</v>
      </c>
      <c r="B113" t="s">
        <v>161</v>
      </c>
      <c r="C113">
        <v>153.93</v>
      </c>
      <c r="D113" t="s">
        <v>6961</v>
      </c>
      <c r="E113">
        <v>153.93</v>
      </c>
      <c r="F113" t="s">
        <v>6961</v>
      </c>
      <c r="G113" s="220">
        <f t="shared" si="6"/>
        <v>153.93</v>
      </c>
      <c r="H113" s="220">
        <f t="shared" si="7"/>
        <v>153.93</v>
      </c>
      <c r="I113" s="221">
        <f>IF(A113="Total",VLOOKUP(B113,CORRESPONDANCE[#All],2,FALSE),I114)</f>
        <v>25</v>
      </c>
      <c r="J113" s="222" t="str">
        <f t="shared" si="4"/>
        <v>6</v>
      </c>
      <c r="K113" s="44" t="str">
        <f t="shared" si="5"/>
        <v>LYSE - 602610</v>
      </c>
      <c r="L113" s="44" t="str">
        <f>+VLOOKUP(K113,TL[],4,FALSE)</f>
        <v>18</v>
      </c>
    </row>
    <row r="114" spans="1:12" x14ac:dyDescent="0.2">
      <c r="A114" t="s">
        <v>1616</v>
      </c>
      <c r="B114" t="s">
        <v>1342</v>
      </c>
      <c r="C114">
        <v>3163.99</v>
      </c>
      <c r="D114" t="s">
        <v>6961</v>
      </c>
      <c r="E114">
        <v>3163.99</v>
      </c>
      <c r="F114" t="s">
        <v>6961</v>
      </c>
      <c r="G114" s="220">
        <f t="shared" si="6"/>
        <v>3163.99</v>
      </c>
      <c r="H114" s="220">
        <f t="shared" si="7"/>
        <v>3163.99</v>
      </c>
      <c r="I114" s="221">
        <f>IF(A114="Total",VLOOKUP(B114,CORRESPONDANCE[#All],2,FALSE),I115)</f>
        <v>25</v>
      </c>
      <c r="J114" s="222" t="str">
        <f t="shared" si="4"/>
        <v>6</v>
      </c>
      <c r="K114" s="44" t="str">
        <f t="shared" si="5"/>
        <v>LYSE - 606302</v>
      </c>
      <c r="L114" s="44" t="str">
        <f>+VLOOKUP(K114,TL[],4,FALSE)</f>
        <v>18</v>
      </c>
    </row>
    <row r="115" spans="1:12" x14ac:dyDescent="0.2">
      <c r="A115" t="s">
        <v>1612</v>
      </c>
      <c r="B115" t="s">
        <v>445</v>
      </c>
      <c r="C115">
        <v>151.22</v>
      </c>
      <c r="D115" t="s">
        <v>6961</v>
      </c>
      <c r="E115">
        <v>151.22</v>
      </c>
      <c r="F115" t="s">
        <v>6961</v>
      </c>
      <c r="G115" s="220">
        <f t="shared" si="6"/>
        <v>151.22</v>
      </c>
      <c r="H115" s="220">
        <f t="shared" si="7"/>
        <v>151.22</v>
      </c>
      <c r="I115" s="221">
        <f>IF(A115="Total",VLOOKUP(B115,CORRESPONDANCE[#All],2,FALSE),I116)</f>
        <v>25</v>
      </c>
      <c r="J115" s="222" t="str">
        <f t="shared" si="4"/>
        <v>6</v>
      </c>
      <c r="K115" s="44" t="str">
        <f t="shared" si="5"/>
        <v>LYSE - 606401</v>
      </c>
      <c r="L115" s="44" t="str">
        <f>+VLOOKUP(K115,TL[],4,FALSE)</f>
        <v>21</v>
      </c>
    </row>
    <row r="116" spans="1:12" x14ac:dyDescent="0.2">
      <c r="A116" t="s">
        <v>197</v>
      </c>
      <c r="B116" t="s">
        <v>2578</v>
      </c>
      <c r="C116">
        <v>3469.14</v>
      </c>
      <c r="D116" t="s">
        <v>6961</v>
      </c>
      <c r="E116">
        <v>3469.14</v>
      </c>
      <c r="F116" t="s">
        <v>6961</v>
      </c>
      <c r="G116" s="220">
        <f t="shared" si="6"/>
        <v>3469.14</v>
      </c>
      <c r="H116" s="220">
        <f t="shared" si="7"/>
        <v>3469.14</v>
      </c>
      <c r="I116" s="221">
        <f>IF(A116="Total",VLOOKUP(B116,CORRESPONDANCE[#All],2,FALSE),I117)</f>
        <v>25</v>
      </c>
      <c r="J116" s="222" t="str">
        <f t="shared" si="4"/>
        <v>T</v>
      </c>
      <c r="K116" s="44" t="str">
        <f t="shared" si="5"/>
        <v>LYSE - Total</v>
      </c>
      <c r="L116" s="44" t="e">
        <f>+VLOOKUP(K116,TL[],4,FALSE)</f>
        <v>#N/A</v>
      </c>
    </row>
    <row r="117" spans="1:12" x14ac:dyDescent="0.2">
      <c r="A117" t="s">
        <v>1726</v>
      </c>
      <c r="B117" t="s">
        <v>1351</v>
      </c>
      <c r="C117">
        <v>134.59</v>
      </c>
      <c r="D117" t="s">
        <v>6961</v>
      </c>
      <c r="E117">
        <v>134.59</v>
      </c>
      <c r="F117" t="s">
        <v>6961</v>
      </c>
      <c r="G117" s="220">
        <f t="shared" si="6"/>
        <v>134.59</v>
      </c>
      <c r="H117" s="220">
        <f t="shared" si="7"/>
        <v>134.59</v>
      </c>
      <c r="I117" s="221">
        <f>IF(A117="Total",VLOOKUP(B117,CORRESPONDANCE[#All],2,FALSE),I118)</f>
        <v>26</v>
      </c>
      <c r="J117" s="222" t="str">
        <f t="shared" si="4"/>
        <v>6</v>
      </c>
      <c r="K117" s="44" t="str">
        <f t="shared" si="5"/>
        <v>LYSE - 625204</v>
      </c>
      <c r="L117" s="44" t="str">
        <f>+VLOOKUP(K117,TL[],4,FALSE)</f>
        <v>13</v>
      </c>
    </row>
    <row r="118" spans="1:12" x14ac:dyDescent="0.2">
      <c r="A118" t="s">
        <v>197</v>
      </c>
      <c r="B118" t="s">
        <v>2580</v>
      </c>
      <c r="C118">
        <v>134.59</v>
      </c>
      <c r="D118" t="s">
        <v>6961</v>
      </c>
      <c r="E118">
        <v>134.59</v>
      </c>
      <c r="F118" t="s">
        <v>6961</v>
      </c>
      <c r="G118" s="220">
        <f t="shared" si="6"/>
        <v>134.59</v>
      </c>
      <c r="H118" s="220">
        <f t="shared" si="7"/>
        <v>134.59</v>
      </c>
      <c r="I118" s="221">
        <f>IF(A118="Total",VLOOKUP(B118,CORRESPONDANCE[#All],2,FALSE),I119)</f>
        <v>26</v>
      </c>
      <c r="J118" s="222" t="str">
        <f t="shared" si="4"/>
        <v>T</v>
      </c>
      <c r="K118" s="44" t="str">
        <f t="shared" si="5"/>
        <v>LYSE - Total</v>
      </c>
      <c r="L118" s="44" t="e">
        <f>+VLOOKUP(K118,TL[],4,FALSE)</f>
        <v>#N/A</v>
      </c>
    </row>
    <row r="119" spans="1:12" x14ac:dyDescent="0.2">
      <c r="A119" t="s">
        <v>1609</v>
      </c>
      <c r="B119" t="s">
        <v>146</v>
      </c>
      <c r="C119">
        <v>1277.5</v>
      </c>
      <c r="D119" t="s">
        <v>6961</v>
      </c>
      <c r="E119">
        <v>1277.5</v>
      </c>
      <c r="F119" t="s">
        <v>6961</v>
      </c>
      <c r="G119" s="220">
        <f t="shared" si="6"/>
        <v>1277.5</v>
      </c>
      <c r="H119" s="220">
        <f t="shared" si="7"/>
        <v>1277.5</v>
      </c>
      <c r="I119" s="221">
        <f>IF(A119="Total",VLOOKUP(B119,CORRESPONDANCE[#All],2,FALSE),I120)</f>
        <v>27</v>
      </c>
      <c r="J119" s="222" t="str">
        <f t="shared" si="4"/>
        <v>6</v>
      </c>
      <c r="K119" s="44" t="str">
        <f t="shared" si="5"/>
        <v>LYSE - 606303</v>
      </c>
      <c r="L119" s="44" t="str">
        <f>+VLOOKUP(K119,TL[],4,FALSE)</f>
        <v>17</v>
      </c>
    </row>
    <row r="120" spans="1:12" x14ac:dyDescent="0.2">
      <c r="A120" t="s">
        <v>1958</v>
      </c>
      <c r="B120" t="s">
        <v>2961</v>
      </c>
      <c r="C120">
        <v>410</v>
      </c>
      <c r="D120" t="s">
        <v>6961</v>
      </c>
      <c r="E120">
        <v>410</v>
      </c>
      <c r="F120" t="s">
        <v>6961</v>
      </c>
      <c r="G120" s="220">
        <f t="shared" si="6"/>
        <v>410</v>
      </c>
      <c r="H120" s="220">
        <f t="shared" si="7"/>
        <v>410</v>
      </c>
      <c r="I120" s="221">
        <f>IF(A120="Total",VLOOKUP(B120,CORRESPONDANCE[#All],2,FALSE),I121)</f>
        <v>27</v>
      </c>
      <c r="J120" s="222" t="str">
        <f t="shared" si="4"/>
        <v>6</v>
      </c>
      <c r="K120" s="44" t="str">
        <f t="shared" si="5"/>
        <v>LYSE - 625100</v>
      </c>
      <c r="L120" s="44" t="str">
        <f>+VLOOKUP(K120,TL[],4,FALSE)</f>
        <v>13</v>
      </c>
    </row>
    <row r="121" spans="1:12" x14ac:dyDescent="0.2">
      <c r="A121" t="s">
        <v>1974</v>
      </c>
      <c r="B121" t="s">
        <v>33</v>
      </c>
      <c r="C121">
        <v>286</v>
      </c>
      <c r="D121" t="s">
        <v>6961</v>
      </c>
      <c r="E121">
        <v>286</v>
      </c>
      <c r="F121" t="s">
        <v>6961</v>
      </c>
      <c r="G121" s="220">
        <f t="shared" si="6"/>
        <v>286</v>
      </c>
      <c r="H121" s="220">
        <f t="shared" si="7"/>
        <v>286</v>
      </c>
      <c r="I121" s="221">
        <f>IF(A121="Total",VLOOKUP(B121,CORRESPONDANCE[#All],2,FALSE),I122)</f>
        <v>27</v>
      </c>
      <c r="J121" s="222" t="str">
        <f t="shared" si="4"/>
        <v>6</v>
      </c>
      <c r="K121" s="44" t="str">
        <f t="shared" si="5"/>
        <v>LYSE - 628023</v>
      </c>
      <c r="L121" s="44" t="str">
        <f>+VLOOKUP(K121,TL[],4,FALSE)</f>
        <v>23</v>
      </c>
    </row>
    <row r="122" spans="1:12" x14ac:dyDescent="0.2">
      <c r="A122" t="s">
        <v>1743</v>
      </c>
      <c r="B122" t="s">
        <v>306</v>
      </c>
      <c r="C122">
        <v>0.06</v>
      </c>
      <c r="D122" t="s">
        <v>6961</v>
      </c>
      <c r="E122">
        <v>0.06</v>
      </c>
      <c r="F122" t="s">
        <v>6961</v>
      </c>
      <c r="G122" s="220">
        <f t="shared" si="6"/>
        <v>0.06</v>
      </c>
      <c r="H122" s="220">
        <f t="shared" si="7"/>
        <v>0.06</v>
      </c>
      <c r="I122" s="221">
        <f>IF(A122="Total",VLOOKUP(B122,CORRESPONDANCE[#All],2,FALSE),I123)</f>
        <v>27</v>
      </c>
      <c r="J122" s="222" t="str">
        <f t="shared" si="4"/>
        <v>6</v>
      </c>
      <c r="K122" s="44" t="str">
        <f t="shared" si="5"/>
        <v>LYSE - 658000</v>
      </c>
      <c r="L122" s="44" t="str">
        <f>+VLOOKUP(K122,TL[],4,FALSE)</f>
        <v>39</v>
      </c>
    </row>
    <row r="123" spans="1:12" x14ac:dyDescent="0.2">
      <c r="A123" t="s">
        <v>1801</v>
      </c>
      <c r="B123" t="s">
        <v>385</v>
      </c>
      <c r="C123">
        <v>238.26</v>
      </c>
      <c r="D123" t="s">
        <v>6961</v>
      </c>
      <c r="E123">
        <v>238.26</v>
      </c>
      <c r="F123" t="s">
        <v>6961</v>
      </c>
      <c r="G123" s="220">
        <f t="shared" si="6"/>
        <v>238.26</v>
      </c>
      <c r="H123" s="220">
        <f t="shared" si="7"/>
        <v>238.26</v>
      </c>
      <c r="I123" s="221">
        <f>IF(A123="Total",VLOOKUP(B123,CORRESPONDANCE[#All],2,FALSE),I124)</f>
        <v>27</v>
      </c>
      <c r="J123" s="222" t="str">
        <f t="shared" si="4"/>
        <v>6</v>
      </c>
      <c r="K123" s="44" t="str">
        <f t="shared" si="5"/>
        <v>LYSE - 671100</v>
      </c>
      <c r="L123" s="44" t="str">
        <f>+VLOOKUP(K123,TL[],4,FALSE)</f>
        <v>22</v>
      </c>
    </row>
    <row r="124" spans="1:12" x14ac:dyDescent="0.2">
      <c r="A124" t="s">
        <v>1798</v>
      </c>
      <c r="B124" t="s">
        <v>385</v>
      </c>
      <c r="C124" t="s">
        <v>6961</v>
      </c>
      <c r="D124">
        <v>118.94</v>
      </c>
      <c r="E124" t="s">
        <v>6961</v>
      </c>
      <c r="F124">
        <v>118.94</v>
      </c>
      <c r="G124" s="220">
        <f t="shared" si="6"/>
        <v>-118.94</v>
      </c>
      <c r="H124" s="220">
        <f t="shared" si="7"/>
        <v>-118.94</v>
      </c>
      <c r="I124" s="221">
        <f>IF(A124="Total",VLOOKUP(B124,CORRESPONDANCE[#All],2,FALSE),I125)</f>
        <v>27</v>
      </c>
      <c r="J124" s="222" t="str">
        <f t="shared" si="4"/>
        <v>7</v>
      </c>
      <c r="K124" s="44" t="str">
        <f t="shared" si="5"/>
        <v>LYSE - 771100</v>
      </c>
      <c r="L124" s="44" t="str">
        <f>+VLOOKUP(K124,TL[],4,FALSE)</f>
        <v>22</v>
      </c>
    </row>
    <row r="125" spans="1:12" x14ac:dyDescent="0.2">
      <c r="A125" t="s">
        <v>197</v>
      </c>
      <c r="B125" t="s">
        <v>2583</v>
      </c>
      <c r="C125">
        <v>2092.88</v>
      </c>
      <c r="D125" t="s">
        <v>6961</v>
      </c>
      <c r="E125">
        <v>2092.88</v>
      </c>
      <c r="F125" t="s">
        <v>6961</v>
      </c>
      <c r="G125" s="220">
        <f t="shared" si="6"/>
        <v>2092.88</v>
      </c>
      <c r="H125" s="220">
        <f t="shared" si="7"/>
        <v>2092.88</v>
      </c>
      <c r="I125" s="221">
        <f>IF(A125="Total",VLOOKUP(B125,CORRESPONDANCE[#All],2,FALSE),I126)</f>
        <v>27</v>
      </c>
      <c r="J125" s="222" t="str">
        <f t="shared" si="4"/>
        <v>T</v>
      </c>
      <c r="K125" s="44" t="str">
        <f t="shared" si="5"/>
        <v>LYSE - Total</v>
      </c>
      <c r="L125" s="44" t="e">
        <f>+VLOOKUP(K125,TL[],4,FALSE)</f>
        <v>#N/A</v>
      </c>
    </row>
    <row r="126" spans="1:12" x14ac:dyDescent="0.2">
      <c r="A126" t="s">
        <v>1587</v>
      </c>
      <c r="B126" t="s">
        <v>443</v>
      </c>
      <c r="C126">
        <v>54120.39</v>
      </c>
      <c r="D126" t="s">
        <v>6961</v>
      </c>
      <c r="E126">
        <v>54120.39</v>
      </c>
      <c r="F126" t="s">
        <v>6961</v>
      </c>
      <c r="G126" s="220">
        <f t="shared" si="6"/>
        <v>54120.39</v>
      </c>
      <c r="H126" s="220">
        <f t="shared" si="7"/>
        <v>54120.39</v>
      </c>
      <c r="I126" s="221">
        <f>IF(A126="Total",VLOOKUP(B126,CORRESPONDANCE[#All],2,FALSE),I127)</f>
        <v>29</v>
      </c>
      <c r="J126" s="222" t="str">
        <f t="shared" si="4"/>
        <v>6</v>
      </c>
      <c r="K126" s="44" t="str">
        <f t="shared" si="5"/>
        <v>LYSE - 613200</v>
      </c>
      <c r="L126" s="44" t="str">
        <f>+VLOOKUP(K126,TL[],4,FALSE)</f>
        <v>30</v>
      </c>
    </row>
    <row r="127" spans="1:12" x14ac:dyDescent="0.2">
      <c r="A127" t="s">
        <v>197</v>
      </c>
      <c r="B127" t="s">
        <v>2584</v>
      </c>
      <c r="C127">
        <v>54120.39</v>
      </c>
      <c r="D127" t="s">
        <v>6961</v>
      </c>
      <c r="E127">
        <v>54120.39</v>
      </c>
      <c r="F127" t="s">
        <v>6961</v>
      </c>
      <c r="G127" s="220">
        <f t="shared" si="6"/>
        <v>54120.39</v>
      </c>
      <c r="H127" s="220">
        <f t="shared" si="7"/>
        <v>54120.39</v>
      </c>
      <c r="I127" s="221">
        <f>IF(A127="Total",VLOOKUP(B127,CORRESPONDANCE[#All],2,FALSE),I128)</f>
        <v>29</v>
      </c>
      <c r="J127" s="222" t="str">
        <f t="shared" si="4"/>
        <v>T</v>
      </c>
      <c r="K127" s="44" t="str">
        <f t="shared" si="5"/>
        <v>LYSE - Total</v>
      </c>
      <c r="L127" s="44" t="e">
        <f>+VLOOKUP(K127,TL[],4,FALSE)</f>
        <v>#N/A</v>
      </c>
    </row>
    <row r="128" spans="1:12" x14ac:dyDescent="0.2">
      <c r="A128" t="s">
        <v>1604</v>
      </c>
      <c r="B128" t="s">
        <v>457</v>
      </c>
      <c r="C128" t="s">
        <v>6961</v>
      </c>
      <c r="D128">
        <v>712.16</v>
      </c>
      <c r="E128" t="s">
        <v>6961</v>
      </c>
      <c r="F128">
        <v>712.16</v>
      </c>
      <c r="G128" s="220">
        <f t="shared" si="6"/>
        <v>-712.16</v>
      </c>
      <c r="H128" s="220">
        <f t="shared" si="7"/>
        <v>-712.16</v>
      </c>
      <c r="I128" s="221">
        <f>IF(A128="Total",VLOOKUP(B128,CORRESPONDANCE[#All],2,FALSE),I129)</f>
        <v>31</v>
      </c>
      <c r="J128" s="222" t="str">
        <f t="shared" si="4"/>
        <v>6</v>
      </c>
      <c r="K128" s="44" t="str">
        <f t="shared" si="5"/>
        <v>LYSE - 651200</v>
      </c>
      <c r="L128" s="44" t="str">
        <f>+VLOOKUP(K128,TL[],4,FALSE)</f>
        <v>30</v>
      </c>
    </row>
    <row r="129" spans="1:12" x14ac:dyDescent="0.2">
      <c r="A129" t="s">
        <v>1606</v>
      </c>
      <c r="B129" t="s">
        <v>277</v>
      </c>
      <c r="C129" t="s">
        <v>6961</v>
      </c>
      <c r="D129">
        <v>253.7</v>
      </c>
      <c r="E129" t="s">
        <v>6961</v>
      </c>
      <c r="F129">
        <v>253.7</v>
      </c>
      <c r="G129" s="220">
        <f t="shared" si="6"/>
        <v>-253.7</v>
      </c>
      <c r="H129" s="220">
        <f t="shared" si="7"/>
        <v>-253.7</v>
      </c>
      <c r="I129" s="221">
        <f>IF(A129="Total",VLOOKUP(B129,CORRESPONDANCE[#All],2,FALSE),I130)</f>
        <v>31</v>
      </c>
      <c r="J129" s="222" t="str">
        <f t="shared" si="4"/>
        <v>6</v>
      </c>
      <c r="K129" s="44" t="str">
        <f t="shared" si="5"/>
        <v>LYSE - 651210</v>
      </c>
      <c r="L129" s="44" t="str">
        <f>+VLOOKUP(K129,TL[],4,FALSE)</f>
        <v>31</v>
      </c>
    </row>
    <row r="130" spans="1:12" x14ac:dyDescent="0.2">
      <c r="A130" t="s">
        <v>197</v>
      </c>
      <c r="B130" t="s">
        <v>2585</v>
      </c>
      <c r="C130" t="s">
        <v>6961</v>
      </c>
      <c r="D130">
        <v>965.86</v>
      </c>
      <c r="E130" t="s">
        <v>6961</v>
      </c>
      <c r="F130">
        <v>965.86</v>
      </c>
      <c r="G130" s="220">
        <f t="shared" si="6"/>
        <v>-965.86</v>
      </c>
      <c r="H130" s="220">
        <f t="shared" si="7"/>
        <v>-965.86</v>
      </c>
      <c r="I130" s="221">
        <f>IF(A130="Total",VLOOKUP(B130,CORRESPONDANCE[#All],2,FALSE),I131)</f>
        <v>31</v>
      </c>
      <c r="J130" s="222" t="str">
        <f t="shared" ref="J130:J192" si="8">LEFT(A130,1)</f>
        <v>T</v>
      </c>
      <c r="K130" s="44" t="str">
        <f t="shared" ref="K130:K192" si="9">"LYSE"&amp;" - "&amp;A130</f>
        <v>LYSE - Total</v>
      </c>
      <c r="L130" s="44" t="e">
        <f>+VLOOKUP(K130,TL[],4,FALSE)</f>
        <v>#N/A</v>
      </c>
    </row>
    <row r="131" spans="1:12" x14ac:dyDescent="0.2">
      <c r="A131" t="s">
        <v>1784</v>
      </c>
      <c r="B131" t="s">
        <v>450</v>
      </c>
      <c r="C131">
        <v>563</v>
      </c>
      <c r="D131" t="s">
        <v>6961</v>
      </c>
      <c r="E131">
        <v>563</v>
      </c>
      <c r="F131" t="s">
        <v>6961</v>
      </c>
      <c r="G131" s="220">
        <f t="shared" si="6"/>
        <v>563</v>
      </c>
      <c r="H131" s="220">
        <f t="shared" si="7"/>
        <v>563</v>
      </c>
      <c r="I131" s="221">
        <f>IF(A131="Total",VLOOKUP(B131,CORRESPONDANCE[#All],2,FALSE),I132)</f>
        <v>33</v>
      </c>
      <c r="J131" s="222" t="str">
        <f t="shared" si="8"/>
        <v>6</v>
      </c>
      <c r="K131" s="44" t="str">
        <f t="shared" si="9"/>
        <v>LYSE - 614100</v>
      </c>
      <c r="L131" s="44" t="str">
        <f>+VLOOKUP(K131,TL[],4,FALSE)</f>
        <v>34</v>
      </c>
    </row>
    <row r="132" spans="1:12" x14ac:dyDescent="0.2">
      <c r="A132" t="s">
        <v>197</v>
      </c>
      <c r="B132" t="s">
        <v>2586</v>
      </c>
      <c r="C132">
        <v>563</v>
      </c>
      <c r="D132" t="s">
        <v>6961</v>
      </c>
      <c r="E132">
        <v>563</v>
      </c>
      <c r="F132" t="s">
        <v>6961</v>
      </c>
      <c r="G132" s="220">
        <f t="shared" si="6"/>
        <v>563</v>
      </c>
      <c r="H132" s="220">
        <f t="shared" si="7"/>
        <v>563</v>
      </c>
      <c r="I132" s="221">
        <f>IF(A132="Total",VLOOKUP(B132,CORRESPONDANCE[#All],2,FALSE),I133)</f>
        <v>33</v>
      </c>
      <c r="J132" s="222" t="str">
        <f t="shared" si="8"/>
        <v>T</v>
      </c>
      <c r="K132" s="44" t="str">
        <f t="shared" si="9"/>
        <v>LYSE - Total</v>
      </c>
      <c r="L132" s="44" t="e">
        <f>+VLOOKUP(K132,TL[],4,FALSE)</f>
        <v>#N/A</v>
      </c>
    </row>
    <row r="133" spans="1:12" x14ac:dyDescent="0.2">
      <c r="A133" t="s">
        <v>1605</v>
      </c>
      <c r="B133" t="s">
        <v>276</v>
      </c>
      <c r="C133">
        <v>19328.07</v>
      </c>
      <c r="D133" t="s">
        <v>6961</v>
      </c>
      <c r="E133">
        <v>19328.07</v>
      </c>
      <c r="F133" t="s">
        <v>6961</v>
      </c>
      <c r="G133" s="220">
        <f t="shared" ref="G133:G195" si="10">SUM(C133)-SUM(D133)</f>
        <v>19328.07</v>
      </c>
      <c r="H133" s="220">
        <f t="shared" ref="H133:H195" si="11">SUM(E133)-SUM(F133)</f>
        <v>19328.07</v>
      </c>
      <c r="I133" s="221">
        <f>IF(A133="Total",VLOOKUP(B133,CORRESPONDANCE[#All],2,FALSE),I134)</f>
        <v>34</v>
      </c>
      <c r="J133" s="222" t="str">
        <f t="shared" si="8"/>
        <v>6</v>
      </c>
      <c r="K133" s="44" t="str">
        <f t="shared" si="9"/>
        <v>LYSE - 651001</v>
      </c>
      <c r="L133" s="44" t="str">
        <f>+VLOOKUP(K133,TL[],4,FALSE)</f>
        <v>31</v>
      </c>
    </row>
    <row r="134" spans="1:12" x14ac:dyDescent="0.2">
      <c r="A134" t="s">
        <v>197</v>
      </c>
      <c r="B134" t="s">
        <v>2588</v>
      </c>
      <c r="C134">
        <v>19328.07</v>
      </c>
      <c r="D134" t="s">
        <v>6961</v>
      </c>
      <c r="E134">
        <v>19328.07</v>
      </c>
      <c r="F134" t="s">
        <v>6961</v>
      </c>
      <c r="G134" s="220">
        <f t="shared" si="10"/>
        <v>19328.07</v>
      </c>
      <c r="H134" s="220">
        <f t="shared" si="11"/>
        <v>19328.07</v>
      </c>
      <c r="I134" s="221">
        <f>IF(A134="Total",VLOOKUP(B134,CORRESPONDANCE[#All],2,FALSE),I135)</f>
        <v>34</v>
      </c>
      <c r="J134" s="222" t="str">
        <f t="shared" si="8"/>
        <v>T</v>
      </c>
      <c r="K134" s="44" t="str">
        <f t="shared" si="9"/>
        <v>LYSE - Total</v>
      </c>
      <c r="L134" s="44" t="e">
        <f>+VLOOKUP(K134,TL[],4,FALSE)</f>
        <v>#N/A</v>
      </c>
    </row>
    <row r="135" spans="1:12" x14ac:dyDescent="0.2">
      <c r="A135" t="s">
        <v>1622</v>
      </c>
      <c r="B135" t="s">
        <v>392</v>
      </c>
      <c r="C135">
        <v>860</v>
      </c>
      <c r="D135" t="s">
        <v>6961</v>
      </c>
      <c r="E135">
        <v>860</v>
      </c>
      <c r="F135" t="s">
        <v>6961</v>
      </c>
      <c r="G135" s="220">
        <f t="shared" si="10"/>
        <v>860</v>
      </c>
      <c r="H135" s="220">
        <f t="shared" si="11"/>
        <v>860</v>
      </c>
      <c r="I135" s="221">
        <f>IF(A135="Total",VLOOKUP(B135,CORRESPONDANCE[#All],2,FALSE),I136)</f>
        <v>35</v>
      </c>
      <c r="J135" s="222" t="str">
        <f t="shared" si="8"/>
        <v>6</v>
      </c>
      <c r="K135" s="44" t="str">
        <f t="shared" si="9"/>
        <v>LYSE - 622600</v>
      </c>
      <c r="L135" s="44" t="str">
        <f>+VLOOKUP(K135,TL[],4,FALSE)</f>
        <v>32</v>
      </c>
    </row>
    <row r="136" spans="1:12" x14ac:dyDescent="0.2">
      <c r="A136" t="s">
        <v>1764</v>
      </c>
      <c r="B136" t="s">
        <v>427</v>
      </c>
      <c r="C136">
        <v>1185</v>
      </c>
      <c r="D136" t="s">
        <v>6961</v>
      </c>
      <c r="E136">
        <v>1185</v>
      </c>
      <c r="F136" t="s">
        <v>6961</v>
      </c>
      <c r="G136" s="220">
        <f t="shared" si="10"/>
        <v>1185</v>
      </c>
      <c r="H136" s="220">
        <f t="shared" si="11"/>
        <v>1185</v>
      </c>
      <c r="I136" s="221">
        <f>IF(A136="Total",VLOOKUP(B136,CORRESPONDANCE[#All],2,FALSE),I137)</f>
        <v>35</v>
      </c>
      <c r="J136" s="222" t="str">
        <f t="shared" si="8"/>
        <v>6</v>
      </c>
      <c r="K136" s="44" t="str">
        <f t="shared" si="9"/>
        <v>LYSE - 622610</v>
      </c>
      <c r="L136" s="44" t="str">
        <f>+VLOOKUP(K136,TL[],4,FALSE)</f>
        <v>32</v>
      </c>
    </row>
    <row r="137" spans="1:12" x14ac:dyDescent="0.2">
      <c r="A137" t="s">
        <v>1766</v>
      </c>
      <c r="B137" t="s">
        <v>227</v>
      </c>
      <c r="C137">
        <v>445</v>
      </c>
      <c r="D137" t="s">
        <v>6961</v>
      </c>
      <c r="E137">
        <v>445</v>
      </c>
      <c r="F137" t="s">
        <v>6961</v>
      </c>
      <c r="G137" s="220">
        <f t="shared" si="10"/>
        <v>445</v>
      </c>
      <c r="H137" s="220">
        <f t="shared" si="11"/>
        <v>445</v>
      </c>
      <c r="I137" s="221">
        <f>IF(A137="Total",VLOOKUP(B137,CORRESPONDANCE[#All],2,FALSE),I138)</f>
        <v>35</v>
      </c>
      <c r="J137" s="222" t="str">
        <f t="shared" si="8"/>
        <v>6</v>
      </c>
      <c r="K137" s="44" t="str">
        <f t="shared" si="9"/>
        <v>LYSE - 622620</v>
      </c>
      <c r="L137" s="44" t="str">
        <f>+VLOOKUP(K137,TL[],4,FALSE)</f>
        <v>32</v>
      </c>
    </row>
    <row r="138" spans="1:12" x14ac:dyDescent="0.2">
      <c r="A138" t="s">
        <v>1951</v>
      </c>
      <c r="B138" t="s">
        <v>903</v>
      </c>
      <c r="C138">
        <v>289</v>
      </c>
      <c r="D138" t="s">
        <v>6961</v>
      </c>
      <c r="E138">
        <v>289</v>
      </c>
      <c r="F138" t="s">
        <v>6961</v>
      </c>
      <c r="G138" s="220">
        <f t="shared" si="10"/>
        <v>289</v>
      </c>
      <c r="H138" s="220">
        <f t="shared" si="11"/>
        <v>289</v>
      </c>
      <c r="I138" s="221">
        <f>IF(A138="Total",VLOOKUP(B138,CORRESPONDANCE[#All],2,FALSE),I139)</f>
        <v>35</v>
      </c>
      <c r="J138" s="222" t="str">
        <f t="shared" si="8"/>
        <v>6</v>
      </c>
      <c r="K138" s="44" t="str">
        <f t="shared" si="9"/>
        <v>LYSE - 622630</v>
      </c>
      <c r="L138" s="44" t="str">
        <f>+VLOOKUP(K138,TL[],4,FALSE)</f>
        <v>32</v>
      </c>
    </row>
    <row r="139" spans="1:12" x14ac:dyDescent="0.2">
      <c r="A139" t="s">
        <v>197</v>
      </c>
      <c r="B139" t="s">
        <v>2591</v>
      </c>
      <c r="C139">
        <v>2779</v>
      </c>
      <c r="D139" t="s">
        <v>6961</v>
      </c>
      <c r="E139">
        <v>2779</v>
      </c>
      <c r="F139" t="s">
        <v>6961</v>
      </c>
      <c r="G139" s="220">
        <f t="shared" si="10"/>
        <v>2779</v>
      </c>
      <c r="H139" s="220">
        <f t="shared" si="11"/>
        <v>2779</v>
      </c>
      <c r="I139" s="221">
        <f>IF(A139="Total",VLOOKUP(B139,CORRESPONDANCE[#All],2,FALSE),I140)</f>
        <v>35</v>
      </c>
      <c r="J139" s="222" t="str">
        <f t="shared" si="8"/>
        <v>T</v>
      </c>
      <c r="K139" s="44" t="str">
        <f t="shared" si="9"/>
        <v>LYSE - Total</v>
      </c>
      <c r="L139" s="44" t="e">
        <f>+VLOOKUP(K139,TL[],4,FALSE)</f>
        <v>#N/A</v>
      </c>
    </row>
    <row r="140" spans="1:12" x14ac:dyDescent="0.2">
      <c r="A140" t="s">
        <v>1720</v>
      </c>
      <c r="B140" t="s">
        <v>400</v>
      </c>
      <c r="C140">
        <v>2200</v>
      </c>
      <c r="D140" t="s">
        <v>6961</v>
      </c>
      <c r="E140">
        <v>2200</v>
      </c>
      <c r="F140" t="s">
        <v>6961</v>
      </c>
      <c r="G140" s="220">
        <f t="shared" si="10"/>
        <v>2200</v>
      </c>
      <c r="H140" s="220">
        <f t="shared" si="11"/>
        <v>2200</v>
      </c>
      <c r="I140" s="221">
        <f>IF(A140="Total",VLOOKUP(B140,CORRESPONDANCE[#All],2,FALSE),I141)</f>
        <v>36</v>
      </c>
      <c r="J140" s="222" t="str">
        <f t="shared" si="8"/>
        <v>6</v>
      </c>
      <c r="K140" s="44" t="str">
        <f t="shared" si="9"/>
        <v>LYSE - 616001</v>
      </c>
      <c r="L140" s="44" t="str">
        <f>+VLOOKUP(K140,TL[],4,FALSE)</f>
        <v>33</v>
      </c>
    </row>
    <row r="141" spans="1:12" x14ac:dyDescent="0.2">
      <c r="A141" t="s">
        <v>1731</v>
      </c>
      <c r="B141" t="s">
        <v>217</v>
      </c>
      <c r="C141">
        <v>19.579999999999998</v>
      </c>
      <c r="D141" t="s">
        <v>6961</v>
      </c>
      <c r="E141">
        <v>19.579999999999998</v>
      </c>
      <c r="F141" t="s">
        <v>6961</v>
      </c>
      <c r="G141" s="220">
        <f t="shared" si="10"/>
        <v>19.579999999999998</v>
      </c>
      <c r="H141" s="220">
        <f t="shared" si="11"/>
        <v>19.579999999999998</v>
      </c>
      <c r="I141" s="221">
        <f>IF(A141="Total",VLOOKUP(B141,CORRESPONDANCE[#All],2,FALSE),I142)</f>
        <v>36</v>
      </c>
      <c r="J141" s="222" t="str">
        <f t="shared" si="8"/>
        <v>6</v>
      </c>
      <c r="K141" s="44" t="str">
        <f t="shared" si="9"/>
        <v>LYSE - 616003</v>
      </c>
      <c r="L141" s="44" t="str">
        <f>+VLOOKUP(K141,TL[],4,FALSE)</f>
        <v>33</v>
      </c>
    </row>
    <row r="142" spans="1:12" x14ac:dyDescent="0.2">
      <c r="A142" t="s">
        <v>197</v>
      </c>
      <c r="B142" t="s">
        <v>2592</v>
      </c>
      <c r="C142">
        <v>2219.58</v>
      </c>
      <c r="D142" t="s">
        <v>6961</v>
      </c>
      <c r="E142">
        <v>2219.58</v>
      </c>
      <c r="F142" t="s">
        <v>6961</v>
      </c>
      <c r="G142" s="220">
        <f t="shared" si="10"/>
        <v>2219.58</v>
      </c>
      <c r="H142" s="220">
        <f t="shared" si="11"/>
        <v>2219.58</v>
      </c>
      <c r="I142" s="221">
        <f>IF(A142="Total",VLOOKUP(B142,CORRESPONDANCE[#All],2,FALSE),I143)</f>
        <v>36</v>
      </c>
      <c r="J142" s="222" t="str">
        <f t="shared" si="8"/>
        <v>T</v>
      </c>
      <c r="K142" s="44" t="str">
        <f t="shared" si="9"/>
        <v>LYSE - Total</v>
      </c>
      <c r="L142" s="44" t="e">
        <f>+VLOOKUP(K142,TL[],4,FALSE)</f>
        <v>#N/A</v>
      </c>
    </row>
    <row r="143" spans="1:12" x14ac:dyDescent="0.2">
      <c r="A143" t="s">
        <v>1730</v>
      </c>
      <c r="B143" t="s">
        <v>455</v>
      </c>
      <c r="C143">
        <v>918.28</v>
      </c>
      <c r="D143" t="s">
        <v>6961</v>
      </c>
      <c r="E143">
        <v>918.28</v>
      </c>
      <c r="F143" t="s">
        <v>6961</v>
      </c>
      <c r="G143" s="220">
        <f t="shared" si="10"/>
        <v>918.28</v>
      </c>
      <c r="H143" s="220">
        <f t="shared" si="11"/>
        <v>918.28</v>
      </c>
      <c r="I143" s="221" t="e">
        <f>IF(A143="Total",VLOOKUP(B143,CORRESPONDANCE[#All],2,FALSE),I144)</f>
        <v>#REF!</v>
      </c>
      <c r="J143" s="222" t="str">
        <f t="shared" si="8"/>
        <v>6</v>
      </c>
      <c r="K143" s="44" t="str">
        <f t="shared" si="9"/>
        <v>LYSE - 633300</v>
      </c>
      <c r="L143" s="44" t="str">
        <f>+VLOOKUP(K143,TL[],4,FALSE)</f>
        <v>34</v>
      </c>
    </row>
    <row r="144" spans="1:12" x14ac:dyDescent="0.2">
      <c r="A144" t="s">
        <v>1729</v>
      </c>
      <c r="B144" t="s">
        <v>307</v>
      </c>
      <c r="C144">
        <v>610.82000000000005</v>
      </c>
      <c r="D144" t="s">
        <v>6961</v>
      </c>
      <c r="E144">
        <v>610.82000000000005</v>
      </c>
      <c r="F144" t="s">
        <v>6961</v>
      </c>
      <c r="G144" s="220">
        <f t="shared" si="10"/>
        <v>610.82000000000005</v>
      </c>
      <c r="H144" s="220">
        <f t="shared" si="11"/>
        <v>610.82000000000005</v>
      </c>
      <c r="I144" s="221" t="e">
        <f>IF(A144="Total",VLOOKUP(B144,CORRESPONDANCE[#All],2,FALSE),#REF!)</f>
        <v>#REF!</v>
      </c>
      <c r="J144" s="222" t="str">
        <f t="shared" si="8"/>
        <v>6</v>
      </c>
      <c r="K144" s="44" t="str">
        <f t="shared" si="9"/>
        <v>LYSE - 633500</v>
      </c>
      <c r="L144" s="44" t="str">
        <f>+VLOOKUP(K144,TL[],4,FALSE)</f>
        <v>34</v>
      </c>
    </row>
    <row r="145" spans="1:12" x14ac:dyDescent="0.2">
      <c r="A145" t="s">
        <v>1786</v>
      </c>
      <c r="B145" t="s">
        <v>502</v>
      </c>
      <c r="C145">
        <v>392</v>
      </c>
      <c r="D145" t="s">
        <v>6961</v>
      </c>
      <c r="E145">
        <v>392</v>
      </c>
      <c r="F145" t="s">
        <v>6961</v>
      </c>
      <c r="G145" s="220">
        <f t="shared" si="10"/>
        <v>392</v>
      </c>
      <c r="H145" s="220">
        <f t="shared" si="11"/>
        <v>392</v>
      </c>
      <c r="I145" s="221">
        <f>IF(A145="Total",VLOOKUP(B145,CORRESPONDANCE[#All],2,FALSE),I146)</f>
        <v>37</v>
      </c>
      <c r="J145" s="222" t="str">
        <f t="shared" si="8"/>
        <v>6</v>
      </c>
      <c r="K145" s="44" t="str">
        <f t="shared" si="9"/>
        <v>LYSE - 635111</v>
      </c>
      <c r="L145" s="44" t="str">
        <f>+VLOOKUP(K145,TL[],4,FALSE)</f>
        <v>34</v>
      </c>
    </row>
    <row r="146" spans="1:12" x14ac:dyDescent="0.2">
      <c r="A146" t="s">
        <v>1732</v>
      </c>
      <c r="B146" t="s">
        <v>520</v>
      </c>
      <c r="C146">
        <v>700</v>
      </c>
      <c r="D146" t="s">
        <v>6961</v>
      </c>
      <c r="E146">
        <v>700</v>
      </c>
      <c r="F146" t="s">
        <v>6961</v>
      </c>
      <c r="G146" s="220">
        <f t="shared" si="10"/>
        <v>700</v>
      </c>
      <c r="H146" s="220">
        <f t="shared" si="11"/>
        <v>700</v>
      </c>
      <c r="I146" s="221">
        <f>IF(A146="Total",VLOOKUP(B146,CORRESPONDANCE[#All],2,FALSE),I147)</f>
        <v>37</v>
      </c>
      <c r="J146" s="222" t="str">
        <f t="shared" si="8"/>
        <v>6</v>
      </c>
      <c r="K146" s="44" t="str">
        <f t="shared" si="9"/>
        <v>LYSE - 635112</v>
      </c>
      <c r="L146" s="44" t="str">
        <f>+VLOOKUP(K146,TL[],4,FALSE)</f>
        <v>34</v>
      </c>
    </row>
    <row r="147" spans="1:12" x14ac:dyDescent="0.2">
      <c r="A147" t="s">
        <v>1777</v>
      </c>
      <c r="B147" t="s">
        <v>467</v>
      </c>
      <c r="C147">
        <v>442</v>
      </c>
      <c r="D147" t="s">
        <v>6961</v>
      </c>
      <c r="E147">
        <v>442</v>
      </c>
      <c r="F147" t="s">
        <v>6961</v>
      </c>
      <c r="G147" s="220">
        <f t="shared" si="10"/>
        <v>442</v>
      </c>
      <c r="H147" s="220">
        <f t="shared" si="11"/>
        <v>442</v>
      </c>
      <c r="I147" s="221">
        <f>IF(A147="Total",VLOOKUP(B147,CORRESPONDANCE[#All],2,FALSE),I148)</f>
        <v>37</v>
      </c>
      <c r="J147" s="222" t="str">
        <f t="shared" si="8"/>
        <v>6</v>
      </c>
      <c r="K147" s="44" t="str">
        <f t="shared" si="9"/>
        <v>LYSE - 637300</v>
      </c>
      <c r="L147" s="44" t="str">
        <f>+VLOOKUP(K147,TL[],4,FALSE)</f>
        <v>34</v>
      </c>
    </row>
    <row r="148" spans="1:12" x14ac:dyDescent="0.2">
      <c r="A148" t="s">
        <v>197</v>
      </c>
      <c r="B148" t="s">
        <v>2593</v>
      </c>
      <c r="C148">
        <v>3063.1</v>
      </c>
      <c r="D148" t="s">
        <v>6961</v>
      </c>
      <c r="E148">
        <v>3063.1</v>
      </c>
      <c r="F148" t="s">
        <v>6961</v>
      </c>
      <c r="G148" s="220">
        <f t="shared" si="10"/>
        <v>3063.1</v>
      </c>
      <c r="H148" s="220">
        <f t="shared" si="11"/>
        <v>3063.1</v>
      </c>
      <c r="I148" s="221">
        <f>IF(A148="Total",VLOOKUP(B148,CORRESPONDANCE[#All],2,FALSE),I149)</f>
        <v>37</v>
      </c>
      <c r="J148" s="222" t="str">
        <f t="shared" si="8"/>
        <v>T</v>
      </c>
      <c r="K148" s="44" t="str">
        <f t="shared" si="9"/>
        <v>LYSE - Total</v>
      </c>
      <c r="L148" s="44" t="e">
        <f>+VLOOKUP(K148,TL[],4,FALSE)</f>
        <v>#N/A</v>
      </c>
    </row>
    <row r="149" spans="1:12" x14ac:dyDescent="0.2">
      <c r="A149" t="s">
        <v>1787</v>
      </c>
      <c r="B149" t="s">
        <v>236</v>
      </c>
      <c r="C149">
        <v>20000</v>
      </c>
      <c r="D149" t="s">
        <v>6961</v>
      </c>
      <c r="E149">
        <v>20000</v>
      </c>
      <c r="F149" t="s">
        <v>6961</v>
      </c>
      <c r="G149" s="220">
        <f t="shared" si="10"/>
        <v>20000</v>
      </c>
      <c r="H149" s="220">
        <f t="shared" si="11"/>
        <v>20000</v>
      </c>
      <c r="I149" s="221">
        <f>IF(A149="Total",VLOOKUP(B149,CORRESPONDANCE[#All],2,FALSE),I150)</f>
        <v>38</v>
      </c>
      <c r="J149" s="222" t="str">
        <f t="shared" si="8"/>
        <v>6</v>
      </c>
      <c r="K149" s="44" t="str">
        <f t="shared" si="9"/>
        <v>LYSE - 681110</v>
      </c>
      <c r="L149" s="44" t="str">
        <f>+VLOOKUP(K149,TL[],4,FALSE)</f>
        <v>36</v>
      </c>
    </row>
    <row r="150" spans="1:12" x14ac:dyDescent="0.2">
      <c r="A150" t="s">
        <v>197</v>
      </c>
      <c r="B150" t="s">
        <v>2594</v>
      </c>
      <c r="C150">
        <v>20000</v>
      </c>
      <c r="D150" t="s">
        <v>6961</v>
      </c>
      <c r="E150">
        <v>20000</v>
      </c>
      <c r="F150" t="s">
        <v>6961</v>
      </c>
      <c r="G150" s="220">
        <f t="shared" si="10"/>
        <v>20000</v>
      </c>
      <c r="H150" s="220">
        <f t="shared" si="11"/>
        <v>20000</v>
      </c>
      <c r="I150" s="221">
        <f>IF(A150="Total",VLOOKUP(B150,CORRESPONDANCE[#All],2,FALSE),I151)</f>
        <v>38</v>
      </c>
      <c r="J150" s="222" t="str">
        <f t="shared" si="8"/>
        <v>T</v>
      </c>
      <c r="K150" s="44" t="str">
        <f t="shared" si="9"/>
        <v>LYSE - Total</v>
      </c>
      <c r="L150" s="44" t="e">
        <f>+VLOOKUP(K150,TL[],4,FALSE)</f>
        <v>#N/A</v>
      </c>
    </row>
    <row r="151" spans="1:12" x14ac:dyDescent="0.2">
      <c r="A151" t="s">
        <v>1599</v>
      </c>
      <c r="B151" t="s">
        <v>1441</v>
      </c>
      <c r="C151">
        <v>547.49</v>
      </c>
      <c r="D151" t="s">
        <v>6961</v>
      </c>
      <c r="E151">
        <v>547.49</v>
      </c>
      <c r="F151" t="s">
        <v>6961</v>
      </c>
      <c r="G151" s="220">
        <f t="shared" si="10"/>
        <v>547.49</v>
      </c>
      <c r="H151" s="220">
        <f t="shared" si="11"/>
        <v>547.49</v>
      </c>
      <c r="I151" s="221">
        <f>IF(A151="Total",VLOOKUP(B151,CORRESPONDANCE[#All],2,FALSE),I152)</f>
        <v>39</v>
      </c>
      <c r="J151" s="222" t="str">
        <f t="shared" si="8"/>
        <v>6</v>
      </c>
      <c r="K151" s="44" t="str">
        <f t="shared" si="9"/>
        <v>LYSE - 613520</v>
      </c>
      <c r="L151" s="44" t="str">
        <f>+VLOOKUP(K151,TL[],4,FALSE)</f>
        <v>16</v>
      </c>
    </row>
    <row r="152" spans="1:12" x14ac:dyDescent="0.2">
      <c r="A152" t="s">
        <v>197</v>
      </c>
      <c r="B152" t="s">
        <v>3028</v>
      </c>
      <c r="C152">
        <v>547.49</v>
      </c>
      <c r="D152" t="s">
        <v>6961</v>
      </c>
      <c r="E152">
        <v>547.49</v>
      </c>
      <c r="F152" t="s">
        <v>6961</v>
      </c>
      <c r="G152" s="220">
        <f t="shared" si="10"/>
        <v>547.49</v>
      </c>
      <c r="H152" s="220">
        <f t="shared" si="11"/>
        <v>547.49</v>
      </c>
      <c r="I152" s="221">
        <f>IF(A152="Total",VLOOKUP(B152,CORRESPONDANCE[#All],2,FALSE),I153)</f>
        <v>39</v>
      </c>
      <c r="J152" s="222" t="str">
        <f t="shared" si="8"/>
        <v>T</v>
      </c>
      <c r="K152" s="44" t="str">
        <f t="shared" si="9"/>
        <v>LYSE - Total</v>
      </c>
      <c r="L152" s="44" t="e">
        <f>+VLOOKUP(K152,TL[],4,FALSE)</f>
        <v>#N/A</v>
      </c>
    </row>
    <row r="153" spans="1:12" x14ac:dyDescent="0.2">
      <c r="A153" t="s">
        <v>1919</v>
      </c>
      <c r="B153" t="s">
        <v>221</v>
      </c>
      <c r="C153">
        <v>1463.62</v>
      </c>
      <c r="D153" t="s">
        <v>6961</v>
      </c>
      <c r="E153">
        <v>1463.62</v>
      </c>
      <c r="F153" t="s">
        <v>6961</v>
      </c>
      <c r="G153" s="220">
        <f t="shared" si="10"/>
        <v>1463.62</v>
      </c>
      <c r="H153" s="220">
        <f t="shared" si="11"/>
        <v>1463.62</v>
      </c>
      <c r="I153" s="221">
        <f>IF(A153="Total",VLOOKUP(B153,CORRESPONDANCE[#All],2,FALSE),I154)</f>
        <v>40</v>
      </c>
      <c r="J153" s="222" t="str">
        <f t="shared" si="8"/>
        <v>6</v>
      </c>
      <c r="K153" s="44" t="str">
        <f t="shared" si="9"/>
        <v>LYSE - 613110</v>
      </c>
      <c r="L153" s="44" t="str">
        <f>+VLOOKUP(K153,TL[],4,FALSE)</f>
        <v>39</v>
      </c>
    </row>
    <row r="154" spans="1:12" x14ac:dyDescent="0.2">
      <c r="A154" t="s">
        <v>1778</v>
      </c>
      <c r="B154" t="s">
        <v>7093</v>
      </c>
      <c r="C154">
        <v>429.58</v>
      </c>
      <c r="D154" t="s">
        <v>6961</v>
      </c>
      <c r="E154">
        <v>429.58</v>
      </c>
      <c r="F154" t="s">
        <v>6961</v>
      </c>
      <c r="G154" s="220">
        <f t="shared" si="10"/>
        <v>429.58</v>
      </c>
      <c r="H154" s="220">
        <f t="shared" si="11"/>
        <v>429.58</v>
      </c>
      <c r="I154" s="221">
        <f>IF(A154="Total",VLOOKUP(B154,CORRESPONDANCE[#All],2,FALSE),I155)</f>
        <v>40</v>
      </c>
      <c r="J154" s="222" t="str">
        <f t="shared" si="8"/>
        <v>6</v>
      </c>
      <c r="K154" s="44" t="str">
        <f t="shared" si="9"/>
        <v>LYSE - 621411</v>
      </c>
      <c r="L154" s="44" t="str">
        <f>+VLOOKUP(K154,TL[],4,FALSE)</f>
        <v>39</v>
      </c>
    </row>
    <row r="155" spans="1:12" x14ac:dyDescent="0.2">
      <c r="A155" t="s">
        <v>197</v>
      </c>
      <c r="B155" t="s">
        <v>2603</v>
      </c>
      <c r="C155">
        <v>1893.2</v>
      </c>
      <c r="D155" t="s">
        <v>6961</v>
      </c>
      <c r="E155">
        <v>1893.2</v>
      </c>
      <c r="F155" t="s">
        <v>6961</v>
      </c>
      <c r="G155" s="220">
        <f t="shared" si="10"/>
        <v>1893.2</v>
      </c>
      <c r="H155" s="220">
        <f t="shared" si="11"/>
        <v>1893.2</v>
      </c>
      <c r="I155" s="221">
        <f>IF(A155="Total",VLOOKUP(B155,CORRESPONDANCE[#All],2,FALSE),I156)</f>
        <v>40</v>
      </c>
      <c r="J155" s="222" t="str">
        <f t="shared" si="8"/>
        <v>T</v>
      </c>
      <c r="K155" s="44" t="str">
        <f t="shared" si="9"/>
        <v>LYSE - Total</v>
      </c>
      <c r="L155" s="44" t="e">
        <f>+VLOOKUP(K155,TL[],4,FALSE)</f>
        <v>#N/A</v>
      </c>
    </row>
    <row r="156" spans="1:12" x14ac:dyDescent="0.2">
      <c r="A156" t="s">
        <v>1721</v>
      </c>
      <c r="B156" t="s">
        <v>499</v>
      </c>
      <c r="C156">
        <v>306.69</v>
      </c>
      <c r="D156" t="s">
        <v>6961</v>
      </c>
      <c r="E156">
        <v>306.69</v>
      </c>
      <c r="F156" t="s">
        <v>6961</v>
      </c>
      <c r="G156" s="220">
        <f t="shared" si="10"/>
        <v>306.69</v>
      </c>
      <c r="H156" s="220">
        <f t="shared" si="11"/>
        <v>306.69</v>
      </c>
      <c r="I156" s="221">
        <f>IF(A156="Total",VLOOKUP(B156,CORRESPONDANCE[#All],2,FALSE),I157)</f>
        <v>42</v>
      </c>
      <c r="J156" s="222" t="str">
        <f t="shared" si="8"/>
        <v>6</v>
      </c>
      <c r="K156" s="44" t="str">
        <f t="shared" si="9"/>
        <v>LYSE - 661100</v>
      </c>
      <c r="L156" s="44" t="str">
        <f>+VLOOKUP(K156,TL[],4,FALSE)</f>
        <v>37</v>
      </c>
    </row>
    <row r="157" spans="1:12" x14ac:dyDescent="0.2">
      <c r="A157" t="s">
        <v>197</v>
      </c>
      <c r="B157" t="s">
        <v>2604</v>
      </c>
      <c r="C157">
        <v>306.69</v>
      </c>
      <c r="D157" t="s">
        <v>6961</v>
      </c>
      <c r="E157">
        <v>306.69</v>
      </c>
      <c r="F157" t="s">
        <v>6961</v>
      </c>
      <c r="G157" s="220">
        <f t="shared" si="10"/>
        <v>306.69</v>
      </c>
      <c r="H157" s="220">
        <f t="shared" si="11"/>
        <v>306.69</v>
      </c>
      <c r="I157" s="221">
        <f>IF(A157="Total",VLOOKUP(B157,CORRESPONDANCE[#All],2,FALSE),I158)</f>
        <v>42</v>
      </c>
      <c r="J157" s="222" t="str">
        <f t="shared" si="8"/>
        <v>T</v>
      </c>
      <c r="K157" s="44" t="str">
        <f t="shared" si="9"/>
        <v>LYSE - Total</v>
      </c>
      <c r="L157" s="44" t="e">
        <f>+VLOOKUP(K157,TL[],4,FALSE)</f>
        <v>#N/A</v>
      </c>
    </row>
    <row r="158" spans="1:12" x14ac:dyDescent="0.2">
      <c r="A158" t="s">
        <v>1619</v>
      </c>
      <c r="B158" t="s">
        <v>487</v>
      </c>
      <c r="C158">
        <v>25296</v>
      </c>
      <c r="D158" t="s">
        <v>6961</v>
      </c>
      <c r="E158">
        <v>25296</v>
      </c>
      <c r="F158" t="s">
        <v>6961</v>
      </c>
      <c r="G158" s="220">
        <f t="shared" si="10"/>
        <v>25296</v>
      </c>
      <c r="H158" s="220">
        <f t="shared" si="11"/>
        <v>25296</v>
      </c>
      <c r="I158" s="221">
        <f>IF(A158="Total",VLOOKUP(B158,CORRESPONDANCE[#All],2,FALSE),I159)</f>
        <v>46</v>
      </c>
      <c r="J158" s="222" t="str">
        <f t="shared" si="8"/>
        <v>6</v>
      </c>
      <c r="K158" s="44" t="str">
        <f t="shared" si="9"/>
        <v>LYSE - 628300</v>
      </c>
      <c r="L158" s="44" t="str">
        <f>+VLOOKUP(K158,TL[],4,FALSE)</f>
        <v>51</v>
      </c>
    </row>
    <row r="159" spans="1:12" x14ac:dyDescent="0.2">
      <c r="A159" t="s">
        <v>2113</v>
      </c>
      <c r="B159" t="s">
        <v>2131</v>
      </c>
      <c r="C159">
        <v>833.33</v>
      </c>
      <c r="D159" t="s">
        <v>6961</v>
      </c>
      <c r="E159">
        <v>833.33</v>
      </c>
      <c r="F159" t="s">
        <v>6961</v>
      </c>
      <c r="G159" s="220">
        <f t="shared" si="10"/>
        <v>833.33</v>
      </c>
      <c r="H159" s="220">
        <f t="shared" si="11"/>
        <v>833.33</v>
      </c>
      <c r="I159" s="221">
        <f>IF(A159="Total",VLOOKUP(B159,CORRESPONDANCE[#All],2,FALSE),I160)</f>
        <v>46</v>
      </c>
      <c r="J159" s="222" t="str">
        <f t="shared" si="8"/>
        <v>6</v>
      </c>
      <c r="K159" s="44" t="str">
        <f t="shared" si="9"/>
        <v>LYSE - 628340</v>
      </c>
      <c r="L159" s="44" t="str">
        <f>+VLOOKUP(K159,TL[],4,FALSE)</f>
        <v>51</v>
      </c>
    </row>
    <row r="160" spans="1:12" x14ac:dyDescent="0.2">
      <c r="A160" t="s">
        <v>197</v>
      </c>
      <c r="B160" t="s">
        <v>2607</v>
      </c>
      <c r="C160">
        <v>26129.33</v>
      </c>
      <c r="D160" t="s">
        <v>6961</v>
      </c>
      <c r="E160">
        <v>26129.33</v>
      </c>
      <c r="F160" t="s">
        <v>6961</v>
      </c>
      <c r="G160" s="220">
        <f t="shared" si="10"/>
        <v>26129.33</v>
      </c>
      <c r="H160" s="220">
        <f t="shared" si="11"/>
        <v>26129.33</v>
      </c>
      <c r="I160" s="221">
        <f>IF(A160="Total",VLOOKUP(B160,CORRESPONDANCE[#All],2,FALSE),I161)</f>
        <v>46</v>
      </c>
      <c r="J160" s="222" t="str">
        <f t="shared" si="8"/>
        <v>T</v>
      </c>
      <c r="K160" s="44" t="str">
        <f t="shared" si="9"/>
        <v>LYSE - Total</v>
      </c>
      <c r="L160" s="44" t="e">
        <f>+VLOOKUP(K160,TL[],4,FALSE)</f>
        <v>#N/A</v>
      </c>
    </row>
    <row r="161" spans="1:12" x14ac:dyDescent="0.2">
      <c r="A161" t="s">
        <v>1794</v>
      </c>
      <c r="B161" t="s">
        <v>256</v>
      </c>
      <c r="C161" t="s">
        <v>6961</v>
      </c>
      <c r="D161">
        <v>7358.87</v>
      </c>
      <c r="E161" t="s">
        <v>6961</v>
      </c>
      <c r="F161">
        <v>7358.87</v>
      </c>
      <c r="G161" s="220">
        <f t="shared" si="10"/>
        <v>-7358.87</v>
      </c>
      <c r="H161" s="220">
        <f t="shared" si="11"/>
        <v>-7358.87</v>
      </c>
      <c r="I161" s="221" t="str">
        <f>IF(A161="Total",VLOOKUP(B161,CORRESPONDANCE[#All],2,FALSE),I162)</f>
        <v>41.1</v>
      </c>
      <c r="J161" s="222" t="str">
        <f t="shared" si="8"/>
        <v>7</v>
      </c>
      <c r="K161" s="44" t="str">
        <f t="shared" si="9"/>
        <v>LYSE - 702300</v>
      </c>
      <c r="L161" s="44" t="str">
        <f>+VLOOKUP(K161,TL[],4,FALSE)</f>
        <v>60</v>
      </c>
    </row>
    <row r="162" spans="1:12" x14ac:dyDescent="0.2">
      <c r="A162" t="s">
        <v>197</v>
      </c>
      <c r="B162" t="s">
        <v>2609</v>
      </c>
      <c r="C162" t="s">
        <v>6961</v>
      </c>
      <c r="D162">
        <v>7358.87</v>
      </c>
      <c r="E162" t="s">
        <v>6961</v>
      </c>
      <c r="F162">
        <v>7358.87</v>
      </c>
      <c r="G162" s="220">
        <f t="shared" si="10"/>
        <v>-7358.87</v>
      </c>
      <c r="H162" s="220">
        <f t="shared" si="11"/>
        <v>-7358.87</v>
      </c>
      <c r="I162" s="221" t="str">
        <f>IF(A162="Total",VLOOKUP(B162,CORRESPONDANCE[#All],2,FALSE),I163)</f>
        <v>41.1</v>
      </c>
      <c r="J162" s="222" t="str">
        <f t="shared" si="8"/>
        <v>T</v>
      </c>
      <c r="K162" s="44" t="str">
        <f t="shared" si="9"/>
        <v>LYSE - Total</v>
      </c>
      <c r="L162" s="44" t="e">
        <f>+VLOOKUP(K162,TL[],4,FALSE)</f>
        <v>#N/A</v>
      </c>
    </row>
    <row r="163" spans="1:12" x14ac:dyDescent="0.2">
      <c r="A163" t="s">
        <v>1631</v>
      </c>
      <c r="B163" t="s">
        <v>448</v>
      </c>
      <c r="C163">
        <v>2416.88</v>
      </c>
      <c r="D163" t="s">
        <v>6961</v>
      </c>
      <c r="E163">
        <v>2416.88</v>
      </c>
      <c r="F163" t="s">
        <v>6961</v>
      </c>
      <c r="G163" s="220">
        <f t="shared" si="10"/>
        <v>2416.88</v>
      </c>
      <c r="H163" s="220">
        <f t="shared" si="11"/>
        <v>2416.88</v>
      </c>
      <c r="I163" s="221" t="str">
        <f>IF(A163="Total",VLOOKUP(B163,CORRESPONDANCE[#All],2,FALSE),I164)</f>
        <v>41.2</v>
      </c>
      <c r="J163" s="222" t="str">
        <f t="shared" si="8"/>
        <v>6</v>
      </c>
      <c r="K163" s="44" t="str">
        <f t="shared" si="9"/>
        <v>LYSE - 602202</v>
      </c>
      <c r="L163" s="44" t="str">
        <f>+VLOOKUP(K163,TL[],4,FALSE)</f>
        <v>62</v>
      </c>
    </row>
    <row r="164" spans="1:12" x14ac:dyDescent="0.2">
      <c r="A164" t="s">
        <v>1782</v>
      </c>
      <c r="B164" t="s">
        <v>477</v>
      </c>
      <c r="C164">
        <v>1135.29</v>
      </c>
      <c r="D164" t="s">
        <v>6961</v>
      </c>
      <c r="E164">
        <v>1135.29</v>
      </c>
      <c r="F164" t="s">
        <v>6961</v>
      </c>
      <c r="G164" s="220">
        <f t="shared" si="10"/>
        <v>1135.29</v>
      </c>
      <c r="H164" s="220">
        <f t="shared" si="11"/>
        <v>1135.29</v>
      </c>
      <c r="I164" s="221" t="str">
        <f>IF(A164="Total",VLOOKUP(B164,CORRESPONDANCE[#All],2,FALSE),I165)</f>
        <v>41.2</v>
      </c>
      <c r="J164" s="222" t="str">
        <f t="shared" si="8"/>
        <v>6</v>
      </c>
      <c r="K164" s="44" t="str">
        <f t="shared" si="9"/>
        <v>LYSE - 603201</v>
      </c>
      <c r="L164" s="44" t="str">
        <f>+VLOOKUP(K164,TL[],4,FALSE)</f>
        <v>62</v>
      </c>
    </row>
    <row r="165" spans="1:12" x14ac:dyDescent="0.2">
      <c r="A165" t="s">
        <v>197</v>
      </c>
      <c r="B165" t="s">
        <v>2611</v>
      </c>
      <c r="C165">
        <v>3552.17</v>
      </c>
      <c r="D165" t="s">
        <v>6961</v>
      </c>
      <c r="E165">
        <v>3552.17</v>
      </c>
      <c r="F165" t="s">
        <v>6961</v>
      </c>
      <c r="G165" s="220">
        <f t="shared" si="10"/>
        <v>3552.17</v>
      </c>
      <c r="H165" s="220">
        <f t="shared" si="11"/>
        <v>3552.17</v>
      </c>
      <c r="I165" s="221" t="str">
        <f>IF(A165="Total",VLOOKUP(B165,CORRESPONDANCE[#All],2,FALSE),I166)</f>
        <v>41.2</v>
      </c>
      <c r="J165" s="222" t="str">
        <f t="shared" si="8"/>
        <v>T</v>
      </c>
      <c r="K165" s="44" t="str">
        <f t="shared" si="9"/>
        <v>LYSE - Total</v>
      </c>
      <c r="L165" s="44" t="e">
        <f>+VLOOKUP(K165,TL[],4,FALSE)</f>
        <v>#N/A</v>
      </c>
    </row>
    <row r="166" spans="1:12" x14ac:dyDescent="0.2">
      <c r="A166" t="s">
        <v>6961</v>
      </c>
      <c r="B166" t="s">
        <v>2612</v>
      </c>
      <c r="C166">
        <v>400293.06</v>
      </c>
      <c r="D166">
        <v>408655.21</v>
      </c>
      <c r="E166">
        <v>400293.06</v>
      </c>
      <c r="F166">
        <v>408655.21</v>
      </c>
      <c r="G166" s="220">
        <f t="shared" si="10"/>
        <v>-8362.1500000000233</v>
      </c>
      <c r="H166" s="220">
        <f t="shared" si="11"/>
        <v>-8362.1500000000233</v>
      </c>
      <c r="I166" s="221">
        <f>IF(A166="Total",VLOOKUP(B166,CORRESPONDANCE[#All],2,FALSE),I167)</f>
        <v>0</v>
      </c>
      <c r="J166" s="222" t="str">
        <f t="shared" si="8"/>
        <v/>
      </c>
      <c r="K166" s="44" t="str">
        <f t="shared" si="9"/>
        <v xml:space="preserve">LYSE - </v>
      </c>
      <c r="L166" s="44" t="e">
        <f>+VLOOKUP(K166,TL[],4,FALSE)</f>
        <v>#N/A</v>
      </c>
    </row>
    <row r="167" spans="1:12" x14ac:dyDescent="0.2">
      <c r="G167" s="220">
        <f t="shared" si="10"/>
        <v>0</v>
      </c>
      <c r="H167" s="220">
        <f t="shared" si="11"/>
        <v>0</v>
      </c>
      <c r="I167" s="221">
        <f>IF(A167="Total",VLOOKUP(B167,CORRESPONDANCE[#All],2,FALSE),I168)</f>
        <v>0</v>
      </c>
      <c r="J167" s="222" t="str">
        <f t="shared" si="8"/>
        <v/>
      </c>
      <c r="K167" s="44" t="str">
        <f t="shared" si="9"/>
        <v xml:space="preserve">LYSE - </v>
      </c>
      <c r="L167" s="44" t="e">
        <f>+VLOOKUP(K167,TL[],4,FALSE)</f>
        <v>#N/A</v>
      </c>
    </row>
    <row r="168" spans="1:12" x14ac:dyDescent="0.2">
      <c r="G168" s="220">
        <f t="shared" si="10"/>
        <v>0</v>
      </c>
      <c r="H168" s="220">
        <f t="shared" si="11"/>
        <v>0</v>
      </c>
      <c r="I168" s="221">
        <f>IF(A168="Total",VLOOKUP(B168,CORRESPONDANCE[#All],2,FALSE),I169)</f>
        <v>0</v>
      </c>
      <c r="J168" s="222" t="str">
        <f t="shared" si="8"/>
        <v/>
      </c>
      <c r="K168" s="44" t="str">
        <f t="shared" si="9"/>
        <v xml:space="preserve">LYSE - </v>
      </c>
      <c r="L168" s="44" t="e">
        <f>+VLOOKUP(K168,TL[],4,FALSE)</f>
        <v>#N/A</v>
      </c>
    </row>
    <row r="169" spans="1:12" x14ac:dyDescent="0.2">
      <c r="G169" s="220">
        <f t="shared" si="10"/>
        <v>0</v>
      </c>
      <c r="H169" s="220">
        <f t="shared" si="11"/>
        <v>0</v>
      </c>
      <c r="I169" s="221">
        <f>IF(A169="Total",VLOOKUP(B169,CORRESPONDANCE[#All],2,FALSE),I170)</f>
        <v>0</v>
      </c>
      <c r="J169" s="222" t="str">
        <f t="shared" si="8"/>
        <v/>
      </c>
      <c r="K169" s="44" t="str">
        <f t="shared" si="9"/>
        <v xml:space="preserve">LYSE - </v>
      </c>
      <c r="L169" s="44" t="e">
        <f>+VLOOKUP(K169,TL[],4,FALSE)</f>
        <v>#N/A</v>
      </c>
    </row>
    <row r="170" spans="1:12" x14ac:dyDescent="0.2">
      <c r="G170" s="220">
        <f t="shared" si="10"/>
        <v>0</v>
      </c>
      <c r="H170" s="220">
        <f t="shared" si="11"/>
        <v>0</v>
      </c>
      <c r="I170" s="221">
        <f>IF(A170="Total",VLOOKUP(B170,CORRESPONDANCE[#All],2,FALSE),I171)</f>
        <v>0</v>
      </c>
      <c r="J170" s="222" t="str">
        <f t="shared" si="8"/>
        <v/>
      </c>
      <c r="K170" s="44" t="str">
        <f t="shared" si="9"/>
        <v xml:space="preserve">LYSE - </v>
      </c>
      <c r="L170" s="44" t="e">
        <f>+VLOOKUP(K170,TL[],4,FALSE)</f>
        <v>#N/A</v>
      </c>
    </row>
    <row r="171" spans="1:12" x14ac:dyDescent="0.2">
      <c r="G171" s="220">
        <f t="shared" si="10"/>
        <v>0</v>
      </c>
      <c r="H171" s="220">
        <f t="shared" si="11"/>
        <v>0</v>
      </c>
      <c r="I171" s="221">
        <f>IF(A171="Total",VLOOKUP(B171,CORRESPONDANCE[#All],2,FALSE),I172)</f>
        <v>0</v>
      </c>
      <c r="J171" s="222" t="str">
        <f t="shared" si="8"/>
        <v/>
      </c>
      <c r="K171" s="44" t="str">
        <f t="shared" si="9"/>
        <v xml:space="preserve">LYSE - </v>
      </c>
      <c r="L171" s="44" t="e">
        <f>+VLOOKUP(K171,TL[],4,FALSE)</f>
        <v>#N/A</v>
      </c>
    </row>
    <row r="172" spans="1:12" x14ac:dyDescent="0.2">
      <c r="G172" s="223">
        <f t="shared" si="10"/>
        <v>0</v>
      </c>
      <c r="H172" s="223">
        <f t="shared" si="11"/>
        <v>0</v>
      </c>
      <c r="I172" s="224">
        <f>IF(A172="Total",VLOOKUP(B172,CORRESPONDANCE[#All],2,FALSE),I173)</f>
        <v>0</v>
      </c>
      <c r="J172" s="44" t="str">
        <f t="shared" si="8"/>
        <v/>
      </c>
      <c r="K172" s="44" t="str">
        <f t="shared" si="9"/>
        <v xml:space="preserve">LYSE - </v>
      </c>
      <c r="L172" s="44" t="e">
        <f>+VLOOKUP(K172,TL[],4,FALSE)</f>
        <v>#N/A</v>
      </c>
    </row>
    <row r="173" spans="1:12" x14ac:dyDescent="0.2">
      <c r="G173" s="223">
        <f t="shared" si="10"/>
        <v>0</v>
      </c>
      <c r="H173" s="223">
        <f t="shared" si="11"/>
        <v>0</v>
      </c>
      <c r="I173" s="224">
        <f>IF(A173="Total",VLOOKUP(B173,CORRESPONDANCE[#All],2,FALSE),I174)</f>
        <v>0</v>
      </c>
      <c r="J173" s="44" t="str">
        <f t="shared" si="8"/>
        <v/>
      </c>
      <c r="K173" s="44" t="str">
        <f t="shared" si="9"/>
        <v xml:space="preserve">LYSE - </v>
      </c>
      <c r="L173" s="44" t="e">
        <f>+VLOOKUP(K173,TL[],4,FALSE)</f>
        <v>#N/A</v>
      </c>
    </row>
    <row r="174" spans="1:12" x14ac:dyDescent="0.2">
      <c r="G174" s="223">
        <f t="shared" si="10"/>
        <v>0</v>
      </c>
      <c r="H174" s="223">
        <f t="shared" si="11"/>
        <v>0</v>
      </c>
      <c r="I174" s="224">
        <f>IF(A174="Total",VLOOKUP(B174,CORRESPONDANCE[#All],2,FALSE),I175)</f>
        <v>0</v>
      </c>
      <c r="J174" s="44" t="str">
        <f t="shared" si="8"/>
        <v/>
      </c>
      <c r="K174" s="44" t="str">
        <f t="shared" si="9"/>
        <v xml:space="preserve">LYSE - </v>
      </c>
      <c r="L174" s="44" t="e">
        <f>+VLOOKUP(K174,TL[],4,FALSE)</f>
        <v>#N/A</v>
      </c>
    </row>
    <row r="175" spans="1:12" x14ac:dyDescent="0.2">
      <c r="G175" s="223">
        <f t="shared" si="10"/>
        <v>0</v>
      </c>
      <c r="H175" s="223">
        <f t="shared" si="11"/>
        <v>0</v>
      </c>
      <c r="I175" s="224">
        <f>IF(A175="Total",VLOOKUP(B175,CORRESPONDANCE[#All],2,FALSE),I176)</f>
        <v>0</v>
      </c>
      <c r="J175" s="44" t="str">
        <f t="shared" si="8"/>
        <v/>
      </c>
      <c r="K175" s="44" t="str">
        <f t="shared" si="9"/>
        <v xml:space="preserve">LYSE - </v>
      </c>
      <c r="L175" s="44" t="e">
        <f>+VLOOKUP(K175,TL[],4,FALSE)</f>
        <v>#N/A</v>
      </c>
    </row>
    <row r="176" spans="1:12" x14ac:dyDescent="0.2">
      <c r="G176" s="223">
        <f t="shared" si="10"/>
        <v>0</v>
      </c>
      <c r="H176" s="223">
        <f t="shared" si="11"/>
        <v>0</v>
      </c>
      <c r="I176" s="224">
        <f>IF(A176="Total",VLOOKUP(B176,CORRESPONDANCE[#All],2,FALSE),I177)</f>
        <v>0</v>
      </c>
      <c r="J176" s="44" t="str">
        <f t="shared" si="8"/>
        <v/>
      </c>
      <c r="K176" s="44" t="str">
        <f t="shared" si="9"/>
        <v xml:space="preserve">LYSE - </v>
      </c>
      <c r="L176" s="44" t="e">
        <f>+VLOOKUP(K176,TL[],4,FALSE)</f>
        <v>#N/A</v>
      </c>
    </row>
    <row r="177" spans="7:12" x14ac:dyDescent="0.2">
      <c r="G177" s="223">
        <f t="shared" si="10"/>
        <v>0</v>
      </c>
      <c r="H177" s="223">
        <f t="shared" si="11"/>
        <v>0</v>
      </c>
      <c r="I177" s="224">
        <f>IF(A177="Total",VLOOKUP(B177,CORRESPONDANCE[#All],2,FALSE),I178)</f>
        <v>0</v>
      </c>
      <c r="J177" s="44" t="str">
        <f t="shared" si="8"/>
        <v/>
      </c>
      <c r="K177" s="44" t="str">
        <f t="shared" si="9"/>
        <v xml:space="preserve">LYSE - </v>
      </c>
      <c r="L177" s="44" t="e">
        <f>+VLOOKUP(K177,TL[],4,FALSE)</f>
        <v>#N/A</v>
      </c>
    </row>
    <row r="178" spans="7:12" x14ac:dyDescent="0.2">
      <c r="G178" s="223">
        <f t="shared" si="10"/>
        <v>0</v>
      </c>
      <c r="H178" s="223">
        <f t="shared" si="11"/>
        <v>0</v>
      </c>
      <c r="I178" s="224">
        <f>IF(A178="Total",VLOOKUP(B178,CORRESPONDANCE[#All],2,FALSE),I179)</f>
        <v>0</v>
      </c>
      <c r="J178" s="44" t="str">
        <f t="shared" si="8"/>
        <v/>
      </c>
      <c r="K178" s="44" t="str">
        <f t="shared" si="9"/>
        <v xml:space="preserve">LYSE - </v>
      </c>
      <c r="L178" s="44" t="e">
        <f>+VLOOKUP(K178,TL[],4,FALSE)</f>
        <v>#N/A</v>
      </c>
    </row>
    <row r="179" spans="7:12" x14ac:dyDescent="0.2">
      <c r="G179" s="223">
        <f t="shared" si="10"/>
        <v>0</v>
      </c>
      <c r="H179" s="223">
        <f t="shared" si="11"/>
        <v>0</v>
      </c>
      <c r="I179" s="224">
        <f>IF(A179="Total",VLOOKUP(B179,CORRESPONDANCE[#All],2,FALSE),I180)</f>
        <v>0</v>
      </c>
      <c r="J179" s="44" t="str">
        <f t="shared" si="8"/>
        <v/>
      </c>
      <c r="K179" s="44" t="str">
        <f t="shared" si="9"/>
        <v xml:space="preserve">LYSE - </v>
      </c>
      <c r="L179" s="44" t="e">
        <f>+VLOOKUP(K179,TL[],4,FALSE)</f>
        <v>#N/A</v>
      </c>
    </row>
    <row r="180" spans="7:12" x14ac:dyDescent="0.2">
      <c r="G180" s="223">
        <f t="shared" si="10"/>
        <v>0</v>
      </c>
      <c r="H180" s="223">
        <f t="shared" si="11"/>
        <v>0</v>
      </c>
      <c r="I180" s="224">
        <f>IF(A180="Total",VLOOKUP(B180,CORRESPONDANCE[#All],2,FALSE),I181)</f>
        <v>0</v>
      </c>
      <c r="J180" s="44" t="str">
        <f t="shared" si="8"/>
        <v/>
      </c>
      <c r="K180" s="44" t="str">
        <f t="shared" si="9"/>
        <v xml:space="preserve">LYSE - </v>
      </c>
      <c r="L180" s="44" t="e">
        <f>+VLOOKUP(K180,TL[],4,FALSE)</f>
        <v>#N/A</v>
      </c>
    </row>
    <row r="181" spans="7:12" x14ac:dyDescent="0.2">
      <c r="G181" s="223">
        <f t="shared" si="10"/>
        <v>0</v>
      </c>
      <c r="H181" s="223">
        <f t="shared" si="11"/>
        <v>0</v>
      </c>
      <c r="I181" s="224">
        <f>IF(A181="Total",VLOOKUP(B181,CORRESPONDANCE[#All],2,FALSE),I182)</f>
        <v>0</v>
      </c>
      <c r="J181" s="44" t="str">
        <f t="shared" si="8"/>
        <v/>
      </c>
      <c r="K181" s="44" t="str">
        <f t="shared" si="9"/>
        <v xml:space="preserve">LYSE - </v>
      </c>
      <c r="L181" s="44" t="e">
        <f>+VLOOKUP(K181,TL[],4,FALSE)</f>
        <v>#N/A</v>
      </c>
    </row>
    <row r="182" spans="7:12" x14ac:dyDescent="0.2">
      <c r="G182" s="223">
        <f t="shared" si="10"/>
        <v>0</v>
      </c>
      <c r="H182" s="223">
        <f t="shared" si="11"/>
        <v>0</v>
      </c>
      <c r="I182" s="224">
        <f>IF(A182="Total",VLOOKUP(B182,CORRESPONDANCE[#All],2,FALSE),I183)</f>
        <v>0</v>
      </c>
      <c r="J182" s="44" t="str">
        <f t="shared" si="8"/>
        <v/>
      </c>
      <c r="K182" s="44" t="str">
        <f t="shared" si="9"/>
        <v xml:space="preserve">LYSE - </v>
      </c>
      <c r="L182" s="44" t="e">
        <f>+VLOOKUP(K182,TL[],4,FALSE)</f>
        <v>#N/A</v>
      </c>
    </row>
    <row r="183" spans="7:12" x14ac:dyDescent="0.2">
      <c r="G183" s="223">
        <f t="shared" si="10"/>
        <v>0</v>
      </c>
      <c r="H183" s="223">
        <f t="shared" si="11"/>
        <v>0</v>
      </c>
      <c r="I183" s="224">
        <f>IF(A183="Total",VLOOKUP(B183,CORRESPONDANCE[#All],2,FALSE),I184)</f>
        <v>0</v>
      </c>
      <c r="J183" s="44" t="str">
        <f t="shared" si="8"/>
        <v/>
      </c>
      <c r="K183" s="44" t="str">
        <f t="shared" si="9"/>
        <v xml:space="preserve">LYSE - </v>
      </c>
      <c r="L183" s="44" t="e">
        <f>+VLOOKUP(K183,TL[],4,FALSE)</f>
        <v>#N/A</v>
      </c>
    </row>
    <row r="184" spans="7:12" x14ac:dyDescent="0.2">
      <c r="G184" s="223">
        <f t="shared" si="10"/>
        <v>0</v>
      </c>
      <c r="H184" s="223">
        <f t="shared" si="11"/>
        <v>0</v>
      </c>
      <c r="I184" s="224">
        <f>IF(A184="Total",VLOOKUP(B184,CORRESPONDANCE[#All],2,FALSE),I185)</f>
        <v>0</v>
      </c>
      <c r="J184" s="44" t="str">
        <f t="shared" si="8"/>
        <v/>
      </c>
      <c r="K184" s="44" t="str">
        <f t="shared" si="9"/>
        <v xml:space="preserve">LYSE - </v>
      </c>
      <c r="L184" s="44" t="e">
        <f>+VLOOKUP(K184,TL[],4,FALSE)</f>
        <v>#N/A</v>
      </c>
    </row>
    <row r="185" spans="7:12" x14ac:dyDescent="0.2">
      <c r="G185" s="223">
        <f t="shared" si="10"/>
        <v>0</v>
      </c>
      <c r="H185" s="223">
        <f t="shared" si="11"/>
        <v>0</v>
      </c>
      <c r="I185" s="224">
        <f>IF(A185="Total",VLOOKUP(B185,CORRESPONDANCE[#All],2,FALSE),I186)</f>
        <v>0</v>
      </c>
      <c r="J185" s="44" t="str">
        <f t="shared" si="8"/>
        <v/>
      </c>
      <c r="K185" s="44" t="str">
        <f t="shared" si="9"/>
        <v xml:space="preserve">LYSE - </v>
      </c>
      <c r="L185" s="44" t="e">
        <f>+VLOOKUP(K185,TL[],4,FALSE)</f>
        <v>#N/A</v>
      </c>
    </row>
    <row r="186" spans="7:12" x14ac:dyDescent="0.2">
      <c r="G186" s="223">
        <f t="shared" si="10"/>
        <v>0</v>
      </c>
      <c r="H186" s="223">
        <f t="shared" si="11"/>
        <v>0</v>
      </c>
      <c r="I186" s="224">
        <f>IF(A186="Total",VLOOKUP(B186,CORRESPONDANCE[#All],2,FALSE),I187)</f>
        <v>0</v>
      </c>
      <c r="J186" s="44" t="str">
        <f t="shared" si="8"/>
        <v/>
      </c>
      <c r="K186" s="44" t="str">
        <f t="shared" si="9"/>
        <v xml:space="preserve">LYSE - </v>
      </c>
      <c r="L186" s="44" t="e">
        <f>+VLOOKUP(K186,TL[],4,FALSE)</f>
        <v>#N/A</v>
      </c>
    </row>
    <row r="187" spans="7:12" x14ac:dyDescent="0.2">
      <c r="G187" s="223">
        <f t="shared" si="10"/>
        <v>0</v>
      </c>
      <c r="H187" s="223">
        <f t="shared" si="11"/>
        <v>0</v>
      </c>
      <c r="I187" s="224">
        <f>IF(A187="Total",VLOOKUP(B187,CORRESPONDANCE[#All],2,FALSE),I188)</f>
        <v>0</v>
      </c>
      <c r="J187" s="44" t="str">
        <f t="shared" si="8"/>
        <v/>
      </c>
      <c r="K187" s="44" t="str">
        <f t="shared" si="9"/>
        <v xml:space="preserve">LYSE - </v>
      </c>
      <c r="L187" s="44" t="e">
        <f>+VLOOKUP(K187,TL[],4,FALSE)</f>
        <v>#N/A</v>
      </c>
    </row>
    <row r="188" spans="7:12" x14ac:dyDescent="0.2">
      <c r="G188" s="223">
        <f t="shared" si="10"/>
        <v>0</v>
      </c>
      <c r="H188" s="223">
        <f t="shared" si="11"/>
        <v>0</v>
      </c>
      <c r="I188" s="224">
        <f>IF(A188="Total",VLOOKUP(B188,CORRESPONDANCE[#All],2,FALSE),I189)</f>
        <v>0</v>
      </c>
      <c r="J188" s="44" t="str">
        <f t="shared" si="8"/>
        <v/>
      </c>
      <c r="K188" s="44" t="str">
        <f t="shared" si="9"/>
        <v xml:space="preserve">LYSE - </v>
      </c>
      <c r="L188" s="44" t="e">
        <f>+VLOOKUP(K188,TL[],4,FALSE)</f>
        <v>#N/A</v>
      </c>
    </row>
    <row r="189" spans="7:12" x14ac:dyDescent="0.2">
      <c r="G189" s="223">
        <f t="shared" si="10"/>
        <v>0</v>
      </c>
      <c r="H189" s="223">
        <f t="shared" si="11"/>
        <v>0</v>
      </c>
      <c r="I189" s="224">
        <f>IF(A189="Total",VLOOKUP(B189,CORRESPONDANCE[#All],2,FALSE),I190)</f>
        <v>0</v>
      </c>
      <c r="J189" s="44" t="str">
        <f t="shared" si="8"/>
        <v/>
      </c>
      <c r="K189" s="44" t="str">
        <f t="shared" si="9"/>
        <v xml:space="preserve">LYSE - </v>
      </c>
      <c r="L189" s="44" t="e">
        <f>+VLOOKUP(K189,TL[],4,FALSE)</f>
        <v>#N/A</v>
      </c>
    </row>
    <row r="190" spans="7:12" x14ac:dyDescent="0.2">
      <c r="G190" s="223">
        <f t="shared" si="10"/>
        <v>0</v>
      </c>
      <c r="H190" s="223">
        <f t="shared" si="11"/>
        <v>0</v>
      </c>
      <c r="I190" s="224">
        <f>IF(A190="Total",VLOOKUP(B190,CORRESPONDANCE[#All],2,FALSE),I191)</f>
        <v>0</v>
      </c>
      <c r="J190" s="44" t="str">
        <f t="shared" si="8"/>
        <v/>
      </c>
      <c r="K190" s="44" t="str">
        <f t="shared" si="9"/>
        <v xml:space="preserve">LYSE - </v>
      </c>
      <c r="L190" s="44" t="e">
        <f>+VLOOKUP(K190,TL[],4,FALSE)</f>
        <v>#N/A</v>
      </c>
    </row>
    <row r="191" spans="7:12" x14ac:dyDescent="0.2">
      <c r="G191" s="223">
        <f t="shared" si="10"/>
        <v>0</v>
      </c>
      <c r="H191" s="223">
        <f t="shared" si="11"/>
        <v>0</v>
      </c>
      <c r="I191" s="224">
        <f>IF(A191="Total",VLOOKUP(B191,CORRESPONDANCE[#All],2,FALSE),I192)</f>
        <v>0</v>
      </c>
      <c r="J191" s="44" t="str">
        <f t="shared" si="8"/>
        <v/>
      </c>
      <c r="K191" s="44" t="str">
        <f t="shared" si="9"/>
        <v xml:space="preserve">LYSE - </v>
      </c>
      <c r="L191" s="44" t="e">
        <f>+VLOOKUP(K191,TL[],4,FALSE)</f>
        <v>#N/A</v>
      </c>
    </row>
    <row r="192" spans="7:12" x14ac:dyDescent="0.2">
      <c r="G192" s="223">
        <f t="shared" si="10"/>
        <v>0</v>
      </c>
      <c r="H192" s="223">
        <f t="shared" si="11"/>
        <v>0</v>
      </c>
      <c r="I192" s="224">
        <f>IF(A192="Total",VLOOKUP(B192,CORRESPONDANCE[#All],2,FALSE),I193)</f>
        <v>0</v>
      </c>
      <c r="J192" s="44" t="str">
        <f t="shared" si="8"/>
        <v/>
      </c>
      <c r="K192" s="44" t="str">
        <f t="shared" si="9"/>
        <v xml:space="preserve">LYSE - </v>
      </c>
      <c r="L192" s="44" t="e">
        <f>+VLOOKUP(K192,TL[],4,FALSE)</f>
        <v>#N/A</v>
      </c>
    </row>
    <row r="193" spans="7:12" x14ac:dyDescent="0.2">
      <c r="G193" s="223">
        <f t="shared" si="10"/>
        <v>0</v>
      </c>
      <c r="H193" s="223">
        <f t="shared" si="11"/>
        <v>0</v>
      </c>
      <c r="I193" s="224">
        <f>IF(A193="Total",VLOOKUP(B193,CORRESPONDANCE[#All],2,FALSE),I194)</f>
        <v>0</v>
      </c>
      <c r="J193" s="44" t="str">
        <f t="shared" ref="J193:J229" si="12">LEFT(A193,1)</f>
        <v/>
      </c>
      <c r="K193" s="44" t="str">
        <f t="shared" ref="K193:K229" si="13">"LYSE"&amp;" - "&amp;A193</f>
        <v xml:space="preserve">LYSE - </v>
      </c>
      <c r="L193" s="44" t="e">
        <f>+VLOOKUP(K193,TL[],4,FALSE)</f>
        <v>#N/A</v>
      </c>
    </row>
    <row r="194" spans="7:12" x14ac:dyDescent="0.2">
      <c r="G194" s="223">
        <f t="shared" si="10"/>
        <v>0</v>
      </c>
      <c r="H194" s="223">
        <f t="shared" si="11"/>
        <v>0</v>
      </c>
      <c r="I194" s="224">
        <f>IF(A194="Total",VLOOKUP(B194,CORRESPONDANCE[#All],2,FALSE),I195)</f>
        <v>0</v>
      </c>
      <c r="J194" s="44" t="str">
        <f t="shared" si="12"/>
        <v/>
      </c>
      <c r="K194" s="44" t="str">
        <f t="shared" si="13"/>
        <v xml:space="preserve">LYSE - </v>
      </c>
      <c r="L194" s="44" t="e">
        <f>+VLOOKUP(K194,TL[],4,FALSE)</f>
        <v>#N/A</v>
      </c>
    </row>
    <row r="195" spans="7:12" x14ac:dyDescent="0.2">
      <c r="G195" s="223">
        <f t="shared" si="10"/>
        <v>0</v>
      </c>
      <c r="H195" s="223">
        <f t="shared" si="11"/>
        <v>0</v>
      </c>
      <c r="I195" s="224">
        <f>IF(A195="Total",VLOOKUP(B195,CORRESPONDANCE[#All],2,FALSE),I196)</f>
        <v>0</v>
      </c>
      <c r="J195" s="44" t="str">
        <f t="shared" si="12"/>
        <v/>
      </c>
      <c r="K195" s="44" t="str">
        <f t="shared" si="13"/>
        <v xml:space="preserve">LYSE - </v>
      </c>
      <c r="L195" s="44" t="e">
        <f>+VLOOKUP(K195,TL[],4,FALSE)</f>
        <v>#N/A</v>
      </c>
    </row>
    <row r="196" spans="7:12" x14ac:dyDescent="0.2">
      <c r="G196" s="223">
        <f t="shared" ref="G196:G229" si="14">SUM(C196)-SUM(D196)</f>
        <v>0</v>
      </c>
      <c r="H196" s="223">
        <f t="shared" ref="H196:H229" si="15">SUM(E196)-SUM(F196)</f>
        <v>0</v>
      </c>
      <c r="I196" s="224">
        <f>IF(A196="Total",VLOOKUP(B196,CORRESPONDANCE[#All],2,FALSE),I197)</f>
        <v>0</v>
      </c>
      <c r="J196" s="44" t="str">
        <f t="shared" si="12"/>
        <v/>
      </c>
      <c r="K196" s="44" t="str">
        <f t="shared" si="13"/>
        <v xml:space="preserve">LYSE - </v>
      </c>
      <c r="L196" s="44" t="e">
        <f>+VLOOKUP(K196,TL[],4,FALSE)</f>
        <v>#N/A</v>
      </c>
    </row>
    <row r="197" spans="7:12" x14ac:dyDescent="0.2">
      <c r="G197" s="223">
        <f t="shared" si="14"/>
        <v>0</v>
      </c>
      <c r="H197" s="223">
        <f t="shared" si="15"/>
        <v>0</v>
      </c>
      <c r="I197" s="224">
        <f>IF(A197="Total",VLOOKUP(B197,CORRESPONDANCE[#All],2,FALSE),I198)</f>
        <v>0</v>
      </c>
      <c r="J197" s="44" t="str">
        <f t="shared" si="12"/>
        <v/>
      </c>
      <c r="K197" s="44" t="str">
        <f t="shared" si="13"/>
        <v xml:space="preserve">LYSE - </v>
      </c>
      <c r="L197" s="44" t="e">
        <f>+VLOOKUP(K197,TL[],4,FALSE)</f>
        <v>#N/A</v>
      </c>
    </row>
    <row r="198" spans="7:12" x14ac:dyDescent="0.2">
      <c r="G198" s="223">
        <f t="shared" si="14"/>
        <v>0</v>
      </c>
      <c r="H198" s="223">
        <f t="shared" si="15"/>
        <v>0</v>
      </c>
      <c r="I198" s="224">
        <f>IF(A198="Total",VLOOKUP(B198,CORRESPONDANCE[#All],2,FALSE),I199)</f>
        <v>0</v>
      </c>
      <c r="J198" s="44" t="str">
        <f t="shared" si="12"/>
        <v/>
      </c>
      <c r="K198" s="44" t="str">
        <f t="shared" si="13"/>
        <v xml:space="preserve">LYSE - </v>
      </c>
      <c r="L198" s="44" t="e">
        <f>+VLOOKUP(K198,TL[],4,FALSE)</f>
        <v>#N/A</v>
      </c>
    </row>
    <row r="199" spans="7:12" x14ac:dyDescent="0.2">
      <c r="G199" s="223">
        <f t="shared" si="14"/>
        <v>0</v>
      </c>
      <c r="H199" s="223">
        <f t="shared" si="15"/>
        <v>0</v>
      </c>
      <c r="I199" s="224">
        <f>IF(A199="Total",VLOOKUP(B199,CORRESPONDANCE[#All],2,FALSE),I200)</f>
        <v>0</v>
      </c>
      <c r="J199" s="44" t="str">
        <f t="shared" si="12"/>
        <v/>
      </c>
      <c r="K199" s="44" t="str">
        <f t="shared" si="13"/>
        <v xml:space="preserve">LYSE - </v>
      </c>
      <c r="L199" s="44" t="e">
        <f>+VLOOKUP(K199,TL[],4,FALSE)</f>
        <v>#N/A</v>
      </c>
    </row>
    <row r="200" spans="7:12" x14ac:dyDescent="0.2">
      <c r="G200" s="223">
        <f t="shared" si="14"/>
        <v>0</v>
      </c>
      <c r="H200" s="223">
        <f t="shared" si="15"/>
        <v>0</v>
      </c>
      <c r="I200" s="224">
        <f>IF(A200="Total",VLOOKUP(B200,CORRESPONDANCE[#All],2,FALSE),I201)</f>
        <v>0</v>
      </c>
      <c r="J200" s="44" t="str">
        <f t="shared" si="12"/>
        <v/>
      </c>
      <c r="K200" s="44" t="str">
        <f t="shared" si="13"/>
        <v xml:space="preserve">LYSE - </v>
      </c>
      <c r="L200" s="44" t="e">
        <f>+VLOOKUP(K200,TL[],4,FALSE)</f>
        <v>#N/A</v>
      </c>
    </row>
    <row r="201" spans="7:12" x14ac:dyDescent="0.2">
      <c r="G201" s="223">
        <f t="shared" si="14"/>
        <v>0</v>
      </c>
      <c r="H201" s="223">
        <f t="shared" si="15"/>
        <v>0</v>
      </c>
      <c r="I201" s="224">
        <f>IF(A201="Total",VLOOKUP(B201,CORRESPONDANCE[#All],2,FALSE),I202)</f>
        <v>0</v>
      </c>
      <c r="J201" s="44" t="str">
        <f t="shared" si="12"/>
        <v/>
      </c>
      <c r="K201" s="44" t="str">
        <f t="shared" si="13"/>
        <v xml:space="preserve">LYSE - </v>
      </c>
      <c r="L201" s="44" t="e">
        <f>+VLOOKUP(K201,TL[],4,FALSE)</f>
        <v>#N/A</v>
      </c>
    </row>
    <row r="202" spans="7:12" x14ac:dyDescent="0.2">
      <c r="G202" s="223">
        <f t="shared" si="14"/>
        <v>0</v>
      </c>
      <c r="H202" s="223">
        <f t="shared" si="15"/>
        <v>0</v>
      </c>
      <c r="I202" s="224">
        <f>IF(A202="Total",VLOOKUP(B202,CORRESPONDANCE[#All],2,FALSE),I203)</f>
        <v>0</v>
      </c>
      <c r="J202" s="44" t="str">
        <f t="shared" si="12"/>
        <v/>
      </c>
      <c r="K202" s="44" t="str">
        <f t="shared" si="13"/>
        <v xml:space="preserve">LYSE - </v>
      </c>
      <c r="L202" s="44" t="e">
        <f>+VLOOKUP(K202,TL[],4,FALSE)</f>
        <v>#N/A</v>
      </c>
    </row>
    <row r="203" spans="7:12" x14ac:dyDescent="0.2">
      <c r="G203" s="223">
        <f t="shared" si="14"/>
        <v>0</v>
      </c>
      <c r="H203" s="223">
        <f t="shared" si="15"/>
        <v>0</v>
      </c>
      <c r="I203" s="224">
        <f>IF(A203="Total",VLOOKUP(B203,CORRESPONDANCE[#All],2,FALSE),I204)</f>
        <v>0</v>
      </c>
      <c r="J203" s="44" t="str">
        <f t="shared" si="12"/>
        <v/>
      </c>
      <c r="K203" s="44" t="str">
        <f t="shared" si="13"/>
        <v xml:space="preserve">LYSE - </v>
      </c>
      <c r="L203" s="44" t="e">
        <f>+VLOOKUP(K203,TL[],4,FALSE)</f>
        <v>#N/A</v>
      </c>
    </row>
    <row r="204" spans="7:12" x14ac:dyDescent="0.2">
      <c r="G204" s="223">
        <f t="shared" si="14"/>
        <v>0</v>
      </c>
      <c r="H204" s="223">
        <f t="shared" si="15"/>
        <v>0</v>
      </c>
      <c r="I204" s="224">
        <f>IF(A204="Total",VLOOKUP(B204,CORRESPONDANCE[#All],2,FALSE),I205)</f>
        <v>0</v>
      </c>
      <c r="J204" s="44" t="str">
        <f t="shared" si="12"/>
        <v/>
      </c>
      <c r="K204" s="44" t="str">
        <f t="shared" si="13"/>
        <v xml:space="preserve">LYSE - </v>
      </c>
      <c r="L204" s="44" t="e">
        <f>+VLOOKUP(K204,TL[],4,FALSE)</f>
        <v>#N/A</v>
      </c>
    </row>
    <row r="205" spans="7:12" x14ac:dyDescent="0.2">
      <c r="G205" s="223">
        <f t="shared" si="14"/>
        <v>0</v>
      </c>
      <c r="H205" s="223">
        <f t="shared" si="15"/>
        <v>0</v>
      </c>
      <c r="I205" s="224">
        <f>IF(A205="Total",VLOOKUP(B205,CORRESPONDANCE[#All],2,FALSE),I206)</f>
        <v>0</v>
      </c>
      <c r="J205" s="44" t="str">
        <f t="shared" si="12"/>
        <v/>
      </c>
      <c r="K205" s="44" t="str">
        <f t="shared" si="13"/>
        <v xml:space="preserve">LYSE - </v>
      </c>
      <c r="L205" s="44" t="e">
        <f>+VLOOKUP(K205,TL[],4,FALSE)</f>
        <v>#N/A</v>
      </c>
    </row>
    <row r="206" spans="7:12" x14ac:dyDescent="0.2">
      <c r="G206" s="223">
        <f t="shared" si="14"/>
        <v>0</v>
      </c>
      <c r="H206" s="223">
        <f t="shared" si="15"/>
        <v>0</v>
      </c>
      <c r="I206" s="224">
        <f>IF(A206="Total",VLOOKUP(B206,CORRESPONDANCE[#All],2,FALSE),I207)</f>
        <v>0</v>
      </c>
      <c r="J206" s="44" t="str">
        <f t="shared" si="12"/>
        <v/>
      </c>
      <c r="K206" s="44" t="str">
        <f t="shared" si="13"/>
        <v xml:space="preserve">LYSE - </v>
      </c>
      <c r="L206" s="44" t="e">
        <f>+VLOOKUP(K206,TL[],4,FALSE)</f>
        <v>#N/A</v>
      </c>
    </row>
    <row r="207" spans="7:12" x14ac:dyDescent="0.2">
      <c r="G207" s="223">
        <f t="shared" si="14"/>
        <v>0</v>
      </c>
      <c r="H207" s="223">
        <f t="shared" si="15"/>
        <v>0</v>
      </c>
      <c r="I207" s="224">
        <f>IF(A207="Total",VLOOKUP(B207,CORRESPONDANCE[#All],2,FALSE),I208)</f>
        <v>0</v>
      </c>
      <c r="J207" s="44" t="str">
        <f t="shared" si="12"/>
        <v/>
      </c>
      <c r="K207" s="44" t="str">
        <f t="shared" si="13"/>
        <v xml:space="preserve">LYSE - </v>
      </c>
      <c r="L207" s="44" t="e">
        <f>+VLOOKUP(K207,TL[],4,FALSE)</f>
        <v>#N/A</v>
      </c>
    </row>
    <row r="208" spans="7:12" x14ac:dyDescent="0.2">
      <c r="G208" s="223">
        <f t="shared" si="14"/>
        <v>0</v>
      </c>
      <c r="H208" s="223">
        <f t="shared" si="15"/>
        <v>0</v>
      </c>
      <c r="I208" s="224">
        <f>IF(A208="Total",VLOOKUP(B208,CORRESPONDANCE[#All],2,FALSE),I209)</f>
        <v>0</v>
      </c>
      <c r="J208" s="44" t="str">
        <f t="shared" si="12"/>
        <v/>
      </c>
      <c r="K208" s="44" t="str">
        <f t="shared" si="13"/>
        <v xml:space="preserve">LYSE - </v>
      </c>
      <c r="L208" s="44" t="e">
        <f>+VLOOKUP(K208,TL[],4,FALSE)</f>
        <v>#N/A</v>
      </c>
    </row>
    <row r="209" spans="7:12" x14ac:dyDescent="0.2">
      <c r="G209" s="223">
        <f t="shared" si="14"/>
        <v>0</v>
      </c>
      <c r="H209" s="223">
        <f t="shared" si="15"/>
        <v>0</v>
      </c>
      <c r="I209" s="224">
        <f>IF(A209="Total",VLOOKUP(B209,CORRESPONDANCE[#All],2,FALSE),I210)</f>
        <v>0</v>
      </c>
      <c r="J209" s="44" t="str">
        <f t="shared" si="12"/>
        <v/>
      </c>
      <c r="K209" s="44" t="str">
        <f t="shared" si="13"/>
        <v xml:space="preserve">LYSE - </v>
      </c>
      <c r="L209" s="44" t="e">
        <f>+VLOOKUP(K209,TL[],4,FALSE)</f>
        <v>#N/A</v>
      </c>
    </row>
    <row r="210" spans="7:12" x14ac:dyDescent="0.2">
      <c r="G210" s="223">
        <f t="shared" si="14"/>
        <v>0</v>
      </c>
      <c r="H210" s="223">
        <f t="shared" si="15"/>
        <v>0</v>
      </c>
      <c r="I210" s="224">
        <f>IF(A210="Total",VLOOKUP(B210,CORRESPONDANCE[#All],2,FALSE),I211)</f>
        <v>0</v>
      </c>
      <c r="J210" s="44" t="str">
        <f t="shared" si="12"/>
        <v/>
      </c>
      <c r="K210" s="44" t="str">
        <f t="shared" si="13"/>
        <v xml:space="preserve">LYSE - </v>
      </c>
      <c r="L210" s="44" t="e">
        <f>+VLOOKUP(K210,TL[],4,FALSE)</f>
        <v>#N/A</v>
      </c>
    </row>
    <row r="211" spans="7:12" x14ac:dyDescent="0.2">
      <c r="G211" s="223">
        <f t="shared" si="14"/>
        <v>0</v>
      </c>
      <c r="H211" s="223">
        <f t="shared" si="15"/>
        <v>0</v>
      </c>
      <c r="I211" s="224">
        <f>IF(A211="Total",VLOOKUP(B211,CORRESPONDANCE[#All],2,FALSE),I212)</f>
        <v>0</v>
      </c>
      <c r="J211" s="44" t="str">
        <f t="shared" si="12"/>
        <v/>
      </c>
      <c r="K211" s="44" t="str">
        <f t="shared" si="13"/>
        <v xml:space="preserve">LYSE - </v>
      </c>
      <c r="L211" s="44" t="e">
        <f>+VLOOKUP(K211,TL[],4,FALSE)</f>
        <v>#N/A</v>
      </c>
    </row>
    <row r="212" spans="7:12" x14ac:dyDescent="0.2">
      <c r="G212" s="223">
        <f t="shared" si="14"/>
        <v>0</v>
      </c>
      <c r="H212" s="223">
        <f t="shared" si="15"/>
        <v>0</v>
      </c>
      <c r="I212" s="224">
        <f>IF(A212="Total",VLOOKUP(B212,CORRESPONDANCE[#All],2,FALSE),I213)</f>
        <v>0</v>
      </c>
      <c r="J212" s="44" t="str">
        <f t="shared" si="12"/>
        <v/>
      </c>
      <c r="K212" s="44" t="str">
        <f t="shared" si="13"/>
        <v xml:space="preserve">LYSE - </v>
      </c>
      <c r="L212" s="44" t="e">
        <f>+VLOOKUP(K212,TL[],4,FALSE)</f>
        <v>#N/A</v>
      </c>
    </row>
    <row r="213" spans="7:12" x14ac:dyDescent="0.2">
      <c r="G213" s="223">
        <f t="shared" si="14"/>
        <v>0</v>
      </c>
      <c r="H213" s="223">
        <f t="shared" si="15"/>
        <v>0</v>
      </c>
      <c r="I213" s="224">
        <f>IF(A213="Total",VLOOKUP(B213,CORRESPONDANCE[#All],2,FALSE),I214)</f>
        <v>0</v>
      </c>
      <c r="J213" s="44" t="str">
        <f t="shared" si="12"/>
        <v/>
      </c>
      <c r="K213" s="44" t="str">
        <f t="shared" si="13"/>
        <v xml:space="preserve">LYSE - </v>
      </c>
      <c r="L213" s="44" t="e">
        <f>+VLOOKUP(K213,TL[],4,FALSE)</f>
        <v>#N/A</v>
      </c>
    </row>
    <row r="214" spans="7:12" x14ac:dyDescent="0.2">
      <c r="G214" s="223">
        <f t="shared" si="14"/>
        <v>0</v>
      </c>
      <c r="H214" s="223">
        <f t="shared" si="15"/>
        <v>0</v>
      </c>
      <c r="I214" s="224">
        <f>IF(A214="Total",VLOOKUP(B214,CORRESPONDANCE[#All],2,FALSE),I215)</f>
        <v>0</v>
      </c>
      <c r="J214" s="44" t="str">
        <f t="shared" si="12"/>
        <v/>
      </c>
      <c r="K214" s="44" t="str">
        <f t="shared" si="13"/>
        <v xml:space="preserve">LYSE - </v>
      </c>
      <c r="L214" s="44" t="e">
        <f>+VLOOKUP(K214,TL[],4,FALSE)</f>
        <v>#N/A</v>
      </c>
    </row>
    <row r="215" spans="7:12" x14ac:dyDescent="0.2">
      <c r="G215" s="223">
        <f t="shared" si="14"/>
        <v>0</v>
      </c>
      <c r="H215" s="223">
        <f t="shared" si="15"/>
        <v>0</v>
      </c>
      <c r="I215" s="224">
        <f>IF(A215="Total",VLOOKUP(B215,CORRESPONDANCE[#All],2,FALSE),I216)</f>
        <v>0</v>
      </c>
      <c r="J215" s="44" t="str">
        <f t="shared" si="12"/>
        <v/>
      </c>
      <c r="K215" s="44" t="str">
        <f t="shared" si="13"/>
        <v xml:space="preserve">LYSE - </v>
      </c>
      <c r="L215" s="44" t="e">
        <f>+VLOOKUP(K215,TL[],4,FALSE)</f>
        <v>#N/A</v>
      </c>
    </row>
    <row r="216" spans="7:12" x14ac:dyDescent="0.2">
      <c r="G216" s="223">
        <f t="shared" si="14"/>
        <v>0</v>
      </c>
      <c r="H216" s="223">
        <f t="shared" si="15"/>
        <v>0</v>
      </c>
      <c r="I216" s="224">
        <f>IF(A216="Total",VLOOKUP(B216,CORRESPONDANCE[#All],2,FALSE),I217)</f>
        <v>0</v>
      </c>
      <c r="J216" s="44" t="str">
        <f t="shared" si="12"/>
        <v/>
      </c>
      <c r="K216" s="44" t="str">
        <f t="shared" si="13"/>
        <v xml:space="preserve">LYSE - </v>
      </c>
      <c r="L216" s="44" t="e">
        <f>+VLOOKUP(K216,TL[],4,FALSE)</f>
        <v>#N/A</v>
      </c>
    </row>
    <row r="217" spans="7:12" x14ac:dyDescent="0.2">
      <c r="G217" s="223">
        <f t="shared" si="14"/>
        <v>0</v>
      </c>
      <c r="H217" s="223">
        <f t="shared" si="15"/>
        <v>0</v>
      </c>
      <c r="I217" s="224">
        <f>IF(A217="Total",VLOOKUP(B217,CORRESPONDANCE[#All],2,FALSE),I218)</f>
        <v>0</v>
      </c>
      <c r="J217" s="44" t="str">
        <f t="shared" si="12"/>
        <v/>
      </c>
      <c r="K217" s="44" t="str">
        <f t="shared" si="13"/>
        <v xml:space="preserve">LYSE - </v>
      </c>
      <c r="L217" s="44" t="e">
        <f>+VLOOKUP(K217,TL[],4,FALSE)</f>
        <v>#N/A</v>
      </c>
    </row>
    <row r="218" spans="7:12" x14ac:dyDescent="0.2">
      <c r="G218" s="223">
        <f t="shared" si="14"/>
        <v>0</v>
      </c>
      <c r="H218" s="223">
        <f t="shared" si="15"/>
        <v>0</v>
      </c>
      <c r="I218" s="224">
        <f>IF(A218="Total",VLOOKUP(B218,CORRESPONDANCE[#All],2,FALSE),I219)</f>
        <v>0</v>
      </c>
      <c r="J218" s="44" t="str">
        <f t="shared" si="12"/>
        <v/>
      </c>
      <c r="K218" s="44" t="str">
        <f t="shared" si="13"/>
        <v xml:space="preserve">LYSE - </v>
      </c>
      <c r="L218" s="44" t="e">
        <f>+VLOOKUP(K218,TL[],4,FALSE)</f>
        <v>#N/A</v>
      </c>
    </row>
    <row r="219" spans="7:12" x14ac:dyDescent="0.2">
      <c r="G219" s="223">
        <f t="shared" si="14"/>
        <v>0</v>
      </c>
      <c r="H219" s="223">
        <f t="shared" si="15"/>
        <v>0</v>
      </c>
      <c r="I219" s="224">
        <f>IF(A219="Total",VLOOKUP(B219,CORRESPONDANCE[#All],2,FALSE),I220)</f>
        <v>0</v>
      </c>
      <c r="J219" s="44" t="str">
        <f t="shared" si="12"/>
        <v/>
      </c>
      <c r="K219" s="44" t="str">
        <f t="shared" si="13"/>
        <v xml:space="preserve">LYSE - </v>
      </c>
      <c r="L219" s="44" t="e">
        <f>+VLOOKUP(K219,TL[],4,FALSE)</f>
        <v>#N/A</v>
      </c>
    </row>
    <row r="220" spans="7:12" x14ac:dyDescent="0.2">
      <c r="G220" s="223">
        <f t="shared" si="14"/>
        <v>0</v>
      </c>
      <c r="H220" s="223">
        <f t="shared" si="15"/>
        <v>0</v>
      </c>
      <c r="I220" s="224">
        <f>IF(A220="Total",VLOOKUP(B220,CORRESPONDANCE[#All],2,FALSE),I221)</f>
        <v>0</v>
      </c>
      <c r="J220" s="44" t="str">
        <f t="shared" si="12"/>
        <v/>
      </c>
      <c r="K220" s="44" t="str">
        <f t="shared" si="13"/>
        <v xml:space="preserve">LYSE - </v>
      </c>
      <c r="L220" s="44" t="e">
        <f>+VLOOKUP(K220,TL[],4,FALSE)</f>
        <v>#N/A</v>
      </c>
    </row>
    <row r="221" spans="7:12" x14ac:dyDescent="0.2">
      <c r="G221" s="223">
        <f t="shared" si="14"/>
        <v>0</v>
      </c>
      <c r="H221" s="223">
        <f t="shared" si="15"/>
        <v>0</v>
      </c>
      <c r="I221" s="224">
        <f>IF(A221="Total",VLOOKUP(B221,CORRESPONDANCE[#All],2,FALSE),I222)</f>
        <v>0</v>
      </c>
      <c r="J221" s="44" t="str">
        <f t="shared" si="12"/>
        <v/>
      </c>
      <c r="K221" s="44" t="str">
        <f t="shared" si="13"/>
        <v xml:space="preserve">LYSE - </v>
      </c>
      <c r="L221" s="44" t="e">
        <f>+VLOOKUP(K221,TL[],4,FALSE)</f>
        <v>#N/A</v>
      </c>
    </row>
    <row r="222" spans="7:12" x14ac:dyDescent="0.2">
      <c r="G222" s="223">
        <f t="shared" si="14"/>
        <v>0</v>
      </c>
      <c r="H222" s="223">
        <f t="shared" si="15"/>
        <v>0</v>
      </c>
      <c r="I222" s="224">
        <f>IF(A222="Total",VLOOKUP(B222,CORRESPONDANCE[#All],2,FALSE),I223)</f>
        <v>0</v>
      </c>
      <c r="J222" s="44" t="str">
        <f t="shared" si="12"/>
        <v/>
      </c>
      <c r="K222" s="44" t="str">
        <f t="shared" si="13"/>
        <v xml:space="preserve">LYSE - </v>
      </c>
      <c r="L222" s="44" t="e">
        <f>+VLOOKUP(K222,TL[],4,FALSE)</f>
        <v>#N/A</v>
      </c>
    </row>
    <row r="223" spans="7:12" x14ac:dyDescent="0.2">
      <c r="G223" s="223">
        <f t="shared" si="14"/>
        <v>0</v>
      </c>
      <c r="H223" s="223">
        <f t="shared" si="15"/>
        <v>0</v>
      </c>
      <c r="I223" s="224">
        <f>IF(A223="Total",VLOOKUP(B223,CORRESPONDANCE[#All],2,FALSE),I224)</f>
        <v>0</v>
      </c>
      <c r="J223" s="44" t="str">
        <f t="shared" si="12"/>
        <v/>
      </c>
      <c r="K223" s="44" t="str">
        <f t="shared" si="13"/>
        <v xml:space="preserve">LYSE - </v>
      </c>
      <c r="L223" s="44" t="e">
        <f>+VLOOKUP(K223,TL[],4,FALSE)</f>
        <v>#N/A</v>
      </c>
    </row>
    <row r="224" spans="7:12" x14ac:dyDescent="0.2">
      <c r="G224" s="223">
        <f t="shared" si="14"/>
        <v>0</v>
      </c>
      <c r="H224" s="223">
        <f t="shared" si="15"/>
        <v>0</v>
      </c>
      <c r="I224" s="224">
        <f>IF(A224="Total",VLOOKUP(B224,CORRESPONDANCE[#All],2,FALSE),I225)</f>
        <v>0</v>
      </c>
      <c r="J224" s="44" t="str">
        <f t="shared" si="12"/>
        <v/>
      </c>
      <c r="K224" s="44" t="str">
        <f t="shared" si="13"/>
        <v xml:space="preserve">LYSE - </v>
      </c>
      <c r="L224" s="44" t="e">
        <f>+VLOOKUP(K224,TL[],4,FALSE)</f>
        <v>#N/A</v>
      </c>
    </row>
    <row r="225" spans="7:12" x14ac:dyDescent="0.2">
      <c r="G225" s="223">
        <f t="shared" si="14"/>
        <v>0</v>
      </c>
      <c r="H225" s="223">
        <f t="shared" si="15"/>
        <v>0</v>
      </c>
      <c r="I225" s="224">
        <f>IF(A225="Total",VLOOKUP(B225,CORRESPONDANCE[#All],2,FALSE),I226)</f>
        <v>0</v>
      </c>
      <c r="J225" s="44" t="str">
        <f t="shared" si="12"/>
        <v/>
      </c>
      <c r="K225" s="44" t="str">
        <f t="shared" si="13"/>
        <v xml:space="preserve">LYSE - </v>
      </c>
      <c r="L225" s="44" t="e">
        <f>+VLOOKUP(K225,TL[],4,FALSE)</f>
        <v>#N/A</v>
      </c>
    </row>
    <row r="226" spans="7:12" x14ac:dyDescent="0.2">
      <c r="G226" s="223">
        <f t="shared" si="14"/>
        <v>0</v>
      </c>
      <c r="H226" s="223">
        <f t="shared" si="15"/>
        <v>0</v>
      </c>
      <c r="I226" s="224">
        <f>IF(A226="Total",VLOOKUP(B226,CORRESPONDANCE[#All],2,FALSE),I227)</f>
        <v>0</v>
      </c>
      <c r="J226" s="44" t="str">
        <f t="shared" si="12"/>
        <v/>
      </c>
      <c r="K226" s="44" t="str">
        <f t="shared" si="13"/>
        <v xml:space="preserve">LYSE - </v>
      </c>
      <c r="L226" s="44" t="e">
        <f>+VLOOKUP(K226,TL[],4,FALSE)</f>
        <v>#N/A</v>
      </c>
    </row>
    <row r="227" spans="7:12" x14ac:dyDescent="0.2">
      <c r="G227" s="223">
        <f t="shared" si="14"/>
        <v>0</v>
      </c>
      <c r="H227" s="223">
        <f t="shared" si="15"/>
        <v>0</v>
      </c>
      <c r="I227" s="224">
        <f>IF(A227="Total",VLOOKUP(B227,CORRESPONDANCE[#All],2,FALSE),I228)</f>
        <v>0</v>
      </c>
      <c r="J227" s="44" t="str">
        <f t="shared" si="12"/>
        <v/>
      </c>
      <c r="K227" s="44" t="str">
        <f t="shared" si="13"/>
        <v xml:space="preserve">LYSE - </v>
      </c>
      <c r="L227" s="44" t="e">
        <f>+VLOOKUP(K227,TL[],4,FALSE)</f>
        <v>#N/A</v>
      </c>
    </row>
    <row r="228" spans="7:12" x14ac:dyDescent="0.2">
      <c r="G228" s="223">
        <f t="shared" si="14"/>
        <v>0</v>
      </c>
      <c r="H228" s="223">
        <f t="shared" si="15"/>
        <v>0</v>
      </c>
      <c r="I228" s="224">
        <f>IF(A228="Total",VLOOKUP(B228,CORRESPONDANCE[#All],2,FALSE),I229)</f>
        <v>0</v>
      </c>
      <c r="J228" s="44" t="str">
        <f t="shared" si="12"/>
        <v/>
      </c>
      <c r="K228" s="44" t="str">
        <f t="shared" si="13"/>
        <v xml:space="preserve">LYSE - </v>
      </c>
      <c r="L228" s="44" t="e">
        <f>+VLOOKUP(K228,TL[],4,FALSE)</f>
        <v>#N/A</v>
      </c>
    </row>
    <row r="229" spans="7:12" x14ac:dyDescent="0.2">
      <c r="G229" s="223">
        <f t="shared" si="14"/>
        <v>0</v>
      </c>
      <c r="H229" s="223">
        <f t="shared" si="15"/>
        <v>0</v>
      </c>
      <c r="I229" s="224">
        <f>IF(A229="Total",VLOOKUP(B229,CORRESPONDANCE[#All],2,FALSE),I230)</f>
        <v>0</v>
      </c>
      <c r="J229" s="44" t="str">
        <f t="shared" si="12"/>
        <v/>
      </c>
      <c r="K229" s="44" t="str">
        <f t="shared" si="13"/>
        <v xml:space="preserve">LYSE - </v>
      </c>
      <c r="L229" s="44" t="e">
        <f>+VLOOKUP(K229,TL[],4,FALSE)</f>
        <v>#N/A</v>
      </c>
    </row>
    <row r="230" spans="7:12" x14ac:dyDescent="0.2">
      <c r="G230" s="223">
        <f t="shared" ref="G230:G286" si="16">SUM(C230)-SUM(D230)</f>
        <v>0</v>
      </c>
      <c r="H230" s="223">
        <f t="shared" ref="H230:H286" si="17">SUM(E230)-SUM(F230)</f>
        <v>0</v>
      </c>
      <c r="I230" s="224">
        <f>IF(A230="Total",VLOOKUP(B230,CORRESPONDANCE[#All],2,FALSE),I231)</f>
        <v>0</v>
      </c>
      <c r="J230" s="44" t="str">
        <f t="shared" ref="J230:J286" si="18">LEFT(A230,1)</f>
        <v/>
      </c>
      <c r="K230" s="44" t="str">
        <f t="shared" ref="K230:K286" si="19">"LYSE"&amp;" - "&amp;A230</f>
        <v xml:space="preserve">LYSE - </v>
      </c>
      <c r="L230" s="44" t="e">
        <f>+VLOOKUP(K230,TL[],4,FALSE)</f>
        <v>#N/A</v>
      </c>
    </row>
    <row r="231" spans="7:12" x14ac:dyDescent="0.2">
      <c r="G231" s="223">
        <f t="shared" si="16"/>
        <v>0</v>
      </c>
      <c r="H231" s="223">
        <f t="shared" si="17"/>
        <v>0</v>
      </c>
      <c r="I231" s="224">
        <f>IF(A231="Total",VLOOKUP(B231,CORRESPONDANCE[#All],2,FALSE),I232)</f>
        <v>0</v>
      </c>
      <c r="J231" s="44" t="str">
        <f t="shared" si="18"/>
        <v/>
      </c>
      <c r="K231" s="44" t="str">
        <f t="shared" si="19"/>
        <v xml:space="preserve">LYSE - </v>
      </c>
      <c r="L231" s="44" t="e">
        <f>+VLOOKUP(K231,TL[],4,FALSE)</f>
        <v>#N/A</v>
      </c>
    </row>
    <row r="232" spans="7:12" x14ac:dyDescent="0.2">
      <c r="G232" s="223">
        <f t="shared" si="16"/>
        <v>0</v>
      </c>
      <c r="H232" s="223">
        <f t="shared" si="17"/>
        <v>0</v>
      </c>
      <c r="I232" s="224">
        <f>IF(A232="Total",VLOOKUP(B232,CORRESPONDANCE[#All],2,FALSE),I233)</f>
        <v>0</v>
      </c>
      <c r="J232" s="44" t="str">
        <f t="shared" si="18"/>
        <v/>
      </c>
      <c r="K232" s="44" t="str">
        <f t="shared" si="19"/>
        <v xml:space="preserve">LYSE - </v>
      </c>
      <c r="L232" s="44" t="e">
        <f>+VLOOKUP(K232,TL[],4,FALSE)</f>
        <v>#N/A</v>
      </c>
    </row>
    <row r="233" spans="7:12" x14ac:dyDescent="0.2">
      <c r="G233" s="223">
        <f t="shared" si="16"/>
        <v>0</v>
      </c>
      <c r="H233" s="223">
        <f t="shared" si="17"/>
        <v>0</v>
      </c>
      <c r="I233" s="224">
        <f>IF(A233="Total",VLOOKUP(B233,CORRESPONDANCE[#All],2,FALSE),I234)</f>
        <v>0</v>
      </c>
      <c r="J233" s="44" t="str">
        <f t="shared" si="18"/>
        <v/>
      </c>
      <c r="K233" s="44" t="str">
        <f t="shared" si="19"/>
        <v xml:space="preserve">LYSE - </v>
      </c>
      <c r="L233" s="44" t="e">
        <f>+VLOOKUP(K233,TL[],4,FALSE)</f>
        <v>#N/A</v>
      </c>
    </row>
    <row r="234" spans="7:12" x14ac:dyDescent="0.2">
      <c r="G234" s="223">
        <f t="shared" si="16"/>
        <v>0</v>
      </c>
      <c r="H234" s="223">
        <f t="shared" si="17"/>
        <v>0</v>
      </c>
      <c r="I234" s="224">
        <f>IF(A234="Total",VLOOKUP(B234,CORRESPONDANCE[#All],2,FALSE),I235)</f>
        <v>0</v>
      </c>
      <c r="J234" s="44" t="str">
        <f t="shared" si="18"/>
        <v/>
      </c>
      <c r="K234" s="44" t="str">
        <f t="shared" si="19"/>
        <v xml:space="preserve">LYSE - </v>
      </c>
      <c r="L234" s="44" t="e">
        <f>+VLOOKUP(K234,TL[],4,FALSE)</f>
        <v>#N/A</v>
      </c>
    </row>
    <row r="235" spans="7:12" x14ac:dyDescent="0.2">
      <c r="G235" s="223">
        <f t="shared" si="16"/>
        <v>0</v>
      </c>
      <c r="H235" s="223">
        <f t="shared" si="17"/>
        <v>0</v>
      </c>
      <c r="I235" s="224">
        <f>IF(A235="Total",VLOOKUP(B235,CORRESPONDANCE[#All],2,FALSE),I236)</f>
        <v>0</v>
      </c>
      <c r="J235" s="44" t="str">
        <f t="shared" si="18"/>
        <v/>
      </c>
      <c r="K235" s="44" t="str">
        <f t="shared" si="19"/>
        <v xml:space="preserve">LYSE - </v>
      </c>
      <c r="L235" s="44" t="e">
        <f>+VLOOKUP(K235,TL[],4,FALSE)</f>
        <v>#N/A</v>
      </c>
    </row>
    <row r="236" spans="7:12" x14ac:dyDescent="0.2">
      <c r="G236" s="223">
        <f t="shared" si="16"/>
        <v>0</v>
      </c>
      <c r="H236" s="223">
        <f t="shared" si="17"/>
        <v>0</v>
      </c>
      <c r="I236" s="224">
        <f>IF(A236="Total",VLOOKUP(B236,CORRESPONDANCE[#All],2,FALSE),I237)</f>
        <v>0</v>
      </c>
      <c r="J236" s="44" t="str">
        <f t="shared" si="18"/>
        <v/>
      </c>
      <c r="K236" s="44" t="str">
        <f t="shared" si="19"/>
        <v xml:space="preserve">LYSE - </v>
      </c>
      <c r="L236" s="44" t="e">
        <f>+VLOOKUP(K236,TL[],4,FALSE)</f>
        <v>#N/A</v>
      </c>
    </row>
    <row r="237" spans="7:12" x14ac:dyDescent="0.2">
      <c r="G237" s="223">
        <f t="shared" si="16"/>
        <v>0</v>
      </c>
      <c r="H237" s="223">
        <f t="shared" si="17"/>
        <v>0</v>
      </c>
      <c r="I237" s="224">
        <f>IF(A237="Total",VLOOKUP(B237,CORRESPONDANCE[#All],2,FALSE),I238)</f>
        <v>0</v>
      </c>
      <c r="J237" s="44" t="str">
        <f t="shared" si="18"/>
        <v/>
      </c>
      <c r="K237" s="44" t="str">
        <f t="shared" si="19"/>
        <v xml:space="preserve">LYSE - </v>
      </c>
      <c r="L237" s="44" t="e">
        <f>+VLOOKUP(K237,TL[],4,FALSE)</f>
        <v>#N/A</v>
      </c>
    </row>
    <row r="238" spans="7:12" x14ac:dyDescent="0.2">
      <c r="G238" s="223">
        <f t="shared" si="16"/>
        <v>0</v>
      </c>
      <c r="H238" s="223">
        <f t="shared" si="17"/>
        <v>0</v>
      </c>
      <c r="I238" s="224">
        <f>IF(A238="Total",VLOOKUP(B238,CORRESPONDANCE[#All],2,FALSE),I239)</f>
        <v>0</v>
      </c>
      <c r="J238" s="44" t="str">
        <f t="shared" si="18"/>
        <v/>
      </c>
      <c r="K238" s="44" t="str">
        <f t="shared" si="19"/>
        <v xml:space="preserve">LYSE - </v>
      </c>
      <c r="L238" s="44" t="e">
        <f>+VLOOKUP(K238,TL[],4,FALSE)</f>
        <v>#N/A</v>
      </c>
    </row>
    <row r="239" spans="7:12" x14ac:dyDescent="0.2">
      <c r="G239" s="223">
        <f t="shared" si="16"/>
        <v>0</v>
      </c>
      <c r="H239" s="223">
        <f t="shared" si="17"/>
        <v>0</v>
      </c>
      <c r="I239" s="224">
        <f>IF(A239="Total",VLOOKUP(B239,CORRESPONDANCE[#All],2,FALSE),I240)</f>
        <v>0</v>
      </c>
      <c r="J239" s="44" t="str">
        <f t="shared" si="18"/>
        <v/>
      </c>
      <c r="K239" s="44" t="str">
        <f t="shared" si="19"/>
        <v xml:space="preserve">LYSE - </v>
      </c>
      <c r="L239" s="44" t="e">
        <f>+VLOOKUP(K239,TL[],4,FALSE)</f>
        <v>#N/A</v>
      </c>
    </row>
    <row r="240" spans="7:12" x14ac:dyDescent="0.2">
      <c r="G240" s="223">
        <f t="shared" si="16"/>
        <v>0</v>
      </c>
      <c r="H240" s="223">
        <f t="shared" si="17"/>
        <v>0</v>
      </c>
      <c r="I240" s="224">
        <f>IF(A240="Total",VLOOKUP(B240,CORRESPONDANCE[#All],2,FALSE),I241)</f>
        <v>0</v>
      </c>
      <c r="J240" s="44" t="str">
        <f t="shared" si="18"/>
        <v/>
      </c>
      <c r="K240" s="44" t="str">
        <f t="shared" si="19"/>
        <v xml:space="preserve">LYSE - </v>
      </c>
      <c r="L240" s="44" t="e">
        <f>+VLOOKUP(K240,TL[],4,FALSE)</f>
        <v>#N/A</v>
      </c>
    </row>
    <row r="241" spans="7:12" x14ac:dyDescent="0.2">
      <c r="G241" s="223">
        <f t="shared" si="16"/>
        <v>0</v>
      </c>
      <c r="H241" s="223">
        <f t="shared" si="17"/>
        <v>0</v>
      </c>
      <c r="I241" s="224">
        <f>IF(A241="Total",VLOOKUP(B241,CORRESPONDANCE[#All],2,FALSE),I242)</f>
        <v>0</v>
      </c>
      <c r="J241" s="44" t="str">
        <f t="shared" si="18"/>
        <v/>
      </c>
      <c r="K241" s="44" t="str">
        <f t="shared" si="19"/>
        <v xml:space="preserve">LYSE - </v>
      </c>
      <c r="L241" s="44" t="e">
        <f>+VLOOKUP(K241,TL[],4,FALSE)</f>
        <v>#N/A</v>
      </c>
    </row>
    <row r="242" spans="7:12" x14ac:dyDescent="0.2">
      <c r="G242" s="223">
        <f t="shared" si="16"/>
        <v>0</v>
      </c>
      <c r="H242" s="223">
        <f t="shared" si="17"/>
        <v>0</v>
      </c>
      <c r="I242" s="224">
        <f>IF(A242="Total",VLOOKUP(B242,CORRESPONDANCE[#All],2,FALSE),I243)</f>
        <v>0</v>
      </c>
      <c r="J242" s="44" t="str">
        <f t="shared" si="18"/>
        <v/>
      </c>
      <c r="K242" s="44" t="str">
        <f t="shared" si="19"/>
        <v xml:space="preserve">LYSE - </v>
      </c>
      <c r="L242" s="44" t="e">
        <f>+VLOOKUP(K242,TL[],4,FALSE)</f>
        <v>#N/A</v>
      </c>
    </row>
    <row r="243" spans="7:12" x14ac:dyDescent="0.2">
      <c r="G243" s="223">
        <f t="shared" si="16"/>
        <v>0</v>
      </c>
      <c r="H243" s="223">
        <f t="shared" si="17"/>
        <v>0</v>
      </c>
      <c r="I243" s="224">
        <f>IF(A243="Total",VLOOKUP(B243,CORRESPONDANCE[#All],2,FALSE),I244)</f>
        <v>0</v>
      </c>
      <c r="J243" s="44" t="str">
        <f t="shared" si="18"/>
        <v/>
      </c>
      <c r="K243" s="44" t="str">
        <f t="shared" si="19"/>
        <v xml:space="preserve">LYSE - </v>
      </c>
      <c r="L243" s="44" t="e">
        <f>+VLOOKUP(K243,TL[],4,FALSE)</f>
        <v>#N/A</v>
      </c>
    </row>
    <row r="244" spans="7:12" x14ac:dyDescent="0.2">
      <c r="G244" s="223">
        <f t="shared" si="16"/>
        <v>0</v>
      </c>
      <c r="H244" s="223">
        <f t="shared" si="17"/>
        <v>0</v>
      </c>
      <c r="I244" s="224">
        <f>IF(A244="Total",VLOOKUP(B244,CORRESPONDANCE[#All],2,FALSE),I245)</f>
        <v>0</v>
      </c>
      <c r="J244" s="44" t="str">
        <f t="shared" si="18"/>
        <v/>
      </c>
      <c r="K244" s="44" t="str">
        <f t="shared" si="19"/>
        <v xml:space="preserve">LYSE - </v>
      </c>
      <c r="L244" s="44" t="e">
        <f>+VLOOKUP(K244,TL[],4,FALSE)</f>
        <v>#N/A</v>
      </c>
    </row>
    <row r="245" spans="7:12" x14ac:dyDescent="0.2">
      <c r="G245" s="223">
        <f t="shared" si="16"/>
        <v>0</v>
      </c>
      <c r="H245" s="223">
        <f t="shared" si="17"/>
        <v>0</v>
      </c>
      <c r="I245" s="224">
        <f>IF(A245="Total",VLOOKUP(B245,CORRESPONDANCE[#All],2,FALSE),I246)</f>
        <v>0</v>
      </c>
      <c r="J245" s="44" t="str">
        <f t="shared" si="18"/>
        <v/>
      </c>
      <c r="K245" s="44" t="str">
        <f t="shared" si="19"/>
        <v xml:space="preserve">LYSE - </v>
      </c>
      <c r="L245" s="44" t="e">
        <f>+VLOOKUP(K245,TL[],4,FALSE)</f>
        <v>#N/A</v>
      </c>
    </row>
    <row r="246" spans="7:12" x14ac:dyDescent="0.2">
      <c r="G246" s="223">
        <f t="shared" si="16"/>
        <v>0</v>
      </c>
      <c r="H246" s="223">
        <f t="shared" si="17"/>
        <v>0</v>
      </c>
      <c r="I246" s="224">
        <f>IF(A246="Total",VLOOKUP(B246,CORRESPONDANCE[#All],2,FALSE),I247)</f>
        <v>0</v>
      </c>
      <c r="J246" s="44" t="str">
        <f t="shared" si="18"/>
        <v/>
      </c>
      <c r="K246" s="44" t="str">
        <f t="shared" si="19"/>
        <v xml:space="preserve">LYSE - </v>
      </c>
      <c r="L246" s="44" t="e">
        <f>+VLOOKUP(K246,TL[],4,FALSE)</f>
        <v>#N/A</v>
      </c>
    </row>
    <row r="247" spans="7:12" x14ac:dyDescent="0.2">
      <c r="G247" s="223">
        <f t="shared" si="16"/>
        <v>0</v>
      </c>
      <c r="H247" s="223">
        <f t="shared" si="17"/>
        <v>0</v>
      </c>
      <c r="I247" s="224">
        <f>IF(A247="Total",VLOOKUP(B247,CORRESPONDANCE[#All],2,FALSE),I248)</f>
        <v>0</v>
      </c>
      <c r="J247" s="44" t="str">
        <f t="shared" si="18"/>
        <v/>
      </c>
      <c r="K247" s="44" t="str">
        <f t="shared" si="19"/>
        <v xml:space="preserve">LYSE - </v>
      </c>
      <c r="L247" s="44" t="e">
        <f>+VLOOKUP(K247,TL[],4,FALSE)</f>
        <v>#N/A</v>
      </c>
    </row>
    <row r="248" spans="7:12" x14ac:dyDescent="0.2">
      <c r="G248" s="223">
        <f t="shared" si="16"/>
        <v>0</v>
      </c>
      <c r="H248" s="223">
        <f t="shared" si="17"/>
        <v>0</v>
      </c>
      <c r="I248" s="224">
        <f>IF(A248="Total",VLOOKUP(B248,CORRESPONDANCE[#All],2,FALSE),I249)</f>
        <v>0</v>
      </c>
      <c r="J248" s="44" t="str">
        <f t="shared" si="18"/>
        <v/>
      </c>
      <c r="K248" s="44" t="str">
        <f t="shared" si="19"/>
        <v xml:space="preserve">LYSE - </v>
      </c>
      <c r="L248" s="44" t="e">
        <f>+VLOOKUP(K248,TL[],4,FALSE)</f>
        <v>#N/A</v>
      </c>
    </row>
    <row r="249" spans="7:12" x14ac:dyDescent="0.2">
      <c r="G249" s="223">
        <f t="shared" si="16"/>
        <v>0</v>
      </c>
      <c r="H249" s="223">
        <f t="shared" si="17"/>
        <v>0</v>
      </c>
      <c r="I249" s="224">
        <f>IF(A249="Total",VLOOKUP(B249,CORRESPONDANCE[#All],2,FALSE),I250)</f>
        <v>0</v>
      </c>
      <c r="J249" s="44" t="str">
        <f t="shared" si="18"/>
        <v/>
      </c>
      <c r="K249" s="44" t="str">
        <f t="shared" si="19"/>
        <v xml:space="preserve">LYSE - </v>
      </c>
      <c r="L249" s="44" t="e">
        <f>+VLOOKUP(K249,TL[],4,FALSE)</f>
        <v>#N/A</v>
      </c>
    </row>
    <row r="250" spans="7:12" x14ac:dyDescent="0.2">
      <c r="G250" s="223">
        <f t="shared" si="16"/>
        <v>0</v>
      </c>
      <c r="H250" s="223">
        <f t="shared" si="17"/>
        <v>0</v>
      </c>
      <c r="I250" s="224">
        <f>IF(A250="Total",VLOOKUP(B250,CORRESPONDANCE[#All],2,FALSE),I251)</f>
        <v>0</v>
      </c>
      <c r="J250" s="44" t="str">
        <f t="shared" si="18"/>
        <v/>
      </c>
      <c r="K250" s="44" t="str">
        <f t="shared" si="19"/>
        <v xml:space="preserve">LYSE - </v>
      </c>
      <c r="L250" s="44" t="e">
        <f>+VLOOKUP(K250,TL[],4,FALSE)</f>
        <v>#N/A</v>
      </c>
    </row>
    <row r="251" spans="7:12" x14ac:dyDescent="0.2">
      <c r="G251" s="223">
        <f t="shared" si="16"/>
        <v>0</v>
      </c>
      <c r="H251" s="223">
        <f t="shared" si="17"/>
        <v>0</v>
      </c>
      <c r="I251" s="224">
        <f>IF(A251="Total",VLOOKUP(B251,CORRESPONDANCE[#All],2,FALSE),I252)</f>
        <v>0</v>
      </c>
      <c r="J251" s="44" t="str">
        <f t="shared" si="18"/>
        <v/>
      </c>
      <c r="K251" s="44" t="str">
        <f t="shared" si="19"/>
        <v xml:space="preserve">LYSE - </v>
      </c>
      <c r="L251" s="44" t="e">
        <f>+VLOOKUP(K251,TL[],4,FALSE)</f>
        <v>#N/A</v>
      </c>
    </row>
    <row r="252" spans="7:12" x14ac:dyDescent="0.2">
      <c r="G252" s="223">
        <f t="shared" si="16"/>
        <v>0</v>
      </c>
      <c r="H252" s="223">
        <f t="shared" si="17"/>
        <v>0</v>
      </c>
      <c r="I252" s="224">
        <f>IF(A252="Total",VLOOKUP(B252,CORRESPONDANCE[#All],2,FALSE),I253)</f>
        <v>0</v>
      </c>
      <c r="J252" s="44" t="str">
        <f t="shared" si="18"/>
        <v/>
      </c>
      <c r="K252" s="44" t="str">
        <f t="shared" si="19"/>
        <v xml:space="preserve">LYSE - </v>
      </c>
      <c r="L252" s="44" t="e">
        <f>+VLOOKUP(K252,TL[],4,FALSE)</f>
        <v>#N/A</v>
      </c>
    </row>
    <row r="253" spans="7:12" x14ac:dyDescent="0.2">
      <c r="G253" s="223">
        <f t="shared" si="16"/>
        <v>0</v>
      </c>
      <c r="H253" s="223">
        <f t="shared" si="17"/>
        <v>0</v>
      </c>
      <c r="I253" s="224">
        <f>IF(A253="Total",VLOOKUP(B253,CORRESPONDANCE[#All],2,FALSE),I254)</f>
        <v>0</v>
      </c>
      <c r="J253" s="44" t="str">
        <f t="shared" si="18"/>
        <v/>
      </c>
      <c r="K253" s="44" t="str">
        <f t="shared" si="19"/>
        <v xml:space="preserve">LYSE - </v>
      </c>
      <c r="L253" s="44" t="e">
        <f>+VLOOKUP(K253,TL[],4,FALSE)</f>
        <v>#N/A</v>
      </c>
    </row>
    <row r="254" spans="7:12" x14ac:dyDescent="0.2">
      <c r="G254" s="223">
        <f t="shared" si="16"/>
        <v>0</v>
      </c>
      <c r="H254" s="223">
        <f t="shared" si="17"/>
        <v>0</v>
      </c>
      <c r="I254" s="224">
        <f>IF(A254="Total",VLOOKUP(B254,CORRESPONDANCE[#All],2,FALSE),I255)</f>
        <v>0</v>
      </c>
      <c r="J254" s="44" t="str">
        <f t="shared" si="18"/>
        <v/>
      </c>
      <c r="K254" s="44" t="str">
        <f t="shared" si="19"/>
        <v xml:space="preserve">LYSE - </v>
      </c>
      <c r="L254" s="44" t="e">
        <f>+VLOOKUP(K254,TL[],4,FALSE)</f>
        <v>#N/A</v>
      </c>
    </row>
    <row r="255" spans="7:12" x14ac:dyDescent="0.2">
      <c r="G255" s="223">
        <f t="shared" si="16"/>
        <v>0</v>
      </c>
      <c r="H255" s="223">
        <f t="shared" si="17"/>
        <v>0</v>
      </c>
      <c r="I255" s="224">
        <f>IF(A255="Total",VLOOKUP(B255,CORRESPONDANCE[#All],2,FALSE),I256)</f>
        <v>0</v>
      </c>
      <c r="J255" s="44" t="str">
        <f t="shared" si="18"/>
        <v/>
      </c>
      <c r="K255" s="44" t="str">
        <f t="shared" si="19"/>
        <v xml:space="preserve">LYSE - </v>
      </c>
      <c r="L255" s="44" t="e">
        <f>+VLOOKUP(K255,TL[],4,FALSE)</f>
        <v>#N/A</v>
      </c>
    </row>
    <row r="256" spans="7:12" x14ac:dyDescent="0.2">
      <c r="G256" s="223">
        <f t="shared" si="16"/>
        <v>0</v>
      </c>
      <c r="H256" s="223">
        <f t="shared" si="17"/>
        <v>0</v>
      </c>
      <c r="I256" s="224">
        <f>IF(A256="Total",VLOOKUP(B256,CORRESPONDANCE[#All],2,FALSE),I257)</f>
        <v>0</v>
      </c>
      <c r="J256" s="44" t="str">
        <f t="shared" si="18"/>
        <v/>
      </c>
      <c r="K256" s="44" t="str">
        <f t="shared" si="19"/>
        <v xml:space="preserve">LYSE - </v>
      </c>
      <c r="L256" s="44" t="e">
        <f>+VLOOKUP(K256,TL[],4,FALSE)</f>
        <v>#N/A</v>
      </c>
    </row>
    <row r="257" spans="7:12" x14ac:dyDescent="0.2">
      <c r="G257" s="223">
        <f t="shared" si="16"/>
        <v>0</v>
      </c>
      <c r="H257" s="223">
        <f t="shared" si="17"/>
        <v>0</v>
      </c>
      <c r="I257" s="224">
        <f>IF(A257="Total",VLOOKUP(B257,CORRESPONDANCE[#All],2,FALSE),I258)</f>
        <v>0</v>
      </c>
      <c r="J257" s="44" t="str">
        <f t="shared" si="18"/>
        <v/>
      </c>
      <c r="K257" s="44" t="str">
        <f t="shared" si="19"/>
        <v xml:space="preserve">LYSE - </v>
      </c>
      <c r="L257" s="44" t="e">
        <f>+VLOOKUP(K257,TL[],4,FALSE)</f>
        <v>#N/A</v>
      </c>
    </row>
    <row r="258" spans="7:12" x14ac:dyDescent="0.2">
      <c r="G258" s="223">
        <f t="shared" si="16"/>
        <v>0</v>
      </c>
      <c r="H258" s="223">
        <f t="shared" si="17"/>
        <v>0</v>
      </c>
      <c r="I258" s="224">
        <f>IF(A258="Total",VLOOKUP(B258,CORRESPONDANCE[#All],2,FALSE),I259)</f>
        <v>0</v>
      </c>
      <c r="J258" s="44" t="str">
        <f t="shared" si="18"/>
        <v/>
      </c>
      <c r="K258" s="44" t="str">
        <f t="shared" si="19"/>
        <v xml:space="preserve">LYSE - </v>
      </c>
      <c r="L258" s="44" t="e">
        <f>+VLOOKUP(K258,TL[],4,FALSE)</f>
        <v>#N/A</v>
      </c>
    </row>
    <row r="259" spans="7:12" x14ac:dyDescent="0.2">
      <c r="G259" s="223">
        <f t="shared" si="16"/>
        <v>0</v>
      </c>
      <c r="H259" s="223">
        <f t="shared" si="17"/>
        <v>0</v>
      </c>
      <c r="I259" s="224">
        <f>IF(A259="Total",VLOOKUP(B259,CORRESPONDANCE[#All],2,FALSE),I260)</f>
        <v>0</v>
      </c>
      <c r="J259" s="44" t="str">
        <f t="shared" si="18"/>
        <v/>
      </c>
      <c r="K259" s="44" t="str">
        <f t="shared" si="19"/>
        <v xml:space="preserve">LYSE - </v>
      </c>
      <c r="L259" s="44" t="e">
        <f>+VLOOKUP(K259,TL[],4,FALSE)</f>
        <v>#N/A</v>
      </c>
    </row>
    <row r="260" spans="7:12" x14ac:dyDescent="0.2">
      <c r="G260" s="223">
        <f t="shared" si="16"/>
        <v>0</v>
      </c>
      <c r="H260" s="223">
        <f t="shared" si="17"/>
        <v>0</v>
      </c>
      <c r="I260" s="224">
        <f>IF(A260="Total",VLOOKUP(B260,CORRESPONDANCE[#All],2,FALSE),I261)</f>
        <v>0</v>
      </c>
      <c r="J260" s="44" t="str">
        <f t="shared" si="18"/>
        <v/>
      </c>
      <c r="K260" s="44" t="str">
        <f t="shared" si="19"/>
        <v xml:space="preserve">LYSE - </v>
      </c>
      <c r="L260" s="44" t="e">
        <f>+VLOOKUP(K260,TL[],4,FALSE)</f>
        <v>#N/A</v>
      </c>
    </row>
    <row r="261" spans="7:12" x14ac:dyDescent="0.2">
      <c r="G261" s="223">
        <f t="shared" si="16"/>
        <v>0</v>
      </c>
      <c r="H261" s="223">
        <f t="shared" si="17"/>
        <v>0</v>
      </c>
      <c r="I261" s="224">
        <f>IF(A261="Total",VLOOKUP(B261,CORRESPONDANCE[#All],2,FALSE),I262)</f>
        <v>0</v>
      </c>
      <c r="J261" s="44" t="str">
        <f t="shared" si="18"/>
        <v/>
      </c>
      <c r="K261" s="44" t="str">
        <f t="shared" si="19"/>
        <v xml:space="preserve">LYSE - </v>
      </c>
      <c r="L261" s="44" t="e">
        <f>+VLOOKUP(K261,TL[],4,FALSE)</f>
        <v>#N/A</v>
      </c>
    </row>
    <row r="262" spans="7:12" x14ac:dyDescent="0.2">
      <c r="G262" s="223">
        <f t="shared" si="16"/>
        <v>0</v>
      </c>
      <c r="H262" s="223">
        <f t="shared" si="17"/>
        <v>0</v>
      </c>
      <c r="I262" s="224">
        <f>IF(A262="Total",VLOOKUP(B262,CORRESPONDANCE[#All],2,FALSE),I263)</f>
        <v>0</v>
      </c>
      <c r="J262" s="44" t="str">
        <f t="shared" si="18"/>
        <v/>
      </c>
      <c r="K262" s="44" t="str">
        <f t="shared" si="19"/>
        <v xml:space="preserve">LYSE - </v>
      </c>
      <c r="L262" s="44" t="e">
        <f>+VLOOKUP(K262,TL[],4,FALSE)</f>
        <v>#N/A</v>
      </c>
    </row>
    <row r="263" spans="7:12" x14ac:dyDescent="0.2">
      <c r="G263" s="223">
        <f t="shared" si="16"/>
        <v>0</v>
      </c>
      <c r="H263" s="223">
        <f t="shared" si="17"/>
        <v>0</v>
      </c>
      <c r="I263" s="224">
        <f>IF(A263="Total",VLOOKUP(B263,CORRESPONDANCE[#All],2,FALSE),I264)</f>
        <v>0</v>
      </c>
      <c r="J263" s="44" t="str">
        <f t="shared" si="18"/>
        <v/>
      </c>
      <c r="K263" s="44" t="str">
        <f t="shared" si="19"/>
        <v xml:space="preserve">LYSE - </v>
      </c>
      <c r="L263" s="44" t="e">
        <f>+VLOOKUP(K263,TL[],4,FALSE)</f>
        <v>#N/A</v>
      </c>
    </row>
    <row r="264" spans="7:12" x14ac:dyDescent="0.2">
      <c r="G264" s="223">
        <f t="shared" si="16"/>
        <v>0</v>
      </c>
      <c r="H264" s="223">
        <f t="shared" si="17"/>
        <v>0</v>
      </c>
      <c r="I264" s="224">
        <f>IF(A264="Total",VLOOKUP(B264,CORRESPONDANCE[#All],2,FALSE),I265)</f>
        <v>0</v>
      </c>
      <c r="J264" s="44" t="str">
        <f t="shared" si="18"/>
        <v/>
      </c>
      <c r="K264" s="44" t="str">
        <f t="shared" si="19"/>
        <v xml:space="preserve">LYSE - </v>
      </c>
      <c r="L264" s="44" t="e">
        <f>+VLOOKUP(K264,TL[],4,FALSE)</f>
        <v>#N/A</v>
      </c>
    </row>
    <row r="265" spans="7:12" x14ac:dyDescent="0.2">
      <c r="G265" s="223">
        <f t="shared" si="16"/>
        <v>0</v>
      </c>
      <c r="H265" s="223">
        <f t="shared" si="17"/>
        <v>0</v>
      </c>
      <c r="I265" s="224">
        <f>IF(A265="Total",VLOOKUP(B265,CORRESPONDANCE[#All],2,FALSE),I266)</f>
        <v>0</v>
      </c>
      <c r="J265" s="44" t="str">
        <f t="shared" si="18"/>
        <v/>
      </c>
      <c r="K265" s="44" t="str">
        <f t="shared" si="19"/>
        <v xml:space="preserve">LYSE - </v>
      </c>
      <c r="L265" s="44" t="e">
        <f>+VLOOKUP(K265,TL[],4,FALSE)</f>
        <v>#N/A</v>
      </c>
    </row>
    <row r="266" spans="7:12" x14ac:dyDescent="0.2">
      <c r="G266" s="223">
        <f t="shared" si="16"/>
        <v>0</v>
      </c>
      <c r="H266" s="223">
        <f t="shared" si="17"/>
        <v>0</v>
      </c>
      <c r="I266" s="224">
        <f>IF(A266="Total",VLOOKUP(B266,CORRESPONDANCE[#All],2,FALSE),I267)</f>
        <v>0</v>
      </c>
      <c r="J266" s="44" t="str">
        <f t="shared" si="18"/>
        <v/>
      </c>
      <c r="K266" s="44" t="str">
        <f t="shared" si="19"/>
        <v xml:space="preserve">LYSE - </v>
      </c>
      <c r="L266" s="44" t="e">
        <f>+VLOOKUP(K266,TL[],4,FALSE)</f>
        <v>#N/A</v>
      </c>
    </row>
    <row r="267" spans="7:12" x14ac:dyDescent="0.2">
      <c r="G267" s="223">
        <f t="shared" si="16"/>
        <v>0</v>
      </c>
      <c r="H267" s="223">
        <f t="shared" si="17"/>
        <v>0</v>
      </c>
      <c r="I267" s="224">
        <f>IF(A267="Total",VLOOKUP(B267,CORRESPONDANCE[#All],2,FALSE),I268)</f>
        <v>0</v>
      </c>
      <c r="J267" s="44" t="str">
        <f t="shared" si="18"/>
        <v/>
      </c>
      <c r="K267" s="44" t="str">
        <f t="shared" si="19"/>
        <v xml:space="preserve">LYSE - </v>
      </c>
      <c r="L267" s="44" t="e">
        <f>+VLOOKUP(K267,TL[],4,FALSE)</f>
        <v>#N/A</v>
      </c>
    </row>
    <row r="268" spans="7:12" x14ac:dyDescent="0.2">
      <c r="G268" s="223">
        <f t="shared" si="16"/>
        <v>0</v>
      </c>
      <c r="H268" s="223">
        <f t="shared" si="17"/>
        <v>0</v>
      </c>
      <c r="I268" s="224">
        <f>IF(A268="Total",VLOOKUP(B268,CORRESPONDANCE[#All],2,FALSE),I269)</f>
        <v>0</v>
      </c>
      <c r="J268" s="44" t="str">
        <f t="shared" si="18"/>
        <v/>
      </c>
      <c r="K268" s="44" t="str">
        <f t="shared" si="19"/>
        <v xml:space="preserve">LYSE - </v>
      </c>
      <c r="L268" s="44" t="e">
        <f>+VLOOKUP(K268,TL[],4,FALSE)</f>
        <v>#N/A</v>
      </c>
    </row>
    <row r="269" spans="7:12" x14ac:dyDescent="0.2">
      <c r="G269" s="223">
        <f t="shared" si="16"/>
        <v>0</v>
      </c>
      <c r="H269" s="223">
        <f t="shared" si="17"/>
        <v>0</v>
      </c>
      <c r="I269" s="224">
        <f>IF(A269="Total",VLOOKUP(B269,CORRESPONDANCE[#All],2,FALSE),I270)</f>
        <v>0</v>
      </c>
      <c r="J269" s="44" t="str">
        <f t="shared" si="18"/>
        <v/>
      </c>
      <c r="K269" s="44" t="str">
        <f t="shared" si="19"/>
        <v xml:space="preserve">LYSE - </v>
      </c>
      <c r="L269" s="44" t="e">
        <f>+VLOOKUP(K269,TL[],4,FALSE)</f>
        <v>#N/A</v>
      </c>
    </row>
    <row r="270" spans="7:12" x14ac:dyDescent="0.2">
      <c r="G270" s="223">
        <f t="shared" si="16"/>
        <v>0</v>
      </c>
      <c r="H270" s="223">
        <f t="shared" si="17"/>
        <v>0</v>
      </c>
      <c r="I270" s="224">
        <f>IF(A270="Total",VLOOKUP(B270,CORRESPONDANCE[#All],2,FALSE),I271)</f>
        <v>0</v>
      </c>
      <c r="J270" s="44" t="str">
        <f t="shared" si="18"/>
        <v/>
      </c>
      <c r="K270" s="44" t="str">
        <f t="shared" si="19"/>
        <v xml:space="preserve">LYSE - </v>
      </c>
      <c r="L270" s="44" t="e">
        <f>+VLOOKUP(K270,TL[],4,FALSE)</f>
        <v>#N/A</v>
      </c>
    </row>
    <row r="271" spans="7:12" x14ac:dyDescent="0.2">
      <c r="G271" s="223">
        <f t="shared" si="16"/>
        <v>0</v>
      </c>
      <c r="H271" s="223">
        <f t="shared" si="17"/>
        <v>0</v>
      </c>
      <c r="I271" s="224">
        <f>IF(A271="Total",VLOOKUP(B271,CORRESPONDANCE[#All],2,FALSE),I272)</f>
        <v>0</v>
      </c>
      <c r="J271" s="44" t="str">
        <f t="shared" si="18"/>
        <v/>
      </c>
      <c r="K271" s="44" t="str">
        <f t="shared" si="19"/>
        <v xml:space="preserve">LYSE - </v>
      </c>
      <c r="L271" s="44" t="e">
        <f>+VLOOKUP(K271,TL[],4,FALSE)</f>
        <v>#N/A</v>
      </c>
    </row>
    <row r="272" spans="7:12" x14ac:dyDescent="0.2">
      <c r="G272" s="223">
        <f t="shared" si="16"/>
        <v>0</v>
      </c>
      <c r="H272" s="223">
        <f t="shared" si="17"/>
        <v>0</v>
      </c>
      <c r="I272" s="224">
        <f>IF(A272="Total",VLOOKUP(B272,CORRESPONDANCE[#All],2,FALSE),I273)</f>
        <v>0</v>
      </c>
      <c r="J272" s="44" t="str">
        <f t="shared" si="18"/>
        <v/>
      </c>
      <c r="K272" s="44" t="str">
        <f t="shared" si="19"/>
        <v xml:space="preserve">LYSE - </v>
      </c>
      <c r="L272" s="44" t="e">
        <f>+VLOOKUP(K272,TL[],4,FALSE)</f>
        <v>#N/A</v>
      </c>
    </row>
    <row r="273" spans="7:12" x14ac:dyDescent="0.2">
      <c r="G273" s="223">
        <f t="shared" si="16"/>
        <v>0</v>
      </c>
      <c r="H273" s="223">
        <f t="shared" si="17"/>
        <v>0</v>
      </c>
      <c r="I273" s="224">
        <f>IF(A273="Total",VLOOKUP(B273,CORRESPONDANCE[#All],2,FALSE),I274)</f>
        <v>0</v>
      </c>
      <c r="J273" s="44" t="str">
        <f t="shared" si="18"/>
        <v/>
      </c>
      <c r="K273" s="44" t="str">
        <f t="shared" si="19"/>
        <v xml:space="preserve">LYSE - </v>
      </c>
      <c r="L273" s="44" t="e">
        <f>+VLOOKUP(K273,TL[],4,FALSE)</f>
        <v>#N/A</v>
      </c>
    </row>
    <row r="274" spans="7:12" x14ac:dyDescent="0.2">
      <c r="G274" s="223">
        <f t="shared" si="16"/>
        <v>0</v>
      </c>
      <c r="H274" s="223">
        <f t="shared" si="17"/>
        <v>0</v>
      </c>
      <c r="I274" s="224">
        <f>IF(A274="Total",VLOOKUP(B274,CORRESPONDANCE[#All],2,FALSE),I275)</f>
        <v>0</v>
      </c>
      <c r="J274" s="44" t="str">
        <f t="shared" si="18"/>
        <v/>
      </c>
      <c r="K274" s="44" t="str">
        <f t="shared" si="19"/>
        <v xml:space="preserve">LYSE - </v>
      </c>
      <c r="L274" s="44" t="e">
        <f>+VLOOKUP(K274,TL[],4,FALSE)</f>
        <v>#N/A</v>
      </c>
    </row>
    <row r="275" spans="7:12" x14ac:dyDescent="0.2">
      <c r="G275" s="223">
        <f t="shared" si="16"/>
        <v>0</v>
      </c>
      <c r="H275" s="223">
        <f t="shared" si="17"/>
        <v>0</v>
      </c>
      <c r="I275" s="224">
        <f>IF(A275="Total",VLOOKUP(B275,CORRESPONDANCE[#All],2,FALSE),I276)</f>
        <v>0</v>
      </c>
      <c r="J275" s="44" t="str">
        <f t="shared" si="18"/>
        <v/>
      </c>
      <c r="K275" s="44" t="str">
        <f t="shared" si="19"/>
        <v xml:space="preserve">LYSE - </v>
      </c>
      <c r="L275" s="44" t="e">
        <f>+VLOOKUP(K275,TL[],4,FALSE)</f>
        <v>#N/A</v>
      </c>
    </row>
    <row r="276" spans="7:12" x14ac:dyDescent="0.2">
      <c r="G276" s="223">
        <f t="shared" si="16"/>
        <v>0</v>
      </c>
      <c r="H276" s="223">
        <f t="shared" si="17"/>
        <v>0</v>
      </c>
      <c r="I276" s="224">
        <f>IF(A276="Total",VLOOKUP(B276,CORRESPONDANCE[#All],2,FALSE),I277)</f>
        <v>0</v>
      </c>
      <c r="J276" s="44" t="str">
        <f t="shared" si="18"/>
        <v/>
      </c>
      <c r="K276" s="44" t="str">
        <f t="shared" si="19"/>
        <v xml:space="preserve">LYSE - </v>
      </c>
      <c r="L276" s="44" t="e">
        <f>+VLOOKUP(K276,TL[],4,FALSE)</f>
        <v>#N/A</v>
      </c>
    </row>
    <row r="277" spans="7:12" x14ac:dyDescent="0.2">
      <c r="G277" s="223">
        <f t="shared" si="16"/>
        <v>0</v>
      </c>
      <c r="H277" s="223">
        <f t="shared" si="17"/>
        <v>0</v>
      </c>
      <c r="I277" s="224">
        <f>IF(A277="Total",VLOOKUP(B277,CORRESPONDANCE[#All],2,FALSE),I278)</f>
        <v>0</v>
      </c>
      <c r="J277" s="44" t="str">
        <f t="shared" si="18"/>
        <v/>
      </c>
      <c r="K277" s="44" t="str">
        <f t="shared" si="19"/>
        <v xml:space="preserve">LYSE - </v>
      </c>
      <c r="L277" s="44" t="e">
        <f>+VLOOKUP(K277,TL[],4,FALSE)</f>
        <v>#N/A</v>
      </c>
    </row>
    <row r="278" spans="7:12" x14ac:dyDescent="0.2">
      <c r="G278" s="223">
        <f t="shared" si="16"/>
        <v>0</v>
      </c>
      <c r="H278" s="223">
        <f t="shared" si="17"/>
        <v>0</v>
      </c>
      <c r="I278" s="224">
        <f>IF(A278="Total",VLOOKUP(B278,CORRESPONDANCE[#All],2,FALSE),I279)</f>
        <v>0</v>
      </c>
      <c r="J278" s="44" t="str">
        <f t="shared" si="18"/>
        <v/>
      </c>
      <c r="K278" s="44" t="str">
        <f t="shared" si="19"/>
        <v xml:space="preserve">LYSE - </v>
      </c>
      <c r="L278" s="44" t="e">
        <f>+VLOOKUP(K278,TL[],4,FALSE)</f>
        <v>#N/A</v>
      </c>
    </row>
    <row r="279" spans="7:12" x14ac:dyDescent="0.2">
      <c r="G279" s="223">
        <f t="shared" si="16"/>
        <v>0</v>
      </c>
      <c r="H279" s="223">
        <f t="shared" si="17"/>
        <v>0</v>
      </c>
      <c r="I279" s="224">
        <f>IF(A279="Total",VLOOKUP(B279,CORRESPONDANCE[#All],2,FALSE),I280)</f>
        <v>0</v>
      </c>
      <c r="J279" s="44" t="str">
        <f t="shared" si="18"/>
        <v/>
      </c>
      <c r="K279" s="44" t="str">
        <f t="shared" si="19"/>
        <v xml:space="preserve">LYSE - </v>
      </c>
      <c r="L279" s="44" t="e">
        <f>+VLOOKUP(K279,TL[],4,FALSE)</f>
        <v>#N/A</v>
      </c>
    </row>
    <row r="280" spans="7:12" x14ac:dyDescent="0.2">
      <c r="G280" s="223">
        <f t="shared" si="16"/>
        <v>0</v>
      </c>
      <c r="H280" s="223">
        <f t="shared" si="17"/>
        <v>0</v>
      </c>
      <c r="I280" s="224">
        <f>IF(A280="Total",VLOOKUP(B280,CORRESPONDANCE[#All],2,FALSE),I281)</f>
        <v>0</v>
      </c>
      <c r="J280" s="44" t="str">
        <f t="shared" si="18"/>
        <v/>
      </c>
      <c r="K280" s="44" t="str">
        <f t="shared" si="19"/>
        <v xml:space="preserve">LYSE - </v>
      </c>
      <c r="L280" s="44" t="e">
        <f>+VLOOKUP(K280,TL[],4,FALSE)</f>
        <v>#N/A</v>
      </c>
    </row>
    <row r="281" spans="7:12" x14ac:dyDescent="0.2">
      <c r="G281" s="223">
        <f t="shared" si="16"/>
        <v>0</v>
      </c>
      <c r="H281" s="223">
        <f t="shared" si="17"/>
        <v>0</v>
      </c>
      <c r="I281" s="224">
        <f>IF(A281="Total",VLOOKUP(B281,CORRESPONDANCE[#All],2,FALSE),I282)</f>
        <v>0</v>
      </c>
      <c r="J281" s="44" t="str">
        <f t="shared" si="18"/>
        <v/>
      </c>
      <c r="K281" s="44" t="str">
        <f t="shared" si="19"/>
        <v xml:space="preserve">LYSE - </v>
      </c>
      <c r="L281" s="44" t="e">
        <f>+VLOOKUP(K281,TL[],4,FALSE)</f>
        <v>#N/A</v>
      </c>
    </row>
    <row r="282" spans="7:12" x14ac:dyDescent="0.2">
      <c r="G282" s="223">
        <f t="shared" si="16"/>
        <v>0</v>
      </c>
      <c r="H282" s="223">
        <f t="shared" si="17"/>
        <v>0</v>
      </c>
      <c r="I282" s="224">
        <f>IF(A282="Total",VLOOKUP(B282,CORRESPONDANCE[#All],2,FALSE),I283)</f>
        <v>0</v>
      </c>
      <c r="J282" s="44" t="str">
        <f t="shared" si="18"/>
        <v/>
      </c>
      <c r="K282" s="44" t="str">
        <f t="shared" si="19"/>
        <v xml:space="preserve">LYSE - </v>
      </c>
      <c r="L282" s="44" t="e">
        <f>+VLOOKUP(K282,TL[],4,FALSE)</f>
        <v>#N/A</v>
      </c>
    </row>
    <row r="283" spans="7:12" x14ac:dyDescent="0.2">
      <c r="G283" s="223">
        <f t="shared" si="16"/>
        <v>0</v>
      </c>
      <c r="H283" s="223">
        <f t="shared" si="17"/>
        <v>0</v>
      </c>
      <c r="I283" s="224">
        <f>IF(A283="Total",VLOOKUP(B283,CORRESPONDANCE[#All],2,FALSE),I284)</f>
        <v>0</v>
      </c>
      <c r="J283" s="44" t="str">
        <f t="shared" si="18"/>
        <v/>
      </c>
      <c r="K283" s="44" t="str">
        <f t="shared" si="19"/>
        <v xml:space="preserve">LYSE - </v>
      </c>
      <c r="L283" s="44" t="e">
        <f>+VLOOKUP(K283,TL[],4,FALSE)</f>
        <v>#N/A</v>
      </c>
    </row>
    <row r="284" spans="7:12" x14ac:dyDescent="0.2">
      <c r="G284" s="223">
        <f t="shared" si="16"/>
        <v>0</v>
      </c>
      <c r="H284" s="223">
        <f t="shared" si="17"/>
        <v>0</v>
      </c>
      <c r="I284" s="224">
        <f>IF(A284="Total",VLOOKUP(B284,CORRESPONDANCE[#All],2,FALSE),I285)</f>
        <v>0</v>
      </c>
      <c r="J284" s="44" t="str">
        <f t="shared" si="18"/>
        <v/>
      </c>
      <c r="K284" s="44" t="str">
        <f t="shared" si="19"/>
        <v xml:space="preserve">LYSE - </v>
      </c>
      <c r="L284" s="44" t="e">
        <f>+VLOOKUP(K284,TL[],4,FALSE)</f>
        <v>#N/A</v>
      </c>
    </row>
    <row r="285" spans="7:12" x14ac:dyDescent="0.2">
      <c r="G285" s="223">
        <f t="shared" si="16"/>
        <v>0</v>
      </c>
      <c r="H285" s="223">
        <f t="shared" si="17"/>
        <v>0</v>
      </c>
      <c r="I285" s="224">
        <f>IF(A285="Total",VLOOKUP(B285,CORRESPONDANCE[#All],2,FALSE),I286)</f>
        <v>0</v>
      </c>
      <c r="J285" s="44" t="str">
        <f t="shared" si="18"/>
        <v/>
      </c>
      <c r="K285" s="44" t="str">
        <f t="shared" si="19"/>
        <v xml:space="preserve">LYSE - </v>
      </c>
      <c r="L285" s="44" t="e">
        <f>+VLOOKUP(K285,TL[],4,FALSE)</f>
        <v>#N/A</v>
      </c>
    </row>
    <row r="286" spans="7:12" x14ac:dyDescent="0.2">
      <c r="G286" s="223">
        <f t="shared" si="16"/>
        <v>0</v>
      </c>
      <c r="H286" s="223">
        <f t="shared" si="17"/>
        <v>0</v>
      </c>
      <c r="I286" s="224">
        <f>IF(A286="Total",VLOOKUP(B286,CORRESPONDANCE[#All],2,FALSE),I287)</f>
        <v>0</v>
      </c>
      <c r="J286" s="44" t="str">
        <f t="shared" si="18"/>
        <v/>
      </c>
      <c r="K286" s="44" t="str">
        <f t="shared" si="19"/>
        <v xml:space="preserve">LYSE - </v>
      </c>
      <c r="L286" s="44" t="e">
        <f>+VLOOKUP(K286,TL[],4,FALSE)</f>
        <v>#N/A</v>
      </c>
    </row>
  </sheetData>
  <autoFilter ref="A1:L229" xr:uid="{BEB26E48-B1A4-4840-B14C-EA483E052F7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E41CB-5F6A-4B09-A90D-BA7A043A07C0}">
  <sheetPr>
    <tabColor theme="7" tint="0.59999389629810485"/>
  </sheetPr>
  <dimension ref="A1:J227"/>
  <sheetViews>
    <sheetView workbookViewId="0">
      <selection activeCell="C2" sqref="C2:C53"/>
    </sheetView>
  </sheetViews>
  <sheetFormatPr baseColWidth="10" defaultRowHeight="12.75" x14ac:dyDescent="0.2"/>
  <cols>
    <col min="2" max="2" width="35.28515625" bestFit="1" customWidth="1"/>
    <col min="3" max="3" width="12.140625" style="272" bestFit="1" customWidth="1"/>
    <col min="4" max="4" width="11.42578125" style="272"/>
    <col min="5" max="5" width="13.5703125" style="272" bestFit="1" customWidth="1"/>
    <col min="6" max="6" width="11.42578125" style="272"/>
    <col min="7" max="7" width="12.7109375" bestFit="1" customWidth="1"/>
    <col min="8" max="8" width="14.140625" bestFit="1" customWidth="1"/>
  </cols>
  <sheetData>
    <row r="1" spans="1:10" x14ac:dyDescent="0.2">
      <c r="A1" t="s">
        <v>6979</v>
      </c>
      <c r="B1" t="s">
        <v>6980</v>
      </c>
      <c r="G1" t="s">
        <v>2509</v>
      </c>
      <c r="H1" t="s">
        <v>2510</v>
      </c>
      <c r="I1" t="s">
        <v>2511</v>
      </c>
      <c r="J1" t="s">
        <v>2512</v>
      </c>
    </row>
    <row r="2" spans="1:10" x14ac:dyDescent="0.2">
      <c r="A2">
        <v>1</v>
      </c>
      <c r="B2" t="s">
        <v>3006</v>
      </c>
      <c r="C2" s="272">
        <v>463391.3</v>
      </c>
      <c r="E2" s="272">
        <v>463391.3</v>
      </c>
      <c r="G2">
        <f>-SUM(C2)+SUM(D2)</f>
        <v>-463391.3</v>
      </c>
      <c r="H2">
        <f>-SUM(E2)+SUM(F2)</f>
        <v>-463391.3</v>
      </c>
      <c r="I2">
        <v>1</v>
      </c>
      <c r="J2" t="s">
        <v>6978</v>
      </c>
    </row>
    <row r="3" spans="1:10" x14ac:dyDescent="0.2">
      <c r="A3">
        <v>2</v>
      </c>
      <c r="B3" t="s">
        <v>222</v>
      </c>
      <c r="C3" s="272">
        <v>456583.12</v>
      </c>
      <c r="E3" s="272">
        <v>456583.12</v>
      </c>
      <c r="G3">
        <f>-SUM(C3)+SUM(D3)</f>
        <v>-456583.12</v>
      </c>
      <c r="H3">
        <f>-SUM(E3)+SUM(F3)</f>
        <v>-456583.12</v>
      </c>
      <c r="I3">
        <v>2</v>
      </c>
      <c r="J3" t="s">
        <v>6978</v>
      </c>
    </row>
    <row r="4" spans="1:10" x14ac:dyDescent="0.2">
      <c r="A4">
        <v>3</v>
      </c>
      <c r="B4" t="s">
        <v>7021</v>
      </c>
      <c r="C4" s="272">
        <v>102230.68</v>
      </c>
      <c r="E4" s="272">
        <v>102230.68</v>
      </c>
      <c r="G4">
        <f>SUM(C4)-SUM(D4)</f>
        <v>102230.68</v>
      </c>
      <c r="H4">
        <f>SUM(E4)-SUM(F4)</f>
        <v>102230.68</v>
      </c>
      <c r="I4">
        <v>3</v>
      </c>
      <c r="J4" t="s">
        <v>6978</v>
      </c>
    </row>
    <row r="5" spans="1:10" x14ac:dyDescent="0.2">
      <c r="A5">
        <v>4</v>
      </c>
      <c r="B5" t="s">
        <v>517</v>
      </c>
      <c r="C5" s="272">
        <v>2311.5500000000002</v>
      </c>
      <c r="E5" s="272">
        <v>2311.5500000000002</v>
      </c>
      <c r="G5">
        <f t="shared" ref="G5:G53" si="0">SUM(C5)-SUM(D5)</f>
        <v>2311.5500000000002</v>
      </c>
      <c r="H5">
        <f>SUM(E5)-SUM(F5)</f>
        <v>2311.5500000000002</v>
      </c>
      <c r="I5">
        <v>4</v>
      </c>
      <c r="J5" t="s">
        <v>6978</v>
      </c>
    </row>
    <row r="6" spans="1:10" x14ac:dyDescent="0.2">
      <c r="A6">
        <v>5</v>
      </c>
      <c r="B6" t="s">
        <v>3008</v>
      </c>
      <c r="C6" s="272">
        <v>3055.25</v>
      </c>
      <c r="E6" s="272">
        <v>3055.25</v>
      </c>
      <c r="G6">
        <f t="shared" si="0"/>
        <v>3055.25</v>
      </c>
      <c r="H6">
        <f t="shared" ref="H6:H53" si="1">SUM(E6)-SUM(F6)</f>
        <v>3055.25</v>
      </c>
      <c r="I6">
        <v>5</v>
      </c>
      <c r="J6" t="s">
        <v>6978</v>
      </c>
    </row>
    <row r="7" spans="1:10" x14ac:dyDescent="0.2">
      <c r="A7">
        <v>6</v>
      </c>
      <c r="B7" t="s">
        <v>3009</v>
      </c>
      <c r="C7" s="272">
        <v>10912.77</v>
      </c>
      <c r="E7" s="272">
        <v>10912.77</v>
      </c>
      <c r="G7">
        <f t="shared" si="0"/>
        <v>10912.77</v>
      </c>
      <c r="H7">
        <f t="shared" si="1"/>
        <v>10912.77</v>
      </c>
      <c r="I7">
        <v>6</v>
      </c>
      <c r="J7" t="s">
        <v>6978</v>
      </c>
    </row>
    <row r="8" spans="1:10" x14ac:dyDescent="0.2">
      <c r="A8">
        <v>6.1</v>
      </c>
      <c r="B8" t="s">
        <v>2965</v>
      </c>
      <c r="C8" s="272">
        <v>-343.14</v>
      </c>
      <c r="E8" s="272">
        <v>-343.14</v>
      </c>
      <c r="G8">
        <f t="shared" si="0"/>
        <v>-343.14</v>
      </c>
      <c r="H8">
        <f t="shared" si="1"/>
        <v>-343.14</v>
      </c>
      <c r="I8" t="s">
        <v>2964</v>
      </c>
      <c r="J8" t="s">
        <v>6978</v>
      </c>
    </row>
    <row r="9" spans="1:10" x14ac:dyDescent="0.2">
      <c r="A9">
        <v>7</v>
      </c>
      <c r="B9" t="s">
        <v>3011</v>
      </c>
      <c r="C9" s="272">
        <v>338416.01</v>
      </c>
      <c r="E9" s="272">
        <v>338416.01</v>
      </c>
      <c r="G9">
        <f t="shared" si="0"/>
        <v>338416.01</v>
      </c>
      <c r="H9">
        <f t="shared" si="1"/>
        <v>338416.01</v>
      </c>
      <c r="I9">
        <v>7</v>
      </c>
      <c r="J9" t="s">
        <v>6978</v>
      </c>
    </row>
    <row r="10" spans="1:10" x14ac:dyDescent="0.2">
      <c r="A10">
        <v>8</v>
      </c>
      <c r="B10" t="s">
        <v>3012</v>
      </c>
      <c r="C10" s="272">
        <v>71165.5</v>
      </c>
      <c r="E10" s="272">
        <v>71165.5</v>
      </c>
      <c r="G10">
        <f t="shared" si="0"/>
        <v>71165.5</v>
      </c>
      <c r="H10">
        <f t="shared" si="1"/>
        <v>71165.5</v>
      </c>
      <c r="I10">
        <v>8</v>
      </c>
      <c r="J10" t="s">
        <v>6978</v>
      </c>
    </row>
    <row r="11" spans="1:10" x14ac:dyDescent="0.2">
      <c r="A11">
        <v>9</v>
      </c>
      <c r="B11" t="s">
        <v>3013</v>
      </c>
      <c r="C11" s="272">
        <v>10039.93</v>
      </c>
      <c r="E11" s="272">
        <v>10039.93</v>
      </c>
      <c r="G11">
        <f t="shared" si="0"/>
        <v>10039.93</v>
      </c>
      <c r="H11">
        <f t="shared" si="1"/>
        <v>10039.93</v>
      </c>
      <c r="I11">
        <v>9</v>
      </c>
      <c r="J11" t="s">
        <v>6978</v>
      </c>
    </row>
    <row r="12" spans="1:10" x14ac:dyDescent="0.2">
      <c r="A12">
        <v>10</v>
      </c>
      <c r="B12" t="s">
        <v>3014</v>
      </c>
      <c r="C12" s="272">
        <v>18858.77</v>
      </c>
      <c r="E12" s="272">
        <v>18858.77</v>
      </c>
      <c r="G12">
        <f t="shared" si="0"/>
        <v>18858.77</v>
      </c>
      <c r="H12">
        <f t="shared" si="1"/>
        <v>18858.77</v>
      </c>
      <c r="I12">
        <v>10</v>
      </c>
      <c r="J12" t="s">
        <v>6978</v>
      </c>
    </row>
    <row r="13" spans="1:10" x14ac:dyDescent="0.2">
      <c r="A13">
        <v>11</v>
      </c>
      <c r="B13" t="s">
        <v>3015</v>
      </c>
      <c r="C13" s="272">
        <v>5409.8</v>
      </c>
      <c r="E13" s="272">
        <v>5409.8</v>
      </c>
      <c r="G13">
        <f t="shared" si="0"/>
        <v>5409.8</v>
      </c>
      <c r="H13">
        <f t="shared" si="1"/>
        <v>5409.8</v>
      </c>
      <c r="I13">
        <v>11</v>
      </c>
      <c r="J13" t="s">
        <v>6978</v>
      </c>
    </row>
    <row r="14" spans="1:10" x14ac:dyDescent="0.2">
      <c r="A14">
        <v>12</v>
      </c>
      <c r="B14" t="s">
        <v>2969</v>
      </c>
      <c r="C14" s="272">
        <v>-500</v>
      </c>
      <c r="E14" s="272">
        <v>-500</v>
      </c>
      <c r="G14">
        <f t="shared" si="0"/>
        <v>-500</v>
      </c>
      <c r="H14">
        <f t="shared" si="1"/>
        <v>-500</v>
      </c>
      <c r="I14">
        <v>12</v>
      </c>
      <c r="J14" t="s">
        <v>6978</v>
      </c>
    </row>
    <row r="15" spans="1:10" x14ac:dyDescent="0.2">
      <c r="A15">
        <v>13</v>
      </c>
      <c r="B15" t="s">
        <v>2970</v>
      </c>
      <c r="C15" s="272">
        <v>0</v>
      </c>
      <c r="E15" s="272">
        <v>0</v>
      </c>
      <c r="G15">
        <f t="shared" si="0"/>
        <v>0</v>
      </c>
      <c r="H15">
        <f t="shared" si="1"/>
        <v>0</v>
      </c>
      <c r="I15">
        <v>13</v>
      </c>
      <c r="J15" t="s">
        <v>6978</v>
      </c>
    </row>
    <row r="16" spans="1:10" x14ac:dyDescent="0.2">
      <c r="A16">
        <v>14</v>
      </c>
      <c r="B16" t="s">
        <v>3017</v>
      </c>
      <c r="C16" s="272">
        <v>104974</v>
      </c>
      <c r="E16" s="272">
        <v>104974</v>
      </c>
      <c r="G16">
        <f t="shared" si="0"/>
        <v>104974</v>
      </c>
      <c r="H16">
        <f t="shared" si="1"/>
        <v>104974</v>
      </c>
      <c r="I16">
        <v>14</v>
      </c>
      <c r="J16" t="s">
        <v>6978</v>
      </c>
    </row>
    <row r="17" spans="1:10" x14ac:dyDescent="0.2">
      <c r="A17">
        <v>15</v>
      </c>
      <c r="B17" t="s">
        <v>2174</v>
      </c>
      <c r="C17" s="272">
        <v>10303.68</v>
      </c>
      <c r="E17" s="272">
        <v>10303.68</v>
      </c>
      <c r="G17">
        <f t="shared" si="0"/>
        <v>10303.68</v>
      </c>
      <c r="H17">
        <f t="shared" si="1"/>
        <v>10303.68</v>
      </c>
      <c r="I17">
        <v>15</v>
      </c>
      <c r="J17" t="s">
        <v>6978</v>
      </c>
    </row>
    <row r="18" spans="1:10" x14ac:dyDescent="0.2">
      <c r="A18">
        <v>16</v>
      </c>
      <c r="B18" t="s">
        <v>2972</v>
      </c>
      <c r="C18" s="272">
        <v>34.229999999999997</v>
      </c>
      <c r="E18" s="272">
        <v>34.229999999999997</v>
      </c>
      <c r="G18">
        <f t="shared" si="0"/>
        <v>34.229999999999997</v>
      </c>
      <c r="H18">
        <f t="shared" si="1"/>
        <v>34.229999999999997</v>
      </c>
      <c r="I18">
        <v>16</v>
      </c>
      <c r="J18" t="s">
        <v>6978</v>
      </c>
    </row>
    <row r="19" spans="1:10" x14ac:dyDescent="0.2">
      <c r="A19">
        <v>17</v>
      </c>
      <c r="B19" t="s">
        <v>2973</v>
      </c>
      <c r="C19" s="272">
        <v>4376.16</v>
      </c>
      <c r="E19" s="272">
        <v>4376.16</v>
      </c>
      <c r="G19">
        <f t="shared" si="0"/>
        <v>4376.16</v>
      </c>
      <c r="H19">
        <f t="shared" si="1"/>
        <v>4376.16</v>
      </c>
      <c r="I19">
        <v>17</v>
      </c>
      <c r="J19" t="s">
        <v>6978</v>
      </c>
    </row>
    <row r="20" spans="1:10" x14ac:dyDescent="0.2">
      <c r="A20">
        <v>18</v>
      </c>
      <c r="B20" t="s">
        <v>3018</v>
      </c>
      <c r="C20" s="272">
        <v>6206.35</v>
      </c>
      <c r="E20" s="272">
        <v>6206.35</v>
      </c>
      <c r="G20">
        <f t="shared" si="0"/>
        <v>6206.35</v>
      </c>
      <c r="H20">
        <f t="shared" si="1"/>
        <v>6206.35</v>
      </c>
      <c r="I20">
        <v>18</v>
      </c>
      <c r="J20" t="s">
        <v>6978</v>
      </c>
    </row>
    <row r="21" spans="1:10" x14ac:dyDescent="0.2">
      <c r="A21">
        <v>19</v>
      </c>
      <c r="B21" t="s">
        <v>2975</v>
      </c>
      <c r="C21" s="272">
        <v>4930.51</v>
      </c>
      <c r="E21" s="272">
        <v>4930.51</v>
      </c>
      <c r="G21">
        <f t="shared" si="0"/>
        <v>4930.51</v>
      </c>
      <c r="H21">
        <f t="shared" si="1"/>
        <v>4930.51</v>
      </c>
      <c r="I21">
        <v>19</v>
      </c>
      <c r="J21" t="s">
        <v>6978</v>
      </c>
    </row>
    <row r="22" spans="1:10" x14ac:dyDescent="0.2">
      <c r="A22">
        <v>20</v>
      </c>
      <c r="B22" t="s">
        <v>3019</v>
      </c>
      <c r="C22" s="272">
        <v>25850.93</v>
      </c>
      <c r="E22" s="272">
        <v>25850.93</v>
      </c>
      <c r="G22">
        <f t="shared" si="0"/>
        <v>25850.93</v>
      </c>
      <c r="H22">
        <f t="shared" si="1"/>
        <v>25850.93</v>
      </c>
      <c r="I22">
        <v>20</v>
      </c>
      <c r="J22" t="s">
        <v>6978</v>
      </c>
    </row>
    <row r="23" spans="1:10" x14ac:dyDescent="0.2">
      <c r="A23">
        <v>21</v>
      </c>
      <c r="B23" t="s">
        <v>2977</v>
      </c>
      <c r="C23" s="272">
        <v>11592.97</v>
      </c>
      <c r="E23" s="272">
        <v>11592.97</v>
      </c>
      <c r="G23">
        <f t="shared" si="0"/>
        <v>11592.97</v>
      </c>
      <c r="H23">
        <f t="shared" si="1"/>
        <v>11592.97</v>
      </c>
      <c r="I23">
        <v>21</v>
      </c>
      <c r="J23" t="s">
        <v>6978</v>
      </c>
    </row>
    <row r="24" spans="1:10" x14ac:dyDescent="0.2">
      <c r="A24">
        <v>22</v>
      </c>
      <c r="B24" t="s">
        <v>145</v>
      </c>
      <c r="C24" s="272">
        <v>18521.27</v>
      </c>
      <c r="E24" s="272">
        <v>18521.27</v>
      </c>
      <c r="G24">
        <f t="shared" si="0"/>
        <v>18521.27</v>
      </c>
      <c r="H24">
        <f t="shared" si="1"/>
        <v>18521.27</v>
      </c>
      <c r="I24">
        <v>22</v>
      </c>
      <c r="J24" t="s">
        <v>6978</v>
      </c>
    </row>
    <row r="25" spans="1:10" x14ac:dyDescent="0.2">
      <c r="A25">
        <v>23</v>
      </c>
      <c r="B25" t="s">
        <v>215</v>
      </c>
      <c r="C25" s="272">
        <v>6471.76</v>
      </c>
      <c r="E25" s="272">
        <v>6471.76</v>
      </c>
      <c r="G25">
        <f t="shared" si="0"/>
        <v>6471.76</v>
      </c>
      <c r="H25">
        <f t="shared" si="1"/>
        <v>6471.76</v>
      </c>
      <c r="I25">
        <v>23</v>
      </c>
      <c r="J25" t="s">
        <v>6978</v>
      </c>
    </row>
    <row r="26" spans="1:10" x14ac:dyDescent="0.2">
      <c r="A26">
        <v>24</v>
      </c>
      <c r="B26" t="s">
        <v>3020</v>
      </c>
      <c r="C26" s="272">
        <v>10280.16</v>
      </c>
      <c r="E26" s="272">
        <v>10280.16</v>
      </c>
      <c r="G26">
        <f t="shared" si="0"/>
        <v>10280.16</v>
      </c>
      <c r="H26">
        <f t="shared" si="1"/>
        <v>10280.16</v>
      </c>
      <c r="I26">
        <v>24</v>
      </c>
      <c r="J26" t="s">
        <v>6978</v>
      </c>
    </row>
    <row r="27" spans="1:10" x14ac:dyDescent="0.2">
      <c r="A27">
        <v>25</v>
      </c>
      <c r="B27" t="s">
        <v>3021</v>
      </c>
      <c r="C27" s="272">
        <v>4758.1000000000004</v>
      </c>
      <c r="E27" s="272">
        <v>4758.1000000000004</v>
      </c>
      <c r="G27">
        <f t="shared" si="0"/>
        <v>4758.1000000000004</v>
      </c>
      <c r="H27">
        <f t="shared" si="1"/>
        <v>4758.1000000000004</v>
      </c>
      <c r="I27">
        <v>25</v>
      </c>
      <c r="J27" t="s">
        <v>6978</v>
      </c>
    </row>
    <row r="28" spans="1:10" x14ac:dyDescent="0.2">
      <c r="A28">
        <v>26</v>
      </c>
      <c r="B28" t="s">
        <v>2981</v>
      </c>
      <c r="C28" s="272">
        <v>244.59</v>
      </c>
      <c r="E28" s="272">
        <v>244.59</v>
      </c>
      <c r="G28">
        <f t="shared" si="0"/>
        <v>244.59</v>
      </c>
      <c r="H28">
        <f t="shared" si="1"/>
        <v>244.59</v>
      </c>
      <c r="I28">
        <v>26</v>
      </c>
      <c r="J28" t="s">
        <v>6978</v>
      </c>
    </row>
    <row r="29" spans="1:10" x14ac:dyDescent="0.2">
      <c r="A29">
        <v>27</v>
      </c>
      <c r="B29" t="s">
        <v>33</v>
      </c>
      <c r="C29" s="272">
        <v>737.08</v>
      </c>
      <c r="E29" s="272">
        <v>737.08</v>
      </c>
      <c r="G29">
        <f t="shared" si="0"/>
        <v>737.08</v>
      </c>
      <c r="H29">
        <f t="shared" si="1"/>
        <v>737.08</v>
      </c>
      <c r="I29">
        <v>27</v>
      </c>
      <c r="J29" t="s">
        <v>6978</v>
      </c>
    </row>
    <row r="30" spans="1:10" x14ac:dyDescent="0.2">
      <c r="A30">
        <v>28</v>
      </c>
      <c r="B30" t="s">
        <v>3022</v>
      </c>
      <c r="C30" s="272">
        <v>154985.15000000002</v>
      </c>
      <c r="E30" s="272">
        <v>154985.15000000002</v>
      </c>
      <c r="G30">
        <f t="shared" si="0"/>
        <v>154985.15000000002</v>
      </c>
      <c r="H30">
        <f t="shared" si="1"/>
        <v>154985.15000000002</v>
      </c>
      <c r="I30">
        <v>28</v>
      </c>
      <c r="J30" t="s">
        <v>6978</v>
      </c>
    </row>
    <row r="31" spans="1:10" x14ac:dyDescent="0.2">
      <c r="A31">
        <v>29</v>
      </c>
      <c r="B31" t="s">
        <v>3023</v>
      </c>
      <c r="C31" s="272">
        <v>70348.47</v>
      </c>
      <c r="E31" s="272">
        <v>70348.47</v>
      </c>
      <c r="G31">
        <f t="shared" si="0"/>
        <v>70348.47</v>
      </c>
      <c r="H31">
        <f t="shared" si="1"/>
        <v>70348.47</v>
      </c>
      <c r="I31">
        <v>29</v>
      </c>
      <c r="J31" t="s">
        <v>6978</v>
      </c>
    </row>
    <row r="32" spans="1:10" x14ac:dyDescent="0.2">
      <c r="A32">
        <v>30</v>
      </c>
      <c r="B32" t="s">
        <v>2986</v>
      </c>
      <c r="C32" s="272">
        <v>0</v>
      </c>
      <c r="E32" s="272">
        <v>0</v>
      </c>
      <c r="G32">
        <f t="shared" si="0"/>
        <v>0</v>
      </c>
      <c r="H32">
        <f t="shared" si="1"/>
        <v>0</v>
      </c>
      <c r="I32">
        <v>30</v>
      </c>
      <c r="J32" t="s">
        <v>6978</v>
      </c>
    </row>
    <row r="33" spans="1:10" x14ac:dyDescent="0.2">
      <c r="A33">
        <v>31</v>
      </c>
      <c r="B33" t="s">
        <v>3024</v>
      </c>
      <c r="C33" s="272">
        <v>-2397.6799999999998</v>
      </c>
      <c r="E33" s="272">
        <v>-2397.6799999999998</v>
      </c>
      <c r="G33">
        <f t="shared" si="0"/>
        <v>-2397.6799999999998</v>
      </c>
      <c r="H33">
        <f t="shared" si="1"/>
        <v>-2397.6799999999998</v>
      </c>
      <c r="I33">
        <v>31</v>
      </c>
      <c r="J33" t="s">
        <v>6978</v>
      </c>
    </row>
    <row r="34" spans="1:10" x14ac:dyDescent="0.2">
      <c r="A34">
        <v>32</v>
      </c>
      <c r="B34" t="s">
        <v>3025</v>
      </c>
      <c r="C34" s="272">
        <v>67950.790000000008</v>
      </c>
      <c r="E34" s="272">
        <v>67950.790000000008</v>
      </c>
      <c r="G34">
        <f t="shared" si="0"/>
        <v>67950.790000000008</v>
      </c>
      <c r="H34">
        <f t="shared" si="1"/>
        <v>67950.790000000008</v>
      </c>
      <c r="I34">
        <v>32</v>
      </c>
      <c r="J34" t="s">
        <v>6978</v>
      </c>
    </row>
    <row r="35" spans="1:10" x14ac:dyDescent="0.2">
      <c r="A35">
        <v>33</v>
      </c>
      <c r="B35" t="s">
        <v>2989</v>
      </c>
      <c r="C35" s="272">
        <v>0</v>
      </c>
      <c r="E35" s="272">
        <v>0</v>
      </c>
      <c r="G35">
        <f t="shared" si="0"/>
        <v>0</v>
      </c>
      <c r="H35">
        <f t="shared" si="1"/>
        <v>0</v>
      </c>
      <c r="I35">
        <v>33</v>
      </c>
      <c r="J35" t="s">
        <v>6978</v>
      </c>
    </row>
    <row r="36" spans="1:10" x14ac:dyDescent="0.2">
      <c r="A36">
        <v>34</v>
      </c>
      <c r="B36" t="s">
        <v>276</v>
      </c>
      <c r="C36" s="272">
        <v>23449.49</v>
      </c>
      <c r="E36" s="272">
        <v>23449.49</v>
      </c>
      <c r="G36">
        <f t="shared" si="0"/>
        <v>23449.49</v>
      </c>
      <c r="H36">
        <f t="shared" si="1"/>
        <v>23449.49</v>
      </c>
      <c r="I36">
        <v>34</v>
      </c>
      <c r="J36" t="s">
        <v>6978</v>
      </c>
    </row>
    <row r="37" spans="1:10" x14ac:dyDescent="0.2">
      <c r="A37">
        <v>35</v>
      </c>
      <c r="B37" t="s">
        <v>213</v>
      </c>
      <c r="C37" s="272">
        <v>1696</v>
      </c>
      <c r="E37" s="272">
        <v>1696</v>
      </c>
      <c r="G37">
        <f t="shared" si="0"/>
        <v>1696</v>
      </c>
      <c r="H37">
        <f t="shared" si="1"/>
        <v>1696</v>
      </c>
      <c r="I37">
        <v>35</v>
      </c>
      <c r="J37" t="s">
        <v>6978</v>
      </c>
    </row>
    <row r="38" spans="1:10" x14ac:dyDescent="0.2">
      <c r="A38">
        <v>36</v>
      </c>
      <c r="B38" t="s">
        <v>41</v>
      </c>
      <c r="C38" s="272">
        <v>2135.29</v>
      </c>
      <c r="E38" s="272">
        <v>2135.29</v>
      </c>
      <c r="G38">
        <f t="shared" si="0"/>
        <v>2135.29</v>
      </c>
      <c r="H38">
        <f t="shared" si="1"/>
        <v>2135.29</v>
      </c>
      <c r="I38">
        <v>36</v>
      </c>
      <c r="J38" t="s">
        <v>6978</v>
      </c>
    </row>
    <row r="39" spans="1:10" x14ac:dyDescent="0.2">
      <c r="A39">
        <v>37</v>
      </c>
      <c r="B39" t="s">
        <v>3026</v>
      </c>
      <c r="C39" s="272">
        <v>4065.82</v>
      </c>
      <c r="E39" s="272">
        <v>4065.82</v>
      </c>
      <c r="G39">
        <f t="shared" si="0"/>
        <v>4065.82</v>
      </c>
      <c r="H39">
        <f t="shared" si="1"/>
        <v>4065.82</v>
      </c>
      <c r="I39">
        <v>37</v>
      </c>
      <c r="J39" t="s">
        <v>6978</v>
      </c>
    </row>
    <row r="40" spans="1:10" x14ac:dyDescent="0.2">
      <c r="A40">
        <v>38</v>
      </c>
      <c r="B40" t="s">
        <v>3027</v>
      </c>
      <c r="C40" s="272">
        <v>7700</v>
      </c>
      <c r="E40" s="272">
        <v>7700</v>
      </c>
      <c r="G40">
        <f t="shared" si="0"/>
        <v>7700</v>
      </c>
      <c r="H40">
        <f t="shared" si="1"/>
        <v>7700</v>
      </c>
      <c r="I40">
        <v>38</v>
      </c>
      <c r="J40" t="s">
        <v>6978</v>
      </c>
    </row>
    <row r="41" spans="1:10" x14ac:dyDescent="0.2">
      <c r="A41">
        <v>39</v>
      </c>
      <c r="B41" t="s">
        <v>2990</v>
      </c>
      <c r="C41" s="272">
        <v>1020.5</v>
      </c>
      <c r="E41" s="272">
        <v>1020.5</v>
      </c>
      <c r="G41">
        <f t="shared" si="0"/>
        <v>1020.5</v>
      </c>
      <c r="H41">
        <f t="shared" si="1"/>
        <v>1020.5</v>
      </c>
      <c r="I41">
        <v>39</v>
      </c>
      <c r="J41" t="s">
        <v>6978</v>
      </c>
    </row>
    <row r="42" spans="1:10" x14ac:dyDescent="0.2">
      <c r="A42">
        <v>40</v>
      </c>
      <c r="B42" t="s">
        <v>3029</v>
      </c>
      <c r="C42" s="272">
        <v>0</v>
      </c>
      <c r="E42" s="272">
        <v>0</v>
      </c>
      <c r="G42">
        <f t="shared" si="0"/>
        <v>0</v>
      </c>
      <c r="H42">
        <f t="shared" si="1"/>
        <v>0</v>
      </c>
      <c r="I42">
        <v>40</v>
      </c>
      <c r="J42" t="s">
        <v>6978</v>
      </c>
    </row>
    <row r="43" spans="1:10" x14ac:dyDescent="0.2">
      <c r="A43">
        <v>41.1</v>
      </c>
      <c r="B43" t="s">
        <v>64</v>
      </c>
      <c r="C43" s="272">
        <v>6808.18</v>
      </c>
      <c r="E43" s="272">
        <v>6808.18</v>
      </c>
      <c r="G43">
        <f>-SUM(C43)+SUM(D43)</f>
        <v>-6808.18</v>
      </c>
      <c r="H43">
        <f>-SUM(E43)+SUM(F43)</f>
        <v>-6808.18</v>
      </c>
      <c r="I43" t="s">
        <v>2991</v>
      </c>
      <c r="J43" t="s">
        <v>6978</v>
      </c>
    </row>
    <row r="44" spans="1:10" x14ac:dyDescent="0.2">
      <c r="A44">
        <v>41.2</v>
      </c>
      <c r="B44" t="s">
        <v>151</v>
      </c>
      <c r="C44" s="272">
        <v>6548.99</v>
      </c>
      <c r="E44" s="272">
        <v>6548.99</v>
      </c>
      <c r="G44">
        <f t="shared" si="0"/>
        <v>6548.99</v>
      </c>
      <c r="H44">
        <f t="shared" si="1"/>
        <v>6548.99</v>
      </c>
      <c r="I44" t="s">
        <v>2992</v>
      </c>
      <c r="J44" t="s">
        <v>6978</v>
      </c>
    </row>
    <row r="45" spans="1:10" x14ac:dyDescent="0.2">
      <c r="A45">
        <v>41</v>
      </c>
      <c r="B45" t="s">
        <v>3031</v>
      </c>
      <c r="C45" s="272">
        <v>259.19000000000051</v>
      </c>
      <c r="E45" s="272">
        <v>259.19000000000051</v>
      </c>
      <c r="G45">
        <f t="shared" si="0"/>
        <v>259.19000000000051</v>
      </c>
      <c r="H45">
        <f t="shared" si="1"/>
        <v>259.19000000000051</v>
      </c>
      <c r="I45">
        <v>41</v>
      </c>
      <c r="J45" t="s">
        <v>6978</v>
      </c>
    </row>
    <row r="46" spans="1:10" x14ac:dyDescent="0.2">
      <c r="A46">
        <v>42</v>
      </c>
      <c r="B46" t="s">
        <v>3032</v>
      </c>
      <c r="C46" s="272">
        <v>18.14</v>
      </c>
      <c r="E46" s="272">
        <v>18.14</v>
      </c>
      <c r="G46">
        <f t="shared" si="0"/>
        <v>18.14</v>
      </c>
      <c r="H46">
        <f t="shared" si="1"/>
        <v>18.14</v>
      </c>
      <c r="I46">
        <v>42</v>
      </c>
      <c r="J46" t="s">
        <v>6978</v>
      </c>
    </row>
    <row r="47" spans="1:10" x14ac:dyDescent="0.2">
      <c r="A47">
        <v>43</v>
      </c>
      <c r="B47" t="s">
        <v>3033</v>
      </c>
      <c r="C47" s="272">
        <v>47208.310000000012</v>
      </c>
      <c r="E47" s="272">
        <v>47208.310000000012</v>
      </c>
      <c r="G47">
        <f t="shared" si="0"/>
        <v>47208.310000000012</v>
      </c>
      <c r="H47">
        <f t="shared" si="1"/>
        <v>47208.310000000012</v>
      </c>
      <c r="I47">
        <v>43</v>
      </c>
      <c r="J47" t="s">
        <v>6978</v>
      </c>
    </row>
    <row r="48" spans="1:10" x14ac:dyDescent="0.2">
      <c r="A48">
        <v>44</v>
      </c>
      <c r="B48" t="s">
        <v>3034</v>
      </c>
      <c r="C48" s="272">
        <v>55946.950000000012</v>
      </c>
      <c r="E48" s="272">
        <v>55946.950000000012</v>
      </c>
      <c r="G48">
        <f t="shared" si="0"/>
        <v>55946.950000000012</v>
      </c>
      <c r="H48">
        <f t="shared" si="1"/>
        <v>55946.950000000012</v>
      </c>
      <c r="I48">
        <v>44</v>
      </c>
      <c r="J48" t="s">
        <v>6978</v>
      </c>
    </row>
    <row r="49" spans="1:10" x14ac:dyDescent="0.2">
      <c r="A49">
        <v>45</v>
      </c>
      <c r="B49" t="s">
        <v>2996</v>
      </c>
      <c r="C49" s="272">
        <v>0</v>
      </c>
      <c r="E49" s="272">
        <v>0</v>
      </c>
      <c r="G49">
        <f t="shared" si="0"/>
        <v>0</v>
      </c>
      <c r="H49">
        <f t="shared" si="1"/>
        <v>0</v>
      </c>
      <c r="I49">
        <v>45</v>
      </c>
      <c r="J49" t="s">
        <v>6978</v>
      </c>
    </row>
    <row r="50" spans="1:10" x14ac:dyDescent="0.2">
      <c r="A50">
        <v>46</v>
      </c>
      <c r="B50" t="s">
        <v>3035</v>
      </c>
      <c r="C50" s="272">
        <v>29505</v>
      </c>
      <c r="E50" s="272">
        <v>29505</v>
      </c>
      <c r="G50">
        <f t="shared" si="0"/>
        <v>29505</v>
      </c>
      <c r="H50">
        <f t="shared" si="1"/>
        <v>29505</v>
      </c>
      <c r="I50">
        <v>46</v>
      </c>
      <c r="J50" t="s">
        <v>6978</v>
      </c>
    </row>
    <row r="51" spans="1:10" x14ac:dyDescent="0.2">
      <c r="A51">
        <v>47</v>
      </c>
      <c r="B51" t="s">
        <v>3036</v>
      </c>
      <c r="C51" s="272">
        <v>17703.310000000012</v>
      </c>
      <c r="E51" s="272">
        <v>17703.310000000012</v>
      </c>
      <c r="G51">
        <f t="shared" si="0"/>
        <v>17703.310000000012</v>
      </c>
      <c r="H51">
        <f t="shared" si="1"/>
        <v>17703.310000000012</v>
      </c>
      <c r="I51">
        <v>47</v>
      </c>
      <c r="J51" t="s">
        <v>6978</v>
      </c>
    </row>
    <row r="52" spans="1:10" x14ac:dyDescent="0.2">
      <c r="A52">
        <v>48</v>
      </c>
      <c r="B52" t="s">
        <v>357</v>
      </c>
      <c r="C52" s="272">
        <v>6491.21</v>
      </c>
      <c r="E52" s="272">
        <v>6491.21</v>
      </c>
      <c r="G52">
        <f t="shared" si="0"/>
        <v>6491.21</v>
      </c>
      <c r="H52">
        <f t="shared" si="1"/>
        <v>6491.21</v>
      </c>
      <c r="I52">
        <v>48</v>
      </c>
      <c r="J52" t="s">
        <v>6978</v>
      </c>
    </row>
    <row r="53" spans="1:10" x14ac:dyDescent="0.2">
      <c r="A53">
        <v>49</v>
      </c>
      <c r="B53" t="s">
        <v>3038</v>
      </c>
      <c r="C53" s="272">
        <v>11212.100000000013</v>
      </c>
      <c r="E53" s="272">
        <v>11212.100000000013</v>
      </c>
      <c r="G53">
        <f t="shared" si="0"/>
        <v>11212.100000000013</v>
      </c>
      <c r="H53">
        <f t="shared" si="1"/>
        <v>11212.100000000013</v>
      </c>
      <c r="I53">
        <v>49</v>
      </c>
      <c r="J53" t="s">
        <v>6978</v>
      </c>
    </row>
    <row r="54" spans="1:10" x14ac:dyDescent="0.2">
      <c r="J54" t="str">
        <f t="shared" ref="J54:J66" si="2">LEFT(A54,1)</f>
        <v/>
      </c>
    </row>
    <row r="55" spans="1:10" x14ac:dyDescent="0.2">
      <c r="J55" t="str">
        <f t="shared" si="2"/>
        <v/>
      </c>
    </row>
    <row r="56" spans="1:10" x14ac:dyDescent="0.2">
      <c r="J56" t="str">
        <f t="shared" si="2"/>
        <v/>
      </c>
    </row>
    <row r="57" spans="1:10" x14ac:dyDescent="0.2">
      <c r="J57" t="str">
        <f t="shared" si="2"/>
        <v/>
      </c>
    </row>
    <row r="58" spans="1:10" x14ac:dyDescent="0.2">
      <c r="J58" t="str">
        <f t="shared" si="2"/>
        <v/>
      </c>
    </row>
    <row r="59" spans="1:10" x14ac:dyDescent="0.2">
      <c r="J59" t="str">
        <f t="shared" si="2"/>
        <v/>
      </c>
    </row>
    <row r="60" spans="1:10" x14ac:dyDescent="0.2">
      <c r="J60" t="str">
        <f t="shared" si="2"/>
        <v/>
      </c>
    </row>
    <row r="61" spans="1:10" x14ac:dyDescent="0.2">
      <c r="J61" t="str">
        <f t="shared" si="2"/>
        <v/>
      </c>
    </row>
    <row r="62" spans="1:10" x14ac:dyDescent="0.2">
      <c r="J62" t="str">
        <f t="shared" si="2"/>
        <v/>
      </c>
    </row>
    <row r="63" spans="1:10" x14ac:dyDescent="0.2">
      <c r="J63" t="str">
        <f t="shared" si="2"/>
        <v/>
      </c>
    </row>
    <row r="64" spans="1:10" x14ac:dyDescent="0.2">
      <c r="J64" t="str">
        <f t="shared" si="2"/>
        <v/>
      </c>
    </row>
    <row r="65" spans="10:10" x14ac:dyDescent="0.2">
      <c r="J65" t="str">
        <f t="shared" si="2"/>
        <v/>
      </c>
    </row>
    <row r="66" spans="10:10" x14ac:dyDescent="0.2">
      <c r="J66" t="str">
        <f t="shared" si="2"/>
        <v/>
      </c>
    </row>
    <row r="67" spans="10:10" x14ac:dyDescent="0.2">
      <c r="J67" t="str">
        <f t="shared" ref="J67:J130" si="3">LEFT(A67,1)</f>
        <v/>
      </c>
    </row>
    <row r="68" spans="10:10" x14ac:dyDescent="0.2">
      <c r="J68" t="str">
        <f t="shared" si="3"/>
        <v/>
      </c>
    </row>
    <row r="69" spans="10:10" x14ac:dyDescent="0.2">
      <c r="J69" t="str">
        <f t="shared" si="3"/>
        <v/>
      </c>
    </row>
    <row r="70" spans="10:10" x14ac:dyDescent="0.2">
      <c r="J70" t="str">
        <f t="shared" si="3"/>
        <v/>
      </c>
    </row>
    <row r="71" spans="10:10" x14ac:dyDescent="0.2">
      <c r="J71" t="str">
        <f t="shared" si="3"/>
        <v/>
      </c>
    </row>
    <row r="72" spans="10:10" x14ac:dyDescent="0.2">
      <c r="J72" t="str">
        <f t="shared" si="3"/>
        <v/>
      </c>
    </row>
    <row r="73" spans="10:10" x14ac:dyDescent="0.2">
      <c r="J73" t="str">
        <f t="shared" si="3"/>
        <v/>
      </c>
    </row>
    <row r="74" spans="10:10" x14ac:dyDescent="0.2">
      <c r="J74" t="str">
        <f t="shared" si="3"/>
        <v/>
      </c>
    </row>
    <row r="75" spans="10:10" x14ac:dyDescent="0.2">
      <c r="J75" t="str">
        <f t="shared" si="3"/>
        <v/>
      </c>
    </row>
    <row r="76" spans="10:10" x14ac:dyDescent="0.2">
      <c r="J76" t="str">
        <f t="shared" si="3"/>
        <v/>
      </c>
    </row>
    <row r="77" spans="10:10" x14ac:dyDescent="0.2">
      <c r="J77" t="str">
        <f t="shared" si="3"/>
        <v/>
      </c>
    </row>
    <row r="78" spans="10:10" x14ac:dyDescent="0.2">
      <c r="J78" t="str">
        <f t="shared" si="3"/>
        <v/>
      </c>
    </row>
    <row r="79" spans="10:10" x14ac:dyDescent="0.2">
      <c r="J79" t="str">
        <f t="shared" si="3"/>
        <v/>
      </c>
    </row>
    <row r="80" spans="10:10" x14ac:dyDescent="0.2">
      <c r="J80" t="str">
        <f t="shared" si="3"/>
        <v/>
      </c>
    </row>
    <row r="81" spans="10:10" x14ac:dyDescent="0.2">
      <c r="J81" t="str">
        <f t="shared" si="3"/>
        <v/>
      </c>
    </row>
    <row r="82" spans="10:10" x14ac:dyDescent="0.2">
      <c r="J82" t="str">
        <f t="shared" si="3"/>
        <v/>
      </c>
    </row>
    <row r="83" spans="10:10" x14ac:dyDescent="0.2">
      <c r="J83" t="str">
        <f t="shared" si="3"/>
        <v/>
      </c>
    </row>
    <row r="84" spans="10:10" x14ac:dyDescent="0.2">
      <c r="J84" t="str">
        <f t="shared" si="3"/>
        <v/>
      </c>
    </row>
    <row r="85" spans="10:10" x14ac:dyDescent="0.2">
      <c r="J85" t="str">
        <f t="shared" si="3"/>
        <v/>
      </c>
    </row>
    <row r="86" spans="10:10" x14ac:dyDescent="0.2">
      <c r="J86" t="str">
        <f t="shared" si="3"/>
        <v/>
      </c>
    </row>
    <row r="87" spans="10:10" x14ac:dyDescent="0.2">
      <c r="J87" t="str">
        <f t="shared" si="3"/>
        <v/>
      </c>
    </row>
    <row r="88" spans="10:10" x14ac:dyDescent="0.2">
      <c r="J88" t="str">
        <f t="shared" si="3"/>
        <v/>
      </c>
    </row>
    <row r="89" spans="10:10" x14ac:dyDescent="0.2">
      <c r="J89" t="str">
        <f t="shared" si="3"/>
        <v/>
      </c>
    </row>
    <row r="90" spans="10:10" x14ac:dyDescent="0.2">
      <c r="J90" t="str">
        <f t="shared" si="3"/>
        <v/>
      </c>
    </row>
    <row r="91" spans="10:10" x14ac:dyDescent="0.2">
      <c r="J91" t="str">
        <f t="shared" si="3"/>
        <v/>
      </c>
    </row>
    <row r="92" spans="10:10" x14ac:dyDescent="0.2">
      <c r="J92" t="str">
        <f t="shared" si="3"/>
        <v/>
      </c>
    </row>
    <row r="93" spans="10:10" x14ac:dyDescent="0.2">
      <c r="J93" t="str">
        <f t="shared" si="3"/>
        <v/>
      </c>
    </row>
    <row r="94" spans="10:10" x14ac:dyDescent="0.2">
      <c r="J94" t="str">
        <f t="shared" si="3"/>
        <v/>
      </c>
    </row>
    <row r="95" spans="10:10" x14ac:dyDescent="0.2">
      <c r="J95" t="str">
        <f t="shared" si="3"/>
        <v/>
      </c>
    </row>
    <row r="96" spans="10:10" x14ac:dyDescent="0.2">
      <c r="J96" t="str">
        <f t="shared" si="3"/>
        <v/>
      </c>
    </row>
    <row r="97" spans="10:10" x14ac:dyDescent="0.2">
      <c r="J97" t="str">
        <f t="shared" si="3"/>
        <v/>
      </c>
    </row>
    <row r="98" spans="10:10" x14ac:dyDescent="0.2">
      <c r="J98" t="str">
        <f t="shared" si="3"/>
        <v/>
      </c>
    </row>
    <row r="99" spans="10:10" x14ac:dyDescent="0.2">
      <c r="J99" t="str">
        <f t="shared" si="3"/>
        <v/>
      </c>
    </row>
    <row r="100" spans="10:10" x14ac:dyDescent="0.2">
      <c r="J100" t="str">
        <f t="shared" si="3"/>
        <v/>
      </c>
    </row>
    <row r="101" spans="10:10" x14ac:dyDescent="0.2">
      <c r="J101" t="str">
        <f t="shared" si="3"/>
        <v/>
      </c>
    </row>
    <row r="102" spans="10:10" x14ac:dyDescent="0.2">
      <c r="J102" t="str">
        <f t="shared" si="3"/>
        <v/>
      </c>
    </row>
    <row r="103" spans="10:10" x14ac:dyDescent="0.2">
      <c r="J103" t="str">
        <f t="shared" si="3"/>
        <v/>
      </c>
    </row>
    <row r="104" spans="10:10" x14ac:dyDescent="0.2">
      <c r="J104" t="str">
        <f t="shared" si="3"/>
        <v/>
      </c>
    </row>
    <row r="105" spans="10:10" x14ac:dyDescent="0.2">
      <c r="J105" t="str">
        <f t="shared" si="3"/>
        <v/>
      </c>
    </row>
    <row r="106" spans="10:10" x14ac:dyDescent="0.2">
      <c r="J106" t="str">
        <f t="shared" si="3"/>
        <v/>
      </c>
    </row>
    <row r="107" spans="10:10" x14ac:dyDescent="0.2">
      <c r="J107" t="str">
        <f t="shared" si="3"/>
        <v/>
      </c>
    </row>
    <row r="108" spans="10:10" x14ac:dyDescent="0.2">
      <c r="J108" t="str">
        <f t="shared" si="3"/>
        <v/>
      </c>
    </row>
    <row r="109" spans="10:10" x14ac:dyDescent="0.2">
      <c r="J109" t="str">
        <f t="shared" si="3"/>
        <v/>
      </c>
    </row>
    <row r="110" spans="10:10" x14ac:dyDescent="0.2">
      <c r="J110" t="str">
        <f t="shared" si="3"/>
        <v/>
      </c>
    </row>
    <row r="111" spans="10:10" x14ac:dyDescent="0.2">
      <c r="J111" t="str">
        <f t="shared" si="3"/>
        <v/>
      </c>
    </row>
    <row r="112" spans="10:10" x14ac:dyDescent="0.2">
      <c r="J112" t="str">
        <f t="shared" si="3"/>
        <v/>
      </c>
    </row>
    <row r="113" spans="10:10" x14ac:dyDescent="0.2">
      <c r="J113" t="str">
        <f t="shared" si="3"/>
        <v/>
      </c>
    </row>
    <row r="114" spans="10:10" x14ac:dyDescent="0.2">
      <c r="J114" t="str">
        <f t="shared" si="3"/>
        <v/>
      </c>
    </row>
    <row r="115" spans="10:10" x14ac:dyDescent="0.2">
      <c r="J115" t="str">
        <f t="shared" si="3"/>
        <v/>
      </c>
    </row>
    <row r="116" spans="10:10" x14ac:dyDescent="0.2">
      <c r="J116" t="str">
        <f t="shared" si="3"/>
        <v/>
      </c>
    </row>
    <row r="117" spans="10:10" x14ac:dyDescent="0.2">
      <c r="J117" t="str">
        <f t="shared" si="3"/>
        <v/>
      </c>
    </row>
    <row r="118" spans="10:10" x14ac:dyDescent="0.2">
      <c r="J118" t="str">
        <f t="shared" si="3"/>
        <v/>
      </c>
    </row>
    <row r="119" spans="10:10" x14ac:dyDescent="0.2">
      <c r="J119" t="str">
        <f t="shared" si="3"/>
        <v/>
      </c>
    </row>
    <row r="120" spans="10:10" x14ac:dyDescent="0.2">
      <c r="J120" t="str">
        <f t="shared" si="3"/>
        <v/>
      </c>
    </row>
    <row r="121" spans="10:10" x14ac:dyDescent="0.2">
      <c r="J121" t="str">
        <f t="shared" si="3"/>
        <v/>
      </c>
    </row>
    <row r="122" spans="10:10" x14ac:dyDescent="0.2">
      <c r="J122" t="str">
        <f t="shared" si="3"/>
        <v/>
      </c>
    </row>
    <row r="123" spans="10:10" x14ac:dyDescent="0.2">
      <c r="J123" t="str">
        <f t="shared" si="3"/>
        <v/>
      </c>
    </row>
    <row r="124" spans="10:10" x14ac:dyDescent="0.2">
      <c r="J124" t="str">
        <f t="shared" si="3"/>
        <v/>
      </c>
    </row>
    <row r="125" spans="10:10" x14ac:dyDescent="0.2">
      <c r="J125" t="str">
        <f t="shared" si="3"/>
        <v/>
      </c>
    </row>
    <row r="126" spans="10:10" x14ac:dyDescent="0.2">
      <c r="J126" t="str">
        <f t="shared" si="3"/>
        <v/>
      </c>
    </row>
    <row r="127" spans="10:10" x14ac:dyDescent="0.2">
      <c r="J127" t="str">
        <f t="shared" si="3"/>
        <v/>
      </c>
    </row>
    <row r="128" spans="10:10" x14ac:dyDescent="0.2">
      <c r="J128" t="str">
        <f t="shared" si="3"/>
        <v/>
      </c>
    </row>
    <row r="129" spans="10:10" x14ac:dyDescent="0.2">
      <c r="J129" t="str">
        <f t="shared" si="3"/>
        <v/>
      </c>
    </row>
    <row r="130" spans="10:10" x14ac:dyDescent="0.2">
      <c r="J130" t="str">
        <f t="shared" si="3"/>
        <v/>
      </c>
    </row>
    <row r="131" spans="10:10" x14ac:dyDescent="0.2">
      <c r="J131" t="str">
        <f t="shared" ref="J131:J194" si="4">LEFT(A131,1)</f>
        <v/>
      </c>
    </row>
    <row r="132" spans="10:10" x14ac:dyDescent="0.2">
      <c r="J132" t="str">
        <f t="shared" si="4"/>
        <v/>
      </c>
    </row>
    <row r="133" spans="10:10" x14ac:dyDescent="0.2">
      <c r="J133" t="str">
        <f t="shared" si="4"/>
        <v/>
      </c>
    </row>
    <row r="134" spans="10:10" x14ac:dyDescent="0.2">
      <c r="J134" t="str">
        <f t="shared" si="4"/>
        <v/>
      </c>
    </row>
    <row r="135" spans="10:10" x14ac:dyDescent="0.2">
      <c r="J135" t="str">
        <f t="shared" si="4"/>
        <v/>
      </c>
    </row>
    <row r="136" spans="10:10" x14ac:dyDescent="0.2">
      <c r="J136" t="str">
        <f t="shared" si="4"/>
        <v/>
      </c>
    </row>
    <row r="137" spans="10:10" x14ac:dyDescent="0.2">
      <c r="J137" t="str">
        <f t="shared" si="4"/>
        <v/>
      </c>
    </row>
    <row r="138" spans="10:10" x14ac:dyDescent="0.2">
      <c r="J138" t="str">
        <f t="shared" si="4"/>
        <v/>
      </c>
    </row>
    <row r="139" spans="10:10" x14ac:dyDescent="0.2">
      <c r="J139" t="str">
        <f t="shared" si="4"/>
        <v/>
      </c>
    </row>
    <row r="140" spans="10:10" x14ac:dyDescent="0.2">
      <c r="J140" t="str">
        <f t="shared" si="4"/>
        <v/>
      </c>
    </row>
    <row r="141" spans="10:10" x14ac:dyDescent="0.2">
      <c r="J141" t="str">
        <f t="shared" si="4"/>
        <v/>
      </c>
    </row>
    <row r="142" spans="10:10" x14ac:dyDescent="0.2">
      <c r="J142" t="str">
        <f t="shared" si="4"/>
        <v/>
      </c>
    </row>
    <row r="143" spans="10:10" x14ac:dyDescent="0.2">
      <c r="J143" t="str">
        <f t="shared" si="4"/>
        <v/>
      </c>
    </row>
    <row r="144" spans="10:10" x14ac:dyDescent="0.2">
      <c r="J144" t="str">
        <f t="shared" si="4"/>
        <v/>
      </c>
    </row>
    <row r="145" spans="10:10" x14ac:dyDescent="0.2">
      <c r="J145" t="str">
        <f t="shared" si="4"/>
        <v/>
      </c>
    </row>
    <row r="146" spans="10:10" x14ac:dyDescent="0.2">
      <c r="J146" t="str">
        <f t="shared" si="4"/>
        <v/>
      </c>
    </row>
    <row r="147" spans="10:10" x14ac:dyDescent="0.2">
      <c r="J147" t="str">
        <f t="shared" si="4"/>
        <v/>
      </c>
    </row>
    <row r="148" spans="10:10" x14ac:dyDescent="0.2">
      <c r="J148" t="str">
        <f t="shared" si="4"/>
        <v/>
      </c>
    </row>
    <row r="149" spans="10:10" x14ac:dyDescent="0.2">
      <c r="J149" t="str">
        <f t="shared" si="4"/>
        <v/>
      </c>
    </row>
    <row r="150" spans="10:10" x14ac:dyDescent="0.2">
      <c r="J150" t="str">
        <f t="shared" si="4"/>
        <v/>
      </c>
    </row>
    <row r="151" spans="10:10" x14ac:dyDescent="0.2">
      <c r="J151" t="str">
        <f t="shared" si="4"/>
        <v/>
      </c>
    </row>
    <row r="152" spans="10:10" x14ac:dyDescent="0.2">
      <c r="J152" t="str">
        <f t="shared" si="4"/>
        <v/>
      </c>
    </row>
    <row r="153" spans="10:10" x14ac:dyDescent="0.2">
      <c r="J153" t="str">
        <f t="shared" si="4"/>
        <v/>
      </c>
    </row>
    <row r="154" spans="10:10" x14ac:dyDescent="0.2">
      <c r="J154" t="str">
        <f t="shared" si="4"/>
        <v/>
      </c>
    </row>
    <row r="155" spans="10:10" x14ac:dyDescent="0.2">
      <c r="J155" t="str">
        <f t="shared" si="4"/>
        <v/>
      </c>
    </row>
    <row r="156" spans="10:10" x14ac:dyDescent="0.2">
      <c r="J156" t="str">
        <f t="shared" si="4"/>
        <v/>
      </c>
    </row>
    <row r="157" spans="10:10" x14ac:dyDescent="0.2">
      <c r="J157" t="str">
        <f t="shared" si="4"/>
        <v/>
      </c>
    </row>
    <row r="158" spans="10:10" x14ac:dyDescent="0.2">
      <c r="J158" t="str">
        <f t="shared" si="4"/>
        <v/>
      </c>
    </row>
    <row r="159" spans="10:10" x14ac:dyDescent="0.2">
      <c r="J159" t="str">
        <f t="shared" si="4"/>
        <v/>
      </c>
    </row>
    <row r="160" spans="10:10" x14ac:dyDescent="0.2">
      <c r="J160" t="str">
        <f t="shared" si="4"/>
        <v/>
      </c>
    </row>
    <row r="161" spans="10:10" x14ac:dyDescent="0.2">
      <c r="J161" t="str">
        <f t="shared" si="4"/>
        <v/>
      </c>
    </row>
    <row r="162" spans="10:10" x14ac:dyDescent="0.2">
      <c r="J162" t="str">
        <f t="shared" si="4"/>
        <v/>
      </c>
    </row>
    <row r="163" spans="10:10" x14ac:dyDescent="0.2">
      <c r="J163" t="str">
        <f t="shared" si="4"/>
        <v/>
      </c>
    </row>
    <row r="164" spans="10:10" x14ac:dyDescent="0.2">
      <c r="J164" t="str">
        <f t="shared" si="4"/>
        <v/>
      </c>
    </row>
    <row r="165" spans="10:10" x14ac:dyDescent="0.2">
      <c r="J165" t="str">
        <f t="shared" si="4"/>
        <v/>
      </c>
    </row>
    <row r="166" spans="10:10" x14ac:dyDescent="0.2">
      <c r="J166" t="str">
        <f t="shared" si="4"/>
        <v/>
      </c>
    </row>
    <row r="167" spans="10:10" x14ac:dyDescent="0.2">
      <c r="J167" t="str">
        <f t="shared" si="4"/>
        <v/>
      </c>
    </row>
    <row r="168" spans="10:10" x14ac:dyDescent="0.2">
      <c r="J168" t="str">
        <f t="shared" si="4"/>
        <v/>
      </c>
    </row>
    <row r="169" spans="10:10" x14ac:dyDescent="0.2">
      <c r="J169" t="str">
        <f t="shared" si="4"/>
        <v/>
      </c>
    </row>
    <row r="170" spans="10:10" x14ac:dyDescent="0.2">
      <c r="J170" t="str">
        <f t="shared" si="4"/>
        <v/>
      </c>
    </row>
    <row r="171" spans="10:10" x14ac:dyDescent="0.2">
      <c r="J171" t="str">
        <f t="shared" si="4"/>
        <v/>
      </c>
    </row>
    <row r="172" spans="10:10" x14ac:dyDescent="0.2">
      <c r="J172" t="str">
        <f t="shared" si="4"/>
        <v/>
      </c>
    </row>
    <row r="173" spans="10:10" x14ac:dyDescent="0.2">
      <c r="J173" t="str">
        <f t="shared" si="4"/>
        <v/>
      </c>
    </row>
    <row r="174" spans="10:10" x14ac:dyDescent="0.2">
      <c r="J174" t="str">
        <f t="shared" si="4"/>
        <v/>
      </c>
    </row>
    <row r="175" spans="10:10" x14ac:dyDescent="0.2">
      <c r="J175" t="str">
        <f t="shared" si="4"/>
        <v/>
      </c>
    </row>
    <row r="176" spans="10:10" x14ac:dyDescent="0.2">
      <c r="J176" t="str">
        <f t="shared" si="4"/>
        <v/>
      </c>
    </row>
    <row r="177" spans="10:10" x14ac:dyDescent="0.2">
      <c r="J177" t="str">
        <f t="shared" si="4"/>
        <v/>
      </c>
    </row>
    <row r="178" spans="10:10" x14ac:dyDescent="0.2">
      <c r="J178" t="str">
        <f t="shared" si="4"/>
        <v/>
      </c>
    </row>
    <row r="179" spans="10:10" x14ac:dyDescent="0.2">
      <c r="J179" t="str">
        <f t="shared" si="4"/>
        <v/>
      </c>
    </row>
    <row r="180" spans="10:10" x14ac:dyDescent="0.2">
      <c r="J180" t="str">
        <f t="shared" si="4"/>
        <v/>
      </c>
    </row>
    <row r="181" spans="10:10" x14ac:dyDescent="0.2">
      <c r="J181" t="str">
        <f t="shared" si="4"/>
        <v/>
      </c>
    </row>
    <row r="182" spans="10:10" x14ac:dyDescent="0.2">
      <c r="J182" t="str">
        <f t="shared" si="4"/>
        <v/>
      </c>
    </row>
    <row r="183" spans="10:10" x14ac:dyDescent="0.2">
      <c r="J183" t="str">
        <f t="shared" si="4"/>
        <v/>
      </c>
    </row>
    <row r="184" spans="10:10" x14ac:dyDescent="0.2">
      <c r="J184" t="str">
        <f t="shared" si="4"/>
        <v/>
      </c>
    </row>
    <row r="185" spans="10:10" x14ac:dyDescent="0.2">
      <c r="J185" t="str">
        <f t="shared" si="4"/>
        <v/>
      </c>
    </row>
    <row r="186" spans="10:10" x14ac:dyDescent="0.2">
      <c r="J186" t="str">
        <f t="shared" si="4"/>
        <v/>
      </c>
    </row>
    <row r="187" spans="10:10" x14ac:dyDescent="0.2">
      <c r="J187" t="str">
        <f t="shared" si="4"/>
        <v/>
      </c>
    </row>
    <row r="188" spans="10:10" x14ac:dyDescent="0.2">
      <c r="J188" t="str">
        <f t="shared" si="4"/>
        <v/>
      </c>
    </row>
    <row r="189" spans="10:10" x14ac:dyDescent="0.2">
      <c r="J189" t="str">
        <f t="shared" si="4"/>
        <v/>
      </c>
    </row>
    <row r="190" spans="10:10" x14ac:dyDescent="0.2">
      <c r="J190" t="str">
        <f t="shared" si="4"/>
        <v/>
      </c>
    </row>
    <row r="191" spans="10:10" x14ac:dyDescent="0.2">
      <c r="J191" t="str">
        <f t="shared" si="4"/>
        <v/>
      </c>
    </row>
    <row r="192" spans="10:10" x14ac:dyDescent="0.2">
      <c r="J192" t="str">
        <f t="shared" si="4"/>
        <v/>
      </c>
    </row>
    <row r="193" spans="10:10" x14ac:dyDescent="0.2">
      <c r="J193" t="str">
        <f t="shared" si="4"/>
        <v/>
      </c>
    </row>
    <row r="194" spans="10:10" x14ac:dyDescent="0.2">
      <c r="J194" t="str">
        <f t="shared" si="4"/>
        <v/>
      </c>
    </row>
    <row r="195" spans="10:10" x14ac:dyDescent="0.2">
      <c r="J195" t="str">
        <f t="shared" ref="J195:J227" si="5">LEFT(A195,1)</f>
        <v/>
      </c>
    </row>
    <row r="196" spans="10:10" x14ac:dyDescent="0.2">
      <c r="J196" t="str">
        <f t="shared" si="5"/>
        <v/>
      </c>
    </row>
    <row r="197" spans="10:10" x14ac:dyDescent="0.2">
      <c r="J197" t="str">
        <f t="shared" si="5"/>
        <v/>
      </c>
    </row>
    <row r="198" spans="10:10" x14ac:dyDescent="0.2">
      <c r="J198" t="str">
        <f t="shared" si="5"/>
        <v/>
      </c>
    </row>
    <row r="199" spans="10:10" x14ac:dyDescent="0.2">
      <c r="J199" t="str">
        <f t="shared" si="5"/>
        <v/>
      </c>
    </row>
    <row r="200" spans="10:10" x14ac:dyDescent="0.2">
      <c r="J200" t="str">
        <f t="shared" si="5"/>
        <v/>
      </c>
    </row>
    <row r="201" spans="10:10" x14ac:dyDescent="0.2">
      <c r="J201" t="str">
        <f t="shared" si="5"/>
        <v/>
      </c>
    </row>
    <row r="202" spans="10:10" x14ac:dyDescent="0.2">
      <c r="J202" t="str">
        <f t="shared" si="5"/>
        <v/>
      </c>
    </row>
    <row r="203" spans="10:10" x14ac:dyDescent="0.2">
      <c r="J203" t="str">
        <f t="shared" si="5"/>
        <v/>
      </c>
    </row>
    <row r="204" spans="10:10" x14ac:dyDescent="0.2">
      <c r="J204" t="str">
        <f t="shared" si="5"/>
        <v/>
      </c>
    </row>
    <row r="205" spans="10:10" x14ac:dyDescent="0.2">
      <c r="J205" t="str">
        <f t="shared" si="5"/>
        <v/>
      </c>
    </row>
    <row r="206" spans="10:10" x14ac:dyDescent="0.2">
      <c r="J206" t="str">
        <f t="shared" si="5"/>
        <v/>
      </c>
    </row>
    <row r="207" spans="10:10" x14ac:dyDescent="0.2">
      <c r="J207" t="str">
        <f t="shared" si="5"/>
        <v/>
      </c>
    </row>
    <row r="208" spans="10:10" x14ac:dyDescent="0.2">
      <c r="J208" t="str">
        <f t="shared" si="5"/>
        <v/>
      </c>
    </row>
    <row r="209" spans="7:10" x14ac:dyDescent="0.2">
      <c r="J209" t="str">
        <f t="shared" si="5"/>
        <v/>
      </c>
    </row>
    <row r="210" spans="7:10" x14ac:dyDescent="0.2">
      <c r="J210" t="str">
        <f t="shared" si="5"/>
        <v/>
      </c>
    </row>
    <row r="211" spans="7:10" x14ac:dyDescent="0.2">
      <c r="J211" t="str">
        <f t="shared" si="5"/>
        <v/>
      </c>
    </row>
    <row r="212" spans="7:10" x14ac:dyDescent="0.2">
      <c r="J212" t="str">
        <f t="shared" si="5"/>
        <v/>
      </c>
    </row>
    <row r="213" spans="7:10" x14ac:dyDescent="0.2">
      <c r="J213" t="str">
        <f t="shared" si="5"/>
        <v/>
      </c>
    </row>
    <row r="214" spans="7:10" x14ac:dyDescent="0.2">
      <c r="J214" t="str">
        <f t="shared" si="5"/>
        <v/>
      </c>
    </row>
    <row r="215" spans="7:10" x14ac:dyDescent="0.2">
      <c r="J215" t="str">
        <f t="shared" si="5"/>
        <v/>
      </c>
    </row>
    <row r="216" spans="7:10" x14ac:dyDescent="0.2">
      <c r="J216" t="str">
        <f t="shared" si="5"/>
        <v/>
      </c>
    </row>
    <row r="217" spans="7:10" x14ac:dyDescent="0.2">
      <c r="J217" t="str">
        <f t="shared" si="5"/>
        <v/>
      </c>
    </row>
    <row r="218" spans="7:10" x14ac:dyDescent="0.2">
      <c r="J218" t="str">
        <f t="shared" si="5"/>
        <v/>
      </c>
    </row>
    <row r="219" spans="7:10" x14ac:dyDescent="0.2">
      <c r="J219" t="str">
        <f t="shared" si="5"/>
        <v/>
      </c>
    </row>
    <row r="220" spans="7:10" x14ac:dyDescent="0.2">
      <c r="G220">
        <f t="shared" ref="G220:G227" si="6">SUM(C220)-SUM(D220)</f>
        <v>0</v>
      </c>
      <c r="H220">
        <f t="shared" ref="H220:H227" si="7">SUM(E220)-SUM(F220)</f>
        <v>0</v>
      </c>
      <c r="I220">
        <f>IF(A220="Total",VLOOKUP(B220,CORRESPONDANCE[#All],2,FALSE),I221)</f>
        <v>0</v>
      </c>
      <c r="J220" t="str">
        <f t="shared" si="5"/>
        <v/>
      </c>
    </row>
    <row r="221" spans="7:10" x14ac:dyDescent="0.2">
      <c r="G221">
        <f t="shared" si="6"/>
        <v>0</v>
      </c>
      <c r="H221">
        <f t="shared" si="7"/>
        <v>0</v>
      </c>
      <c r="I221">
        <f>IF(A221="Total",VLOOKUP(B221,CORRESPONDANCE[#All],2,FALSE),I222)</f>
        <v>0</v>
      </c>
      <c r="J221" t="str">
        <f t="shared" si="5"/>
        <v/>
      </c>
    </row>
    <row r="222" spans="7:10" x14ac:dyDescent="0.2">
      <c r="G222">
        <f t="shared" si="6"/>
        <v>0</v>
      </c>
      <c r="H222">
        <f t="shared" si="7"/>
        <v>0</v>
      </c>
      <c r="I222">
        <f>IF(A222="Total",VLOOKUP(B222,CORRESPONDANCE[#All],2,FALSE),I223)</f>
        <v>0</v>
      </c>
      <c r="J222" t="str">
        <f t="shared" si="5"/>
        <v/>
      </c>
    </row>
    <row r="223" spans="7:10" x14ac:dyDescent="0.2">
      <c r="G223">
        <f t="shared" si="6"/>
        <v>0</v>
      </c>
      <c r="H223">
        <f t="shared" si="7"/>
        <v>0</v>
      </c>
      <c r="I223">
        <f>IF(A223="Total",VLOOKUP(B223,CORRESPONDANCE[#All],2,FALSE),I224)</f>
        <v>0</v>
      </c>
      <c r="J223" t="str">
        <f t="shared" si="5"/>
        <v/>
      </c>
    </row>
    <row r="224" spans="7:10" x14ac:dyDescent="0.2">
      <c r="G224">
        <f t="shared" si="6"/>
        <v>0</v>
      </c>
      <c r="H224">
        <f t="shared" si="7"/>
        <v>0</v>
      </c>
      <c r="I224">
        <f>IF(A224="Total",VLOOKUP(B224,CORRESPONDANCE[#All],2,FALSE),I225)</f>
        <v>0</v>
      </c>
      <c r="J224" t="str">
        <f t="shared" si="5"/>
        <v/>
      </c>
    </row>
    <row r="225" spans="7:10" x14ac:dyDescent="0.2">
      <c r="G225">
        <f t="shared" si="6"/>
        <v>0</v>
      </c>
      <c r="H225">
        <f t="shared" si="7"/>
        <v>0</v>
      </c>
      <c r="I225">
        <f>IF(A225="Total",VLOOKUP(B225,CORRESPONDANCE[#All],2,FALSE),I226)</f>
        <v>0</v>
      </c>
      <c r="J225" t="str">
        <f t="shared" si="5"/>
        <v/>
      </c>
    </row>
    <row r="226" spans="7:10" x14ac:dyDescent="0.2">
      <c r="G226">
        <f t="shared" si="6"/>
        <v>0</v>
      </c>
      <c r="H226">
        <f t="shared" si="7"/>
        <v>0</v>
      </c>
      <c r="I226">
        <f>IF(A226="Total",VLOOKUP(B226,CORRESPONDANCE[#All],2,FALSE),I227)</f>
        <v>0</v>
      </c>
      <c r="J226" t="str">
        <f t="shared" si="5"/>
        <v/>
      </c>
    </row>
    <row r="227" spans="7:10" x14ac:dyDescent="0.2">
      <c r="G227">
        <f t="shared" si="6"/>
        <v>0</v>
      </c>
      <c r="H227">
        <f t="shared" si="7"/>
        <v>0</v>
      </c>
      <c r="I227">
        <f>IF(A227="Total",VLOOKUP(B227,CORRESPONDANCE[#All],2,FALSE),I228)</f>
        <v>0</v>
      </c>
      <c r="J227" t="str">
        <f t="shared" si="5"/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6D2E-590B-4DC6-BCAB-597CFA44D048}">
  <sheetPr>
    <tabColor theme="7" tint="0.59999389629810485"/>
  </sheetPr>
  <dimension ref="A1:J227"/>
  <sheetViews>
    <sheetView workbookViewId="0">
      <selection activeCell="E21" sqref="E21"/>
    </sheetView>
  </sheetViews>
  <sheetFormatPr baseColWidth="10" defaultRowHeight="12.75" x14ac:dyDescent="0.2"/>
  <cols>
    <col min="1" max="1" width="7.7109375" bestFit="1" customWidth="1"/>
    <col min="2" max="2" width="35.28515625" bestFit="1" customWidth="1"/>
    <col min="3" max="4" width="12.140625" style="272" bestFit="1" customWidth="1"/>
    <col min="5" max="5" width="13.5703125" style="272" bestFit="1" customWidth="1"/>
    <col min="6" max="6" width="11.42578125" style="272"/>
    <col min="7" max="8" width="12.7109375" bestFit="1" customWidth="1"/>
    <col min="11" max="11" width="12.140625" bestFit="1" customWidth="1"/>
  </cols>
  <sheetData>
    <row r="1" spans="1:10" x14ac:dyDescent="0.2">
      <c r="A1" t="s">
        <v>6979</v>
      </c>
      <c r="B1" t="s">
        <v>6980</v>
      </c>
      <c r="G1" t="s">
        <v>2509</v>
      </c>
      <c r="H1" t="s">
        <v>2510</v>
      </c>
      <c r="I1" t="s">
        <v>2511</v>
      </c>
      <c r="J1" t="s">
        <v>2512</v>
      </c>
    </row>
    <row r="2" spans="1:10" x14ac:dyDescent="0.2">
      <c r="A2">
        <v>1</v>
      </c>
      <c r="B2" t="s">
        <v>3006</v>
      </c>
      <c r="C2" s="272">
        <v>548178.27</v>
      </c>
      <c r="E2" s="272">
        <v>548178.27</v>
      </c>
      <c r="G2">
        <f>-SUM(C2)+SUM(D2)</f>
        <v>-548178.27</v>
      </c>
      <c r="H2">
        <f>-SUM(E2)+SUM(F2)</f>
        <v>-548178.27</v>
      </c>
      <c r="I2">
        <v>1</v>
      </c>
      <c r="J2" t="s">
        <v>6978</v>
      </c>
    </row>
    <row r="3" spans="1:10" x14ac:dyDescent="0.2">
      <c r="A3">
        <v>2</v>
      </c>
      <c r="B3" t="s">
        <v>222</v>
      </c>
      <c r="C3" s="272">
        <v>539353.96</v>
      </c>
      <c r="E3" s="272">
        <v>539353.96</v>
      </c>
      <c r="G3">
        <f>-SUM(C3)+SUM(D3)</f>
        <v>-539353.96</v>
      </c>
      <c r="H3">
        <f>-SUM(E3)+SUM(F3)</f>
        <v>-539353.96</v>
      </c>
      <c r="I3">
        <v>2</v>
      </c>
      <c r="J3" t="s">
        <v>6978</v>
      </c>
    </row>
    <row r="4" spans="1:10" x14ac:dyDescent="0.2">
      <c r="A4">
        <v>3</v>
      </c>
      <c r="B4" t="s">
        <v>7021</v>
      </c>
      <c r="C4" s="272">
        <v>122091.34</v>
      </c>
      <c r="E4" s="272">
        <v>122091.34</v>
      </c>
      <c r="G4">
        <f>SUM(C4)-SUM(D4)</f>
        <v>122091.34</v>
      </c>
      <c r="H4">
        <f>SUM(E4)-SUM(F4)</f>
        <v>122091.34</v>
      </c>
      <c r="I4">
        <v>3</v>
      </c>
      <c r="J4" t="s">
        <v>6978</v>
      </c>
    </row>
    <row r="5" spans="1:10" x14ac:dyDescent="0.2">
      <c r="A5">
        <v>4</v>
      </c>
      <c r="B5" t="s">
        <v>517</v>
      </c>
      <c r="C5" s="272">
        <v>1881.18</v>
      </c>
      <c r="E5" s="272">
        <v>1881.18</v>
      </c>
      <c r="G5">
        <f t="shared" ref="G5:G53" si="0">SUM(C5)-SUM(D5)</f>
        <v>1881.18</v>
      </c>
      <c r="H5">
        <f>SUM(E5)-SUM(F5)</f>
        <v>1881.18</v>
      </c>
      <c r="I5">
        <v>4</v>
      </c>
      <c r="J5" t="s">
        <v>6978</v>
      </c>
    </row>
    <row r="6" spans="1:10" x14ac:dyDescent="0.2">
      <c r="A6">
        <v>5</v>
      </c>
      <c r="B6" t="s">
        <v>3008</v>
      </c>
      <c r="C6" s="272">
        <v>3908.97</v>
      </c>
      <c r="E6" s="272">
        <v>3908.97</v>
      </c>
      <c r="G6">
        <f t="shared" si="0"/>
        <v>3908.97</v>
      </c>
      <c r="H6">
        <f t="shared" ref="H6:H53" si="1">SUM(E6)-SUM(F6)</f>
        <v>3908.97</v>
      </c>
      <c r="I6">
        <v>5</v>
      </c>
      <c r="J6" t="s">
        <v>6978</v>
      </c>
    </row>
    <row r="7" spans="1:10" x14ac:dyDescent="0.2">
      <c r="A7">
        <v>6</v>
      </c>
      <c r="B7" t="s">
        <v>3009</v>
      </c>
      <c r="C7" s="272">
        <v>12190.04</v>
      </c>
      <c r="E7" s="272">
        <v>12190.04</v>
      </c>
      <c r="G7">
        <f t="shared" si="0"/>
        <v>12190.04</v>
      </c>
      <c r="H7">
        <f t="shared" si="1"/>
        <v>12190.04</v>
      </c>
      <c r="I7">
        <v>6</v>
      </c>
      <c r="J7" t="s">
        <v>6978</v>
      </c>
    </row>
    <row r="8" spans="1:10" x14ac:dyDescent="0.2">
      <c r="A8">
        <v>6.1</v>
      </c>
      <c r="B8" t="s">
        <v>2965</v>
      </c>
      <c r="C8" s="272">
        <v>156</v>
      </c>
      <c r="E8" s="272">
        <v>156</v>
      </c>
      <c r="G8">
        <f t="shared" si="0"/>
        <v>156</v>
      </c>
      <c r="H8">
        <f t="shared" si="1"/>
        <v>156</v>
      </c>
      <c r="I8" t="s">
        <v>2964</v>
      </c>
      <c r="J8" t="s">
        <v>6978</v>
      </c>
    </row>
    <row r="9" spans="1:10" x14ac:dyDescent="0.2">
      <c r="A9">
        <v>7</v>
      </c>
      <c r="B9" t="s">
        <v>3011</v>
      </c>
      <c r="C9" s="272">
        <v>399126.42999999993</v>
      </c>
      <c r="E9" s="272">
        <v>399126.42999999993</v>
      </c>
      <c r="G9">
        <f t="shared" si="0"/>
        <v>399126.42999999993</v>
      </c>
      <c r="H9">
        <f t="shared" si="1"/>
        <v>399126.42999999993</v>
      </c>
      <c r="I9">
        <v>7</v>
      </c>
      <c r="J9" t="s">
        <v>6978</v>
      </c>
    </row>
    <row r="10" spans="1:10" x14ac:dyDescent="0.2">
      <c r="A10">
        <v>8</v>
      </c>
      <c r="B10" t="s">
        <v>3012</v>
      </c>
      <c r="C10" s="272">
        <v>72086.84</v>
      </c>
      <c r="E10" s="272">
        <v>72086.84</v>
      </c>
      <c r="G10">
        <f t="shared" si="0"/>
        <v>72086.84</v>
      </c>
      <c r="H10">
        <f t="shared" si="1"/>
        <v>72086.84</v>
      </c>
      <c r="I10">
        <v>8</v>
      </c>
      <c r="J10" t="s">
        <v>6978</v>
      </c>
    </row>
    <row r="11" spans="1:10" x14ac:dyDescent="0.2">
      <c r="A11">
        <v>9</v>
      </c>
      <c r="B11" t="s">
        <v>3013</v>
      </c>
      <c r="C11" s="272">
        <v>10795.29</v>
      </c>
      <c r="E11" s="272">
        <v>10795.29</v>
      </c>
      <c r="G11">
        <f t="shared" si="0"/>
        <v>10795.29</v>
      </c>
      <c r="H11">
        <f t="shared" si="1"/>
        <v>10795.29</v>
      </c>
      <c r="I11">
        <v>9</v>
      </c>
      <c r="J11" t="s">
        <v>6978</v>
      </c>
    </row>
    <row r="12" spans="1:10" x14ac:dyDescent="0.2">
      <c r="A12">
        <v>10</v>
      </c>
      <c r="B12" t="s">
        <v>3014</v>
      </c>
      <c r="C12" s="272">
        <v>24772.49</v>
      </c>
      <c r="E12" s="272">
        <v>24772.49</v>
      </c>
      <c r="G12">
        <f t="shared" si="0"/>
        <v>24772.49</v>
      </c>
      <c r="H12">
        <f t="shared" si="1"/>
        <v>24772.49</v>
      </c>
      <c r="I12">
        <v>10</v>
      </c>
      <c r="J12" t="s">
        <v>6978</v>
      </c>
    </row>
    <row r="13" spans="1:10" x14ac:dyDescent="0.2">
      <c r="A13">
        <v>11</v>
      </c>
      <c r="B13" t="s">
        <v>3015</v>
      </c>
      <c r="C13" s="272">
        <v>7984.86</v>
      </c>
      <c r="E13" s="272">
        <v>7984.86</v>
      </c>
      <c r="G13">
        <f t="shared" si="0"/>
        <v>7984.86</v>
      </c>
      <c r="H13">
        <f t="shared" si="1"/>
        <v>7984.86</v>
      </c>
      <c r="I13">
        <v>11</v>
      </c>
      <c r="J13" t="s">
        <v>6978</v>
      </c>
    </row>
    <row r="14" spans="1:10" x14ac:dyDescent="0.2">
      <c r="A14">
        <v>12</v>
      </c>
      <c r="B14" t="s">
        <v>2969</v>
      </c>
      <c r="C14" s="272">
        <v>-500</v>
      </c>
      <c r="E14" s="272">
        <v>-500</v>
      </c>
      <c r="G14">
        <f t="shared" si="0"/>
        <v>-500</v>
      </c>
      <c r="H14">
        <f t="shared" si="1"/>
        <v>-500</v>
      </c>
      <c r="I14">
        <v>12</v>
      </c>
      <c r="J14" t="s">
        <v>6978</v>
      </c>
    </row>
    <row r="15" spans="1:10" x14ac:dyDescent="0.2">
      <c r="A15">
        <v>13</v>
      </c>
      <c r="B15" t="s">
        <v>2970</v>
      </c>
      <c r="G15">
        <f t="shared" si="0"/>
        <v>0</v>
      </c>
      <c r="H15">
        <f t="shared" si="1"/>
        <v>0</v>
      </c>
      <c r="I15">
        <v>13</v>
      </c>
      <c r="J15" t="s">
        <v>6978</v>
      </c>
    </row>
    <row r="16" spans="1:10" x14ac:dyDescent="0.2">
      <c r="A16">
        <v>14</v>
      </c>
      <c r="B16" t="s">
        <v>3017</v>
      </c>
      <c r="C16" s="272">
        <v>115139.48000000001</v>
      </c>
      <c r="E16" s="272">
        <v>115139.48000000001</v>
      </c>
      <c r="G16">
        <f t="shared" si="0"/>
        <v>115139.48000000001</v>
      </c>
      <c r="H16">
        <f t="shared" si="1"/>
        <v>115139.48000000001</v>
      </c>
      <c r="I16">
        <v>14</v>
      </c>
      <c r="J16" t="s">
        <v>6978</v>
      </c>
    </row>
    <row r="17" spans="1:10" x14ac:dyDescent="0.2">
      <c r="A17">
        <v>15</v>
      </c>
      <c r="B17" t="s">
        <v>2174</v>
      </c>
      <c r="C17" s="272">
        <v>10141.41</v>
      </c>
      <c r="E17" s="272">
        <v>10141.41</v>
      </c>
      <c r="G17">
        <f t="shared" si="0"/>
        <v>10141.41</v>
      </c>
      <c r="H17">
        <f t="shared" si="1"/>
        <v>10141.41</v>
      </c>
      <c r="I17">
        <v>15</v>
      </c>
      <c r="J17" t="s">
        <v>6978</v>
      </c>
    </row>
    <row r="18" spans="1:10" x14ac:dyDescent="0.2">
      <c r="A18">
        <v>16</v>
      </c>
      <c r="B18" t="s">
        <v>2972</v>
      </c>
      <c r="C18" s="272">
        <v>29.17</v>
      </c>
      <c r="E18" s="272">
        <v>29.17</v>
      </c>
      <c r="G18">
        <f t="shared" si="0"/>
        <v>29.17</v>
      </c>
      <c r="H18">
        <f t="shared" si="1"/>
        <v>29.17</v>
      </c>
      <c r="I18">
        <v>16</v>
      </c>
      <c r="J18" t="s">
        <v>6978</v>
      </c>
    </row>
    <row r="19" spans="1:10" x14ac:dyDescent="0.2">
      <c r="A19">
        <v>17</v>
      </c>
      <c r="B19" t="s">
        <v>2973</v>
      </c>
      <c r="C19" s="272">
        <v>4985.45</v>
      </c>
      <c r="E19" s="272">
        <v>4985.45</v>
      </c>
      <c r="G19">
        <f t="shared" si="0"/>
        <v>4985.45</v>
      </c>
      <c r="H19">
        <f t="shared" si="1"/>
        <v>4985.45</v>
      </c>
      <c r="I19">
        <v>17</v>
      </c>
      <c r="J19" t="s">
        <v>6978</v>
      </c>
    </row>
    <row r="20" spans="1:10" x14ac:dyDescent="0.2">
      <c r="A20">
        <v>18</v>
      </c>
      <c r="B20" t="s">
        <v>3018</v>
      </c>
      <c r="C20" s="272">
        <v>6110.32</v>
      </c>
      <c r="E20" s="272">
        <v>6110.32</v>
      </c>
      <c r="G20">
        <f t="shared" si="0"/>
        <v>6110.32</v>
      </c>
      <c r="H20">
        <f t="shared" si="1"/>
        <v>6110.32</v>
      </c>
      <c r="I20">
        <v>18</v>
      </c>
      <c r="J20" t="s">
        <v>6978</v>
      </c>
    </row>
    <row r="21" spans="1:10" x14ac:dyDescent="0.2">
      <c r="A21">
        <v>19</v>
      </c>
      <c r="B21" t="s">
        <v>2975</v>
      </c>
      <c r="C21" s="272">
        <v>6597.48</v>
      </c>
      <c r="E21" s="272">
        <v>6597.48</v>
      </c>
      <c r="G21">
        <f t="shared" si="0"/>
        <v>6597.48</v>
      </c>
      <c r="H21">
        <f t="shared" si="1"/>
        <v>6597.48</v>
      </c>
      <c r="I21">
        <v>19</v>
      </c>
      <c r="J21" t="s">
        <v>6978</v>
      </c>
    </row>
    <row r="22" spans="1:10" x14ac:dyDescent="0.2">
      <c r="A22">
        <v>20</v>
      </c>
      <c r="B22" t="s">
        <v>3019</v>
      </c>
      <c r="C22" s="272">
        <v>27863.829999999998</v>
      </c>
      <c r="E22" s="272">
        <v>27863.829999999998</v>
      </c>
      <c r="G22">
        <f t="shared" si="0"/>
        <v>27863.829999999998</v>
      </c>
      <c r="H22">
        <f t="shared" si="1"/>
        <v>27863.829999999998</v>
      </c>
      <c r="I22">
        <v>20</v>
      </c>
      <c r="J22" t="s">
        <v>6978</v>
      </c>
    </row>
    <row r="23" spans="1:10" x14ac:dyDescent="0.2">
      <c r="A23">
        <v>21</v>
      </c>
      <c r="B23" t="s">
        <v>2977</v>
      </c>
      <c r="C23" s="272">
        <v>6824.05</v>
      </c>
      <c r="E23" s="272">
        <v>6824.05</v>
      </c>
      <c r="G23">
        <f t="shared" si="0"/>
        <v>6824.05</v>
      </c>
      <c r="H23">
        <f t="shared" si="1"/>
        <v>6824.05</v>
      </c>
      <c r="I23">
        <v>21</v>
      </c>
      <c r="J23" t="s">
        <v>6978</v>
      </c>
    </row>
    <row r="24" spans="1:10" x14ac:dyDescent="0.2">
      <c r="A24">
        <v>22</v>
      </c>
      <c r="B24" t="s">
        <v>145</v>
      </c>
      <c r="C24" s="272">
        <v>21734.36</v>
      </c>
      <c r="E24" s="272">
        <v>21734.36</v>
      </c>
      <c r="G24">
        <f t="shared" si="0"/>
        <v>21734.36</v>
      </c>
      <c r="H24">
        <f t="shared" si="1"/>
        <v>21734.36</v>
      </c>
      <c r="I24">
        <v>22</v>
      </c>
      <c r="J24" t="s">
        <v>6978</v>
      </c>
    </row>
    <row r="25" spans="1:10" x14ac:dyDescent="0.2">
      <c r="A25">
        <v>23</v>
      </c>
      <c r="B25" t="s">
        <v>215</v>
      </c>
      <c r="C25" s="272">
        <v>9017.35</v>
      </c>
      <c r="E25" s="272">
        <v>9017.35</v>
      </c>
      <c r="G25">
        <f t="shared" si="0"/>
        <v>9017.35</v>
      </c>
      <c r="H25">
        <f t="shared" si="1"/>
        <v>9017.35</v>
      </c>
      <c r="I25">
        <v>23</v>
      </c>
      <c r="J25" t="s">
        <v>6978</v>
      </c>
    </row>
    <row r="26" spans="1:10" x14ac:dyDescent="0.2">
      <c r="A26">
        <v>24</v>
      </c>
      <c r="B26" t="s">
        <v>3020</v>
      </c>
      <c r="C26" s="272">
        <v>10901.88</v>
      </c>
      <c r="E26" s="272">
        <v>10901.88</v>
      </c>
      <c r="G26">
        <f t="shared" si="0"/>
        <v>10901.88</v>
      </c>
      <c r="H26">
        <f t="shared" si="1"/>
        <v>10901.88</v>
      </c>
      <c r="I26">
        <v>24</v>
      </c>
      <c r="J26" t="s">
        <v>6978</v>
      </c>
    </row>
    <row r="27" spans="1:10" x14ac:dyDescent="0.2">
      <c r="A27">
        <v>25</v>
      </c>
      <c r="B27" t="s">
        <v>3021</v>
      </c>
      <c r="C27" s="272">
        <v>4597.1000000000004</v>
      </c>
      <c r="E27" s="272">
        <v>4597.1000000000004</v>
      </c>
      <c r="G27">
        <f t="shared" si="0"/>
        <v>4597.1000000000004</v>
      </c>
      <c r="H27">
        <f t="shared" si="1"/>
        <v>4597.1000000000004</v>
      </c>
      <c r="I27">
        <v>25</v>
      </c>
      <c r="J27" t="s">
        <v>6978</v>
      </c>
    </row>
    <row r="28" spans="1:10" x14ac:dyDescent="0.2">
      <c r="A28">
        <v>26</v>
      </c>
      <c r="B28" t="s">
        <v>2981</v>
      </c>
      <c r="C28" s="272">
        <v>383.32</v>
      </c>
      <c r="E28" s="272">
        <v>383.32</v>
      </c>
      <c r="G28">
        <f t="shared" si="0"/>
        <v>383.32</v>
      </c>
      <c r="H28">
        <f t="shared" si="1"/>
        <v>383.32</v>
      </c>
      <c r="I28">
        <v>26</v>
      </c>
      <c r="J28" t="s">
        <v>6978</v>
      </c>
    </row>
    <row r="29" spans="1:10" x14ac:dyDescent="0.2">
      <c r="A29">
        <v>27</v>
      </c>
      <c r="B29" t="s">
        <v>33</v>
      </c>
      <c r="C29" s="272">
        <v>370.35</v>
      </c>
      <c r="E29" s="272">
        <v>370.35</v>
      </c>
      <c r="G29">
        <f t="shared" si="0"/>
        <v>370.35</v>
      </c>
      <c r="H29">
        <f t="shared" si="1"/>
        <v>370.35</v>
      </c>
      <c r="I29">
        <v>27</v>
      </c>
      <c r="J29" t="s">
        <v>6978</v>
      </c>
    </row>
    <row r="30" spans="1:10" x14ac:dyDescent="0.2">
      <c r="A30">
        <v>28</v>
      </c>
      <c r="B30" t="s">
        <v>3022</v>
      </c>
      <c r="C30" s="272">
        <v>202294.70999999996</v>
      </c>
      <c r="E30" s="272">
        <v>202294.70999999996</v>
      </c>
      <c r="G30">
        <f t="shared" si="0"/>
        <v>202294.70999999996</v>
      </c>
      <c r="H30">
        <f t="shared" si="1"/>
        <v>202294.70999999996</v>
      </c>
      <c r="I30">
        <v>28</v>
      </c>
      <c r="J30" t="s">
        <v>6978</v>
      </c>
    </row>
    <row r="31" spans="1:10" x14ac:dyDescent="0.2">
      <c r="A31">
        <v>29</v>
      </c>
      <c r="B31" t="s">
        <v>3023</v>
      </c>
      <c r="C31" s="272">
        <v>82739.990000000005</v>
      </c>
      <c r="E31" s="272">
        <v>82739.990000000005</v>
      </c>
      <c r="G31">
        <f t="shared" si="0"/>
        <v>82739.990000000005</v>
      </c>
      <c r="H31">
        <f t="shared" si="1"/>
        <v>82739.990000000005</v>
      </c>
      <c r="I31">
        <v>29</v>
      </c>
      <c r="J31" t="s">
        <v>6978</v>
      </c>
    </row>
    <row r="32" spans="1:10" x14ac:dyDescent="0.2">
      <c r="A32">
        <v>30</v>
      </c>
      <c r="B32" t="s">
        <v>2986</v>
      </c>
      <c r="G32">
        <f t="shared" si="0"/>
        <v>0</v>
      </c>
      <c r="H32">
        <f t="shared" si="1"/>
        <v>0</v>
      </c>
      <c r="I32">
        <v>30</v>
      </c>
      <c r="J32" t="s">
        <v>6978</v>
      </c>
    </row>
    <row r="33" spans="1:10" x14ac:dyDescent="0.2">
      <c r="A33">
        <v>31</v>
      </c>
      <c r="B33" t="s">
        <v>3024</v>
      </c>
      <c r="C33" s="272">
        <v>-2407.3000000000002</v>
      </c>
      <c r="E33" s="272">
        <v>-2407.3000000000002</v>
      </c>
      <c r="G33">
        <f t="shared" si="0"/>
        <v>-2407.3000000000002</v>
      </c>
      <c r="H33">
        <f t="shared" si="1"/>
        <v>-2407.3000000000002</v>
      </c>
      <c r="I33">
        <v>31</v>
      </c>
      <c r="J33" t="s">
        <v>6978</v>
      </c>
    </row>
    <row r="34" spans="1:10" x14ac:dyDescent="0.2">
      <c r="A34">
        <v>32</v>
      </c>
      <c r="B34" t="s">
        <v>3025</v>
      </c>
      <c r="C34" s="272">
        <v>80332.69</v>
      </c>
      <c r="E34" s="272">
        <v>80332.69</v>
      </c>
      <c r="G34">
        <f t="shared" si="0"/>
        <v>80332.69</v>
      </c>
      <c r="H34">
        <f t="shared" si="1"/>
        <v>80332.69</v>
      </c>
      <c r="I34">
        <v>32</v>
      </c>
      <c r="J34" t="s">
        <v>6978</v>
      </c>
    </row>
    <row r="35" spans="1:10" x14ac:dyDescent="0.2">
      <c r="A35">
        <v>33</v>
      </c>
      <c r="B35" t="s">
        <v>2989</v>
      </c>
      <c r="G35">
        <f t="shared" si="0"/>
        <v>0</v>
      </c>
      <c r="H35">
        <f t="shared" si="1"/>
        <v>0</v>
      </c>
      <c r="I35">
        <v>33</v>
      </c>
      <c r="J35" t="s">
        <v>6978</v>
      </c>
    </row>
    <row r="36" spans="1:10" x14ac:dyDescent="0.2">
      <c r="A36">
        <v>34</v>
      </c>
      <c r="B36" t="s">
        <v>276</v>
      </c>
      <c r="C36" s="272">
        <v>27580</v>
      </c>
      <c r="E36" s="272">
        <v>27580</v>
      </c>
      <c r="G36">
        <f t="shared" si="0"/>
        <v>27580</v>
      </c>
      <c r="H36">
        <f t="shared" si="1"/>
        <v>27580</v>
      </c>
      <c r="I36">
        <v>34</v>
      </c>
      <c r="J36" t="s">
        <v>6978</v>
      </c>
    </row>
    <row r="37" spans="1:10" x14ac:dyDescent="0.2">
      <c r="A37">
        <v>35</v>
      </c>
      <c r="B37" t="s">
        <v>213</v>
      </c>
      <c r="C37" s="272">
        <v>1661</v>
      </c>
      <c r="E37" s="272">
        <v>1661</v>
      </c>
      <c r="G37">
        <f t="shared" si="0"/>
        <v>1661</v>
      </c>
      <c r="H37">
        <f t="shared" si="1"/>
        <v>1661</v>
      </c>
      <c r="I37">
        <v>35</v>
      </c>
      <c r="J37" t="s">
        <v>6978</v>
      </c>
    </row>
    <row r="38" spans="1:10" x14ac:dyDescent="0.2">
      <c r="A38">
        <v>36</v>
      </c>
      <c r="B38" t="s">
        <v>41</v>
      </c>
      <c r="C38" s="272">
        <v>2554.36</v>
      </c>
      <c r="E38" s="272">
        <v>2554.36</v>
      </c>
      <c r="G38">
        <f t="shared" si="0"/>
        <v>2554.36</v>
      </c>
      <c r="H38">
        <f t="shared" si="1"/>
        <v>2554.36</v>
      </c>
      <c r="I38">
        <v>36</v>
      </c>
      <c r="J38" t="s">
        <v>6978</v>
      </c>
    </row>
    <row r="39" spans="1:10" x14ac:dyDescent="0.2">
      <c r="A39">
        <v>37</v>
      </c>
      <c r="B39" t="s">
        <v>3026</v>
      </c>
      <c r="C39" s="272">
        <v>5381.01</v>
      </c>
      <c r="E39" s="272">
        <v>5381.01</v>
      </c>
      <c r="G39">
        <f t="shared" si="0"/>
        <v>5381.01</v>
      </c>
      <c r="H39">
        <f t="shared" si="1"/>
        <v>5381.01</v>
      </c>
      <c r="I39">
        <v>37</v>
      </c>
      <c r="J39" t="s">
        <v>6978</v>
      </c>
    </row>
    <row r="40" spans="1:10" x14ac:dyDescent="0.2">
      <c r="A40">
        <v>38</v>
      </c>
      <c r="B40" t="s">
        <v>3027</v>
      </c>
      <c r="C40" s="272">
        <v>6200</v>
      </c>
      <c r="E40" s="272">
        <v>6200</v>
      </c>
      <c r="G40">
        <f t="shared" si="0"/>
        <v>6200</v>
      </c>
      <c r="H40">
        <f t="shared" si="1"/>
        <v>6200</v>
      </c>
      <c r="I40">
        <v>38</v>
      </c>
      <c r="J40" t="s">
        <v>6978</v>
      </c>
    </row>
    <row r="41" spans="1:10" x14ac:dyDescent="0.2">
      <c r="A41">
        <v>39</v>
      </c>
      <c r="B41" t="s">
        <v>2990</v>
      </c>
      <c r="C41" s="272">
        <v>1156.72</v>
      </c>
      <c r="E41" s="272">
        <v>1156.72</v>
      </c>
      <c r="G41">
        <f t="shared" si="0"/>
        <v>1156.72</v>
      </c>
      <c r="H41">
        <f t="shared" si="1"/>
        <v>1156.72</v>
      </c>
      <c r="I41">
        <v>39</v>
      </c>
      <c r="J41" t="s">
        <v>6978</v>
      </c>
    </row>
    <row r="42" spans="1:10" x14ac:dyDescent="0.2">
      <c r="A42">
        <v>40</v>
      </c>
      <c r="B42" t="s">
        <v>3029</v>
      </c>
      <c r="C42" s="272">
        <v>-655.5</v>
      </c>
      <c r="E42" s="272">
        <v>-655.5</v>
      </c>
      <c r="G42">
        <f t="shared" si="0"/>
        <v>-655.5</v>
      </c>
      <c r="H42">
        <f t="shared" si="1"/>
        <v>-655.5</v>
      </c>
      <c r="I42">
        <v>40</v>
      </c>
      <c r="J42" t="s">
        <v>6978</v>
      </c>
    </row>
    <row r="43" spans="1:10" x14ac:dyDescent="0.2">
      <c r="A43">
        <v>41.1</v>
      </c>
      <c r="B43" t="s">
        <v>64</v>
      </c>
      <c r="C43" s="272">
        <v>8824.31</v>
      </c>
      <c r="E43" s="272">
        <v>8824.31</v>
      </c>
      <c r="G43">
        <f>-SUM(C43)+SUM(D43)</f>
        <v>-8824.31</v>
      </c>
      <c r="H43">
        <f>-SUM(E43)+SUM(F43)</f>
        <v>-8824.31</v>
      </c>
      <c r="I43" t="s">
        <v>2991</v>
      </c>
      <c r="J43" t="s">
        <v>6978</v>
      </c>
    </row>
    <row r="44" spans="1:10" x14ac:dyDescent="0.2">
      <c r="A44">
        <v>41.2</v>
      </c>
      <c r="B44" t="s">
        <v>151</v>
      </c>
      <c r="C44" s="272">
        <v>6935.79</v>
      </c>
      <c r="E44" s="272">
        <v>6935.79</v>
      </c>
      <c r="G44">
        <f t="shared" si="0"/>
        <v>6935.79</v>
      </c>
      <c r="H44">
        <f t="shared" si="1"/>
        <v>6935.79</v>
      </c>
      <c r="I44" t="s">
        <v>2992</v>
      </c>
      <c r="J44" t="s">
        <v>6978</v>
      </c>
    </row>
    <row r="45" spans="1:10" x14ac:dyDescent="0.2">
      <c r="A45">
        <v>41</v>
      </c>
      <c r="B45" t="s">
        <v>3031</v>
      </c>
      <c r="C45" s="272">
        <v>1888.5199999999995</v>
      </c>
      <c r="E45" s="272">
        <v>1888.5199999999995</v>
      </c>
      <c r="G45">
        <f t="shared" si="0"/>
        <v>1888.5199999999995</v>
      </c>
      <c r="H45">
        <f t="shared" si="1"/>
        <v>1888.5199999999995</v>
      </c>
      <c r="I45">
        <v>41</v>
      </c>
      <c r="J45" t="s">
        <v>6978</v>
      </c>
    </row>
    <row r="46" spans="1:10" x14ac:dyDescent="0.2">
      <c r="A46">
        <v>42</v>
      </c>
      <c r="B46" t="s">
        <v>3032</v>
      </c>
      <c r="C46" s="272">
        <v>-496.14</v>
      </c>
      <c r="E46" s="272">
        <v>-496.14</v>
      </c>
      <c r="G46">
        <f t="shared" si="0"/>
        <v>-496.14</v>
      </c>
      <c r="H46">
        <f t="shared" si="1"/>
        <v>-496.14</v>
      </c>
      <c r="I46">
        <v>42</v>
      </c>
      <c r="J46" t="s">
        <v>6978</v>
      </c>
    </row>
    <row r="47" spans="1:10" x14ac:dyDescent="0.2">
      <c r="A47">
        <v>43</v>
      </c>
      <c r="B47" t="s">
        <v>3033</v>
      </c>
      <c r="C47" s="272">
        <v>80469.089999999967</v>
      </c>
      <c r="E47" s="272">
        <v>80469.089999999967</v>
      </c>
      <c r="G47">
        <f t="shared" si="0"/>
        <v>80469.089999999967</v>
      </c>
      <c r="H47">
        <f t="shared" si="1"/>
        <v>80469.089999999967</v>
      </c>
      <c r="I47">
        <v>43</v>
      </c>
      <c r="J47" t="s">
        <v>6978</v>
      </c>
    </row>
    <row r="48" spans="1:10" x14ac:dyDescent="0.2">
      <c r="A48">
        <v>44</v>
      </c>
      <c r="B48" t="s">
        <v>3034</v>
      </c>
      <c r="C48" s="272">
        <v>87329.669999999969</v>
      </c>
      <c r="E48" s="272">
        <v>87329.669999999969</v>
      </c>
      <c r="G48">
        <f t="shared" si="0"/>
        <v>87329.669999999969</v>
      </c>
      <c r="H48">
        <f t="shared" si="1"/>
        <v>87329.669999999969</v>
      </c>
      <c r="I48">
        <v>44</v>
      </c>
      <c r="J48" t="s">
        <v>6978</v>
      </c>
    </row>
    <row r="49" spans="1:10" x14ac:dyDescent="0.2">
      <c r="A49">
        <v>45</v>
      </c>
      <c r="B49" t="s">
        <v>2996</v>
      </c>
      <c r="G49">
        <f t="shared" si="0"/>
        <v>0</v>
      </c>
      <c r="H49">
        <f t="shared" si="1"/>
        <v>0</v>
      </c>
      <c r="I49">
        <v>45</v>
      </c>
      <c r="J49" t="s">
        <v>6978</v>
      </c>
    </row>
    <row r="50" spans="1:10" x14ac:dyDescent="0.2">
      <c r="A50">
        <v>46</v>
      </c>
      <c r="B50" t="s">
        <v>3035</v>
      </c>
      <c r="C50" s="272">
        <v>35146</v>
      </c>
      <c r="E50" s="272">
        <v>35146</v>
      </c>
      <c r="G50">
        <f t="shared" si="0"/>
        <v>35146</v>
      </c>
      <c r="H50">
        <f t="shared" si="1"/>
        <v>35146</v>
      </c>
      <c r="I50">
        <v>46</v>
      </c>
      <c r="J50" t="s">
        <v>6978</v>
      </c>
    </row>
    <row r="51" spans="1:10" x14ac:dyDescent="0.2">
      <c r="A51">
        <v>47</v>
      </c>
      <c r="B51" t="s">
        <v>3036</v>
      </c>
      <c r="C51" s="272">
        <v>45323.089999999967</v>
      </c>
      <c r="E51" s="272">
        <v>45323.089999999967</v>
      </c>
      <c r="G51">
        <f t="shared" si="0"/>
        <v>45323.089999999967</v>
      </c>
      <c r="H51">
        <f t="shared" si="1"/>
        <v>45323.089999999967</v>
      </c>
      <c r="I51">
        <v>47</v>
      </c>
      <c r="J51" t="s">
        <v>6978</v>
      </c>
    </row>
    <row r="52" spans="1:10" x14ac:dyDescent="0.2">
      <c r="A52">
        <v>48</v>
      </c>
      <c r="B52" t="s">
        <v>357</v>
      </c>
      <c r="C52" s="272">
        <v>16618.47</v>
      </c>
      <c r="E52" s="272">
        <v>16618.47</v>
      </c>
      <c r="G52">
        <f t="shared" si="0"/>
        <v>16618.47</v>
      </c>
      <c r="H52">
        <f t="shared" si="1"/>
        <v>16618.47</v>
      </c>
      <c r="I52">
        <v>48</v>
      </c>
      <c r="J52" t="s">
        <v>6978</v>
      </c>
    </row>
    <row r="53" spans="1:10" x14ac:dyDescent="0.2">
      <c r="A53">
        <v>49</v>
      </c>
      <c r="B53" t="s">
        <v>3038</v>
      </c>
      <c r="C53" s="272">
        <v>28704.619999999966</v>
      </c>
      <c r="E53" s="272">
        <v>28704.619999999966</v>
      </c>
      <c r="G53">
        <f t="shared" si="0"/>
        <v>28704.619999999966</v>
      </c>
      <c r="H53">
        <f t="shared" si="1"/>
        <v>28704.619999999966</v>
      </c>
      <c r="I53">
        <v>49</v>
      </c>
      <c r="J53" t="s">
        <v>6978</v>
      </c>
    </row>
    <row r="227" spans="7:10" x14ac:dyDescent="0.2">
      <c r="G227">
        <f t="shared" ref="G227" si="2">SUM(C227)-SUM(D227)</f>
        <v>0</v>
      </c>
      <c r="H227">
        <f t="shared" ref="H227" si="3">SUM(E227)-SUM(F227)</f>
        <v>0</v>
      </c>
      <c r="I227">
        <f>IF(A227="Total",VLOOKUP(B227,CORRESPONDANCE[#All],2,FALSE),I228)</f>
        <v>0</v>
      </c>
      <c r="J227" t="str">
        <f t="shared" ref="J227" si="4">LEFT(A227,1)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BFA0-C107-4E03-831E-ED88D46E3CC9}">
  <sheetPr>
    <tabColor theme="7" tint="0.59999389629810485"/>
  </sheetPr>
  <dimension ref="A1:J227"/>
  <sheetViews>
    <sheetView workbookViewId="0">
      <selection activeCell="F10" sqref="F10"/>
    </sheetView>
  </sheetViews>
  <sheetFormatPr baseColWidth="10" defaultRowHeight="12.75" x14ac:dyDescent="0.2"/>
  <cols>
    <col min="2" max="2" width="35.28515625" bestFit="1" customWidth="1"/>
    <col min="3" max="3" width="24.85546875" style="272" bestFit="1" customWidth="1"/>
    <col min="4" max="4" width="11.42578125" style="272"/>
    <col min="5" max="5" width="13.5703125" style="272" bestFit="1" customWidth="1"/>
    <col min="6" max="6" width="11.42578125" style="272"/>
    <col min="7" max="8" width="12.7109375" bestFit="1" customWidth="1"/>
  </cols>
  <sheetData>
    <row r="1" spans="1:10" x14ac:dyDescent="0.2">
      <c r="A1" t="s">
        <v>6979</v>
      </c>
      <c r="B1" t="s">
        <v>6980</v>
      </c>
      <c r="G1" t="s">
        <v>2509</v>
      </c>
      <c r="H1" t="s">
        <v>2510</v>
      </c>
      <c r="I1" t="s">
        <v>2511</v>
      </c>
      <c r="J1" t="s">
        <v>2512</v>
      </c>
    </row>
    <row r="2" spans="1:10" x14ac:dyDescent="0.2">
      <c r="A2">
        <v>1</v>
      </c>
      <c r="B2" t="s">
        <v>3006</v>
      </c>
      <c r="C2" s="272">
        <v>220740.84</v>
      </c>
      <c r="E2" s="272">
        <v>220740.84</v>
      </c>
      <c r="G2">
        <f>-SUM(C2)+SUM(D2)</f>
        <v>-220740.84</v>
      </c>
      <c r="H2">
        <f>-SUM(E2)+SUM(F2)</f>
        <v>-220740.84</v>
      </c>
      <c r="I2">
        <v>1</v>
      </c>
      <c r="J2" t="s">
        <v>6978</v>
      </c>
    </row>
    <row r="3" spans="1:10" x14ac:dyDescent="0.2">
      <c r="A3">
        <v>2</v>
      </c>
      <c r="B3" t="s">
        <v>222</v>
      </c>
      <c r="C3" s="272">
        <v>217685.38</v>
      </c>
      <c r="E3" s="272">
        <v>217685.38</v>
      </c>
      <c r="G3">
        <f>-SUM(C3)+SUM(D3)</f>
        <v>-217685.38</v>
      </c>
      <c r="H3">
        <f>-SUM(E3)+SUM(F3)</f>
        <v>-217685.38</v>
      </c>
      <c r="I3">
        <v>2</v>
      </c>
      <c r="J3" t="s">
        <v>6978</v>
      </c>
    </row>
    <row r="4" spans="1:10" x14ac:dyDescent="0.2">
      <c r="A4">
        <v>3</v>
      </c>
      <c r="B4" t="s">
        <v>7021</v>
      </c>
      <c r="C4" s="272">
        <v>47830.02</v>
      </c>
      <c r="E4" s="272">
        <v>47830.02</v>
      </c>
      <c r="G4">
        <f>SUM(C4)-SUM(D4)</f>
        <v>47830.02</v>
      </c>
      <c r="H4">
        <f>SUM(E4)-SUM(F4)</f>
        <v>47830.02</v>
      </c>
      <c r="I4">
        <v>3</v>
      </c>
      <c r="J4" t="s">
        <v>6978</v>
      </c>
    </row>
    <row r="5" spans="1:10" x14ac:dyDescent="0.2">
      <c r="A5">
        <v>4</v>
      </c>
      <c r="B5" t="s">
        <v>517</v>
      </c>
      <c r="C5" s="272">
        <v>1208.45</v>
      </c>
      <c r="E5" s="272">
        <v>1208.45</v>
      </c>
      <c r="G5">
        <f t="shared" ref="G5:G53" si="0">SUM(C5)-SUM(D5)</f>
        <v>1208.45</v>
      </c>
      <c r="H5">
        <f>SUM(E5)-SUM(F5)</f>
        <v>1208.45</v>
      </c>
      <c r="I5">
        <v>4</v>
      </c>
      <c r="J5" t="s">
        <v>6978</v>
      </c>
    </row>
    <row r="6" spans="1:10" x14ac:dyDescent="0.2">
      <c r="A6">
        <v>5</v>
      </c>
      <c r="B6" t="s">
        <v>3008</v>
      </c>
      <c r="C6" s="272">
        <v>1821.88</v>
      </c>
      <c r="E6" s="272">
        <v>1821.88</v>
      </c>
      <c r="G6">
        <f t="shared" si="0"/>
        <v>1821.88</v>
      </c>
      <c r="H6">
        <f t="shared" ref="H6:H53" si="1">SUM(E6)-SUM(F6)</f>
        <v>1821.88</v>
      </c>
      <c r="I6">
        <v>5</v>
      </c>
      <c r="J6" t="s">
        <v>6978</v>
      </c>
    </row>
    <row r="7" spans="1:10" x14ac:dyDescent="0.2">
      <c r="A7">
        <v>6</v>
      </c>
      <c r="B7" t="s">
        <v>3009</v>
      </c>
      <c r="C7" s="272">
        <v>5086.7299999999996</v>
      </c>
      <c r="E7" s="272">
        <v>5086.7299999999996</v>
      </c>
      <c r="G7">
        <f t="shared" si="0"/>
        <v>5086.7299999999996</v>
      </c>
      <c r="H7">
        <f t="shared" si="1"/>
        <v>5086.7299999999996</v>
      </c>
      <c r="I7">
        <v>6</v>
      </c>
      <c r="J7" t="s">
        <v>6978</v>
      </c>
    </row>
    <row r="8" spans="1:10" x14ac:dyDescent="0.2">
      <c r="A8">
        <v>6.1</v>
      </c>
      <c r="B8" t="s">
        <v>2965</v>
      </c>
      <c r="C8" s="272">
        <v>4274.5600000000004</v>
      </c>
      <c r="E8" s="272">
        <v>4274.5600000000004</v>
      </c>
      <c r="G8">
        <f t="shared" si="0"/>
        <v>4274.5600000000004</v>
      </c>
      <c r="H8">
        <f t="shared" si="1"/>
        <v>4274.5600000000004</v>
      </c>
      <c r="I8" t="s">
        <v>2964</v>
      </c>
      <c r="J8" t="s">
        <v>6978</v>
      </c>
    </row>
    <row r="9" spans="1:10" x14ac:dyDescent="0.2">
      <c r="A9">
        <v>7</v>
      </c>
      <c r="B9" t="s">
        <v>3011</v>
      </c>
      <c r="C9" s="272">
        <v>157463.74000000002</v>
      </c>
      <c r="E9" s="272">
        <v>157463.74000000002</v>
      </c>
      <c r="G9">
        <f t="shared" si="0"/>
        <v>157463.74000000002</v>
      </c>
      <c r="H9">
        <f t="shared" si="1"/>
        <v>157463.74000000002</v>
      </c>
      <c r="I9">
        <v>7</v>
      </c>
      <c r="J9" t="s">
        <v>6978</v>
      </c>
    </row>
    <row r="10" spans="1:10" x14ac:dyDescent="0.2">
      <c r="A10">
        <v>8</v>
      </c>
      <c r="B10" t="s">
        <v>3012</v>
      </c>
      <c r="C10" s="272">
        <v>37851.33</v>
      </c>
      <c r="E10" s="272">
        <v>37851.33</v>
      </c>
      <c r="G10">
        <f t="shared" si="0"/>
        <v>37851.33</v>
      </c>
      <c r="H10">
        <f t="shared" si="1"/>
        <v>37851.33</v>
      </c>
      <c r="I10">
        <v>8</v>
      </c>
      <c r="J10" t="s">
        <v>6978</v>
      </c>
    </row>
    <row r="11" spans="1:10" x14ac:dyDescent="0.2">
      <c r="A11">
        <v>9</v>
      </c>
      <c r="B11" t="s">
        <v>3013</v>
      </c>
      <c r="C11" s="272">
        <v>6354.98</v>
      </c>
      <c r="E11" s="272">
        <v>6354.98</v>
      </c>
      <c r="G11">
        <f t="shared" si="0"/>
        <v>6354.98</v>
      </c>
      <c r="H11">
        <f t="shared" si="1"/>
        <v>6354.98</v>
      </c>
      <c r="I11">
        <v>9</v>
      </c>
      <c r="J11" t="s">
        <v>6978</v>
      </c>
    </row>
    <row r="12" spans="1:10" x14ac:dyDescent="0.2">
      <c r="A12">
        <v>10</v>
      </c>
      <c r="B12" t="s">
        <v>3014</v>
      </c>
      <c r="C12" s="272">
        <v>11027.81</v>
      </c>
      <c r="E12" s="272">
        <v>11027.81</v>
      </c>
      <c r="G12">
        <f t="shared" si="0"/>
        <v>11027.81</v>
      </c>
      <c r="H12">
        <f t="shared" si="1"/>
        <v>11027.81</v>
      </c>
      <c r="I12">
        <v>10</v>
      </c>
      <c r="J12" t="s">
        <v>6978</v>
      </c>
    </row>
    <row r="13" spans="1:10" x14ac:dyDescent="0.2">
      <c r="A13">
        <v>11</v>
      </c>
      <c r="B13" t="s">
        <v>3015</v>
      </c>
      <c r="C13" s="272">
        <v>3084.86</v>
      </c>
      <c r="E13" s="272">
        <v>3084.86</v>
      </c>
      <c r="G13">
        <f t="shared" si="0"/>
        <v>3084.86</v>
      </c>
      <c r="H13">
        <f t="shared" si="1"/>
        <v>3084.86</v>
      </c>
      <c r="I13">
        <v>11</v>
      </c>
      <c r="J13" t="s">
        <v>6978</v>
      </c>
    </row>
    <row r="14" spans="1:10" x14ac:dyDescent="0.2">
      <c r="A14">
        <v>12</v>
      </c>
      <c r="B14" t="s">
        <v>2969</v>
      </c>
      <c r="G14">
        <f t="shared" si="0"/>
        <v>0</v>
      </c>
      <c r="H14">
        <f t="shared" si="1"/>
        <v>0</v>
      </c>
      <c r="I14">
        <v>12</v>
      </c>
      <c r="J14" t="s">
        <v>6978</v>
      </c>
    </row>
    <row r="15" spans="1:10" x14ac:dyDescent="0.2">
      <c r="A15">
        <v>13</v>
      </c>
      <c r="B15" t="s">
        <v>2970</v>
      </c>
      <c r="G15">
        <f t="shared" si="0"/>
        <v>0</v>
      </c>
      <c r="H15">
        <f t="shared" si="1"/>
        <v>0</v>
      </c>
      <c r="I15">
        <v>13</v>
      </c>
      <c r="J15" t="s">
        <v>6978</v>
      </c>
    </row>
    <row r="16" spans="1:10" x14ac:dyDescent="0.2">
      <c r="A16">
        <v>14</v>
      </c>
      <c r="B16" t="s">
        <v>3017</v>
      </c>
      <c r="C16" s="272">
        <v>58318.979999999996</v>
      </c>
      <c r="E16" s="272">
        <v>58318.979999999996</v>
      </c>
      <c r="G16">
        <f t="shared" si="0"/>
        <v>58318.979999999996</v>
      </c>
      <c r="H16">
        <f t="shared" si="1"/>
        <v>58318.979999999996</v>
      </c>
      <c r="I16">
        <v>14</v>
      </c>
      <c r="J16" t="s">
        <v>6978</v>
      </c>
    </row>
    <row r="17" spans="1:10" x14ac:dyDescent="0.2">
      <c r="A17">
        <v>15</v>
      </c>
      <c r="B17" t="s">
        <v>2174</v>
      </c>
      <c r="C17" s="272">
        <v>85.23</v>
      </c>
      <c r="E17" s="272">
        <v>85.23</v>
      </c>
      <c r="G17">
        <f t="shared" si="0"/>
        <v>85.23</v>
      </c>
      <c r="H17">
        <f t="shared" si="1"/>
        <v>85.23</v>
      </c>
      <c r="I17">
        <v>15</v>
      </c>
      <c r="J17" t="s">
        <v>6978</v>
      </c>
    </row>
    <row r="18" spans="1:10" x14ac:dyDescent="0.2">
      <c r="A18">
        <v>16</v>
      </c>
      <c r="B18" t="s">
        <v>2972</v>
      </c>
      <c r="C18" s="272">
        <v>29.17</v>
      </c>
      <c r="E18" s="272">
        <v>29.17</v>
      </c>
      <c r="G18">
        <f t="shared" si="0"/>
        <v>29.17</v>
      </c>
      <c r="H18">
        <f t="shared" si="1"/>
        <v>29.17</v>
      </c>
      <c r="I18">
        <v>16</v>
      </c>
      <c r="J18" t="s">
        <v>6978</v>
      </c>
    </row>
    <row r="19" spans="1:10" x14ac:dyDescent="0.2">
      <c r="A19">
        <v>17</v>
      </c>
      <c r="B19" t="s">
        <v>2973</v>
      </c>
      <c r="C19" s="272">
        <v>1492.38</v>
      </c>
      <c r="E19" s="272">
        <v>1492.38</v>
      </c>
      <c r="G19">
        <f t="shared" si="0"/>
        <v>1492.38</v>
      </c>
      <c r="H19">
        <f t="shared" si="1"/>
        <v>1492.38</v>
      </c>
      <c r="I19">
        <v>17</v>
      </c>
      <c r="J19" t="s">
        <v>6978</v>
      </c>
    </row>
    <row r="20" spans="1:10" x14ac:dyDescent="0.2">
      <c r="A20">
        <v>18</v>
      </c>
      <c r="B20" t="s">
        <v>3018</v>
      </c>
      <c r="C20" s="272">
        <v>4262.08</v>
      </c>
      <c r="E20" s="272">
        <v>4262.08</v>
      </c>
      <c r="G20">
        <f t="shared" si="0"/>
        <v>4262.08</v>
      </c>
      <c r="H20">
        <f t="shared" si="1"/>
        <v>4262.08</v>
      </c>
      <c r="I20">
        <v>18</v>
      </c>
      <c r="J20" t="s">
        <v>6978</v>
      </c>
    </row>
    <row r="21" spans="1:10" x14ac:dyDescent="0.2">
      <c r="A21">
        <v>19</v>
      </c>
      <c r="B21" t="s">
        <v>2975</v>
      </c>
      <c r="C21" s="272">
        <v>2282.11</v>
      </c>
      <c r="E21" s="272">
        <v>2282.11</v>
      </c>
      <c r="G21">
        <f t="shared" si="0"/>
        <v>2282.11</v>
      </c>
      <c r="H21">
        <f t="shared" si="1"/>
        <v>2282.11</v>
      </c>
      <c r="I21">
        <v>19</v>
      </c>
      <c r="J21" t="s">
        <v>6978</v>
      </c>
    </row>
    <row r="22" spans="1:10" x14ac:dyDescent="0.2">
      <c r="A22">
        <v>20</v>
      </c>
      <c r="B22" t="s">
        <v>3019</v>
      </c>
      <c r="C22" s="272">
        <v>8150.9700000000012</v>
      </c>
      <c r="E22" s="272">
        <v>8150.9700000000012</v>
      </c>
      <c r="G22">
        <f t="shared" si="0"/>
        <v>8150.9700000000012</v>
      </c>
      <c r="H22">
        <f t="shared" si="1"/>
        <v>8150.9700000000012</v>
      </c>
      <c r="I22">
        <v>20</v>
      </c>
      <c r="J22" t="s">
        <v>6978</v>
      </c>
    </row>
    <row r="23" spans="1:10" x14ac:dyDescent="0.2">
      <c r="A23">
        <v>21</v>
      </c>
      <c r="B23" t="s">
        <v>2977</v>
      </c>
      <c r="C23" s="272">
        <v>11722.3</v>
      </c>
      <c r="E23" s="272">
        <v>11722.3</v>
      </c>
      <c r="G23">
        <f t="shared" si="0"/>
        <v>11722.3</v>
      </c>
      <c r="H23">
        <f t="shared" si="1"/>
        <v>11722.3</v>
      </c>
      <c r="I23">
        <v>21</v>
      </c>
      <c r="J23" t="s">
        <v>6978</v>
      </c>
    </row>
    <row r="24" spans="1:10" x14ac:dyDescent="0.2">
      <c r="A24">
        <v>22</v>
      </c>
      <c r="B24" t="s">
        <v>145</v>
      </c>
      <c r="C24" s="272">
        <v>8845.31</v>
      </c>
      <c r="E24" s="272">
        <v>8845.31</v>
      </c>
      <c r="G24">
        <f t="shared" si="0"/>
        <v>8845.31</v>
      </c>
      <c r="H24">
        <f t="shared" si="1"/>
        <v>8845.31</v>
      </c>
      <c r="I24">
        <v>22</v>
      </c>
      <c r="J24" t="s">
        <v>6978</v>
      </c>
    </row>
    <row r="25" spans="1:10" x14ac:dyDescent="0.2">
      <c r="A25">
        <v>23</v>
      </c>
      <c r="B25" t="s">
        <v>215</v>
      </c>
      <c r="C25" s="272">
        <v>5429.68</v>
      </c>
      <c r="E25" s="272">
        <v>5429.68</v>
      </c>
      <c r="G25">
        <f t="shared" si="0"/>
        <v>5429.68</v>
      </c>
      <c r="H25">
        <f t="shared" si="1"/>
        <v>5429.68</v>
      </c>
      <c r="I25">
        <v>23</v>
      </c>
      <c r="J25" t="s">
        <v>6978</v>
      </c>
    </row>
    <row r="26" spans="1:10" x14ac:dyDescent="0.2">
      <c r="A26">
        <v>24</v>
      </c>
      <c r="B26" t="s">
        <v>3020</v>
      </c>
      <c r="C26" s="272">
        <v>6521.4</v>
      </c>
      <c r="E26" s="272">
        <v>6521.4</v>
      </c>
      <c r="G26">
        <f t="shared" si="0"/>
        <v>6521.4</v>
      </c>
      <c r="H26">
        <f t="shared" si="1"/>
        <v>6521.4</v>
      </c>
      <c r="I26">
        <v>24</v>
      </c>
      <c r="J26" t="s">
        <v>6978</v>
      </c>
    </row>
    <row r="27" spans="1:10" x14ac:dyDescent="0.2">
      <c r="A27">
        <v>25</v>
      </c>
      <c r="B27" t="s">
        <v>3021</v>
      </c>
      <c r="C27" s="272">
        <v>1437.1</v>
      </c>
      <c r="E27" s="272">
        <v>1437.1</v>
      </c>
      <c r="G27">
        <f t="shared" si="0"/>
        <v>1437.1</v>
      </c>
      <c r="H27">
        <f t="shared" si="1"/>
        <v>1437.1</v>
      </c>
      <c r="I27">
        <v>25</v>
      </c>
      <c r="J27" t="s">
        <v>6978</v>
      </c>
    </row>
    <row r="28" spans="1:10" x14ac:dyDescent="0.2">
      <c r="A28">
        <v>26</v>
      </c>
      <c r="B28" t="s">
        <v>2981</v>
      </c>
      <c r="C28" s="272">
        <v>45</v>
      </c>
      <c r="E28" s="272">
        <v>45</v>
      </c>
      <c r="G28">
        <f t="shared" si="0"/>
        <v>45</v>
      </c>
      <c r="H28">
        <f t="shared" si="1"/>
        <v>45</v>
      </c>
      <c r="I28">
        <v>26</v>
      </c>
      <c r="J28" t="s">
        <v>6978</v>
      </c>
    </row>
    <row r="29" spans="1:10" x14ac:dyDescent="0.2">
      <c r="A29">
        <v>27</v>
      </c>
      <c r="B29" t="s">
        <v>33</v>
      </c>
      <c r="C29" s="272">
        <v>507.75</v>
      </c>
      <c r="E29" s="272">
        <v>507.75</v>
      </c>
      <c r="G29">
        <f t="shared" si="0"/>
        <v>507.75</v>
      </c>
      <c r="H29">
        <f t="shared" si="1"/>
        <v>507.75</v>
      </c>
      <c r="I29">
        <v>27</v>
      </c>
      <c r="J29" t="s">
        <v>6978</v>
      </c>
    </row>
    <row r="30" spans="1:10" x14ac:dyDescent="0.2">
      <c r="A30">
        <v>28</v>
      </c>
      <c r="B30" t="s">
        <v>3022</v>
      </c>
      <c r="C30" s="272">
        <v>56485.250000000022</v>
      </c>
      <c r="E30" s="272">
        <v>56485.250000000022</v>
      </c>
      <c r="G30">
        <f t="shared" si="0"/>
        <v>56485.250000000022</v>
      </c>
      <c r="H30">
        <f t="shared" si="1"/>
        <v>56485.250000000022</v>
      </c>
      <c r="I30">
        <v>28</v>
      </c>
      <c r="J30" t="s">
        <v>6978</v>
      </c>
    </row>
    <row r="31" spans="1:10" x14ac:dyDescent="0.2">
      <c r="A31">
        <v>29</v>
      </c>
      <c r="B31" t="s">
        <v>3023</v>
      </c>
      <c r="C31" s="272">
        <v>22406.16</v>
      </c>
      <c r="E31" s="272">
        <v>22406.16</v>
      </c>
      <c r="G31">
        <f t="shared" si="0"/>
        <v>22406.16</v>
      </c>
      <c r="H31">
        <f t="shared" si="1"/>
        <v>22406.16</v>
      </c>
      <c r="I31">
        <v>29</v>
      </c>
      <c r="J31" t="s">
        <v>6978</v>
      </c>
    </row>
    <row r="32" spans="1:10" x14ac:dyDescent="0.2">
      <c r="A32">
        <v>30</v>
      </c>
      <c r="B32" t="s">
        <v>2986</v>
      </c>
      <c r="G32">
        <f t="shared" si="0"/>
        <v>0</v>
      </c>
      <c r="H32">
        <f t="shared" si="1"/>
        <v>0</v>
      </c>
      <c r="I32">
        <v>30</v>
      </c>
      <c r="J32" t="s">
        <v>6978</v>
      </c>
    </row>
    <row r="33" spans="1:10" x14ac:dyDescent="0.2">
      <c r="A33">
        <v>31</v>
      </c>
      <c r="B33" t="s">
        <v>3024</v>
      </c>
      <c r="C33" s="272">
        <v>-3403.9</v>
      </c>
      <c r="E33" s="272">
        <v>-3403.9</v>
      </c>
      <c r="G33">
        <f t="shared" si="0"/>
        <v>-3403.9</v>
      </c>
      <c r="H33">
        <f t="shared" si="1"/>
        <v>-3403.9</v>
      </c>
      <c r="I33">
        <v>31</v>
      </c>
      <c r="J33" t="s">
        <v>6978</v>
      </c>
    </row>
    <row r="34" spans="1:10" x14ac:dyDescent="0.2">
      <c r="A34">
        <v>32</v>
      </c>
      <c r="B34" t="s">
        <v>3025</v>
      </c>
      <c r="C34" s="272">
        <v>19002.259999999998</v>
      </c>
      <c r="E34" s="272">
        <v>19002.259999999998</v>
      </c>
      <c r="G34">
        <f t="shared" si="0"/>
        <v>19002.259999999998</v>
      </c>
      <c r="H34">
        <f t="shared" si="1"/>
        <v>19002.259999999998</v>
      </c>
      <c r="I34">
        <v>32</v>
      </c>
      <c r="J34" t="s">
        <v>6978</v>
      </c>
    </row>
    <row r="35" spans="1:10" x14ac:dyDescent="0.2">
      <c r="A35">
        <v>33</v>
      </c>
      <c r="B35" t="s">
        <v>2989</v>
      </c>
      <c r="G35">
        <f t="shared" si="0"/>
        <v>0</v>
      </c>
      <c r="H35">
        <f t="shared" si="1"/>
        <v>0</v>
      </c>
      <c r="I35">
        <v>33</v>
      </c>
      <c r="J35" t="s">
        <v>6978</v>
      </c>
    </row>
    <row r="36" spans="1:10" x14ac:dyDescent="0.2">
      <c r="A36">
        <v>34</v>
      </c>
      <c r="B36" t="s">
        <v>276</v>
      </c>
      <c r="C36" s="272">
        <v>11203.08</v>
      </c>
      <c r="E36" s="272">
        <v>11203.08</v>
      </c>
      <c r="G36">
        <f t="shared" si="0"/>
        <v>11203.08</v>
      </c>
      <c r="H36">
        <f t="shared" si="1"/>
        <v>11203.08</v>
      </c>
      <c r="I36">
        <v>34</v>
      </c>
      <c r="J36" t="s">
        <v>6978</v>
      </c>
    </row>
    <row r="37" spans="1:10" x14ac:dyDescent="0.2">
      <c r="A37">
        <v>35</v>
      </c>
      <c r="B37" t="s">
        <v>213</v>
      </c>
      <c r="C37" s="272">
        <v>1286</v>
      </c>
      <c r="E37" s="272">
        <v>1286</v>
      </c>
      <c r="G37">
        <f t="shared" si="0"/>
        <v>1286</v>
      </c>
      <c r="H37">
        <f t="shared" si="1"/>
        <v>1286</v>
      </c>
      <c r="I37">
        <v>35</v>
      </c>
      <c r="J37" t="s">
        <v>6978</v>
      </c>
    </row>
    <row r="38" spans="1:10" x14ac:dyDescent="0.2">
      <c r="A38">
        <v>36</v>
      </c>
      <c r="B38" t="s">
        <v>41</v>
      </c>
      <c r="C38" s="272">
        <v>1018.29</v>
      </c>
      <c r="E38" s="272">
        <v>1018.29</v>
      </c>
      <c r="G38">
        <f t="shared" si="0"/>
        <v>1018.29</v>
      </c>
      <c r="H38">
        <f t="shared" si="1"/>
        <v>1018.29</v>
      </c>
      <c r="I38">
        <v>36</v>
      </c>
      <c r="J38" t="s">
        <v>6978</v>
      </c>
    </row>
    <row r="39" spans="1:10" x14ac:dyDescent="0.2">
      <c r="A39">
        <v>37</v>
      </c>
      <c r="B39" t="s">
        <v>3026</v>
      </c>
      <c r="C39" s="272">
        <v>2048.69</v>
      </c>
      <c r="E39" s="272">
        <v>2048.69</v>
      </c>
      <c r="G39">
        <f t="shared" si="0"/>
        <v>2048.69</v>
      </c>
      <c r="H39">
        <f t="shared" si="1"/>
        <v>2048.69</v>
      </c>
      <c r="I39">
        <v>37</v>
      </c>
      <c r="J39" t="s">
        <v>6978</v>
      </c>
    </row>
    <row r="40" spans="1:10" x14ac:dyDescent="0.2">
      <c r="A40">
        <v>38</v>
      </c>
      <c r="B40" t="s">
        <v>3027</v>
      </c>
      <c r="C40" s="272">
        <v>9200</v>
      </c>
      <c r="E40" s="272">
        <v>9200</v>
      </c>
      <c r="G40">
        <f t="shared" si="0"/>
        <v>9200</v>
      </c>
      <c r="H40">
        <f t="shared" si="1"/>
        <v>9200</v>
      </c>
      <c r="I40">
        <v>38</v>
      </c>
      <c r="J40" t="s">
        <v>6978</v>
      </c>
    </row>
    <row r="41" spans="1:10" x14ac:dyDescent="0.2">
      <c r="A41">
        <v>39</v>
      </c>
      <c r="B41" t="s">
        <v>2990</v>
      </c>
      <c r="C41" s="272">
        <v>668.65</v>
      </c>
      <c r="E41" s="272">
        <v>668.65</v>
      </c>
      <c r="G41">
        <f t="shared" si="0"/>
        <v>668.65</v>
      </c>
      <c r="H41">
        <f t="shared" si="1"/>
        <v>668.65</v>
      </c>
      <c r="I41">
        <v>39</v>
      </c>
      <c r="J41" t="s">
        <v>6978</v>
      </c>
    </row>
    <row r="42" spans="1:10" x14ac:dyDescent="0.2">
      <c r="A42">
        <v>40</v>
      </c>
      <c r="B42" t="s">
        <v>3029</v>
      </c>
      <c r="G42">
        <f t="shared" si="0"/>
        <v>0</v>
      </c>
      <c r="H42">
        <f t="shared" si="1"/>
        <v>0</v>
      </c>
      <c r="I42">
        <v>40</v>
      </c>
      <c r="J42" t="s">
        <v>6978</v>
      </c>
    </row>
    <row r="43" spans="1:10" x14ac:dyDescent="0.2">
      <c r="A43">
        <v>41.1</v>
      </c>
      <c r="B43" t="s">
        <v>64</v>
      </c>
      <c r="C43" s="272">
        <v>3055.46</v>
      </c>
      <c r="E43" s="272">
        <v>3055.46</v>
      </c>
      <c r="G43">
        <f>-SUM(C43)+SUM(D43)</f>
        <v>-3055.46</v>
      </c>
      <c r="H43">
        <f>-SUM(E43)+SUM(F43)</f>
        <v>-3055.46</v>
      </c>
      <c r="I43" t="s">
        <v>2991</v>
      </c>
      <c r="J43" t="s">
        <v>6978</v>
      </c>
    </row>
    <row r="44" spans="1:10" x14ac:dyDescent="0.2">
      <c r="A44">
        <v>41.2</v>
      </c>
      <c r="B44" t="s">
        <v>151</v>
      </c>
      <c r="C44" s="272">
        <v>2657.05</v>
      </c>
      <c r="E44" s="272">
        <v>2657.05</v>
      </c>
      <c r="G44">
        <f t="shared" si="0"/>
        <v>2657.05</v>
      </c>
      <c r="H44">
        <f t="shared" si="1"/>
        <v>2657.05</v>
      </c>
      <c r="I44" t="s">
        <v>2992</v>
      </c>
      <c r="J44" t="s">
        <v>6978</v>
      </c>
    </row>
    <row r="45" spans="1:10" x14ac:dyDescent="0.2">
      <c r="A45">
        <v>41</v>
      </c>
      <c r="B45" t="s">
        <v>3031</v>
      </c>
      <c r="C45" s="272">
        <v>398.40999999999985</v>
      </c>
      <c r="E45" s="272">
        <v>398.40999999999985</v>
      </c>
      <c r="G45">
        <f t="shared" si="0"/>
        <v>398.40999999999985</v>
      </c>
      <c r="H45">
        <f t="shared" si="1"/>
        <v>398.40999999999985</v>
      </c>
      <c r="I45">
        <v>41</v>
      </c>
      <c r="J45" t="s">
        <v>6978</v>
      </c>
    </row>
    <row r="46" spans="1:10" x14ac:dyDescent="0.2">
      <c r="A46">
        <v>42</v>
      </c>
      <c r="B46" t="s">
        <v>3032</v>
      </c>
      <c r="C46" s="272">
        <v>218.69</v>
      </c>
      <c r="E46" s="272">
        <v>218.69</v>
      </c>
      <c r="G46">
        <f t="shared" si="0"/>
        <v>218.69</v>
      </c>
      <c r="H46">
        <f t="shared" si="1"/>
        <v>218.69</v>
      </c>
      <c r="I46">
        <v>42</v>
      </c>
      <c r="J46" t="s">
        <v>6978</v>
      </c>
    </row>
    <row r="47" spans="1:10" x14ac:dyDescent="0.2">
      <c r="A47">
        <v>43</v>
      </c>
      <c r="B47" t="s">
        <v>3033</v>
      </c>
      <c r="C47" s="272">
        <v>12238.00000000002</v>
      </c>
      <c r="E47" s="272">
        <v>12238.00000000002</v>
      </c>
      <c r="G47">
        <f t="shared" si="0"/>
        <v>12238.00000000002</v>
      </c>
      <c r="H47">
        <f t="shared" si="1"/>
        <v>12238.00000000002</v>
      </c>
      <c r="I47">
        <v>43</v>
      </c>
      <c r="J47" t="s">
        <v>6978</v>
      </c>
    </row>
    <row r="48" spans="1:10" x14ac:dyDescent="0.2">
      <c r="A48">
        <v>44</v>
      </c>
      <c r="B48" t="s">
        <v>3034</v>
      </c>
      <c r="C48" s="272">
        <v>22325.340000000022</v>
      </c>
      <c r="E48" s="272">
        <v>22325.340000000022</v>
      </c>
      <c r="G48">
        <f t="shared" si="0"/>
        <v>22325.340000000022</v>
      </c>
      <c r="H48">
        <f t="shared" si="1"/>
        <v>22325.340000000022</v>
      </c>
      <c r="I48">
        <v>44</v>
      </c>
      <c r="J48" t="s">
        <v>6978</v>
      </c>
    </row>
    <row r="49" spans="1:10" x14ac:dyDescent="0.2">
      <c r="A49">
        <v>45</v>
      </c>
      <c r="B49" t="s">
        <v>2996</v>
      </c>
      <c r="G49">
        <f t="shared" si="0"/>
        <v>0</v>
      </c>
      <c r="H49">
        <f t="shared" si="1"/>
        <v>0</v>
      </c>
      <c r="I49">
        <v>45</v>
      </c>
      <c r="J49" t="s">
        <v>6978</v>
      </c>
    </row>
    <row r="50" spans="1:10" x14ac:dyDescent="0.2">
      <c r="A50">
        <v>46</v>
      </c>
      <c r="B50" t="s">
        <v>3035</v>
      </c>
      <c r="C50" s="272">
        <v>14618</v>
      </c>
      <c r="E50" s="272">
        <v>14618</v>
      </c>
      <c r="G50">
        <f t="shared" si="0"/>
        <v>14618</v>
      </c>
      <c r="H50">
        <f t="shared" si="1"/>
        <v>14618</v>
      </c>
      <c r="I50">
        <v>46</v>
      </c>
      <c r="J50" t="s">
        <v>6978</v>
      </c>
    </row>
    <row r="51" spans="1:10" x14ac:dyDescent="0.2">
      <c r="A51">
        <v>47</v>
      </c>
      <c r="B51" t="s">
        <v>3036</v>
      </c>
      <c r="C51" s="272">
        <v>-2379.99999999998</v>
      </c>
      <c r="E51" s="272">
        <v>-2379.99999999998</v>
      </c>
      <c r="G51">
        <f t="shared" si="0"/>
        <v>-2379.99999999998</v>
      </c>
      <c r="H51">
        <f t="shared" si="1"/>
        <v>-2379.99999999998</v>
      </c>
      <c r="I51">
        <v>47</v>
      </c>
      <c r="J51" t="s">
        <v>6978</v>
      </c>
    </row>
    <row r="52" spans="1:10" x14ac:dyDescent="0.2">
      <c r="A52">
        <v>48</v>
      </c>
      <c r="B52" t="s">
        <v>357</v>
      </c>
      <c r="C52" s="272">
        <v>-872.67</v>
      </c>
      <c r="E52" s="272">
        <v>-872.67</v>
      </c>
      <c r="G52">
        <f t="shared" si="0"/>
        <v>-872.67</v>
      </c>
      <c r="H52">
        <f t="shared" si="1"/>
        <v>-872.67</v>
      </c>
      <c r="I52">
        <v>48</v>
      </c>
      <c r="J52" t="s">
        <v>6978</v>
      </c>
    </row>
    <row r="53" spans="1:10" x14ac:dyDescent="0.2">
      <c r="A53">
        <v>49</v>
      </c>
      <c r="B53" t="s">
        <v>3038</v>
      </c>
      <c r="C53" s="272">
        <v>-1507.3299999999799</v>
      </c>
      <c r="E53" s="272">
        <v>-1507.3299999999799</v>
      </c>
      <c r="G53">
        <f t="shared" si="0"/>
        <v>-1507.3299999999799</v>
      </c>
      <c r="H53">
        <f t="shared" si="1"/>
        <v>-1507.3299999999799</v>
      </c>
      <c r="I53">
        <v>49</v>
      </c>
      <c r="J53" t="s">
        <v>6978</v>
      </c>
    </row>
    <row r="54" spans="1:10" x14ac:dyDescent="0.2">
      <c r="J54" t="str">
        <f t="shared" ref="J54:J85" si="2">LEFT(A54,1)</f>
        <v/>
      </c>
    </row>
    <row r="55" spans="1:10" x14ac:dyDescent="0.2">
      <c r="J55" t="str">
        <f t="shared" si="2"/>
        <v/>
      </c>
    </row>
    <row r="56" spans="1:10" x14ac:dyDescent="0.2">
      <c r="J56" t="str">
        <f t="shared" si="2"/>
        <v/>
      </c>
    </row>
    <row r="57" spans="1:10" x14ac:dyDescent="0.2">
      <c r="J57" t="str">
        <f t="shared" si="2"/>
        <v/>
      </c>
    </row>
    <row r="58" spans="1:10" x14ac:dyDescent="0.2">
      <c r="J58" t="str">
        <f t="shared" si="2"/>
        <v/>
      </c>
    </row>
    <row r="59" spans="1:10" x14ac:dyDescent="0.2">
      <c r="J59" t="str">
        <f t="shared" si="2"/>
        <v/>
      </c>
    </row>
    <row r="60" spans="1:10" x14ac:dyDescent="0.2">
      <c r="J60" t="str">
        <f t="shared" si="2"/>
        <v/>
      </c>
    </row>
    <row r="61" spans="1:10" x14ac:dyDescent="0.2">
      <c r="J61" t="str">
        <f t="shared" si="2"/>
        <v/>
      </c>
    </row>
    <row r="62" spans="1:10" x14ac:dyDescent="0.2">
      <c r="J62" t="str">
        <f t="shared" si="2"/>
        <v/>
      </c>
    </row>
    <row r="63" spans="1:10" x14ac:dyDescent="0.2">
      <c r="J63" t="str">
        <f t="shared" si="2"/>
        <v/>
      </c>
    </row>
    <row r="64" spans="1:10" x14ac:dyDescent="0.2">
      <c r="J64" t="str">
        <f t="shared" si="2"/>
        <v/>
      </c>
    </row>
    <row r="65" spans="10:10" x14ac:dyDescent="0.2">
      <c r="J65" t="str">
        <f t="shared" si="2"/>
        <v/>
      </c>
    </row>
    <row r="66" spans="10:10" x14ac:dyDescent="0.2">
      <c r="J66" t="str">
        <f t="shared" si="2"/>
        <v/>
      </c>
    </row>
    <row r="67" spans="10:10" x14ac:dyDescent="0.2">
      <c r="J67" t="str">
        <f t="shared" si="2"/>
        <v/>
      </c>
    </row>
    <row r="68" spans="10:10" x14ac:dyDescent="0.2">
      <c r="J68" t="str">
        <f t="shared" si="2"/>
        <v/>
      </c>
    </row>
    <row r="69" spans="10:10" x14ac:dyDescent="0.2">
      <c r="J69" t="str">
        <f t="shared" si="2"/>
        <v/>
      </c>
    </row>
    <row r="70" spans="10:10" x14ac:dyDescent="0.2">
      <c r="J70" t="str">
        <f t="shared" si="2"/>
        <v/>
      </c>
    </row>
    <row r="71" spans="10:10" x14ac:dyDescent="0.2">
      <c r="J71" t="str">
        <f t="shared" si="2"/>
        <v/>
      </c>
    </row>
    <row r="72" spans="10:10" x14ac:dyDescent="0.2">
      <c r="J72" t="str">
        <f t="shared" si="2"/>
        <v/>
      </c>
    </row>
    <row r="73" spans="10:10" x14ac:dyDescent="0.2">
      <c r="J73" t="str">
        <f t="shared" si="2"/>
        <v/>
      </c>
    </row>
    <row r="74" spans="10:10" x14ac:dyDescent="0.2">
      <c r="J74" t="str">
        <f t="shared" si="2"/>
        <v/>
      </c>
    </row>
    <row r="75" spans="10:10" x14ac:dyDescent="0.2">
      <c r="J75" t="str">
        <f t="shared" si="2"/>
        <v/>
      </c>
    </row>
    <row r="76" spans="10:10" x14ac:dyDescent="0.2">
      <c r="J76" t="str">
        <f t="shared" si="2"/>
        <v/>
      </c>
    </row>
    <row r="77" spans="10:10" x14ac:dyDescent="0.2">
      <c r="J77" t="str">
        <f t="shared" si="2"/>
        <v/>
      </c>
    </row>
    <row r="78" spans="10:10" x14ac:dyDescent="0.2">
      <c r="J78" t="str">
        <f t="shared" si="2"/>
        <v/>
      </c>
    </row>
    <row r="79" spans="10:10" x14ac:dyDescent="0.2">
      <c r="J79" t="str">
        <f t="shared" si="2"/>
        <v/>
      </c>
    </row>
    <row r="80" spans="10:10" x14ac:dyDescent="0.2">
      <c r="J80" t="str">
        <f t="shared" si="2"/>
        <v/>
      </c>
    </row>
    <row r="81" spans="10:10" x14ac:dyDescent="0.2">
      <c r="J81" t="str">
        <f t="shared" si="2"/>
        <v/>
      </c>
    </row>
    <row r="82" spans="10:10" x14ac:dyDescent="0.2">
      <c r="J82" t="str">
        <f t="shared" si="2"/>
        <v/>
      </c>
    </row>
    <row r="83" spans="10:10" x14ac:dyDescent="0.2">
      <c r="J83" t="str">
        <f t="shared" si="2"/>
        <v/>
      </c>
    </row>
    <row r="84" spans="10:10" x14ac:dyDescent="0.2">
      <c r="J84" t="str">
        <f t="shared" si="2"/>
        <v/>
      </c>
    </row>
    <row r="85" spans="10:10" x14ac:dyDescent="0.2">
      <c r="J85" t="str">
        <f t="shared" si="2"/>
        <v/>
      </c>
    </row>
    <row r="86" spans="10:10" x14ac:dyDescent="0.2">
      <c r="J86" t="str">
        <f t="shared" ref="J86:J117" si="3">LEFT(A86,1)</f>
        <v/>
      </c>
    </row>
    <row r="87" spans="10:10" x14ac:dyDescent="0.2">
      <c r="J87" t="str">
        <f t="shared" si="3"/>
        <v/>
      </c>
    </row>
    <row r="88" spans="10:10" x14ac:dyDescent="0.2">
      <c r="J88" t="str">
        <f t="shared" si="3"/>
        <v/>
      </c>
    </row>
    <row r="89" spans="10:10" x14ac:dyDescent="0.2">
      <c r="J89" t="str">
        <f t="shared" si="3"/>
        <v/>
      </c>
    </row>
    <row r="90" spans="10:10" x14ac:dyDescent="0.2">
      <c r="J90" t="str">
        <f t="shared" si="3"/>
        <v/>
      </c>
    </row>
    <row r="91" spans="10:10" x14ac:dyDescent="0.2">
      <c r="J91" t="str">
        <f t="shared" si="3"/>
        <v/>
      </c>
    </row>
    <row r="92" spans="10:10" x14ac:dyDescent="0.2">
      <c r="J92" t="str">
        <f t="shared" si="3"/>
        <v/>
      </c>
    </row>
    <row r="93" spans="10:10" x14ac:dyDescent="0.2">
      <c r="J93" t="str">
        <f t="shared" si="3"/>
        <v/>
      </c>
    </row>
    <row r="94" spans="10:10" x14ac:dyDescent="0.2">
      <c r="J94" t="str">
        <f t="shared" si="3"/>
        <v/>
      </c>
    </row>
    <row r="95" spans="10:10" x14ac:dyDescent="0.2">
      <c r="J95" t="str">
        <f t="shared" si="3"/>
        <v/>
      </c>
    </row>
    <row r="96" spans="10:10" x14ac:dyDescent="0.2">
      <c r="J96" t="str">
        <f t="shared" si="3"/>
        <v/>
      </c>
    </row>
    <row r="97" spans="10:10" x14ac:dyDescent="0.2">
      <c r="J97" t="str">
        <f t="shared" si="3"/>
        <v/>
      </c>
    </row>
    <row r="98" spans="10:10" x14ac:dyDescent="0.2">
      <c r="J98" t="str">
        <f t="shared" si="3"/>
        <v/>
      </c>
    </row>
    <row r="99" spans="10:10" x14ac:dyDescent="0.2">
      <c r="J99" t="str">
        <f t="shared" si="3"/>
        <v/>
      </c>
    </row>
    <row r="100" spans="10:10" x14ac:dyDescent="0.2">
      <c r="J100" t="str">
        <f t="shared" si="3"/>
        <v/>
      </c>
    </row>
    <row r="101" spans="10:10" x14ac:dyDescent="0.2">
      <c r="J101" t="str">
        <f t="shared" si="3"/>
        <v/>
      </c>
    </row>
    <row r="102" spans="10:10" x14ac:dyDescent="0.2">
      <c r="J102" t="str">
        <f t="shared" si="3"/>
        <v/>
      </c>
    </row>
    <row r="103" spans="10:10" x14ac:dyDescent="0.2">
      <c r="J103" t="str">
        <f t="shared" si="3"/>
        <v/>
      </c>
    </row>
    <row r="104" spans="10:10" x14ac:dyDescent="0.2">
      <c r="J104" t="str">
        <f t="shared" si="3"/>
        <v/>
      </c>
    </row>
    <row r="105" spans="10:10" x14ac:dyDescent="0.2">
      <c r="J105" t="str">
        <f t="shared" si="3"/>
        <v/>
      </c>
    </row>
    <row r="106" spans="10:10" x14ac:dyDescent="0.2">
      <c r="J106" t="str">
        <f t="shared" si="3"/>
        <v/>
      </c>
    </row>
    <row r="107" spans="10:10" x14ac:dyDescent="0.2">
      <c r="J107" t="str">
        <f t="shared" si="3"/>
        <v/>
      </c>
    </row>
    <row r="108" spans="10:10" x14ac:dyDescent="0.2">
      <c r="J108" t="str">
        <f t="shared" si="3"/>
        <v/>
      </c>
    </row>
    <row r="109" spans="10:10" x14ac:dyDescent="0.2">
      <c r="J109" t="str">
        <f t="shared" si="3"/>
        <v/>
      </c>
    </row>
    <row r="110" spans="10:10" x14ac:dyDescent="0.2">
      <c r="J110" t="str">
        <f t="shared" si="3"/>
        <v/>
      </c>
    </row>
    <row r="111" spans="10:10" x14ac:dyDescent="0.2">
      <c r="J111" t="str">
        <f t="shared" si="3"/>
        <v/>
      </c>
    </row>
    <row r="112" spans="10:10" x14ac:dyDescent="0.2">
      <c r="J112" t="str">
        <f t="shared" si="3"/>
        <v/>
      </c>
    </row>
    <row r="113" spans="10:10" x14ac:dyDescent="0.2">
      <c r="J113" t="str">
        <f t="shared" si="3"/>
        <v/>
      </c>
    </row>
    <row r="114" spans="10:10" x14ac:dyDescent="0.2">
      <c r="J114" t="str">
        <f t="shared" si="3"/>
        <v/>
      </c>
    </row>
    <row r="115" spans="10:10" x14ac:dyDescent="0.2">
      <c r="J115" t="str">
        <f t="shared" si="3"/>
        <v/>
      </c>
    </row>
    <row r="116" spans="10:10" x14ac:dyDescent="0.2">
      <c r="J116" t="str">
        <f t="shared" si="3"/>
        <v/>
      </c>
    </row>
    <row r="117" spans="10:10" x14ac:dyDescent="0.2">
      <c r="J117" t="str">
        <f t="shared" si="3"/>
        <v/>
      </c>
    </row>
    <row r="118" spans="10:10" x14ac:dyDescent="0.2">
      <c r="J118" t="str">
        <f t="shared" ref="J118:J149" si="4">LEFT(A118,1)</f>
        <v/>
      </c>
    </row>
    <row r="119" spans="10:10" x14ac:dyDescent="0.2">
      <c r="J119" t="str">
        <f t="shared" si="4"/>
        <v/>
      </c>
    </row>
    <row r="120" spans="10:10" x14ac:dyDescent="0.2">
      <c r="J120" t="str">
        <f t="shared" si="4"/>
        <v/>
      </c>
    </row>
    <row r="121" spans="10:10" x14ac:dyDescent="0.2">
      <c r="J121" t="str">
        <f t="shared" si="4"/>
        <v/>
      </c>
    </row>
    <row r="122" spans="10:10" x14ac:dyDescent="0.2">
      <c r="J122" t="str">
        <f t="shared" si="4"/>
        <v/>
      </c>
    </row>
    <row r="123" spans="10:10" x14ac:dyDescent="0.2">
      <c r="J123" t="str">
        <f t="shared" si="4"/>
        <v/>
      </c>
    </row>
    <row r="124" spans="10:10" x14ac:dyDescent="0.2">
      <c r="J124" t="str">
        <f t="shared" si="4"/>
        <v/>
      </c>
    </row>
    <row r="125" spans="10:10" x14ac:dyDescent="0.2">
      <c r="J125" t="str">
        <f t="shared" si="4"/>
        <v/>
      </c>
    </row>
    <row r="126" spans="10:10" x14ac:dyDescent="0.2">
      <c r="J126" t="str">
        <f t="shared" si="4"/>
        <v/>
      </c>
    </row>
    <row r="127" spans="10:10" x14ac:dyDescent="0.2">
      <c r="J127" t="str">
        <f t="shared" si="4"/>
        <v/>
      </c>
    </row>
    <row r="128" spans="10:10" x14ac:dyDescent="0.2">
      <c r="J128" t="str">
        <f t="shared" si="4"/>
        <v/>
      </c>
    </row>
    <row r="129" spans="10:10" x14ac:dyDescent="0.2">
      <c r="J129" t="str">
        <f t="shared" si="4"/>
        <v/>
      </c>
    </row>
    <row r="130" spans="10:10" x14ac:dyDescent="0.2">
      <c r="J130" t="str">
        <f t="shared" si="4"/>
        <v/>
      </c>
    </row>
    <row r="131" spans="10:10" x14ac:dyDescent="0.2">
      <c r="J131" t="str">
        <f t="shared" si="4"/>
        <v/>
      </c>
    </row>
    <row r="132" spans="10:10" x14ac:dyDescent="0.2">
      <c r="J132" t="str">
        <f t="shared" si="4"/>
        <v/>
      </c>
    </row>
    <row r="133" spans="10:10" x14ac:dyDescent="0.2">
      <c r="J133" t="str">
        <f t="shared" si="4"/>
        <v/>
      </c>
    </row>
    <row r="134" spans="10:10" x14ac:dyDescent="0.2">
      <c r="J134" t="str">
        <f t="shared" si="4"/>
        <v/>
      </c>
    </row>
    <row r="135" spans="10:10" x14ac:dyDescent="0.2">
      <c r="J135" t="str">
        <f t="shared" si="4"/>
        <v/>
      </c>
    </row>
    <row r="136" spans="10:10" x14ac:dyDescent="0.2">
      <c r="J136" t="str">
        <f t="shared" si="4"/>
        <v/>
      </c>
    </row>
    <row r="137" spans="10:10" x14ac:dyDescent="0.2">
      <c r="J137" t="str">
        <f t="shared" si="4"/>
        <v/>
      </c>
    </row>
    <row r="138" spans="10:10" x14ac:dyDescent="0.2">
      <c r="J138" t="str">
        <f t="shared" si="4"/>
        <v/>
      </c>
    </row>
    <row r="139" spans="10:10" x14ac:dyDescent="0.2">
      <c r="J139" t="str">
        <f t="shared" si="4"/>
        <v/>
      </c>
    </row>
    <row r="140" spans="10:10" x14ac:dyDescent="0.2">
      <c r="J140" t="str">
        <f t="shared" si="4"/>
        <v/>
      </c>
    </row>
    <row r="141" spans="10:10" x14ac:dyDescent="0.2">
      <c r="J141" t="str">
        <f t="shared" si="4"/>
        <v/>
      </c>
    </row>
    <row r="142" spans="10:10" x14ac:dyDescent="0.2">
      <c r="J142" t="str">
        <f t="shared" si="4"/>
        <v/>
      </c>
    </row>
    <row r="143" spans="10:10" x14ac:dyDescent="0.2">
      <c r="J143" t="str">
        <f t="shared" si="4"/>
        <v/>
      </c>
    </row>
    <row r="144" spans="10:10" x14ac:dyDescent="0.2">
      <c r="J144" t="str">
        <f t="shared" si="4"/>
        <v/>
      </c>
    </row>
    <row r="145" spans="10:10" x14ac:dyDescent="0.2">
      <c r="J145" t="str">
        <f t="shared" si="4"/>
        <v/>
      </c>
    </row>
    <row r="146" spans="10:10" x14ac:dyDescent="0.2">
      <c r="J146" t="str">
        <f t="shared" si="4"/>
        <v/>
      </c>
    </row>
    <row r="147" spans="10:10" x14ac:dyDescent="0.2">
      <c r="J147" t="str">
        <f t="shared" si="4"/>
        <v/>
      </c>
    </row>
    <row r="148" spans="10:10" x14ac:dyDescent="0.2">
      <c r="J148" t="str">
        <f t="shared" si="4"/>
        <v/>
      </c>
    </row>
    <row r="149" spans="10:10" x14ac:dyDescent="0.2">
      <c r="J149" t="str">
        <f t="shared" si="4"/>
        <v/>
      </c>
    </row>
    <row r="150" spans="10:10" x14ac:dyDescent="0.2">
      <c r="J150" t="str">
        <f t="shared" ref="J150:J181" si="5">LEFT(A150,1)</f>
        <v/>
      </c>
    </row>
    <row r="151" spans="10:10" x14ac:dyDescent="0.2">
      <c r="J151" t="str">
        <f t="shared" si="5"/>
        <v/>
      </c>
    </row>
    <row r="152" spans="10:10" x14ac:dyDescent="0.2">
      <c r="J152" t="str">
        <f t="shared" si="5"/>
        <v/>
      </c>
    </row>
    <row r="153" spans="10:10" x14ac:dyDescent="0.2">
      <c r="J153" t="str">
        <f t="shared" si="5"/>
        <v/>
      </c>
    </row>
    <row r="154" spans="10:10" x14ac:dyDescent="0.2">
      <c r="J154" t="str">
        <f t="shared" si="5"/>
        <v/>
      </c>
    </row>
    <row r="155" spans="10:10" x14ac:dyDescent="0.2">
      <c r="J155" t="str">
        <f t="shared" si="5"/>
        <v/>
      </c>
    </row>
    <row r="156" spans="10:10" x14ac:dyDescent="0.2">
      <c r="J156" t="str">
        <f t="shared" si="5"/>
        <v/>
      </c>
    </row>
    <row r="157" spans="10:10" x14ac:dyDescent="0.2">
      <c r="J157" t="str">
        <f t="shared" si="5"/>
        <v/>
      </c>
    </row>
    <row r="158" spans="10:10" x14ac:dyDescent="0.2">
      <c r="J158" t="str">
        <f t="shared" si="5"/>
        <v/>
      </c>
    </row>
    <row r="159" spans="10:10" x14ac:dyDescent="0.2">
      <c r="J159" t="str">
        <f t="shared" si="5"/>
        <v/>
      </c>
    </row>
    <row r="160" spans="10:10" x14ac:dyDescent="0.2">
      <c r="J160" t="str">
        <f t="shared" si="5"/>
        <v/>
      </c>
    </row>
    <row r="161" spans="10:10" x14ac:dyDescent="0.2">
      <c r="J161" t="str">
        <f t="shared" si="5"/>
        <v/>
      </c>
    </row>
    <row r="162" spans="10:10" x14ac:dyDescent="0.2">
      <c r="J162" t="str">
        <f t="shared" si="5"/>
        <v/>
      </c>
    </row>
    <row r="163" spans="10:10" x14ac:dyDescent="0.2">
      <c r="J163" t="str">
        <f t="shared" si="5"/>
        <v/>
      </c>
    </row>
    <row r="164" spans="10:10" x14ac:dyDescent="0.2">
      <c r="J164" t="str">
        <f t="shared" si="5"/>
        <v/>
      </c>
    </row>
    <row r="165" spans="10:10" x14ac:dyDescent="0.2">
      <c r="J165" t="str">
        <f t="shared" si="5"/>
        <v/>
      </c>
    </row>
    <row r="166" spans="10:10" x14ac:dyDescent="0.2">
      <c r="J166" t="str">
        <f t="shared" si="5"/>
        <v/>
      </c>
    </row>
    <row r="167" spans="10:10" x14ac:dyDescent="0.2">
      <c r="J167" t="str">
        <f t="shared" si="5"/>
        <v/>
      </c>
    </row>
    <row r="168" spans="10:10" x14ac:dyDescent="0.2">
      <c r="J168" t="str">
        <f t="shared" si="5"/>
        <v/>
      </c>
    </row>
    <row r="169" spans="10:10" x14ac:dyDescent="0.2">
      <c r="J169" t="str">
        <f t="shared" si="5"/>
        <v/>
      </c>
    </row>
    <row r="170" spans="10:10" x14ac:dyDescent="0.2">
      <c r="J170" t="str">
        <f t="shared" si="5"/>
        <v/>
      </c>
    </row>
    <row r="171" spans="10:10" x14ac:dyDescent="0.2">
      <c r="J171" t="str">
        <f t="shared" si="5"/>
        <v/>
      </c>
    </row>
    <row r="172" spans="10:10" x14ac:dyDescent="0.2">
      <c r="J172" t="str">
        <f t="shared" si="5"/>
        <v/>
      </c>
    </row>
    <row r="173" spans="10:10" x14ac:dyDescent="0.2">
      <c r="J173" t="str">
        <f t="shared" si="5"/>
        <v/>
      </c>
    </row>
    <row r="174" spans="10:10" x14ac:dyDescent="0.2">
      <c r="J174" t="str">
        <f t="shared" si="5"/>
        <v/>
      </c>
    </row>
    <row r="175" spans="10:10" x14ac:dyDescent="0.2">
      <c r="J175" t="str">
        <f t="shared" si="5"/>
        <v/>
      </c>
    </row>
    <row r="176" spans="10:10" x14ac:dyDescent="0.2">
      <c r="J176" t="str">
        <f t="shared" si="5"/>
        <v/>
      </c>
    </row>
    <row r="177" spans="10:10" x14ac:dyDescent="0.2">
      <c r="J177" t="str">
        <f t="shared" si="5"/>
        <v/>
      </c>
    </row>
    <row r="178" spans="10:10" x14ac:dyDescent="0.2">
      <c r="J178" t="str">
        <f t="shared" si="5"/>
        <v/>
      </c>
    </row>
    <row r="179" spans="10:10" x14ac:dyDescent="0.2">
      <c r="J179" t="str">
        <f t="shared" si="5"/>
        <v/>
      </c>
    </row>
    <row r="180" spans="10:10" x14ac:dyDescent="0.2">
      <c r="J180" t="str">
        <f t="shared" si="5"/>
        <v/>
      </c>
    </row>
    <row r="181" spans="10:10" x14ac:dyDescent="0.2">
      <c r="J181" t="str">
        <f t="shared" si="5"/>
        <v/>
      </c>
    </row>
    <row r="182" spans="10:10" x14ac:dyDescent="0.2">
      <c r="J182" t="str">
        <f t="shared" ref="J182:J213" si="6">LEFT(A182,1)</f>
        <v/>
      </c>
    </row>
    <row r="183" spans="10:10" x14ac:dyDescent="0.2">
      <c r="J183" t="str">
        <f t="shared" si="6"/>
        <v/>
      </c>
    </row>
    <row r="184" spans="10:10" x14ac:dyDescent="0.2">
      <c r="J184" t="str">
        <f t="shared" si="6"/>
        <v/>
      </c>
    </row>
    <row r="185" spans="10:10" x14ac:dyDescent="0.2">
      <c r="J185" t="str">
        <f t="shared" si="6"/>
        <v/>
      </c>
    </row>
    <row r="186" spans="10:10" x14ac:dyDescent="0.2">
      <c r="J186" t="str">
        <f t="shared" si="6"/>
        <v/>
      </c>
    </row>
    <row r="187" spans="10:10" x14ac:dyDescent="0.2">
      <c r="J187" t="str">
        <f t="shared" si="6"/>
        <v/>
      </c>
    </row>
    <row r="188" spans="10:10" x14ac:dyDescent="0.2">
      <c r="J188" t="str">
        <f t="shared" si="6"/>
        <v/>
      </c>
    </row>
    <row r="189" spans="10:10" x14ac:dyDescent="0.2">
      <c r="J189" t="str">
        <f t="shared" si="6"/>
        <v/>
      </c>
    </row>
    <row r="190" spans="10:10" x14ac:dyDescent="0.2">
      <c r="J190" t="str">
        <f t="shared" si="6"/>
        <v/>
      </c>
    </row>
    <row r="191" spans="10:10" x14ac:dyDescent="0.2">
      <c r="J191" t="str">
        <f t="shared" si="6"/>
        <v/>
      </c>
    </row>
    <row r="192" spans="10:10" x14ac:dyDescent="0.2">
      <c r="J192" t="str">
        <f t="shared" si="6"/>
        <v/>
      </c>
    </row>
    <row r="193" spans="10:10" x14ac:dyDescent="0.2">
      <c r="J193" t="str">
        <f t="shared" si="6"/>
        <v/>
      </c>
    </row>
    <row r="194" spans="10:10" x14ac:dyDescent="0.2">
      <c r="J194" t="str">
        <f t="shared" si="6"/>
        <v/>
      </c>
    </row>
    <row r="195" spans="10:10" x14ac:dyDescent="0.2">
      <c r="J195" t="str">
        <f t="shared" si="6"/>
        <v/>
      </c>
    </row>
    <row r="196" spans="10:10" x14ac:dyDescent="0.2">
      <c r="J196" t="str">
        <f t="shared" si="6"/>
        <v/>
      </c>
    </row>
    <row r="197" spans="10:10" x14ac:dyDescent="0.2">
      <c r="J197" t="str">
        <f t="shared" si="6"/>
        <v/>
      </c>
    </row>
    <row r="198" spans="10:10" x14ac:dyDescent="0.2">
      <c r="J198" t="str">
        <f t="shared" si="6"/>
        <v/>
      </c>
    </row>
    <row r="199" spans="10:10" x14ac:dyDescent="0.2">
      <c r="J199" t="str">
        <f t="shared" si="6"/>
        <v/>
      </c>
    </row>
    <row r="200" spans="10:10" x14ac:dyDescent="0.2">
      <c r="J200" t="str">
        <f t="shared" si="6"/>
        <v/>
      </c>
    </row>
    <row r="201" spans="10:10" x14ac:dyDescent="0.2">
      <c r="J201" t="str">
        <f t="shared" si="6"/>
        <v/>
      </c>
    </row>
    <row r="202" spans="10:10" x14ac:dyDescent="0.2">
      <c r="J202" t="str">
        <f t="shared" si="6"/>
        <v/>
      </c>
    </row>
    <row r="203" spans="10:10" x14ac:dyDescent="0.2">
      <c r="J203" t="str">
        <f t="shared" si="6"/>
        <v/>
      </c>
    </row>
    <row r="204" spans="10:10" x14ac:dyDescent="0.2">
      <c r="J204" t="str">
        <f t="shared" si="6"/>
        <v/>
      </c>
    </row>
    <row r="205" spans="10:10" x14ac:dyDescent="0.2">
      <c r="J205" t="str">
        <f t="shared" si="6"/>
        <v/>
      </c>
    </row>
    <row r="206" spans="10:10" x14ac:dyDescent="0.2">
      <c r="J206" t="str">
        <f t="shared" si="6"/>
        <v/>
      </c>
    </row>
    <row r="207" spans="10:10" x14ac:dyDescent="0.2">
      <c r="J207" t="str">
        <f t="shared" si="6"/>
        <v/>
      </c>
    </row>
    <row r="208" spans="10:10" x14ac:dyDescent="0.2">
      <c r="J208" t="str">
        <f t="shared" si="6"/>
        <v/>
      </c>
    </row>
    <row r="209" spans="7:10" x14ac:dyDescent="0.2">
      <c r="J209" t="str">
        <f t="shared" si="6"/>
        <v/>
      </c>
    </row>
    <row r="210" spans="7:10" x14ac:dyDescent="0.2">
      <c r="J210" t="str">
        <f t="shared" si="6"/>
        <v/>
      </c>
    </row>
    <row r="211" spans="7:10" x14ac:dyDescent="0.2">
      <c r="J211" t="str">
        <f t="shared" si="6"/>
        <v/>
      </c>
    </row>
    <row r="212" spans="7:10" x14ac:dyDescent="0.2">
      <c r="J212" t="str">
        <f t="shared" si="6"/>
        <v/>
      </c>
    </row>
    <row r="213" spans="7:10" x14ac:dyDescent="0.2">
      <c r="J213" t="str">
        <f t="shared" si="6"/>
        <v/>
      </c>
    </row>
    <row r="214" spans="7:10" x14ac:dyDescent="0.2">
      <c r="J214" t="str">
        <f t="shared" ref="J214:J227" si="7">LEFT(A214,1)</f>
        <v/>
      </c>
    </row>
    <row r="215" spans="7:10" x14ac:dyDescent="0.2">
      <c r="J215" t="str">
        <f t="shared" si="7"/>
        <v/>
      </c>
    </row>
    <row r="216" spans="7:10" x14ac:dyDescent="0.2">
      <c r="J216" t="str">
        <f t="shared" si="7"/>
        <v/>
      </c>
    </row>
    <row r="217" spans="7:10" x14ac:dyDescent="0.2">
      <c r="J217" t="str">
        <f t="shared" si="7"/>
        <v/>
      </c>
    </row>
    <row r="218" spans="7:10" x14ac:dyDescent="0.2">
      <c r="J218" t="str">
        <f t="shared" si="7"/>
        <v/>
      </c>
    </row>
    <row r="219" spans="7:10" x14ac:dyDescent="0.2">
      <c r="J219" t="str">
        <f t="shared" si="7"/>
        <v/>
      </c>
    </row>
    <row r="220" spans="7:10" x14ac:dyDescent="0.2">
      <c r="G220">
        <f t="shared" ref="G220:G227" si="8">SUM(C220)-SUM(D220)</f>
        <v>0</v>
      </c>
      <c r="H220">
        <f t="shared" ref="H220:H227" si="9">SUM(E220)-SUM(F220)</f>
        <v>0</v>
      </c>
      <c r="I220">
        <f>IF(A220="Total",VLOOKUP(B220,CORRESPONDANCE[#All],2,FALSE),I221)</f>
        <v>0</v>
      </c>
      <c r="J220" t="str">
        <f t="shared" si="7"/>
        <v/>
      </c>
    </row>
    <row r="221" spans="7:10" x14ac:dyDescent="0.2">
      <c r="G221">
        <f t="shared" si="8"/>
        <v>0</v>
      </c>
      <c r="H221">
        <f t="shared" si="9"/>
        <v>0</v>
      </c>
      <c r="I221">
        <f>IF(A221="Total",VLOOKUP(B221,CORRESPONDANCE[#All],2,FALSE),I222)</f>
        <v>0</v>
      </c>
      <c r="J221" t="str">
        <f t="shared" si="7"/>
        <v/>
      </c>
    </row>
    <row r="222" spans="7:10" x14ac:dyDescent="0.2">
      <c r="G222">
        <f t="shared" si="8"/>
        <v>0</v>
      </c>
      <c r="H222">
        <f t="shared" si="9"/>
        <v>0</v>
      </c>
      <c r="I222">
        <f>IF(A222="Total",VLOOKUP(B222,CORRESPONDANCE[#All],2,FALSE),I223)</f>
        <v>0</v>
      </c>
      <c r="J222" t="str">
        <f t="shared" si="7"/>
        <v/>
      </c>
    </row>
    <row r="223" spans="7:10" x14ac:dyDescent="0.2">
      <c r="G223">
        <f t="shared" si="8"/>
        <v>0</v>
      </c>
      <c r="H223">
        <f t="shared" si="9"/>
        <v>0</v>
      </c>
      <c r="I223">
        <f>IF(A223="Total",VLOOKUP(B223,CORRESPONDANCE[#All],2,FALSE),I224)</f>
        <v>0</v>
      </c>
      <c r="J223" t="str">
        <f t="shared" si="7"/>
        <v/>
      </c>
    </row>
    <row r="224" spans="7:10" x14ac:dyDescent="0.2">
      <c r="G224">
        <f t="shared" si="8"/>
        <v>0</v>
      </c>
      <c r="H224">
        <f t="shared" si="9"/>
        <v>0</v>
      </c>
      <c r="I224">
        <f>IF(A224="Total",VLOOKUP(B224,CORRESPONDANCE[#All],2,FALSE),I225)</f>
        <v>0</v>
      </c>
      <c r="J224" t="str">
        <f t="shared" si="7"/>
        <v/>
      </c>
    </row>
    <row r="225" spans="7:10" x14ac:dyDescent="0.2">
      <c r="G225">
        <f t="shared" si="8"/>
        <v>0</v>
      </c>
      <c r="H225">
        <f t="shared" si="9"/>
        <v>0</v>
      </c>
      <c r="I225">
        <f>IF(A225="Total",VLOOKUP(B225,CORRESPONDANCE[#All],2,FALSE),I226)</f>
        <v>0</v>
      </c>
      <c r="J225" t="str">
        <f t="shared" si="7"/>
        <v/>
      </c>
    </row>
    <row r="226" spans="7:10" x14ac:dyDescent="0.2">
      <c r="G226">
        <f t="shared" si="8"/>
        <v>0</v>
      </c>
      <c r="H226">
        <f t="shared" si="9"/>
        <v>0</v>
      </c>
      <c r="I226">
        <f>IF(A226="Total",VLOOKUP(B226,CORRESPONDANCE[#All],2,FALSE),I227)</f>
        <v>0</v>
      </c>
      <c r="J226" t="str">
        <f t="shared" si="7"/>
        <v/>
      </c>
    </row>
    <row r="227" spans="7:10" x14ac:dyDescent="0.2">
      <c r="G227">
        <f t="shared" si="8"/>
        <v>0</v>
      </c>
      <c r="H227">
        <f t="shared" si="9"/>
        <v>0</v>
      </c>
      <c r="I227">
        <f>IF(A227="Total",VLOOKUP(B227,CORRESPONDANCE[#All],2,FALSE),I228)</f>
        <v>0</v>
      </c>
      <c r="J227" t="str">
        <f t="shared" si="7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6633-6423-4E73-A7AF-5818CC353EDC}">
  <sheetPr>
    <tabColor theme="7" tint="0.59999389629810485"/>
  </sheetPr>
  <dimension ref="A1:J227"/>
  <sheetViews>
    <sheetView workbookViewId="0">
      <selection activeCell="A3" sqref="A3"/>
    </sheetView>
  </sheetViews>
  <sheetFormatPr baseColWidth="10" defaultRowHeight="12.75" x14ac:dyDescent="0.2"/>
  <cols>
    <col min="2" max="2" width="35.28515625" bestFit="1" customWidth="1"/>
    <col min="3" max="3" width="12.140625" style="272" bestFit="1" customWidth="1"/>
    <col min="4" max="4" width="11.42578125" style="272"/>
    <col min="5" max="5" width="13.5703125" style="272" bestFit="1" customWidth="1"/>
    <col min="6" max="6" width="11.42578125" style="272"/>
    <col min="7" max="8" width="12.7109375" bestFit="1" customWidth="1"/>
  </cols>
  <sheetData>
    <row r="1" spans="1:10" x14ac:dyDescent="0.2">
      <c r="A1" t="s">
        <v>6979</v>
      </c>
      <c r="B1" t="s">
        <v>6980</v>
      </c>
      <c r="G1" t="s">
        <v>2509</v>
      </c>
      <c r="H1" t="s">
        <v>2510</v>
      </c>
      <c r="I1" t="s">
        <v>2511</v>
      </c>
      <c r="J1" t="s">
        <v>2512</v>
      </c>
    </row>
    <row r="2" spans="1:10" x14ac:dyDescent="0.2">
      <c r="A2">
        <v>1</v>
      </c>
      <c r="B2" t="s">
        <v>3006</v>
      </c>
      <c r="C2" s="272">
        <v>228176.94</v>
      </c>
      <c r="E2" s="272">
        <v>228176.94</v>
      </c>
      <c r="G2">
        <f>-SUM(C2)+SUM(D2)</f>
        <v>-228176.94</v>
      </c>
      <c r="H2">
        <f>-SUM(E2)+SUM(F2)</f>
        <v>-228176.94</v>
      </c>
      <c r="I2">
        <v>1</v>
      </c>
      <c r="J2" t="s">
        <v>6978</v>
      </c>
    </row>
    <row r="3" spans="1:10" x14ac:dyDescent="0.2">
      <c r="A3">
        <v>2</v>
      </c>
      <c r="B3" t="s">
        <v>222</v>
      </c>
      <c r="C3" s="272">
        <v>225059.06</v>
      </c>
      <c r="E3" s="272">
        <v>225059.06</v>
      </c>
      <c r="G3">
        <f>-SUM(C3)+SUM(D3)</f>
        <v>-225059.06</v>
      </c>
      <c r="H3">
        <f>-SUM(E3)+SUM(F3)</f>
        <v>-225059.06</v>
      </c>
      <c r="I3">
        <v>2</v>
      </c>
      <c r="J3" t="s">
        <v>6978</v>
      </c>
    </row>
    <row r="4" spans="1:10" x14ac:dyDescent="0.2">
      <c r="A4">
        <v>3</v>
      </c>
      <c r="B4" t="s">
        <v>7021</v>
      </c>
      <c r="C4" s="272">
        <v>49662.43</v>
      </c>
      <c r="E4" s="272">
        <v>49662.43</v>
      </c>
      <c r="G4">
        <f>SUM(C4)-SUM(D4)</f>
        <v>49662.43</v>
      </c>
      <c r="H4">
        <f>SUM(E4)-SUM(F4)</f>
        <v>49662.43</v>
      </c>
      <c r="I4">
        <v>3</v>
      </c>
      <c r="J4" t="s">
        <v>6978</v>
      </c>
    </row>
    <row r="5" spans="1:10" x14ac:dyDescent="0.2">
      <c r="A5">
        <v>4</v>
      </c>
      <c r="B5" t="s">
        <v>517</v>
      </c>
      <c r="C5" s="272">
        <v>1353.01</v>
      </c>
      <c r="E5" s="272">
        <v>1353.01</v>
      </c>
      <c r="G5">
        <f t="shared" ref="G5:G53" si="0">SUM(C5)-SUM(D5)</f>
        <v>1353.01</v>
      </c>
      <c r="H5">
        <f>SUM(E5)-SUM(F5)</f>
        <v>1353.01</v>
      </c>
      <c r="I5">
        <v>4</v>
      </c>
      <c r="J5" t="s">
        <v>6978</v>
      </c>
    </row>
    <row r="6" spans="1:10" x14ac:dyDescent="0.2">
      <c r="A6">
        <v>5</v>
      </c>
      <c r="B6" t="s">
        <v>3008</v>
      </c>
      <c r="C6" s="272">
        <v>1893.68</v>
      </c>
      <c r="E6" s="272">
        <v>1893.68</v>
      </c>
      <c r="G6">
        <f t="shared" si="0"/>
        <v>1893.68</v>
      </c>
      <c r="H6">
        <f t="shared" ref="H6:H53" si="1">SUM(E6)-SUM(F6)</f>
        <v>1893.68</v>
      </c>
      <c r="I6">
        <v>5</v>
      </c>
      <c r="J6" t="s">
        <v>6978</v>
      </c>
    </row>
    <row r="7" spans="1:10" x14ac:dyDescent="0.2">
      <c r="A7">
        <v>6</v>
      </c>
      <c r="B7" t="s">
        <v>3009</v>
      </c>
      <c r="C7" s="272">
        <v>4062.77</v>
      </c>
      <c r="E7" s="272">
        <v>4062.77</v>
      </c>
      <c r="G7">
        <f t="shared" si="0"/>
        <v>4062.77</v>
      </c>
      <c r="H7">
        <f t="shared" si="1"/>
        <v>4062.77</v>
      </c>
      <c r="I7">
        <v>6</v>
      </c>
      <c r="J7" t="s">
        <v>6978</v>
      </c>
    </row>
    <row r="8" spans="1:10" x14ac:dyDescent="0.2">
      <c r="A8">
        <v>6.1</v>
      </c>
      <c r="B8" t="s">
        <v>2965</v>
      </c>
      <c r="C8" s="272">
        <v>164.78</v>
      </c>
      <c r="E8" s="272">
        <v>164.78</v>
      </c>
      <c r="G8">
        <f t="shared" si="0"/>
        <v>164.78</v>
      </c>
      <c r="H8">
        <f t="shared" si="1"/>
        <v>164.78</v>
      </c>
      <c r="I8" t="s">
        <v>2964</v>
      </c>
      <c r="J8" t="s">
        <v>6978</v>
      </c>
    </row>
    <row r="9" spans="1:10" x14ac:dyDescent="0.2">
      <c r="A9">
        <v>7</v>
      </c>
      <c r="B9" t="s">
        <v>3011</v>
      </c>
      <c r="C9" s="272">
        <v>167922.39</v>
      </c>
      <c r="E9" s="272">
        <v>167922.39</v>
      </c>
      <c r="G9">
        <f t="shared" si="0"/>
        <v>167922.39</v>
      </c>
      <c r="H9">
        <f t="shared" si="1"/>
        <v>167922.39</v>
      </c>
      <c r="I9">
        <v>7</v>
      </c>
      <c r="J9" t="s">
        <v>6978</v>
      </c>
    </row>
    <row r="10" spans="1:10" x14ac:dyDescent="0.2">
      <c r="A10">
        <v>8</v>
      </c>
      <c r="B10" t="s">
        <v>3012</v>
      </c>
      <c r="C10" s="272">
        <v>27614.92</v>
      </c>
      <c r="E10" s="272">
        <v>27614.92</v>
      </c>
      <c r="G10">
        <f t="shared" si="0"/>
        <v>27614.92</v>
      </c>
      <c r="H10">
        <f t="shared" si="1"/>
        <v>27614.92</v>
      </c>
      <c r="I10">
        <v>8</v>
      </c>
      <c r="J10" t="s">
        <v>6978</v>
      </c>
    </row>
    <row r="11" spans="1:10" x14ac:dyDescent="0.2">
      <c r="A11">
        <v>9</v>
      </c>
      <c r="B11" t="s">
        <v>3013</v>
      </c>
      <c r="C11" s="272">
        <v>3379.71</v>
      </c>
      <c r="E11" s="272">
        <v>3379.71</v>
      </c>
      <c r="G11">
        <f t="shared" si="0"/>
        <v>3379.71</v>
      </c>
      <c r="H11">
        <f t="shared" si="1"/>
        <v>3379.71</v>
      </c>
      <c r="I11">
        <v>9</v>
      </c>
      <c r="J11" t="s">
        <v>6978</v>
      </c>
    </row>
    <row r="12" spans="1:10" x14ac:dyDescent="0.2">
      <c r="A12">
        <v>10</v>
      </c>
      <c r="B12" t="s">
        <v>3014</v>
      </c>
      <c r="C12" s="272">
        <v>18309.689999999999</v>
      </c>
      <c r="E12" s="272">
        <v>18309.689999999999</v>
      </c>
      <c r="G12">
        <f t="shared" si="0"/>
        <v>18309.689999999999</v>
      </c>
      <c r="H12">
        <f t="shared" si="1"/>
        <v>18309.689999999999</v>
      </c>
      <c r="I12">
        <v>10</v>
      </c>
      <c r="J12" t="s">
        <v>6978</v>
      </c>
    </row>
    <row r="13" spans="1:10" x14ac:dyDescent="0.2">
      <c r="A13">
        <v>11</v>
      </c>
      <c r="B13" t="s">
        <v>3015</v>
      </c>
      <c r="C13" s="272">
        <v>4405.8599999999997</v>
      </c>
      <c r="E13" s="272">
        <v>4405.8599999999997</v>
      </c>
      <c r="G13">
        <f t="shared" si="0"/>
        <v>4405.8599999999997</v>
      </c>
      <c r="H13">
        <f t="shared" si="1"/>
        <v>4405.8599999999997</v>
      </c>
      <c r="I13">
        <v>11</v>
      </c>
      <c r="J13" t="s">
        <v>6978</v>
      </c>
    </row>
    <row r="14" spans="1:10" x14ac:dyDescent="0.2">
      <c r="A14">
        <v>12</v>
      </c>
      <c r="B14" t="s">
        <v>2969</v>
      </c>
      <c r="C14" s="272">
        <v>-500</v>
      </c>
      <c r="E14" s="272">
        <v>-500</v>
      </c>
      <c r="G14">
        <f t="shared" si="0"/>
        <v>-500</v>
      </c>
      <c r="H14">
        <f t="shared" si="1"/>
        <v>-500</v>
      </c>
      <c r="I14">
        <v>12</v>
      </c>
      <c r="J14" t="s">
        <v>6978</v>
      </c>
    </row>
    <row r="15" spans="1:10" x14ac:dyDescent="0.2">
      <c r="A15">
        <v>13</v>
      </c>
      <c r="B15" t="s">
        <v>2970</v>
      </c>
      <c r="G15">
        <f t="shared" si="0"/>
        <v>0</v>
      </c>
      <c r="H15">
        <f t="shared" si="1"/>
        <v>0</v>
      </c>
      <c r="I15">
        <v>13</v>
      </c>
      <c r="J15" t="s">
        <v>6978</v>
      </c>
    </row>
    <row r="16" spans="1:10" x14ac:dyDescent="0.2">
      <c r="A16">
        <v>14</v>
      </c>
      <c r="B16" t="s">
        <v>3017</v>
      </c>
      <c r="C16" s="272">
        <v>53210.179999999993</v>
      </c>
      <c r="E16" s="272">
        <v>53210.179999999993</v>
      </c>
      <c r="G16">
        <f t="shared" si="0"/>
        <v>53210.179999999993</v>
      </c>
      <c r="H16">
        <f t="shared" si="1"/>
        <v>53210.179999999993</v>
      </c>
      <c r="I16">
        <v>14</v>
      </c>
      <c r="J16" t="s">
        <v>6978</v>
      </c>
    </row>
    <row r="17" spans="1:10" x14ac:dyDescent="0.2">
      <c r="A17">
        <v>15</v>
      </c>
      <c r="B17" t="s">
        <v>2174</v>
      </c>
      <c r="C17" s="272">
        <v>9540</v>
      </c>
      <c r="E17" s="272">
        <v>9540</v>
      </c>
      <c r="G17">
        <f t="shared" si="0"/>
        <v>9540</v>
      </c>
      <c r="H17">
        <f t="shared" si="1"/>
        <v>9540</v>
      </c>
      <c r="I17">
        <v>15</v>
      </c>
      <c r="J17" t="s">
        <v>6978</v>
      </c>
    </row>
    <row r="18" spans="1:10" x14ac:dyDescent="0.2">
      <c r="A18">
        <v>16</v>
      </c>
      <c r="B18" t="s">
        <v>2972</v>
      </c>
      <c r="C18" s="272">
        <v>58.23</v>
      </c>
      <c r="E18" s="272">
        <v>58.23</v>
      </c>
      <c r="G18">
        <f t="shared" si="0"/>
        <v>58.23</v>
      </c>
      <c r="H18">
        <f t="shared" si="1"/>
        <v>58.23</v>
      </c>
      <c r="I18">
        <v>16</v>
      </c>
      <c r="J18" t="s">
        <v>6978</v>
      </c>
    </row>
    <row r="19" spans="1:10" x14ac:dyDescent="0.2">
      <c r="A19">
        <v>17</v>
      </c>
      <c r="B19" t="s">
        <v>2973</v>
      </c>
      <c r="C19" s="272">
        <v>1677.22</v>
      </c>
      <c r="E19" s="272">
        <v>1677.22</v>
      </c>
      <c r="G19">
        <f t="shared" si="0"/>
        <v>1677.22</v>
      </c>
      <c r="H19">
        <f t="shared" si="1"/>
        <v>1677.22</v>
      </c>
      <c r="I19">
        <v>17</v>
      </c>
      <c r="J19" t="s">
        <v>6978</v>
      </c>
    </row>
    <row r="20" spans="1:10" x14ac:dyDescent="0.2">
      <c r="A20">
        <v>18</v>
      </c>
      <c r="B20" t="s">
        <v>3018</v>
      </c>
      <c r="C20" s="272">
        <v>2890.53</v>
      </c>
      <c r="E20" s="272">
        <v>2890.53</v>
      </c>
      <c r="G20">
        <f t="shared" si="0"/>
        <v>2890.53</v>
      </c>
      <c r="H20">
        <f t="shared" si="1"/>
        <v>2890.53</v>
      </c>
      <c r="I20">
        <v>18</v>
      </c>
      <c r="J20" t="s">
        <v>6978</v>
      </c>
    </row>
    <row r="21" spans="1:10" x14ac:dyDescent="0.2">
      <c r="A21">
        <v>19</v>
      </c>
      <c r="B21" t="s">
        <v>2975</v>
      </c>
      <c r="C21" s="272">
        <v>4651.0200000000004</v>
      </c>
      <c r="E21" s="272">
        <v>4651.0200000000004</v>
      </c>
      <c r="G21">
        <f t="shared" si="0"/>
        <v>4651.0200000000004</v>
      </c>
      <c r="H21">
        <f t="shared" si="1"/>
        <v>4651.0200000000004</v>
      </c>
      <c r="I21">
        <v>19</v>
      </c>
      <c r="J21" t="s">
        <v>6978</v>
      </c>
    </row>
    <row r="22" spans="1:10" x14ac:dyDescent="0.2">
      <c r="A22">
        <v>20</v>
      </c>
      <c r="B22" t="s">
        <v>3019</v>
      </c>
      <c r="C22" s="272">
        <v>18817</v>
      </c>
      <c r="E22" s="272">
        <v>18817</v>
      </c>
      <c r="G22">
        <f t="shared" si="0"/>
        <v>18817</v>
      </c>
      <c r="H22">
        <f t="shared" si="1"/>
        <v>18817</v>
      </c>
      <c r="I22">
        <v>20</v>
      </c>
      <c r="J22" t="s">
        <v>6978</v>
      </c>
    </row>
    <row r="23" spans="1:10" x14ac:dyDescent="0.2">
      <c r="A23">
        <v>21</v>
      </c>
      <c r="B23" t="s">
        <v>2977</v>
      </c>
      <c r="G23">
        <f t="shared" si="0"/>
        <v>0</v>
      </c>
      <c r="H23">
        <f t="shared" si="1"/>
        <v>0</v>
      </c>
      <c r="I23">
        <v>21</v>
      </c>
      <c r="J23" t="s">
        <v>6978</v>
      </c>
    </row>
    <row r="24" spans="1:10" x14ac:dyDescent="0.2">
      <c r="A24">
        <v>22</v>
      </c>
      <c r="B24" t="s">
        <v>145</v>
      </c>
      <c r="C24" s="272">
        <v>9030.2999999999993</v>
      </c>
      <c r="E24" s="272">
        <v>9030.2999999999993</v>
      </c>
      <c r="G24">
        <f t="shared" si="0"/>
        <v>9030.2999999999993</v>
      </c>
      <c r="H24">
        <f t="shared" si="1"/>
        <v>9030.2999999999993</v>
      </c>
      <c r="I24">
        <v>22</v>
      </c>
      <c r="J24" t="s">
        <v>6978</v>
      </c>
    </row>
    <row r="25" spans="1:10" x14ac:dyDescent="0.2">
      <c r="A25">
        <v>23</v>
      </c>
      <c r="B25" t="s">
        <v>215</v>
      </c>
      <c r="C25" s="272">
        <v>5162.43</v>
      </c>
      <c r="E25" s="272">
        <v>5162.43</v>
      </c>
      <c r="G25">
        <f t="shared" si="0"/>
        <v>5162.43</v>
      </c>
      <c r="H25">
        <f t="shared" si="1"/>
        <v>5162.43</v>
      </c>
      <c r="I25">
        <v>23</v>
      </c>
      <c r="J25" t="s">
        <v>6978</v>
      </c>
    </row>
    <row r="26" spans="1:10" x14ac:dyDescent="0.2">
      <c r="A26">
        <v>24</v>
      </c>
      <c r="B26" t="s">
        <v>3020</v>
      </c>
      <c r="C26" s="272">
        <v>8650.75</v>
      </c>
      <c r="E26" s="272">
        <v>8650.75</v>
      </c>
      <c r="G26">
        <f t="shared" si="0"/>
        <v>8650.75</v>
      </c>
      <c r="H26">
        <f t="shared" si="1"/>
        <v>8650.75</v>
      </c>
      <c r="I26">
        <v>24</v>
      </c>
      <c r="J26" t="s">
        <v>6978</v>
      </c>
    </row>
    <row r="27" spans="1:10" x14ac:dyDescent="0.2">
      <c r="A27">
        <v>25</v>
      </c>
      <c r="B27" t="s">
        <v>3021</v>
      </c>
      <c r="C27" s="272">
        <v>2492.2199999999998</v>
      </c>
      <c r="E27" s="272">
        <v>2492.2199999999998</v>
      </c>
      <c r="G27">
        <f t="shared" si="0"/>
        <v>2492.2199999999998</v>
      </c>
      <c r="H27">
        <f t="shared" si="1"/>
        <v>2492.2199999999998</v>
      </c>
      <c r="I27">
        <v>25</v>
      </c>
      <c r="J27" t="s">
        <v>6978</v>
      </c>
    </row>
    <row r="28" spans="1:10" x14ac:dyDescent="0.2">
      <c r="A28">
        <v>26</v>
      </c>
      <c r="B28" t="s">
        <v>2981</v>
      </c>
      <c r="C28" s="272">
        <v>268.02999999999997</v>
      </c>
      <c r="E28" s="272">
        <v>268.02999999999997</v>
      </c>
      <c r="G28">
        <f t="shared" si="0"/>
        <v>268.02999999999997</v>
      </c>
      <c r="H28">
        <f t="shared" si="1"/>
        <v>268.02999999999997</v>
      </c>
      <c r="I28">
        <v>26</v>
      </c>
      <c r="J28" t="s">
        <v>6978</v>
      </c>
    </row>
    <row r="29" spans="1:10" x14ac:dyDescent="0.2">
      <c r="A29">
        <v>27</v>
      </c>
      <c r="B29" t="s">
        <v>33</v>
      </c>
      <c r="C29" s="272">
        <v>173.12</v>
      </c>
      <c r="E29" s="272">
        <v>173.12</v>
      </c>
      <c r="G29">
        <f t="shared" si="0"/>
        <v>173.12</v>
      </c>
      <c r="H29">
        <f t="shared" si="1"/>
        <v>173.12</v>
      </c>
      <c r="I29">
        <v>27</v>
      </c>
      <c r="J29" t="s">
        <v>6978</v>
      </c>
    </row>
    <row r="30" spans="1:10" x14ac:dyDescent="0.2">
      <c r="A30">
        <v>28</v>
      </c>
      <c r="B30" t="s">
        <v>3022</v>
      </c>
      <c r="C30" s="272">
        <v>70118.360000000015</v>
      </c>
      <c r="E30" s="272">
        <v>70118.360000000015</v>
      </c>
      <c r="G30">
        <f t="shared" si="0"/>
        <v>70118.360000000015</v>
      </c>
      <c r="H30">
        <f t="shared" si="1"/>
        <v>70118.360000000015</v>
      </c>
      <c r="I30">
        <v>28</v>
      </c>
      <c r="J30" t="s">
        <v>6978</v>
      </c>
    </row>
    <row r="31" spans="1:10" x14ac:dyDescent="0.2">
      <c r="A31">
        <v>29</v>
      </c>
      <c r="B31" t="s">
        <v>3023</v>
      </c>
      <c r="C31" s="272">
        <v>28522.12</v>
      </c>
      <c r="E31" s="272">
        <v>28522.12</v>
      </c>
      <c r="G31">
        <f t="shared" si="0"/>
        <v>28522.12</v>
      </c>
      <c r="H31">
        <f t="shared" si="1"/>
        <v>28522.12</v>
      </c>
      <c r="I31">
        <v>29</v>
      </c>
      <c r="J31" t="s">
        <v>6978</v>
      </c>
    </row>
    <row r="32" spans="1:10" x14ac:dyDescent="0.2">
      <c r="A32">
        <v>30</v>
      </c>
      <c r="B32" t="s">
        <v>2986</v>
      </c>
      <c r="G32">
        <f t="shared" si="0"/>
        <v>0</v>
      </c>
      <c r="H32">
        <f t="shared" si="1"/>
        <v>0</v>
      </c>
      <c r="I32">
        <v>30</v>
      </c>
      <c r="J32" t="s">
        <v>6978</v>
      </c>
    </row>
    <row r="33" spans="1:10" x14ac:dyDescent="0.2">
      <c r="A33">
        <v>31</v>
      </c>
      <c r="B33" t="s">
        <v>3024</v>
      </c>
      <c r="C33" s="272">
        <v>-423.42</v>
      </c>
      <c r="E33" s="272">
        <v>-423.42</v>
      </c>
      <c r="G33">
        <f t="shared" si="0"/>
        <v>-423.42</v>
      </c>
      <c r="H33">
        <f t="shared" si="1"/>
        <v>-423.42</v>
      </c>
      <c r="I33">
        <v>31</v>
      </c>
      <c r="J33" t="s">
        <v>6978</v>
      </c>
    </row>
    <row r="34" spans="1:10" x14ac:dyDescent="0.2">
      <c r="A34">
        <v>32</v>
      </c>
      <c r="B34" t="s">
        <v>3025</v>
      </c>
      <c r="C34" s="272">
        <v>28098.7</v>
      </c>
      <c r="E34" s="272">
        <v>28098.7</v>
      </c>
      <c r="G34">
        <f t="shared" si="0"/>
        <v>28098.7</v>
      </c>
      <c r="H34">
        <f t="shared" si="1"/>
        <v>28098.7</v>
      </c>
      <c r="I34">
        <v>32</v>
      </c>
      <c r="J34" t="s">
        <v>6978</v>
      </c>
    </row>
    <row r="35" spans="1:10" x14ac:dyDescent="0.2">
      <c r="A35">
        <v>33</v>
      </c>
      <c r="B35" t="s">
        <v>2989</v>
      </c>
      <c r="G35">
        <f t="shared" si="0"/>
        <v>0</v>
      </c>
      <c r="H35">
        <f t="shared" si="1"/>
        <v>0</v>
      </c>
      <c r="I35">
        <v>33</v>
      </c>
      <c r="J35" t="s">
        <v>6978</v>
      </c>
    </row>
    <row r="36" spans="1:10" x14ac:dyDescent="0.2">
      <c r="A36">
        <v>34</v>
      </c>
      <c r="B36" t="s">
        <v>276</v>
      </c>
      <c r="C36" s="272">
        <v>11408.85</v>
      </c>
      <c r="E36" s="272">
        <v>11408.85</v>
      </c>
      <c r="G36">
        <f t="shared" si="0"/>
        <v>11408.85</v>
      </c>
      <c r="H36">
        <f t="shared" si="1"/>
        <v>11408.85</v>
      </c>
      <c r="I36">
        <v>34</v>
      </c>
      <c r="J36" t="s">
        <v>6978</v>
      </c>
    </row>
    <row r="37" spans="1:10" x14ac:dyDescent="0.2">
      <c r="A37">
        <v>35</v>
      </c>
      <c r="B37" t="s">
        <v>213</v>
      </c>
      <c r="C37" s="272">
        <v>1588</v>
      </c>
      <c r="E37" s="272">
        <v>1588</v>
      </c>
      <c r="G37">
        <f t="shared" si="0"/>
        <v>1588</v>
      </c>
      <c r="H37">
        <f t="shared" si="1"/>
        <v>1588</v>
      </c>
      <c r="I37">
        <v>35</v>
      </c>
      <c r="J37" t="s">
        <v>6978</v>
      </c>
    </row>
    <row r="38" spans="1:10" x14ac:dyDescent="0.2">
      <c r="A38">
        <v>36</v>
      </c>
      <c r="B38" t="s">
        <v>41</v>
      </c>
      <c r="C38" s="272">
        <v>1380.05</v>
      </c>
      <c r="E38" s="272">
        <v>1380.05</v>
      </c>
      <c r="G38">
        <f t="shared" si="0"/>
        <v>1380.05</v>
      </c>
      <c r="H38">
        <f t="shared" si="1"/>
        <v>1380.05</v>
      </c>
      <c r="I38">
        <v>36</v>
      </c>
      <c r="J38" t="s">
        <v>6978</v>
      </c>
    </row>
    <row r="39" spans="1:10" x14ac:dyDescent="0.2">
      <c r="A39">
        <v>37</v>
      </c>
      <c r="B39" t="s">
        <v>3026</v>
      </c>
      <c r="C39" s="272">
        <v>2010.55</v>
      </c>
      <c r="E39" s="272">
        <v>2010.55</v>
      </c>
      <c r="G39">
        <f t="shared" si="0"/>
        <v>2010.55</v>
      </c>
      <c r="H39">
        <f t="shared" si="1"/>
        <v>2010.55</v>
      </c>
      <c r="I39">
        <v>37</v>
      </c>
      <c r="J39" t="s">
        <v>6978</v>
      </c>
    </row>
    <row r="40" spans="1:10" x14ac:dyDescent="0.2">
      <c r="A40">
        <v>38</v>
      </c>
      <c r="B40" t="s">
        <v>3027</v>
      </c>
      <c r="C40" s="272">
        <v>6110</v>
      </c>
      <c r="E40" s="272">
        <v>6110</v>
      </c>
      <c r="G40">
        <f t="shared" si="0"/>
        <v>6110</v>
      </c>
      <c r="H40">
        <f t="shared" si="1"/>
        <v>6110</v>
      </c>
      <c r="I40">
        <v>38</v>
      </c>
      <c r="J40" t="s">
        <v>6978</v>
      </c>
    </row>
    <row r="41" spans="1:10" x14ac:dyDescent="0.2">
      <c r="A41">
        <v>39</v>
      </c>
      <c r="B41" t="s">
        <v>2990</v>
      </c>
      <c r="C41" s="272">
        <v>218.56</v>
      </c>
      <c r="E41" s="272">
        <v>218.56</v>
      </c>
      <c r="G41">
        <f t="shared" si="0"/>
        <v>218.56</v>
      </c>
      <c r="H41">
        <f t="shared" si="1"/>
        <v>218.56</v>
      </c>
      <c r="I41">
        <v>39</v>
      </c>
      <c r="J41" t="s">
        <v>6978</v>
      </c>
    </row>
    <row r="42" spans="1:10" x14ac:dyDescent="0.2">
      <c r="A42">
        <v>40</v>
      </c>
      <c r="B42" t="s">
        <v>3029</v>
      </c>
      <c r="C42" s="272">
        <v>2121.58</v>
      </c>
      <c r="E42" s="272">
        <v>2121.58</v>
      </c>
      <c r="G42">
        <f t="shared" si="0"/>
        <v>2121.58</v>
      </c>
      <c r="H42">
        <f t="shared" si="1"/>
        <v>2121.58</v>
      </c>
      <c r="I42">
        <v>40</v>
      </c>
      <c r="J42" t="s">
        <v>6978</v>
      </c>
    </row>
    <row r="43" spans="1:10" x14ac:dyDescent="0.2">
      <c r="A43">
        <v>41.1</v>
      </c>
      <c r="B43" t="s">
        <v>64</v>
      </c>
      <c r="C43" s="272">
        <v>3117.88</v>
      </c>
      <c r="E43" s="272">
        <v>3117.88</v>
      </c>
      <c r="G43">
        <f>-SUM(C43)+SUM(D43)</f>
        <v>-3117.88</v>
      </c>
      <c r="H43">
        <f>-SUM(E43)+SUM(F43)</f>
        <v>-3117.88</v>
      </c>
      <c r="I43" t="s">
        <v>2991</v>
      </c>
      <c r="J43" t="s">
        <v>6978</v>
      </c>
    </row>
    <row r="44" spans="1:10" x14ac:dyDescent="0.2">
      <c r="A44">
        <v>41.2</v>
      </c>
      <c r="B44" t="s">
        <v>151</v>
      </c>
      <c r="C44" s="272">
        <v>2975.81</v>
      </c>
      <c r="E44" s="272">
        <v>2975.81</v>
      </c>
      <c r="G44">
        <f t="shared" si="0"/>
        <v>2975.81</v>
      </c>
      <c r="H44">
        <f t="shared" si="1"/>
        <v>2975.81</v>
      </c>
      <c r="I44" t="s">
        <v>2992</v>
      </c>
      <c r="J44" t="s">
        <v>6978</v>
      </c>
    </row>
    <row r="45" spans="1:10" x14ac:dyDescent="0.2">
      <c r="A45">
        <v>41</v>
      </c>
      <c r="B45" t="s">
        <v>3031</v>
      </c>
      <c r="C45" s="272">
        <v>142.07000000000016</v>
      </c>
      <c r="E45" s="272">
        <v>142.07000000000016</v>
      </c>
      <c r="G45">
        <f t="shared" si="0"/>
        <v>142.07000000000016</v>
      </c>
      <c r="H45">
        <f t="shared" si="1"/>
        <v>142.07000000000016</v>
      </c>
      <c r="I45">
        <v>41</v>
      </c>
      <c r="J45" t="s">
        <v>6978</v>
      </c>
    </row>
    <row r="46" spans="1:10" x14ac:dyDescent="0.2">
      <c r="A46">
        <v>42</v>
      </c>
      <c r="B46" t="s">
        <v>3032</v>
      </c>
      <c r="C46" s="272">
        <v>12.74</v>
      </c>
      <c r="E46" s="272">
        <v>12.74</v>
      </c>
      <c r="G46">
        <f t="shared" si="0"/>
        <v>12.74</v>
      </c>
      <c r="H46">
        <f t="shared" si="1"/>
        <v>12.74</v>
      </c>
      <c r="I46">
        <v>42</v>
      </c>
      <c r="J46" t="s">
        <v>6978</v>
      </c>
    </row>
    <row r="47" spans="1:10" x14ac:dyDescent="0.2">
      <c r="A47">
        <v>43</v>
      </c>
      <c r="B47" t="s">
        <v>3033</v>
      </c>
      <c r="C47" s="272">
        <v>17311.400000000005</v>
      </c>
      <c r="E47" s="272">
        <v>17311.400000000005</v>
      </c>
      <c r="G47">
        <f t="shared" si="0"/>
        <v>17311.400000000005</v>
      </c>
      <c r="H47">
        <f t="shared" si="1"/>
        <v>17311.400000000005</v>
      </c>
      <c r="I47">
        <v>43</v>
      </c>
      <c r="J47" t="s">
        <v>6978</v>
      </c>
    </row>
    <row r="48" spans="1:10" x14ac:dyDescent="0.2">
      <c r="A48">
        <v>44</v>
      </c>
      <c r="B48" t="s">
        <v>3034</v>
      </c>
      <c r="C48" s="272">
        <v>23652.700000000008</v>
      </c>
      <c r="E48" s="272">
        <v>23652.700000000008</v>
      </c>
      <c r="G48">
        <f t="shared" si="0"/>
        <v>23652.700000000008</v>
      </c>
      <c r="H48">
        <f t="shared" si="1"/>
        <v>23652.700000000008</v>
      </c>
      <c r="I48">
        <v>44</v>
      </c>
      <c r="J48" t="s">
        <v>6978</v>
      </c>
    </row>
    <row r="49" spans="1:10" x14ac:dyDescent="0.2">
      <c r="A49">
        <v>45</v>
      </c>
      <c r="B49" t="s">
        <v>2996</v>
      </c>
      <c r="G49">
        <f t="shared" si="0"/>
        <v>0</v>
      </c>
      <c r="H49">
        <f t="shared" si="1"/>
        <v>0</v>
      </c>
      <c r="I49">
        <v>45</v>
      </c>
      <c r="J49" t="s">
        <v>6978</v>
      </c>
    </row>
    <row r="50" spans="1:10" x14ac:dyDescent="0.2">
      <c r="A50">
        <v>46</v>
      </c>
      <c r="B50" t="s">
        <v>3035</v>
      </c>
      <c r="C50" s="272">
        <v>18396</v>
      </c>
      <c r="E50" s="272">
        <v>18396</v>
      </c>
      <c r="G50">
        <f t="shared" si="0"/>
        <v>18396</v>
      </c>
      <c r="H50">
        <f t="shared" si="1"/>
        <v>18396</v>
      </c>
      <c r="I50">
        <v>46</v>
      </c>
      <c r="J50" t="s">
        <v>6978</v>
      </c>
    </row>
    <row r="51" spans="1:10" x14ac:dyDescent="0.2">
      <c r="A51">
        <v>47</v>
      </c>
      <c r="B51" t="s">
        <v>3036</v>
      </c>
      <c r="C51" s="272">
        <v>-1084.5999999999949</v>
      </c>
      <c r="E51" s="272">
        <v>-1084.5999999999949</v>
      </c>
      <c r="G51">
        <f t="shared" si="0"/>
        <v>-1084.5999999999949</v>
      </c>
      <c r="H51">
        <f t="shared" si="1"/>
        <v>-1084.5999999999949</v>
      </c>
      <c r="I51">
        <v>47</v>
      </c>
      <c r="J51" t="s">
        <v>6978</v>
      </c>
    </row>
    <row r="52" spans="1:10" x14ac:dyDescent="0.2">
      <c r="A52">
        <v>48</v>
      </c>
      <c r="B52" t="s">
        <v>357</v>
      </c>
      <c r="C52" s="272">
        <v>-397.69</v>
      </c>
      <c r="E52" s="272">
        <v>-397.69</v>
      </c>
      <c r="G52">
        <f t="shared" si="0"/>
        <v>-397.69</v>
      </c>
      <c r="H52">
        <f t="shared" si="1"/>
        <v>-397.69</v>
      </c>
      <c r="I52">
        <v>48</v>
      </c>
      <c r="J52" t="s">
        <v>6978</v>
      </c>
    </row>
    <row r="53" spans="1:10" x14ac:dyDescent="0.2">
      <c r="A53">
        <v>49</v>
      </c>
      <c r="B53" t="s">
        <v>3038</v>
      </c>
      <c r="C53" s="272">
        <v>-686.90999999999485</v>
      </c>
      <c r="E53" s="272">
        <v>-686.90999999999485</v>
      </c>
      <c r="G53">
        <f t="shared" si="0"/>
        <v>-686.90999999999485</v>
      </c>
      <c r="H53">
        <f t="shared" si="1"/>
        <v>-686.90999999999485</v>
      </c>
      <c r="I53">
        <v>49</v>
      </c>
      <c r="J53" t="s">
        <v>6978</v>
      </c>
    </row>
    <row r="54" spans="1:10" x14ac:dyDescent="0.2">
      <c r="J54" t="str">
        <f t="shared" ref="J54:J66" si="2">LEFT(A54,1)</f>
        <v/>
      </c>
    </row>
    <row r="55" spans="1:10" x14ac:dyDescent="0.2">
      <c r="J55" t="str">
        <f t="shared" si="2"/>
        <v/>
      </c>
    </row>
    <row r="56" spans="1:10" x14ac:dyDescent="0.2">
      <c r="J56" t="str">
        <f t="shared" si="2"/>
        <v/>
      </c>
    </row>
    <row r="57" spans="1:10" x14ac:dyDescent="0.2">
      <c r="J57" t="str">
        <f t="shared" si="2"/>
        <v/>
      </c>
    </row>
    <row r="58" spans="1:10" x14ac:dyDescent="0.2">
      <c r="J58" t="str">
        <f t="shared" si="2"/>
        <v/>
      </c>
    </row>
    <row r="59" spans="1:10" x14ac:dyDescent="0.2">
      <c r="J59" t="str">
        <f t="shared" si="2"/>
        <v/>
      </c>
    </row>
    <row r="60" spans="1:10" x14ac:dyDescent="0.2">
      <c r="J60" t="str">
        <f t="shared" si="2"/>
        <v/>
      </c>
    </row>
    <row r="61" spans="1:10" x14ac:dyDescent="0.2">
      <c r="J61" t="str">
        <f t="shared" si="2"/>
        <v/>
      </c>
    </row>
    <row r="62" spans="1:10" x14ac:dyDescent="0.2">
      <c r="J62" t="str">
        <f t="shared" si="2"/>
        <v/>
      </c>
    </row>
    <row r="63" spans="1:10" x14ac:dyDescent="0.2">
      <c r="J63" t="str">
        <f t="shared" si="2"/>
        <v/>
      </c>
    </row>
    <row r="64" spans="1:10" x14ac:dyDescent="0.2">
      <c r="J64" t="str">
        <f t="shared" si="2"/>
        <v/>
      </c>
    </row>
    <row r="65" spans="10:10" x14ac:dyDescent="0.2">
      <c r="J65" t="str">
        <f t="shared" si="2"/>
        <v/>
      </c>
    </row>
    <row r="66" spans="10:10" x14ac:dyDescent="0.2">
      <c r="J66" t="str">
        <f t="shared" si="2"/>
        <v/>
      </c>
    </row>
    <row r="67" spans="10:10" x14ac:dyDescent="0.2">
      <c r="J67" t="str">
        <f t="shared" ref="J67:J130" si="3">LEFT(A67,1)</f>
        <v/>
      </c>
    </row>
    <row r="68" spans="10:10" x14ac:dyDescent="0.2">
      <c r="J68" t="str">
        <f t="shared" si="3"/>
        <v/>
      </c>
    </row>
    <row r="69" spans="10:10" x14ac:dyDescent="0.2">
      <c r="J69" t="str">
        <f t="shared" si="3"/>
        <v/>
      </c>
    </row>
    <row r="70" spans="10:10" x14ac:dyDescent="0.2">
      <c r="J70" t="str">
        <f t="shared" si="3"/>
        <v/>
      </c>
    </row>
    <row r="71" spans="10:10" x14ac:dyDescent="0.2">
      <c r="J71" t="str">
        <f t="shared" si="3"/>
        <v/>
      </c>
    </row>
    <row r="72" spans="10:10" x14ac:dyDescent="0.2">
      <c r="J72" t="str">
        <f t="shared" si="3"/>
        <v/>
      </c>
    </row>
    <row r="73" spans="10:10" x14ac:dyDescent="0.2">
      <c r="J73" t="str">
        <f t="shared" si="3"/>
        <v/>
      </c>
    </row>
    <row r="74" spans="10:10" x14ac:dyDescent="0.2">
      <c r="J74" t="str">
        <f t="shared" si="3"/>
        <v/>
      </c>
    </row>
    <row r="75" spans="10:10" x14ac:dyDescent="0.2">
      <c r="J75" t="str">
        <f t="shared" si="3"/>
        <v/>
      </c>
    </row>
    <row r="76" spans="10:10" x14ac:dyDescent="0.2">
      <c r="J76" t="str">
        <f t="shared" si="3"/>
        <v/>
      </c>
    </row>
    <row r="77" spans="10:10" x14ac:dyDescent="0.2">
      <c r="J77" t="str">
        <f t="shared" si="3"/>
        <v/>
      </c>
    </row>
    <row r="78" spans="10:10" x14ac:dyDescent="0.2">
      <c r="J78" t="str">
        <f t="shared" si="3"/>
        <v/>
      </c>
    </row>
    <row r="79" spans="10:10" x14ac:dyDescent="0.2">
      <c r="J79" t="str">
        <f t="shared" si="3"/>
        <v/>
      </c>
    </row>
    <row r="80" spans="10:10" x14ac:dyDescent="0.2">
      <c r="J80" t="str">
        <f t="shared" si="3"/>
        <v/>
      </c>
    </row>
    <row r="81" spans="10:10" x14ac:dyDescent="0.2">
      <c r="J81" t="str">
        <f t="shared" si="3"/>
        <v/>
      </c>
    </row>
    <row r="82" spans="10:10" x14ac:dyDescent="0.2">
      <c r="J82" t="str">
        <f t="shared" si="3"/>
        <v/>
      </c>
    </row>
    <row r="83" spans="10:10" x14ac:dyDescent="0.2">
      <c r="J83" t="str">
        <f t="shared" si="3"/>
        <v/>
      </c>
    </row>
    <row r="84" spans="10:10" x14ac:dyDescent="0.2">
      <c r="J84" t="str">
        <f t="shared" si="3"/>
        <v/>
      </c>
    </row>
    <row r="85" spans="10:10" x14ac:dyDescent="0.2">
      <c r="J85" t="str">
        <f t="shared" si="3"/>
        <v/>
      </c>
    </row>
    <row r="86" spans="10:10" x14ac:dyDescent="0.2">
      <c r="J86" t="str">
        <f t="shared" si="3"/>
        <v/>
      </c>
    </row>
    <row r="87" spans="10:10" x14ac:dyDescent="0.2">
      <c r="J87" t="str">
        <f t="shared" si="3"/>
        <v/>
      </c>
    </row>
    <row r="88" spans="10:10" x14ac:dyDescent="0.2">
      <c r="J88" t="str">
        <f t="shared" si="3"/>
        <v/>
      </c>
    </row>
    <row r="89" spans="10:10" x14ac:dyDescent="0.2">
      <c r="J89" t="str">
        <f t="shared" si="3"/>
        <v/>
      </c>
    </row>
    <row r="90" spans="10:10" x14ac:dyDescent="0.2">
      <c r="J90" t="str">
        <f t="shared" si="3"/>
        <v/>
      </c>
    </row>
    <row r="91" spans="10:10" x14ac:dyDescent="0.2">
      <c r="J91" t="str">
        <f t="shared" si="3"/>
        <v/>
      </c>
    </row>
    <row r="92" spans="10:10" x14ac:dyDescent="0.2">
      <c r="J92" t="str">
        <f t="shared" si="3"/>
        <v/>
      </c>
    </row>
    <row r="93" spans="10:10" x14ac:dyDescent="0.2">
      <c r="J93" t="str">
        <f t="shared" si="3"/>
        <v/>
      </c>
    </row>
    <row r="94" spans="10:10" x14ac:dyDescent="0.2">
      <c r="J94" t="str">
        <f t="shared" si="3"/>
        <v/>
      </c>
    </row>
    <row r="95" spans="10:10" x14ac:dyDescent="0.2">
      <c r="J95" t="str">
        <f t="shared" si="3"/>
        <v/>
      </c>
    </row>
    <row r="96" spans="10:10" x14ac:dyDescent="0.2">
      <c r="J96" t="str">
        <f t="shared" si="3"/>
        <v/>
      </c>
    </row>
    <row r="97" spans="10:10" x14ac:dyDescent="0.2">
      <c r="J97" t="str">
        <f t="shared" si="3"/>
        <v/>
      </c>
    </row>
    <row r="98" spans="10:10" x14ac:dyDescent="0.2">
      <c r="J98" t="str">
        <f t="shared" si="3"/>
        <v/>
      </c>
    </row>
    <row r="99" spans="10:10" x14ac:dyDescent="0.2">
      <c r="J99" t="str">
        <f t="shared" si="3"/>
        <v/>
      </c>
    </row>
    <row r="100" spans="10:10" x14ac:dyDescent="0.2">
      <c r="J100" t="str">
        <f t="shared" si="3"/>
        <v/>
      </c>
    </row>
    <row r="101" spans="10:10" x14ac:dyDescent="0.2">
      <c r="J101" t="str">
        <f t="shared" si="3"/>
        <v/>
      </c>
    </row>
    <row r="102" spans="10:10" x14ac:dyDescent="0.2">
      <c r="J102" t="str">
        <f t="shared" si="3"/>
        <v/>
      </c>
    </row>
    <row r="103" spans="10:10" x14ac:dyDescent="0.2">
      <c r="J103" t="str">
        <f t="shared" si="3"/>
        <v/>
      </c>
    </row>
    <row r="104" spans="10:10" x14ac:dyDescent="0.2">
      <c r="J104" t="str">
        <f t="shared" si="3"/>
        <v/>
      </c>
    </row>
    <row r="105" spans="10:10" x14ac:dyDescent="0.2">
      <c r="J105" t="str">
        <f t="shared" si="3"/>
        <v/>
      </c>
    </row>
    <row r="106" spans="10:10" x14ac:dyDescent="0.2">
      <c r="J106" t="str">
        <f t="shared" si="3"/>
        <v/>
      </c>
    </row>
    <row r="107" spans="10:10" x14ac:dyDescent="0.2">
      <c r="J107" t="str">
        <f t="shared" si="3"/>
        <v/>
      </c>
    </row>
    <row r="108" spans="10:10" x14ac:dyDescent="0.2">
      <c r="J108" t="str">
        <f t="shared" si="3"/>
        <v/>
      </c>
    </row>
    <row r="109" spans="10:10" x14ac:dyDescent="0.2">
      <c r="J109" t="str">
        <f t="shared" si="3"/>
        <v/>
      </c>
    </row>
    <row r="110" spans="10:10" x14ac:dyDescent="0.2">
      <c r="J110" t="str">
        <f t="shared" si="3"/>
        <v/>
      </c>
    </row>
    <row r="111" spans="10:10" x14ac:dyDescent="0.2">
      <c r="J111" t="str">
        <f t="shared" si="3"/>
        <v/>
      </c>
    </row>
    <row r="112" spans="10:10" x14ac:dyDescent="0.2">
      <c r="J112" t="str">
        <f t="shared" si="3"/>
        <v/>
      </c>
    </row>
    <row r="113" spans="10:10" x14ac:dyDescent="0.2">
      <c r="J113" t="str">
        <f t="shared" si="3"/>
        <v/>
      </c>
    </row>
    <row r="114" spans="10:10" x14ac:dyDescent="0.2">
      <c r="J114" t="str">
        <f t="shared" si="3"/>
        <v/>
      </c>
    </row>
    <row r="115" spans="10:10" x14ac:dyDescent="0.2">
      <c r="J115" t="str">
        <f t="shared" si="3"/>
        <v/>
      </c>
    </row>
    <row r="116" spans="10:10" x14ac:dyDescent="0.2">
      <c r="J116" t="str">
        <f t="shared" si="3"/>
        <v/>
      </c>
    </row>
    <row r="117" spans="10:10" x14ac:dyDescent="0.2">
      <c r="J117" t="str">
        <f t="shared" si="3"/>
        <v/>
      </c>
    </row>
    <row r="118" spans="10:10" x14ac:dyDescent="0.2">
      <c r="J118" t="str">
        <f t="shared" si="3"/>
        <v/>
      </c>
    </row>
    <row r="119" spans="10:10" x14ac:dyDescent="0.2">
      <c r="J119" t="str">
        <f t="shared" si="3"/>
        <v/>
      </c>
    </row>
    <row r="120" spans="10:10" x14ac:dyDescent="0.2">
      <c r="J120" t="str">
        <f t="shared" si="3"/>
        <v/>
      </c>
    </row>
    <row r="121" spans="10:10" x14ac:dyDescent="0.2">
      <c r="J121" t="str">
        <f t="shared" si="3"/>
        <v/>
      </c>
    </row>
    <row r="122" spans="10:10" x14ac:dyDescent="0.2">
      <c r="J122" t="str">
        <f t="shared" si="3"/>
        <v/>
      </c>
    </row>
    <row r="123" spans="10:10" x14ac:dyDescent="0.2">
      <c r="J123" t="str">
        <f t="shared" si="3"/>
        <v/>
      </c>
    </row>
    <row r="124" spans="10:10" x14ac:dyDescent="0.2">
      <c r="J124" t="str">
        <f t="shared" si="3"/>
        <v/>
      </c>
    </row>
    <row r="125" spans="10:10" x14ac:dyDescent="0.2">
      <c r="J125" t="str">
        <f t="shared" si="3"/>
        <v/>
      </c>
    </row>
    <row r="126" spans="10:10" x14ac:dyDescent="0.2">
      <c r="J126" t="str">
        <f t="shared" si="3"/>
        <v/>
      </c>
    </row>
    <row r="127" spans="10:10" x14ac:dyDescent="0.2">
      <c r="J127" t="str">
        <f t="shared" si="3"/>
        <v/>
      </c>
    </row>
    <row r="128" spans="10:10" x14ac:dyDescent="0.2">
      <c r="J128" t="str">
        <f t="shared" si="3"/>
        <v/>
      </c>
    </row>
    <row r="129" spans="10:10" x14ac:dyDescent="0.2">
      <c r="J129" t="str">
        <f t="shared" si="3"/>
        <v/>
      </c>
    </row>
    <row r="130" spans="10:10" x14ac:dyDescent="0.2">
      <c r="J130" t="str">
        <f t="shared" si="3"/>
        <v/>
      </c>
    </row>
    <row r="131" spans="10:10" x14ac:dyDescent="0.2">
      <c r="J131" t="str">
        <f t="shared" ref="J131:J194" si="4">LEFT(A131,1)</f>
        <v/>
      </c>
    </row>
    <row r="132" spans="10:10" x14ac:dyDescent="0.2">
      <c r="J132" t="str">
        <f t="shared" si="4"/>
        <v/>
      </c>
    </row>
    <row r="133" spans="10:10" x14ac:dyDescent="0.2">
      <c r="J133" t="str">
        <f t="shared" si="4"/>
        <v/>
      </c>
    </row>
    <row r="134" spans="10:10" x14ac:dyDescent="0.2">
      <c r="J134" t="str">
        <f t="shared" si="4"/>
        <v/>
      </c>
    </row>
    <row r="135" spans="10:10" x14ac:dyDescent="0.2">
      <c r="J135" t="str">
        <f t="shared" si="4"/>
        <v/>
      </c>
    </row>
    <row r="136" spans="10:10" x14ac:dyDescent="0.2">
      <c r="J136" t="str">
        <f t="shared" si="4"/>
        <v/>
      </c>
    </row>
    <row r="137" spans="10:10" x14ac:dyDescent="0.2">
      <c r="J137" t="str">
        <f t="shared" si="4"/>
        <v/>
      </c>
    </row>
    <row r="138" spans="10:10" x14ac:dyDescent="0.2">
      <c r="J138" t="str">
        <f t="shared" si="4"/>
        <v/>
      </c>
    </row>
    <row r="139" spans="10:10" x14ac:dyDescent="0.2">
      <c r="J139" t="str">
        <f t="shared" si="4"/>
        <v/>
      </c>
    </row>
    <row r="140" spans="10:10" x14ac:dyDescent="0.2">
      <c r="J140" t="str">
        <f t="shared" si="4"/>
        <v/>
      </c>
    </row>
    <row r="141" spans="10:10" x14ac:dyDescent="0.2">
      <c r="J141" t="str">
        <f t="shared" si="4"/>
        <v/>
      </c>
    </row>
    <row r="142" spans="10:10" x14ac:dyDescent="0.2">
      <c r="J142" t="str">
        <f t="shared" si="4"/>
        <v/>
      </c>
    </row>
    <row r="143" spans="10:10" x14ac:dyDescent="0.2">
      <c r="J143" t="str">
        <f t="shared" si="4"/>
        <v/>
      </c>
    </row>
    <row r="144" spans="10:10" x14ac:dyDescent="0.2">
      <c r="J144" t="str">
        <f t="shared" si="4"/>
        <v/>
      </c>
    </row>
    <row r="145" spans="10:10" x14ac:dyDescent="0.2">
      <c r="J145" t="str">
        <f t="shared" si="4"/>
        <v/>
      </c>
    </row>
    <row r="146" spans="10:10" x14ac:dyDescent="0.2">
      <c r="J146" t="str">
        <f t="shared" si="4"/>
        <v/>
      </c>
    </row>
    <row r="147" spans="10:10" x14ac:dyDescent="0.2">
      <c r="J147" t="str">
        <f t="shared" si="4"/>
        <v/>
      </c>
    </row>
    <row r="148" spans="10:10" x14ac:dyDescent="0.2">
      <c r="J148" t="str">
        <f t="shared" si="4"/>
        <v/>
      </c>
    </row>
    <row r="149" spans="10:10" x14ac:dyDescent="0.2">
      <c r="J149" t="str">
        <f t="shared" si="4"/>
        <v/>
      </c>
    </row>
    <row r="150" spans="10:10" x14ac:dyDescent="0.2">
      <c r="J150" t="str">
        <f t="shared" si="4"/>
        <v/>
      </c>
    </row>
    <row r="151" spans="10:10" x14ac:dyDescent="0.2">
      <c r="J151" t="str">
        <f t="shared" si="4"/>
        <v/>
      </c>
    </row>
    <row r="152" spans="10:10" x14ac:dyDescent="0.2">
      <c r="J152" t="str">
        <f t="shared" si="4"/>
        <v/>
      </c>
    </row>
    <row r="153" spans="10:10" x14ac:dyDescent="0.2">
      <c r="J153" t="str">
        <f t="shared" si="4"/>
        <v/>
      </c>
    </row>
    <row r="154" spans="10:10" x14ac:dyDescent="0.2">
      <c r="J154" t="str">
        <f t="shared" si="4"/>
        <v/>
      </c>
    </row>
    <row r="155" spans="10:10" x14ac:dyDescent="0.2">
      <c r="J155" t="str">
        <f t="shared" si="4"/>
        <v/>
      </c>
    </row>
    <row r="156" spans="10:10" x14ac:dyDescent="0.2">
      <c r="J156" t="str">
        <f t="shared" si="4"/>
        <v/>
      </c>
    </row>
    <row r="157" spans="10:10" x14ac:dyDescent="0.2">
      <c r="J157" t="str">
        <f t="shared" si="4"/>
        <v/>
      </c>
    </row>
    <row r="158" spans="10:10" x14ac:dyDescent="0.2">
      <c r="J158" t="str">
        <f t="shared" si="4"/>
        <v/>
      </c>
    </row>
    <row r="159" spans="10:10" x14ac:dyDescent="0.2">
      <c r="J159" t="str">
        <f t="shared" si="4"/>
        <v/>
      </c>
    </row>
    <row r="160" spans="10:10" x14ac:dyDescent="0.2">
      <c r="J160" t="str">
        <f t="shared" si="4"/>
        <v/>
      </c>
    </row>
    <row r="161" spans="10:10" x14ac:dyDescent="0.2">
      <c r="J161" t="str">
        <f t="shared" si="4"/>
        <v/>
      </c>
    </row>
    <row r="162" spans="10:10" x14ac:dyDescent="0.2">
      <c r="J162" t="str">
        <f t="shared" si="4"/>
        <v/>
      </c>
    </row>
    <row r="163" spans="10:10" x14ac:dyDescent="0.2">
      <c r="J163" t="str">
        <f t="shared" si="4"/>
        <v/>
      </c>
    </row>
    <row r="164" spans="10:10" x14ac:dyDescent="0.2">
      <c r="J164" t="str">
        <f t="shared" si="4"/>
        <v/>
      </c>
    </row>
    <row r="165" spans="10:10" x14ac:dyDescent="0.2">
      <c r="J165" t="str">
        <f t="shared" si="4"/>
        <v/>
      </c>
    </row>
    <row r="166" spans="10:10" x14ac:dyDescent="0.2">
      <c r="J166" t="str">
        <f t="shared" si="4"/>
        <v/>
      </c>
    </row>
    <row r="167" spans="10:10" x14ac:dyDescent="0.2">
      <c r="J167" t="str">
        <f t="shared" si="4"/>
        <v/>
      </c>
    </row>
    <row r="168" spans="10:10" x14ac:dyDescent="0.2">
      <c r="J168" t="str">
        <f t="shared" si="4"/>
        <v/>
      </c>
    </row>
    <row r="169" spans="10:10" x14ac:dyDescent="0.2">
      <c r="J169" t="str">
        <f t="shared" si="4"/>
        <v/>
      </c>
    </row>
    <row r="170" spans="10:10" x14ac:dyDescent="0.2">
      <c r="J170" t="str">
        <f t="shared" si="4"/>
        <v/>
      </c>
    </row>
    <row r="171" spans="10:10" x14ac:dyDescent="0.2">
      <c r="J171" t="str">
        <f t="shared" si="4"/>
        <v/>
      </c>
    </row>
    <row r="172" spans="10:10" x14ac:dyDescent="0.2">
      <c r="J172" t="str">
        <f t="shared" si="4"/>
        <v/>
      </c>
    </row>
    <row r="173" spans="10:10" x14ac:dyDescent="0.2">
      <c r="J173" t="str">
        <f t="shared" si="4"/>
        <v/>
      </c>
    </row>
    <row r="174" spans="10:10" x14ac:dyDescent="0.2">
      <c r="J174" t="str">
        <f t="shared" si="4"/>
        <v/>
      </c>
    </row>
    <row r="175" spans="10:10" x14ac:dyDescent="0.2">
      <c r="J175" t="str">
        <f t="shared" si="4"/>
        <v/>
      </c>
    </row>
    <row r="176" spans="10:10" x14ac:dyDescent="0.2">
      <c r="J176" t="str">
        <f t="shared" si="4"/>
        <v/>
      </c>
    </row>
    <row r="177" spans="10:10" x14ac:dyDescent="0.2">
      <c r="J177" t="str">
        <f t="shared" si="4"/>
        <v/>
      </c>
    </row>
    <row r="178" spans="10:10" x14ac:dyDescent="0.2">
      <c r="J178" t="str">
        <f t="shared" si="4"/>
        <v/>
      </c>
    </row>
    <row r="179" spans="10:10" x14ac:dyDescent="0.2">
      <c r="J179" t="str">
        <f t="shared" si="4"/>
        <v/>
      </c>
    </row>
    <row r="180" spans="10:10" x14ac:dyDescent="0.2">
      <c r="J180" t="str">
        <f t="shared" si="4"/>
        <v/>
      </c>
    </row>
    <row r="181" spans="10:10" x14ac:dyDescent="0.2">
      <c r="J181" t="str">
        <f t="shared" si="4"/>
        <v/>
      </c>
    </row>
    <row r="182" spans="10:10" x14ac:dyDescent="0.2">
      <c r="J182" t="str">
        <f t="shared" si="4"/>
        <v/>
      </c>
    </row>
    <row r="183" spans="10:10" x14ac:dyDescent="0.2">
      <c r="J183" t="str">
        <f t="shared" si="4"/>
        <v/>
      </c>
    </row>
    <row r="184" spans="10:10" x14ac:dyDescent="0.2">
      <c r="J184" t="str">
        <f t="shared" si="4"/>
        <v/>
      </c>
    </row>
    <row r="185" spans="10:10" x14ac:dyDescent="0.2">
      <c r="J185" t="str">
        <f t="shared" si="4"/>
        <v/>
      </c>
    </row>
    <row r="186" spans="10:10" x14ac:dyDescent="0.2">
      <c r="J186" t="str">
        <f t="shared" si="4"/>
        <v/>
      </c>
    </row>
    <row r="187" spans="10:10" x14ac:dyDescent="0.2">
      <c r="J187" t="str">
        <f t="shared" si="4"/>
        <v/>
      </c>
    </row>
    <row r="188" spans="10:10" x14ac:dyDescent="0.2">
      <c r="J188" t="str">
        <f t="shared" si="4"/>
        <v/>
      </c>
    </row>
    <row r="189" spans="10:10" x14ac:dyDescent="0.2">
      <c r="J189" t="str">
        <f t="shared" si="4"/>
        <v/>
      </c>
    </row>
    <row r="190" spans="10:10" x14ac:dyDescent="0.2">
      <c r="J190" t="str">
        <f t="shared" si="4"/>
        <v/>
      </c>
    </row>
    <row r="191" spans="10:10" x14ac:dyDescent="0.2">
      <c r="J191" t="str">
        <f t="shared" si="4"/>
        <v/>
      </c>
    </row>
    <row r="192" spans="10:10" x14ac:dyDescent="0.2">
      <c r="J192" t="str">
        <f t="shared" si="4"/>
        <v/>
      </c>
    </row>
    <row r="193" spans="10:10" x14ac:dyDescent="0.2">
      <c r="J193" t="str">
        <f t="shared" si="4"/>
        <v/>
      </c>
    </row>
    <row r="194" spans="10:10" x14ac:dyDescent="0.2">
      <c r="J194" t="str">
        <f t="shared" si="4"/>
        <v/>
      </c>
    </row>
    <row r="195" spans="10:10" x14ac:dyDescent="0.2">
      <c r="J195" t="str">
        <f t="shared" ref="J195:J227" si="5">LEFT(A195,1)</f>
        <v/>
      </c>
    </row>
    <row r="196" spans="10:10" x14ac:dyDescent="0.2">
      <c r="J196" t="str">
        <f t="shared" si="5"/>
        <v/>
      </c>
    </row>
    <row r="197" spans="10:10" x14ac:dyDescent="0.2">
      <c r="J197" t="str">
        <f t="shared" si="5"/>
        <v/>
      </c>
    </row>
    <row r="198" spans="10:10" x14ac:dyDescent="0.2">
      <c r="J198" t="str">
        <f t="shared" si="5"/>
        <v/>
      </c>
    </row>
    <row r="199" spans="10:10" x14ac:dyDescent="0.2">
      <c r="J199" t="str">
        <f t="shared" si="5"/>
        <v/>
      </c>
    </row>
    <row r="200" spans="10:10" x14ac:dyDescent="0.2">
      <c r="J200" t="str">
        <f t="shared" si="5"/>
        <v/>
      </c>
    </row>
    <row r="201" spans="10:10" x14ac:dyDescent="0.2">
      <c r="J201" t="str">
        <f t="shared" si="5"/>
        <v/>
      </c>
    </row>
    <row r="202" spans="10:10" x14ac:dyDescent="0.2">
      <c r="J202" t="str">
        <f t="shared" si="5"/>
        <v/>
      </c>
    </row>
    <row r="203" spans="10:10" x14ac:dyDescent="0.2">
      <c r="J203" t="str">
        <f t="shared" si="5"/>
        <v/>
      </c>
    </row>
    <row r="204" spans="10:10" x14ac:dyDescent="0.2">
      <c r="J204" t="str">
        <f t="shared" si="5"/>
        <v/>
      </c>
    </row>
    <row r="205" spans="10:10" x14ac:dyDescent="0.2">
      <c r="J205" t="str">
        <f t="shared" si="5"/>
        <v/>
      </c>
    </row>
    <row r="206" spans="10:10" x14ac:dyDescent="0.2">
      <c r="J206" t="str">
        <f t="shared" si="5"/>
        <v/>
      </c>
    </row>
    <row r="207" spans="10:10" x14ac:dyDescent="0.2">
      <c r="J207" t="str">
        <f t="shared" si="5"/>
        <v/>
      </c>
    </row>
    <row r="208" spans="10:10" x14ac:dyDescent="0.2">
      <c r="J208" t="str">
        <f t="shared" si="5"/>
        <v/>
      </c>
    </row>
    <row r="209" spans="7:10" x14ac:dyDescent="0.2">
      <c r="J209" t="str">
        <f t="shared" si="5"/>
        <v/>
      </c>
    </row>
    <row r="210" spans="7:10" x14ac:dyDescent="0.2">
      <c r="J210" t="str">
        <f t="shared" si="5"/>
        <v/>
      </c>
    </row>
    <row r="211" spans="7:10" x14ac:dyDescent="0.2">
      <c r="J211" t="str">
        <f t="shared" si="5"/>
        <v/>
      </c>
    </row>
    <row r="212" spans="7:10" x14ac:dyDescent="0.2">
      <c r="J212" t="str">
        <f t="shared" si="5"/>
        <v/>
      </c>
    </row>
    <row r="213" spans="7:10" x14ac:dyDescent="0.2">
      <c r="J213" t="str">
        <f t="shared" si="5"/>
        <v/>
      </c>
    </row>
    <row r="214" spans="7:10" x14ac:dyDescent="0.2">
      <c r="J214" t="str">
        <f t="shared" si="5"/>
        <v/>
      </c>
    </row>
    <row r="215" spans="7:10" x14ac:dyDescent="0.2">
      <c r="J215" t="str">
        <f t="shared" si="5"/>
        <v/>
      </c>
    </row>
    <row r="216" spans="7:10" x14ac:dyDescent="0.2">
      <c r="J216" t="str">
        <f t="shared" si="5"/>
        <v/>
      </c>
    </row>
    <row r="217" spans="7:10" x14ac:dyDescent="0.2">
      <c r="J217" t="str">
        <f t="shared" si="5"/>
        <v/>
      </c>
    </row>
    <row r="218" spans="7:10" x14ac:dyDescent="0.2">
      <c r="J218" t="str">
        <f t="shared" si="5"/>
        <v/>
      </c>
    </row>
    <row r="219" spans="7:10" x14ac:dyDescent="0.2">
      <c r="J219" t="str">
        <f t="shared" si="5"/>
        <v/>
      </c>
    </row>
    <row r="220" spans="7:10" x14ac:dyDescent="0.2">
      <c r="G220">
        <f t="shared" ref="G220:G227" si="6">SUM(C220)-SUM(D220)</f>
        <v>0</v>
      </c>
      <c r="H220">
        <f t="shared" ref="H220:H227" si="7">SUM(E220)-SUM(F220)</f>
        <v>0</v>
      </c>
      <c r="I220">
        <f>IF(A220="Total",VLOOKUP(B220,CORRESPONDANCE[#All],2,FALSE),I221)</f>
        <v>0</v>
      </c>
      <c r="J220" t="str">
        <f t="shared" si="5"/>
        <v/>
      </c>
    </row>
    <row r="221" spans="7:10" x14ac:dyDescent="0.2">
      <c r="G221">
        <f t="shared" si="6"/>
        <v>0</v>
      </c>
      <c r="H221">
        <f t="shared" si="7"/>
        <v>0</v>
      </c>
      <c r="I221">
        <f>IF(A221="Total",VLOOKUP(B221,CORRESPONDANCE[#All],2,FALSE),I222)</f>
        <v>0</v>
      </c>
      <c r="J221" t="str">
        <f t="shared" si="5"/>
        <v/>
      </c>
    </row>
    <row r="222" spans="7:10" x14ac:dyDescent="0.2">
      <c r="G222">
        <f t="shared" si="6"/>
        <v>0</v>
      </c>
      <c r="H222">
        <f t="shared" si="7"/>
        <v>0</v>
      </c>
      <c r="I222">
        <f>IF(A222="Total",VLOOKUP(B222,CORRESPONDANCE[#All],2,FALSE),I223)</f>
        <v>0</v>
      </c>
      <c r="J222" t="str">
        <f t="shared" si="5"/>
        <v/>
      </c>
    </row>
    <row r="223" spans="7:10" x14ac:dyDescent="0.2">
      <c r="G223">
        <f t="shared" si="6"/>
        <v>0</v>
      </c>
      <c r="H223">
        <f t="shared" si="7"/>
        <v>0</v>
      </c>
      <c r="I223">
        <f>IF(A223="Total",VLOOKUP(B223,CORRESPONDANCE[#All],2,FALSE),I224)</f>
        <v>0</v>
      </c>
      <c r="J223" t="str">
        <f t="shared" si="5"/>
        <v/>
      </c>
    </row>
    <row r="224" spans="7:10" x14ac:dyDescent="0.2">
      <c r="G224">
        <f t="shared" si="6"/>
        <v>0</v>
      </c>
      <c r="H224">
        <f t="shared" si="7"/>
        <v>0</v>
      </c>
      <c r="I224">
        <f>IF(A224="Total",VLOOKUP(B224,CORRESPONDANCE[#All],2,FALSE),I225)</f>
        <v>0</v>
      </c>
      <c r="J224" t="str">
        <f t="shared" si="5"/>
        <v/>
      </c>
    </row>
    <row r="225" spans="7:10" x14ac:dyDescent="0.2">
      <c r="G225">
        <f t="shared" si="6"/>
        <v>0</v>
      </c>
      <c r="H225">
        <f t="shared" si="7"/>
        <v>0</v>
      </c>
      <c r="I225">
        <f>IF(A225="Total",VLOOKUP(B225,CORRESPONDANCE[#All],2,FALSE),I226)</f>
        <v>0</v>
      </c>
      <c r="J225" t="str">
        <f t="shared" si="5"/>
        <v/>
      </c>
    </row>
    <row r="226" spans="7:10" x14ac:dyDescent="0.2">
      <c r="G226">
        <f t="shared" si="6"/>
        <v>0</v>
      </c>
      <c r="H226">
        <f t="shared" si="7"/>
        <v>0</v>
      </c>
      <c r="I226">
        <f>IF(A226="Total",VLOOKUP(B226,CORRESPONDANCE[#All],2,FALSE),I227)</f>
        <v>0</v>
      </c>
      <c r="J226" t="str">
        <f t="shared" si="5"/>
        <v/>
      </c>
    </row>
    <row r="227" spans="7:10" x14ac:dyDescent="0.2">
      <c r="G227">
        <f t="shared" si="6"/>
        <v>0</v>
      </c>
      <c r="H227">
        <f t="shared" si="7"/>
        <v>0</v>
      </c>
      <c r="I227">
        <f>IF(A227="Total",VLOOKUP(B227,CORRESPONDANCE[#All],2,FALSE),I228)</f>
        <v>0</v>
      </c>
      <c r="J227" t="str">
        <f t="shared" si="5"/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7D63-B882-4F16-8647-A76562A2FD5A}">
  <sheetPr>
    <tabColor theme="7" tint="0.59999389629810485"/>
  </sheetPr>
  <dimension ref="A1:J227"/>
  <sheetViews>
    <sheetView workbookViewId="0">
      <selection activeCell="H24" sqref="H24"/>
    </sheetView>
  </sheetViews>
  <sheetFormatPr baseColWidth="10" defaultRowHeight="12.75" x14ac:dyDescent="0.2"/>
  <cols>
    <col min="2" max="2" width="35.28515625" bestFit="1" customWidth="1"/>
    <col min="3" max="3" width="12.140625" style="272" bestFit="1" customWidth="1"/>
    <col min="4" max="4" width="11.42578125" style="272"/>
    <col min="5" max="5" width="13.5703125" style="272" bestFit="1" customWidth="1"/>
    <col min="6" max="6" width="11.42578125" style="272"/>
    <col min="7" max="8" width="12.7109375" bestFit="1" customWidth="1"/>
  </cols>
  <sheetData>
    <row r="1" spans="1:10" x14ac:dyDescent="0.2">
      <c r="A1" t="s">
        <v>6979</v>
      </c>
      <c r="B1" t="s">
        <v>6980</v>
      </c>
      <c r="G1" t="s">
        <v>2509</v>
      </c>
      <c r="H1" t="s">
        <v>2510</v>
      </c>
      <c r="I1" t="s">
        <v>2511</v>
      </c>
      <c r="J1" t="s">
        <v>2512</v>
      </c>
    </row>
    <row r="2" spans="1:10" x14ac:dyDescent="0.2">
      <c r="A2">
        <v>1</v>
      </c>
      <c r="B2" t="s">
        <v>3006</v>
      </c>
      <c r="C2" s="272">
        <v>210808.26</v>
      </c>
      <c r="E2" s="272">
        <v>210808.26</v>
      </c>
      <c r="G2">
        <f>-SUM(C2)+SUM(D2)</f>
        <v>-210808.26</v>
      </c>
      <c r="H2">
        <f>-SUM(E2)+SUM(F2)</f>
        <v>-210808.26</v>
      </c>
      <c r="I2">
        <v>1</v>
      </c>
      <c r="J2" t="s">
        <v>6978</v>
      </c>
    </row>
    <row r="3" spans="1:10" x14ac:dyDescent="0.2">
      <c r="A3">
        <v>2</v>
      </c>
      <c r="B3" t="s">
        <v>222</v>
      </c>
      <c r="C3" s="272">
        <v>207907.62</v>
      </c>
      <c r="E3" s="272">
        <v>207907.62</v>
      </c>
      <c r="G3">
        <f>-SUM(C3)+SUM(D3)</f>
        <v>-207907.62</v>
      </c>
      <c r="H3">
        <f>-SUM(E3)+SUM(F3)</f>
        <v>-207907.62</v>
      </c>
      <c r="I3">
        <v>2</v>
      </c>
      <c r="J3" t="s">
        <v>6978</v>
      </c>
    </row>
    <row r="4" spans="1:10" x14ac:dyDescent="0.2">
      <c r="A4">
        <v>3</v>
      </c>
      <c r="B4" t="s">
        <v>7021</v>
      </c>
      <c r="C4" s="272">
        <v>46670.29</v>
      </c>
      <c r="E4" s="272">
        <v>46670.29</v>
      </c>
      <c r="G4">
        <f>SUM(C4)-SUM(D4)</f>
        <v>46670.29</v>
      </c>
      <c r="H4">
        <f>SUM(E4)-SUM(F4)</f>
        <v>46670.29</v>
      </c>
      <c r="I4">
        <v>3</v>
      </c>
      <c r="J4" t="s">
        <v>6978</v>
      </c>
    </row>
    <row r="5" spans="1:10" x14ac:dyDescent="0.2">
      <c r="A5">
        <v>4</v>
      </c>
      <c r="B5" t="s">
        <v>517</v>
      </c>
      <c r="C5" s="272">
        <v>1260.44</v>
      </c>
      <c r="E5" s="272">
        <v>1260.44</v>
      </c>
      <c r="G5">
        <f t="shared" ref="G5:G53" si="0">SUM(C5)-SUM(D5)</f>
        <v>1260.44</v>
      </c>
      <c r="H5">
        <f>SUM(E5)-SUM(F5)</f>
        <v>1260.44</v>
      </c>
      <c r="I5">
        <v>4</v>
      </c>
      <c r="J5" t="s">
        <v>6978</v>
      </c>
    </row>
    <row r="6" spans="1:10" x14ac:dyDescent="0.2">
      <c r="A6">
        <v>5</v>
      </c>
      <c r="B6" t="s">
        <v>3008</v>
      </c>
      <c r="C6" s="272">
        <v>1373.11</v>
      </c>
      <c r="E6" s="272">
        <v>1373.11</v>
      </c>
      <c r="G6">
        <f t="shared" si="0"/>
        <v>1373.11</v>
      </c>
      <c r="H6">
        <f t="shared" ref="H6:H53" si="1">SUM(E6)-SUM(F6)</f>
        <v>1373.11</v>
      </c>
      <c r="I6">
        <v>5</v>
      </c>
      <c r="J6" t="s">
        <v>6978</v>
      </c>
    </row>
    <row r="7" spans="1:10" x14ac:dyDescent="0.2">
      <c r="A7">
        <v>6</v>
      </c>
      <c r="B7" t="s">
        <v>3009</v>
      </c>
      <c r="C7" s="272">
        <v>4704.92</v>
      </c>
      <c r="E7" s="272">
        <v>4704.92</v>
      </c>
      <c r="G7">
        <f t="shared" si="0"/>
        <v>4704.92</v>
      </c>
      <c r="H7">
        <f t="shared" si="1"/>
        <v>4704.92</v>
      </c>
      <c r="I7">
        <v>6</v>
      </c>
      <c r="J7" t="s">
        <v>6978</v>
      </c>
    </row>
    <row r="8" spans="1:10" x14ac:dyDescent="0.2">
      <c r="A8">
        <v>6.1</v>
      </c>
      <c r="B8" t="s">
        <v>2965</v>
      </c>
      <c r="C8" s="272">
        <v>2120.61</v>
      </c>
      <c r="E8" s="272">
        <v>2120.61</v>
      </c>
      <c r="G8">
        <f t="shared" si="0"/>
        <v>2120.61</v>
      </c>
      <c r="H8">
        <f t="shared" si="1"/>
        <v>2120.61</v>
      </c>
      <c r="I8" t="s">
        <v>2964</v>
      </c>
      <c r="J8" t="s">
        <v>6978</v>
      </c>
    </row>
    <row r="9" spans="1:10" x14ac:dyDescent="0.2">
      <c r="A9">
        <v>7</v>
      </c>
      <c r="B9" t="s">
        <v>3011</v>
      </c>
      <c r="C9" s="272">
        <v>151778.25</v>
      </c>
      <c r="E9" s="272">
        <v>151778.25</v>
      </c>
      <c r="G9">
        <f t="shared" si="0"/>
        <v>151778.25</v>
      </c>
      <c r="H9">
        <f t="shared" si="1"/>
        <v>151778.25</v>
      </c>
      <c r="I9">
        <v>7</v>
      </c>
      <c r="J9" t="s">
        <v>6978</v>
      </c>
    </row>
    <row r="10" spans="1:10" x14ac:dyDescent="0.2">
      <c r="A10">
        <v>8</v>
      </c>
      <c r="B10" t="s">
        <v>3012</v>
      </c>
      <c r="C10" s="272">
        <v>31504.47</v>
      </c>
      <c r="E10" s="272">
        <v>31504.47</v>
      </c>
      <c r="G10">
        <f t="shared" si="0"/>
        <v>31504.47</v>
      </c>
      <c r="H10">
        <f t="shared" si="1"/>
        <v>31504.47</v>
      </c>
      <c r="I10">
        <v>8</v>
      </c>
      <c r="J10" t="s">
        <v>6978</v>
      </c>
    </row>
    <row r="11" spans="1:10" x14ac:dyDescent="0.2">
      <c r="A11">
        <v>9</v>
      </c>
      <c r="B11" t="s">
        <v>3013</v>
      </c>
      <c r="C11" s="272">
        <v>4668.12</v>
      </c>
      <c r="E11" s="272">
        <v>4668.12</v>
      </c>
      <c r="G11">
        <f t="shared" si="0"/>
        <v>4668.12</v>
      </c>
      <c r="H11">
        <f t="shared" si="1"/>
        <v>4668.12</v>
      </c>
      <c r="I11">
        <v>9</v>
      </c>
      <c r="J11" t="s">
        <v>6978</v>
      </c>
    </row>
    <row r="12" spans="1:10" x14ac:dyDescent="0.2">
      <c r="A12">
        <v>10</v>
      </c>
      <c r="B12" t="s">
        <v>3014</v>
      </c>
      <c r="C12" s="272">
        <v>13629.52</v>
      </c>
      <c r="E12" s="272">
        <v>13629.52</v>
      </c>
      <c r="G12">
        <f t="shared" si="0"/>
        <v>13629.52</v>
      </c>
      <c r="H12">
        <f t="shared" si="1"/>
        <v>13629.52</v>
      </c>
      <c r="I12">
        <v>10</v>
      </c>
      <c r="J12" t="s">
        <v>6978</v>
      </c>
    </row>
    <row r="13" spans="1:10" x14ac:dyDescent="0.2">
      <c r="A13">
        <v>11</v>
      </c>
      <c r="B13" t="s">
        <v>3015</v>
      </c>
      <c r="C13" s="272">
        <v>3104.39</v>
      </c>
      <c r="E13" s="272">
        <v>3104.39</v>
      </c>
      <c r="G13">
        <f t="shared" si="0"/>
        <v>3104.39</v>
      </c>
      <c r="H13">
        <f t="shared" si="1"/>
        <v>3104.39</v>
      </c>
      <c r="I13">
        <v>11</v>
      </c>
      <c r="J13" t="s">
        <v>6978</v>
      </c>
    </row>
    <row r="14" spans="1:10" x14ac:dyDescent="0.2">
      <c r="A14">
        <v>12</v>
      </c>
      <c r="B14" t="s">
        <v>2969</v>
      </c>
      <c r="C14" s="272">
        <v>-500</v>
      </c>
      <c r="E14" s="272">
        <v>-500</v>
      </c>
      <c r="G14">
        <f t="shared" si="0"/>
        <v>-500</v>
      </c>
      <c r="H14">
        <f t="shared" si="1"/>
        <v>-500</v>
      </c>
      <c r="I14">
        <v>12</v>
      </c>
      <c r="J14" t="s">
        <v>6978</v>
      </c>
    </row>
    <row r="15" spans="1:10" x14ac:dyDescent="0.2">
      <c r="A15">
        <v>13</v>
      </c>
      <c r="B15" t="s">
        <v>2970</v>
      </c>
      <c r="G15">
        <f t="shared" si="0"/>
        <v>0</v>
      </c>
      <c r="H15">
        <f t="shared" si="1"/>
        <v>0</v>
      </c>
      <c r="I15">
        <v>13</v>
      </c>
      <c r="J15" t="s">
        <v>6978</v>
      </c>
    </row>
    <row r="16" spans="1:10" x14ac:dyDescent="0.2">
      <c r="A16">
        <v>14</v>
      </c>
      <c r="B16" t="s">
        <v>3017</v>
      </c>
      <c r="C16" s="272">
        <v>52406.5</v>
      </c>
      <c r="E16" s="272">
        <v>52406.5</v>
      </c>
      <c r="G16">
        <f t="shared" si="0"/>
        <v>52406.5</v>
      </c>
      <c r="H16">
        <f t="shared" si="1"/>
        <v>52406.5</v>
      </c>
      <c r="I16">
        <v>14</v>
      </c>
      <c r="J16" t="s">
        <v>6978</v>
      </c>
    </row>
    <row r="17" spans="1:10" x14ac:dyDescent="0.2">
      <c r="A17">
        <v>15</v>
      </c>
      <c r="B17" t="s">
        <v>2174</v>
      </c>
      <c r="C17" s="272">
        <v>8500</v>
      </c>
      <c r="E17" s="272">
        <v>8500</v>
      </c>
      <c r="G17">
        <f t="shared" si="0"/>
        <v>8500</v>
      </c>
      <c r="H17">
        <f t="shared" si="1"/>
        <v>8500</v>
      </c>
      <c r="I17">
        <v>15</v>
      </c>
      <c r="J17" t="s">
        <v>6978</v>
      </c>
    </row>
    <row r="18" spans="1:10" x14ac:dyDescent="0.2">
      <c r="A18">
        <v>16</v>
      </c>
      <c r="B18" t="s">
        <v>2972</v>
      </c>
      <c r="C18" s="272">
        <v>29.17</v>
      </c>
      <c r="E18" s="272">
        <v>29.17</v>
      </c>
      <c r="G18">
        <f t="shared" si="0"/>
        <v>29.17</v>
      </c>
      <c r="H18">
        <f t="shared" si="1"/>
        <v>29.17</v>
      </c>
      <c r="I18">
        <v>16</v>
      </c>
      <c r="J18" t="s">
        <v>6978</v>
      </c>
    </row>
    <row r="19" spans="1:10" x14ac:dyDescent="0.2">
      <c r="A19">
        <v>17</v>
      </c>
      <c r="B19" t="s">
        <v>2973</v>
      </c>
      <c r="C19" s="272">
        <v>1668.17</v>
      </c>
      <c r="E19" s="272">
        <v>1668.17</v>
      </c>
      <c r="G19">
        <f t="shared" si="0"/>
        <v>1668.17</v>
      </c>
      <c r="H19">
        <f t="shared" si="1"/>
        <v>1668.17</v>
      </c>
      <c r="I19">
        <v>17</v>
      </c>
      <c r="J19" t="s">
        <v>6978</v>
      </c>
    </row>
    <row r="20" spans="1:10" x14ac:dyDescent="0.2">
      <c r="A20">
        <v>18</v>
      </c>
      <c r="B20" t="s">
        <v>3018</v>
      </c>
      <c r="C20" s="272">
        <v>3217.58</v>
      </c>
      <c r="E20" s="272">
        <v>3217.58</v>
      </c>
      <c r="G20">
        <f t="shared" si="0"/>
        <v>3217.58</v>
      </c>
      <c r="H20">
        <f t="shared" si="1"/>
        <v>3217.58</v>
      </c>
      <c r="I20">
        <v>18</v>
      </c>
      <c r="J20" t="s">
        <v>6978</v>
      </c>
    </row>
    <row r="21" spans="1:10" x14ac:dyDescent="0.2">
      <c r="A21">
        <v>19</v>
      </c>
      <c r="B21" t="s">
        <v>2975</v>
      </c>
      <c r="C21" s="272">
        <v>4635.3900000000003</v>
      </c>
      <c r="E21" s="272">
        <v>4635.3900000000003</v>
      </c>
      <c r="G21">
        <f t="shared" si="0"/>
        <v>4635.3900000000003</v>
      </c>
      <c r="H21">
        <f t="shared" si="1"/>
        <v>4635.3900000000003</v>
      </c>
      <c r="I21">
        <v>19</v>
      </c>
      <c r="J21" t="s">
        <v>6978</v>
      </c>
    </row>
    <row r="22" spans="1:10" x14ac:dyDescent="0.2">
      <c r="A22">
        <v>20</v>
      </c>
      <c r="B22" t="s">
        <v>3019</v>
      </c>
      <c r="C22" s="272">
        <v>18050.310000000001</v>
      </c>
      <c r="E22" s="272">
        <v>18050.310000000001</v>
      </c>
      <c r="G22">
        <f t="shared" si="0"/>
        <v>18050.310000000001</v>
      </c>
      <c r="H22">
        <f t="shared" si="1"/>
        <v>18050.310000000001</v>
      </c>
      <c r="I22">
        <v>20</v>
      </c>
      <c r="J22" t="s">
        <v>6978</v>
      </c>
    </row>
    <row r="23" spans="1:10" x14ac:dyDescent="0.2">
      <c r="A23">
        <v>21</v>
      </c>
      <c r="B23" t="s">
        <v>2977</v>
      </c>
      <c r="G23">
        <f t="shared" si="0"/>
        <v>0</v>
      </c>
      <c r="H23">
        <f t="shared" si="1"/>
        <v>0</v>
      </c>
      <c r="I23">
        <v>21</v>
      </c>
      <c r="J23" t="s">
        <v>6978</v>
      </c>
    </row>
    <row r="24" spans="1:10" x14ac:dyDescent="0.2">
      <c r="A24">
        <v>22</v>
      </c>
      <c r="B24" t="s">
        <v>145</v>
      </c>
      <c r="C24" s="272">
        <v>8344.64</v>
      </c>
      <c r="E24" s="272">
        <v>8344.64</v>
      </c>
      <c r="G24">
        <f t="shared" si="0"/>
        <v>8344.64</v>
      </c>
      <c r="H24">
        <f t="shared" si="1"/>
        <v>8344.64</v>
      </c>
      <c r="I24">
        <v>22</v>
      </c>
      <c r="J24" t="s">
        <v>6978</v>
      </c>
    </row>
    <row r="25" spans="1:10" x14ac:dyDescent="0.2">
      <c r="A25">
        <v>23</v>
      </c>
      <c r="B25" t="s">
        <v>215</v>
      </c>
      <c r="C25" s="272">
        <v>4703.75</v>
      </c>
      <c r="E25" s="272">
        <v>4703.75</v>
      </c>
      <c r="G25">
        <f t="shared" si="0"/>
        <v>4703.75</v>
      </c>
      <c r="H25">
        <f t="shared" si="1"/>
        <v>4703.75</v>
      </c>
      <c r="I25">
        <v>23</v>
      </c>
      <c r="J25" t="s">
        <v>6978</v>
      </c>
    </row>
    <row r="26" spans="1:10" x14ac:dyDescent="0.2">
      <c r="A26">
        <v>24</v>
      </c>
      <c r="B26" t="s">
        <v>3020</v>
      </c>
      <c r="C26" s="272">
        <v>9177.14</v>
      </c>
      <c r="E26" s="272">
        <v>9177.14</v>
      </c>
      <c r="G26">
        <f t="shared" si="0"/>
        <v>9177.14</v>
      </c>
      <c r="H26">
        <f t="shared" si="1"/>
        <v>9177.14</v>
      </c>
      <c r="I26">
        <v>24</v>
      </c>
      <c r="J26" t="s">
        <v>6978</v>
      </c>
    </row>
    <row r="27" spans="1:10" x14ac:dyDescent="0.2">
      <c r="A27">
        <v>25</v>
      </c>
      <c r="B27" t="s">
        <v>3021</v>
      </c>
      <c r="C27" s="272">
        <v>1981.73</v>
      </c>
      <c r="E27" s="272">
        <v>1981.73</v>
      </c>
      <c r="G27">
        <f t="shared" si="0"/>
        <v>1981.73</v>
      </c>
      <c r="H27">
        <f t="shared" si="1"/>
        <v>1981.73</v>
      </c>
      <c r="I27">
        <v>25</v>
      </c>
      <c r="J27" t="s">
        <v>6978</v>
      </c>
    </row>
    <row r="28" spans="1:10" x14ac:dyDescent="0.2">
      <c r="A28">
        <v>26</v>
      </c>
      <c r="B28" t="s">
        <v>2981</v>
      </c>
      <c r="C28" s="272">
        <v>224.92</v>
      </c>
      <c r="E28" s="272">
        <v>224.92</v>
      </c>
      <c r="G28">
        <f t="shared" si="0"/>
        <v>224.92</v>
      </c>
      <c r="H28">
        <f t="shared" si="1"/>
        <v>224.92</v>
      </c>
      <c r="I28">
        <v>26</v>
      </c>
      <c r="J28" t="s">
        <v>6978</v>
      </c>
    </row>
    <row r="29" spans="1:10" x14ac:dyDescent="0.2">
      <c r="A29">
        <v>27</v>
      </c>
      <c r="B29" t="s">
        <v>33</v>
      </c>
      <c r="C29" s="272">
        <v>-11.03</v>
      </c>
      <c r="E29" s="272">
        <v>-11.03</v>
      </c>
      <c r="G29">
        <f t="shared" si="0"/>
        <v>-11.03</v>
      </c>
      <c r="H29">
        <f t="shared" si="1"/>
        <v>-11.03</v>
      </c>
      <c r="I29">
        <v>27</v>
      </c>
      <c r="J29" t="s">
        <v>6978</v>
      </c>
    </row>
    <row r="30" spans="1:10" x14ac:dyDescent="0.2">
      <c r="A30">
        <v>28</v>
      </c>
      <c r="B30" t="s">
        <v>3022</v>
      </c>
      <c r="C30" s="272">
        <v>56900.290000000008</v>
      </c>
      <c r="E30" s="272">
        <v>56900.290000000008</v>
      </c>
      <c r="G30">
        <f t="shared" si="0"/>
        <v>56900.290000000008</v>
      </c>
      <c r="H30">
        <f t="shared" si="1"/>
        <v>56900.290000000008</v>
      </c>
      <c r="I30">
        <v>28</v>
      </c>
      <c r="J30" t="s">
        <v>6978</v>
      </c>
    </row>
    <row r="31" spans="1:10" x14ac:dyDescent="0.2">
      <c r="A31">
        <v>29</v>
      </c>
      <c r="B31" t="s">
        <v>3023</v>
      </c>
      <c r="C31" s="272">
        <v>28459.119999999999</v>
      </c>
      <c r="E31" s="272">
        <v>28459.119999999999</v>
      </c>
      <c r="G31">
        <f t="shared" si="0"/>
        <v>28459.119999999999</v>
      </c>
      <c r="H31">
        <f t="shared" si="1"/>
        <v>28459.119999999999</v>
      </c>
      <c r="I31">
        <v>29</v>
      </c>
      <c r="J31" t="s">
        <v>6978</v>
      </c>
    </row>
    <row r="32" spans="1:10" x14ac:dyDescent="0.2">
      <c r="A32">
        <v>30</v>
      </c>
      <c r="B32" t="s">
        <v>2986</v>
      </c>
      <c r="G32">
        <f t="shared" si="0"/>
        <v>0</v>
      </c>
      <c r="H32">
        <f t="shared" si="1"/>
        <v>0</v>
      </c>
      <c r="I32">
        <v>30</v>
      </c>
      <c r="J32" t="s">
        <v>6978</v>
      </c>
    </row>
    <row r="33" spans="1:10" x14ac:dyDescent="0.2">
      <c r="A33">
        <v>31</v>
      </c>
      <c r="B33" t="s">
        <v>3024</v>
      </c>
      <c r="C33" s="272">
        <v>-405.56</v>
      </c>
      <c r="E33" s="272">
        <v>-405.56</v>
      </c>
      <c r="G33">
        <f t="shared" si="0"/>
        <v>-405.56</v>
      </c>
      <c r="H33">
        <f t="shared" si="1"/>
        <v>-405.56</v>
      </c>
      <c r="I33">
        <v>31</v>
      </c>
      <c r="J33" t="s">
        <v>6978</v>
      </c>
    </row>
    <row r="34" spans="1:10" x14ac:dyDescent="0.2">
      <c r="A34">
        <v>32</v>
      </c>
      <c r="B34" t="s">
        <v>3025</v>
      </c>
      <c r="C34" s="272">
        <v>28053.559999999998</v>
      </c>
      <c r="E34" s="272">
        <v>28053.559999999998</v>
      </c>
      <c r="G34">
        <f t="shared" si="0"/>
        <v>28053.559999999998</v>
      </c>
      <c r="H34">
        <f t="shared" si="1"/>
        <v>28053.559999999998</v>
      </c>
      <c r="I34">
        <v>32</v>
      </c>
      <c r="J34" t="s">
        <v>6978</v>
      </c>
    </row>
    <row r="35" spans="1:10" x14ac:dyDescent="0.2">
      <c r="A35">
        <v>33</v>
      </c>
      <c r="B35" t="s">
        <v>2989</v>
      </c>
      <c r="C35" s="272">
        <v>250</v>
      </c>
      <c r="E35" s="272">
        <v>250</v>
      </c>
      <c r="G35">
        <f t="shared" si="0"/>
        <v>250</v>
      </c>
      <c r="H35">
        <f t="shared" si="1"/>
        <v>250</v>
      </c>
      <c r="I35">
        <v>33</v>
      </c>
      <c r="J35" t="s">
        <v>6978</v>
      </c>
    </row>
    <row r="36" spans="1:10" x14ac:dyDescent="0.2">
      <c r="A36">
        <v>34</v>
      </c>
      <c r="B36" t="s">
        <v>276</v>
      </c>
      <c r="C36" s="272">
        <v>10540.41</v>
      </c>
      <c r="E36" s="272">
        <v>10540.41</v>
      </c>
      <c r="G36">
        <f t="shared" si="0"/>
        <v>10540.41</v>
      </c>
      <c r="H36">
        <f t="shared" si="1"/>
        <v>10540.41</v>
      </c>
      <c r="I36">
        <v>34</v>
      </c>
      <c r="J36" t="s">
        <v>6978</v>
      </c>
    </row>
    <row r="37" spans="1:10" x14ac:dyDescent="0.2">
      <c r="A37">
        <v>35</v>
      </c>
      <c r="B37" t="s">
        <v>213</v>
      </c>
      <c r="C37" s="272">
        <v>1000</v>
      </c>
      <c r="E37" s="272">
        <v>1000</v>
      </c>
      <c r="G37">
        <f t="shared" si="0"/>
        <v>1000</v>
      </c>
      <c r="H37">
        <f t="shared" si="1"/>
        <v>1000</v>
      </c>
      <c r="I37">
        <v>35</v>
      </c>
      <c r="J37" t="s">
        <v>6978</v>
      </c>
    </row>
    <row r="38" spans="1:10" x14ac:dyDescent="0.2">
      <c r="A38">
        <v>36</v>
      </c>
      <c r="B38" t="s">
        <v>41</v>
      </c>
      <c r="C38" s="272">
        <v>664.44</v>
      </c>
      <c r="E38" s="272">
        <v>664.44</v>
      </c>
      <c r="G38">
        <f t="shared" si="0"/>
        <v>664.44</v>
      </c>
      <c r="H38">
        <f t="shared" si="1"/>
        <v>664.44</v>
      </c>
      <c r="I38">
        <v>36</v>
      </c>
      <c r="J38" t="s">
        <v>6978</v>
      </c>
    </row>
    <row r="39" spans="1:10" x14ac:dyDescent="0.2">
      <c r="A39">
        <v>37</v>
      </c>
      <c r="B39" t="s">
        <v>3026</v>
      </c>
      <c r="C39" s="272">
        <v>2160.5100000000002</v>
      </c>
      <c r="E39" s="272">
        <v>2160.5100000000002</v>
      </c>
      <c r="G39">
        <f t="shared" si="0"/>
        <v>2160.5100000000002</v>
      </c>
      <c r="H39">
        <f t="shared" si="1"/>
        <v>2160.5100000000002</v>
      </c>
      <c r="I39">
        <v>37</v>
      </c>
      <c r="J39" t="s">
        <v>6978</v>
      </c>
    </row>
    <row r="40" spans="1:10" x14ac:dyDescent="0.2">
      <c r="A40">
        <v>38</v>
      </c>
      <c r="B40" t="s">
        <v>3027</v>
      </c>
      <c r="C40" s="272">
        <v>9000</v>
      </c>
      <c r="E40" s="272">
        <v>9000</v>
      </c>
      <c r="G40">
        <f t="shared" si="0"/>
        <v>9000</v>
      </c>
      <c r="H40">
        <f t="shared" si="1"/>
        <v>9000</v>
      </c>
      <c r="I40">
        <v>38</v>
      </c>
      <c r="J40" t="s">
        <v>6978</v>
      </c>
    </row>
    <row r="41" spans="1:10" x14ac:dyDescent="0.2">
      <c r="A41">
        <v>39</v>
      </c>
      <c r="B41" t="s">
        <v>2990</v>
      </c>
      <c r="C41" s="272">
        <v>781.35</v>
      </c>
      <c r="E41" s="272">
        <v>781.35</v>
      </c>
      <c r="G41">
        <f t="shared" si="0"/>
        <v>781.35</v>
      </c>
      <c r="H41">
        <f t="shared" si="1"/>
        <v>781.35</v>
      </c>
      <c r="I41">
        <v>39</v>
      </c>
      <c r="J41" t="s">
        <v>6978</v>
      </c>
    </row>
    <row r="42" spans="1:10" x14ac:dyDescent="0.2">
      <c r="A42">
        <v>40</v>
      </c>
      <c r="B42" t="s">
        <v>3029</v>
      </c>
      <c r="C42" s="272">
        <v>429.58</v>
      </c>
      <c r="E42" s="272">
        <v>429.58</v>
      </c>
      <c r="G42">
        <f t="shared" si="0"/>
        <v>429.58</v>
      </c>
      <c r="H42">
        <f t="shared" si="1"/>
        <v>429.58</v>
      </c>
      <c r="I42">
        <v>40</v>
      </c>
      <c r="J42" t="s">
        <v>6978</v>
      </c>
    </row>
    <row r="43" spans="1:10" x14ac:dyDescent="0.2">
      <c r="A43">
        <v>41.1</v>
      </c>
      <c r="B43" t="s">
        <v>64</v>
      </c>
      <c r="C43" s="272">
        <v>2900.64</v>
      </c>
      <c r="E43" s="272">
        <v>2900.64</v>
      </c>
      <c r="G43">
        <f>-SUM(C43)+SUM(D43)</f>
        <v>-2900.64</v>
      </c>
      <c r="H43">
        <f>-SUM(E43)+SUM(F43)</f>
        <v>-2900.64</v>
      </c>
      <c r="I43" t="s">
        <v>2991</v>
      </c>
      <c r="J43" t="s">
        <v>6978</v>
      </c>
    </row>
    <row r="44" spans="1:10" x14ac:dyDescent="0.2">
      <c r="A44">
        <v>41.2</v>
      </c>
      <c r="B44" t="s">
        <v>151</v>
      </c>
      <c r="C44" s="272">
        <v>1227.1099999999999</v>
      </c>
      <c r="E44" s="272">
        <v>1227.1099999999999</v>
      </c>
      <c r="G44">
        <f t="shared" si="0"/>
        <v>1227.1099999999999</v>
      </c>
      <c r="H44">
        <f t="shared" si="1"/>
        <v>1227.1099999999999</v>
      </c>
      <c r="I44" t="s">
        <v>2992</v>
      </c>
      <c r="J44" t="s">
        <v>6978</v>
      </c>
    </row>
    <row r="45" spans="1:10" x14ac:dyDescent="0.2">
      <c r="A45">
        <v>41</v>
      </c>
      <c r="B45" t="s">
        <v>3031</v>
      </c>
      <c r="C45" s="272">
        <v>1673.53</v>
      </c>
      <c r="E45" s="272">
        <v>1673.53</v>
      </c>
      <c r="G45">
        <f t="shared" si="0"/>
        <v>1673.53</v>
      </c>
      <c r="H45">
        <f t="shared" si="1"/>
        <v>1673.53</v>
      </c>
      <c r="I45">
        <v>41</v>
      </c>
      <c r="J45" t="s">
        <v>6978</v>
      </c>
    </row>
    <row r="46" spans="1:10" x14ac:dyDescent="0.2">
      <c r="A46">
        <v>42</v>
      </c>
      <c r="B46" t="s">
        <v>3032</v>
      </c>
      <c r="C46" s="272">
        <v>2620.83</v>
      </c>
      <c r="E46" s="272">
        <v>2620.83</v>
      </c>
      <c r="G46">
        <f t="shared" si="0"/>
        <v>2620.83</v>
      </c>
      <c r="H46">
        <f t="shared" si="1"/>
        <v>2620.83</v>
      </c>
      <c r="I46">
        <v>42</v>
      </c>
      <c r="J46" t="s">
        <v>6978</v>
      </c>
    </row>
    <row r="47" spans="1:10" x14ac:dyDescent="0.2">
      <c r="A47">
        <v>43</v>
      </c>
      <c r="B47" t="s">
        <v>3033</v>
      </c>
      <c r="C47" s="272">
        <v>3073.1400000000021</v>
      </c>
      <c r="E47" s="272">
        <v>3073.1400000000021</v>
      </c>
      <c r="G47">
        <f t="shared" si="0"/>
        <v>3073.1400000000021</v>
      </c>
      <c r="H47">
        <f t="shared" si="1"/>
        <v>3073.1400000000021</v>
      </c>
      <c r="I47">
        <v>43</v>
      </c>
      <c r="J47" t="s">
        <v>6978</v>
      </c>
    </row>
    <row r="48" spans="1:10" x14ac:dyDescent="0.2">
      <c r="A48">
        <v>44</v>
      </c>
      <c r="B48" t="s">
        <v>3034</v>
      </c>
      <c r="C48" s="272">
        <v>15475.320000000003</v>
      </c>
      <c r="E48" s="272">
        <v>15475.320000000003</v>
      </c>
      <c r="G48">
        <f t="shared" si="0"/>
        <v>15475.320000000003</v>
      </c>
      <c r="H48">
        <f t="shared" si="1"/>
        <v>15475.320000000003</v>
      </c>
      <c r="I48">
        <v>44</v>
      </c>
      <c r="J48" t="s">
        <v>6978</v>
      </c>
    </row>
    <row r="49" spans="1:10" x14ac:dyDescent="0.2">
      <c r="A49">
        <v>45</v>
      </c>
      <c r="B49" t="s">
        <v>2996</v>
      </c>
      <c r="G49">
        <f t="shared" si="0"/>
        <v>0</v>
      </c>
      <c r="H49">
        <f t="shared" si="1"/>
        <v>0</v>
      </c>
      <c r="I49">
        <v>45</v>
      </c>
      <c r="J49" t="s">
        <v>6978</v>
      </c>
    </row>
    <row r="50" spans="1:10" x14ac:dyDescent="0.2">
      <c r="A50">
        <v>46</v>
      </c>
      <c r="B50" t="s">
        <v>3035</v>
      </c>
      <c r="C50" s="272">
        <v>17040</v>
      </c>
      <c r="E50" s="272">
        <v>17040</v>
      </c>
      <c r="G50">
        <f t="shared" si="0"/>
        <v>17040</v>
      </c>
      <c r="H50">
        <f t="shared" si="1"/>
        <v>17040</v>
      </c>
      <c r="I50">
        <v>46</v>
      </c>
      <c r="J50" t="s">
        <v>6978</v>
      </c>
    </row>
    <row r="51" spans="1:10" x14ac:dyDescent="0.2">
      <c r="A51">
        <v>47</v>
      </c>
      <c r="B51" t="s">
        <v>3036</v>
      </c>
      <c r="C51" s="272">
        <v>-13966.859999999997</v>
      </c>
      <c r="E51" s="272">
        <v>-13966.859999999997</v>
      </c>
      <c r="G51">
        <f t="shared" si="0"/>
        <v>-13966.859999999997</v>
      </c>
      <c r="H51">
        <f t="shared" si="1"/>
        <v>-13966.859999999997</v>
      </c>
      <c r="I51">
        <v>47</v>
      </c>
      <c r="J51" t="s">
        <v>6978</v>
      </c>
    </row>
    <row r="52" spans="1:10" x14ac:dyDescent="0.2">
      <c r="A52">
        <v>48</v>
      </c>
      <c r="B52" t="s">
        <v>357</v>
      </c>
      <c r="C52" s="272">
        <v>-5121.18</v>
      </c>
      <c r="E52" s="272">
        <v>-5121.18</v>
      </c>
      <c r="G52">
        <f t="shared" si="0"/>
        <v>-5121.18</v>
      </c>
      <c r="H52">
        <f t="shared" si="1"/>
        <v>-5121.18</v>
      </c>
      <c r="I52">
        <v>48</v>
      </c>
      <c r="J52" t="s">
        <v>6978</v>
      </c>
    </row>
    <row r="53" spans="1:10" x14ac:dyDescent="0.2">
      <c r="A53">
        <v>49</v>
      </c>
      <c r="B53" t="s">
        <v>3038</v>
      </c>
      <c r="C53" s="272">
        <v>-8845.6799999999967</v>
      </c>
      <c r="E53" s="272">
        <v>-8845.6799999999967</v>
      </c>
      <c r="G53">
        <f t="shared" si="0"/>
        <v>-8845.6799999999967</v>
      </c>
      <c r="H53">
        <f t="shared" si="1"/>
        <v>-8845.6799999999967</v>
      </c>
      <c r="I53">
        <v>49</v>
      </c>
      <c r="J53" t="s">
        <v>6978</v>
      </c>
    </row>
    <row r="54" spans="1:10" x14ac:dyDescent="0.2">
      <c r="J54" t="str">
        <f t="shared" ref="J54:J117" si="2">LEFT(A54,1)</f>
        <v/>
      </c>
    </row>
    <row r="55" spans="1:10" x14ac:dyDescent="0.2">
      <c r="J55" t="str">
        <f t="shared" si="2"/>
        <v/>
      </c>
    </row>
    <row r="56" spans="1:10" x14ac:dyDescent="0.2">
      <c r="J56" t="str">
        <f t="shared" si="2"/>
        <v/>
      </c>
    </row>
    <row r="57" spans="1:10" x14ac:dyDescent="0.2">
      <c r="J57" t="str">
        <f t="shared" si="2"/>
        <v/>
      </c>
    </row>
    <row r="58" spans="1:10" x14ac:dyDescent="0.2">
      <c r="J58" t="str">
        <f t="shared" si="2"/>
        <v/>
      </c>
    </row>
    <row r="59" spans="1:10" x14ac:dyDescent="0.2">
      <c r="J59" t="str">
        <f t="shared" si="2"/>
        <v/>
      </c>
    </row>
    <row r="60" spans="1:10" x14ac:dyDescent="0.2">
      <c r="J60" t="str">
        <f t="shared" si="2"/>
        <v/>
      </c>
    </row>
    <row r="61" spans="1:10" x14ac:dyDescent="0.2">
      <c r="J61" t="str">
        <f t="shared" si="2"/>
        <v/>
      </c>
    </row>
    <row r="62" spans="1:10" x14ac:dyDescent="0.2">
      <c r="J62" t="str">
        <f t="shared" si="2"/>
        <v/>
      </c>
    </row>
    <row r="63" spans="1:10" x14ac:dyDescent="0.2">
      <c r="J63" t="str">
        <f t="shared" si="2"/>
        <v/>
      </c>
    </row>
    <row r="64" spans="1:10" x14ac:dyDescent="0.2">
      <c r="J64" t="str">
        <f t="shared" si="2"/>
        <v/>
      </c>
    </row>
    <row r="65" spans="10:10" x14ac:dyDescent="0.2">
      <c r="J65" t="str">
        <f t="shared" si="2"/>
        <v/>
      </c>
    </row>
    <row r="66" spans="10:10" x14ac:dyDescent="0.2">
      <c r="J66" t="str">
        <f t="shared" si="2"/>
        <v/>
      </c>
    </row>
    <row r="67" spans="10:10" x14ac:dyDescent="0.2">
      <c r="J67" t="str">
        <f t="shared" si="2"/>
        <v/>
      </c>
    </row>
    <row r="68" spans="10:10" x14ac:dyDescent="0.2">
      <c r="J68" t="str">
        <f t="shared" si="2"/>
        <v/>
      </c>
    </row>
    <row r="69" spans="10:10" x14ac:dyDescent="0.2">
      <c r="J69" t="str">
        <f t="shared" si="2"/>
        <v/>
      </c>
    </row>
    <row r="70" spans="10:10" x14ac:dyDescent="0.2">
      <c r="J70" t="str">
        <f t="shared" si="2"/>
        <v/>
      </c>
    </row>
    <row r="71" spans="10:10" x14ac:dyDescent="0.2">
      <c r="J71" t="str">
        <f t="shared" si="2"/>
        <v/>
      </c>
    </row>
    <row r="72" spans="10:10" x14ac:dyDescent="0.2">
      <c r="J72" t="str">
        <f t="shared" si="2"/>
        <v/>
      </c>
    </row>
    <row r="73" spans="10:10" x14ac:dyDescent="0.2">
      <c r="J73" t="str">
        <f t="shared" si="2"/>
        <v/>
      </c>
    </row>
    <row r="74" spans="10:10" x14ac:dyDescent="0.2">
      <c r="J74" t="str">
        <f t="shared" si="2"/>
        <v/>
      </c>
    </row>
    <row r="75" spans="10:10" x14ac:dyDescent="0.2">
      <c r="J75" t="str">
        <f t="shared" si="2"/>
        <v/>
      </c>
    </row>
    <row r="76" spans="10:10" x14ac:dyDescent="0.2">
      <c r="J76" t="str">
        <f t="shared" si="2"/>
        <v/>
      </c>
    </row>
    <row r="77" spans="10:10" x14ac:dyDescent="0.2">
      <c r="J77" t="str">
        <f t="shared" si="2"/>
        <v/>
      </c>
    </row>
    <row r="78" spans="10:10" x14ac:dyDescent="0.2">
      <c r="J78" t="str">
        <f t="shared" si="2"/>
        <v/>
      </c>
    </row>
    <row r="79" spans="10:10" x14ac:dyDescent="0.2">
      <c r="J79" t="str">
        <f t="shared" si="2"/>
        <v/>
      </c>
    </row>
    <row r="80" spans="10:10" x14ac:dyDescent="0.2">
      <c r="J80" t="str">
        <f t="shared" si="2"/>
        <v/>
      </c>
    </row>
    <row r="81" spans="10:10" x14ac:dyDescent="0.2">
      <c r="J81" t="str">
        <f t="shared" si="2"/>
        <v/>
      </c>
    </row>
    <row r="82" spans="10:10" x14ac:dyDescent="0.2">
      <c r="J82" t="str">
        <f t="shared" si="2"/>
        <v/>
      </c>
    </row>
    <row r="83" spans="10:10" x14ac:dyDescent="0.2">
      <c r="J83" t="str">
        <f t="shared" si="2"/>
        <v/>
      </c>
    </row>
    <row r="84" spans="10:10" x14ac:dyDescent="0.2">
      <c r="J84" t="str">
        <f t="shared" si="2"/>
        <v/>
      </c>
    </row>
    <row r="85" spans="10:10" x14ac:dyDescent="0.2">
      <c r="J85" t="str">
        <f t="shared" si="2"/>
        <v/>
      </c>
    </row>
    <row r="86" spans="10:10" x14ac:dyDescent="0.2">
      <c r="J86" t="str">
        <f t="shared" si="2"/>
        <v/>
      </c>
    </row>
    <row r="87" spans="10:10" x14ac:dyDescent="0.2">
      <c r="J87" t="str">
        <f t="shared" si="2"/>
        <v/>
      </c>
    </row>
    <row r="88" spans="10:10" x14ac:dyDescent="0.2">
      <c r="J88" t="str">
        <f t="shared" si="2"/>
        <v/>
      </c>
    </row>
    <row r="89" spans="10:10" x14ac:dyDescent="0.2">
      <c r="J89" t="str">
        <f t="shared" si="2"/>
        <v/>
      </c>
    </row>
    <row r="90" spans="10:10" x14ac:dyDescent="0.2">
      <c r="J90" t="str">
        <f t="shared" si="2"/>
        <v/>
      </c>
    </row>
    <row r="91" spans="10:10" x14ac:dyDescent="0.2">
      <c r="J91" t="str">
        <f t="shared" si="2"/>
        <v/>
      </c>
    </row>
    <row r="92" spans="10:10" x14ac:dyDescent="0.2">
      <c r="J92" t="str">
        <f t="shared" si="2"/>
        <v/>
      </c>
    </row>
    <row r="93" spans="10:10" x14ac:dyDescent="0.2">
      <c r="J93" t="str">
        <f t="shared" si="2"/>
        <v/>
      </c>
    </row>
    <row r="94" spans="10:10" x14ac:dyDescent="0.2">
      <c r="J94" t="str">
        <f t="shared" si="2"/>
        <v/>
      </c>
    </row>
    <row r="95" spans="10:10" x14ac:dyDescent="0.2">
      <c r="J95" t="str">
        <f t="shared" si="2"/>
        <v/>
      </c>
    </row>
    <row r="96" spans="10:10" x14ac:dyDescent="0.2">
      <c r="J96" t="str">
        <f t="shared" si="2"/>
        <v/>
      </c>
    </row>
    <row r="97" spans="10:10" x14ac:dyDescent="0.2">
      <c r="J97" t="str">
        <f t="shared" si="2"/>
        <v/>
      </c>
    </row>
    <row r="98" spans="10:10" x14ac:dyDescent="0.2">
      <c r="J98" t="str">
        <f t="shared" si="2"/>
        <v/>
      </c>
    </row>
    <row r="99" spans="10:10" x14ac:dyDescent="0.2">
      <c r="J99" t="str">
        <f t="shared" si="2"/>
        <v/>
      </c>
    </row>
    <row r="100" spans="10:10" x14ac:dyDescent="0.2">
      <c r="J100" t="str">
        <f t="shared" si="2"/>
        <v/>
      </c>
    </row>
    <row r="101" spans="10:10" x14ac:dyDescent="0.2">
      <c r="J101" t="str">
        <f t="shared" si="2"/>
        <v/>
      </c>
    </row>
    <row r="102" spans="10:10" x14ac:dyDescent="0.2">
      <c r="J102" t="str">
        <f t="shared" si="2"/>
        <v/>
      </c>
    </row>
    <row r="103" spans="10:10" x14ac:dyDescent="0.2">
      <c r="J103" t="str">
        <f t="shared" si="2"/>
        <v/>
      </c>
    </row>
    <row r="104" spans="10:10" x14ac:dyDescent="0.2">
      <c r="J104" t="str">
        <f t="shared" si="2"/>
        <v/>
      </c>
    </row>
    <row r="105" spans="10:10" x14ac:dyDescent="0.2">
      <c r="J105" t="str">
        <f t="shared" si="2"/>
        <v/>
      </c>
    </row>
    <row r="106" spans="10:10" x14ac:dyDescent="0.2">
      <c r="J106" t="str">
        <f t="shared" si="2"/>
        <v/>
      </c>
    </row>
    <row r="107" spans="10:10" x14ac:dyDescent="0.2">
      <c r="J107" t="str">
        <f t="shared" si="2"/>
        <v/>
      </c>
    </row>
    <row r="108" spans="10:10" x14ac:dyDescent="0.2">
      <c r="J108" t="str">
        <f t="shared" si="2"/>
        <v/>
      </c>
    </row>
    <row r="109" spans="10:10" x14ac:dyDescent="0.2">
      <c r="J109" t="str">
        <f t="shared" si="2"/>
        <v/>
      </c>
    </row>
    <row r="110" spans="10:10" x14ac:dyDescent="0.2">
      <c r="J110" t="str">
        <f t="shared" si="2"/>
        <v/>
      </c>
    </row>
    <row r="111" spans="10:10" x14ac:dyDescent="0.2">
      <c r="J111" t="str">
        <f t="shared" si="2"/>
        <v/>
      </c>
    </row>
    <row r="112" spans="10:10" x14ac:dyDescent="0.2">
      <c r="J112" t="str">
        <f t="shared" si="2"/>
        <v/>
      </c>
    </row>
    <row r="113" spans="10:10" x14ac:dyDescent="0.2">
      <c r="J113" t="str">
        <f t="shared" si="2"/>
        <v/>
      </c>
    </row>
    <row r="114" spans="10:10" x14ac:dyDescent="0.2">
      <c r="J114" t="str">
        <f t="shared" si="2"/>
        <v/>
      </c>
    </row>
    <row r="115" spans="10:10" x14ac:dyDescent="0.2">
      <c r="J115" t="str">
        <f t="shared" si="2"/>
        <v/>
      </c>
    </row>
    <row r="116" spans="10:10" x14ac:dyDescent="0.2">
      <c r="J116" t="str">
        <f t="shared" si="2"/>
        <v/>
      </c>
    </row>
    <row r="117" spans="10:10" x14ac:dyDescent="0.2">
      <c r="J117" t="str">
        <f t="shared" si="2"/>
        <v/>
      </c>
    </row>
    <row r="118" spans="10:10" x14ac:dyDescent="0.2">
      <c r="J118" t="str">
        <f t="shared" ref="J118:J181" si="3">LEFT(A118,1)</f>
        <v/>
      </c>
    </row>
    <row r="119" spans="10:10" x14ac:dyDescent="0.2">
      <c r="J119" t="str">
        <f t="shared" si="3"/>
        <v/>
      </c>
    </row>
    <row r="120" spans="10:10" x14ac:dyDescent="0.2">
      <c r="J120" t="str">
        <f t="shared" si="3"/>
        <v/>
      </c>
    </row>
    <row r="121" spans="10:10" x14ac:dyDescent="0.2">
      <c r="J121" t="str">
        <f t="shared" si="3"/>
        <v/>
      </c>
    </row>
    <row r="122" spans="10:10" x14ac:dyDescent="0.2">
      <c r="J122" t="str">
        <f t="shared" si="3"/>
        <v/>
      </c>
    </row>
    <row r="123" spans="10:10" x14ac:dyDescent="0.2">
      <c r="J123" t="str">
        <f t="shared" si="3"/>
        <v/>
      </c>
    </row>
    <row r="124" spans="10:10" x14ac:dyDescent="0.2">
      <c r="J124" t="str">
        <f t="shared" si="3"/>
        <v/>
      </c>
    </row>
    <row r="125" spans="10:10" x14ac:dyDescent="0.2">
      <c r="J125" t="str">
        <f t="shared" si="3"/>
        <v/>
      </c>
    </row>
    <row r="126" spans="10:10" x14ac:dyDescent="0.2">
      <c r="J126" t="str">
        <f t="shared" si="3"/>
        <v/>
      </c>
    </row>
    <row r="127" spans="10:10" x14ac:dyDescent="0.2">
      <c r="J127" t="str">
        <f t="shared" si="3"/>
        <v/>
      </c>
    </row>
    <row r="128" spans="10:10" x14ac:dyDescent="0.2">
      <c r="J128" t="str">
        <f t="shared" si="3"/>
        <v/>
      </c>
    </row>
    <row r="129" spans="10:10" x14ac:dyDescent="0.2">
      <c r="J129" t="str">
        <f t="shared" si="3"/>
        <v/>
      </c>
    </row>
    <row r="130" spans="10:10" x14ac:dyDescent="0.2">
      <c r="J130" t="str">
        <f t="shared" si="3"/>
        <v/>
      </c>
    </row>
    <row r="131" spans="10:10" x14ac:dyDescent="0.2">
      <c r="J131" t="str">
        <f t="shared" si="3"/>
        <v/>
      </c>
    </row>
    <row r="132" spans="10:10" x14ac:dyDescent="0.2">
      <c r="J132" t="str">
        <f t="shared" si="3"/>
        <v/>
      </c>
    </row>
    <row r="133" spans="10:10" x14ac:dyDescent="0.2">
      <c r="J133" t="str">
        <f t="shared" si="3"/>
        <v/>
      </c>
    </row>
    <row r="134" spans="10:10" x14ac:dyDescent="0.2">
      <c r="J134" t="str">
        <f t="shared" si="3"/>
        <v/>
      </c>
    </row>
    <row r="135" spans="10:10" x14ac:dyDescent="0.2">
      <c r="J135" t="str">
        <f t="shared" si="3"/>
        <v/>
      </c>
    </row>
    <row r="136" spans="10:10" x14ac:dyDescent="0.2">
      <c r="J136" t="str">
        <f t="shared" si="3"/>
        <v/>
      </c>
    </row>
    <row r="137" spans="10:10" x14ac:dyDescent="0.2">
      <c r="J137" t="str">
        <f t="shared" si="3"/>
        <v/>
      </c>
    </row>
    <row r="138" spans="10:10" x14ac:dyDescent="0.2">
      <c r="J138" t="str">
        <f t="shared" si="3"/>
        <v/>
      </c>
    </row>
    <row r="139" spans="10:10" x14ac:dyDescent="0.2">
      <c r="J139" t="str">
        <f t="shared" si="3"/>
        <v/>
      </c>
    </row>
    <row r="140" spans="10:10" x14ac:dyDescent="0.2">
      <c r="J140" t="str">
        <f t="shared" si="3"/>
        <v/>
      </c>
    </row>
    <row r="141" spans="10:10" x14ac:dyDescent="0.2">
      <c r="J141" t="str">
        <f t="shared" si="3"/>
        <v/>
      </c>
    </row>
    <row r="142" spans="10:10" x14ac:dyDescent="0.2">
      <c r="J142" t="str">
        <f t="shared" si="3"/>
        <v/>
      </c>
    </row>
    <row r="143" spans="10:10" x14ac:dyDescent="0.2">
      <c r="J143" t="str">
        <f t="shared" si="3"/>
        <v/>
      </c>
    </row>
    <row r="144" spans="10:10" x14ac:dyDescent="0.2">
      <c r="J144" t="str">
        <f t="shared" si="3"/>
        <v/>
      </c>
    </row>
    <row r="145" spans="10:10" x14ac:dyDescent="0.2">
      <c r="J145" t="str">
        <f t="shared" si="3"/>
        <v/>
      </c>
    </row>
    <row r="146" spans="10:10" x14ac:dyDescent="0.2">
      <c r="J146" t="str">
        <f t="shared" si="3"/>
        <v/>
      </c>
    </row>
    <row r="147" spans="10:10" x14ac:dyDescent="0.2">
      <c r="J147" t="str">
        <f t="shared" si="3"/>
        <v/>
      </c>
    </row>
    <row r="148" spans="10:10" x14ac:dyDescent="0.2">
      <c r="J148" t="str">
        <f t="shared" si="3"/>
        <v/>
      </c>
    </row>
    <row r="149" spans="10:10" x14ac:dyDescent="0.2">
      <c r="J149" t="str">
        <f t="shared" si="3"/>
        <v/>
      </c>
    </row>
    <row r="150" spans="10:10" x14ac:dyDescent="0.2">
      <c r="J150" t="str">
        <f t="shared" si="3"/>
        <v/>
      </c>
    </row>
    <row r="151" spans="10:10" x14ac:dyDescent="0.2">
      <c r="J151" t="str">
        <f t="shared" si="3"/>
        <v/>
      </c>
    </row>
    <row r="152" spans="10:10" x14ac:dyDescent="0.2">
      <c r="J152" t="str">
        <f t="shared" si="3"/>
        <v/>
      </c>
    </row>
    <row r="153" spans="10:10" x14ac:dyDescent="0.2">
      <c r="J153" t="str">
        <f t="shared" si="3"/>
        <v/>
      </c>
    </row>
    <row r="154" spans="10:10" x14ac:dyDescent="0.2">
      <c r="J154" t="str">
        <f t="shared" si="3"/>
        <v/>
      </c>
    </row>
    <row r="155" spans="10:10" x14ac:dyDescent="0.2">
      <c r="J155" t="str">
        <f t="shared" si="3"/>
        <v/>
      </c>
    </row>
    <row r="156" spans="10:10" x14ac:dyDescent="0.2">
      <c r="J156" t="str">
        <f t="shared" si="3"/>
        <v/>
      </c>
    </row>
    <row r="157" spans="10:10" x14ac:dyDescent="0.2">
      <c r="J157" t="str">
        <f t="shared" si="3"/>
        <v/>
      </c>
    </row>
    <row r="158" spans="10:10" x14ac:dyDescent="0.2">
      <c r="J158" t="str">
        <f t="shared" si="3"/>
        <v/>
      </c>
    </row>
    <row r="159" spans="10:10" x14ac:dyDescent="0.2">
      <c r="J159" t="str">
        <f t="shared" si="3"/>
        <v/>
      </c>
    </row>
    <row r="160" spans="10:10" x14ac:dyDescent="0.2">
      <c r="J160" t="str">
        <f t="shared" si="3"/>
        <v/>
      </c>
    </row>
    <row r="161" spans="10:10" x14ac:dyDescent="0.2">
      <c r="J161" t="str">
        <f t="shared" si="3"/>
        <v/>
      </c>
    </row>
    <row r="162" spans="10:10" x14ac:dyDescent="0.2">
      <c r="J162" t="str">
        <f t="shared" si="3"/>
        <v/>
      </c>
    </row>
    <row r="163" spans="10:10" x14ac:dyDescent="0.2">
      <c r="J163" t="str">
        <f t="shared" si="3"/>
        <v/>
      </c>
    </row>
    <row r="164" spans="10:10" x14ac:dyDescent="0.2">
      <c r="J164" t="str">
        <f t="shared" si="3"/>
        <v/>
      </c>
    </row>
    <row r="165" spans="10:10" x14ac:dyDescent="0.2">
      <c r="J165" t="str">
        <f t="shared" si="3"/>
        <v/>
      </c>
    </row>
    <row r="166" spans="10:10" x14ac:dyDescent="0.2">
      <c r="J166" t="str">
        <f t="shared" si="3"/>
        <v/>
      </c>
    </row>
    <row r="167" spans="10:10" x14ac:dyDescent="0.2">
      <c r="J167" t="str">
        <f t="shared" si="3"/>
        <v/>
      </c>
    </row>
    <row r="168" spans="10:10" x14ac:dyDescent="0.2">
      <c r="J168" t="str">
        <f t="shared" si="3"/>
        <v/>
      </c>
    </row>
    <row r="169" spans="10:10" x14ac:dyDescent="0.2">
      <c r="J169" t="str">
        <f t="shared" si="3"/>
        <v/>
      </c>
    </row>
    <row r="170" spans="10:10" x14ac:dyDescent="0.2">
      <c r="J170" t="str">
        <f t="shared" si="3"/>
        <v/>
      </c>
    </row>
    <row r="171" spans="10:10" x14ac:dyDescent="0.2">
      <c r="J171" t="str">
        <f t="shared" si="3"/>
        <v/>
      </c>
    </row>
    <row r="172" spans="10:10" x14ac:dyDescent="0.2">
      <c r="J172" t="str">
        <f t="shared" si="3"/>
        <v/>
      </c>
    </row>
    <row r="173" spans="10:10" x14ac:dyDescent="0.2">
      <c r="J173" t="str">
        <f t="shared" si="3"/>
        <v/>
      </c>
    </row>
    <row r="174" spans="10:10" x14ac:dyDescent="0.2">
      <c r="J174" t="str">
        <f t="shared" si="3"/>
        <v/>
      </c>
    </row>
    <row r="175" spans="10:10" x14ac:dyDescent="0.2">
      <c r="J175" t="str">
        <f t="shared" si="3"/>
        <v/>
      </c>
    </row>
    <row r="176" spans="10:10" x14ac:dyDescent="0.2">
      <c r="J176" t="str">
        <f t="shared" si="3"/>
        <v/>
      </c>
    </row>
    <row r="177" spans="10:10" x14ac:dyDescent="0.2">
      <c r="J177" t="str">
        <f t="shared" si="3"/>
        <v/>
      </c>
    </row>
    <row r="178" spans="10:10" x14ac:dyDescent="0.2">
      <c r="J178" t="str">
        <f t="shared" si="3"/>
        <v/>
      </c>
    </row>
    <row r="179" spans="10:10" x14ac:dyDescent="0.2">
      <c r="J179" t="str">
        <f t="shared" si="3"/>
        <v/>
      </c>
    </row>
    <row r="180" spans="10:10" x14ac:dyDescent="0.2">
      <c r="J180" t="str">
        <f t="shared" si="3"/>
        <v/>
      </c>
    </row>
    <row r="181" spans="10:10" x14ac:dyDescent="0.2">
      <c r="J181" t="str">
        <f t="shared" si="3"/>
        <v/>
      </c>
    </row>
    <row r="182" spans="10:10" x14ac:dyDescent="0.2">
      <c r="J182" t="str">
        <f t="shared" ref="J182:J227" si="4">LEFT(A182,1)</f>
        <v/>
      </c>
    </row>
    <row r="183" spans="10:10" x14ac:dyDescent="0.2">
      <c r="J183" t="str">
        <f t="shared" si="4"/>
        <v/>
      </c>
    </row>
    <row r="184" spans="10:10" x14ac:dyDescent="0.2">
      <c r="J184" t="str">
        <f t="shared" si="4"/>
        <v/>
      </c>
    </row>
    <row r="185" spans="10:10" x14ac:dyDescent="0.2">
      <c r="J185" t="str">
        <f t="shared" si="4"/>
        <v/>
      </c>
    </row>
    <row r="186" spans="10:10" x14ac:dyDescent="0.2">
      <c r="J186" t="str">
        <f t="shared" si="4"/>
        <v/>
      </c>
    </row>
    <row r="187" spans="10:10" x14ac:dyDescent="0.2">
      <c r="J187" t="str">
        <f t="shared" si="4"/>
        <v/>
      </c>
    </row>
    <row r="188" spans="10:10" x14ac:dyDescent="0.2">
      <c r="J188" t="str">
        <f t="shared" si="4"/>
        <v/>
      </c>
    </row>
    <row r="189" spans="10:10" x14ac:dyDescent="0.2">
      <c r="J189" t="str">
        <f t="shared" si="4"/>
        <v/>
      </c>
    </row>
    <row r="190" spans="10:10" x14ac:dyDescent="0.2">
      <c r="J190" t="str">
        <f t="shared" si="4"/>
        <v/>
      </c>
    </row>
    <row r="191" spans="10:10" x14ac:dyDescent="0.2">
      <c r="J191" t="str">
        <f t="shared" si="4"/>
        <v/>
      </c>
    </row>
    <row r="192" spans="10:10" x14ac:dyDescent="0.2">
      <c r="J192" t="str">
        <f t="shared" si="4"/>
        <v/>
      </c>
    </row>
    <row r="193" spans="10:10" x14ac:dyDescent="0.2">
      <c r="J193" t="str">
        <f t="shared" si="4"/>
        <v/>
      </c>
    </row>
    <row r="194" spans="10:10" x14ac:dyDescent="0.2">
      <c r="J194" t="str">
        <f t="shared" si="4"/>
        <v/>
      </c>
    </row>
    <row r="195" spans="10:10" x14ac:dyDescent="0.2">
      <c r="J195" t="str">
        <f t="shared" si="4"/>
        <v/>
      </c>
    </row>
    <row r="196" spans="10:10" x14ac:dyDescent="0.2">
      <c r="J196" t="str">
        <f t="shared" si="4"/>
        <v/>
      </c>
    </row>
    <row r="197" spans="10:10" x14ac:dyDescent="0.2">
      <c r="J197" t="str">
        <f t="shared" si="4"/>
        <v/>
      </c>
    </row>
    <row r="198" spans="10:10" x14ac:dyDescent="0.2">
      <c r="J198" t="str">
        <f t="shared" si="4"/>
        <v/>
      </c>
    </row>
    <row r="199" spans="10:10" x14ac:dyDescent="0.2">
      <c r="J199" t="str">
        <f t="shared" si="4"/>
        <v/>
      </c>
    </row>
    <row r="200" spans="10:10" x14ac:dyDescent="0.2">
      <c r="J200" t="str">
        <f t="shared" si="4"/>
        <v/>
      </c>
    </row>
    <row r="201" spans="10:10" x14ac:dyDescent="0.2">
      <c r="J201" t="str">
        <f t="shared" si="4"/>
        <v/>
      </c>
    </row>
    <row r="202" spans="10:10" x14ac:dyDescent="0.2">
      <c r="J202" t="str">
        <f t="shared" si="4"/>
        <v/>
      </c>
    </row>
    <row r="203" spans="10:10" x14ac:dyDescent="0.2">
      <c r="J203" t="str">
        <f t="shared" si="4"/>
        <v/>
      </c>
    </row>
    <row r="204" spans="10:10" x14ac:dyDescent="0.2">
      <c r="J204" t="str">
        <f t="shared" si="4"/>
        <v/>
      </c>
    </row>
    <row r="205" spans="10:10" x14ac:dyDescent="0.2">
      <c r="J205" t="str">
        <f t="shared" si="4"/>
        <v/>
      </c>
    </row>
    <row r="206" spans="10:10" x14ac:dyDescent="0.2">
      <c r="J206" t="str">
        <f t="shared" si="4"/>
        <v/>
      </c>
    </row>
    <row r="207" spans="10:10" x14ac:dyDescent="0.2">
      <c r="J207" t="str">
        <f t="shared" si="4"/>
        <v/>
      </c>
    </row>
    <row r="208" spans="10:10" x14ac:dyDescent="0.2">
      <c r="J208" t="str">
        <f t="shared" si="4"/>
        <v/>
      </c>
    </row>
    <row r="209" spans="7:10" x14ac:dyDescent="0.2">
      <c r="J209" t="str">
        <f t="shared" si="4"/>
        <v/>
      </c>
    </row>
    <row r="210" spans="7:10" x14ac:dyDescent="0.2">
      <c r="J210" t="str">
        <f t="shared" si="4"/>
        <v/>
      </c>
    </row>
    <row r="211" spans="7:10" x14ac:dyDescent="0.2">
      <c r="J211" t="str">
        <f t="shared" si="4"/>
        <v/>
      </c>
    </row>
    <row r="212" spans="7:10" x14ac:dyDescent="0.2">
      <c r="J212" t="str">
        <f t="shared" si="4"/>
        <v/>
      </c>
    </row>
    <row r="213" spans="7:10" x14ac:dyDescent="0.2">
      <c r="J213" t="str">
        <f t="shared" si="4"/>
        <v/>
      </c>
    </row>
    <row r="214" spans="7:10" x14ac:dyDescent="0.2">
      <c r="J214" t="str">
        <f t="shared" si="4"/>
        <v/>
      </c>
    </row>
    <row r="215" spans="7:10" x14ac:dyDescent="0.2">
      <c r="J215" t="str">
        <f t="shared" si="4"/>
        <v/>
      </c>
    </row>
    <row r="216" spans="7:10" x14ac:dyDescent="0.2">
      <c r="J216" t="str">
        <f t="shared" si="4"/>
        <v/>
      </c>
    </row>
    <row r="217" spans="7:10" x14ac:dyDescent="0.2">
      <c r="J217" t="str">
        <f t="shared" si="4"/>
        <v/>
      </c>
    </row>
    <row r="218" spans="7:10" x14ac:dyDescent="0.2">
      <c r="J218" t="str">
        <f t="shared" si="4"/>
        <v/>
      </c>
    </row>
    <row r="219" spans="7:10" x14ac:dyDescent="0.2">
      <c r="J219" t="str">
        <f t="shared" si="4"/>
        <v/>
      </c>
    </row>
    <row r="220" spans="7:10" x14ac:dyDescent="0.2">
      <c r="G220">
        <f t="shared" ref="G220:G227" si="5">SUM(C220)-SUM(D220)</f>
        <v>0</v>
      </c>
      <c r="H220">
        <f t="shared" ref="H220:H227" si="6">SUM(E220)-SUM(F220)</f>
        <v>0</v>
      </c>
      <c r="I220">
        <f>IF(A220="Total",VLOOKUP(B220,CORRESPONDANCE[#All],2,FALSE),I221)</f>
        <v>0</v>
      </c>
      <c r="J220" t="str">
        <f t="shared" si="4"/>
        <v/>
      </c>
    </row>
    <row r="221" spans="7:10" x14ac:dyDescent="0.2">
      <c r="G221">
        <f t="shared" si="5"/>
        <v>0</v>
      </c>
      <c r="H221">
        <f t="shared" si="6"/>
        <v>0</v>
      </c>
      <c r="I221">
        <f>IF(A221="Total",VLOOKUP(B221,CORRESPONDANCE[#All],2,FALSE),I222)</f>
        <v>0</v>
      </c>
      <c r="J221" t="str">
        <f t="shared" si="4"/>
        <v/>
      </c>
    </row>
    <row r="222" spans="7:10" x14ac:dyDescent="0.2">
      <c r="G222">
        <f t="shared" si="5"/>
        <v>0</v>
      </c>
      <c r="H222">
        <f t="shared" si="6"/>
        <v>0</v>
      </c>
      <c r="I222">
        <f>IF(A222="Total",VLOOKUP(B222,CORRESPONDANCE[#All],2,FALSE),I223)</f>
        <v>0</v>
      </c>
      <c r="J222" t="str">
        <f t="shared" si="4"/>
        <v/>
      </c>
    </row>
    <row r="223" spans="7:10" x14ac:dyDescent="0.2">
      <c r="G223">
        <f t="shared" si="5"/>
        <v>0</v>
      </c>
      <c r="H223">
        <f t="shared" si="6"/>
        <v>0</v>
      </c>
      <c r="I223">
        <f>IF(A223="Total",VLOOKUP(B223,CORRESPONDANCE[#All],2,FALSE),I224)</f>
        <v>0</v>
      </c>
      <c r="J223" t="str">
        <f t="shared" si="4"/>
        <v/>
      </c>
    </row>
    <row r="224" spans="7:10" x14ac:dyDescent="0.2">
      <c r="G224">
        <f t="shared" si="5"/>
        <v>0</v>
      </c>
      <c r="H224">
        <f t="shared" si="6"/>
        <v>0</v>
      </c>
      <c r="I224">
        <f>IF(A224="Total",VLOOKUP(B224,CORRESPONDANCE[#All],2,FALSE),I225)</f>
        <v>0</v>
      </c>
      <c r="J224" t="str">
        <f t="shared" si="4"/>
        <v/>
      </c>
    </row>
    <row r="225" spans="7:10" x14ac:dyDescent="0.2">
      <c r="G225">
        <f t="shared" si="5"/>
        <v>0</v>
      </c>
      <c r="H225">
        <f t="shared" si="6"/>
        <v>0</v>
      </c>
      <c r="I225">
        <f>IF(A225="Total",VLOOKUP(B225,CORRESPONDANCE[#All],2,FALSE),I226)</f>
        <v>0</v>
      </c>
      <c r="J225" t="str">
        <f t="shared" si="4"/>
        <v/>
      </c>
    </row>
    <row r="226" spans="7:10" x14ac:dyDescent="0.2">
      <c r="G226">
        <f t="shared" si="5"/>
        <v>0</v>
      </c>
      <c r="H226">
        <f t="shared" si="6"/>
        <v>0</v>
      </c>
      <c r="I226">
        <f>IF(A226="Total",VLOOKUP(B226,CORRESPONDANCE[#All],2,FALSE),I227)</f>
        <v>0</v>
      </c>
      <c r="J226" t="str">
        <f t="shared" si="4"/>
        <v/>
      </c>
    </row>
    <row r="227" spans="7:10" x14ac:dyDescent="0.2">
      <c r="G227">
        <f t="shared" si="5"/>
        <v>0</v>
      </c>
      <c r="H227">
        <f t="shared" si="6"/>
        <v>0</v>
      </c>
      <c r="I227">
        <f>IF(A227="Total",VLOOKUP(B227,CORRESPONDANCE[#All],2,FALSE),I228)</f>
        <v>0</v>
      </c>
      <c r="J227" t="str">
        <f t="shared" si="4"/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E7DC-1A01-454E-A9C3-E3C3F50BC870}">
  <sheetPr>
    <tabColor rgb="FFFFFF00"/>
  </sheetPr>
  <dimension ref="A1:F6091"/>
  <sheetViews>
    <sheetView workbookViewId="0">
      <selection activeCell="G26" sqref="G26:G27"/>
    </sheetView>
  </sheetViews>
  <sheetFormatPr baseColWidth="10" defaultColWidth="11.5703125" defaultRowHeight="15" x14ac:dyDescent="0.25"/>
  <cols>
    <col min="1" max="1" width="16.7109375" style="227" bestFit="1" customWidth="1"/>
    <col min="2" max="2" width="12.140625" style="227" bestFit="1" customWidth="1"/>
    <col min="3" max="3" width="37.7109375" style="227" bestFit="1" customWidth="1"/>
    <col min="4" max="4" width="15.7109375" style="227" customWidth="1"/>
    <col min="5" max="5" width="11.5703125" style="227"/>
    <col min="6" max="6" width="19" style="227" customWidth="1"/>
    <col min="7" max="16384" width="11.5703125" style="227"/>
  </cols>
  <sheetData>
    <row r="1" spans="1:6" s="226" customFormat="1" ht="32.450000000000003" customHeight="1" x14ac:dyDescent="0.2">
      <c r="A1" s="226" t="s">
        <v>3047</v>
      </c>
      <c r="B1" s="226" t="s">
        <v>2433</v>
      </c>
      <c r="C1" s="226" t="s">
        <v>3048</v>
      </c>
      <c r="D1" s="238" t="s">
        <v>3049</v>
      </c>
      <c r="E1" s="238" t="s">
        <v>3050</v>
      </c>
      <c r="F1" s="226" t="s">
        <v>3051</v>
      </c>
    </row>
    <row r="2" spans="1:6" x14ac:dyDescent="0.25">
      <c r="A2" s="227" t="str">
        <f>TL[[#This Row],[Société]]&amp;" - "&amp;TL[[#This Row],[Compte]]</f>
        <v>VR7 - 101300</v>
      </c>
      <c r="B2" s="233" t="s">
        <v>1638</v>
      </c>
      <c r="C2" s="227" t="s">
        <v>540</v>
      </c>
      <c r="F2" s="227" t="s">
        <v>3003</v>
      </c>
    </row>
    <row r="3" spans="1:6" x14ac:dyDescent="0.25">
      <c r="A3" s="227" t="str">
        <f>TL[[#This Row],[Société]]&amp;" - "&amp;TL[[#This Row],[Compte]]</f>
        <v>VR7 - 106100</v>
      </c>
      <c r="B3" s="233" t="s">
        <v>1640</v>
      </c>
      <c r="C3" s="227" t="s">
        <v>642</v>
      </c>
      <c r="F3" s="227" t="s">
        <v>3003</v>
      </c>
    </row>
    <row r="4" spans="1:6" x14ac:dyDescent="0.25">
      <c r="A4" s="227" t="str">
        <f>TL[[#This Row],[Société]]&amp;" - "&amp;TL[[#This Row],[Compte]]</f>
        <v>VR7 - 106300</v>
      </c>
      <c r="B4" s="233" t="s">
        <v>3052</v>
      </c>
      <c r="C4" s="227" t="s">
        <v>3053</v>
      </c>
      <c r="F4" s="227" t="s">
        <v>3003</v>
      </c>
    </row>
    <row r="5" spans="1:6" x14ac:dyDescent="0.25">
      <c r="A5" s="227" t="str">
        <f>TL[[#This Row],[Société]]&amp;" - "&amp;TL[[#This Row],[Compte]]</f>
        <v>VR7 - 106800</v>
      </c>
      <c r="B5" s="233" t="s">
        <v>1641</v>
      </c>
      <c r="C5" s="227" t="s">
        <v>644</v>
      </c>
      <c r="F5" s="227" t="s">
        <v>3003</v>
      </c>
    </row>
    <row r="6" spans="1:6" x14ac:dyDescent="0.25">
      <c r="A6" s="227" t="str">
        <f>TL[[#This Row],[Société]]&amp;" - "&amp;TL[[#This Row],[Compte]]</f>
        <v>VR7 - 120000</v>
      </c>
      <c r="B6" s="233" t="s">
        <v>1643</v>
      </c>
      <c r="C6" s="227" t="s">
        <v>542</v>
      </c>
      <c r="F6" s="227" t="s">
        <v>3003</v>
      </c>
    </row>
    <row r="7" spans="1:6" x14ac:dyDescent="0.25">
      <c r="A7" s="227" t="str">
        <f>TL[[#This Row],[Société]]&amp;" - "&amp;TL[[#This Row],[Compte]]</f>
        <v>VR7 - 128000</v>
      </c>
      <c r="B7" s="233" t="s">
        <v>3054</v>
      </c>
      <c r="C7" s="227" t="s">
        <v>3055</v>
      </c>
      <c r="F7" s="227" t="s">
        <v>3003</v>
      </c>
    </row>
    <row r="8" spans="1:6" x14ac:dyDescent="0.25">
      <c r="A8" s="227" t="str">
        <f>TL[[#This Row],[Société]]&amp;" - "&amp;TL[[#This Row],[Compte]]</f>
        <v>VR7 - 129000</v>
      </c>
      <c r="B8" s="233" t="s">
        <v>1637</v>
      </c>
      <c r="C8" s="227" t="s">
        <v>543</v>
      </c>
      <c r="F8" s="227" t="s">
        <v>3003</v>
      </c>
    </row>
    <row r="9" spans="1:6" x14ac:dyDescent="0.25">
      <c r="A9" s="227" t="str">
        <f>TL[[#This Row],[Société]]&amp;" - "&amp;TL[[#This Row],[Compte]]</f>
        <v>VR7 - 145000</v>
      </c>
      <c r="B9" s="233" t="s">
        <v>1805</v>
      </c>
      <c r="C9" s="227" t="s">
        <v>3056</v>
      </c>
      <c r="F9" s="227" t="s">
        <v>3003</v>
      </c>
    </row>
    <row r="10" spans="1:6" x14ac:dyDescent="0.25">
      <c r="A10" s="227" t="str">
        <f>TL[[#This Row],[Société]]&amp;" - "&amp;TL[[#This Row],[Compte]]</f>
        <v>VR7 - 151800</v>
      </c>
      <c r="B10" s="233" t="s">
        <v>1806</v>
      </c>
      <c r="C10" s="227" t="s">
        <v>3057</v>
      </c>
      <c r="F10" s="227" t="s">
        <v>3003</v>
      </c>
    </row>
    <row r="11" spans="1:6" x14ac:dyDescent="0.25">
      <c r="A11" s="227" t="str">
        <f>TL[[#This Row],[Société]]&amp;" - "&amp;TL[[#This Row],[Compte]]</f>
        <v>VR7 - 153000</v>
      </c>
      <c r="B11" s="233" t="s">
        <v>1644</v>
      </c>
      <c r="C11" s="227" t="s">
        <v>546</v>
      </c>
      <c r="F11" s="227" t="s">
        <v>3003</v>
      </c>
    </row>
    <row r="12" spans="1:6" x14ac:dyDescent="0.25">
      <c r="A12" s="227" t="str">
        <f>TL[[#This Row],[Société]]&amp;" - "&amp;TL[[#This Row],[Compte]]</f>
        <v>VR7 - 158000</v>
      </c>
      <c r="B12" s="233" t="s">
        <v>1645</v>
      </c>
      <c r="C12" s="227" t="s">
        <v>547</v>
      </c>
      <c r="F12" s="227" t="s">
        <v>3003</v>
      </c>
    </row>
    <row r="13" spans="1:6" x14ac:dyDescent="0.25">
      <c r="A13" s="227" t="str">
        <f>TL[[#This Row],[Société]]&amp;" - "&amp;TL[[#This Row],[Compte]]</f>
        <v>VR7 - 164000</v>
      </c>
      <c r="B13" s="233" t="s">
        <v>3058</v>
      </c>
      <c r="C13" s="227" t="s">
        <v>3059</v>
      </c>
      <c r="F13" s="227" t="s">
        <v>3003</v>
      </c>
    </row>
    <row r="14" spans="1:6" x14ac:dyDescent="0.25">
      <c r="A14" s="227" t="str">
        <f>TL[[#This Row],[Société]]&amp;" - "&amp;TL[[#This Row],[Compte]]</f>
        <v>VR7 - 164100</v>
      </c>
      <c r="B14" s="233" t="s">
        <v>1807</v>
      </c>
      <c r="C14" s="227" t="s">
        <v>3060</v>
      </c>
      <c r="F14" s="227" t="s">
        <v>3003</v>
      </c>
    </row>
    <row r="15" spans="1:6" x14ac:dyDescent="0.25">
      <c r="A15" s="227" t="str">
        <f>TL[[#This Row],[Société]]&amp;" - "&amp;TL[[#This Row],[Compte]]</f>
        <v>VR7 - 164200</v>
      </c>
      <c r="B15" s="233" t="s">
        <v>1808</v>
      </c>
      <c r="C15" s="227" t="s">
        <v>3061</v>
      </c>
      <c r="F15" s="227" t="s">
        <v>3003</v>
      </c>
    </row>
    <row r="16" spans="1:6" x14ac:dyDescent="0.25">
      <c r="A16" s="227" t="str">
        <f>TL[[#This Row],[Société]]&amp;" - "&amp;TL[[#This Row],[Compte]]</f>
        <v>VR7 - 164300</v>
      </c>
      <c r="B16" s="233" t="s">
        <v>1646</v>
      </c>
      <c r="C16" s="227" t="s">
        <v>3062</v>
      </c>
      <c r="F16" s="227" t="s">
        <v>3003</v>
      </c>
    </row>
    <row r="17" spans="1:6" x14ac:dyDescent="0.25">
      <c r="A17" s="227" t="str">
        <f>TL[[#This Row],[Société]]&amp;" - "&amp;TL[[#This Row],[Compte]]</f>
        <v>VR7 - 164400</v>
      </c>
      <c r="B17" s="233" t="s">
        <v>1647</v>
      </c>
      <c r="C17" s="227" t="s">
        <v>3063</v>
      </c>
      <c r="F17" s="227" t="s">
        <v>3003</v>
      </c>
    </row>
    <row r="18" spans="1:6" x14ac:dyDescent="0.25">
      <c r="A18" s="227" t="str">
        <f>TL[[#This Row],[Société]]&amp;" - "&amp;TL[[#This Row],[Compte]]</f>
        <v>VR7 - 164500</v>
      </c>
      <c r="B18" s="233" t="s">
        <v>1648</v>
      </c>
      <c r="C18" s="227" t="s">
        <v>3064</v>
      </c>
      <c r="F18" s="227" t="s">
        <v>3003</v>
      </c>
    </row>
    <row r="19" spans="1:6" x14ac:dyDescent="0.25">
      <c r="A19" s="227" t="str">
        <f>TL[[#This Row],[Société]]&amp;" - "&amp;TL[[#This Row],[Compte]]</f>
        <v>VR7 - 168840</v>
      </c>
      <c r="B19" s="233" t="s">
        <v>3065</v>
      </c>
      <c r="C19" s="227" t="s">
        <v>3066</v>
      </c>
      <c r="F19" s="227" t="s">
        <v>3003</v>
      </c>
    </row>
    <row r="20" spans="1:6" x14ac:dyDescent="0.25">
      <c r="A20" s="227" t="str">
        <f>TL[[#This Row],[Société]]&amp;" - "&amp;TL[[#This Row],[Compte]]</f>
        <v>VR7 - 205000</v>
      </c>
      <c r="B20" s="233" t="s">
        <v>1651</v>
      </c>
      <c r="C20" s="227" t="s">
        <v>958</v>
      </c>
      <c r="F20" s="227" t="s">
        <v>3003</v>
      </c>
    </row>
    <row r="21" spans="1:6" x14ac:dyDescent="0.25">
      <c r="A21" s="227" t="str">
        <f>TL[[#This Row],[Société]]&amp;" - "&amp;TL[[#This Row],[Compte]]</f>
        <v>VR7 - 215400</v>
      </c>
      <c r="B21" s="233" t="s">
        <v>1652</v>
      </c>
      <c r="C21" s="227" t="s">
        <v>3067</v>
      </c>
      <c r="F21" s="227" t="s">
        <v>3003</v>
      </c>
    </row>
    <row r="22" spans="1:6" x14ac:dyDescent="0.25">
      <c r="A22" s="227" t="str">
        <f>TL[[#This Row],[Société]]&amp;" - "&amp;TL[[#This Row],[Compte]]</f>
        <v>VR7 - 218100</v>
      </c>
      <c r="B22" s="233" t="s">
        <v>1654</v>
      </c>
      <c r="C22" s="227" t="s">
        <v>3068</v>
      </c>
      <c r="F22" s="227" t="s">
        <v>3003</v>
      </c>
    </row>
    <row r="23" spans="1:6" x14ac:dyDescent="0.25">
      <c r="A23" s="227" t="str">
        <f>TL[[#This Row],[Société]]&amp;" - "&amp;TL[[#This Row],[Compte]]</f>
        <v>VR7 - 218200</v>
      </c>
      <c r="B23" s="233" t="s">
        <v>1812</v>
      </c>
      <c r="C23" s="227" t="s">
        <v>553</v>
      </c>
      <c r="F23" s="227" t="s">
        <v>3003</v>
      </c>
    </row>
    <row r="24" spans="1:6" x14ac:dyDescent="0.25">
      <c r="A24" s="227" t="str">
        <f>TL[[#This Row],[Société]]&amp;" - "&amp;TL[[#This Row],[Compte]]</f>
        <v>VR7 - 218300</v>
      </c>
      <c r="B24" s="233" t="s">
        <v>1655</v>
      </c>
      <c r="C24" s="227" t="s">
        <v>3069</v>
      </c>
      <c r="F24" s="227" t="s">
        <v>3003</v>
      </c>
    </row>
    <row r="25" spans="1:6" x14ac:dyDescent="0.25">
      <c r="A25" s="227" t="str">
        <f>TL[[#This Row],[Société]]&amp;" - "&amp;TL[[#This Row],[Compte]]</f>
        <v>VR7 - 218400</v>
      </c>
      <c r="B25" s="233" t="s">
        <v>1656</v>
      </c>
      <c r="C25" s="227" t="s">
        <v>3070</v>
      </c>
      <c r="F25" s="227" t="s">
        <v>3003</v>
      </c>
    </row>
    <row r="26" spans="1:6" x14ac:dyDescent="0.25">
      <c r="A26" s="227" t="str">
        <f>TL[[#This Row],[Société]]&amp;" - "&amp;TL[[#This Row],[Compte]]</f>
        <v>VR7 - 231000</v>
      </c>
      <c r="B26" s="233" t="s">
        <v>1813</v>
      </c>
      <c r="C26" s="227" t="s">
        <v>3071</v>
      </c>
      <c r="F26" s="227" t="s">
        <v>3003</v>
      </c>
    </row>
    <row r="27" spans="1:6" x14ac:dyDescent="0.25">
      <c r="A27" s="227" t="str">
        <f>TL[[#This Row],[Société]]&amp;" - "&amp;TL[[#This Row],[Compte]]</f>
        <v>VR7 - 238800</v>
      </c>
      <c r="B27" s="233" t="s">
        <v>3072</v>
      </c>
      <c r="C27" s="227" t="s">
        <v>3073</v>
      </c>
      <c r="F27" s="227" t="s">
        <v>3003</v>
      </c>
    </row>
    <row r="28" spans="1:6" x14ac:dyDescent="0.25">
      <c r="A28" s="227" t="str">
        <f>TL[[#This Row],[Société]]&amp;" - "&amp;TL[[#This Row],[Compte]]</f>
        <v>VR7 - 275000</v>
      </c>
      <c r="B28" s="233" t="s">
        <v>1815</v>
      </c>
      <c r="C28" s="227" t="s">
        <v>556</v>
      </c>
      <c r="F28" s="227" t="s">
        <v>3003</v>
      </c>
    </row>
    <row r="29" spans="1:6" x14ac:dyDescent="0.25">
      <c r="A29" s="227" t="str">
        <f>TL[[#This Row],[Société]]&amp;" - "&amp;TL[[#This Row],[Compte]]</f>
        <v>VR7 - 280500</v>
      </c>
      <c r="B29" s="233" t="s">
        <v>1657</v>
      </c>
      <c r="C29" s="227" t="s">
        <v>964</v>
      </c>
      <c r="F29" s="227" t="s">
        <v>3003</v>
      </c>
    </row>
    <row r="30" spans="1:6" x14ac:dyDescent="0.25">
      <c r="A30" s="227" t="str">
        <f>TL[[#This Row],[Société]]&amp;" - "&amp;TL[[#This Row],[Compte]]</f>
        <v>VR7 - 281540</v>
      </c>
      <c r="B30" s="233" t="s">
        <v>1658</v>
      </c>
      <c r="C30" s="227" t="s">
        <v>1098</v>
      </c>
      <c r="F30" s="227" t="s">
        <v>3003</v>
      </c>
    </row>
    <row r="31" spans="1:6" x14ac:dyDescent="0.25">
      <c r="A31" s="227" t="str">
        <f>TL[[#This Row],[Société]]&amp;" - "&amp;TL[[#This Row],[Compte]]</f>
        <v>VR7 - 281810</v>
      </c>
      <c r="B31" s="233" t="s">
        <v>1660</v>
      </c>
      <c r="C31" s="227" t="s">
        <v>968</v>
      </c>
      <c r="F31" s="227" t="s">
        <v>3003</v>
      </c>
    </row>
    <row r="32" spans="1:6" x14ac:dyDescent="0.25">
      <c r="A32" s="227" t="str">
        <f>TL[[#This Row],[Société]]&amp;" - "&amp;TL[[#This Row],[Compte]]</f>
        <v>VR7 - 281830</v>
      </c>
      <c r="B32" s="233" t="s">
        <v>1661</v>
      </c>
      <c r="C32" s="227" t="s">
        <v>3074</v>
      </c>
      <c r="F32" s="227" t="s">
        <v>3003</v>
      </c>
    </row>
    <row r="33" spans="1:6" x14ac:dyDescent="0.25">
      <c r="A33" s="227" t="str">
        <f>TL[[#This Row],[Société]]&amp;" - "&amp;TL[[#This Row],[Compte]]</f>
        <v>VR7 - 281840</v>
      </c>
      <c r="B33" s="233" t="s">
        <v>1662</v>
      </c>
      <c r="C33" s="227" t="s">
        <v>970</v>
      </c>
      <c r="F33" s="227" t="s">
        <v>3003</v>
      </c>
    </row>
    <row r="34" spans="1:6" x14ac:dyDescent="0.25">
      <c r="A34" s="227" t="str">
        <f>TL[[#This Row],[Société]]&amp;" - "&amp;TL[[#This Row],[Compte]]</f>
        <v>VR7 - 283100</v>
      </c>
      <c r="B34" s="233" t="s">
        <v>3075</v>
      </c>
      <c r="C34" s="227" t="s">
        <v>3056</v>
      </c>
      <c r="F34" s="227" t="s">
        <v>3003</v>
      </c>
    </row>
    <row r="35" spans="1:6" x14ac:dyDescent="0.25">
      <c r="A35" s="227" t="str">
        <f>TL[[#This Row],[Société]]&amp;" - "&amp;TL[[#This Row],[Compte]]</f>
        <v>VR7 - 310000</v>
      </c>
      <c r="B35" s="233" t="s">
        <v>1663</v>
      </c>
      <c r="C35" s="227" t="s">
        <v>3076</v>
      </c>
      <c r="F35" s="227" t="s">
        <v>3003</v>
      </c>
    </row>
    <row r="36" spans="1:6" x14ac:dyDescent="0.25">
      <c r="A36" s="227" t="str">
        <f>TL[[#This Row],[Société]]&amp;" - "&amp;TL[[#This Row],[Compte]]</f>
        <v>VR7 - 320000</v>
      </c>
      <c r="B36" s="233" t="s">
        <v>1664</v>
      </c>
      <c r="C36" s="227" t="s">
        <v>3077</v>
      </c>
      <c r="F36" s="227" t="s">
        <v>3003</v>
      </c>
    </row>
    <row r="37" spans="1:6" x14ac:dyDescent="0.25">
      <c r="A37" s="227" t="str">
        <f>TL[[#This Row],[Société]]&amp;" - "&amp;TL[[#This Row],[Compte]]</f>
        <v>VR7 - 321000</v>
      </c>
      <c r="B37" s="233" t="s">
        <v>1665</v>
      </c>
      <c r="C37" s="227" t="s">
        <v>3078</v>
      </c>
      <c r="F37" s="227" t="s">
        <v>3003</v>
      </c>
    </row>
    <row r="38" spans="1:6" x14ac:dyDescent="0.25">
      <c r="A38" s="227" t="str">
        <f>TL[[#This Row],[Société]]&amp;" - "&amp;TL[[#This Row],[Compte]]</f>
        <v>VR7 - 401000</v>
      </c>
      <c r="B38" s="233" t="s">
        <v>1581</v>
      </c>
      <c r="C38" s="227" t="s">
        <v>3079</v>
      </c>
      <c r="F38" s="227" t="s">
        <v>3003</v>
      </c>
    </row>
    <row r="39" spans="1:6" x14ac:dyDescent="0.25">
      <c r="A39" s="227" t="str">
        <f>TL[[#This Row],[Société]]&amp;" - "&amp;TL[[#This Row],[Compte]]</f>
        <v>VR7 - 401110</v>
      </c>
      <c r="B39" s="233" t="s">
        <v>3080</v>
      </c>
      <c r="C39" s="227" t="s">
        <v>3079</v>
      </c>
      <c r="F39" s="227" t="s">
        <v>3003</v>
      </c>
    </row>
    <row r="40" spans="1:6" x14ac:dyDescent="0.25">
      <c r="A40" s="227" t="str">
        <f>TL[[#This Row],[Société]]&amp;" - "&amp;TL[[#This Row],[Compte]]</f>
        <v>VR7 - 401111</v>
      </c>
      <c r="B40" s="233" t="s">
        <v>3081</v>
      </c>
      <c r="C40" s="227" t="s">
        <v>663</v>
      </c>
      <c r="F40" s="227" t="s">
        <v>3003</v>
      </c>
    </row>
    <row r="41" spans="1:6" x14ac:dyDescent="0.25">
      <c r="A41" s="227" t="str">
        <f>TL[[#This Row],[Société]]&amp;" - "&amp;TL[[#This Row],[Compte]]</f>
        <v>VR7 - 404100</v>
      </c>
      <c r="B41" s="233" t="s">
        <v>1823</v>
      </c>
      <c r="C41" s="227" t="s">
        <v>664</v>
      </c>
      <c r="F41" s="227" t="s">
        <v>3003</v>
      </c>
    </row>
    <row r="42" spans="1:6" x14ac:dyDescent="0.25">
      <c r="A42" s="227" t="str">
        <f>TL[[#This Row],[Société]]&amp;" - "&amp;TL[[#This Row],[Compte]]</f>
        <v>VR7 - 404110</v>
      </c>
      <c r="B42" s="233" t="s">
        <v>1824</v>
      </c>
      <c r="C42" s="227" t="s">
        <v>664</v>
      </c>
      <c r="F42" s="227" t="s">
        <v>3003</v>
      </c>
    </row>
    <row r="43" spans="1:6" x14ac:dyDescent="0.25">
      <c r="A43" s="227" t="str">
        <f>TL[[#This Row],[Société]]&amp;" - "&amp;TL[[#This Row],[Compte]]</f>
        <v>VR7 - 408100</v>
      </c>
      <c r="B43" s="233" t="s">
        <v>1666</v>
      </c>
      <c r="C43" s="227" t="s">
        <v>975</v>
      </c>
      <c r="F43" s="227" t="s">
        <v>3003</v>
      </c>
    </row>
    <row r="44" spans="1:6" x14ac:dyDescent="0.25">
      <c r="A44" s="227" t="str">
        <f>TL[[#This Row],[Société]]&amp;" - "&amp;TL[[#This Row],[Compte]]</f>
        <v>VR7 - 408400</v>
      </c>
      <c r="B44" s="233" t="s">
        <v>3082</v>
      </c>
      <c r="C44" s="227" t="s">
        <v>976</v>
      </c>
      <c r="F44" s="227" t="s">
        <v>3003</v>
      </c>
    </row>
    <row r="45" spans="1:6" x14ac:dyDescent="0.25">
      <c r="A45" s="227" t="str">
        <f>TL[[#This Row],[Société]]&amp;" - "&amp;TL[[#This Row],[Compte]]</f>
        <v>VR7 - 409100</v>
      </c>
      <c r="B45" s="233" t="s">
        <v>1667</v>
      </c>
      <c r="C45" s="227" t="s">
        <v>3083</v>
      </c>
      <c r="F45" s="227" t="s">
        <v>3003</v>
      </c>
    </row>
    <row r="46" spans="1:6" x14ac:dyDescent="0.25">
      <c r="A46" s="227" t="str">
        <f>TL[[#This Row],[Société]]&amp;" - "&amp;TL[[#This Row],[Compte]]</f>
        <v>VR7 - 409600</v>
      </c>
      <c r="B46" s="233" t="s">
        <v>1632</v>
      </c>
      <c r="C46" s="227" t="s">
        <v>3084</v>
      </c>
      <c r="F46" s="227" t="s">
        <v>3003</v>
      </c>
    </row>
    <row r="47" spans="1:6" x14ac:dyDescent="0.25">
      <c r="A47" s="227" t="str">
        <f>TL[[#This Row],[Société]]&amp;" - "&amp;TL[[#This Row],[Compte]]</f>
        <v>VR7 - 409700</v>
      </c>
      <c r="B47" s="233" t="s">
        <v>1825</v>
      </c>
      <c r="C47" s="227" t="s">
        <v>979</v>
      </c>
      <c r="F47" s="227" t="s">
        <v>3003</v>
      </c>
    </row>
    <row r="48" spans="1:6" x14ac:dyDescent="0.25">
      <c r="A48" s="227" t="str">
        <f>TL[[#This Row],[Société]]&amp;" - "&amp;TL[[#This Row],[Compte]]</f>
        <v>VR7 - 409800</v>
      </c>
      <c r="B48" s="233" t="s">
        <v>1668</v>
      </c>
      <c r="C48" s="227" t="s">
        <v>3085</v>
      </c>
      <c r="F48" s="227" t="s">
        <v>3003</v>
      </c>
    </row>
    <row r="49" spans="1:6" x14ac:dyDescent="0.25">
      <c r="A49" s="227" t="str">
        <f>TL[[#This Row],[Société]]&amp;" - "&amp;TL[[#This Row],[Compte]]</f>
        <v>VR7 - 411000</v>
      </c>
      <c r="B49" s="233" t="s">
        <v>1708</v>
      </c>
      <c r="C49" s="227" t="s">
        <v>568</v>
      </c>
      <c r="F49" s="227" t="s">
        <v>3003</v>
      </c>
    </row>
    <row r="50" spans="1:6" x14ac:dyDescent="0.25">
      <c r="A50" s="227" t="str">
        <f>TL[[#This Row],[Société]]&amp;" - "&amp;TL[[#This Row],[Compte]]</f>
        <v>VR7 - 411001</v>
      </c>
      <c r="B50" s="233" t="s">
        <v>1826</v>
      </c>
      <c r="C50" s="227" t="s">
        <v>3086</v>
      </c>
      <c r="F50" s="227" t="s">
        <v>3003</v>
      </c>
    </row>
    <row r="51" spans="1:6" x14ac:dyDescent="0.25">
      <c r="A51" s="227" t="str">
        <f>TL[[#This Row],[Société]]&amp;" - "&amp;TL[[#This Row],[Compte]]</f>
        <v>VR7 - 411100</v>
      </c>
      <c r="B51" s="233" t="s">
        <v>1827</v>
      </c>
      <c r="C51" s="227" t="s">
        <v>3087</v>
      </c>
      <c r="F51" s="227" t="s">
        <v>3003</v>
      </c>
    </row>
    <row r="52" spans="1:6" x14ac:dyDescent="0.25">
      <c r="A52" s="227" t="str">
        <f>TL[[#This Row],[Société]]&amp;" - "&amp;TL[[#This Row],[Compte]]</f>
        <v>VR7 - 413000</v>
      </c>
      <c r="B52" s="233" t="s">
        <v>3088</v>
      </c>
      <c r="C52" s="227" t="s">
        <v>3089</v>
      </c>
      <c r="F52" s="227" t="s">
        <v>3003</v>
      </c>
    </row>
    <row r="53" spans="1:6" x14ac:dyDescent="0.25">
      <c r="A53" s="227" t="str">
        <f>TL[[#This Row],[Société]]&amp;" - "&amp;TL[[#This Row],[Compte]]</f>
        <v>VR7 - 418100</v>
      </c>
      <c r="B53" s="233" t="s">
        <v>1669</v>
      </c>
      <c r="C53" s="227" t="s">
        <v>982</v>
      </c>
      <c r="F53" s="227" t="s">
        <v>3003</v>
      </c>
    </row>
    <row r="54" spans="1:6" x14ac:dyDescent="0.25">
      <c r="A54" s="227" t="str">
        <f>TL[[#This Row],[Société]]&amp;" - "&amp;TL[[#This Row],[Compte]]</f>
        <v>VR7 - 421000</v>
      </c>
      <c r="B54" s="233" t="s">
        <v>1670</v>
      </c>
      <c r="C54" s="227" t="s">
        <v>3090</v>
      </c>
      <c r="F54" s="227" t="s">
        <v>3003</v>
      </c>
    </row>
    <row r="55" spans="1:6" x14ac:dyDescent="0.25">
      <c r="A55" s="227" t="str">
        <f>TL[[#This Row],[Société]]&amp;" - "&amp;TL[[#This Row],[Compte]]</f>
        <v>VR7 - 421010</v>
      </c>
      <c r="B55" s="233" t="s">
        <v>1671</v>
      </c>
      <c r="C55" s="227" t="s">
        <v>3091</v>
      </c>
      <c r="F55" s="227" t="s">
        <v>3003</v>
      </c>
    </row>
    <row r="56" spans="1:6" x14ac:dyDescent="0.25">
      <c r="A56" s="227" t="str">
        <f>TL[[#This Row],[Société]]&amp;" - "&amp;TL[[#This Row],[Compte]]</f>
        <v>VR7 - 421100</v>
      </c>
      <c r="B56" s="233" t="s">
        <v>3092</v>
      </c>
      <c r="C56" s="227" t="s">
        <v>3091</v>
      </c>
      <c r="F56" s="227" t="s">
        <v>3003</v>
      </c>
    </row>
    <row r="57" spans="1:6" x14ac:dyDescent="0.25">
      <c r="A57" s="227" t="str">
        <f>TL[[#This Row],[Société]]&amp;" - "&amp;TL[[#This Row],[Compte]]</f>
        <v>VR7 - 421444</v>
      </c>
      <c r="B57" s="233" t="s">
        <v>1832</v>
      </c>
      <c r="C57" s="227" t="s">
        <v>570</v>
      </c>
      <c r="F57" s="227" t="s">
        <v>3003</v>
      </c>
    </row>
    <row r="58" spans="1:6" x14ac:dyDescent="0.25">
      <c r="A58" s="227" t="str">
        <f>TL[[#This Row],[Société]]&amp;" - "&amp;TL[[#This Row],[Compte]]</f>
        <v>VR7 - 425000</v>
      </c>
      <c r="B58" s="233" t="s">
        <v>1672</v>
      </c>
      <c r="C58" s="227" t="s">
        <v>3093</v>
      </c>
      <c r="F58" s="227" t="s">
        <v>3003</v>
      </c>
    </row>
    <row r="59" spans="1:6" x14ac:dyDescent="0.25">
      <c r="A59" s="227" t="str">
        <f>TL[[#This Row],[Société]]&amp;" - "&amp;TL[[#This Row],[Compte]]</f>
        <v>VR7 - 427000</v>
      </c>
      <c r="B59" s="233" t="s">
        <v>1710</v>
      </c>
      <c r="C59" s="227" t="s">
        <v>853</v>
      </c>
      <c r="F59" s="227" t="s">
        <v>3003</v>
      </c>
    </row>
    <row r="60" spans="1:6" x14ac:dyDescent="0.25">
      <c r="A60" s="227" t="str">
        <f>TL[[#This Row],[Société]]&amp;" - "&amp;TL[[#This Row],[Compte]]</f>
        <v>VR7 - 428220</v>
      </c>
      <c r="B60" s="233" t="s">
        <v>3094</v>
      </c>
      <c r="C60" s="227" t="s">
        <v>3095</v>
      </c>
      <c r="F60" s="227" t="s">
        <v>3003</v>
      </c>
    </row>
    <row r="61" spans="1:6" x14ac:dyDescent="0.25">
      <c r="A61" s="227" t="str">
        <f>TL[[#This Row],[Société]]&amp;" - "&amp;TL[[#This Row],[Compte]]</f>
        <v>VR7 - 428230</v>
      </c>
      <c r="B61" s="233" t="s">
        <v>3096</v>
      </c>
      <c r="C61" s="227" t="s">
        <v>3097</v>
      </c>
      <c r="F61" s="227" t="s">
        <v>3003</v>
      </c>
    </row>
    <row r="62" spans="1:6" x14ac:dyDescent="0.25">
      <c r="A62" s="227" t="str">
        <f>TL[[#This Row],[Société]]&amp;" - "&amp;TL[[#This Row],[Compte]]</f>
        <v>VR7 - 428600</v>
      </c>
      <c r="B62" s="233" t="s">
        <v>1834</v>
      </c>
      <c r="C62" s="227" t="s">
        <v>3098</v>
      </c>
      <c r="F62" s="227" t="s">
        <v>3003</v>
      </c>
    </row>
    <row r="63" spans="1:6" x14ac:dyDescent="0.25">
      <c r="A63" s="227" t="str">
        <f>TL[[#This Row],[Société]]&amp;" - "&amp;TL[[#This Row],[Compte]]</f>
        <v>VR7 - 428610</v>
      </c>
      <c r="B63" s="233" t="s">
        <v>3099</v>
      </c>
      <c r="C63" s="227" t="s">
        <v>3100</v>
      </c>
      <c r="F63" s="227" t="s">
        <v>3003</v>
      </c>
    </row>
    <row r="64" spans="1:6" x14ac:dyDescent="0.25">
      <c r="A64" s="227" t="str">
        <f>TL[[#This Row],[Société]]&amp;" - "&amp;TL[[#This Row],[Compte]]</f>
        <v>VR7 - 431000</v>
      </c>
      <c r="B64" s="233" t="s">
        <v>1674</v>
      </c>
      <c r="C64" s="227" t="s">
        <v>3101</v>
      </c>
      <c r="F64" s="227" t="s">
        <v>3003</v>
      </c>
    </row>
    <row r="65" spans="1:6" x14ac:dyDescent="0.25">
      <c r="A65" s="227" t="str">
        <f>TL[[#This Row],[Société]]&amp;" - "&amp;TL[[#This Row],[Compte]]</f>
        <v>VR7 - 437000</v>
      </c>
      <c r="B65" s="233" t="s">
        <v>1835</v>
      </c>
      <c r="C65" s="227" t="s">
        <v>3102</v>
      </c>
      <c r="F65" s="227" t="s">
        <v>3003</v>
      </c>
    </row>
    <row r="66" spans="1:6" x14ac:dyDescent="0.25">
      <c r="A66" s="227" t="str">
        <f>TL[[#This Row],[Société]]&amp;" - "&amp;TL[[#This Row],[Compte]]</f>
        <v>VR7 - 437010</v>
      </c>
      <c r="B66" s="233" t="s">
        <v>1675</v>
      </c>
      <c r="C66" s="227" t="s">
        <v>3103</v>
      </c>
      <c r="F66" s="227" t="s">
        <v>3003</v>
      </c>
    </row>
    <row r="67" spans="1:6" x14ac:dyDescent="0.25">
      <c r="A67" s="227" t="str">
        <f>TL[[#This Row],[Société]]&amp;" - "&amp;TL[[#This Row],[Compte]]</f>
        <v>VR7 - 437020</v>
      </c>
      <c r="B67" s="233" t="s">
        <v>1676</v>
      </c>
      <c r="C67" s="227" t="s">
        <v>3104</v>
      </c>
      <c r="F67" s="227" t="s">
        <v>3003</v>
      </c>
    </row>
    <row r="68" spans="1:6" x14ac:dyDescent="0.25">
      <c r="A68" s="227" t="str">
        <f>TL[[#This Row],[Société]]&amp;" - "&amp;TL[[#This Row],[Compte]]</f>
        <v>VR7 - 437030</v>
      </c>
      <c r="B68" s="233" t="s">
        <v>1839</v>
      </c>
      <c r="C68" s="227" t="s">
        <v>3105</v>
      </c>
      <c r="F68" s="227" t="s">
        <v>3003</v>
      </c>
    </row>
    <row r="69" spans="1:6" x14ac:dyDescent="0.25">
      <c r="A69" s="227" t="str">
        <f>TL[[#This Row],[Société]]&amp;" - "&amp;TL[[#This Row],[Compte]]</f>
        <v>VR7 - 437080</v>
      </c>
      <c r="B69" s="233" t="s">
        <v>3106</v>
      </c>
      <c r="C69" s="227" t="s">
        <v>3107</v>
      </c>
      <c r="F69" s="227" t="s">
        <v>3003</v>
      </c>
    </row>
    <row r="70" spans="1:6" x14ac:dyDescent="0.25">
      <c r="A70" s="227" t="str">
        <f>TL[[#This Row],[Société]]&amp;" - "&amp;TL[[#This Row],[Compte]]</f>
        <v>VR7 - 437090</v>
      </c>
      <c r="B70" s="233" t="s">
        <v>3108</v>
      </c>
      <c r="C70" s="227" t="s">
        <v>3109</v>
      </c>
      <c r="F70" s="227" t="s">
        <v>3003</v>
      </c>
    </row>
    <row r="71" spans="1:6" x14ac:dyDescent="0.25">
      <c r="A71" s="227" t="str">
        <f>TL[[#This Row],[Société]]&amp;" - "&amp;TL[[#This Row],[Compte]]</f>
        <v>VR7 - 437091</v>
      </c>
      <c r="B71" s="233" t="s">
        <v>3110</v>
      </c>
      <c r="C71" s="227" t="s">
        <v>3111</v>
      </c>
      <c r="F71" s="227" t="s">
        <v>3003</v>
      </c>
    </row>
    <row r="72" spans="1:6" x14ac:dyDescent="0.25">
      <c r="A72" s="227" t="str">
        <f>TL[[#This Row],[Société]]&amp;" - "&amp;TL[[#This Row],[Compte]]</f>
        <v>VR7 - 437200</v>
      </c>
      <c r="B72" s="233" t="s">
        <v>3112</v>
      </c>
      <c r="C72" s="227" t="s">
        <v>3113</v>
      </c>
      <c r="F72" s="227" t="s">
        <v>3003</v>
      </c>
    </row>
    <row r="73" spans="1:6" x14ac:dyDescent="0.25">
      <c r="A73" s="227" t="str">
        <f>TL[[#This Row],[Société]]&amp;" - "&amp;TL[[#This Row],[Compte]]</f>
        <v>VR7 - 438000</v>
      </c>
      <c r="B73" s="233" t="s">
        <v>2122</v>
      </c>
      <c r="C73" s="227" t="s">
        <v>3114</v>
      </c>
      <c r="F73" s="227" t="s">
        <v>3003</v>
      </c>
    </row>
    <row r="74" spans="1:6" x14ac:dyDescent="0.25">
      <c r="A74" s="227" t="str">
        <f>TL[[#This Row],[Société]]&amp;" - "&amp;TL[[#This Row],[Compte]]</f>
        <v>VR7 - 438300</v>
      </c>
      <c r="B74" s="233" t="s">
        <v>3115</v>
      </c>
      <c r="C74" s="227" t="s">
        <v>3116</v>
      </c>
      <c r="F74" s="227" t="s">
        <v>3003</v>
      </c>
    </row>
    <row r="75" spans="1:6" x14ac:dyDescent="0.25">
      <c r="A75" s="227" t="str">
        <f>TL[[#This Row],[Société]]&amp;" - "&amp;TL[[#This Row],[Compte]]</f>
        <v>VR7 - 438600</v>
      </c>
      <c r="B75" s="233" t="s">
        <v>1678</v>
      </c>
      <c r="C75" s="227" t="s">
        <v>986</v>
      </c>
      <c r="F75" s="227" t="s">
        <v>3003</v>
      </c>
    </row>
    <row r="76" spans="1:6" x14ac:dyDescent="0.25">
      <c r="A76" s="227" t="str">
        <f>TL[[#This Row],[Société]]&amp;" - "&amp;TL[[#This Row],[Compte]]</f>
        <v>VR7 - 438620</v>
      </c>
      <c r="B76" s="233" t="s">
        <v>2118</v>
      </c>
      <c r="C76" s="227" t="s">
        <v>3117</v>
      </c>
      <c r="F76" s="227" t="s">
        <v>3003</v>
      </c>
    </row>
    <row r="77" spans="1:6" x14ac:dyDescent="0.25">
      <c r="A77" s="227" t="str">
        <f>TL[[#This Row],[Société]]&amp;" - "&amp;TL[[#This Row],[Compte]]</f>
        <v>VR7 - 438630</v>
      </c>
      <c r="B77" s="233" t="s">
        <v>3118</v>
      </c>
      <c r="C77" s="227" t="s">
        <v>3119</v>
      </c>
      <c r="F77" s="227" t="s">
        <v>3003</v>
      </c>
    </row>
    <row r="78" spans="1:6" x14ac:dyDescent="0.25">
      <c r="A78" s="227" t="str">
        <f>TL[[#This Row],[Société]]&amp;" - "&amp;TL[[#This Row],[Compte]]</f>
        <v>VR7 - 442000</v>
      </c>
      <c r="B78" s="233" t="s">
        <v>1680</v>
      </c>
      <c r="C78" s="227" t="s">
        <v>3120</v>
      </c>
      <c r="F78" s="227" t="s">
        <v>3003</v>
      </c>
    </row>
    <row r="79" spans="1:6" x14ac:dyDescent="0.25">
      <c r="A79" s="227" t="str">
        <f>TL[[#This Row],[Société]]&amp;" - "&amp;TL[[#This Row],[Compte]]</f>
        <v>VR7 - 442100</v>
      </c>
      <c r="B79" s="233" t="s">
        <v>1841</v>
      </c>
      <c r="C79" s="227" t="s">
        <v>3121</v>
      </c>
      <c r="F79" s="227" t="s">
        <v>3003</v>
      </c>
    </row>
    <row r="80" spans="1:6" x14ac:dyDescent="0.25">
      <c r="A80" s="227" t="str">
        <f>TL[[#This Row],[Société]]&amp;" - "&amp;TL[[#This Row],[Compte]]</f>
        <v>VR7 - 442300</v>
      </c>
      <c r="B80" s="233" t="s">
        <v>3122</v>
      </c>
      <c r="C80" s="227" t="s">
        <v>3123</v>
      </c>
      <c r="F80" s="227" t="s">
        <v>3003</v>
      </c>
    </row>
    <row r="81" spans="1:6" x14ac:dyDescent="0.25">
      <c r="A81" s="227" t="str">
        <f>TL[[#This Row],[Société]]&amp;" - "&amp;TL[[#This Row],[Compte]]</f>
        <v>VR7 - 444000</v>
      </c>
      <c r="B81" s="233" t="s">
        <v>1682</v>
      </c>
      <c r="C81" s="227" t="s">
        <v>988</v>
      </c>
      <c r="F81" s="227" t="s">
        <v>3003</v>
      </c>
    </row>
    <row r="82" spans="1:6" x14ac:dyDescent="0.25">
      <c r="A82" s="227" t="str">
        <f>TL[[#This Row],[Société]]&amp;" - "&amp;TL[[#This Row],[Compte]]</f>
        <v>VR7 - 445200</v>
      </c>
      <c r="B82" s="233" t="s">
        <v>1842</v>
      </c>
      <c r="C82" s="227" t="s">
        <v>3124</v>
      </c>
      <c r="F82" s="227" t="s">
        <v>3003</v>
      </c>
    </row>
    <row r="83" spans="1:6" x14ac:dyDescent="0.25">
      <c r="A83" s="227" t="str">
        <f>TL[[#This Row],[Société]]&amp;" - "&amp;TL[[#This Row],[Compte]]</f>
        <v>VR7 - 445510</v>
      </c>
      <c r="B83" s="233" t="s">
        <v>1683</v>
      </c>
      <c r="C83" s="227" t="s">
        <v>949</v>
      </c>
      <c r="F83" s="227" t="s">
        <v>3003</v>
      </c>
    </row>
    <row r="84" spans="1:6" x14ac:dyDescent="0.25">
      <c r="A84" s="227" t="str">
        <f>TL[[#This Row],[Société]]&amp;" - "&amp;TL[[#This Row],[Compte]]</f>
        <v>VR7 - 445580</v>
      </c>
      <c r="B84" s="233" t="s">
        <v>3125</v>
      </c>
      <c r="C84" s="227" t="s">
        <v>3126</v>
      </c>
      <c r="F84" s="227" t="s">
        <v>3003</v>
      </c>
    </row>
    <row r="85" spans="1:6" x14ac:dyDescent="0.25">
      <c r="A85" s="227" t="str">
        <f>TL[[#This Row],[Société]]&amp;" - "&amp;TL[[#This Row],[Compte]]</f>
        <v>VR7 - 445620</v>
      </c>
      <c r="B85" s="233" t="s">
        <v>1843</v>
      </c>
      <c r="C85" s="227" t="s">
        <v>3127</v>
      </c>
      <c r="F85" s="227" t="s">
        <v>3003</v>
      </c>
    </row>
    <row r="86" spans="1:6" x14ac:dyDescent="0.25">
      <c r="A86" s="227" t="str">
        <f>TL[[#This Row],[Société]]&amp;" - "&amp;TL[[#This Row],[Compte]]</f>
        <v>VR7 - 445621</v>
      </c>
      <c r="B86" s="233" t="s">
        <v>1844</v>
      </c>
      <c r="C86" s="227" t="s">
        <v>1113</v>
      </c>
      <c r="F86" s="227" t="s">
        <v>3003</v>
      </c>
    </row>
    <row r="87" spans="1:6" x14ac:dyDescent="0.25">
      <c r="A87" s="227" t="str">
        <f>TL[[#This Row],[Société]]&amp;" - "&amp;TL[[#This Row],[Compte]]</f>
        <v>VR7 - 445660</v>
      </c>
      <c r="B87" s="233" t="s">
        <v>1580</v>
      </c>
      <c r="C87" s="227" t="s">
        <v>3128</v>
      </c>
      <c r="F87" s="227" t="s">
        <v>3003</v>
      </c>
    </row>
    <row r="88" spans="1:6" x14ac:dyDescent="0.25">
      <c r="A88" s="227" t="str">
        <f>TL[[#This Row],[Société]]&amp;" - "&amp;TL[[#This Row],[Compte]]</f>
        <v>VR7 - 445661</v>
      </c>
      <c r="B88" s="233" t="s">
        <v>1584</v>
      </c>
      <c r="C88" s="227" t="s">
        <v>3129</v>
      </c>
      <c r="F88" s="227" t="s">
        <v>3003</v>
      </c>
    </row>
    <row r="89" spans="1:6" x14ac:dyDescent="0.25">
      <c r="A89" s="227" t="str">
        <f>TL[[#This Row],[Société]]&amp;" - "&amp;TL[[#This Row],[Compte]]</f>
        <v>VR7 - 445662</v>
      </c>
      <c r="B89" s="233" t="s">
        <v>1845</v>
      </c>
      <c r="C89" s="227" t="s">
        <v>3130</v>
      </c>
      <c r="F89" s="227" t="s">
        <v>3003</v>
      </c>
    </row>
    <row r="90" spans="1:6" x14ac:dyDescent="0.25">
      <c r="A90" s="227" t="str">
        <f>TL[[#This Row],[Société]]&amp;" - "&amp;TL[[#This Row],[Compte]]</f>
        <v>VR7 - 445670</v>
      </c>
      <c r="B90" s="233" t="s">
        <v>1846</v>
      </c>
      <c r="C90" s="227" t="s">
        <v>3131</v>
      </c>
      <c r="F90" s="227" t="s">
        <v>3003</v>
      </c>
    </row>
    <row r="91" spans="1:6" x14ac:dyDescent="0.25">
      <c r="A91" s="227" t="str">
        <f>TL[[#This Row],[Société]]&amp;" - "&amp;TL[[#This Row],[Compte]]</f>
        <v>VR7 - 445710</v>
      </c>
      <c r="B91" s="233" t="s">
        <v>1742</v>
      </c>
      <c r="C91" s="227" t="s">
        <v>3132</v>
      </c>
      <c r="F91" s="227" t="s">
        <v>3003</v>
      </c>
    </row>
    <row r="92" spans="1:6" x14ac:dyDescent="0.25">
      <c r="A92" s="227" t="str">
        <f>TL[[#This Row],[Société]]&amp;" - "&amp;TL[[#This Row],[Compte]]</f>
        <v>VR7 - 445716</v>
      </c>
      <c r="B92" s="233" t="s">
        <v>1684</v>
      </c>
      <c r="C92" s="227" t="s">
        <v>1118</v>
      </c>
      <c r="F92" s="227" t="s">
        <v>3003</v>
      </c>
    </row>
    <row r="93" spans="1:6" x14ac:dyDescent="0.25">
      <c r="A93" s="227" t="str">
        <f>TL[[#This Row],[Société]]&amp;" - "&amp;TL[[#This Row],[Compte]]</f>
        <v>VR7 - 445717</v>
      </c>
      <c r="B93" s="233" t="s">
        <v>1734</v>
      </c>
      <c r="C93" s="227" t="s">
        <v>3133</v>
      </c>
      <c r="F93" s="227" t="s">
        <v>3003</v>
      </c>
    </row>
    <row r="94" spans="1:6" x14ac:dyDescent="0.25">
      <c r="A94" s="227" t="str">
        <f>TL[[#This Row],[Société]]&amp;" - "&amp;TL[[#This Row],[Compte]]</f>
        <v>VR7 - 445720</v>
      </c>
      <c r="B94" s="233" t="s">
        <v>1685</v>
      </c>
      <c r="C94" s="227" t="s">
        <v>1119</v>
      </c>
      <c r="F94" s="227" t="s">
        <v>3003</v>
      </c>
    </row>
    <row r="95" spans="1:6" x14ac:dyDescent="0.25">
      <c r="A95" s="227" t="str">
        <f>TL[[#This Row],[Société]]&amp;" - "&amp;TL[[#This Row],[Compte]]</f>
        <v>VR7 - 445750</v>
      </c>
      <c r="B95" s="233" t="s">
        <v>3134</v>
      </c>
      <c r="C95" s="227" t="s">
        <v>3135</v>
      </c>
      <c r="F95" s="227" t="s">
        <v>3003</v>
      </c>
    </row>
    <row r="96" spans="1:6" x14ac:dyDescent="0.25">
      <c r="A96" s="227" t="str">
        <f>TL[[#This Row],[Société]]&amp;" - "&amp;TL[[#This Row],[Compte]]</f>
        <v>VR7 - 445830</v>
      </c>
      <c r="B96" s="233" t="s">
        <v>1851</v>
      </c>
      <c r="C96" s="227" t="s">
        <v>1001</v>
      </c>
      <c r="F96" s="227" t="s">
        <v>3003</v>
      </c>
    </row>
    <row r="97" spans="1:6" x14ac:dyDescent="0.25">
      <c r="A97" s="227" t="str">
        <f>TL[[#This Row],[Société]]&amp;" - "&amp;TL[[#This Row],[Compte]]</f>
        <v>VR7 - 445860</v>
      </c>
      <c r="B97" s="233" t="s">
        <v>1686</v>
      </c>
      <c r="C97" s="227" t="s">
        <v>3136</v>
      </c>
      <c r="F97" s="227" t="s">
        <v>3003</v>
      </c>
    </row>
    <row r="98" spans="1:6" x14ac:dyDescent="0.25">
      <c r="A98" s="227" t="str">
        <f>TL[[#This Row],[Société]]&amp;" - "&amp;TL[[#This Row],[Compte]]</f>
        <v>VR7 - 445861</v>
      </c>
      <c r="B98" s="233" t="s">
        <v>3137</v>
      </c>
      <c r="C98" s="227" t="s">
        <v>3138</v>
      </c>
      <c r="F98" s="227" t="s">
        <v>3003</v>
      </c>
    </row>
    <row r="99" spans="1:6" x14ac:dyDescent="0.25">
      <c r="A99" s="227" t="str">
        <f>TL[[#This Row],[Société]]&amp;" - "&amp;TL[[#This Row],[Compte]]</f>
        <v>VR7 - 445870</v>
      </c>
      <c r="B99" s="233" t="s">
        <v>1688</v>
      </c>
      <c r="C99" s="227" t="s">
        <v>586</v>
      </c>
      <c r="F99" s="227" t="s">
        <v>3003</v>
      </c>
    </row>
    <row r="100" spans="1:6" x14ac:dyDescent="0.25">
      <c r="A100" s="227" t="str">
        <f>TL[[#This Row],[Société]]&amp;" - "&amp;TL[[#This Row],[Compte]]</f>
        <v>VR7 - 448600</v>
      </c>
      <c r="B100" s="233" t="s">
        <v>1689</v>
      </c>
      <c r="C100" s="227" t="s">
        <v>1003</v>
      </c>
      <c r="F100" s="227" t="s">
        <v>3003</v>
      </c>
    </row>
    <row r="101" spans="1:6" x14ac:dyDescent="0.25">
      <c r="A101" s="227" t="str">
        <f>TL[[#This Row],[Société]]&amp;" - "&amp;TL[[#This Row],[Compte]]</f>
        <v>VR7 - 448700</v>
      </c>
      <c r="B101" s="233" t="s">
        <v>1853</v>
      </c>
      <c r="C101" s="227" t="s">
        <v>869</v>
      </c>
      <c r="F101" s="227" t="s">
        <v>3003</v>
      </c>
    </row>
    <row r="102" spans="1:6" x14ac:dyDescent="0.25">
      <c r="A102" s="227" t="str">
        <f>TL[[#This Row],[Société]]&amp;" - "&amp;TL[[#This Row],[Compte]]</f>
        <v>VR7 - 455000</v>
      </c>
      <c r="B102" s="233" t="s">
        <v>1854</v>
      </c>
      <c r="C102" s="227" t="s">
        <v>3139</v>
      </c>
      <c r="F102" s="227" t="s">
        <v>3003</v>
      </c>
    </row>
    <row r="103" spans="1:6" x14ac:dyDescent="0.25">
      <c r="A103" s="227" t="str">
        <f>TL[[#This Row],[Société]]&amp;" - "&amp;TL[[#This Row],[Compte]]</f>
        <v>VR7 - 455100</v>
      </c>
      <c r="B103" s="233" t="s">
        <v>1690</v>
      </c>
      <c r="C103" s="227" t="s">
        <v>3140</v>
      </c>
      <c r="F103" s="227" t="s">
        <v>3003</v>
      </c>
    </row>
    <row r="104" spans="1:6" x14ac:dyDescent="0.25">
      <c r="A104" s="227" t="str">
        <f>TL[[#This Row],[Société]]&amp;" - "&amp;TL[[#This Row],[Compte]]</f>
        <v>VR7 - 455200</v>
      </c>
      <c r="B104" s="233" t="s">
        <v>3141</v>
      </c>
      <c r="C104" s="227" t="s">
        <v>3142</v>
      </c>
      <c r="F104" s="227" t="s">
        <v>3003</v>
      </c>
    </row>
    <row r="105" spans="1:6" x14ac:dyDescent="0.25">
      <c r="A105" s="227" t="str">
        <f>TL[[#This Row],[Société]]&amp;" - "&amp;TL[[#This Row],[Compte]]</f>
        <v>VR7 - 457000</v>
      </c>
      <c r="B105" s="233" t="s">
        <v>1856</v>
      </c>
      <c r="C105" s="227" t="s">
        <v>3143</v>
      </c>
      <c r="F105" s="227" t="s">
        <v>3003</v>
      </c>
    </row>
    <row r="106" spans="1:6" x14ac:dyDescent="0.25">
      <c r="A106" s="227" t="str">
        <f>TL[[#This Row],[Société]]&amp;" - "&amp;TL[[#This Row],[Compte]]</f>
        <v>VR7 - 458800</v>
      </c>
      <c r="B106" s="233" t="s">
        <v>3144</v>
      </c>
      <c r="C106" s="227" t="s">
        <v>697</v>
      </c>
      <c r="F106" s="227" t="s">
        <v>3003</v>
      </c>
    </row>
    <row r="107" spans="1:6" x14ac:dyDescent="0.25">
      <c r="A107" s="227" t="str">
        <f>TL[[#This Row],[Société]]&amp;" - "&amp;TL[[#This Row],[Compte]]</f>
        <v>VR7 - 467000</v>
      </c>
      <c r="B107" s="233" t="s">
        <v>1857</v>
      </c>
      <c r="C107" s="227" t="s">
        <v>593</v>
      </c>
      <c r="F107" s="227" t="s">
        <v>3003</v>
      </c>
    </row>
    <row r="108" spans="1:6" x14ac:dyDescent="0.25">
      <c r="A108" s="227" t="str">
        <f>TL[[#This Row],[Société]]&amp;" - "&amp;TL[[#This Row],[Compte]]</f>
        <v>VR7 - 467100</v>
      </c>
      <c r="B108" s="233" t="s">
        <v>1858</v>
      </c>
      <c r="C108" s="227" t="s">
        <v>3145</v>
      </c>
      <c r="F108" s="227" t="s">
        <v>3003</v>
      </c>
    </row>
    <row r="109" spans="1:6" x14ac:dyDescent="0.25">
      <c r="A109" s="227" t="str">
        <f>TL[[#This Row],[Société]]&amp;" - "&amp;TL[[#This Row],[Compte]]</f>
        <v>VR7 - 467110</v>
      </c>
      <c r="B109" s="233" t="s">
        <v>3146</v>
      </c>
      <c r="C109" s="227" t="s">
        <v>3145</v>
      </c>
      <c r="F109" s="227" t="s">
        <v>3003</v>
      </c>
    </row>
    <row r="110" spans="1:6" x14ac:dyDescent="0.25">
      <c r="A110" s="227" t="str">
        <f>TL[[#This Row],[Société]]&amp;" - "&amp;TL[[#This Row],[Compte]]</f>
        <v>VR7 - 467200</v>
      </c>
      <c r="B110" s="233" t="s">
        <v>1692</v>
      </c>
      <c r="C110" s="227" t="s">
        <v>3147</v>
      </c>
      <c r="F110" s="227" t="s">
        <v>3003</v>
      </c>
    </row>
    <row r="111" spans="1:6" x14ac:dyDescent="0.25">
      <c r="A111" s="227" t="str">
        <f>TL[[#This Row],[Société]]&amp;" - "&amp;TL[[#This Row],[Compte]]</f>
        <v>VR7 - 467210</v>
      </c>
      <c r="B111" s="233" t="s">
        <v>1709</v>
      </c>
      <c r="C111" s="227" t="s">
        <v>2999</v>
      </c>
      <c r="F111" s="227" t="s">
        <v>3003</v>
      </c>
    </row>
    <row r="112" spans="1:6" x14ac:dyDescent="0.25">
      <c r="A112" s="227" t="str">
        <f>TL[[#This Row],[Société]]&amp;" - "&amp;TL[[#This Row],[Compte]]</f>
        <v>VR7 - 467220</v>
      </c>
      <c r="B112" s="233" t="s">
        <v>1741</v>
      </c>
      <c r="C112" s="227" t="s">
        <v>3148</v>
      </c>
      <c r="F112" s="227" t="s">
        <v>3003</v>
      </c>
    </row>
    <row r="113" spans="1:6" x14ac:dyDescent="0.25">
      <c r="A113" s="227" t="str">
        <f>TL[[#This Row],[Société]]&amp;" - "&amp;TL[[#This Row],[Compte]]</f>
        <v>VR7 - 467230</v>
      </c>
      <c r="B113" s="233" t="s">
        <v>1740</v>
      </c>
      <c r="C113" s="227" t="s">
        <v>1080</v>
      </c>
      <c r="F113" s="227" t="s">
        <v>3003</v>
      </c>
    </row>
    <row r="114" spans="1:6" x14ac:dyDescent="0.25">
      <c r="A114" s="227" t="str">
        <f>TL[[#This Row],[Société]]&amp;" - "&amp;TL[[#This Row],[Compte]]</f>
        <v>VR7 - 467240</v>
      </c>
      <c r="B114" s="233" t="s">
        <v>1723</v>
      </c>
      <c r="C114" s="227" t="s">
        <v>3149</v>
      </c>
      <c r="F114" s="227" t="s">
        <v>3003</v>
      </c>
    </row>
    <row r="115" spans="1:6" x14ac:dyDescent="0.25">
      <c r="A115" s="227" t="str">
        <f>TL[[#This Row],[Société]]&amp;" - "&amp;TL[[#This Row],[Compte]]</f>
        <v>VR7 - 467250</v>
      </c>
      <c r="B115" s="233" t="s">
        <v>1859</v>
      </c>
      <c r="C115" s="227" t="s">
        <v>1081</v>
      </c>
      <c r="F115" s="227" t="s">
        <v>3003</v>
      </c>
    </row>
    <row r="116" spans="1:6" x14ac:dyDescent="0.25">
      <c r="A116" s="227" t="str">
        <f>TL[[#This Row],[Société]]&amp;" - "&amp;TL[[#This Row],[Compte]]</f>
        <v>VR7 - 467260</v>
      </c>
      <c r="B116" s="233" t="s">
        <v>1860</v>
      </c>
      <c r="C116" s="227" t="s">
        <v>1079</v>
      </c>
      <c r="F116" s="227" t="s">
        <v>3003</v>
      </c>
    </row>
    <row r="117" spans="1:6" x14ac:dyDescent="0.25">
      <c r="A117" s="227" t="str">
        <f>TL[[#This Row],[Société]]&amp;" - "&amp;TL[[#This Row],[Compte]]</f>
        <v>VR7 - 467270</v>
      </c>
      <c r="B117" s="233" t="s">
        <v>1739</v>
      </c>
      <c r="C117" s="227" t="s">
        <v>3150</v>
      </c>
      <c r="F117" s="227" t="s">
        <v>3003</v>
      </c>
    </row>
    <row r="118" spans="1:6" x14ac:dyDescent="0.25">
      <c r="A118" s="227" t="str">
        <f>TL[[#This Row],[Société]]&amp;" - "&amp;TL[[#This Row],[Compte]]</f>
        <v>VR7 - 467280</v>
      </c>
      <c r="B118" s="233" t="s">
        <v>3151</v>
      </c>
      <c r="C118" s="227" t="s">
        <v>3152</v>
      </c>
      <c r="F118" s="227" t="s">
        <v>3003</v>
      </c>
    </row>
    <row r="119" spans="1:6" x14ac:dyDescent="0.25">
      <c r="A119" s="227" t="str">
        <f>TL[[#This Row],[Société]]&amp;" - "&amp;TL[[#This Row],[Compte]]</f>
        <v>VR7 - 467290</v>
      </c>
      <c r="B119" s="233" t="s">
        <v>3153</v>
      </c>
      <c r="C119" s="227" t="s">
        <v>3154</v>
      </c>
      <c r="F119" s="227" t="s">
        <v>3003</v>
      </c>
    </row>
    <row r="120" spans="1:6" x14ac:dyDescent="0.25">
      <c r="A120" s="227" t="str">
        <f>TL[[#This Row],[Société]]&amp;" - "&amp;TL[[#This Row],[Compte]]</f>
        <v>VR7 - 467300</v>
      </c>
      <c r="B120" s="233" t="s">
        <v>1861</v>
      </c>
      <c r="C120" s="227" t="s">
        <v>210</v>
      </c>
      <c r="F120" s="227" t="s">
        <v>3003</v>
      </c>
    </row>
    <row r="121" spans="1:6" x14ac:dyDescent="0.25">
      <c r="A121" s="227" t="str">
        <f>TL[[#This Row],[Société]]&amp;" - "&amp;TL[[#This Row],[Compte]]</f>
        <v>VR7 - 467310</v>
      </c>
      <c r="B121" s="233" t="s">
        <v>1862</v>
      </c>
      <c r="C121" s="227" t="s">
        <v>294</v>
      </c>
      <c r="F121" s="227" t="s">
        <v>3003</v>
      </c>
    </row>
    <row r="122" spans="1:6" x14ac:dyDescent="0.25">
      <c r="A122" s="227" t="str">
        <f>TL[[#This Row],[Société]]&amp;" - "&amp;TL[[#This Row],[Compte]]</f>
        <v>VR7 - 467330</v>
      </c>
      <c r="B122" s="233" t="s">
        <v>3155</v>
      </c>
      <c r="C122" s="227" t="s">
        <v>3156</v>
      </c>
      <c r="F122" s="227" t="s">
        <v>3003</v>
      </c>
    </row>
    <row r="123" spans="1:6" x14ac:dyDescent="0.25">
      <c r="A123" s="227" t="str">
        <f>TL[[#This Row],[Société]]&amp;" - "&amp;TL[[#This Row],[Compte]]</f>
        <v>VR7 - 467340</v>
      </c>
      <c r="B123" s="233" t="s">
        <v>3157</v>
      </c>
      <c r="C123" s="227" t="s">
        <v>3000</v>
      </c>
      <c r="F123" s="227" t="s">
        <v>3003</v>
      </c>
    </row>
    <row r="124" spans="1:6" x14ac:dyDescent="0.25">
      <c r="A124" s="227" t="str">
        <f>TL[[#This Row],[Société]]&amp;" - "&amp;TL[[#This Row],[Compte]]</f>
        <v>VR7 - 467667</v>
      </c>
      <c r="B124" s="233" t="s">
        <v>3158</v>
      </c>
      <c r="C124" s="227" t="s">
        <v>3159</v>
      </c>
      <c r="F124" s="227" t="s">
        <v>3003</v>
      </c>
    </row>
    <row r="125" spans="1:6" x14ac:dyDescent="0.25">
      <c r="A125" s="227" t="str">
        <f>TL[[#This Row],[Société]]&amp;" - "&amp;TL[[#This Row],[Compte]]</f>
        <v>VR7 - 468700</v>
      </c>
      <c r="B125" s="233" t="s">
        <v>1693</v>
      </c>
      <c r="C125" s="227" t="s">
        <v>1011</v>
      </c>
      <c r="F125" s="227" t="s">
        <v>3003</v>
      </c>
    </row>
    <row r="126" spans="1:6" x14ac:dyDescent="0.25">
      <c r="A126" s="227" t="str">
        <f>TL[[#This Row],[Société]]&amp;" - "&amp;TL[[#This Row],[Compte]]</f>
        <v>VR7 - 471000</v>
      </c>
      <c r="B126" s="233" t="s">
        <v>1722</v>
      </c>
      <c r="C126" s="227" t="s">
        <v>525</v>
      </c>
      <c r="F126" s="227" t="s">
        <v>3003</v>
      </c>
    </row>
    <row r="127" spans="1:6" x14ac:dyDescent="0.25">
      <c r="A127" s="227" t="str">
        <f>TL[[#This Row],[Société]]&amp;" - "&amp;TL[[#This Row],[Compte]]</f>
        <v>VR7 - 486000</v>
      </c>
      <c r="B127" s="233" t="s">
        <v>1694</v>
      </c>
      <c r="C127" s="227" t="s">
        <v>1012</v>
      </c>
      <c r="F127" s="227" t="s">
        <v>3003</v>
      </c>
    </row>
    <row r="128" spans="1:6" x14ac:dyDescent="0.25">
      <c r="A128" s="227" t="str">
        <f>TL[[#This Row],[Société]]&amp;" - "&amp;TL[[#This Row],[Compte]]</f>
        <v>VR7 - 487000</v>
      </c>
      <c r="B128" s="233" t="s">
        <v>1871</v>
      </c>
      <c r="C128" s="227" t="s">
        <v>595</v>
      </c>
      <c r="F128" s="227" t="s">
        <v>3003</v>
      </c>
    </row>
    <row r="129" spans="1:6" x14ac:dyDescent="0.25">
      <c r="A129" s="227" t="str">
        <f>TL[[#This Row],[Société]]&amp;" - "&amp;TL[[#This Row],[Compte]]</f>
        <v>VR7 - 508010</v>
      </c>
      <c r="B129" s="233" t="s">
        <v>3160</v>
      </c>
      <c r="C129" s="227" t="s">
        <v>3161</v>
      </c>
      <c r="F129" s="227" t="s">
        <v>3003</v>
      </c>
    </row>
    <row r="130" spans="1:6" x14ac:dyDescent="0.25">
      <c r="A130" s="227" t="str">
        <f>TL[[#This Row],[Société]]&amp;" - "&amp;TL[[#This Row],[Compte]]</f>
        <v>VR7 - 511200</v>
      </c>
      <c r="B130" s="233" t="s">
        <v>3162</v>
      </c>
      <c r="C130" s="227" t="s">
        <v>3163</v>
      </c>
      <c r="F130" s="227" t="s">
        <v>3003</v>
      </c>
    </row>
    <row r="131" spans="1:6" x14ac:dyDescent="0.25">
      <c r="A131" s="227" t="str">
        <f>TL[[#This Row],[Société]]&amp;" - "&amp;TL[[#This Row],[Compte]]</f>
        <v>VR7 - 511211</v>
      </c>
      <c r="B131" s="233" t="s">
        <v>1877</v>
      </c>
      <c r="C131" s="227" t="s">
        <v>3164</v>
      </c>
      <c r="F131" s="227" t="s">
        <v>3003</v>
      </c>
    </row>
    <row r="132" spans="1:6" x14ac:dyDescent="0.25">
      <c r="A132" s="227" t="str">
        <f>TL[[#This Row],[Société]]&amp;" - "&amp;TL[[#This Row],[Compte]]</f>
        <v>VR7 - 511221</v>
      </c>
      <c r="B132" s="233" t="s">
        <v>1695</v>
      </c>
      <c r="C132" s="227" t="s">
        <v>1142</v>
      </c>
      <c r="F132" s="227" t="s">
        <v>3003</v>
      </c>
    </row>
    <row r="133" spans="1:6" x14ac:dyDescent="0.25">
      <c r="A133" s="227" t="str">
        <f>TL[[#This Row],[Société]]&amp;" - "&amp;TL[[#This Row],[Compte]]</f>
        <v>VR7 - 511231</v>
      </c>
      <c r="B133" s="233" t="s">
        <v>1696</v>
      </c>
      <c r="C133" s="227" t="s">
        <v>533</v>
      </c>
      <c r="F133" s="227" t="s">
        <v>3003</v>
      </c>
    </row>
    <row r="134" spans="1:6" x14ac:dyDescent="0.25">
      <c r="A134" s="227" t="str">
        <f>TL[[#This Row],[Société]]&amp;" - "&amp;TL[[#This Row],[Compte]]</f>
        <v>VR7 - 511251</v>
      </c>
      <c r="B134" s="233" t="s">
        <v>1697</v>
      </c>
      <c r="C134" s="227" t="s">
        <v>598</v>
      </c>
      <c r="F134" s="227" t="s">
        <v>3003</v>
      </c>
    </row>
    <row r="135" spans="1:6" x14ac:dyDescent="0.25">
      <c r="A135" s="227" t="str">
        <f>TL[[#This Row],[Société]]&amp;" - "&amp;TL[[#This Row],[Compte]]</f>
        <v>VR7 - 511252</v>
      </c>
      <c r="B135" s="233" t="s">
        <v>1882</v>
      </c>
      <c r="C135" s="227" t="s">
        <v>3165</v>
      </c>
      <c r="F135" s="227" t="s">
        <v>3003</v>
      </c>
    </row>
    <row r="136" spans="1:6" x14ac:dyDescent="0.25">
      <c r="A136" s="227" t="str">
        <f>TL[[#This Row],[Société]]&amp;" - "&amp;TL[[#This Row],[Compte]]</f>
        <v>VR7 - 511253</v>
      </c>
      <c r="B136" s="233" t="s">
        <v>3166</v>
      </c>
      <c r="C136" s="227" t="s">
        <v>3167</v>
      </c>
      <c r="F136" s="227" t="s">
        <v>3003</v>
      </c>
    </row>
    <row r="137" spans="1:6" x14ac:dyDescent="0.25">
      <c r="A137" s="227" t="str">
        <f>TL[[#This Row],[Société]]&amp;" - "&amp;TL[[#This Row],[Compte]]</f>
        <v>VR7 - 511254</v>
      </c>
      <c r="B137" s="233" t="s">
        <v>3168</v>
      </c>
      <c r="C137" s="227" t="s">
        <v>3169</v>
      </c>
      <c r="F137" s="227" t="s">
        <v>3003</v>
      </c>
    </row>
    <row r="138" spans="1:6" x14ac:dyDescent="0.25">
      <c r="A138" s="227" t="str">
        <f>TL[[#This Row],[Société]]&amp;" - "&amp;TL[[#This Row],[Compte]]</f>
        <v>VR7 - 511260</v>
      </c>
      <c r="B138" s="233" t="s">
        <v>1883</v>
      </c>
      <c r="C138" s="227" t="s">
        <v>1143</v>
      </c>
      <c r="F138" s="227" t="s">
        <v>3003</v>
      </c>
    </row>
    <row r="139" spans="1:6" x14ac:dyDescent="0.25">
      <c r="A139" s="227" t="str">
        <f>TL[[#This Row],[Société]]&amp;" - "&amp;TL[[#This Row],[Compte]]</f>
        <v>VR7 - 511261</v>
      </c>
      <c r="B139" s="233" t="s">
        <v>1698</v>
      </c>
      <c r="C139" s="227" t="s">
        <v>1391</v>
      </c>
      <c r="F139" s="227" t="s">
        <v>3003</v>
      </c>
    </row>
    <row r="140" spans="1:6" x14ac:dyDescent="0.25">
      <c r="A140" s="227" t="str">
        <f>TL[[#This Row],[Société]]&amp;" - "&amp;TL[[#This Row],[Compte]]</f>
        <v>VR7 - 511701</v>
      </c>
      <c r="B140" s="233" t="s">
        <v>1700</v>
      </c>
      <c r="C140" s="227" t="s">
        <v>3170</v>
      </c>
      <c r="F140" s="227" t="s">
        <v>3003</v>
      </c>
    </row>
    <row r="141" spans="1:6" x14ac:dyDescent="0.25">
      <c r="A141" s="227" t="str">
        <f>TL[[#This Row],[Société]]&amp;" - "&amp;TL[[#This Row],[Compte]]</f>
        <v>VR7 - 511702</v>
      </c>
      <c r="B141" s="233" t="s">
        <v>3171</v>
      </c>
      <c r="C141" s="227" t="s">
        <v>3172</v>
      </c>
      <c r="F141" s="227" t="s">
        <v>3003</v>
      </c>
    </row>
    <row r="142" spans="1:6" x14ac:dyDescent="0.25">
      <c r="A142" s="227" t="str">
        <f>TL[[#This Row],[Société]]&amp;" - "&amp;TL[[#This Row],[Compte]]</f>
        <v>VR7 - 511703</v>
      </c>
      <c r="B142" s="233" t="s">
        <v>3173</v>
      </c>
      <c r="C142" s="227" t="s">
        <v>3174</v>
      </c>
      <c r="F142" s="227" t="s">
        <v>3003</v>
      </c>
    </row>
    <row r="143" spans="1:6" x14ac:dyDescent="0.25">
      <c r="A143" s="227" t="str">
        <f>TL[[#This Row],[Société]]&amp;" - "&amp;TL[[#This Row],[Compte]]</f>
        <v>VR7 - 512210</v>
      </c>
      <c r="B143" s="233" t="s">
        <v>3175</v>
      </c>
      <c r="C143" s="227" t="s">
        <v>3176</v>
      </c>
      <c r="F143" s="227" t="s">
        <v>3003</v>
      </c>
    </row>
    <row r="144" spans="1:6" x14ac:dyDescent="0.25">
      <c r="A144" s="227" t="str">
        <f>TL[[#This Row],[Société]]&amp;" - "&amp;TL[[#This Row],[Compte]]</f>
        <v>VR7 - 512300</v>
      </c>
      <c r="B144" s="233" t="s">
        <v>1701</v>
      </c>
      <c r="C144" s="227" t="s">
        <v>600</v>
      </c>
      <c r="F144" s="227" t="s">
        <v>3003</v>
      </c>
    </row>
    <row r="145" spans="1:6" x14ac:dyDescent="0.25">
      <c r="A145" s="227" t="str">
        <f>TL[[#This Row],[Société]]&amp;" - "&amp;TL[[#This Row],[Compte]]</f>
        <v>VR7 - 512600</v>
      </c>
      <c r="B145" s="233" t="s">
        <v>3177</v>
      </c>
      <c r="C145" s="227" t="s">
        <v>3178</v>
      </c>
      <c r="F145" s="227" t="s">
        <v>3003</v>
      </c>
    </row>
    <row r="146" spans="1:6" x14ac:dyDescent="0.25">
      <c r="A146" s="227" t="str">
        <f>TL[[#This Row],[Société]]&amp;" - "&amp;TL[[#This Row],[Compte]]</f>
        <v>VR7 - 512700</v>
      </c>
      <c r="B146" s="233" t="s">
        <v>3179</v>
      </c>
      <c r="C146" s="227" t="s">
        <v>3180</v>
      </c>
      <c r="F146" s="227" t="s">
        <v>3003</v>
      </c>
    </row>
    <row r="147" spans="1:6" x14ac:dyDescent="0.25">
      <c r="A147" s="227" t="str">
        <f>TL[[#This Row],[Société]]&amp;" - "&amp;TL[[#This Row],[Compte]]</f>
        <v>VR7 - 512800</v>
      </c>
      <c r="B147" s="233" t="s">
        <v>3181</v>
      </c>
      <c r="C147" s="227" t="s">
        <v>601</v>
      </c>
      <c r="F147" s="227" t="s">
        <v>3003</v>
      </c>
    </row>
    <row r="148" spans="1:6" x14ac:dyDescent="0.25">
      <c r="A148" s="227" t="str">
        <f>TL[[#This Row],[Société]]&amp;" - "&amp;TL[[#This Row],[Compte]]</f>
        <v>VR7 - 518600</v>
      </c>
      <c r="B148" s="233" t="s">
        <v>3182</v>
      </c>
      <c r="C148" s="227" t="s">
        <v>1015</v>
      </c>
      <c r="F148" s="227" t="s">
        <v>3003</v>
      </c>
    </row>
    <row r="149" spans="1:6" x14ac:dyDescent="0.25">
      <c r="A149" s="227" t="str">
        <f>TL[[#This Row],[Société]]&amp;" - "&amp;TL[[#This Row],[Compte]]</f>
        <v>VR7 - 518800</v>
      </c>
      <c r="B149" s="233" t="s">
        <v>1887</v>
      </c>
      <c r="C149" s="227" t="s">
        <v>3183</v>
      </c>
      <c r="F149" s="227" t="s">
        <v>3003</v>
      </c>
    </row>
    <row r="150" spans="1:6" x14ac:dyDescent="0.25">
      <c r="A150" s="227" t="str">
        <f>TL[[#This Row],[Société]]&amp;" - "&amp;TL[[#This Row],[Compte]]</f>
        <v>VR7 - 530000</v>
      </c>
      <c r="B150" s="233" t="s">
        <v>3184</v>
      </c>
      <c r="C150" s="227" t="s">
        <v>3185</v>
      </c>
      <c r="F150" s="227" t="s">
        <v>3003</v>
      </c>
    </row>
    <row r="151" spans="1:6" x14ac:dyDescent="0.25">
      <c r="A151" s="227" t="str">
        <f>TL[[#This Row],[Société]]&amp;" - "&amp;TL[[#This Row],[Compte]]</f>
        <v>VR7 - 530200</v>
      </c>
      <c r="B151" s="233" t="s">
        <v>1704</v>
      </c>
      <c r="C151" s="227" t="s">
        <v>604</v>
      </c>
      <c r="F151" s="227" t="s">
        <v>3003</v>
      </c>
    </row>
    <row r="152" spans="1:6" x14ac:dyDescent="0.25">
      <c r="A152" s="227" t="str">
        <f>TL[[#This Row],[Société]]&amp;" - "&amp;TL[[#This Row],[Compte]]</f>
        <v>VR7 - 531000</v>
      </c>
      <c r="B152" s="233" t="s">
        <v>1705</v>
      </c>
      <c r="C152" s="227" t="s">
        <v>532</v>
      </c>
      <c r="F152" s="227" t="s">
        <v>3003</v>
      </c>
    </row>
    <row r="153" spans="1:6" x14ac:dyDescent="0.25">
      <c r="A153" s="227" t="str">
        <f>TL[[#This Row],[Société]]&amp;" - "&amp;TL[[#This Row],[Compte]]</f>
        <v>VR7 - 581000</v>
      </c>
      <c r="B153" s="233" t="s">
        <v>1890</v>
      </c>
      <c r="C153" s="227" t="s">
        <v>820</v>
      </c>
      <c r="F153" s="227" t="s">
        <v>3003</v>
      </c>
    </row>
    <row r="154" spans="1:6" x14ac:dyDescent="0.25">
      <c r="A154" s="227" t="str">
        <f>TL[[#This Row],[Société]]&amp;" - "&amp;TL[[#This Row],[Compte]]</f>
        <v>VR7 - 581100</v>
      </c>
      <c r="B154" s="233" t="s">
        <v>1706</v>
      </c>
      <c r="C154" s="227" t="s">
        <v>3186</v>
      </c>
      <c r="F154" s="227" t="s">
        <v>3003</v>
      </c>
    </row>
    <row r="155" spans="1:6" x14ac:dyDescent="0.25">
      <c r="A155" s="227" t="str">
        <f>TL[[#This Row],[Société]]&amp;" - "&amp;TL[[#This Row],[Compte]]</f>
        <v>VR7 - 583000</v>
      </c>
      <c r="B155" s="233" t="s">
        <v>1891</v>
      </c>
      <c r="C155" s="227" t="s">
        <v>3187</v>
      </c>
      <c r="F155" s="227" t="s">
        <v>3003</v>
      </c>
    </row>
    <row r="156" spans="1:6" x14ac:dyDescent="0.25">
      <c r="A156" s="227" t="str">
        <f>TL[[#This Row],[Société]]&amp;" - "&amp;TL[[#This Row],[Compte]]</f>
        <v>VR7 - 601100</v>
      </c>
      <c r="B156" s="233" t="s">
        <v>1607</v>
      </c>
      <c r="C156" s="227" t="s">
        <v>171</v>
      </c>
      <c r="D156" s="233" t="s">
        <v>0</v>
      </c>
      <c r="E156" s="233" t="s">
        <v>7</v>
      </c>
      <c r="F156" s="227" t="s">
        <v>3003</v>
      </c>
    </row>
    <row r="157" spans="1:6" x14ac:dyDescent="0.25">
      <c r="A157" s="227" t="str">
        <f>TL[[#This Row],[Société]]&amp;" - "&amp;TL[[#This Row],[Compte]]</f>
        <v>VR7 - 601102</v>
      </c>
      <c r="B157" s="233" t="s">
        <v>1790</v>
      </c>
      <c r="C157" s="227" t="s">
        <v>225</v>
      </c>
      <c r="D157" s="233" t="s">
        <v>1</v>
      </c>
      <c r="E157" s="233" t="s">
        <v>11</v>
      </c>
      <c r="F157" s="227" t="s">
        <v>3003</v>
      </c>
    </row>
    <row r="158" spans="1:6" x14ac:dyDescent="0.25">
      <c r="A158" s="227" t="str">
        <f>TL[[#This Row],[Société]]&amp;" - "&amp;TL[[#This Row],[Compte]]</f>
        <v>VR7 - 601103</v>
      </c>
      <c r="B158" s="233" t="s">
        <v>1789</v>
      </c>
      <c r="C158" s="227" t="s">
        <v>160</v>
      </c>
      <c r="D158" s="233" t="s">
        <v>3</v>
      </c>
      <c r="E158" s="233" t="s">
        <v>9</v>
      </c>
      <c r="F158" s="227" t="s">
        <v>3003</v>
      </c>
    </row>
    <row r="159" spans="1:6" x14ac:dyDescent="0.25">
      <c r="A159" s="227" t="str">
        <f>TL[[#This Row],[Société]]&amp;" - "&amp;TL[[#This Row],[Compte]]</f>
        <v>VR7 - 602155</v>
      </c>
      <c r="B159" s="233" t="s">
        <v>3188</v>
      </c>
      <c r="C159" s="227" t="s">
        <v>3189</v>
      </c>
      <c r="F159" s="227" t="s">
        <v>3003</v>
      </c>
    </row>
    <row r="160" spans="1:6" x14ac:dyDescent="0.25">
      <c r="A160" s="227" t="str">
        <f>TL[[#This Row],[Société]]&amp;" - "&amp;TL[[#This Row],[Compte]]</f>
        <v>VR7 - 602201</v>
      </c>
      <c r="B160" s="233" t="s">
        <v>1630</v>
      </c>
      <c r="C160" s="227" t="s">
        <v>2278</v>
      </c>
      <c r="D160" s="233" t="s">
        <v>7</v>
      </c>
      <c r="E160" s="233" t="s">
        <v>0</v>
      </c>
      <c r="F160" s="227" t="s">
        <v>3003</v>
      </c>
    </row>
    <row r="161" spans="1:6" x14ac:dyDescent="0.25">
      <c r="A161" s="227" t="str">
        <f>TL[[#This Row],[Société]]&amp;" - "&amp;TL[[#This Row],[Compte]]</f>
        <v>VR7 - 602202</v>
      </c>
      <c r="B161" s="233" t="s">
        <v>1631</v>
      </c>
      <c r="C161" s="227" t="s">
        <v>2294</v>
      </c>
      <c r="D161" s="233" t="s">
        <v>150</v>
      </c>
      <c r="E161" s="233" t="s">
        <v>147</v>
      </c>
      <c r="F161" s="227" t="s">
        <v>3003</v>
      </c>
    </row>
    <row r="162" spans="1:6" x14ac:dyDescent="0.25">
      <c r="A162" s="227" t="str">
        <f>TL[[#This Row],[Société]]&amp;" - "&amp;TL[[#This Row],[Compte]]</f>
        <v>VR7 - 602600</v>
      </c>
      <c r="B162" s="233" t="s">
        <v>3190</v>
      </c>
      <c r="C162" s="227" t="s">
        <v>452</v>
      </c>
      <c r="D162" s="233" t="s">
        <v>7</v>
      </c>
      <c r="E162" s="233" t="s">
        <v>0</v>
      </c>
      <c r="F162" s="227" t="s">
        <v>3003</v>
      </c>
    </row>
    <row r="163" spans="1:6" x14ac:dyDescent="0.25">
      <c r="A163" s="227" t="str">
        <f>TL[[#This Row],[Société]]&amp;" - "&amp;TL[[#This Row],[Compte]]</f>
        <v>VR7 - 602610</v>
      </c>
      <c r="B163" s="233" t="s">
        <v>1634</v>
      </c>
      <c r="C163" s="227" t="s">
        <v>161</v>
      </c>
      <c r="D163" s="233" t="s">
        <v>23</v>
      </c>
      <c r="E163" s="233" t="s">
        <v>0</v>
      </c>
      <c r="F163" s="227" t="s">
        <v>3003</v>
      </c>
    </row>
    <row r="164" spans="1:6" x14ac:dyDescent="0.25">
      <c r="A164" s="227" t="str">
        <f>TL[[#This Row],[Société]]&amp;" - "&amp;TL[[#This Row],[Compte]]</f>
        <v>VR7 - 602630</v>
      </c>
      <c r="B164" s="233" t="s">
        <v>3191</v>
      </c>
      <c r="C164" s="227" t="s">
        <v>3192</v>
      </c>
      <c r="D164" s="233" t="s">
        <v>7</v>
      </c>
      <c r="E164" s="233" t="s">
        <v>0</v>
      </c>
      <c r="F164" s="227" t="s">
        <v>3003</v>
      </c>
    </row>
    <row r="165" spans="1:6" x14ac:dyDescent="0.25">
      <c r="A165" s="227" t="str">
        <f>TL[[#This Row],[Société]]&amp;" - "&amp;TL[[#This Row],[Compte]]</f>
        <v>VR7 - 603100</v>
      </c>
      <c r="B165" s="233" t="s">
        <v>1780</v>
      </c>
      <c r="C165" s="227" t="s">
        <v>2295</v>
      </c>
      <c r="D165" s="233" t="s">
        <v>0</v>
      </c>
      <c r="E165" s="233" t="s">
        <v>7</v>
      </c>
      <c r="F165" s="227" t="s">
        <v>3003</v>
      </c>
    </row>
    <row r="166" spans="1:6" x14ac:dyDescent="0.25">
      <c r="A166" s="227" t="str">
        <f>TL[[#This Row],[Société]]&amp;" - "&amp;TL[[#This Row],[Compte]]</f>
        <v>VR7 - 603200</v>
      </c>
      <c r="B166" s="233" t="s">
        <v>1781</v>
      </c>
      <c r="C166" s="227" t="s">
        <v>2296</v>
      </c>
      <c r="D166" s="233" t="s">
        <v>7</v>
      </c>
      <c r="E166" s="233" t="s">
        <v>0</v>
      </c>
      <c r="F166" s="227" t="s">
        <v>3003</v>
      </c>
    </row>
    <row r="167" spans="1:6" x14ac:dyDescent="0.25">
      <c r="A167" s="227" t="str">
        <f>TL[[#This Row],[Société]]&amp;" - "&amp;TL[[#This Row],[Compte]]</f>
        <v>VR7 - 603210</v>
      </c>
      <c r="B167" s="233" t="s">
        <v>1894</v>
      </c>
      <c r="C167" s="227" t="s">
        <v>2297</v>
      </c>
      <c r="D167" s="233" t="s">
        <v>150</v>
      </c>
      <c r="E167" s="233" t="s">
        <v>147</v>
      </c>
      <c r="F167" s="227" t="s">
        <v>3003</v>
      </c>
    </row>
    <row r="168" spans="1:6" x14ac:dyDescent="0.25">
      <c r="A168" s="227" t="str">
        <f>TL[[#This Row],[Société]]&amp;" - "&amp;TL[[#This Row],[Compte]]</f>
        <v>VR7 - 606101</v>
      </c>
      <c r="B168" s="233" t="s">
        <v>1765</v>
      </c>
      <c r="C168" s="227" t="s">
        <v>156</v>
      </c>
      <c r="D168" s="233" t="s">
        <v>27</v>
      </c>
      <c r="E168" s="233" t="s">
        <v>34</v>
      </c>
      <c r="F168" s="227" t="s">
        <v>3003</v>
      </c>
    </row>
    <row r="169" spans="1:6" x14ac:dyDescent="0.25">
      <c r="A169" s="227" t="str">
        <f>TL[[#This Row],[Société]]&amp;" - "&amp;TL[[#This Row],[Compte]]</f>
        <v>VR7 - 606103</v>
      </c>
      <c r="B169" s="233" t="s">
        <v>1621</v>
      </c>
      <c r="C169" s="227" t="s">
        <v>241</v>
      </c>
      <c r="D169" s="233" t="s">
        <v>27</v>
      </c>
      <c r="E169" s="233" t="s">
        <v>34</v>
      </c>
      <c r="F169" s="227" t="s">
        <v>3003</v>
      </c>
    </row>
    <row r="170" spans="1:6" x14ac:dyDescent="0.25">
      <c r="A170" s="227" t="str">
        <f>TL[[#This Row],[Société]]&amp;" - "&amp;TL[[#This Row],[Compte]]</f>
        <v>VR7 - 606105</v>
      </c>
      <c r="B170" s="233" t="s">
        <v>1588</v>
      </c>
      <c r="C170" s="227" t="s">
        <v>1152</v>
      </c>
      <c r="D170" s="233" t="s">
        <v>27</v>
      </c>
      <c r="E170" s="233" t="s">
        <v>34</v>
      </c>
      <c r="F170" s="227" t="s">
        <v>3003</v>
      </c>
    </row>
    <row r="171" spans="1:6" x14ac:dyDescent="0.25">
      <c r="A171" s="227" t="str">
        <f>TL[[#This Row],[Société]]&amp;" - "&amp;TL[[#This Row],[Compte]]</f>
        <v>VR7 - 606110</v>
      </c>
      <c r="B171" s="233" t="s">
        <v>2573</v>
      </c>
      <c r="C171" s="227" t="s">
        <v>2293</v>
      </c>
      <c r="D171" s="233" t="s">
        <v>27</v>
      </c>
      <c r="E171" s="233" t="s">
        <v>34</v>
      </c>
      <c r="F171" s="227" t="s">
        <v>3003</v>
      </c>
    </row>
    <row r="172" spans="1:6" x14ac:dyDescent="0.25">
      <c r="A172" s="227" t="str">
        <f>TL[[#This Row],[Société]]&amp;" - "&amp;TL[[#This Row],[Compte]]</f>
        <v>VR7 - 606120</v>
      </c>
      <c r="B172" s="233" t="s">
        <v>2574</v>
      </c>
      <c r="C172" s="227" t="s">
        <v>3193</v>
      </c>
      <c r="D172" s="233" t="s">
        <v>27</v>
      </c>
      <c r="E172" s="233" t="s">
        <v>34</v>
      </c>
      <c r="F172" s="227" t="s">
        <v>3003</v>
      </c>
    </row>
    <row r="173" spans="1:6" x14ac:dyDescent="0.25">
      <c r="A173" s="227" t="str">
        <f>TL[[#This Row],[Société]]&amp;" - "&amp;TL[[#This Row],[Compte]]</f>
        <v>VR7 - 606150</v>
      </c>
      <c r="B173" s="233" t="s">
        <v>2575</v>
      </c>
      <c r="C173" s="227" t="s">
        <v>2219</v>
      </c>
      <c r="D173" s="233" t="s">
        <v>27</v>
      </c>
      <c r="E173" s="233" t="s">
        <v>34</v>
      </c>
      <c r="F173" s="227" t="s">
        <v>3003</v>
      </c>
    </row>
    <row r="174" spans="1:6" x14ac:dyDescent="0.25">
      <c r="A174" s="227" t="str">
        <f>TL[[#This Row],[Société]]&amp;" - "&amp;TL[[#This Row],[Compte]]</f>
        <v>VR7 - 606280</v>
      </c>
      <c r="B174" s="233" t="s">
        <v>3194</v>
      </c>
      <c r="C174" s="227" t="s">
        <v>3195</v>
      </c>
      <c r="F174" s="227" t="s">
        <v>3003</v>
      </c>
    </row>
    <row r="175" spans="1:6" x14ac:dyDescent="0.25">
      <c r="A175" s="227" t="str">
        <f>TL[[#This Row],[Société]]&amp;" - "&amp;TL[[#This Row],[Compte]]</f>
        <v>VR7 - 606300</v>
      </c>
      <c r="B175" s="233" t="s">
        <v>1586</v>
      </c>
      <c r="C175" s="227" t="s">
        <v>1153</v>
      </c>
      <c r="D175" s="233" t="s">
        <v>25</v>
      </c>
      <c r="E175" s="233" t="s">
        <v>23</v>
      </c>
      <c r="F175" s="227" t="s">
        <v>3003</v>
      </c>
    </row>
    <row r="176" spans="1:6" x14ac:dyDescent="0.25">
      <c r="A176" s="227" t="str">
        <f>TL[[#This Row],[Société]]&amp;" - "&amp;TL[[#This Row],[Compte]]</f>
        <v>VR7 - 606301</v>
      </c>
      <c r="B176" s="233" t="s">
        <v>1895</v>
      </c>
      <c r="C176" s="227" t="s">
        <v>3196</v>
      </c>
      <c r="F176" s="227" t="s">
        <v>3003</v>
      </c>
    </row>
    <row r="177" spans="1:6" x14ac:dyDescent="0.25">
      <c r="A177" s="227" t="str">
        <f>TL[[#This Row],[Société]]&amp;" - "&amp;TL[[#This Row],[Compte]]</f>
        <v>VR7 - 606302</v>
      </c>
      <c r="B177" s="233" t="s">
        <v>1616</v>
      </c>
      <c r="C177" s="227" t="s">
        <v>1154</v>
      </c>
      <c r="D177" s="233" t="s">
        <v>23</v>
      </c>
      <c r="E177" s="233" t="s">
        <v>2978</v>
      </c>
      <c r="F177" s="227" t="s">
        <v>3003</v>
      </c>
    </row>
    <row r="178" spans="1:6" x14ac:dyDescent="0.25">
      <c r="A178" s="227" t="str">
        <f>TL[[#This Row],[Société]]&amp;" - "&amp;TL[[#This Row],[Compte]]</f>
        <v>VR7 - 606303</v>
      </c>
      <c r="B178" s="233" t="s">
        <v>1609</v>
      </c>
      <c r="C178" s="227" t="s">
        <v>146</v>
      </c>
      <c r="D178" s="233" t="s">
        <v>21</v>
      </c>
      <c r="E178" s="233" t="s">
        <v>2982</v>
      </c>
      <c r="F178" s="227" t="s">
        <v>3003</v>
      </c>
    </row>
    <row r="179" spans="1:6" x14ac:dyDescent="0.25">
      <c r="A179" s="227" t="str">
        <f>TL[[#This Row],[Société]]&amp;" - "&amp;TL[[#This Row],[Compte]]</f>
        <v>VR7 - 606305</v>
      </c>
      <c r="B179" s="233" t="s">
        <v>1897</v>
      </c>
      <c r="C179" s="227" t="s">
        <v>3197</v>
      </c>
      <c r="D179" s="233" t="s">
        <v>23</v>
      </c>
      <c r="E179" s="233" t="s">
        <v>2978</v>
      </c>
      <c r="F179" s="227" t="s">
        <v>3003</v>
      </c>
    </row>
    <row r="180" spans="1:6" x14ac:dyDescent="0.25">
      <c r="A180" s="227" t="str">
        <f>TL[[#This Row],[Société]]&amp;" - "&amp;TL[[#This Row],[Compte]]</f>
        <v>VR7 - 606400</v>
      </c>
      <c r="B180" s="233" t="s">
        <v>1898</v>
      </c>
      <c r="C180" s="227" t="s">
        <v>3198</v>
      </c>
      <c r="D180" s="233" t="s">
        <v>29</v>
      </c>
      <c r="E180" s="233" t="s">
        <v>2978</v>
      </c>
      <c r="F180" s="227" t="s">
        <v>3003</v>
      </c>
    </row>
    <row r="181" spans="1:6" x14ac:dyDescent="0.25">
      <c r="A181" s="227" t="str">
        <f>TL[[#This Row],[Société]]&amp;" - "&amp;TL[[#This Row],[Compte]]</f>
        <v>VR7 - 606401</v>
      </c>
      <c r="B181" s="233" t="s">
        <v>1612</v>
      </c>
      <c r="C181" s="227" t="s">
        <v>1156</v>
      </c>
      <c r="D181" s="233" t="s">
        <v>29</v>
      </c>
      <c r="E181" s="233" t="s">
        <v>2978</v>
      </c>
      <c r="F181" s="227" t="s">
        <v>3003</v>
      </c>
    </row>
    <row r="182" spans="1:6" x14ac:dyDescent="0.25">
      <c r="A182" s="227" t="str">
        <f>TL[[#This Row],[Société]]&amp;" - "&amp;TL[[#This Row],[Compte]]</f>
        <v>VR7 - 606613</v>
      </c>
      <c r="B182" s="233" t="s">
        <v>2595</v>
      </c>
      <c r="C182" s="227" t="s">
        <v>3199</v>
      </c>
      <c r="D182" s="233" t="s">
        <v>16</v>
      </c>
      <c r="E182" s="233" t="s">
        <v>2979</v>
      </c>
      <c r="F182" s="227" t="s">
        <v>3003</v>
      </c>
    </row>
    <row r="183" spans="1:6" x14ac:dyDescent="0.25">
      <c r="A183" s="227" t="str">
        <f>TL[[#This Row],[Société]]&amp;" - "&amp;TL[[#This Row],[Compte]]</f>
        <v>VR7 - 606614</v>
      </c>
      <c r="B183" s="233" t="s">
        <v>3200</v>
      </c>
      <c r="C183" s="227" t="s">
        <v>3201</v>
      </c>
      <c r="D183" s="233" t="s">
        <v>50</v>
      </c>
      <c r="E183" s="233" t="s">
        <v>2979</v>
      </c>
      <c r="F183" s="227" t="s">
        <v>3003</v>
      </c>
    </row>
    <row r="184" spans="1:6" x14ac:dyDescent="0.25">
      <c r="A184" s="227" t="str">
        <f>TL[[#This Row],[Société]]&amp;" - "&amp;TL[[#This Row],[Compte]]</f>
        <v>VR7 - 606800</v>
      </c>
      <c r="B184" s="233" t="s">
        <v>1618</v>
      </c>
      <c r="C184" s="227" t="s">
        <v>3201</v>
      </c>
      <c r="D184" s="233" t="s">
        <v>16</v>
      </c>
      <c r="E184" s="233" t="s">
        <v>52</v>
      </c>
      <c r="F184" s="227" t="s">
        <v>3003</v>
      </c>
    </row>
    <row r="185" spans="1:6" x14ac:dyDescent="0.25">
      <c r="A185" s="227" t="str">
        <f>TL[[#This Row],[Société]]&amp;" - "&amp;TL[[#This Row],[Compte]]</f>
        <v>VR7 - 606810</v>
      </c>
      <c r="B185" s="233" t="s">
        <v>3202</v>
      </c>
      <c r="C185" s="227" t="s">
        <v>22</v>
      </c>
      <c r="F185" s="227" t="s">
        <v>3003</v>
      </c>
    </row>
    <row r="186" spans="1:6" x14ac:dyDescent="0.25">
      <c r="A186" s="227" t="str">
        <f>TL[[#This Row],[Société]]&amp;" - "&amp;TL[[#This Row],[Compte]]</f>
        <v>VR7 - 609000</v>
      </c>
      <c r="B186" s="233" t="s">
        <v>3203</v>
      </c>
      <c r="C186" s="227" t="s">
        <v>3204</v>
      </c>
      <c r="D186" s="233" t="s">
        <v>0</v>
      </c>
      <c r="E186" s="233" t="s">
        <v>7</v>
      </c>
      <c r="F186" s="227" t="s">
        <v>3003</v>
      </c>
    </row>
    <row r="187" spans="1:6" x14ac:dyDescent="0.25">
      <c r="A187" s="227" t="str">
        <f>TL[[#This Row],[Société]]&amp;" - "&amp;TL[[#This Row],[Compte]]</f>
        <v>VR7 - 609100</v>
      </c>
      <c r="B187" s="233" t="s">
        <v>1636</v>
      </c>
      <c r="C187" s="227" t="s">
        <v>216</v>
      </c>
      <c r="D187" s="233" t="s">
        <v>0</v>
      </c>
      <c r="E187" s="233" t="s">
        <v>7</v>
      </c>
      <c r="F187" s="227" t="s">
        <v>3003</v>
      </c>
    </row>
    <row r="188" spans="1:6" x14ac:dyDescent="0.25">
      <c r="A188" s="227" t="str">
        <f>TL[[#This Row],[Société]]&amp;" - "&amp;TL[[#This Row],[Compte]]</f>
        <v>VR7 - 609700</v>
      </c>
      <c r="B188" s="233" t="s">
        <v>3205</v>
      </c>
      <c r="C188" s="227" t="s">
        <v>3206</v>
      </c>
      <c r="D188" s="233" t="s">
        <v>25</v>
      </c>
      <c r="E188" s="233" t="s">
        <v>7</v>
      </c>
      <c r="F188" s="227" t="s">
        <v>3003</v>
      </c>
    </row>
    <row r="189" spans="1:6" x14ac:dyDescent="0.25">
      <c r="A189" s="227" t="str">
        <f>TL[[#This Row],[Société]]&amp;" - "&amp;TL[[#This Row],[Compte]]</f>
        <v>VR7 - 611100</v>
      </c>
      <c r="B189" s="233" t="s">
        <v>2746</v>
      </c>
      <c r="C189" s="227" t="s">
        <v>2298</v>
      </c>
      <c r="D189" s="233" t="s">
        <v>39</v>
      </c>
      <c r="E189" s="233" t="s">
        <v>25</v>
      </c>
      <c r="F189" s="227" t="s">
        <v>3003</v>
      </c>
    </row>
    <row r="190" spans="1:6" x14ac:dyDescent="0.25">
      <c r="A190" s="227" t="str">
        <f>TL[[#This Row],[Société]]&amp;" - "&amp;TL[[#This Row],[Compte]]</f>
        <v>VR7 - 613000</v>
      </c>
      <c r="B190" s="233" t="s">
        <v>1904</v>
      </c>
      <c r="C190" s="227" t="s">
        <v>2794</v>
      </c>
      <c r="D190" s="233" t="s">
        <v>35</v>
      </c>
      <c r="E190" s="233" t="s">
        <v>2985</v>
      </c>
      <c r="F190" s="227" t="s">
        <v>3003</v>
      </c>
    </row>
    <row r="191" spans="1:6" x14ac:dyDescent="0.25">
      <c r="A191" s="227" t="str">
        <f>TL[[#This Row],[Société]]&amp;" - "&amp;TL[[#This Row],[Compte]]</f>
        <v>VR7 - 613001</v>
      </c>
      <c r="B191" s="233" t="s">
        <v>3207</v>
      </c>
      <c r="C191" s="227" t="s">
        <v>3208</v>
      </c>
      <c r="D191" s="233" t="s">
        <v>20</v>
      </c>
      <c r="E191" s="233" t="s">
        <v>25</v>
      </c>
      <c r="F191" s="227" t="s">
        <v>3003</v>
      </c>
    </row>
    <row r="192" spans="1:6" x14ac:dyDescent="0.25">
      <c r="A192" s="227" t="str">
        <f>TL[[#This Row],[Société]]&amp;" - "&amp;TL[[#This Row],[Compte]]</f>
        <v>VR7 - 613100</v>
      </c>
      <c r="B192" s="233" t="s">
        <v>1918</v>
      </c>
      <c r="C192" s="227" t="s">
        <v>1177</v>
      </c>
      <c r="D192" s="233" t="s">
        <v>20</v>
      </c>
      <c r="E192" s="233" t="s">
        <v>25</v>
      </c>
      <c r="F192" s="227" t="s">
        <v>3003</v>
      </c>
    </row>
    <row r="193" spans="1:6" x14ac:dyDescent="0.25">
      <c r="A193" s="227" t="str">
        <f>TL[[#This Row],[Société]]&amp;" - "&amp;TL[[#This Row],[Compte]]</f>
        <v>VR7 - 613300</v>
      </c>
      <c r="B193" s="233" t="s">
        <v>3209</v>
      </c>
      <c r="C193" s="227" t="s">
        <v>3210</v>
      </c>
      <c r="D193" s="233" t="s">
        <v>50</v>
      </c>
      <c r="E193" s="233" t="s">
        <v>50</v>
      </c>
      <c r="F193" s="227" t="s">
        <v>3003</v>
      </c>
    </row>
    <row r="194" spans="1:6" x14ac:dyDescent="0.25">
      <c r="A194" s="227" t="str">
        <f>TL[[#This Row],[Société]]&amp;" - "&amp;TL[[#This Row],[Compte]]</f>
        <v>VR7 - 613310</v>
      </c>
      <c r="B194" s="233" t="s">
        <v>3211</v>
      </c>
      <c r="C194" s="227" t="s">
        <v>3212</v>
      </c>
      <c r="D194" s="233" t="s">
        <v>50</v>
      </c>
      <c r="E194" s="233" t="s">
        <v>50</v>
      </c>
      <c r="F194" s="227" t="s">
        <v>3003</v>
      </c>
    </row>
    <row r="195" spans="1:6" x14ac:dyDescent="0.25">
      <c r="A195" s="227" t="str">
        <f>TL[[#This Row],[Société]]&amp;" - "&amp;TL[[#This Row],[Compte]]</f>
        <v>VR7 - 613320</v>
      </c>
      <c r="B195" s="233" t="s">
        <v>3213</v>
      </c>
      <c r="C195" s="227" t="s">
        <v>3214</v>
      </c>
      <c r="D195" s="233" t="s">
        <v>50</v>
      </c>
      <c r="E195" s="233" t="s">
        <v>50</v>
      </c>
      <c r="F195" s="227" t="s">
        <v>3003</v>
      </c>
    </row>
    <row r="196" spans="1:6" x14ac:dyDescent="0.25">
      <c r="A196" s="227" t="str">
        <f>TL[[#This Row],[Société]]&amp;" - "&amp;TL[[#This Row],[Compte]]</f>
        <v>VR7 - 613400</v>
      </c>
      <c r="B196" s="233" t="s">
        <v>3215</v>
      </c>
      <c r="C196" s="227" t="s">
        <v>3216</v>
      </c>
      <c r="D196" s="233" t="s">
        <v>50</v>
      </c>
      <c r="E196" s="233" t="s">
        <v>50</v>
      </c>
      <c r="F196" s="227" t="s">
        <v>3003</v>
      </c>
    </row>
    <row r="197" spans="1:6" x14ac:dyDescent="0.25">
      <c r="A197" s="227" t="str">
        <f>TL[[#This Row],[Société]]&amp;" - "&amp;TL[[#This Row],[Compte]]</f>
        <v>VR7 - 613500</v>
      </c>
      <c r="B197" s="233" t="s">
        <v>1920</v>
      </c>
      <c r="C197" s="227" t="s">
        <v>3217</v>
      </c>
      <c r="D197" s="233" t="s">
        <v>50</v>
      </c>
      <c r="E197" s="233" t="s">
        <v>52</v>
      </c>
      <c r="F197" s="227" t="s">
        <v>3003</v>
      </c>
    </row>
    <row r="198" spans="1:6" x14ac:dyDescent="0.25">
      <c r="A198" s="227" t="str">
        <f>TL[[#This Row],[Société]]&amp;" - "&amp;TL[[#This Row],[Compte]]</f>
        <v>VR7 - 613510</v>
      </c>
      <c r="B198" s="233" t="s">
        <v>1579</v>
      </c>
      <c r="C198" s="227" t="s">
        <v>3218</v>
      </c>
      <c r="D198" s="233" t="s">
        <v>50</v>
      </c>
      <c r="E198" s="233" t="s">
        <v>52</v>
      </c>
      <c r="F198" s="227" t="s">
        <v>3003</v>
      </c>
    </row>
    <row r="199" spans="1:6" x14ac:dyDescent="0.25">
      <c r="A199" s="227" t="str">
        <f>TL[[#This Row],[Société]]&amp;" - "&amp;TL[[#This Row],[Compte]]</f>
        <v>VR7 - 613520</v>
      </c>
      <c r="B199" s="233" t="s">
        <v>1599</v>
      </c>
      <c r="C199" s="227" t="s">
        <v>3219</v>
      </c>
      <c r="D199" s="233" t="s">
        <v>20</v>
      </c>
      <c r="E199" s="233" t="s">
        <v>52</v>
      </c>
      <c r="F199" s="227" t="s">
        <v>3003</v>
      </c>
    </row>
    <row r="200" spans="1:6" x14ac:dyDescent="0.25">
      <c r="A200" s="227" t="str">
        <f>TL[[#This Row],[Société]]&amp;" - "&amp;TL[[#This Row],[Compte]]</f>
        <v>VR7 - 613530</v>
      </c>
      <c r="B200" s="233" t="s">
        <v>2779</v>
      </c>
      <c r="C200" s="227" t="s">
        <v>219</v>
      </c>
      <c r="D200" s="233" t="s">
        <v>20</v>
      </c>
      <c r="E200" s="233" t="s">
        <v>25</v>
      </c>
      <c r="F200" s="227" t="s">
        <v>3003</v>
      </c>
    </row>
    <row r="201" spans="1:6" x14ac:dyDescent="0.25">
      <c r="A201" s="227" t="str">
        <f>TL[[#This Row],[Société]]&amp;" - "&amp;TL[[#This Row],[Compte]]</f>
        <v>VR7 - 613540</v>
      </c>
      <c r="B201" s="233" t="s">
        <v>3220</v>
      </c>
      <c r="C201" s="227" t="s">
        <v>3221</v>
      </c>
      <c r="D201" s="233" t="s">
        <v>50</v>
      </c>
      <c r="E201" s="233" t="s">
        <v>52</v>
      </c>
      <c r="F201" s="227" t="s">
        <v>3003</v>
      </c>
    </row>
    <row r="202" spans="1:6" x14ac:dyDescent="0.25">
      <c r="A202" s="227" t="str">
        <f>TL[[#This Row],[Société]]&amp;" - "&amp;TL[[#This Row],[Compte]]</f>
        <v>VR7 - 613550</v>
      </c>
      <c r="B202" s="233" t="s">
        <v>3222</v>
      </c>
      <c r="C202" s="227" t="s">
        <v>3223</v>
      </c>
      <c r="D202" s="233" t="s">
        <v>50</v>
      </c>
      <c r="E202" s="233" t="s">
        <v>52</v>
      </c>
      <c r="F202" s="227" t="s">
        <v>3003</v>
      </c>
    </row>
    <row r="203" spans="1:6" x14ac:dyDescent="0.25">
      <c r="A203" s="227" t="str">
        <f>TL[[#This Row],[Société]]&amp;" - "&amp;TL[[#This Row],[Compte]]</f>
        <v>VR7 - 613551</v>
      </c>
      <c r="B203" s="233" t="s">
        <v>2797</v>
      </c>
      <c r="C203" s="227" t="s">
        <v>2106</v>
      </c>
      <c r="D203" s="233" t="s">
        <v>50</v>
      </c>
      <c r="E203" s="233" t="s">
        <v>52</v>
      </c>
      <c r="F203" s="227" t="s">
        <v>3003</v>
      </c>
    </row>
    <row r="204" spans="1:6" x14ac:dyDescent="0.25">
      <c r="A204" s="227" t="str">
        <f>TL[[#This Row],[Société]]&amp;" - "&amp;TL[[#This Row],[Compte]]</f>
        <v>VR7 - 613552</v>
      </c>
      <c r="B204" s="233" t="s">
        <v>3224</v>
      </c>
      <c r="C204" s="227" t="s">
        <v>3225</v>
      </c>
      <c r="D204" s="233" t="s">
        <v>50</v>
      </c>
      <c r="E204" s="233" t="s">
        <v>52</v>
      </c>
      <c r="F204" s="227" t="s">
        <v>3003</v>
      </c>
    </row>
    <row r="205" spans="1:6" x14ac:dyDescent="0.25">
      <c r="A205" s="227" t="str">
        <f>TL[[#This Row],[Société]]&amp;" - "&amp;TL[[#This Row],[Compte]]</f>
        <v>VR7 - 613553</v>
      </c>
      <c r="B205" s="233" t="s">
        <v>3226</v>
      </c>
      <c r="C205" s="227" t="s">
        <v>3227</v>
      </c>
      <c r="D205" s="233" t="s">
        <v>50</v>
      </c>
      <c r="E205" s="233" t="s">
        <v>52</v>
      </c>
      <c r="F205" s="227" t="s">
        <v>3003</v>
      </c>
    </row>
    <row r="206" spans="1:6" x14ac:dyDescent="0.25">
      <c r="A206" s="227" t="str">
        <f>TL[[#This Row],[Société]]&amp;" - "&amp;TL[[#This Row],[Compte]]</f>
        <v>VR7 - 613555</v>
      </c>
      <c r="B206" s="233" t="s">
        <v>3228</v>
      </c>
      <c r="C206" s="227" t="s">
        <v>3229</v>
      </c>
      <c r="D206" s="233" t="s">
        <v>50</v>
      </c>
      <c r="E206" s="233" t="s">
        <v>52</v>
      </c>
      <c r="F206" s="227" t="s">
        <v>3003</v>
      </c>
    </row>
    <row r="207" spans="1:6" x14ac:dyDescent="0.25">
      <c r="A207" s="227" t="str">
        <f>TL[[#This Row],[Société]]&amp;" - "&amp;TL[[#This Row],[Compte]]</f>
        <v>VR7 - 613556</v>
      </c>
      <c r="B207" s="233" t="s">
        <v>3230</v>
      </c>
      <c r="C207" s="227" t="s">
        <v>3231</v>
      </c>
      <c r="D207" s="233" t="s">
        <v>50</v>
      </c>
      <c r="E207" s="233" t="s">
        <v>52</v>
      </c>
      <c r="F207" s="227" t="s">
        <v>3003</v>
      </c>
    </row>
    <row r="208" spans="1:6" x14ac:dyDescent="0.25">
      <c r="A208" s="227" t="str">
        <f>TL[[#This Row],[Société]]&amp;" - "&amp;TL[[#This Row],[Compte]]</f>
        <v>VR7 - 613557</v>
      </c>
      <c r="B208" s="233" t="s">
        <v>2798</v>
      </c>
      <c r="C208" s="227" t="s">
        <v>2299</v>
      </c>
      <c r="D208" s="233" t="s">
        <v>50</v>
      </c>
      <c r="E208" s="233" t="s">
        <v>52</v>
      </c>
      <c r="F208" s="227" t="s">
        <v>3003</v>
      </c>
    </row>
    <row r="209" spans="1:6" x14ac:dyDescent="0.25">
      <c r="A209" s="227" t="str">
        <f>TL[[#This Row],[Société]]&amp;" - "&amp;TL[[#This Row],[Compte]]</f>
        <v>VR7 - 613558</v>
      </c>
      <c r="B209" s="233" t="s">
        <v>2799</v>
      </c>
      <c r="C209" s="227" t="s">
        <v>2300</v>
      </c>
      <c r="D209" s="233" t="s">
        <v>50</v>
      </c>
      <c r="E209" s="233" t="s">
        <v>52</v>
      </c>
      <c r="F209" s="227" t="s">
        <v>3003</v>
      </c>
    </row>
    <row r="210" spans="1:6" x14ac:dyDescent="0.25">
      <c r="A210" s="227" t="str">
        <f>TL[[#This Row],[Société]]&amp;" - "&amp;TL[[#This Row],[Compte]]</f>
        <v>VR7 - 613559</v>
      </c>
      <c r="B210" s="233" t="s">
        <v>2800</v>
      </c>
      <c r="C210" s="227" t="s">
        <v>2301</v>
      </c>
      <c r="D210" s="233" t="s">
        <v>50</v>
      </c>
      <c r="E210" s="233" t="s">
        <v>52</v>
      </c>
      <c r="F210" s="227" t="s">
        <v>3003</v>
      </c>
    </row>
    <row r="211" spans="1:6" x14ac:dyDescent="0.25">
      <c r="A211" s="227" t="str">
        <f>TL[[#This Row],[Société]]&amp;" - "&amp;TL[[#This Row],[Compte]]</f>
        <v>VR7 - 613560</v>
      </c>
      <c r="B211" s="233" t="s">
        <v>3232</v>
      </c>
      <c r="C211" s="227" t="s">
        <v>3233</v>
      </c>
      <c r="D211" s="233" t="s">
        <v>20</v>
      </c>
      <c r="E211" s="233" t="s">
        <v>52</v>
      </c>
      <c r="F211" s="227" t="s">
        <v>3003</v>
      </c>
    </row>
    <row r="212" spans="1:6" x14ac:dyDescent="0.25">
      <c r="A212" s="227" t="str">
        <f>TL[[#This Row],[Société]]&amp;" - "&amp;TL[[#This Row],[Compte]]</f>
        <v>VR7 - 613561</v>
      </c>
      <c r="B212" s="233" t="s">
        <v>3234</v>
      </c>
      <c r="C212" s="227" t="s">
        <v>221</v>
      </c>
      <c r="D212" s="233" t="s">
        <v>50</v>
      </c>
      <c r="E212" s="233" t="s">
        <v>52</v>
      </c>
      <c r="F212" s="227" t="s">
        <v>3003</v>
      </c>
    </row>
    <row r="213" spans="1:6" x14ac:dyDescent="0.25">
      <c r="A213" s="227" t="str">
        <f>TL[[#This Row],[Société]]&amp;" - "&amp;TL[[#This Row],[Compte]]</f>
        <v>VR7 - 613562</v>
      </c>
      <c r="B213" s="233" t="s">
        <v>2780</v>
      </c>
      <c r="C213" s="227" t="s">
        <v>1440</v>
      </c>
      <c r="D213" s="233" t="s">
        <v>20</v>
      </c>
      <c r="E213" s="233" t="s">
        <v>25</v>
      </c>
      <c r="F213" s="227" t="s">
        <v>3003</v>
      </c>
    </row>
    <row r="214" spans="1:6" x14ac:dyDescent="0.25">
      <c r="A214" s="227" t="str">
        <f>TL[[#This Row],[Société]]&amp;" - "&amp;TL[[#This Row],[Compte]]</f>
        <v>VR7 - 613563</v>
      </c>
      <c r="B214" s="233" t="s">
        <v>2801</v>
      </c>
      <c r="C214" s="227" t="s">
        <v>2302</v>
      </c>
      <c r="D214" s="233" t="s">
        <v>50</v>
      </c>
      <c r="E214" s="233" t="s">
        <v>52</v>
      </c>
      <c r="F214" s="227" t="s">
        <v>3003</v>
      </c>
    </row>
    <row r="215" spans="1:6" x14ac:dyDescent="0.25">
      <c r="A215" s="227" t="str">
        <f>TL[[#This Row],[Société]]&amp;" - "&amp;TL[[#This Row],[Compte]]</f>
        <v>VR7 - 613564</v>
      </c>
      <c r="B215" s="233" t="s">
        <v>3235</v>
      </c>
      <c r="C215" s="227" t="s">
        <v>3236</v>
      </c>
      <c r="D215" s="233" t="s">
        <v>50</v>
      </c>
      <c r="E215" s="233" t="s">
        <v>52</v>
      </c>
      <c r="F215" s="227" t="s">
        <v>3003</v>
      </c>
    </row>
    <row r="216" spans="1:6" x14ac:dyDescent="0.25">
      <c r="A216" s="227" t="str">
        <f>TL[[#This Row],[Société]]&amp;" - "&amp;TL[[#This Row],[Compte]]</f>
        <v>VR7 - 613565</v>
      </c>
      <c r="B216" s="233" t="s">
        <v>2802</v>
      </c>
      <c r="C216" s="227" t="s">
        <v>2303</v>
      </c>
      <c r="D216" s="233" t="s">
        <v>50</v>
      </c>
      <c r="E216" s="233" t="s">
        <v>52</v>
      </c>
      <c r="F216" s="227" t="s">
        <v>3003</v>
      </c>
    </row>
    <row r="217" spans="1:6" x14ac:dyDescent="0.25">
      <c r="A217" s="227" t="str">
        <f>TL[[#This Row],[Société]]&amp;" - "&amp;TL[[#This Row],[Compte]]</f>
        <v>VR7 - 614100</v>
      </c>
      <c r="B217" s="233" t="s">
        <v>1784</v>
      </c>
      <c r="C217" s="227" t="s">
        <v>2304</v>
      </c>
      <c r="D217" s="233" t="s">
        <v>42</v>
      </c>
      <c r="E217" s="233" t="s">
        <v>40</v>
      </c>
      <c r="F217" s="227" t="s">
        <v>3003</v>
      </c>
    </row>
    <row r="218" spans="1:6" x14ac:dyDescent="0.25">
      <c r="A218" s="227" t="str">
        <f>TL[[#This Row],[Société]]&amp;" - "&amp;TL[[#This Row],[Compte]]</f>
        <v>VR7 - 615300</v>
      </c>
      <c r="B218" s="233" t="s">
        <v>3237</v>
      </c>
      <c r="C218" s="227" t="s">
        <v>3238</v>
      </c>
      <c r="F218" s="227" t="s">
        <v>3003</v>
      </c>
    </row>
    <row r="219" spans="1:6" x14ac:dyDescent="0.25">
      <c r="A219" s="227" t="str">
        <f>TL[[#This Row],[Société]]&amp;" - "&amp;TL[[#This Row],[Compte]]</f>
        <v>VR7 - 615500</v>
      </c>
      <c r="B219" s="233" t="s">
        <v>1589</v>
      </c>
      <c r="C219" s="227" t="s">
        <v>2305</v>
      </c>
      <c r="D219" s="233" t="s">
        <v>25</v>
      </c>
      <c r="E219" s="233" t="s">
        <v>23</v>
      </c>
      <c r="F219" s="227" t="s">
        <v>3003</v>
      </c>
    </row>
    <row r="220" spans="1:6" x14ac:dyDescent="0.25">
      <c r="A220" s="227" t="str">
        <f>TL[[#This Row],[Société]]&amp;" - "&amp;TL[[#This Row],[Compte]]</f>
        <v>VR7 - 615520</v>
      </c>
      <c r="B220" s="233" t="s">
        <v>1935</v>
      </c>
      <c r="C220" s="227" t="s">
        <v>2229</v>
      </c>
      <c r="D220" s="233" t="s">
        <v>50</v>
      </c>
      <c r="E220" s="233" t="s">
        <v>23</v>
      </c>
      <c r="F220" s="227" t="s">
        <v>3003</v>
      </c>
    </row>
    <row r="221" spans="1:6" x14ac:dyDescent="0.25">
      <c r="A221" s="227" t="str">
        <f>TL[[#This Row],[Société]]&amp;" - "&amp;TL[[#This Row],[Compte]]</f>
        <v>VR7 - 615612</v>
      </c>
      <c r="B221" s="233" t="s">
        <v>1635</v>
      </c>
      <c r="C221" s="227" t="s">
        <v>3239</v>
      </c>
      <c r="D221" s="233" t="s">
        <v>20</v>
      </c>
      <c r="E221" s="233" t="s">
        <v>25</v>
      </c>
      <c r="F221" s="227" t="s">
        <v>3003</v>
      </c>
    </row>
    <row r="222" spans="1:6" x14ac:dyDescent="0.25">
      <c r="A222" s="227" t="str">
        <f>TL[[#This Row],[Société]]&amp;" - "&amp;TL[[#This Row],[Compte]]</f>
        <v>VR7 - 615613</v>
      </c>
      <c r="B222" s="233" t="s">
        <v>1617</v>
      </c>
      <c r="C222" s="227" t="s">
        <v>239</v>
      </c>
      <c r="D222" s="233" t="s">
        <v>20</v>
      </c>
      <c r="E222" s="233" t="s">
        <v>25</v>
      </c>
      <c r="F222" s="227" t="s">
        <v>3003</v>
      </c>
    </row>
    <row r="223" spans="1:6" x14ac:dyDescent="0.25">
      <c r="A223" s="227" t="str">
        <f>TL[[#This Row],[Société]]&amp;" - "&amp;TL[[#This Row],[Compte]]</f>
        <v>VR7 - 615614</v>
      </c>
      <c r="B223" s="233" t="s">
        <v>1620</v>
      </c>
      <c r="C223" s="227" t="s">
        <v>486</v>
      </c>
      <c r="D223" s="233" t="s">
        <v>20</v>
      </c>
      <c r="E223" s="233" t="s">
        <v>25</v>
      </c>
      <c r="F223" s="227" t="s">
        <v>3003</v>
      </c>
    </row>
    <row r="224" spans="1:6" x14ac:dyDescent="0.25">
      <c r="A224" s="227" t="str">
        <f>TL[[#This Row],[Société]]&amp;" - "&amp;TL[[#This Row],[Compte]]</f>
        <v>VR7 - 615615</v>
      </c>
      <c r="B224" s="233" t="s">
        <v>1598</v>
      </c>
      <c r="C224" s="227" t="s">
        <v>240</v>
      </c>
      <c r="D224" s="233" t="s">
        <v>20</v>
      </c>
      <c r="E224" s="233" t="s">
        <v>25</v>
      </c>
      <c r="F224" s="227" t="s">
        <v>3003</v>
      </c>
    </row>
    <row r="225" spans="1:6" x14ac:dyDescent="0.25">
      <c r="A225" s="227" t="str">
        <f>TL[[#This Row],[Société]]&amp;" - "&amp;TL[[#This Row],[Compte]]</f>
        <v>VR7 - 615616</v>
      </c>
      <c r="B225" s="233" t="s">
        <v>1625</v>
      </c>
      <c r="C225" s="227" t="s">
        <v>2289</v>
      </c>
      <c r="D225" s="233" t="s">
        <v>20</v>
      </c>
      <c r="E225" s="233" t="s">
        <v>18</v>
      </c>
      <c r="F225" s="227" t="s">
        <v>3003</v>
      </c>
    </row>
    <row r="226" spans="1:6" x14ac:dyDescent="0.25">
      <c r="A226" s="227" t="str">
        <f>TL[[#This Row],[Société]]&amp;" - "&amp;TL[[#This Row],[Compte]]</f>
        <v>VR7 - 615619</v>
      </c>
      <c r="B226" s="233" t="s">
        <v>1936</v>
      </c>
      <c r="C226" s="227" t="s">
        <v>2306</v>
      </c>
      <c r="D226" s="233" t="s">
        <v>20</v>
      </c>
      <c r="E226" s="233" t="s">
        <v>25</v>
      </c>
      <c r="F226" s="227" t="s">
        <v>3003</v>
      </c>
    </row>
    <row r="227" spans="1:6" x14ac:dyDescent="0.25">
      <c r="A227" s="227" t="str">
        <f>TL[[#This Row],[Société]]&amp;" - "&amp;TL[[#This Row],[Compte]]</f>
        <v>VR7 - 615620</v>
      </c>
      <c r="B227" s="233" t="s">
        <v>1583</v>
      </c>
      <c r="C227" s="227" t="s">
        <v>459</v>
      </c>
      <c r="D227" s="233" t="s">
        <v>20</v>
      </c>
      <c r="E227" s="233" t="s">
        <v>20</v>
      </c>
      <c r="F227" s="227" t="s">
        <v>3003</v>
      </c>
    </row>
    <row r="228" spans="1:6" x14ac:dyDescent="0.25">
      <c r="A228" s="227" t="str">
        <f>TL[[#This Row],[Société]]&amp;" - "&amp;TL[[#This Row],[Compte]]</f>
        <v>VR7 - 615621</v>
      </c>
      <c r="B228" s="233" t="s">
        <v>1595</v>
      </c>
      <c r="C228" s="227" t="s">
        <v>3240</v>
      </c>
      <c r="D228" s="233" t="s">
        <v>20</v>
      </c>
      <c r="E228" s="233" t="s">
        <v>18</v>
      </c>
      <c r="F228" s="227" t="s">
        <v>3003</v>
      </c>
    </row>
    <row r="229" spans="1:6" x14ac:dyDescent="0.25">
      <c r="A229" s="227" t="str">
        <f>TL[[#This Row],[Société]]&amp;" - "&amp;TL[[#This Row],[Compte]]</f>
        <v>VR7 - 615622</v>
      </c>
      <c r="B229" s="233" t="s">
        <v>1614</v>
      </c>
      <c r="C229" s="227" t="s">
        <v>3241</v>
      </c>
      <c r="D229" s="233" t="s">
        <v>20</v>
      </c>
      <c r="E229" s="233" t="s">
        <v>25</v>
      </c>
      <c r="F229" s="227" t="s">
        <v>3003</v>
      </c>
    </row>
    <row r="230" spans="1:6" x14ac:dyDescent="0.25">
      <c r="A230" s="227" t="str">
        <f>TL[[#This Row],[Société]]&amp;" - "&amp;TL[[#This Row],[Compte]]</f>
        <v>VR7 - 615623</v>
      </c>
      <c r="B230" s="233" t="s">
        <v>1626</v>
      </c>
      <c r="C230" s="227" t="s">
        <v>3242</v>
      </c>
      <c r="D230" s="233" t="s">
        <v>20</v>
      </c>
      <c r="E230" s="233" t="s">
        <v>25</v>
      </c>
      <c r="F230" s="227" t="s">
        <v>3003</v>
      </c>
    </row>
    <row r="231" spans="1:6" x14ac:dyDescent="0.25">
      <c r="A231" s="227" t="str">
        <f>TL[[#This Row],[Société]]&amp;" - "&amp;TL[[#This Row],[Compte]]</f>
        <v>VR7 - 615624</v>
      </c>
      <c r="B231" s="233" t="s">
        <v>1937</v>
      </c>
      <c r="C231" s="227" t="s">
        <v>3243</v>
      </c>
      <c r="D231" s="233" t="s">
        <v>20</v>
      </c>
      <c r="E231" s="233" t="s">
        <v>25</v>
      </c>
      <c r="F231" s="227" t="s">
        <v>3003</v>
      </c>
    </row>
    <row r="232" spans="1:6" x14ac:dyDescent="0.25">
      <c r="A232" s="227" t="str">
        <f>TL[[#This Row],[Société]]&amp;" - "&amp;TL[[#This Row],[Compte]]</f>
        <v>VR7 - 615625</v>
      </c>
      <c r="B232" s="233" t="s">
        <v>1785</v>
      </c>
      <c r="C232" s="227" t="s">
        <v>3244</v>
      </c>
      <c r="D232" s="233" t="s">
        <v>20</v>
      </c>
      <c r="E232" s="233" t="s">
        <v>25</v>
      </c>
      <c r="F232" s="227" t="s">
        <v>3003</v>
      </c>
    </row>
    <row r="233" spans="1:6" x14ac:dyDescent="0.25">
      <c r="A233" s="227" t="str">
        <f>TL[[#This Row],[Société]]&amp;" - "&amp;TL[[#This Row],[Compte]]</f>
        <v>VR7 - 615626</v>
      </c>
      <c r="B233" s="233" t="s">
        <v>1938</v>
      </c>
      <c r="C233" s="227" t="s">
        <v>2307</v>
      </c>
      <c r="D233" s="233" t="s">
        <v>20</v>
      </c>
      <c r="E233" s="233" t="s">
        <v>25</v>
      </c>
      <c r="F233" s="227" t="s">
        <v>3003</v>
      </c>
    </row>
    <row r="234" spans="1:6" x14ac:dyDescent="0.25">
      <c r="A234" s="227" t="str">
        <f>TL[[#This Row],[Société]]&amp;" - "&amp;TL[[#This Row],[Compte]]</f>
        <v>VR7 - 615627</v>
      </c>
      <c r="B234" s="233" t="s">
        <v>1624</v>
      </c>
      <c r="C234" s="227" t="s">
        <v>2308</v>
      </c>
      <c r="D234" s="233" t="s">
        <v>20</v>
      </c>
      <c r="E234" s="233" t="s">
        <v>25</v>
      </c>
      <c r="F234" s="227" t="s">
        <v>3003</v>
      </c>
    </row>
    <row r="235" spans="1:6" x14ac:dyDescent="0.25">
      <c r="A235" s="227" t="str">
        <f>TL[[#This Row],[Société]]&amp;" - "&amp;TL[[#This Row],[Compte]]</f>
        <v>VR7 - 615628</v>
      </c>
      <c r="B235" s="233" t="s">
        <v>1593</v>
      </c>
      <c r="C235" s="227" t="s">
        <v>242</v>
      </c>
      <c r="D235" s="233" t="s">
        <v>20</v>
      </c>
      <c r="E235" s="233" t="s">
        <v>25</v>
      </c>
      <c r="F235" s="227" t="s">
        <v>3003</v>
      </c>
    </row>
    <row r="236" spans="1:6" x14ac:dyDescent="0.25">
      <c r="A236" s="227" t="str">
        <f>TL[[#This Row],[Société]]&amp;" - "&amp;TL[[#This Row],[Compte]]</f>
        <v>VR7 - 615629</v>
      </c>
      <c r="B236" s="233" t="s">
        <v>1939</v>
      </c>
      <c r="C236" s="227" t="s">
        <v>2238</v>
      </c>
      <c r="D236" s="233" t="s">
        <v>20</v>
      </c>
      <c r="E236" s="233" t="s">
        <v>25</v>
      </c>
      <c r="F236" s="227" t="s">
        <v>3003</v>
      </c>
    </row>
    <row r="237" spans="1:6" x14ac:dyDescent="0.25">
      <c r="A237" s="227" t="str">
        <f>TL[[#This Row],[Société]]&amp;" - "&amp;TL[[#This Row],[Compte]]</f>
        <v>VR7 - 615630</v>
      </c>
      <c r="B237" s="233" t="s">
        <v>1597</v>
      </c>
      <c r="C237" s="227" t="s">
        <v>2231</v>
      </c>
      <c r="D237" s="233" t="s">
        <v>20</v>
      </c>
      <c r="E237" s="233" t="s">
        <v>25</v>
      </c>
      <c r="F237" s="227" t="s">
        <v>3003</v>
      </c>
    </row>
    <row r="238" spans="1:6" x14ac:dyDescent="0.25">
      <c r="A238" s="227" t="str">
        <f>TL[[#This Row],[Société]]&amp;" - "&amp;TL[[#This Row],[Compte]]</f>
        <v>VR7 - 615633</v>
      </c>
      <c r="B238" s="233" t="s">
        <v>1771</v>
      </c>
      <c r="C238" s="227" t="s">
        <v>2778</v>
      </c>
      <c r="D238" s="233" t="s">
        <v>20</v>
      </c>
      <c r="E238" s="233" t="s">
        <v>20</v>
      </c>
      <c r="F238" s="227" t="s">
        <v>3003</v>
      </c>
    </row>
    <row r="239" spans="1:6" x14ac:dyDescent="0.25">
      <c r="A239" s="227" t="str">
        <f>TL[[#This Row],[Société]]&amp;" - "&amp;TL[[#This Row],[Compte]]</f>
        <v>VR7 - 615634</v>
      </c>
      <c r="B239" s="233" t="s">
        <v>1795</v>
      </c>
      <c r="C239" s="227" t="s">
        <v>2310</v>
      </c>
      <c r="D239" s="233" t="s">
        <v>20</v>
      </c>
      <c r="E239" s="233" t="s">
        <v>25</v>
      </c>
      <c r="F239" s="227" t="s">
        <v>3003</v>
      </c>
    </row>
    <row r="240" spans="1:6" x14ac:dyDescent="0.25">
      <c r="A240" s="227" t="str">
        <f>TL[[#This Row],[Société]]&amp;" - "&amp;TL[[#This Row],[Compte]]</f>
        <v>VR7 - 615636</v>
      </c>
      <c r="B240" s="233" t="s">
        <v>1772</v>
      </c>
      <c r="C240" s="227" t="s">
        <v>2311</v>
      </c>
      <c r="D240" s="233" t="s">
        <v>20</v>
      </c>
      <c r="E240" s="233" t="s">
        <v>25</v>
      </c>
      <c r="F240" s="227" t="s">
        <v>3003</v>
      </c>
    </row>
    <row r="241" spans="1:6" x14ac:dyDescent="0.25">
      <c r="A241" s="227" t="str">
        <f>TL[[#This Row],[Société]]&amp;" - "&amp;TL[[#This Row],[Compte]]</f>
        <v>VR7 - 615637</v>
      </c>
      <c r="B241" s="233" t="s">
        <v>1628</v>
      </c>
      <c r="C241" s="227" t="s">
        <v>2291</v>
      </c>
      <c r="D241" s="233" t="s">
        <v>20</v>
      </c>
      <c r="E241" s="233" t="s">
        <v>25</v>
      </c>
      <c r="F241" s="227" t="s">
        <v>3003</v>
      </c>
    </row>
    <row r="242" spans="1:6" x14ac:dyDescent="0.25">
      <c r="A242" s="227" t="str">
        <f>TL[[#This Row],[Société]]&amp;" - "&amp;TL[[#This Row],[Compte]]</f>
        <v>VR7 - 615639</v>
      </c>
      <c r="B242" s="233" t="s">
        <v>1592</v>
      </c>
      <c r="C242" s="227" t="s">
        <v>3245</v>
      </c>
      <c r="D242" s="233" t="s">
        <v>20</v>
      </c>
      <c r="E242" s="233" t="s">
        <v>25</v>
      </c>
      <c r="F242" s="227" t="s">
        <v>3003</v>
      </c>
    </row>
    <row r="243" spans="1:6" x14ac:dyDescent="0.25">
      <c r="A243" s="227" t="str">
        <f>TL[[#This Row],[Société]]&amp;" - "&amp;TL[[#This Row],[Compte]]</f>
        <v>VR7 - 615641</v>
      </c>
      <c r="B243" s="233" t="s">
        <v>2096</v>
      </c>
      <c r="C243" s="227" t="s">
        <v>3150</v>
      </c>
      <c r="D243" s="233" t="s">
        <v>152</v>
      </c>
      <c r="F243" s="227" t="s">
        <v>3003</v>
      </c>
    </row>
    <row r="244" spans="1:6" x14ac:dyDescent="0.25">
      <c r="A244" s="227" t="str">
        <f>TL[[#This Row],[Société]]&amp;" - "&amp;TL[[#This Row],[Compte]]</f>
        <v>VR7 - 615642</v>
      </c>
      <c r="B244" s="233" t="s">
        <v>2097</v>
      </c>
      <c r="C244" s="227" t="s">
        <v>2288</v>
      </c>
      <c r="D244" s="233" t="s">
        <v>20</v>
      </c>
      <c r="E244" s="233" t="s">
        <v>25</v>
      </c>
      <c r="F244" s="227" t="s">
        <v>3003</v>
      </c>
    </row>
    <row r="245" spans="1:6" x14ac:dyDescent="0.25">
      <c r="A245" s="227" t="str">
        <f>TL[[#This Row],[Société]]&amp;" - "&amp;TL[[#This Row],[Compte]]</f>
        <v>VR7 - 615643</v>
      </c>
      <c r="B245" s="233" t="s">
        <v>3246</v>
      </c>
      <c r="C245" s="227" t="s">
        <v>3247</v>
      </c>
      <c r="D245" s="233" t="s">
        <v>20</v>
      </c>
      <c r="E245" s="233" t="s">
        <v>25</v>
      </c>
      <c r="F245" s="227" t="s">
        <v>3003</v>
      </c>
    </row>
    <row r="246" spans="1:6" x14ac:dyDescent="0.25">
      <c r="A246" s="227" t="str">
        <f>TL[[#This Row],[Société]]&amp;" - "&amp;TL[[#This Row],[Compte]]</f>
        <v>VR7 - 615653</v>
      </c>
      <c r="B246" s="233" t="s">
        <v>2558</v>
      </c>
      <c r="C246" s="227" t="s">
        <v>229</v>
      </c>
      <c r="D246" s="233" t="s">
        <v>20</v>
      </c>
      <c r="E246" s="233" t="s">
        <v>25</v>
      </c>
      <c r="F246" s="227" t="s">
        <v>3003</v>
      </c>
    </row>
    <row r="247" spans="1:6" x14ac:dyDescent="0.25">
      <c r="A247" s="227" t="str">
        <f>TL[[#This Row],[Société]]&amp;" - "&amp;TL[[#This Row],[Compte]]</f>
        <v>VR7 - 615655</v>
      </c>
      <c r="B247" s="233" t="s">
        <v>2560</v>
      </c>
      <c r="C247" s="227" t="s">
        <v>2312</v>
      </c>
      <c r="D247" s="233" t="s">
        <v>20</v>
      </c>
      <c r="E247" s="233" t="s">
        <v>25</v>
      </c>
      <c r="F247" s="227" t="s">
        <v>3003</v>
      </c>
    </row>
    <row r="248" spans="1:6" x14ac:dyDescent="0.25">
      <c r="A248" s="227" t="str">
        <f>TL[[#This Row],[Société]]&amp;" - "&amp;TL[[#This Row],[Compte]]</f>
        <v>VR7 - 615656</v>
      </c>
      <c r="B248" s="233" t="s">
        <v>2561</v>
      </c>
      <c r="C248" s="227" t="s">
        <v>2313</v>
      </c>
      <c r="D248" s="233" t="s">
        <v>20</v>
      </c>
      <c r="E248" s="233" t="s">
        <v>25</v>
      </c>
      <c r="F248" s="227" t="s">
        <v>3003</v>
      </c>
    </row>
    <row r="249" spans="1:6" x14ac:dyDescent="0.25">
      <c r="A249" s="227" t="str">
        <f>TL[[#This Row],[Société]]&amp;" - "&amp;TL[[#This Row],[Compte]]</f>
        <v>VR7 - 615657</v>
      </c>
      <c r="B249" s="233" t="s">
        <v>2562</v>
      </c>
      <c r="C249" s="227" t="s">
        <v>2314</v>
      </c>
      <c r="D249" s="233" t="s">
        <v>20</v>
      </c>
      <c r="E249" s="233" t="s">
        <v>25</v>
      </c>
      <c r="F249" s="227" t="s">
        <v>3003</v>
      </c>
    </row>
    <row r="250" spans="1:6" x14ac:dyDescent="0.25">
      <c r="A250" s="227" t="str">
        <f>TL[[#This Row],[Société]]&amp;" - "&amp;TL[[#This Row],[Compte]]</f>
        <v>VR7 - 615658</v>
      </c>
      <c r="B250" s="233" t="s">
        <v>2563</v>
      </c>
      <c r="C250" s="227" t="s">
        <v>2315</v>
      </c>
      <c r="D250" s="233" t="s">
        <v>20</v>
      </c>
      <c r="E250" s="233" t="s">
        <v>25</v>
      </c>
      <c r="F250" s="227" t="s">
        <v>3003</v>
      </c>
    </row>
    <row r="251" spans="1:6" x14ac:dyDescent="0.25">
      <c r="A251" s="227" t="str">
        <f>TL[[#This Row],[Société]]&amp;" - "&amp;TL[[#This Row],[Compte]]</f>
        <v>VR7 - 615659</v>
      </c>
      <c r="B251" s="233" t="s">
        <v>2564</v>
      </c>
      <c r="C251" s="227" t="s">
        <v>3248</v>
      </c>
      <c r="D251" s="233" t="s">
        <v>20</v>
      </c>
      <c r="E251" s="233" t="s">
        <v>25</v>
      </c>
      <c r="F251" s="227" t="s">
        <v>3003</v>
      </c>
    </row>
    <row r="252" spans="1:6" x14ac:dyDescent="0.25">
      <c r="A252" s="227" t="str">
        <f>TL[[#This Row],[Société]]&amp;" - "&amp;TL[[#This Row],[Compte]]</f>
        <v>VR7 - 615660</v>
      </c>
      <c r="B252" s="233" t="s">
        <v>2565</v>
      </c>
      <c r="C252" s="227" t="s">
        <v>3249</v>
      </c>
      <c r="D252" s="233" t="s">
        <v>20</v>
      </c>
      <c r="E252" s="233" t="s">
        <v>25</v>
      </c>
      <c r="F252" s="227" t="s">
        <v>3003</v>
      </c>
    </row>
    <row r="253" spans="1:6" x14ac:dyDescent="0.25">
      <c r="A253" s="227" t="str">
        <f>TL[[#This Row],[Société]]&amp;" - "&amp;TL[[#This Row],[Compte]]</f>
        <v>VR7 - 615661</v>
      </c>
      <c r="B253" s="233" t="s">
        <v>2752</v>
      </c>
      <c r="C253" s="227" t="s">
        <v>1518</v>
      </c>
      <c r="D253" s="233" t="s">
        <v>20</v>
      </c>
      <c r="E253" s="233" t="s">
        <v>25</v>
      </c>
      <c r="F253" s="227" t="s">
        <v>3003</v>
      </c>
    </row>
    <row r="254" spans="1:6" x14ac:dyDescent="0.25">
      <c r="A254" s="227" t="str">
        <f>TL[[#This Row],[Société]]&amp;" - "&amp;TL[[#This Row],[Compte]]</f>
        <v>VR7 - 615670</v>
      </c>
      <c r="B254" s="233" t="s">
        <v>3250</v>
      </c>
      <c r="C254" s="227" t="s">
        <v>3251</v>
      </c>
      <c r="D254" s="233" t="s">
        <v>20</v>
      </c>
      <c r="E254" s="233" t="s">
        <v>25</v>
      </c>
      <c r="F254" s="227" t="s">
        <v>3003</v>
      </c>
    </row>
    <row r="255" spans="1:6" x14ac:dyDescent="0.25">
      <c r="A255" s="227" t="str">
        <f>TL[[#This Row],[Société]]&amp;" - "&amp;TL[[#This Row],[Compte]]</f>
        <v>VR7 - 615671</v>
      </c>
      <c r="B255" s="233" t="s">
        <v>3252</v>
      </c>
      <c r="C255" s="227" t="s">
        <v>316</v>
      </c>
      <c r="D255" s="233" t="s">
        <v>20</v>
      </c>
      <c r="E255" s="233" t="s">
        <v>25</v>
      </c>
      <c r="F255" s="227" t="s">
        <v>3003</v>
      </c>
    </row>
    <row r="256" spans="1:6" x14ac:dyDescent="0.25">
      <c r="A256" s="227" t="str">
        <f>TL[[#This Row],[Société]]&amp;" - "&amp;TL[[#This Row],[Compte]]</f>
        <v>VR7 - 615672</v>
      </c>
      <c r="B256" s="233" t="s">
        <v>2781</v>
      </c>
      <c r="C256" s="227" t="s">
        <v>249</v>
      </c>
      <c r="D256" s="233" t="s">
        <v>20</v>
      </c>
      <c r="E256" s="233" t="s">
        <v>25</v>
      </c>
      <c r="F256" s="227" t="s">
        <v>3003</v>
      </c>
    </row>
    <row r="257" spans="1:6" x14ac:dyDescent="0.25">
      <c r="A257" s="227" t="str">
        <f>TL[[#This Row],[Société]]&amp;" - "&amp;TL[[#This Row],[Compte]]</f>
        <v>VR7 - 615673</v>
      </c>
      <c r="B257" s="233" t="s">
        <v>2782</v>
      </c>
      <c r="C257" s="227" t="s">
        <v>252</v>
      </c>
      <c r="D257" s="233" t="s">
        <v>20</v>
      </c>
      <c r="E257" s="233" t="s">
        <v>25</v>
      </c>
      <c r="F257" s="227" t="s">
        <v>3003</v>
      </c>
    </row>
    <row r="258" spans="1:6" x14ac:dyDescent="0.25">
      <c r="A258" s="227" t="str">
        <f>TL[[#This Row],[Société]]&amp;" - "&amp;TL[[#This Row],[Compte]]</f>
        <v>VR7 - 615674</v>
      </c>
      <c r="B258" s="233" t="s">
        <v>2783</v>
      </c>
      <c r="C258" s="227" t="s">
        <v>2316</v>
      </c>
      <c r="D258" s="233" t="s">
        <v>20</v>
      </c>
      <c r="E258" s="233" t="s">
        <v>25</v>
      </c>
      <c r="F258" s="227" t="s">
        <v>3003</v>
      </c>
    </row>
    <row r="259" spans="1:6" x14ac:dyDescent="0.25">
      <c r="A259" s="227" t="str">
        <f>TL[[#This Row],[Société]]&amp;" - "&amp;TL[[#This Row],[Compte]]</f>
        <v>VR7 - 615675</v>
      </c>
      <c r="B259" s="233" t="s">
        <v>2784</v>
      </c>
      <c r="C259" s="227" t="s">
        <v>1442</v>
      </c>
      <c r="D259" s="233" t="s">
        <v>20</v>
      </c>
      <c r="E259" s="233" t="s">
        <v>25</v>
      </c>
      <c r="F259" s="227" t="s">
        <v>3003</v>
      </c>
    </row>
    <row r="260" spans="1:6" x14ac:dyDescent="0.25">
      <c r="A260" s="227" t="str">
        <f>TL[[#This Row],[Société]]&amp;" - "&amp;TL[[#This Row],[Compte]]</f>
        <v>VR7 - 615676</v>
      </c>
      <c r="B260" s="233" t="s">
        <v>2785</v>
      </c>
      <c r="C260" s="227" t="s">
        <v>2317</v>
      </c>
      <c r="D260" s="233" t="s">
        <v>20</v>
      </c>
      <c r="E260" s="233" t="s">
        <v>25</v>
      </c>
      <c r="F260" s="227" t="s">
        <v>3003</v>
      </c>
    </row>
    <row r="261" spans="1:6" x14ac:dyDescent="0.25">
      <c r="A261" s="227" t="str">
        <f>TL[[#This Row],[Société]]&amp;" - "&amp;TL[[#This Row],[Compte]]</f>
        <v>VR7 - 615677</v>
      </c>
      <c r="B261" s="233" t="s">
        <v>3253</v>
      </c>
      <c r="C261" s="227" t="s">
        <v>3254</v>
      </c>
      <c r="D261" s="233" t="s">
        <v>20</v>
      </c>
      <c r="E261" s="233" t="s">
        <v>25</v>
      </c>
      <c r="F261" s="227" t="s">
        <v>3003</v>
      </c>
    </row>
    <row r="262" spans="1:6" x14ac:dyDescent="0.25">
      <c r="A262" s="227" t="str">
        <f>TL[[#This Row],[Société]]&amp;" - "&amp;TL[[#This Row],[Compte]]</f>
        <v>VR7 - 615678</v>
      </c>
      <c r="B262" s="233" t="s">
        <v>2786</v>
      </c>
      <c r="C262" s="227" t="s">
        <v>1547</v>
      </c>
      <c r="D262" s="233" t="s">
        <v>20</v>
      </c>
      <c r="E262" s="233" t="s">
        <v>25</v>
      </c>
      <c r="F262" s="227" t="s">
        <v>3003</v>
      </c>
    </row>
    <row r="263" spans="1:6" x14ac:dyDescent="0.25">
      <c r="A263" s="227" t="str">
        <f>TL[[#This Row],[Société]]&amp;" - "&amp;TL[[#This Row],[Compte]]</f>
        <v>VR7 - 615679</v>
      </c>
      <c r="B263" s="233" t="s">
        <v>2787</v>
      </c>
      <c r="C263" s="227" t="s">
        <v>2318</v>
      </c>
      <c r="D263" s="233" t="s">
        <v>20</v>
      </c>
      <c r="E263" s="233" t="s">
        <v>25</v>
      </c>
      <c r="F263" s="227" t="s">
        <v>3003</v>
      </c>
    </row>
    <row r="264" spans="1:6" x14ac:dyDescent="0.25">
      <c r="A264" s="227" t="str">
        <f>TL[[#This Row],[Société]]&amp;" - "&amp;TL[[#This Row],[Compte]]</f>
        <v>VR7 - 615680</v>
      </c>
      <c r="B264" s="233" t="s">
        <v>2788</v>
      </c>
      <c r="C264" s="227" t="s">
        <v>2319</v>
      </c>
      <c r="D264" s="233" t="s">
        <v>20</v>
      </c>
      <c r="E264" s="233" t="s">
        <v>25</v>
      </c>
      <c r="F264" s="227" t="s">
        <v>3003</v>
      </c>
    </row>
    <row r="265" spans="1:6" x14ac:dyDescent="0.25">
      <c r="A265" s="227" t="str">
        <f>TL[[#This Row],[Société]]&amp;" - "&amp;TL[[#This Row],[Compte]]</f>
        <v>VR7 - 616000</v>
      </c>
      <c r="B265" s="233" t="s">
        <v>3255</v>
      </c>
      <c r="C265" s="227" t="s">
        <v>3256</v>
      </c>
      <c r="D265" s="233" t="s">
        <v>40</v>
      </c>
      <c r="E265" s="233" t="s">
        <v>45</v>
      </c>
      <c r="F265" s="227" t="s">
        <v>3003</v>
      </c>
    </row>
    <row r="266" spans="1:6" x14ac:dyDescent="0.25">
      <c r="A266" s="227" t="str">
        <f>TL[[#This Row],[Société]]&amp;" - "&amp;TL[[#This Row],[Compte]]</f>
        <v>VR7 - 616200</v>
      </c>
      <c r="B266" s="233" t="s">
        <v>2762</v>
      </c>
      <c r="C266" s="227" t="s">
        <v>2292</v>
      </c>
      <c r="D266" s="233" t="s">
        <v>40</v>
      </c>
      <c r="E266" s="233" t="s">
        <v>45</v>
      </c>
      <c r="F266" s="227" t="s">
        <v>3003</v>
      </c>
    </row>
    <row r="267" spans="1:6" x14ac:dyDescent="0.25">
      <c r="A267" s="227" t="str">
        <f>TL[[#This Row],[Société]]&amp;" - "&amp;TL[[#This Row],[Compte]]</f>
        <v>VR7 - 616300</v>
      </c>
      <c r="B267" s="233" t="s">
        <v>2763</v>
      </c>
      <c r="C267" s="227" t="s">
        <v>2320</v>
      </c>
      <c r="D267" s="233" t="s">
        <v>40</v>
      </c>
      <c r="E267" s="233" t="s">
        <v>45</v>
      </c>
      <c r="F267" s="227" t="s">
        <v>3003</v>
      </c>
    </row>
    <row r="268" spans="1:6" x14ac:dyDescent="0.25">
      <c r="A268" s="227" t="str">
        <f>TL[[#This Row],[Société]]&amp;" - "&amp;TL[[#This Row],[Compte]]</f>
        <v>VR7 - 616330</v>
      </c>
      <c r="B268" s="233" t="s">
        <v>2803</v>
      </c>
      <c r="C268" s="227" t="s">
        <v>2290</v>
      </c>
      <c r="D268" s="233" t="s">
        <v>50</v>
      </c>
      <c r="E268" s="233" t="s">
        <v>52</v>
      </c>
      <c r="F268" s="227" t="s">
        <v>3003</v>
      </c>
    </row>
    <row r="269" spans="1:6" x14ac:dyDescent="0.25">
      <c r="A269" s="227" t="str">
        <f>TL[[#This Row],[Société]]&amp;" - "&amp;TL[[#This Row],[Compte]]</f>
        <v>VR7 - 616340</v>
      </c>
      <c r="B269" s="233" t="s">
        <v>3257</v>
      </c>
      <c r="C269" s="227" t="s">
        <v>3258</v>
      </c>
      <c r="D269" s="233" t="s">
        <v>50</v>
      </c>
      <c r="E269" s="233" t="s">
        <v>45</v>
      </c>
      <c r="F269" s="227" t="s">
        <v>3003</v>
      </c>
    </row>
    <row r="270" spans="1:6" x14ac:dyDescent="0.25">
      <c r="A270" s="227" t="str">
        <f>TL[[#This Row],[Société]]&amp;" - "&amp;TL[[#This Row],[Compte]]</f>
        <v>VR7 - 616350</v>
      </c>
      <c r="B270" s="233" t="s">
        <v>3259</v>
      </c>
      <c r="C270" s="227" t="s">
        <v>3260</v>
      </c>
      <c r="D270" s="233" t="s">
        <v>50</v>
      </c>
      <c r="E270" s="233" t="s">
        <v>45</v>
      </c>
      <c r="F270" s="227" t="s">
        <v>3003</v>
      </c>
    </row>
    <row r="271" spans="1:6" x14ac:dyDescent="0.25">
      <c r="A271" s="227" t="str">
        <f>TL[[#This Row],[Société]]&amp;" - "&amp;TL[[#This Row],[Compte]]</f>
        <v>VR7 - 621000</v>
      </c>
      <c r="B271" s="233" t="s">
        <v>1944</v>
      </c>
      <c r="C271" s="227" t="s">
        <v>3261</v>
      </c>
      <c r="D271" s="233" t="s">
        <v>13</v>
      </c>
      <c r="E271" s="233" t="s">
        <v>12</v>
      </c>
      <c r="F271" s="227" t="s">
        <v>3003</v>
      </c>
    </row>
    <row r="272" spans="1:6" x14ac:dyDescent="0.25">
      <c r="A272" s="227" t="str">
        <f>TL[[#This Row],[Société]]&amp;" - "&amp;TL[[#This Row],[Compte]]</f>
        <v>VR7 - 621010</v>
      </c>
      <c r="B272" s="233" t="s">
        <v>2540</v>
      </c>
      <c r="C272" s="227" t="s">
        <v>3262</v>
      </c>
      <c r="D272" s="233" t="s">
        <v>50</v>
      </c>
      <c r="E272" s="233" t="s">
        <v>12</v>
      </c>
      <c r="F272" s="227" t="s">
        <v>3003</v>
      </c>
    </row>
    <row r="273" spans="1:6" x14ac:dyDescent="0.25">
      <c r="A273" s="227" t="str">
        <f>TL[[#This Row],[Société]]&amp;" - "&amp;TL[[#This Row],[Compte]]</f>
        <v>VR7 - 621011</v>
      </c>
      <c r="B273" s="233" t="s">
        <v>3263</v>
      </c>
      <c r="C273" s="227" t="s">
        <v>3264</v>
      </c>
      <c r="D273" s="233" t="s">
        <v>147</v>
      </c>
      <c r="E273" s="233" t="s">
        <v>288</v>
      </c>
      <c r="F273" s="227" t="s">
        <v>3003</v>
      </c>
    </row>
    <row r="274" spans="1:6" x14ac:dyDescent="0.25">
      <c r="A274" s="227" t="str">
        <f>TL[[#This Row],[Société]]&amp;" - "&amp;TL[[#This Row],[Compte]]</f>
        <v>VR7 - 621012</v>
      </c>
      <c r="B274" s="233" t="s">
        <v>3265</v>
      </c>
      <c r="C274" s="227" t="s">
        <v>1200</v>
      </c>
      <c r="D274" s="233" t="s">
        <v>12</v>
      </c>
      <c r="E274" s="233" t="s">
        <v>3</v>
      </c>
      <c r="F274" s="227" t="s">
        <v>3003</v>
      </c>
    </row>
    <row r="275" spans="1:6" x14ac:dyDescent="0.25">
      <c r="A275" s="227" t="str">
        <f>TL[[#This Row],[Société]]&amp;" - "&amp;TL[[#This Row],[Compte]]</f>
        <v>VR7 - 621013</v>
      </c>
      <c r="B275" s="233" t="s">
        <v>3266</v>
      </c>
      <c r="C275" s="227" t="s">
        <v>3267</v>
      </c>
      <c r="D275" s="233" t="s">
        <v>50</v>
      </c>
      <c r="E275" s="233" t="s">
        <v>16</v>
      </c>
      <c r="F275" s="227" t="s">
        <v>3003</v>
      </c>
    </row>
    <row r="276" spans="1:6" x14ac:dyDescent="0.25">
      <c r="A276" s="227" t="str">
        <f>TL[[#This Row],[Société]]&amp;" - "&amp;TL[[#This Row],[Compte]]</f>
        <v>VR7 - 621014</v>
      </c>
      <c r="B276" s="233" t="s">
        <v>3268</v>
      </c>
      <c r="C276" s="227" t="s">
        <v>3269</v>
      </c>
      <c r="D276" s="233" t="s">
        <v>50</v>
      </c>
      <c r="E276" s="233" t="s">
        <v>16</v>
      </c>
      <c r="F276" s="227" t="s">
        <v>3003</v>
      </c>
    </row>
    <row r="277" spans="1:6" x14ac:dyDescent="0.25">
      <c r="A277" s="227" t="str">
        <f>TL[[#This Row],[Société]]&amp;" - "&amp;TL[[#This Row],[Compte]]</f>
        <v>VR7 - 621015</v>
      </c>
      <c r="B277" s="233" t="s">
        <v>2776</v>
      </c>
      <c r="C277" s="227" t="s">
        <v>2777</v>
      </c>
      <c r="D277" s="233" t="s">
        <v>50</v>
      </c>
      <c r="E277" s="233" t="s">
        <v>16</v>
      </c>
      <c r="F277" s="227" t="s">
        <v>3003</v>
      </c>
    </row>
    <row r="278" spans="1:6" x14ac:dyDescent="0.25">
      <c r="A278" s="227" t="str">
        <f>TL[[#This Row],[Société]]&amp;" - "&amp;TL[[#This Row],[Compte]]</f>
        <v>VR7 - 622600</v>
      </c>
      <c r="B278" s="233" t="s">
        <v>1622</v>
      </c>
      <c r="C278" s="227" t="s">
        <v>1203</v>
      </c>
      <c r="D278" s="233" t="s">
        <v>39</v>
      </c>
      <c r="E278" s="233" t="s">
        <v>44</v>
      </c>
      <c r="F278" s="227" t="s">
        <v>3003</v>
      </c>
    </row>
    <row r="279" spans="1:6" x14ac:dyDescent="0.25">
      <c r="A279" s="227" t="str">
        <f>TL[[#This Row],[Société]]&amp;" - "&amp;TL[[#This Row],[Compte]]</f>
        <v>VR7 - 622610</v>
      </c>
      <c r="B279" s="233" t="s">
        <v>1764</v>
      </c>
      <c r="C279" s="227" t="s">
        <v>162</v>
      </c>
      <c r="D279" s="233" t="s">
        <v>39</v>
      </c>
      <c r="E279" s="233" t="s">
        <v>44</v>
      </c>
      <c r="F279" s="227" t="s">
        <v>3003</v>
      </c>
    </row>
    <row r="280" spans="1:6" x14ac:dyDescent="0.25">
      <c r="A280" s="227" t="str">
        <f>TL[[#This Row],[Société]]&amp;" - "&amp;TL[[#This Row],[Compte]]</f>
        <v>VR7 - 622660</v>
      </c>
      <c r="B280" s="233" t="s">
        <v>2589</v>
      </c>
      <c r="C280" s="227" t="s">
        <v>162</v>
      </c>
      <c r="D280" s="233" t="s">
        <v>39</v>
      </c>
      <c r="E280" s="233" t="s">
        <v>44</v>
      </c>
      <c r="F280" s="227" t="s">
        <v>3003</v>
      </c>
    </row>
    <row r="281" spans="1:6" x14ac:dyDescent="0.25">
      <c r="A281" s="227" t="str">
        <f>TL[[#This Row],[Société]]&amp;" - "&amp;TL[[#This Row],[Compte]]</f>
        <v>VR7 - 622670</v>
      </c>
      <c r="B281" s="233" t="s">
        <v>2795</v>
      </c>
      <c r="C281" s="227" t="s">
        <v>2321</v>
      </c>
      <c r="D281" s="233" t="s">
        <v>39</v>
      </c>
      <c r="E281" s="233" t="s">
        <v>44</v>
      </c>
      <c r="F281" s="227" t="s">
        <v>3003</v>
      </c>
    </row>
    <row r="282" spans="1:6" x14ac:dyDescent="0.25">
      <c r="A282" s="227" t="str">
        <f>TL[[#This Row],[Société]]&amp;" - "&amp;TL[[#This Row],[Compte]]</f>
        <v>VR7 - 622680</v>
      </c>
      <c r="B282" s="233" t="s">
        <v>2796</v>
      </c>
      <c r="C282" s="227" t="s">
        <v>1205</v>
      </c>
      <c r="D282" s="233" t="s">
        <v>39</v>
      </c>
      <c r="E282" s="233" t="s">
        <v>44</v>
      </c>
      <c r="F282" s="227" t="s">
        <v>3003</v>
      </c>
    </row>
    <row r="283" spans="1:6" x14ac:dyDescent="0.25">
      <c r="A283" s="227" t="str">
        <f>TL[[#This Row],[Société]]&amp;" - "&amp;TL[[#This Row],[Compte]]</f>
        <v>VR7 - 622690</v>
      </c>
      <c r="B283" s="233" t="s">
        <v>2789</v>
      </c>
      <c r="C283" s="227" t="s">
        <v>1526</v>
      </c>
      <c r="D283" s="233" t="s">
        <v>39</v>
      </c>
      <c r="E283" s="233" t="s">
        <v>29</v>
      </c>
      <c r="F283" s="227" t="s">
        <v>3003</v>
      </c>
    </row>
    <row r="284" spans="1:6" x14ac:dyDescent="0.25">
      <c r="A284" s="227" t="str">
        <f>TL[[#This Row],[Société]]&amp;" - "&amp;TL[[#This Row],[Compte]]</f>
        <v>VR7 - 622691</v>
      </c>
      <c r="B284" s="233" t="s">
        <v>2790</v>
      </c>
      <c r="C284" s="227" t="s">
        <v>1548</v>
      </c>
      <c r="D284" s="233" t="s">
        <v>39</v>
      </c>
      <c r="E284" s="233" t="s">
        <v>29</v>
      </c>
      <c r="F284" s="227" t="s">
        <v>3003</v>
      </c>
    </row>
    <row r="285" spans="1:6" x14ac:dyDescent="0.25">
      <c r="A285" s="227" t="str">
        <f>TL[[#This Row],[Société]]&amp;" - "&amp;TL[[#This Row],[Compte]]</f>
        <v>VR7 - 622692</v>
      </c>
      <c r="B285" s="233" t="s">
        <v>2791</v>
      </c>
      <c r="C285" s="227" t="s">
        <v>2284</v>
      </c>
      <c r="D285" s="233" t="s">
        <v>39</v>
      </c>
      <c r="E285" s="233" t="s">
        <v>29</v>
      </c>
      <c r="F285" s="227" t="s">
        <v>3003</v>
      </c>
    </row>
    <row r="286" spans="1:6" x14ac:dyDescent="0.25">
      <c r="A286" s="227" t="str">
        <f>TL[[#This Row],[Société]]&amp;" - "&amp;TL[[#This Row],[Compte]]</f>
        <v>VR7 - 622700</v>
      </c>
      <c r="B286" s="233" t="s">
        <v>1952</v>
      </c>
      <c r="C286" s="227" t="s">
        <v>159</v>
      </c>
      <c r="D286" s="233" t="s">
        <v>39</v>
      </c>
      <c r="E286" s="233" t="s">
        <v>44</v>
      </c>
      <c r="F286" s="227" t="s">
        <v>3003</v>
      </c>
    </row>
    <row r="287" spans="1:6" x14ac:dyDescent="0.25">
      <c r="A287" s="227" t="str">
        <f>TL[[#This Row],[Société]]&amp;" - "&amp;TL[[#This Row],[Compte]]</f>
        <v>VR7 - 623000</v>
      </c>
      <c r="B287" s="233" t="s">
        <v>1594</v>
      </c>
      <c r="C287" s="227" t="s">
        <v>2322</v>
      </c>
      <c r="D287" s="233" t="s">
        <v>17</v>
      </c>
      <c r="E287" s="233" t="s">
        <v>30</v>
      </c>
      <c r="F287" s="227" t="s">
        <v>3003</v>
      </c>
    </row>
    <row r="288" spans="1:6" x14ac:dyDescent="0.25">
      <c r="A288" s="227" t="str">
        <f>TL[[#This Row],[Société]]&amp;" - "&amp;TL[[#This Row],[Compte]]</f>
        <v>VR7 - 623050</v>
      </c>
      <c r="B288" s="233" t="s">
        <v>2570</v>
      </c>
      <c r="C288" s="227" t="s">
        <v>19</v>
      </c>
      <c r="D288" s="233" t="s">
        <v>18</v>
      </c>
      <c r="E288" s="233" t="s">
        <v>32</v>
      </c>
      <c r="F288" s="227" t="s">
        <v>3003</v>
      </c>
    </row>
    <row r="289" spans="1:6" x14ac:dyDescent="0.25">
      <c r="A289" s="227" t="str">
        <f>TL[[#This Row],[Société]]&amp;" - "&amp;TL[[#This Row],[Compte]]</f>
        <v>VR7 - 623100</v>
      </c>
      <c r="B289" s="233" t="s">
        <v>1954</v>
      </c>
      <c r="C289" s="227" t="s">
        <v>3270</v>
      </c>
      <c r="F289" s="227" t="s">
        <v>3003</v>
      </c>
    </row>
    <row r="290" spans="1:6" x14ac:dyDescent="0.25">
      <c r="A290" s="227" t="str">
        <f>TL[[#This Row],[Société]]&amp;" - "&amp;TL[[#This Row],[Compte]]</f>
        <v>VR7 - 623400</v>
      </c>
      <c r="B290" s="233" t="s">
        <v>1601</v>
      </c>
      <c r="C290" s="227" t="s">
        <v>228</v>
      </c>
      <c r="D290" s="233" t="s">
        <v>16</v>
      </c>
      <c r="E290" s="233" t="s">
        <v>32</v>
      </c>
      <c r="F290" s="227" t="s">
        <v>3003</v>
      </c>
    </row>
    <row r="291" spans="1:6" x14ac:dyDescent="0.25">
      <c r="A291" s="227" t="str">
        <f>TL[[#This Row],[Société]]&amp;" - "&amp;TL[[#This Row],[Compte]]</f>
        <v>VR7 - 623401</v>
      </c>
      <c r="B291" s="233" t="s">
        <v>1788</v>
      </c>
      <c r="C291" s="227" t="s">
        <v>2323</v>
      </c>
      <c r="D291" s="233" t="s">
        <v>18</v>
      </c>
      <c r="E291" s="233" t="s">
        <v>32</v>
      </c>
      <c r="F291" s="227" t="s">
        <v>3003</v>
      </c>
    </row>
    <row r="292" spans="1:6" x14ac:dyDescent="0.25">
      <c r="A292" s="227" t="str">
        <f>TL[[#This Row],[Société]]&amp;" - "&amp;TL[[#This Row],[Compte]]</f>
        <v>VR7 - 623415</v>
      </c>
      <c r="B292" s="233" t="s">
        <v>1633</v>
      </c>
      <c r="C292" s="227" t="s">
        <v>2324</v>
      </c>
      <c r="D292" s="233" t="s">
        <v>18</v>
      </c>
      <c r="E292" s="233" t="s">
        <v>32</v>
      </c>
      <c r="F292" s="227" t="s">
        <v>3003</v>
      </c>
    </row>
    <row r="293" spans="1:6" x14ac:dyDescent="0.25">
      <c r="A293" s="227" t="str">
        <f>TL[[#This Row],[Société]]&amp;" - "&amp;TL[[#This Row],[Compte]]</f>
        <v>VR7 - 624100</v>
      </c>
      <c r="B293" s="233" t="s">
        <v>1957</v>
      </c>
      <c r="C293" s="227" t="s">
        <v>261</v>
      </c>
      <c r="D293" s="233" t="s">
        <v>0</v>
      </c>
      <c r="E293" s="233" t="s">
        <v>7</v>
      </c>
      <c r="F293" s="227" t="s">
        <v>3003</v>
      </c>
    </row>
    <row r="294" spans="1:6" x14ac:dyDescent="0.25">
      <c r="A294" s="227" t="str">
        <f>TL[[#This Row],[Société]]&amp;" - "&amp;TL[[#This Row],[Compte]]</f>
        <v>VR7 - 625100</v>
      </c>
      <c r="B294" s="233" t="s">
        <v>1958</v>
      </c>
      <c r="C294" s="227" t="s">
        <v>3271</v>
      </c>
      <c r="D294" s="233" t="s">
        <v>16</v>
      </c>
      <c r="E294" s="233" t="s">
        <v>2979</v>
      </c>
      <c r="F294" s="227" t="s">
        <v>3003</v>
      </c>
    </row>
    <row r="295" spans="1:6" x14ac:dyDescent="0.25">
      <c r="A295" s="227" t="str">
        <f>TL[[#This Row],[Société]]&amp;" - "&amp;TL[[#This Row],[Compte]]</f>
        <v>VR7 - 625200</v>
      </c>
      <c r="B295" s="233" t="s">
        <v>2579</v>
      </c>
      <c r="C295" s="227" t="s">
        <v>2325</v>
      </c>
      <c r="D295" s="233" t="s">
        <v>16</v>
      </c>
      <c r="E295" s="233" t="s">
        <v>2979</v>
      </c>
      <c r="F295" s="227" t="s">
        <v>3003</v>
      </c>
    </row>
    <row r="296" spans="1:6" x14ac:dyDescent="0.25">
      <c r="A296" s="227" t="str">
        <f>TL[[#This Row],[Société]]&amp;" - "&amp;TL[[#This Row],[Compte]]</f>
        <v>VR7 - 625201</v>
      </c>
      <c r="B296" s="233" t="s">
        <v>1717</v>
      </c>
      <c r="C296" s="227" t="s">
        <v>3272</v>
      </c>
      <c r="D296" s="233" t="s">
        <v>50</v>
      </c>
      <c r="E296" s="233" t="s">
        <v>2979</v>
      </c>
      <c r="F296" s="227" t="s">
        <v>3003</v>
      </c>
    </row>
    <row r="297" spans="1:6" x14ac:dyDescent="0.25">
      <c r="A297" s="227" t="str">
        <f>TL[[#This Row],[Société]]&amp;" - "&amp;TL[[#This Row],[Compte]]</f>
        <v>VR7 - 625400</v>
      </c>
      <c r="B297" s="233" t="s">
        <v>3273</v>
      </c>
      <c r="C297" s="227" t="s">
        <v>3274</v>
      </c>
      <c r="F297" s="227" t="s">
        <v>3003</v>
      </c>
    </row>
    <row r="298" spans="1:6" x14ac:dyDescent="0.25">
      <c r="A298" s="227" t="str">
        <f>TL[[#This Row],[Société]]&amp;" - "&amp;TL[[#This Row],[Compte]]</f>
        <v>VR7 - 625600</v>
      </c>
      <c r="B298" s="233" t="s">
        <v>3275</v>
      </c>
      <c r="C298" s="227" t="s">
        <v>3276</v>
      </c>
      <c r="F298" s="227" t="s">
        <v>3003</v>
      </c>
    </row>
    <row r="299" spans="1:6" x14ac:dyDescent="0.25">
      <c r="A299" s="227" t="str">
        <f>TL[[#This Row],[Société]]&amp;" - "&amp;TL[[#This Row],[Compte]]</f>
        <v>VR7 - 625700</v>
      </c>
      <c r="B299" s="233" t="s">
        <v>2792</v>
      </c>
      <c r="C299" s="227" t="s">
        <v>2793</v>
      </c>
      <c r="D299" s="239" t="s">
        <v>16</v>
      </c>
      <c r="E299" s="233" t="s">
        <v>2982</v>
      </c>
      <c r="F299" s="227" t="s">
        <v>3003</v>
      </c>
    </row>
    <row r="300" spans="1:6" x14ac:dyDescent="0.25">
      <c r="A300" s="227" t="str">
        <f>TL[[#This Row],[Société]]&amp;" - "&amp;TL[[#This Row],[Compte]]</f>
        <v>VR7 - 626000</v>
      </c>
      <c r="B300" s="233" t="s">
        <v>3277</v>
      </c>
      <c r="C300" s="227" t="s">
        <v>170</v>
      </c>
      <c r="D300" s="233" t="s">
        <v>29</v>
      </c>
      <c r="E300" s="233" t="s">
        <v>34</v>
      </c>
      <c r="F300" s="227" t="s">
        <v>3003</v>
      </c>
    </row>
    <row r="301" spans="1:6" x14ac:dyDescent="0.25">
      <c r="A301" s="227" t="str">
        <f>TL[[#This Row],[Société]]&amp;" - "&amp;TL[[#This Row],[Compte]]</f>
        <v>VR7 - 626100</v>
      </c>
      <c r="B301" s="233" t="s">
        <v>1967</v>
      </c>
      <c r="C301" s="227" t="s">
        <v>3278</v>
      </c>
      <c r="D301" s="233" t="s">
        <v>27</v>
      </c>
      <c r="E301" s="233" t="s">
        <v>34</v>
      </c>
      <c r="F301" s="227" t="s">
        <v>3003</v>
      </c>
    </row>
    <row r="302" spans="1:6" x14ac:dyDescent="0.25">
      <c r="A302" s="227" t="str">
        <f>TL[[#This Row],[Société]]&amp;" - "&amp;TL[[#This Row],[Compte]]</f>
        <v>VR7 - 626200</v>
      </c>
      <c r="B302" s="233" t="s">
        <v>1590</v>
      </c>
      <c r="C302" s="227" t="s">
        <v>167</v>
      </c>
      <c r="D302" s="233" t="s">
        <v>27</v>
      </c>
      <c r="E302" s="233" t="s">
        <v>34</v>
      </c>
      <c r="F302" s="227" t="s">
        <v>3003</v>
      </c>
    </row>
    <row r="303" spans="1:6" x14ac:dyDescent="0.25">
      <c r="A303" s="227" t="str">
        <f>TL[[#This Row],[Société]]&amp;" - "&amp;TL[[#This Row],[Compte]]</f>
        <v>VR7 - 627000</v>
      </c>
      <c r="B303" s="233" t="s">
        <v>3279</v>
      </c>
      <c r="C303" s="227" t="s">
        <v>3280</v>
      </c>
      <c r="F303" s="227" t="s">
        <v>3003</v>
      </c>
    </row>
    <row r="304" spans="1:6" x14ac:dyDescent="0.25">
      <c r="A304" s="227" t="str">
        <f>TL[[#This Row],[Société]]&amp;" - "&amp;TL[[#This Row],[Compte]]</f>
        <v>VR7 - 627001</v>
      </c>
      <c r="B304" s="233" t="s">
        <v>1968</v>
      </c>
      <c r="C304" s="227" t="s">
        <v>2283</v>
      </c>
      <c r="D304" s="233" t="s">
        <v>47</v>
      </c>
      <c r="E304" s="233" t="s">
        <v>21</v>
      </c>
      <c r="F304" s="227" t="s">
        <v>3003</v>
      </c>
    </row>
    <row r="305" spans="1:6" x14ac:dyDescent="0.25">
      <c r="A305" s="227" t="str">
        <f>TL[[#This Row],[Société]]&amp;" - "&amp;TL[[#This Row],[Compte]]</f>
        <v>VR7 - 627002</v>
      </c>
      <c r="B305" s="233" t="s">
        <v>1969</v>
      </c>
      <c r="C305" s="227" t="s">
        <v>238</v>
      </c>
      <c r="D305" s="233" t="s">
        <v>47</v>
      </c>
      <c r="E305" s="233" t="s">
        <v>21</v>
      </c>
      <c r="F305" s="227" t="s">
        <v>3003</v>
      </c>
    </row>
    <row r="306" spans="1:6" x14ac:dyDescent="0.25">
      <c r="A306" s="227" t="str">
        <f>TL[[#This Row],[Société]]&amp;" - "&amp;TL[[#This Row],[Compte]]</f>
        <v>VR7 - 627003</v>
      </c>
      <c r="B306" s="233" t="s">
        <v>1970</v>
      </c>
      <c r="C306" s="227" t="s">
        <v>263</v>
      </c>
      <c r="D306" s="233" t="s">
        <v>47</v>
      </c>
      <c r="E306" s="233" t="s">
        <v>21</v>
      </c>
      <c r="F306" s="227" t="s">
        <v>3003</v>
      </c>
    </row>
    <row r="307" spans="1:6" x14ac:dyDescent="0.25">
      <c r="A307" s="227" t="str">
        <f>TL[[#This Row],[Société]]&amp;" - "&amp;TL[[#This Row],[Compte]]</f>
        <v>VR7 - 627005</v>
      </c>
      <c r="B307" s="233" t="s">
        <v>1972</v>
      </c>
      <c r="C307" s="227" t="s">
        <v>244</v>
      </c>
      <c r="D307" s="233" t="s">
        <v>47</v>
      </c>
      <c r="E307" s="233" t="s">
        <v>21</v>
      </c>
      <c r="F307" s="227" t="s">
        <v>3003</v>
      </c>
    </row>
    <row r="308" spans="1:6" x14ac:dyDescent="0.25">
      <c r="A308" s="227" t="str">
        <f>TL[[#This Row],[Société]]&amp;" - "&amp;TL[[#This Row],[Compte]]</f>
        <v>VR7 - 627801</v>
      </c>
      <c r="B308" s="233" t="s">
        <v>1711</v>
      </c>
      <c r="C308" s="227" t="s">
        <v>2283</v>
      </c>
      <c r="D308" s="233" t="s">
        <v>47</v>
      </c>
      <c r="E308" s="233" t="s">
        <v>21</v>
      </c>
      <c r="F308" s="227" t="s">
        <v>3003</v>
      </c>
    </row>
    <row r="309" spans="1:6" x14ac:dyDescent="0.25">
      <c r="A309" s="227" t="str">
        <f>TL[[#This Row],[Société]]&amp;" - "&amp;TL[[#This Row],[Compte]]</f>
        <v>VR7 - 627802</v>
      </c>
      <c r="B309" s="233" t="s">
        <v>1600</v>
      </c>
      <c r="C309" s="227" t="s">
        <v>238</v>
      </c>
      <c r="D309" s="233" t="s">
        <v>47</v>
      </c>
      <c r="E309" s="233" t="s">
        <v>21</v>
      </c>
      <c r="F309" s="227" t="s">
        <v>3003</v>
      </c>
    </row>
    <row r="310" spans="1:6" x14ac:dyDescent="0.25">
      <c r="A310" s="227" t="str">
        <f>TL[[#This Row],[Société]]&amp;" - "&amp;TL[[#This Row],[Compte]]</f>
        <v>VR7 - 627803</v>
      </c>
      <c r="B310" s="233" t="s">
        <v>1716</v>
      </c>
      <c r="C310" s="227" t="s">
        <v>263</v>
      </c>
      <c r="D310" s="233" t="s">
        <v>47</v>
      </c>
      <c r="E310" s="233" t="s">
        <v>21</v>
      </c>
      <c r="F310" s="227" t="s">
        <v>3003</v>
      </c>
    </row>
    <row r="311" spans="1:6" x14ac:dyDescent="0.25">
      <c r="A311" s="227" t="str">
        <f>TL[[#This Row],[Société]]&amp;" - "&amp;TL[[#This Row],[Compte]]</f>
        <v>VR7 - 627805</v>
      </c>
      <c r="B311" s="233" t="s">
        <v>1714</v>
      </c>
      <c r="C311" s="227" t="s">
        <v>244</v>
      </c>
      <c r="D311" s="233" t="s">
        <v>47</v>
      </c>
      <c r="E311" s="233" t="s">
        <v>21</v>
      </c>
      <c r="F311" s="227" t="s">
        <v>3003</v>
      </c>
    </row>
    <row r="312" spans="1:6" x14ac:dyDescent="0.25">
      <c r="A312" s="227" t="str">
        <f>TL[[#This Row],[Société]]&amp;" - "&amp;TL[[#This Row],[Compte]]</f>
        <v>VR7 - 628023</v>
      </c>
      <c r="B312" s="233" t="s">
        <v>1974</v>
      </c>
      <c r="C312" s="227" t="s">
        <v>2326</v>
      </c>
      <c r="D312" s="233" t="s">
        <v>32</v>
      </c>
      <c r="E312" s="233" t="s">
        <v>2982</v>
      </c>
      <c r="F312" s="227" t="s">
        <v>3003</v>
      </c>
    </row>
    <row r="313" spans="1:6" x14ac:dyDescent="0.25">
      <c r="A313" s="227" t="str">
        <f>TL[[#This Row],[Société]]&amp;" - "&amp;TL[[#This Row],[Compte]]</f>
        <v>VR7 - 628024</v>
      </c>
      <c r="B313" s="233" t="s">
        <v>2610</v>
      </c>
      <c r="C313" s="227" t="s">
        <v>2327</v>
      </c>
      <c r="D313" s="233" t="s">
        <v>150</v>
      </c>
      <c r="E313" s="233" t="s">
        <v>54</v>
      </c>
      <c r="F313" s="227" t="s">
        <v>3003</v>
      </c>
    </row>
    <row r="314" spans="1:6" x14ac:dyDescent="0.25">
      <c r="A314" s="227" t="str">
        <f>TL[[#This Row],[Société]]&amp;" - "&amp;TL[[#This Row],[Compte]]</f>
        <v>VR7 - 628100</v>
      </c>
      <c r="B314" s="233" t="s">
        <v>3281</v>
      </c>
      <c r="C314" s="227" t="s">
        <v>3282</v>
      </c>
      <c r="D314" s="233" t="s">
        <v>32</v>
      </c>
      <c r="E314" s="233" t="s">
        <v>2982</v>
      </c>
      <c r="F314" s="227" t="s">
        <v>3003</v>
      </c>
    </row>
    <row r="315" spans="1:6" x14ac:dyDescent="0.25">
      <c r="A315" s="227" t="str">
        <f>TL[[#This Row],[Société]]&amp;" - "&amp;TL[[#This Row],[Compte]]</f>
        <v>VR7 - 628210</v>
      </c>
      <c r="B315" s="233" t="s">
        <v>2773</v>
      </c>
      <c r="C315" s="227" t="s">
        <v>3283</v>
      </c>
      <c r="F315" s="227" t="s">
        <v>3003</v>
      </c>
    </row>
    <row r="316" spans="1:6" x14ac:dyDescent="0.25">
      <c r="A316" s="227" t="str">
        <f>TL[[#This Row],[Société]]&amp;" - "&amp;TL[[#This Row],[Compte]]</f>
        <v>VR7 - 628300</v>
      </c>
      <c r="B316" s="233" t="s">
        <v>1619</v>
      </c>
      <c r="C316" s="227" t="s">
        <v>2328</v>
      </c>
      <c r="D316" s="233" t="s">
        <v>147</v>
      </c>
      <c r="E316" s="233" t="s">
        <v>288</v>
      </c>
      <c r="F316" s="227" t="s">
        <v>3003</v>
      </c>
    </row>
    <row r="317" spans="1:6" x14ac:dyDescent="0.25">
      <c r="A317" s="227" t="str">
        <f>TL[[#This Row],[Société]]&amp;" - "&amp;TL[[#This Row],[Compte]]</f>
        <v>VR7 - 628310</v>
      </c>
      <c r="B317" s="233" t="s">
        <v>1975</v>
      </c>
      <c r="C317" s="227" t="s">
        <v>3284</v>
      </c>
      <c r="D317" s="233" t="s">
        <v>147</v>
      </c>
      <c r="E317" s="233" t="s">
        <v>288</v>
      </c>
      <c r="F317" s="227" t="s">
        <v>3003</v>
      </c>
    </row>
    <row r="318" spans="1:6" x14ac:dyDescent="0.25">
      <c r="A318" s="227" t="str">
        <f>TL[[#This Row],[Société]]&amp;" - "&amp;TL[[#This Row],[Compte]]</f>
        <v>VR7 - 628320</v>
      </c>
      <c r="B318" s="233" t="s">
        <v>1791</v>
      </c>
      <c r="C318" s="227" t="s">
        <v>2141</v>
      </c>
      <c r="D318" s="233" t="s">
        <v>147</v>
      </c>
      <c r="E318" s="233" t="s">
        <v>288</v>
      </c>
      <c r="F318" s="227" t="s">
        <v>3003</v>
      </c>
    </row>
    <row r="319" spans="1:6" x14ac:dyDescent="0.25">
      <c r="A319" s="227" t="str">
        <f>TL[[#This Row],[Société]]&amp;" - "&amp;TL[[#This Row],[Compte]]</f>
        <v>VR7 - 628400</v>
      </c>
      <c r="B319" s="233" t="s">
        <v>1623</v>
      </c>
      <c r="C319" s="227" t="s">
        <v>2254</v>
      </c>
      <c r="D319" s="233" t="s">
        <v>16</v>
      </c>
      <c r="E319" s="233" t="s">
        <v>25</v>
      </c>
      <c r="F319" s="227" t="s">
        <v>3003</v>
      </c>
    </row>
    <row r="320" spans="1:6" x14ac:dyDescent="0.25">
      <c r="A320" s="227" t="str">
        <f>TL[[#This Row],[Société]]&amp;" - "&amp;TL[[#This Row],[Compte]]</f>
        <v>VR7 - 633300</v>
      </c>
      <c r="B320" s="233" t="s">
        <v>1730</v>
      </c>
      <c r="C320" s="227" t="s">
        <v>2257</v>
      </c>
      <c r="D320" s="233" t="s">
        <v>42</v>
      </c>
      <c r="E320" s="233" t="s">
        <v>47</v>
      </c>
      <c r="F320" s="227" t="s">
        <v>3003</v>
      </c>
    </row>
    <row r="321" spans="1:6" x14ac:dyDescent="0.25">
      <c r="A321" s="227" t="str">
        <f>TL[[#This Row],[Société]]&amp;" - "&amp;TL[[#This Row],[Compte]]</f>
        <v>VR7 - 633400</v>
      </c>
      <c r="B321" s="233" t="s">
        <v>1976</v>
      </c>
      <c r="C321" s="227" t="s">
        <v>243</v>
      </c>
      <c r="D321" s="233" t="s">
        <v>42</v>
      </c>
      <c r="E321" s="233" t="s">
        <v>47</v>
      </c>
      <c r="F321" s="227" t="s">
        <v>3003</v>
      </c>
    </row>
    <row r="322" spans="1:6" x14ac:dyDescent="0.25">
      <c r="A322" s="227" t="str">
        <f>TL[[#This Row],[Société]]&amp;" - "&amp;TL[[#This Row],[Compte]]</f>
        <v>VR7 - 633500</v>
      </c>
      <c r="B322" s="233" t="s">
        <v>1729</v>
      </c>
      <c r="C322" s="227" t="s">
        <v>2258</v>
      </c>
      <c r="D322" s="233" t="s">
        <v>42</v>
      </c>
      <c r="E322" s="233" t="s">
        <v>47</v>
      </c>
      <c r="F322" s="227" t="s">
        <v>3003</v>
      </c>
    </row>
    <row r="323" spans="1:6" x14ac:dyDescent="0.25">
      <c r="A323" s="227" t="str">
        <f>TL[[#This Row],[Société]]&amp;" - "&amp;TL[[#This Row],[Compte]]</f>
        <v>VR7 - 635111</v>
      </c>
      <c r="B323" s="233" t="s">
        <v>1786</v>
      </c>
      <c r="C323" s="227" t="s">
        <v>1229</v>
      </c>
      <c r="D323" s="233" t="s">
        <v>42</v>
      </c>
      <c r="E323" s="233" t="s">
        <v>47</v>
      </c>
      <c r="F323" s="227" t="s">
        <v>3003</v>
      </c>
    </row>
    <row r="324" spans="1:6" x14ac:dyDescent="0.25">
      <c r="A324" s="227" t="str">
        <f>TL[[#This Row],[Société]]&amp;" - "&amp;TL[[#This Row],[Compte]]</f>
        <v>VR7 - 635112</v>
      </c>
      <c r="B324" s="233" t="s">
        <v>1732</v>
      </c>
      <c r="C324" s="227" t="s">
        <v>1230</v>
      </c>
      <c r="D324" s="233" t="s">
        <v>42</v>
      </c>
      <c r="E324" s="233" t="s">
        <v>47</v>
      </c>
      <c r="F324" s="227" t="s">
        <v>3003</v>
      </c>
    </row>
    <row r="325" spans="1:6" x14ac:dyDescent="0.25">
      <c r="A325" s="227" t="str">
        <f>TL[[#This Row],[Société]]&amp;" - "&amp;TL[[#This Row],[Compte]]</f>
        <v>VR7 - 635140</v>
      </c>
      <c r="B325" s="233" t="s">
        <v>1979</v>
      </c>
      <c r="C325" s="227" t="s">
        <v>230</v>
      </c>
      <c r="D325" s="233" t="s">
        <v>42</v>
      </c>
      <c r="E325" s="233" t="s">
        <v>47</v>
      </c>
      <c r="F325" s="227" t="s">
        <v>3003</v>
      </c>
    </row>
    <row r="326" spans="1:6" x14ac:dyDescent="0.25">
      <c r="A326" s="227" t="str">
        <f>TL[[#This Row],[Société]]&amp;" - "&amp;TL[[#This Row],[Compte]]</f>
        <v>VR7 - 635510</v>
      </c>
      <c r="B326" s="233" t="s">
        <v>1982</v>
      </c>
      <c r="C326" s="227" t="s">
        <v>2279</v>
      </c>
      <c r="D326" s="233" t="s">
        <v>71</v>
      </c>
      <c r="E326" s="233" t="s">
        <v>7</v>
      </c>
      <c r="F326" s="227" t="s">
        <v>3003</v>
      </c>
    </row>
    <row r="327" spans="1:6" x14ac:dyDescent="0.25">
      <c r="A327" s="227" t="str">
        <f>TL[[#This Row],[Société]]&amp;" - "&amp;TL[[#This Row],[Compte]]</f>
        <v>VR7 - 637100</v>
      </c>
      <c r="B327" s="233" t="s">
        <v>1988</v>
      </c>
      <c r="C327" s="227" t="s">
        <v>1042</v>
      </c>
      <c r="D327" s="233" t="s">
        <v>42</v>
      </c>
      <c r="E327" s="233" t="s">
        <v>47</v>
      </c>
      <c r="F327" s="227" t="s">
        <v>3003</v>
      </c>
    </row>
    <row r="328" spans="1:6" x14ac:dyDescent="0.25">
      <c r="A328" s="227" t="str">
        <f>TL[[#This Row],[Société]]&amp;" - "&amp;TL[[#This Row],[Compte]]</f>
        <v>VR7 - 637300</v>
      </c>
      <c r="B328" s="233" t="s">
        <v>1777</v>
      </c>
      <c r="C328" s="227" t="s">
        <v>2134</v>
      </c>
      <c r="D328" s="233" t="s">
        <v>42</v>
      </c>
      <c r="E328" s="233" t="s">
        <v>47</v>
      </c>
      <c r="F328" s="227" t="s">
        <v>3003</v>
      </c>
    </row>
    <row r="329" spans="1:6" x14ac:dyDescent="0.25">
      <c r="A329" s="227" t="str">
        <f>TL[[#This Row],[Société]]&amp;" - "&amp;TL[[#This Row],[Compte]]</f>
        <v>VR7 - 637800</v>
      </c>
      <c r="B329" s="233" t="s">
        <v>1989</v>
      </c>
      <c r="C329" s="227" t="s">
        <v>773</v>
      </c>
      <c r="D329" s="233" t="s">
        <v>42</v>
      </c>
      <c r="E329" s="233" t="s">
        <v>47</v>
      </c>
      <c r="F329" s="227" t="s">
        <v>3003</v>
      </c>
    </row>
    <row r="330" spans="1:6" x14ac:dyDescent="0.25">
      <c r="A330" s="227" t="str">
        <f>TL[[#This Row],[Société]]&amp;" - "&amp;TL[[#This Row],[Compte]]</f>
        <v>VR7 - 637900</v>
      </c>
      <c r="B330" s="233" t="s">
        <v>3285</v>
      </c>
      <c r="C330" s="227" t="s">
        <v>773</v>
      </c>
      <c r="D330" s="233" t="s">
        <v>42</v>
      </c>
      <c r="E330" s="233" t="s">
        <v>47</v>
      </c>
      <c r="F330" s="227" t="s">
        <v>3003</v>
      </c>
    </row>
    <row r="331" spans="1:6" x14ac:dyDescent="0.25">
      <c r="A331" s="227" t="str">
        <f>TL[[#This Row],[Société]]&amp;" - "&amp;TL[[#This Row],[Compte]]</f>
        <v>VR7 - 641020</v>
      </c>
      <c r="B331" s="233" t="s">
        <v>2530</v>
      </c>
      <c r="C331" s="227" t="s">
        <v>2329</v>
      </c>
      <c r="D331" s="233" t="s">
        <v>13</v>
      </c>
      <c r="E331" s="233" t="s">
        <v>12</v>
      </c>
      <c r="F331" s="227" t="s">
        <v>3003</v>
      </c>
    </row>
    <row r="332" spans="1:6" x14ac:dyDescent="0.25">
      <c r="A332" s="227" t="str">
        <f>TL[[#This Row],[Société]]&amp;" - "&amp;TL[[#This Row],[Compte]]</f>
        <v>VR7 - 641030</v>
      </c>
      <c r="B332" s="233" t="s">
        <v>2520</v>
      </c>
      <c r="C332" s="227" t="s">
        <v>2286</v>
      </c>
      <c r="D332" s="233" t="s">
        <v>12</v>
      </c>
      <c r="E332" s="233" t="s">
        <v>3</v>
      </c>
      <c r="F332" s="227" t="s">
        <v>3003</v>
      </c>
    </row>
    <row r="333" spans="1:6" x14ac:dyDescent="0.25">
      <c r="A333" s="227" t="str">
        <f>TL[[#This Row],[Société]]&amp;" - "&amp;TL[[#This Row],[Compte]]</f>
        <v>VR7 - 641063</v>
      </c>
      <c r="B333" s="233" t="s">
        <v>2521</v>
      </c>
      <c r="C333" s="227" t="s">
        <v>2285</v>
      </c>
      <c r="D333" s="233" t="s">
        <v>12</v>
      </c>
      <c r="E333" s="233" t="s">
        <v>3</v>
      </c>
      <c r="F333" s="227" t="s">
        <v>3003</v>
      </c>
    </row>
    <row r="334" spans="1:6" x14ac:dyDescent="0.25">
      <c r="A334" s="227" t="str">
        <f>TL[[#This Row],[Société]]&amp;" - "&amp;TL[[#This Row],[Compte]]</f>
        <v>VR7 - 641064</v>
      </c>
      <c r="B334" s="233" t="s">
        <v>2531</v>
      </c>
      <c r="C334" s="227" t="s">
        <v>2287</v>
      </c>
      <c r="D334" s="233" t="s">
        <v>13</v>
      </c>
      <c r="E334" s="233" t="s">
        <v>12</v>
      </c>
      <c r="F334" s="227" t="s">
        <v>3003</v>
      </c>
    </row>
    <row r="335" spans="1:6" x14ac:dyDescent="0.25">
      <c r="A335" s="227" t="str">
        <f>TL[[#This Row],[Société]]&amp;" - "&amp;TL[[#This Row],[Compte]]</f>
        <v>VR7 - 641065</v>
      </c>
      <c r="B335" s="233" t="s">
        <v>3286</v>
      </c>
      <c r="C335" s="227" t="s">
        <v>3287</v>
      </c>
      <c r="D335" s="233" t="s">
        <v>13</v>
      </c>
      <c r="E335" s="233" t="s">
        <v>12</v>
      </c>
      <c r="F335" s="227" t="s">
        <v>3003</v>
      </c>
    </row>
    <row r="336" spans="1:6" x14ac:dyDescent="0.25">
      <c r="A336" s="227" t="str">
        <f>TL[[#This Row],[Société]]&amp;" - "&amp;TL[[#This Row],[Compte]]</f>
        <v>VR7 - 641120</v>
      </c>
      <c r="B336" s="233" t="s">
        <v>3288</v>
      </c>
      <c r="C336" s="227" t="s">
        <v>3289</v>
      </c>
      <c r="D336" s="233" t="s">
        <v>50</v>
      </c>
      <c r="E336" s="233" t="s">
        <v>12</v>
      </c>
      <c r="F336" s="227" t="s">
        <v>3003</v>
      </c>
    </row>
    <row r="337" spans="1:6" x14ac:dyDescent="0.25">
      <c r="A337" s="227" t="str">
        <f>TL[[#This Row],[Société]]&amp;" - "&amp;TL[[#This Row],[Compte]]</f>
        <v>VR7 - 641121</v>
      </c>
      <c r="B337" s="233" t="s">
        <v>3290</v>
      </c>
      <c r="C337" s="227" t="s">
        <v>3291</v>
      </c>
      <c r="D337" s="233" t="s">
        <v>12</v>
      </c>
      <c r="E337" s="233" t="s">
        <v>71</v>
      </c>
      <c r="F337" s="227" t="s">
        <v>3003</v>
      </c>
    </row>
    <row r="338" spans="1:6" x14ac:dyDescent="0.25">
      <c r="A338" s="227" t="str">
        <f>TL[[#This Row],[Société]]&amp;" - "&amp;TL[[#This Row],[Compte]]</f>
        <v>VR7 - 641130</v>
      </c>
      <c r="B338" s="233" t="s">
        <v>3292</v>
      </c>
      <c r="C338" s="227" t="s">
        <v>3293</v>
      </c>
      <c r="F338" s="227" t="s">
        <v>3003</v>
      </c>
    </row>
    <row r="339" spans="1:6" x14ac:dyDescent="0.25">
      <c r="A339" s="227" t="str">
        <f>TL[[#This Row],[Société]]&amp;" - "&amp;TL[[#This Row],[Compte]]</f>
        <v>VR7 - 641204</v>
      </c>
      <c r="B339" s="233" t="s">
        <v>2819</v>
      </c>
      <c r="C339" s="227" t="s">
        <v>3294</v>
      </c>
      <c r="D339" s="233" t="s">
        <v>13</v>
      </c>
      <c r="E339" s="233" t="s">
        <v>12</v>
      </c>
      <c r="F339" s="227" t="s">
        <v>3003</v>
      </c>
    </row>
    <row r="340" spans="1:6" x14ac:dyDescent="0.25">
      <c r="A340" s="227" t="str">
        <f>TL[[#This Row],[Société]]&amp;" - "&amp;TL[[#This Row],[Compte]]</f>
        <v>VR7 - 641220</v>
      </c>
      <c r="B340" s="233" t="s">
        <v>1783</v>
      </c>
      <c r="C340" s="227" t="s">
        <v>2330</v>
      </c>
      <c r="D340" s="233" t="s">
        <v>13</v>
      </c>
      <c r="E340" s="233" t="s">
        <v>12</v>
      </c>
      <c r="F340" s="227" t="s">
        <v>3003</v>
      </c>
    </row>
    <row r="341" spans="1:6" x14ac:dyDescent="0.25">
      <c r="A341" s="227" t="str">
        <f>TL[[#This Row],[Société]]&amp;" - "&amp;TL[[#This Row],[Compte]]</f>
        <v>VR7 - 641230</v>
      </c>
      <c r="B341" s="233" t="s">
        <v>1996</v>
      </c>
      <c r="C341" s="227" t="s">
        <v>2331</v>
      </c>
      <c r="D341" s="233" t="s">
        <v>12</v>
      </c>
      <c r="E341" s="233" t="s">
        <v>3</v>
      </c>
      <c r="F341" s="227" t="s">
        <v>3003</v>
      </c>
    </row>
    <row r="342" spans="1:6" x14ac:dyDescent="0.25">
      <c r="A342" s="227" t="str">
        <f>TL[[#This Row],[Société]]&amp;" - "&amp;TL[[#This Row],[Compte]]</f>
        <v>VR7 - 641320</v>
      </c>
      <c r="B342" s="233" t="s">
        <v>3295</v>
      </c>
      <c r="C342" s="227" t="s">
        <v>3296</v>
      </c>
      <c r="D342" s="233" t="s">
        <v>13</v>
      </c>
      <c r="E342" s="233" t="s">
        <v>12</v>
      </c>
      <c r="F342" s="227" t="s">
        <v>3003</v>
      </c>
    </row>
    <row r="343" spans="1:6" x14ac:dyDescent="0.25">
      <c r="A343" s="227" t="str">
        <f>TL[[#This Row],[Société]]&amp;" - "&amp;TL[[#This Row],[Compte]]</f>
        <v>VR7 - 641330</v>
      </c>
      <c r="B343" s="233" t="s">
        <v>3297</v>
      </c>
      <c r="C343" s="227" t="s">
        <v>3298</v>
      </c>
      <c r="D343" s="233" t="s">
        <v>12</v>
      </c>
      <c r="E343" s="233" t="s">
        <v>3</v>
      </c>
      <c r="F343" s="227" t="s">
        <v>3003</v>
      </c>
    </row>
    <row r="344" spans="1:6" x14ac:dyDescent="0.25">
      <c r="A344" s="227" t="str">
        <f>TL[[#This Row],[Société]]&amp;" - "&amp;TL[[#This Row],[Compte]]</f>
        <v>VR7 - 641400</v>
      </c>
      <c r="B344" s="233" t="s">
        <v>3299</v>
      </c>
      <c r="C344" s="227" t="s">
        <v>3300</v>
      </c>
      <c r="D344" s="233" t="s">
        <v>12</v>
      </c>
      <c r="E344" s="233" t="s">
        <v>3</v>
      </c>
      <c r="F344" s="227" t="s">
        <v>3003</v>
      </c>
    </row>
    <row r="345" spans="1:6" x14ac:dyDescent="0.25">
      <c r="A345" s="227" t="str">
        <f>TL[[#This Row],[Société]]&amp;" - "&amp;TL[[#This Row],[Compte]]</f>
        <v>VR7 - 641410</v>
      </c>
      <c r="B345" s="233" t="s">
        <v>2522</v>
      </c>
      <c r="C345" s="227" t="s">
        <v>2332</v>
      </c>
      <c r="D345" s="233" t="s">
        <v>12</v>
      </c>
      <c r="E345" s="233" t="s">
        <v>3</v>
      </c>
      <c r="F345" s="227" t="s">
        <v>3003</v>
      </c>
    </row>
    <row r="346" spans="1:6" x14ac:dyDescent="0.25">
      <c r="A346" s="227" t="str">
        <f>TL[[#This Row],[Société]]&amp;" - "&amp;TL[[#This Row],[Compte]]</f>
        <v>VR7 - 641411</v>
      </c>
      <c r="B346" s="233" t="s">
        <v>1751</v>
      </c>
      <c r="C346" s="227" t="s">
        <v>2333</v>
      </c>
      <c r="D346" s="233" t="s">
        <v>13</v>
      </c>
      <c r="E346" s="233" t="s">
        <v>12</v>
      </c>
      <c r="F346" s="227" t="s">
        <v>3003</v>
      </c>
    </row>
    <row r="347" spans="1:6" x14ac:dyDescent="0.25">
      <c r="A347" s="227" t="str">
        <f>TL[[#This Row],[Société]]&amp;" - "&amp;TL[[#This Row],[Compte]]</f>
        <v>VR7 - 641412</v>
      </c>
      <c r="B347" s="233" t="s">
        <v>3301</v>
      </c>
      <c r="C347" s="227" t="s">
        <v>3302</v>
      </c>
      <c r="D347" s="233" t="s">
        <v>12</v>
      </c>
      <c r="E347" s="233" t="s">
        <v>3</v>
      </c>
      <c r="F347" s="227" t="s">
        <v>3003</v>
      </c>
    </row>
    <row r="348" spans="1:6" x14ac:dyDescent="0.25">
      <c r="A348" s="227" t="str">
        <f>TL[[#This Row],[Société]]&amp;" - "&amp;TL[[#This Row],[Compte]]</f>
        <v>VR7 - 641430</v>
      </c>
      <c r="B348" s="233" t="s">
        <v>3303</v>
      </c>
      <c r="C348" s="227" t="s">
        <v>3304</v>
      </c>
      <c r="D348" s="233" t="s">
        <v>12</v>
      </c>
      <c r="E348" s="233" t="s">
        <v>3</v>
      </c>
      <c r="F348" s="227" t="s">
        <v>3003</v>
      </c>
    </row>
    <row r="349" spans="1:6" x14ac:dyDescent="0.25">
      <c r="A349" s="227" t="str">
        <f>TL[[#This Row],[Société]]&amp;" - "&amp;TL[[#This Row],[Compte]]</f>
        <v>VR7 - 641431</v>
      </c>
      <c r="B349" s="233" t="s">
        <v>3305</v>
      </c>
      <c r="C349" s="227" t="s">
        <v>3306</v>
      </c>
      <c r="D349" s="233" t="s">
        <v>13</v>
      </c>
      <c r="E349" s="233" t="s">
        <v>12</v>
      </c>
      <c r="F349" s="227" t="s">
        <v>3003</v>
      </c>
    </row>
    <row r="350" spans="1:6" x14ac:dyDescent="0.25">
      <c r="A350" s="227" t="str">
        <f>TL[[#This Row],[Société]]&amp;" - "&amp;TL[[#This Row],[Compte]]</f>
        <v>VR7 - 641440</v>
      </c>
      <c r="B350" s="233" t="s">
        <v>3307</v>
      </c>
      <c r="C350" s="227" t="s">
        <v>2158</v>
      </c>
      <c r="F350" s="227" t="s">
        <v>3003</v>
      </c>
    </row>
    <row r="351" spans="1:6" x14ac:dyDescent="0.25">
      <c r="A351" s="227" t="str">
        <f>TL[[#This Row],[Société]]&amp;" - "&amp;TL[[#This Row],[Compte]]</f>
        <v>VR7 - 645120</v>
      </c>
      <c r="B351" s="233" t="s">
        <v>2534</v>
      </c>
      <c r="C351" s="227" t="s">
        <v>2334</v>
      </c>
      <c r="D351" s="233" t="s">
        <v>15</v>
      </c>
      <c r="E351" s="233" t="s">
        <v>13</v>
      </c>
      <c r="F351" s="227" t="s">
        <v>3003</v>
      </c>
    </row>
    <row r="352" spans="1:6" x14ac:dyDescent="0.25">
      <c r="A352" s="227" t="str">
        <f>TL[[#This Row],[Société]]&amp;" - "&amp;TL[[#This Row],[Compte]]</f>
        <v>VR7 - 645130</v>
      </c>
      <c r="B352" s="233" t="s">
        <v>2524</v>
      </c>
      <c r="C352" s="227" t="s">
        <v>175</v>
      </c>
      <c r="D352" s="233" t="s">
        <v>12</v>
      </c>
      <c r="E352" s="233" t="s">
        <v>71</v>
      </c>
      <c r="F352" s="227" t="s">
        <v>3003</v>
      </c>
    </row>
    <row r="353" spans="1:6" x14ac:dyDescent="0.25">
      <c r="A353" s="227" t="str">
        <f>TL[[#This Row],[Société]]&amp;" - "&amp;TL[[#This Row],[Compte]]</f>
        <v>VR7 - 645320</v>
      </c>
      <c r="B353" s="233" t="s">
        <v>2535</v>
      </c>
      <c r="C353" s="227" t="s">
        <v>2335</v>
      </c>
      <c r="D353" s="233" t="s">
        <v>15</v>
      </c>
      <c r="E353" s="233" t="s">
        <v>13</v>
      </c>
      <c r="F353" s="227" t="s">
        <v>3003</v>
      </c>
    </row>
    <row r="354" spans="1:6" x14ac:dyDescent="0.25">
      <c r="A354" s="227" t="str">
        <f>TL[[#This Row],[Société]]&amp;" - "&amp;TL[[#This Row],[Compte]]</f>
        <v>VR7 - 645330</v>
      </c>
      <c r="B354" s="233" t="s">
        <v>2525</v>
      </c>
      <c r="C354" s="227" t="s">
        <v>2193</v>
      </c>
      <c r="D354" s="233" t="s">
        <v>12</v>
      </c>
      <c r="E354" s="233" t="s">
        <v>71</v>
      </c>
      <c r="F354" s="227" t="s">
        <v>3003</v>
      </c>
    </row>
    <row r="355" spans="1:6" x14ac:dyDescent="0.25">
      <c r="A355" s="227" t="str">
        <f>TL[[#This Row],[Société]]&amp;" - "&amp;TL[[#This Row],[Compte]]</f>
        <v>VR7 - 645340</v>
      </c>
      <c r="B355" s="233" t="s">
        <v>3308</v>
      </c>
      <c r="C355" s="227" t="s">
        <v>3309</v>
      </c>
      <c r="D355" s="233" t="s">
        <v>15</v>
      </c>
      <c r="E355" s="233" t="s">
        <v>13</v>
      </c>
      <c r="F355" s="227" t="s">
        <v>3003</v>
      </c>
    </row>
    <row r="356" spans="1:6" x14ac:dyDescent="0.25">
      <c r="A356" s="227" t="str">
        <f>TL[[#This Row],[Société]]&amp;" - "&amp;TL[[#This Row],[Compte]]</f>
        <v>VR7 - 645420</v>
      </c>
      <c r="B356" s="233" t="s">
        <v>2536</v>
      </c>
      <c r="C356" s="227" t="s">
        <v>2336</v>
      </c>
      <c r="D356" s="233" t="s">
        <v>15</v>
      </c>
      <c r="E356" s="233" t="s">
        <v>13</v>
      </c>
      <c r="F356" s="227" t="s">
        <v>3003</v>
      </c>
    </row>
    <row r="357" spans="1:6" x14ac:dyDescent="0.25">
      <c r="A357" s="227" t="str">
        <f>TL[[#This Row],[Société]]&amp;" - "&amp;TL[[#This Row],[Compte]]</f>
        <v>VR7 - 645430</v>
      </c>
      <c r="B357" s="233" t="s">
        <v>2526</v>
      </c>
      <c r="C357" s="227" t="s">
        <v>169</v>
      </c>
      <c r="D357" s="233" t="s">
        <v>12</v>
      </c>
      <c r="E357" s="233" t="s">
        <v>71</v>
      </c>
      <c r="F357" s="227" t="s">
        <v>3003</v>
      </c>
    </row>
    <row r="358" spans="1:6" x14ac:dyDescent="0.25">
      <c r="A358" s="227" t="str">
        <f>TL[[#This Row],[Société]]&amp;" - "&amp;TL[[#This Row],[Compte]]</f>
        <v>VR7 - 645520</v>
      </c>
      <c r="B358" s="233" t="s">
        <v>2537</v>
      </c>
      <c r="C358" s="227" t="s">
        <v>2192</v>
      </c>
      <c r="D358" s="233" t="s">
        <v>15</v>
      </c>
      <c r="E358" s="233" t="s">
        <v>13</v>
      </c>
      <c r="F358" s="227" t="s">
        <v>3003</v>
      </c>
    </row>
    <row r="359" spans="1:6" x14ac:dyDescent="0.25">
      <c r="A359" s="227" t="str">
        <f>TL[[#This Row],[Société]]&amp;" - "&amp;TL[[#This Row],[Compte]]</f>
        <v>VR7 - 645530</v>
      </c>
      <c r="B359" s="233" t="s">
        <v>2527</v>
      </c>
      <c r="C359" s="227" t="s">
        <v>231</v>
      </c>
      <c r="D359" s="233" t="s">
        <v>12</v>
      </c>
      <c r="E359" s="233" t="s">
        <v>71</v>
      </c>
      <c r="F359" s="227" t="s">
        <v>3003</v>
      </c>
    </row>
    <row r="360" spans="1:6" x14ac:dyDescent="0.25">
      <c r="A360" s="227" t="str">
        <f>TL[[#This Row],[Société]]&amp;" - "&amp;TL[[#This Row],[Compte]]</f>
        <v>VR7 - 645620</v>
      </c>
      <c r="B360" s="233" t="s">
        <v>3310</v>
      </c>
      <c r="C360" s="227" t="s">
        <v>3311</v>
      </c>
      <c r="D360" s="233" t="s">
        <v>15</v>
      </c>
      <c r="E360" s="233" t="s">
        <v>13</v>
      </c>
      <c r="F360" s="227" t="s">
        <v>3003</v>
      </c>
    </row>
    <row r="361" spans="1:6" x14ac:dyDescent="0.25">
      <c r="A361" s="227" t="str">
        <f>TL[[#This Row],[Société]]&amp;" - "&amp;TL[[#This Row],[Compte]]</f>
        <v>VR7 - 645800</v>
      </c>
      <c r="B361" s="233" t="s">
        <v>1775</v>
      </c>
      <c r="C361" s="227" t="s">
        <v>3312</v>
      </c>
      <c r="D361" s="233" t="s">
        <v>15</v>
      </c>
      <c r="E361" s="233" t="s">
        <v>13</v>
      </c>
      <c r="F361" s="227" t="s">
        <v>3003</v>
      </c>
    </row>
    <row r="362" spans="1:6" x14ac:dyDescent="0.25">
      <c r="A362" s="227" t="str">
        <f>TL[[#This Row],[Société]]&amp;" - "&amp;TL[[#This Row],[Compte]]</f>
        <v>VR7 - 645810</v>
      </c>
      <c r="B362" s="233" t="s">
        <v>1776</v>
      </c>
      <c r="C362" s="227" t="s">
        <v>3313</v>
      </c>
      <c r="D362" s="233" t="s">
        <v>20</v>
      </c>
      <c r="E362" s="233" t="s">
        <v>25</v>
      </c>
      <c r="F362" s="227" t="s">
        <v>3003</v>
      </c>
    </row>
    <row r="363" spans="1:6" x14ac:dyDescent="0.25">
      <c r="A363" s="227" t="str">
        <f>TL[[#This Row],[Société]]&amp;" - "&amp;TL[[#This Row],[Compte]]</f>
        <v>VR7 - 645820</v>
      </c>
      <c r="B363" s="233" t="s">
        <v>2008</v>
      </c>
      <c r="C363" s="227" t="s">
        <v>2210</v>
      </c>
      <c r="D363" s="233" t="s">
        <v>15</v>
      </c>
      <c r="E363" s="233" t="s">
        <v>13</v>
      </c>
      <c r="F363" s="227" t="s">
        <v>3003</v>
      </c>
    </row>
    <row r="364" spans="1:6" x14ac:dyDescent="0.25">
      <c r="A364" s="227" t="str">
        <f>TL[[#This Row],[Société]]&amp;" - "&amp;TL[[#This Row],[Compte]]</f>
        <v>VR7 - 645821</v>
      </c>
      <c r="B364" s="233" t="s">
        <v>3314</v>
      </c>
      <c r="C364" s="227" t="s">
        <v>3315</v>
      </c>
      <c r="D364" s="233" t="s">
        <v>13</v>
      </c>
      <c r="E364" s="233" t="s">
        <v>13</v>
      </c>
      <c r="F364" s="227" t="s">
        <v>3003</v>
      </c>
    </row>
    <row r="365" spans="1:6" x14ac:dyDescent="0.25">
      <c r="A365" s="227" t="str">
        <f>TL[[#This Row],[Société]]&amp;" - "&amp;TL[[#This Row],[Compte]]</f>
        <v>VR7 - 645830</v>
      </c>
      <c r="B365" s="233" t="s">
        <v>2009</v>
      </c>
      <c r="C365" s="227" t="s">
        <v>2337</v>
      </c>
      <c r="D365" s="233" t="s">
        <v>12</v>
      </c>
      <c r="E365" s="233" t="s">
        <v>71</v>
      </c>
      <c r="F365" s="227" t="s">
        <v>3003</v>
      </c>
    </row>
    <row r="366" spans="1:6" x14ac:dyDescent="0.25">
      <c r="A366" s="227" t="str">
        <f>TL[[#This Row],[Société]]&amp;" - "&amp;TL[[#This Row],[Compte]]</f>
        <v>VR7 - 645831</v>
      </c>
      <c r="B366" s="233" t="s">
        <v>3316</v>
      </c>
      <c r="C366" s="227" t="s">
        <v>3317</v>
      </c>
      <c r="D366" s="233" t="s">
        <v>12</v>
      </c>
      <c r="E366" s="233" t="s">
        <v>71</v>
      </c>
      <c r="F366" s="227" t="s">
        <v>3003</v>
      </c>
    </row>
    <row r="367" spans="1:6" x14ac:dyDescent="0.25">
      <c r="A367" s="227" t="str">
        <f>TL[[#This Row],[Société]]&amp;" - "&amp;TL[[#This Row],[Compte]]</f>
        <v>VR7 - 645870</v>
      </c>
      <c r="B367" s="233" t="s">
        <v>3318</v>
      </c>
      <c r="C367" s="227" t="s">
        <v>3319</v>
      </c>
      <c r="D367" s="233" t="s">
        <v>15</v>
      </c>
      <c r="E367" s="233" t="s">
        <v>13</v>
      </c>
      <c r="F367" s="227" t="s">
        <v>3003</v>
      </c>
    </row>
    <row r="368" spans="1:6" x14ac:dyDescent="0.25">
      <c r="A368" s="227" t="str">
        <f>TL[[#This Row],[Société]]&amp;" - "&amp;TL[[#This Row],[Compte]]</f>
        <v>VR7 - 645920</v>
      </c>
      <c r="B368" s="233" t="s">
        <v>2538</v>
      </c>
      <c r="C368" s="227" t="s">
        <v>2338</v>
      </c>
      <c r="D368" s="233" t="s">
        <v>15</v>
      </c>
      <c r="E368" s="233" t="s">
        <v>13</v>
      </c>
      <c r="F368" s="227" t="s">
        <v>3003</v>
      </c>
    </row>
    <row r="369" spans="1:6" x14ac:dyDescent="0.25">
      <c r="A369" s="227" t="str">
        <f>TL[[#This Row],[Société]]&amp;" - "&amp;TL[[#This Row],[Compte]]</f>
        <v>VR7 - 645930</v>
      </c>
      <c r="B369" s="233" t="s">
        <v>2528</v>
      </c>
      <c r="C369" s="227" t="s">
        <v>2339</v>
      </c>
      <c r="D369" s="233" t="s">
        <v>12</v>
      </c>
      <c r="E369" s="233" t="s">
        <v>71</v>
      </c>
      <c r="F369" s="227" t="s">
        <v>3003</v>
      </c>
    </row>
    <row r="370" spans="1:6" x14ac:dyDescent="0.25">
      <c r="A370" s="227" t="str">
        <f>TL[[#This Row],[Société]]&amp;" - "&amp;TL[[#This Row],[Compte]]</f>
        <v>VR7 - 646200</v>
      </c>
      <c r="B370" s="233" t="s">
        <v>3320</v>
      </c>
      <c r="C370" s="227" t="s">
        <v>3321</v>
      </c>
      <c r="D370" s="233" t="s">
        <v>147</v>
      </c>
      <c r="E370" s="233" t="s">
        <v>288</v>
      </c>
      <c r="F370" s="227" t="s">
        <v>3003</v>
      </c>
    </row>
    <row r="371" spans="1:6" x14ac:dyDescent="0.25">
      <c r="A371" s="227" t="str">
        <f>TL[[#This Row],[Société]]&amp;" - "&amp;TL[[#This Row],[Compte]]</f>
        <v>VR7 - 647500</v>
      </c>
      <c r="B371" s="233" t="s">
        <v>1610</v>
      </c>
      <c r="C371" s="227" t="s">
        <v>3322</v>
      </c>
      <c r="D371" s="233" t="s">
        <v>20</v>
      </c>
      <c r="E371" s="233" t="s">
        <v>25</v>
      </c>
      <c r="F371" s="227" t="s">
        <v>3003</v>
      </c>
    </row>
    <row r="372" spans="1:6" x14ac:dyDescent="0.25">
      <c r="A372" s="227" t="str">
        <f>TL[[#This Row],[Société]]&amp;" - "&amp;TL[[#This Row],[Compte]]</f>
        <v>VR7 - 647516</v>
      </c>
      <c r="B372" s="233" t="s">
        <v>2759</v>
      </c>
      <c r="C372" s="227" t="s">
        <v>1253</v>
      </c>
      <c r="D372" s="233" t="s">
        <v>20</v>
      </c>
      <c r="E372" s="233" t="s">
        <v>25</v>
      </c>
      <c r="F372" s="227" t="s">
        <v>3003</v>
      </c>
    </row>
    <row r="373" spans="1:6" x14ac:dyDescent="0.25">
      <c r="A373" s="227" t="str">
        <f>TL[[#This Row],[Société]]&amp;" - "&amp;TL[[#This Row],[Compte]]</f>
        <v>VR7 - 649000</v>
      </c>
      <c r="B373" s="233" t="s">
        <v>2012</v>
      </c>
      <c r="C373" s="227" t="s">
        <v>3323</v>
      </c>
      <c r="F373" s="227" t="s">
        <v>3003</v>
      </c>
    </row>
    <row r="374" spans="1:6" x14ac:dyDescent="0.25">
      <c r="A374" s="227" t="str">
        <f>TL[[#This Row],[Société]]&amp;" - "&amp;TL[[#This Row],[Compte]]</f>
        <v>VR7 - 651110</v>
      </c>
      <c r="B374" s="233" t="s">
        <v>2587</v>
      </c>
      <c r="C374" s="227" t="s">
        <v>2340</v>
      </c>
      <c r="D374" s="233" t="s">
        <v>37</v>
      </c>
      <c r="E374" s="233" t="s">
        <v>42</v>
      </c>
      <c r="F374" s="227" t="s">
        <v>3003</v>
      </c>
    </row>
    <row r="375" spans="1:6" x14ac:dyDescent="0.25">
      <c r="A375" s="227" t="str">
        <f>TL[[#This Row],[Société]]&amp;" - "&amp;TL[[#This Row],[Compte]]</f>
        <v>VR7 - 651200</v>
      </c>
      <c r="B375" s="233" t="s">
        <v>1604</v>
      </c>
      <c r="C375" s="227" t="s">
        <v>2206</v>
      </c>
      <c r="D375" s="233" t="s">
        <v>35</v>
      </c>
      <c r="E375" s="233" t="s">
        <v>37</v>
      </c>
      <c r="F375" s="227" t="s">
        <v>3003</v>
      </c>
    </row>
    <row r="376" spans="1:6" x14ac:dyDescent="0.25">
      <c r="A376" s="227" t="str">
        <f>TL[[#This Row],[Société]]&amp;" - "&amp;TL[[#This Row],[Compte]]</f>
        <v>VR7 - 651210</v>
      </c>
      <c r="B376" s="233" t="s">
        <v>1606</v>
      </c>
      <c r="C376" s="227" t="s">
        <v>2201</v>
      </c>
      <c r="D376" s="233" t="s">
        <v>37</v>
      </c>
      <c r="E376" s="233" t="s">
        <v>37</v>
      </c>
      <c r="F376" s="227" t="s">
        <v>3003</v>
      </c>
    </row>
    <row r="377" spans="1:6" x14ac:dyDescent="0.25">
      <c r="A377" s="227" t="str">
        <f>TL[[#This Row],[Société]]&amp;" - "&amp;TL[[#This Row],[Compte]]</f>
        <v>VR7 - 654100</v>
      </c>
      <c r="B377" s="233" t="s">
        <v>2013</v>
      </c>
      <c r="C377" s="227" t="s">
        <v>3324</v>
      </c>
      <c r="F377" s="227" t="s">
        <v>3003</v>
      </c>
    </row>
    <row r="378" spans="1:6" x14ac:dyDescent="0.25">
      <c r="A378" s="227" t="str">
        <f>TL[[#This Row],[Société]]&amp;" - "&amp;TL[[#This Row],[Compte]]</f>
        <v>VR7 - 658000</v>
      </c>
      <c r="B378" s="233" t="s">
        <v>1743</v>
      </c>
      <c r="C378" s="227" t="s">
        <v>164</v>
      </c>
      <c r="D378" s="233" t="s">
        <v>50</v>
      </c>
      <c r="E378" s="233" t="s">
        <v>52</v>
      </c>
      <c r="F378" s="227" t="s">
        <v>3003</v>
      </c>
    </row>
    <row r="379" spans="1:6" x14ac:dyDescent="0.25">
      <c r="A379" s="227" t="str">
        <f>TL[[#This Row],[Société]]&amp;" - "&amp;TL[[#This Row],[Compte]]</f>
        <v>VR7 - 661100</v>
      </c>
      <c r="B379" s="233" t="s">
        <v>1721</v>
      </c>
      <c r="C379" s="227" t="s">
        <v>2281</v>
      </c>
      <c r="D379" s="233" t="s">
        <v>47</v>
      </c>
      <c r="E379" s="233" t="s">
        <v>286</v>
      </c>
      <c r="F379" s="227" t="s">
        <v>3003</v>
      </c>
    </row>
    <row r="380" spans="1:6" x14ac:dyDescent="0.25">
      <c r="A380" s="227" t="str">
        <f>TL[[#This Row],[Société]]&amp;" - "&amp;TL[[#This Row],[Compte]]</f>
        <v>VR7 - 661110</v>
      </c>
      <c r="B380" s="233" t="s">
        <v>2804</v>
      </c>
      <c r="C380" s="227" t="s">
        <v>2280</v>
      </c>
      <c r="D380" s="233" t="s">
        <v>47</v>
      </c>
      <c r="E380" s="233" t="s">
        <v>286</v>
      </c>
      <c r="F380" s="227" t="s">
        <v>3003</v>
      </c>
    </row>
    <row r="381" spans="1:6" x14ac:dyDescent="0.25">
      <c r="A381" s="227" t="str">
        <f>TL[[#This Row],[Société]]&amp;" - "&amp;TL[[#This Row],[Compte]]</f>
        <v>VR7 - 661120</v>
      </c>
      <c r="B381" s="233" t="s">
        <v>3325</v>
      </c>
      <c r="C381" s="227" t="s">
        <v>3326</v>
      </c>
      <c r="D381" s="233" t="s">
        <v>47</v>
      </c>
      <c r="E381" s="233" t="s">
        <v>286</v>
      </c>
      <c r="F381" s="227" t="s">
        <v>3003</v>
      </c>
    </row>
    <row r="382" spans="1:6" x14ac:dyDescent="0.25">
      <c r="A382" s="227" t="str">
        <f>TL[[#This Row],[Société]]&amp;" - "&amp;TL[[#This Row],[Compte]]</f>
        <v>VR7 - 661130</v>
      </c>
      <c r="B382" s="233" t="s">
        <v>2805</v>
      </c>
      <c r="C382" s="227" t="s">
        <v>2341</v>
      </c>
      <c r="D382" s="233" t="s">
        <v>47</v>
      </c>
      <c r="E382" s="233" t="s">
        <v>286</v>
      </c>
      <c r="F382" s="227" t="s">
        <v>3003</v>
      </c>
    </row>
    <row r="383" spans="1:6" x14ac:dyDescent="0.25">
      <c r="A383" s="227" t="str">
        <f>TL[[#This Row],[Société]]&amp;" - "&amp;TL[[#This Row],[Compte]]</f>
        <v>VR7 - 661140</v>
      </c>
      <c r="B383" s="233" t="s">
        <v>2806</v>
      </c>
      <c r="C383" s="227" t="s">
        <v>2342</v>
      </c>
      <c r="D383" s="233" t="s">
        <v>47</v>
      </c>
      <c r="E383" s="233" t="s">
        <v>286</v>
      </c>
      <c r="F383" s="227" t="s">
        <v>3003</v>
      </c>
    </row>
    <row r="384" spans="1:6" x14ac:dyDescent="0.25">
      <c r="A384" s="227" t="str">
        <f>TL[[#This Row],[Société]]&amp;" - "&amp;TL[[#This Row],[Compte]]</f>
        <v>VR7 - 661500</v>
      </c>
      <c r="B384" s="233" t="s">
        <v>3327</v>
      </c>
      <c r="C384" s="227" t="s">
        <v>3328</v>
      </c>
      <c r="D384" s="233" t="s">
        <v>48</v>
      </c>
      <c r="E384" s="233" t="s">
        <v>286</v>
      </c>
      <c r="F384" s="227" t="s">
        <v>3003</v>
      </c>
    </row>
    <row r="385" spans="1:6" x14ac:dyDescent="0.25">
      <c r="A385" s="227" t="str">
        <f>TL[[#This Row],[Société]]&amp;" - "&amp;TL[[#This Row],[Compte]]</f>
        <v>VR7 - 661600</v>
      </c>
      <c r="B385" s="233" t="s">
        <v>2016</v>
      </c>
      <c r="C385" s="227" t="s">
        <v>2282</v>
      </c>
      <c r="D385" s="233" t="s">
        <v>47</v>
      </c>
      <c r="E385" s="233" t="s">
        <v>286</v>
      </c>
      <c r="F385" s="227" t="s">
        <v>3003</v>
      </c>
    </row>
    <row r="386" spans="1:6" x14ac:dyDescent="0.25">
      <c r="A386" s="227" t="str">
        <f>TL[[#This Row],[Société]]&amp;" - "&amp;TL[[#This Row],[Compte]]</f>
        <v>VR7 - 671100</v>
      </c>
      <c r="B386" s="233" t="s">
        <v>1801</v>
      </c>
      <c r="C386" s="227" t="s">
        <v>31</v>
      </c>
      <c r="D386" s="233" t="s">
        <v>30</v>
      </c>
      <c r="E386" s="233" t="s">
        <v>2982</v>
      </c>
      <c r="F386" s="227" t="s">
        <v>3003</v>
      </c>
    </row>
    <row r="387" spans="1:6" x14ac:dyDescent="0.25">
      <c r="A387" s="227" t="str">
        <f>TL[[#This Row],[Société]]&amp;" - "&amp;TL[[#This Row],[Compte]]</f>
        <v>VR7 - 671200</v>
      </c>
      <c r="B387" s="233" t="s">
        <v>2020</v>
      </c>
      <c r="C387" s="227" t="s">
        <v>3329</v>
      </c>
      <c r="D387" s="233" t="s">
        <v>42</v>
      </c>
      <c r="E387" s="233" t="s">
        <v>47</v>
      </c>
      <c r="F387" s="227" t="s">
        <v>3003</v>
      </c>
    </row>
    <row r="388" spans="1:6" x14ac:dyDescent="0.25">
      <c r="A388" s="227" t="str">
        <f>TL[[#This Row],[Société]]&amp;" - "&amp;TL[[#This Row],[Compte]]</f>
        <v>VR7 - 671310</v>
      </c>
      <c r="B388" s="233" t="s">
        <v>2021</v>
      </c>
      <c r="C388" s="227" t="s">
        <v>2343</v>
      </c>
      <c r="D388" s="233" t="s">
        <v>50</v>
      </c>
      <c r="E388" s="233" t="s">
        <v>2995</v>
      </c>
      <c r="F388" s="227" t="s">
        <v>3003</v>
      </c>
    </row>
    <row r="389" spans="1:6" x14ac:dyDescent="0.25">
      <c r="A389" s="227" t="str">
        <f>TL[[#This Row],[Société]]&amp;" - "&amp;TL[[#This Row],[Compte]]</f>
        <v>VR7 - 675000</v>
      </c>
      <c r="B389" s="233" t="s">
        <v>3330</v>
      </c>
      <c r="C389" s="227" t="s">
        <v>3056</v>
      </c>
      <c r="F389" s="227" t="s">
        <v>3003</v>
      </c>
    </row>
    <row r="390" spans="1:6" x14ac:dyDescent="0.25">
      <c r="A390" s="227" t="str">
        <f>TL[[#This Row],[Société]]&amp;" - "&amp;TL[[#This Row],[Compte]]</f>
        <v>VR7 - 675600</v>
      </c>
      <c r="B390" s="233" t="s">
        <v>3331</v>
      </c>
      <c r="C390" s="227" t="s">
        <v>3056</v>
      </c>
      <c r="F390" s="227" t="s">
        <v>3003</v>
      </c>
    </row>
    <row r="391" spans="1:6" x14ac:dyDescent="0.25">
      <c r="A391" s="227" t="str">
        <f>TL[[#This Row],[Société]]&amp;" - "&amp;TL[[#This Row],[Compte]]</f>
        <v>VR7 - 678800</v>
      </c>
      <c r="B391" s="233" t="s">
        <v>3332</v>
      </c>
      <c r="C391" s="227" t="s">
        <v>3333</v>
      </c>
      <c r="D391" s="233" t="s">
        <v>50</v>
      </c>
      <c r="E391" s="233" t="s">
        <v>52</v>
      </c>
      <c r="F391" s="227" t="s">
        <v>3003</v>
      </c>
    </row>
    <row r="392" spans="1:6" x14ac:dyDescent="0.25">
      <c r="A392" s="227" t="str">
        <f>TL[[#This Row],[Société]]&amp;" - "&amp;TL[[#This Row],[Compte]]</f>
        <v>VR7 - 681110</v>
      </c>
      <c r="B392" s="233" t="s">
        <v>1787</v>
      </c>
      <c r="C392" s="227" t="s">
        <v>247</v>
      </c>
      <c r="D392" s="233" t="s">
        <v>45</v>
      </c>
      <c r="E392" s="233" t="s">
        <v>48</v>
      </c>
      <c r="F392" s="227" t="s">
        <v>3003</v>
      </c>
    </row>
    <row r="393" spans="1:6" x14ac:dyDescent="0.25">
      <c r="A393" s="227" t="str">
        <f>TL[[#This Row],[Société]]&amp;" - "&amp;TL[[#This Row],[Compte]]</f>
        <v>VR7 - 681120</v>
      </c>
      <c r="B393" s="233" t="s">
        <v>2026</v>
      </c>
      <c r="C393" s="227" t="s">
        <v>2160</v>
      </c>
      <c r="D393" s="233" t="s">
        <v>45</v>
      </c>
      <c r="E393" s="233" t="s">
        <v>48</v>
      </c>
      <c r="F393" s="227" t="s">
        <v>3003</v>
      </c>
    </row>
    <row r="394" spans="1:6" x14ac:dyDescent="0.25">
      <c r="A394" s="227" t="str">
        <f>TL[[#This Row],[Société]]&amp;" - "&amp;TL[[#This Row],[Compte]]</f>
        <v>VR7 - 681500</v>
      </c>
      <c r="B394" s="233" t="s">
        <v>2027</v>
      </c>
      <c r="C394" s="227" t="s">
        <v>174</v>
      </c>
      <c r="D394" s="233" t="s">
        <v>45</v>
      </c>
      <c r="E394" s="233" t="s">
        <v>48</v>
      </c>
      <c r="F394" s="227" t="s">
        <v>3003</v>
      </c>
    </row>
    <row r="395" spans="1:6" x14ac:dyDescent="0.25">
      <c r="A395" s="227" t="str">
        <f>TL[[#This Row],[Société]]&amp;" - "&amp;TL[[#This Row],[Compte]]</f>
        <v>VR7 - 687110</v>
      </c>
      <c r="B395" s="233" t="s">
        <v>2033</v>
      </c>
      <c r="C395" s="227" t="s">
        <v>3056</v>
      </c>
      <c r="F395" s="227" t="s">
        <v>3003</v>
      </c>
    </row>
    <row r="396" spans="1:6" x14ac:dyDescent="0.25">
      <c r="A396" s="227" t="str">
        <f>TL[[#This Row],[Société]]&amp;" - "&amp;TL[[#This Row],[Compte]]</f>
        <v>VR7 - 687120</v>
      </c>
      <c r="B396" s="233" t="s">
        <v>2034</v>
      </c>
      <c r="C396" s="227" t="s">
        <v>3334</v>
      </c>
      <c r="D396" s="233" t="s">
        <v>45</v>
      </c>
      <c r="E396" s="233" t="s">
        <v>48</v>
      </c>
      <c r="F396" s="227" t="s">
        <v>3003</v>
      </c>
    </row>
    <row r="397" spans="1:6" x14ac:dyDescent="0.25">
      <c r="A397" s="227" t="str">
        <f>TL[[#This Row],[Société]]&amp;" - "&amp;TL[[#This Row],[Compte]]</f>
        <v>VR7 - 687250</v>
      </c>
      <c r="B397" s="233" t="s">
        <v>2035</v>
      </c>
      <c r="C397" s="227" t="s">
        <v>3056</v>
      </c>
      <c r="F397" s="227" t="s">
        <v>3003</v>
      </c>
    </row>
    <row r="398" spans="1:6" x14ac:dyDescent="0.25">
      <c r="A398" s="227" t="str">
        <f>TL[[#This Row],[Société]]&amp;" - "&amp;TL[[#This Row],[Compte]]</f>
        <v>VR7 - 695000</v>
      </c>
      <c r="B398" s="233" t="s">
        <v>2036</v>
      </c>
      <c r="C398" s="227" t="s">
        <v>3335</v>
      </c>
      <c r="D398" s="233" t="s">
        <v>152</v>
      </c>
      <c r="E398" s="233" t="s">
        <v>1303</v>
      </c>
      <c r="F398" s="227" t="s">
        <v>3003</v>
      </c>
    </row>
    <row r="399" spans="1:6" x14ac:dyDescent="0.25">
      <c r="A399" s="227" t="str">
        <f>TL[[#This Row],[Société]]&amp;" - "&amp;TL[[#This Row],[Compte]]</f>
        <v>VR7 - 695100</v>
      </c>
      <c r="B399" s="233" t="s">
        <v>2037</v>
      </c>
      <c r="C399" s="227" t="s">
        <v>250</v>
      </c>
      <c r="D399" s="233" t="s">
        <v>152</v>
      </c>
      <c r="E399" s="233" t="s">
        <v>1303</v>
      </c>
      <c r="F399" s="227" t="s">
        <v>3003</v>
      </c>
    </row>
    <row r="400" spans="1:6" x14ac:dyDescent="0.25">
      <c r="A400" s="227" t="str">
        <f>TL[[#This Row],[Société]]&amp;" - "&amp;TL[[#This Row],[Compte]]</f>
        <v>VR7 - 698910</v>
      </c>
      <c r="B400" s="233" t="s">
        <v>2041</v>
      </c>
      <c r="C400" s="227" t="s">
        <v>248</v>
      </c>
      <c r="D400" s="233" t="s">
        <v>152</v>
      </c>
      <c r="E400" s="233" t="s">
        <v>1303</v>
      </c>
      <c r="F400" s="227" t="s">
        <v>3003</v>
      </c>
    </row>
    <row r="401" spans="1:6" x14ac:dyDescent="0.25">
      <c r="A401" s="227" t="str">
        <f>TL[[#This Row],[Société]]&amp;" - "&amp;TL[[#This Row],[Compte]]</f>
        <v>VR7 - 698920</v>
      </c>
      <c r="B401" s="233" t="s">
        <v>2042</v>
      </c>
      <c r="C401" s="227" t="s">
        <v>237</v>
      </c>
      <c r="D401" s="233" t="s">
        <v>152</v>
      </c>
      <c r="E401" s="233" t="s">
        <v>1303</v>
      </c>
      <c r="F401" s="227" t="s">
        <v>3003</v>
      </c>
    </row>
    <row r="402" spans="1:6" x14ac:dyDescent="0.25">
      <c r="A402" s="227" t="str">
        <f>TL[[#This Row],[Société]]&amp;" - "&amp;TL[[#This Row],[Compte]]</f>
        <v>VR7 - 701001</v>
      </c>
      <c r="B402" s="233" t="s">
        <v>1793</v>
      </c>
      <c r="C402" s="227" t="s">
        <v>64</v>
      </c>
      <c r="D402" s="233" t="s">
        <v>143</v>
      </c>
      <c r="E402" s="233" t="s">
        <v>5</v>
      </c>
      <c r="F402" s="227" t="s">
        <v>3003</v>
      </c>
    </row>
    <row r="403" spans="1:6" x14ac:dyDescent="0.25">
      <c r="A403" s="227" t="str">
        <f>TL[[#This Row],[Société]]&amp;" - "&amp;TL[[#This Row],[Compte]]</f>
        <v>VR7 - 701002</v>
      </c>
      <c r="B403" s="233" t="s">
        <v>1797</v>
      </c>
      <c r="C403" s="227" t="s">
        <v>245</v>
      </c>
      <c r="D403" s="233" t="s">
        <v>143</v>
      </c>
      <c r="E403" s="233" t="s">
        <v>5</v>
      </c>
      <c r="F403" s="227" t="s">
        <v>3003</v>
      </c>
    </row>
    <row r="404" spans="1:6" x14ac:dyDescent="0.25">
      <c r="A404" s="227" t="str">
        <f>TL[[#This Row],[Société]]&amp;" - "&amp;TL[[#This Row],[Compte]]</f>
        <v>VR7 - 701010</v>
      </c>
      <c r="B404" s="233" t="s">
        <v>2047</v>
      </c>
      <c r="C404" s="227" t="s">
        <v>246</v>
      </c>
      <c r="D404" s="233" t="s">
        <v>143</v>
      </c>
      <c r="E404" s="233" t="s">
        <v>5</v>
      </c>
      <c r="F404" s="227" t="s">
        <v>3003</v>
      </c>
    </row>
    <row r="405" spans="1:6" x14ac:dyDescent="0.25">
      <c r="A405" s="227" t="str">
        <f>TL[[#This Row],[Société]]&amp;" - "&amp;TL[[#This Row],[Compte]]</f>
        <v>VR7 - 701011</v>
      </c>
      <c r="B405" s="233" t="s">
        <v>2048</v>
      </c>
      <c r="C405" s="227" t="s">
        <v>3336</v>
      </c>
      <c r="D405" s="233" t="s">
        <v>143</v>
      </c>
      <c r="E405" s="233" t="s">
        <v>5</v>
      </c>
      <c r="F405" s="227" t="s">
        <v>3003</v>
      </c>
    </row>
    <row r="406" spans="1:6" x14ac:dyDescent="0.25">
      <c r="A406" s="227" t="str">
        <f>TL[[#This Row],[Société]]&amp;" - "&amp;TL[[#This Row],[Compte]]</f>
        <v>VR7 - 701020</v>
      </c>
      <c r="B406" s="233" t="s">
        <v>2049</v>
      </c>
      <c r="C406" s="227" t="s">
        <v>251</v>
      </c>
      <c r="D406" s="233" t="s">
        <v>143</v>
      </c>
      <c r="E406" s="233" t="s">
        <v>5</v>
      </c>
      <c r="F406" s="227" t="s">
        <v>3003</v>
      </c>
    </row>
    <row r="407" spans="1:6" x14ac:dyDescent="0.25">
      <c r="A407" s="227" t="str">
        <f>TL[[#This Row],[Société]]&amp;" - "&amp;TL[[#This Row],[Compte]]</f>
        <v>VR7 - 701040</v>
      </c>
      <c r="B407" s="233" t="s">
        <v>2813</v>
      </c>
      <c r="C407" s="227" t="s">
        <v>934</v>
      </c>
      <c r="D407" s="233" t="s">
        <v>143</v>
      </c>
      <c r="E407" s="233" t="s">
        <v>5</v>
      </c>
      <c r="F407" s="227" t="s">
        <v>3003</v>
      </c>
    </row>
    <row r="408" spans="1:6" x14ac:dyDescent="0.25">
      <c r="A408" s="227" t="str">
        <f>TL[[#This Row],[Société]]&amp;" - "&amp;TL[[#This Row],[Compte]]</f>
        <v>VR7 - 701100</v>
      </c>
      <c r="B408" s="233" t="s">
        <v>2050</v>
      </c>
      <c r="C408" s="227" t="s">
        <v>3337</v>
      </c>
      <c r="F408" s="227" t="s">
        <v>3003</v>
      </c>
    </row>
    <row r="409" spans="1:6" x14ac:dyDescent="0.25">
      <c r="A409" s="227" t="str">
        <f>TL[[#This Row],[Société]]&amp;" - "&amp;TL[[#This Row],[Compte]]</f>
        <v>VR7 - 701200</v>
      </c>
      <c r="B409" s="233" t="s">
        <v>2814</v>
      </c>
      <c r="C409" s="227" t="s">
        <v>3338</v>
      </c>
      <c r="F409" s="227" t="s">
        <v>3003</v>
      </c>
    </row>
    <row r="410" spans="1:6" x14ac:dyDescent="0.25">
      <c r="A410" s="227" t="str">
        <f>TL[[#This Row],[Société]]&amp;" - "&amp;TL[[#This Row],[Compte]]</f>
        <v>VR7 - 702300</v>
      </c>
      <c r="B410" s="233" t="s">
        <v>1794</v>
      </c>
      <c r="C410" s="227" t="s">
        <v>64</v>
      </c>
      <c r="D410" s="233" t="s">
        <v>149</v>
      </c>
      <c r="E410" s="233" t="s">
        <v>3004</v>
      </c>
      <c r="F410" s="227" t="s">
        <v>3003</v>
      </c>
    </row>
    <row r="411" spans="1:6" x14ac:dyDescent="0.25">
      <c r="A411" s="227" t="str">
        <f>TL[[#This Row],[Société]]&amp;" - "&amp;TL[[#This Row],[Compte]]</f>
        <v>VR7 - 703100</v>
      </c>
      <c r="B411" s="233" t="s">
        <v>3339</v>
      </c>
      <c r="C411" s="227" t="s">
        <v>3340</v>
      </c>
      <c r="D411" s="233" t="s">
        <v>0</v>
      </c>
      <c r="E411" s="233" t="s">
        <v>7</v>
      </c>
      <c r="F411" s="227" t="s">
        <v>3003</v>
      </c>
    </row>
    <row r="412" spans="1:6" x14ac:dyDescent="0.25">
      <c r="A412" s="227" t="str">
        <f>TL[[#This Row],[Société]]&amp;" - "&amp;TL[[#This Row],[Compte]]</f>
        <v>VR7 - 708000</v>
      </c>
      <c r="B412" s="233" t="s">
        <v>1735</v>
      </c>
      <c r="C412" s="227" t="s">
        <v>2344</v>
      </c>
      <c r="D412" s="233" t="s">
        <v>0</v>
      </c>
      <c r="E412" s="233" t="s">
        <v>7</v>
      </c>
      <c r="F412" s="227" t="s">
        <v>3003</v>
      </c>
    </row>
    <row r="413" spans="1:6" x14ac:dyDescent="0.25">
      <c r="A413" s="227" t="str">
        <f>TL[[#This Row],[Société]]&amp;" - "&amp;TL[[#This Row],[Compte]]</f>
        <v>VR7 - 708100</v>
      </c>
      <c r="B413" s="233" t="s">
        <v>2053</v>
      </c>
      <c r="C413" s="227" t="s">
        <v>3341</v>
      </c>
      <c r="D413" s="233" t="s">
        <v>12</v>
      </c>
      <c r="E413" s="233" t="s">
        <v>3</v>
      </c>
      <c r="F413" s="227" t="s">
        <v>3003</v>
      </c>
    </row>
    <row r="414" spans="1:6" x14ac:dyDescent="0.25">
      <c r="A414" s="227" t="str">
        <f>TL[[#This Row],[Société]]&amp;" - "&amp;TL[[#This Row],[Compte]]</f>
        <v>VR7 - 708110</v>
      </c>
      <c r="B414" s="233" t="s">
        <v>3342</v>
      </c>
      <c r="C414" s="227" t="s">
        <v>802</v>
      </c>
      <c r="D414" s="233" t="s">
        <v>0</v>
      </c>
      <c r="E414" s="233" t="s">
        <v>7</v>
      </c>
      <c r="F414" s="227" t="s">
        <v>3003</v>
      </c>
    </row>
    <row r="415" spans="1:6" x14ac:dyDescent="0.25">
      <c r="A415" s="227" t="str">
        <f>TL[[#This Row],[Société]]&amp;" - "&amp;TL[[#This Row],[Compte]]</f>
        <v>VR7 - 708111</v>
      </c>
      <c r="B415" s="233" t="s">
        <v>3343</v>
      </c>
      <c r="C415" s="227" t="s">
        <v>3344</v>
      </c>
      <c r="D415" s="233" t="s">
        <v>7</v>
      </c>
      <c r="E415" s="233" t="s">
        <v>0</v>
      </c>
      <c r="F415" s="227" t="s">
        <v>3003</v>
      </c>
    </row>
    <row r="416" spans="1:6" x14ac:dyDescent="0.25">
      <c r="A416" s="227" t="str">
        <f>TL[[#This Row],[Société]]&amp;" - "&amp;TL[[#This Row],[Compte]]</f>
        <v>VR7 - 708120</v>
      </c>
      <c r="B416" s="233" t="s">
        <v>2775</v>
      </c>
      <c r="C416" s="227" t="s">
        <v>2345</v>
      </c>
      <c r="D416" s="233" t="s">
        <v>13</v>
      </c>
      <c r="E416" s="233" t="s">
        <v>12</v>
      </c>
      <c r="F416" s="227" t="s">
        <v>3003</v>
      </c>
    </row>
    <row r="417" spans="1:6" x14ac:dyDescent="0.25">
      <c r="A417" s="227" t="str">
        <f>TL[[#This Row],[Société]]&amp;" - "&amp;TL[[#This Row],[Compte]]</f>
        <v>VR7 - 708130</v>
      </c>
      <c r="B417" s="233" t="s">
        <v>3345</v>
      </c>
      <c r="C417" s="227" t="s">
        <v>3346</v>
      </c>
      <c r="D417" s="233" t="s">
        <v>15</v>
      </c>
      <c r="E417" s="233" t="s">
        <v>13</v>
      </c>
      <c r="F417" s="227" t="s">
        <v>3003</v>
      </c>
    </row>
    <row r="418" spans="1:6" x14ac:dyDescent="0.25">
      <c r="A418" s="227" t="str">
        <f>TL[[#This Row],[Société]]&amp;" - "&amp;TL[[#This Row],[Compte]]</f>
        <v>VR7 - 708400</v>
      </c>
      <c r="B418" s="233" t="s">
        <v>2058</v>
      </c>
      <c r="C418" s="227" t="s">
        <v>3347</v>
      </c>
      <c r="D418" s="233" t="s">
        <v>23</v>
      </c>
      <c r="E418" s="233" t="s">
        <v>2978</v>
      </c>
      <c r="F418" s="227" t="s">
        <v>3003</v>
      </c>
    </row>
    <row r="419" spans="1:6" x14ac:dyDescent="0.25">
      <c r="A419" s="227" t="str">
        <f>TL[[#This Row],[Société]]&amp;" - "&amp;TL[[#This Row],[Compte]]</f>
        <v>VR7 - 708500</v>
      </c>
      <c r="B419" s="233" t="s">
        <v>3348</v>
      </c>
      <c r="C419" s="227" t="s">
        <v>1326</v>
      </c>
      <c r="D419" s="233" t="s">
        <v>150</v>
      </c>
      <c r="E419" s="233" t="s">
        <v>54</v>
      </c>
      <c r="F419" s="227" t="s">
        <v>3003</v>
      </c>
    </row>
    <row r="420" spans="1:6" x14ac:dyDescent="0.25">
      <c r="A420" s="227" t="str">
        <f>TL[[#This Row],[Société]]&amp;" - "&amp;TL[[#This Row],[Compte]]</f>
        <v>VR7 - 708600</v>
      </c>
      <c r="B420" s="233" t="s">
        <v>1736</v>
      </c>
      <c r="C420" s="227" t="s">
        <v>3349</v>
      </c>
      <c r="D420" s="233" t="s">
        <v>18</v>
      </c>
      <c r="E420" s="233" t="s">
        <v>30</v>
      </c>
      <c r="F420" s="227" t="s">
        <v>3003</v>
      </c>
    </row>
    <row r="421" spans="1:6" x14ac:dyDescent="0.25">
      <c r="A421" s="227" t="str">
        <f>TL[[#This Row],[Société]]&amp;" - "&amp;TL[[#This Row],[Compte]]</f>
        <v>VR7 - 708800</v>
      </c>
      <c r="B421" s="233" t="s">
        <v>1737</v>
      </c>
      <c r="C421" s="227" t="s">
        <v>3340</v>
      </c>
      <c r="D421" s="233" t="s">
        <v>0</v>
      </c>
      <c r="E421" s="233" t="s">
        <v>7</v>
      </c>
      <c r="F421" s="227" t="s">
        <v>3003</v>
      </c>
    </row>
    <row r="422" spans="1:6" x14ac:dyDescent="0.25">
      <c r="A422" s="227" t="str">
        <f>TL[[#This Row],[Société]]&amp;" - "&amp;TL[[#This Row],[Compte]]</f>
        <v>VR7 - 708820</v>
      </c>
      <c r="B422" s="233" t="s">
        <v>3350</v>
      </c>
      <c r="C422" s="227" t="s">
        <v>3351</v>
      </c>
      <c r="F422" s="227" t="s">
        <v>3003</v>
      </c>
    </row>
    <row r="423" spans="1:6" x14ac:dyDescent="0.25">
      <c r="A423" s="227" t="str">
        <f>TL[[#This Row],[Société]]&amp;" - "&amp;TL[[#This Row],[Compte]]</f>
        <v>VR7 - 708830</v>
      </c>
      <c r="B423" s="233" t="s">
        <v>3352</v>
      </c>
      <c r="C423" s="227" t="s">
        <v>3353</v>
      </c>
      <c r="D423" s="233" t="s">
        <v>13</v>
      </c>
      <c r="E423" s="233" t="s">
        <v>12</v>
      </c>
      <c r="F423" s="227" t="s">
        <v>3003</v>
      </c>
    </row>
    <row r="424" spans="1:6" x14ac:dyDescent="0.25">
      <c r="A424" s="227" t="str">
        <f>TL[[#This Row],[Société]]&amp;" - "&amp;TL[[#This Row],[Compte]]</f>
        <v>VR7 - 708840</v>
      </c>
      <c r="B424" s="233" t="s">
        <v>3354</v>
      </c>
      <c r="C424" s="227" t="s">
        <v>3355</v>
      </c>
      <c r="D424" s="233" t="s">
        <v>15</v>
      </c>
      <c r="E424" s="233" t="s">
        <v>13</v>
      </c>
      <c r="F424" s="227" t="s">
        <v>3003</v>
      </c>
    </row>
    <row r="425" spans="1:6" x14ac:dyDescent="0.25">
      <c r="A425" s="227" t="str">
        <f>TL[[#This Row],[Société]]&amp;" - "&amp;TL[[#This Row],[Compte]]</f>
        <v>VR7 - 708850</v>
      </c>
      <c r="B425" s="233" t="s">
        <v>2745</v>
      </c>
      <c r="C425" s="227" t="s">
        <v>3356</v>
      </c>
      <c r="F425" s="227" t="s">
        <v>3003</v>
      </c>
    </row>
    <row r="426" spans="1:6" x14ac:dyDescent="0.25">
      <c r="A426" s="227" t="str">
        <f>TL[[#This Row],[Société]]&amp;" - "&amp;TL[[#This Row],[Compte]]</f>
        <v>VR7 - 708860</v>
      </c>
      <c r="B426" s="233" t="s">
        <v>2602</v>
      </c>
      <c r="C426" s="227" t="s">
        <v>3357</v>
      </c>
      <c r="D426" s="233" t="s">
        <v>25</v>
      </c>
      <c r="E426" s="233" t="s">
        <v>2978</v>
      </c>
      <c r="F426" s="227" t="s">
        <v>3003</v>
      </c>
    </row>
    <row r="427" spans="1:6" x14ac:dyDescent="0.25">
      <c r="A427" s="227" t="str">
        <f>TL[[#This Row],[Société]]&amp;" - "&amp;TL[[#This Row],[Compte]]</f>
        <v>VR7 - 708870</v>
      </c>
      <c r="B427" s="233" t="s">
        <v>2571</v>
      </c>
      <c r="C427" s="227" t="s">
        <v>2346</v>
      </c>
      <c r="D427" s="233" t="s">
        <v>18</v>
      </c>
      <c r="E427" s="233" t="s">
        <v>32</v>
      </c>
      <c r="F427" s="227" t="s">
        <v>3003</v>
      </c>
    </row>
    <row r="428" spans="1:6" x14ac:dyDescent="0.25">
      <c r="A428" s="227" t="str">
        <f>TL[[#This Row],[Société]]&amp;" - "&amp;TL[[#This Row],[Compte]]</f>
        <v>VR7 - 708880</v>
      </c>
      <c r="B428" s="233" t="s">
        <v>2608</v>
      </c>
      <c r="C428" s="227" t="s">
        <v>2347</v>
      </c>
      <c r="D428" s="233" t="s">
        <v>50</v>
      </c>
      <c r="E428" s="233" t="s">
        <v>52</v>
      </c>
      <c r="F428" s="227" t="s">
        <v>3003</v>
      </c>
    </row>
    <row r="429" spans="1:6" x14ac:dyDescent="0.25">
      <c r="A429" s="227" t="str">
        <f>TL[[#This Row],[Société]]&amp;" - "&amp;TL[[#This Row],[Compte]]</f>
        <v>VR7 - 708881</v>
      </c>
      <c r="B429" s="233" t="s">
        <v>3358</v>
      </c>
      <c r="C429" s="227" t="s">
        <v>3359</v>
      </c>
      <c r="D429" s="233" t="s">
        <v>50</v>
      </c>
      <c r="E429" s="233" t="s">
        <v>45</v>
      </c>
      <c r="F429" s="227" t="s">
        <v>3003</v>
      </c>
    </row>
    <row r="430" spans="1:6" x14ac:dyDescent="0.25">
      <c r="A430" s="227" t="str">
        <f>TL[[#This Row],[Société]]&amp;" - "&amp;TL[[#This Row],[Compte]]</f>
        <v>VR7 - 708890</v>
      </c>
      <c r="B430" s="233" t="s">
        <v>3360</v>
      </c>
      <c r="C430" s="227" t="s">
        <v>3361</v>
      </c>
      <c r="D430" s="233" t="s">
        <v>18</v>
      </c>
      <c r="E430" s="233" t="s">
        <v>30</v>
      </c>
      <c r="F430" s="227" t="s">
        <v>3003</v>
      </c>
    </row>
    <row r="431" spans="1:6" x14ac:dyDescent="0.25">
      <c r="A431" s="227" t="str">
        <f>TL[[#This Row],[Société]]&amp;" - "&amp;TL[[#This Row],[Compte]]</f>
        <v>VR7 - 726100</v>
      </c>
      <c r="B431" s="233" t="s">
        <v>1746</v>
      </c>
      <c r="C431" s="227" t="s">
        <v>1332</v>
      </c>
      <c r="D431" s="233" t="s">
        <v>12</v>
      </c>
      <c r="E431" s="233" t="s">
        <v>3</v>
      </c>
      <c r="F431" s="227" t="s">
        <v>3003</v>
      </c>
    </row>
    <row r="432" spans="1:6" x14ac:dyDescent="0.25">
      <c r="A432" s="227" t="str">
        <f>TL[[#This Row],[Société]]&amp;" - "&amp;TL[[#This Row],[Compte]]</f>
        <v>VR7 - 726110</v>
      </c>
      <c r="B432" s="233" t="s">
        <v>1748</v>
      </c>
      <c r="C432" s="227" t="s">
        <v>1333</v>
      </c>
      <c r="D432" s="233" t="s">
        <v>13</v>
      </c>
      <c r="E432" s="233" t="s">
        <v>12</v>
      </c>
      <c r="F432" s="227" t="s">
        <v>3003</v>
      </c>
    </row>
    <row r="433" spans="1:6" x14ac:dyDescent="0.25">
      <c r="A433" s="227" t="str">
        <f>TL[[#This Row],[Société]]&amp;" - "&amp;TL[[#This Row],[Compte]]</f>
        <v>VR7 - 740000</v>
      </c>
      <c r="B433" s="233" t="s">
        <v>3362</v>
      </c>
      <c r="C433" s="227" t="s">
        <v>3363</v>
      </c>
      <c r="D433" s="233" t="s">
        <v>50</v>
      </c>
      <c r="E433" s="233" t="s">
        <v>2995</v>
      </c>
      <c r="F433" s="227" t="s">
        <v>3003</v>
      </c>
    </row>
    <row r="434" spans="1:6" x14ac:dyDescent="0.25">
      <c r="A434" s="227" t="str">
        <f>TL[[#This Row],[Société]]&amp;" - "&amp;TL[[#This Row],[Compte]]</f>
        <v>VR7 - 740001</v>
      </c>
      <c r="B434" s="233" t="s">
        <v>3364</v>
      </c>
      <c r="C434" s="227" t="s">
        <v>3365</v>
      </c>
      <c r="D434" s="233" t="s">
        <v>50</v>
      </c>
      <c r="E434" s="233" t="s">
        <v>2995</v>
      </c>
      <c r="F434" s="227" t="s">
        <v>3003</v>
      </c>
    </row>
    <row r="435" spans="1:6" x14ac:dyDescent="0.25">
      <c r="A435" s="227" t="str">
        <f>TL[[#This Row],[Société]]&amp;" - "&amp;TL[[#This Row],[Compte]]</f>
        <v>VR7 - 740410</v>
      </c>
      <c r="B435" s="233" t="s">
        <v>3366</v>
      </c>
      <c r="C435" s="227" t="s">
        <v>3367</v>
      </c>
      <c r="D435" s="233" t="s">
        <v>50</v>
      </c>
      <c r="E435" s="233" t="s">
        <v>2995</v>
      </c>
      <c r="F435" s="227" t="s">
        <v>3003</v>
      </c>
    </row>
    <row r="436" spans="1:6" x14ac:dyDescent="0.25">
      <c r="A436" s="227" t="str">
        <f>TL[[#This Row],[Société]]&amp;" - "&amp;TL[[#This Row],[Compte]]</f>
        <v>VR7 - 741000</v>
      </c>
      <c r="B436" s="233" t="s">
        <v>3368</v>
      </c>
      <c r="C436" s="227" t="s">
        <v>1448</v>
      </c>
      <c r="D436" s="233" t="s">
        <v>50</v>
      </c>
      <c r="E436" s="233" t="s">
        <v>2995</v>
      </c>
      <c r="F436" s="227" t="s">
        <v>3003</v>
      </c>
    </row>
    <row r="437" spans="1:6" x14ac:dyDescent="0.25">
      <c r="A437" s="227" t="str">
        <f>TL[[#This Row],[Société]]&amp;" - "&amp;TL[[#This Row],[Compte]]</f>
        <v>VR7 - 758000</v>
      </c>
      <c r="B437" s="233" t="s">
        <v>1744</v>
      </c>
      <c r="C437" s="227" t="s">
        <v>3369</v>
      </c>
      <c r="D437" s="233" t="s">
        <v>50</v>
      </c>
      <c r="E437" s="233" t="s">
        <v>2982</v>
      </c>
      <c r="F437" s="227" t="s">
        <v>3003</v>
      </c>
    </row>
    <row r="438" spans="1:6" x14ac:dyDescent="0.25">
      <c r="A438" s="227" t="str">
        <f>TL[[#This Row],[Société]]&amp;" - "&amp;TL[[#This Row],[Compte]]</f>
        <v>VR7 - 761100</v>
      </c>
      <c r="B438" s="233" t="s">
        <v>3370</v>
      </c>
      <c r="C438" s="227" t="s">
        <v>3371</v>
      </c>
      <c r="D438" s="233" t="s">
        <v>48</v>
      </c>
      <c r="E438" s="233" t="s">
        <v>286</v>
      </c>
      <c r="F438" s="227" t="s">
        <v>3003</v>
      </c>
    </row>
    <row r="439" spans="1:6" x14ac:dyDescent="0.25">
      <c r="A439" s="227" t="str">
        <f>TL[[#This Row],[Société]]&amp;" - "&amp;TL[[#This Row],[Compte]]</f>
        <v>VR7 - 767000</v>
      </c>
      <c r="B439" s="233" t="s">
        <v>2070</v>
      </c>
      <c r="C439" s="227" t="s">
        <v>3372</v>
      </c>
      <c r="F439" s="227" t="s">
        <v>3003</v>
      </c>
    </row>
    <row r="440" spans="1:6" x14ac:dyDescent="0.25">
      <c r="A440" s="227" t="str">
        <f>TL[[#This Row],[Société]]&amp;" - "&amp;TL[[#This Row],[Compte]]</f>
        <v>VR7 - 768100</v>
      </c>
      <c r="B440" s="233" t="s">
        <v>2072</v>
      </c>
      <c r="C440" s="227" t="s">
        <v>3373</v>
      </c>
      <c r="D440" s="233" t="s">
        <v>48</v>
      </c>
      <c r="E440" s="233" t="s">
        <v>286</v>
      </c>
      <c r="F440" s="227" t="s">
        <v>3003</v>
      </c>
    </row>
    <row r="441" spans="1:6" x14ac:dyDescent="0.25">
      <c r="A441" s="227" t="str">
        <f>TL[[#This Row],[Société]]&amp;" - "&amp;TL[[#This Row],[Compte]]</f>
        <v>VR7 - 771000</v>
      </c>
      <c r="B441" s="233" t="s">
        <v>3374</v>
      </c>
      <c r="C441" s="227" t="s">
        <v>3375</v>
      </c>
      <c r="D441" s="233" t="s">
        <v>50</v>
      </c>
      <c r="E441" s="233" t="s">
        <v>2995</v>
      </c>
      <c r="F441" s="227" t="s">
        <v>3003</v>
      </c>
    </row>
    <row r="442" spans="1:6" x14ac:dyDescent="0.25">
      <c r="A442" s="227" t="str">
        <f>TL[[#This Row],[Société]]&amp;" - "&amp;TL[[#This Row],[Compte]]</f>
        <v>VR7 - 771100</v>
      </c>
      <c r="B442" s="233" t="s">
        <v>1798</v>
      </c>
      <c r="C442" s="227" t="s">
        <v>31</v>
      </c>
      <c r="D442" s="233" t="s">
        <v>30</v>
      </c>
      <c r="E442" s="233" t="s">
        <v>2982</v>
      </c>
      <c r="F442" s="227" t="s">
        <v>3003</v>
      </c>
    </row>
    <row r="443" spans="1:6" x14ac:dyDescent="0.25">
      <c r="A443" s="227" t="str">
        <f>TL[[#This Row],[Société]]&amp;" - "&amp;TL[[#This Row],[Compte]]</f>
        <v>VR7 - 771300</v>
      </c>
      <c r="B443" s="233" t="s">
        <v>3376</v>
      </c>
      <c r="C443" s="227" t="s">
        <v>31</v>
      </c>
      <c r="D443" s="233" t="s">
        <v>48</v>
      </c>
      <c r="E443" s="233" t="s">
        <v>2982</v>
      </c>
      <c r="F443" s="227" t="s">
        <v>3003</v>
      </c>
    </row>
    <row r="444" spans="1:6" x14ac:dyDescent="0.25">
      <c r="A444" s="227" t="str">
        <f>TL[[#This Row],[Société]]&amp;" - "&amp;TL[[#This Row],[Compte]]</f>
        <v>VR7 - 771800</v>
      </c>
      <c r="B444" s="233" t="s">
        <v>2074</v>
      </c>
      <c r="C444" s="227" t="s">
        <v>3377</v>
      </c>
      <c r="F444" s="227" t="s">
        <v>3003</v>
      </c>
    </row>
    <row r="445" spans="1:6" x14ac:dyDescent="0.25">
      <c r="A445" s="227" t="str">
        <f>TL[[#This Row],[Société]]&amp;" - "&amp;TL[[#This Row],[Compte]]</f>
        <v>VR7 - 775200</v>
      </c>
      <c r="B445" s="233" t="s">
        <v>2132</v>
      </c>
      <c r="C445" s="227" t="s">
        <v>437</v>
      </c>
      <c r="F445" s="227" t="s">
        <v>3003</v>
      </c>
    </row>
    <row r="446" spans="1:6" x14ac:dyDescent="0.25">
      <c r="A446" s="227" t="str">
        <f>TL[[#This Row],[Société]]&amp;" - "&amp;TL[[#This Row],[Compte]]</f>
        <v>VR7 - 781110</v>
      </c>
      <c r="B446" s="233" t="s">
        <v>2076</v>
      </c>
      <c r="C446" s="227" t="s">
        <v>3056</v>
      </c>
      <c r="F446" s="227" t="s">
        <v>3003</v>
      </c>
    </row>
    <row r="447" spans="1:6" x14ac:dyDescent="0.25">
      <c r="A447" s="227" t="str">
        <f>TL[[#This Row],[Société]]&amp;" - "&amp;TL[[#This Row],[Compte]]</f>
        <v>VR7 - 781120</v>
      </c>
      <c r="B447" s="233" t="s">
        <v>2077</v>
      </c>
      <c r="C447" s="227" t="s">
        <v>3056</v>
      </c>
      <c r="F447" s="227" t="s">
        <v>3003</v>
      </c>
    </row>
    <row r="448" spans="1:6" x14ac:dyDescent="0.25">
      <c r="A448" s="227" t="str">
        <f>TL[[#This Row],[Société]]&amp;" - "&amp;TL[[#This Row],[Compte]]</f>
        <v>VR7 - 781500</v>
      </c>
      <c r="B448" s="233" t="s">
        <v>2078</v>
      </c>
      <c r="C448" s="227" t="s">
        <v>1289</v>
      </c>
      <c r="D448" s="233" t="s">
        <v>45</v>
      </c>
      <c r="E448" s="233" t="s">
        <v>48</v>
      </c>
      <c r="F448" s="227" t="s">
        <v>3003</v>
      </c>
    </row>
    <row r="449" spans="1:6" x14ac:dyDescent="0.25">
      <c r="A449" s="227" t="str">
        <f>TL[[#This Row],[Société]]&amp;" - "&amp;TL[[#This Row],[Compte]]</f>
        <v>VR7 - 787250</v>
      </c>
      <c r="B449" s="233" t="s">
        <v>2082</v>
      </c>
      <c r="C449" s="227" t="s">
        <v>3056</v>
      </c>
      <c r="F449" s="227" t="s">
        <v>3003</v>
      </c>
    </row>
    <row r="450" spans="1:6" x14ac:dyDescent="0.25">
      <c r="A450" s="227" t="str">
        <f>TL[[#This Row],[Société]]&amp;" - "&amp;TL[[#This Row],[Compte]]</f>
        <v>VR7 - 791000</v>
      </c>
      <c r="B450" s="233" t="s">
        <v>2083</v>
      </c>
      <c r="C450" s="227" t="s">
        <v>415</v>
      </c>
      <c r="D450" s="233" t="s">
        <v>50</v>
      </c>
      <c r="E450" s="233" t="s">
        <v>52</v>
      </c>
      <c r="F450" s="227" t="s">
        <v>3003</v>
      </c>
    </row>
    <row r="451" spans="1:6" x14ac:dyDescent="0.25">
      <c r="A451" s="227" t="str">
        <f>TL[[#This Row],[Société]]&amp;" - "&amp;TL[[#This Row],[Compte]]</f>
        <v>VR7 - 791010</v>
      </c>
      <c r="B451" s="233" t="s">
        <v>3378</v>
      </c>
      <c r="C451" s="227" t="s">
        <v>3379</v>
      </c>
      <c r="F451" s="227" t="s">
        <v>3003</v>
      </c>
    </row>
    <row r="452" spans="1:6" x14ac:dyDescent="0.25">
      <c r="A452" s="227" t="str">
        <f>TL[[#This Row],[Société]]&amp;" - "&amp;TL[[#This Row],[Compte]]</f>
        <v>VR7 - 791100</v>
      </c>
      <c r="B452" s="233" t="s">
        <v>2084</v>
      </c>
      <c r="C452" s="227" t="s">
        <v>2285</v>
      </c>
      <c r="D452" s="233" t="s">
        <v>12</v>
      </c>
      <c r="E452" s="233" t="s">
        <v>3</v>
      </c>
      <c r="F452" s="227" t="s">
        <v>3003</v>
      </c>
    </row>
    <row r="453" spans="1:6" x14ac:dyDescent="0.25">
      <c r="A453" s="227" t="str">
        <f>TL[[#This Row],[Société]]&amp;" - "&amp;TL[[#This Row],[Compte]]</f>
        <v>VR7 - 791104</v>
      </c>
      <c r="B453" s="233" t="s">
        <v>2086</v>
      </c>
      <c r="C453" s="227" t="s">
        <v>3380</v>
      </c>
      <c r="D453" s="233" t="s">
        <v>13</v>
      </c>
      <c r="E453" s="233" t="s">
        <v>12</v>
      </c>
      <c r="F453" s="227" t="s">
        <v>3003</v>
      </c>
    </row>
    <row r="454" spans="1:6" x14ac:dyDescent="0.25">
      <c r="A454" s="227" t="str">
        <f>TL[[#This Row],[Société]]&amp;" - "&amp;TL[[#This Row],[Compte]]</f>
        <v>VR7 - 791110</v>
      </c>
      <c r="B454" s="233" t="s">
        <v>2087</v>
      </c>
      <c r="C454" s="227" t="s">
        <v>2287</v>
      </c>
      <c r="D454" s="233" t="s">
        <v>13</v>
      </c>
      <c r="E454" s="233" t="s">
        <v>12</v>
      </c>
      <c r="F454" s="227" t="s">
        <v>3003</v>
      </c>
    </row>
    <row r="455" spans="1:6" x14ac:dyDescent="0.25">
      <c r="A455" s="227" t="str">
        <f>TL[[#This Row],[Société]]&amp;" - "&amp;TL[[#This Row],[Compte]]</f>
        <v>VR7 - 791111</v>
      </c>
      <c r="B455" s="233" t="s">
        <v>3381</v>
      </c>
      <c r="C455" s="227" t="s">
        <v>3294</v>
      </c>
      <c r="D455" s="233" t="s">
        <v>13</v>
      </c>
      <c r="E455" s="233" t="s">
        <v>12</v>
      </c>
      <c r="F455" s="227" t="s">
        <v>3003</v>
      </c>
    </row>
    <row r="456" spans="1:6" x14ac:dyDescent="0.25">
      <c r="A456" s="227" t="str">
        <f>TL[[#This Row],[Société]]&amp;" - "&amp;TL[[#This Row],[Compte]]</f>
        <v>VR7 - 890000</v>
      </c>
      <c r="B456" s="233" t="s">
        <v>2092</v>
      </c>
      <c r="C456" s="227" t="s">
        <v>631</v>
      </c>
      <c r="F456" s="227" t="s">
        <v>3003</v>
      </c>
    </row>
    <row r="457" spans="1:6" x14ac:dyDescent="0.25">
      <c r="A457" s="227" t="str">
        <f>TL[[#This Row],[Société]]&amp;" - "&amp;TL[[#This Row],[Compte]]</f>
        <v>TH4 - 10110000</v>
      </c>
      <c r="B457" s="233" t="s">
        <v>3382</v>
      </c>
      <c r="C457" s="227" t="s">
        <v>950</v>
      </c>
      <c r="F457" s="227" t="s">
        <v>297</v>
      </c>
    </row>
    <row r="458" spans="1:6" x14ac:dyDescent="0.25">
      <c r="A458" s="227" t="str">
        <f>TL[[#This Row],[Société]]&amp;" - "&amp;TL[[#This Row],[Compte]]</f>
        <v>TH4 - 10130000</v>
      </c>
      <c r="B458" s="233" t="s">
        <v>3383</v>
      </c>
      <c r="C458" s="227" t="s">
        <v>951</v>
      </c>
      <c r="F458" s="227" t="s">
        <v>297</v>
      </c>
    </row>
    <row r="459" spans="1:6" x14ac:dyDescent="0.25">
      <c r="A459" s="227" t="str">
        <f>TL[[#This Row],[Société]]&amp;" - "&amp;TL[[#This Row],[Compte]]</f>
        <v>TH4 - 10610000</v>
      </c>
      <c r="B459" s="233" t="s">
        <v>3384</v>
      </c>
      <c r="C459" s="227" t="s">
        <v>642</v>
      </c>
      <c r="F459" s="227" t="s">
        <v>297</v>
      </c>
    </row>
    <row r="460" spans="1:6" x14ac:dyDescent="0.25">
      <c r="A460" s="227" t="str">
        <f>TL[[#This Row],[Société]]&amp;" - "&amp;TL[[#This Row],[Compte]]</f>
        <v>TH4 - 10630000</v>
      </c>
      <c r="B460" s="233" t="s">
        <v>3385</v>
      </c>
      <c r="C460" s="227" t="s">
        <v>952</v>
      </c>
      <c r="F460" s="227" t="s">
        <v>297</v>
      </c>
    </row>
    <row r="461" spans="1:6" x14ac:dyDescent="0.25">
      <c r="A461" s="227" t="str">
        <f>TL[[#This Row],[Société]]&amp;" - "&amp;TL[[#This Row],[Compte]]</f>
        <v>TH4 - 10680000</v>
      </c>
      <c r="B461" s="233" t="s">
        <v>3386</v>
      </c>
      <c r="C461" s="227" t="s">
        <v>644</v>
      </c>
      <c r="F461" s="227" t="s">
        <v>297</v>
      </c>
    </row>
    <row r="462" spans="1:6" x14ac:dyDescent="0.25">
      <c r="A462" s="227" t="str">
        <f>TL[[#This Row],[Société]]&amp;" - "&amp;TL[[#This Row],[Compte]]</f>
        <v>TH4 - 10681000</v>
      </c>
      <c r="B462" s="233" t="s">
        <v>3387</v>
      </c>
      <c r="C462" s="227" t="s">
        <v>1385</v>
      </c>
      <c r="F462" s="227" t="s">
        <v>297</v>
      </c>
    </row>
    <row r="463" spans="1:6" x14ac:dyDescent="0.25">
      <c r="A463" s="227" t="str">
        <f>TL[[#This Row],[Société]]&amp;" - "&amp;TL[[#This Row],[Compte]]</f>
        <v>TH4 - 11900000</v>
      </c>
      <c r="B463" s="233" t="s">
        <v>3388</v>
      </c>
      <c r="C463" s="227" t="s">
        <v>953</v>
      </c>
      <c r="F463" s="227" t="s">
        <v>297</v>
      </c>
    </row>
    <row r="464" spans="1:6" x14ac:dyDescent="0.25">
      <c r="A464" s="227" t="str">
        <f>TL[[#This Row],[Société]]&amp;" - "&amp;TL[[#This Row],[Compte]]</f>
        <v>TH4 - 12000000</v>
      </c>
      <c r="B464" s="233" t="s">
        <v>3389</v>
      </c>
      <c r="C464" s="227" t="s">
        <v>954</v>
      </c>
      <c r="F464" s="227" t="s">
        <v>297</v>
      </c>
    </row>
    <row r="465" spans="1:6" x14ac:dyDescent="0.25">
      <c r="A465" s="227" t="str">
        <f>TL[[#This Row],[Société]]&amp;" - "&amp;TL[[#This Row],[Compte]]</f>
        <v>TH4 - 12900000</v>
      </c>
      <c r="B465" s="233" t="s">
        <v>3390</v>
      </c>
      <c r="C465" s="227" t="s">
        <v>543</v>
      </c>
      <c r="F465" s="227" t="s">
        <v>297</v>
      </c>
    </row>
    <row r="466" spans="1:6" x14ac:dyDescent="0.25">
      <c r="A466" s="227" t="str">
        <f>TL[[#This Row],[Société]]&amp;" - "&amp;TL[[#This Row],[Compte]]</f>
        <v>TH4 - 14500000</v>
      </c>
      <c r="B466" s="233" t="s">
        <v>3391</v>
      </c>
      <c r="C466" s="227" t="s">
        <v>955</v>
      </c>
      <c r="F466" s="227" t="s">
        <v>297</v>
      </c>
    </row>
    <row r="467" spans="1:6" x14ac:dyDescent="0.25">
      <c r="A467" s="227" t="str">
        <f>TL[[#This Row],[Société]]&amp;" - "&amp;TL[[#This Row],[Compte]]</f>
        <v>TH4 - 15180000</v>
      </c>
      <c r="B467" s="233" t="s">
        <v>3392</v>
      </c>
      <c r="C467" s="227" t="s">
        <v>545</v>
      </c>
      <c r="F467" s="227" t="s">
        <v>297</v>
      </c>
    </row>
    <row r="468" spans="1:6" x14ac:dyDescent="0.25">
      <c r="A468" s="227" t="str">
        <f>TL[[#This Row],[Société]]&amp;" - "&amp;TL[[#This Row],[Compte]]</f>
        <v>TH4 - 15300000</v>
      </c>
      <c r="B468" s="233" t="s">
        <v>3393</v>
      </c>
      <c r="C468" s="227" t="s">
        <v>546</v>
      </c>
      <c r="F468" s="227" t="s">
        <v>297</v>
      </c>
    </row>
    <row r="469" spans="1:6" x14ac:dyDescent="0.25">
      <c r="A469" s="227" t="str">
        <f>TL[[#This Row],[Société]]&amp;" - "&amp;TL[[#This Row],[Compte]]</f>
        <v>TH4 - 15800000</v>
      </c>
      <c r="B469" s="233" t="s">
        <v>3394</v>
      </c>
      <c r="C469" s="227" t="s">
        <v>547</v>
      </c>
      <c r="F469" s="227" t="s">
        <v>297</v>
      </c>
    </row>
    <row r="470" spans="1:6" x14ac:dyDescent="0.25">
      <c r="A470" s="227" t="str">
        <f>TL[[#This Row],[Société]]&amp;" - "&amp;TL[[#This Row],[Compte]]</f>
        <v>TH4 - 16410000</v>
      </c>
      <c r="B470" s="233" t="s">
        <v>3395</v>
      </c>
      <c r="C470" s="227" t="s">
        <v>1450</v>
      </c>
      <c r="F470" s="227" t="s">
        <v>297</v>
      </c>
    </row>
    <row r="471" spans="1:6" x14ac:dyDescent="0.25">
      <c r="A471" s="227" t="str">
        <f>TL[[#This Row],[Société]]&amp;" - "&amp;TL[[#This Row],[Compte]]</f>
        <v>TH4 - 16420000</v>
      </c>
      <c r="B471" s="233" t="s">
        <v>3396</v>
      </c>
      <c r="C471" s="227" t="s">
        <v>1451</v>
      </c>
      <c r="F471" s="227" t="s">
        <v>297</v>
      </c>
    </row>
    <row r="472" spans="1:6" x14ac:dyDescent="0.25">
      <c r="A472" s="227" t="str">
        <f>TL[[#This Row],[Société]]&amp;" - "&amp;TL[[#This Row],[Compte]]</f>
        <v>TH4 - 16430000</v>
      </c>
      <c r="B472" s="233" t="s">
        <v>3397</v>
      </c>
      <c r="C472" s="227" t="s">
        <v>1452</v>
      </c>
      <c r="F472" s="227" t="s">
        <v>297</v>
      </c>
    </row>
    <row r="473" spans="1:6" x14ac:dyDescent="0.25">
      <c r="A473" s="227" t="str">
        <f>TL[[#This Row],[Société]]&amp;" - "&amp;TL[[#This Row],[Compte]]</f>
        <v>TH4 - 16440000</v>
      </c>
      <c r="B473" s="233" t="s">
        <v>3398</v>
      </c>
      <c r="C473" s="227" t="s">
        <v>1453</v>
      </c>
      <c r="F473" s="227" t="s">
        <v>297</v>
      </c>
    </row>
    <row r="474" spans="1:6" x14ac:dyDescent="0.25">
      <c r="A474" s="227" t="str">
        <f>TL[[#This Row],[Société]]&amp;" - "&amp;TL[[#This Row],[Compte]]</f>
        <v>TH4 - 16450000</v>
      </c>
      <c r="B474" s="233" t="s">
        <v>3399</v>
      </c>
      <c r="C474" s="227" t="s">
        <v>1454</v>
      </c>
      <c r="F474" s="227" t="s">
        <v>297</v>
      </c>
    </row>
    <row r="475" spans="1:6" x14ac:dyDescent="0.25">
      <c r="A475" s="227" t="str">
        <f>TL[[#This Row],[Société]]&amp;" - "&amp;TL[[#This Row],[Compte]]</f>
        <v>TH4 - 16880000</v>
      </c>
      <c r="B475" s="233" t="s">
        <v>3400</v>
      </c>
      <c r="C475" s="227" t="s">
        <v>956</v>
      </c>
      <c r="F475" s="227" t="s">
        <v>297</v>
      </c>
    </row>
    <row r="476" spans="1:6" x14ac:dyDescent="0.25">
      <c r="A476" s="227" t="str">
        <f>TL[[#This Row],[Société]]&amp;" - "&amp;TL[[#This Row],[Compte]]</f>
        <v>TH4 - 20110000</v>
      </c>
      <c r="B476" s="233" t="s">
        <v>3401</v>
      </c>
      <c r="C476" s="227" t="s">
        <v>957</v>
      </c>
      <c r="F476" s="227" t="s">
        <v>297</v>
      </c>
    </row>
    <row r="477" spans="1:6" x14ac:dyDescent="0.25">
      <c r="A477" s="227" t="str">
        <f>TL[[#This Row],[Société]]&amp;" - "&amp;TL[[#This Row],[Compte]]</f>
        <v>TH4 - 20500000</v>
      </c>
      <c r="B477" s="233" t="s">
        <v>3402</v>
      </c>
      <c r="C477" s="227" t="s">
        <v>958</v>
      </c>
      <c r="F477" s="227" t="s">
        <v>297</v>
      </c>
    </row>
    <row r="478" spans="1:6" x14ac:dyDescent="0.25">
      <c r="A478" s="227" t="str">
        <f>TL[[#This Row],[Société]]&amp;" - "&amp;TL[[#This Row],[Compte]]</f>
        <v>TH4 - 21540000</v>
      </c>
      <c r="B478" s="233" t="s">
        <v>3403</v>
      </c>
      <c r="C478" s="227" t="s">
        <v>959</v>
      </c>
      <c r="F478" s="227" t="s">
        <v>297</v>
      </c>
    </row>
    <row r="479" spans="1:6" x14ac:dyDescent="0.25">
      <c r="A479" s="227" t="str">
        <f>TL[[#This Row],[Société]]&amp;" - "&amp;TL[[#This Row],[Compte]]</f>
        <v>TH4 - 21550000</v>
      </c>
      <c r="B479" s="233" t="s">
        <v>3404</v>
      </c>
      <c r="C479" s="227" t="s">
        <v>551</v>
      </c>
      <c r="F479" s="227" t="s">
        <v>297</v>
      </c>
    </row>
    <row r="480" spans="1:6" x14ac:dyDescent="0.25">
      <c r="A480" s="227" t="str">
        <f>TL[[#This Row],[Société]]&amp;" - "&amp;TL[[#This Row],[Compte]]</f>
        <v>TH4 - 21570000</v>
      </c>
      <c r="B480" s="233" t="s">
        <v>3405</v>
      </c>
      <c r="C480" s="227" t="s">
        <v>960</v>
      </c>
      <c r="F480" s="227" t="s">
        <v>297</v>
      </c>
    </row>
    <row r="481" spans="1:6" x14ac:dyDescent="0.25">
      <c r="A481" s="227" t="str">
        <f>TL[[#This Row],[Société]]&amp;" - "&amp;TL[[#This Row],[Compte]]</f>
        <v>TH4 - 21810000</v>
      </c>
      <c r="B481" s="233" t="s">
        <v>3406</v>
      </c>
      <c r="C481" s="227" t="s">
        <v>552</v>
      </c>
      <c r="F481" s="227" t="s">
        <v>297</v>
      </c>
    </row>
    <row r="482" spans="1:6" x14ac:dyDescent="0.25">
      <c r="A482" s="227" t="str">
        <f>TL[[#This Row],[Société]]&amp;" - "&amp;TL[[#This Row],[Compte]]</f>
        <v>TH4 - 21830000</v>
      </c>
      <c r="B482" s="233" t="s">
        <v>3407</v>
      </c>
      <c r="C482" s="227" t="s">
        <v>961</v>
      </c>
      <c r="F482" s="227" t="s">
        <v>297</v>
      </c>
    </row>
    <row r="483" spans="1:6" x14ac:dyDescent="0.25">
      <c r="A483" s="227" t="str">
        <f>TL[[#This Row],[Société]]&amp;" - "&amp;TL[[#This Row],[Compte]]</f>
        <v>TH4 - 21840000</v>
      </c>
      <c r="B483" s="233" t="s">
        <v>3408</v>
      </c>
      <c r="C483" s="227" t="s">
        <v>555</v>
      </c>
      <c r="F483" s="227" t="s">
        <v>297</v>
      </c>
    </row>
    <row r="484" spans="1:6" x14ac:dyDescent="0.25">
      <c r="A484" s="227" t="str">
        <f>TL[[#This Row],[Société]]&amp;" - "&amp;TL[[#This Row],[Compte]]</f>
        <v>TH4 - 21860000</v>
      </c>
      <c r="B484" s="233" t="s">
        <v>3409</v>
      </c>
      <c r="C484" s="227" t="s">
        <v>1455</v>
      </c>
      <c r="F484" s="227" t="s">
        <v>297</v>
      </c>
    </row>
    <row r="485" spans="1:6" x14ac:dyDescent="0.25">
      <c r="A485" s="227" t="str">
        <f>TL[[#This Row],[Société]]&amp;" - "&amp;TL[[#This Row],[Compte]]</f>
        <v>TH4 - 26100000</v>
      </c>
      <c r="B485" s="233" t="s">
        <v>3410</v>
      </c>
      <c r="C485" s="227" t="s">
        <v>962</v>
      </c>
      <c r="F485" s="227" t="s">
        <v>297</v>
      </c>
    </row>
    <row r="486" spans="1:6" x14ac:dyDescent="0.25">
      <c r="A486" s="227" t="str">
        <f>TL[[#This Row],[Société]]&amp;" - "&amp;TL[[#This Row],[Compte]]</f>
        <v>TH4 - 27110000</v>
      </c>
      <c r="B486" s="233" t="s">
        <v>3411</v>
      </c>
      <c r="C486" s="227" t="s">
        <v>1456</v>
      </c>
      <c r="F486" s="227" t="s">
        <v>297</v>
      </c>
    </row>
    <row r="487" spans="1:6" x14ac:dyDescent="0.25">
      <c r="A487" s="227" t="str">
        <f>TL[[#This Row],[Société]]&amp;" - "&amp;TL[[#This Row],[Compte]]</f>
        <v>TH4 - 27500000</v>
      </c>
      <c r="B487" s="233" t="s">
        <v>3412</v>
      </c>
      <c r="C487" s="227" t="s">
        <v>556</v>
      </c>
      <c r="F487" s="227" t="s">
        <v>297</v>
      </c>
    </row>
    <row r="488" spans="1:6" x14ac:dyDescent="0.25">
      <c r="A488" s="227" t="str">
        <f>TL[[#This Row],[Société]]&amp;" - "&amp;TL[[#This Row],[Compte]]</f>
        <v>TH4 - 27510000</v>
      </c>
      <c r="B488" s="233" t="s">
        <v>3413</v>
      </c>
      <c r="C488" s="227" t="s">
        <v>1386</v>
      </c>
      <c r="F488" s="227" t="s">
        <v>297</v>
      </c>
    </row>
    <row r="489" spans="1:6" x14ac:dyDescent="0.25">
      <c r="A489" s="227" t="str">
        <f>TL[[#This Row],[Société]]&amp;" - "&amp;TL[[#This Row],[Compte]]</f>
        <v>TH4 - 27550000</v>
      </c>
      <c r="B489" s="233" t="s">
        <v>3414</v>
      </c>
      <c r="C489" s="227" t="s">
        <v>837</v>
      </c>
      <c r="F489" s="227" t="s">
        <v>297</v>
      </c>
    </row>
    <row r="490" spans="1:6" x14ac:dyDescent="0.25">
      <c r="A490" s="227" t="str">
        <f>TL[[#This Row],[Société]]&amp;" - "&amp;TL[[#This Row],[Compte]]</f>
        <v>TH4 - 28011000</v>
      </c>
      <c r="B490" s="233" t="s">
        <v>3415</v>
      </c>
      <c r="C490" s="227" t="s">
        <v>963</v>
      </c>
      <c r="F490" s="227" t="s">
        <v>297</v>
      </c>
    </row>
    <row r="491" spans="1:6" x14ac:dyDescent="0.25">
      <c r="A491" s="227" t="str">
        <f>TL[[#This Row],[Société]]&amp;" - "&amp;TL[[#This Row],[Compte]]</f>
        <v>TH4 - 28050000</v>
      </c>
      <c r="B491" s="233" t="s">
        <v>3416</v>
      </c>
      <c r="C491" s="227" t="s">
        <v>964</v>
      </c>
      <c r="F491" s="227" t="s">
        <v>297</v>
      </c>
    </row>
    <row r="492" spans="1:6" x14ac:dyDescent="0.25">
      <c r="A492" s="227" t="str">
        <f>TL[[#This Row],[Société]]&amp;" - "&amp;TL[[#This Row],[Compte]]</f>
        <v>TH4 - 28154000</v>
      </c>
      <c r="B492" s="233" t="s">
        <v>3417</v>
      </c>
      <c r="C492" s="227" t="s">
        <v>965</v>
      </c>
      <c r="F492" s="227" t="s">
        <v>297</v>
      </c>
    </row>
    <row r="493" spans="1:6" x14ac:dyDescent="0.25">
      <c r="A493" s="227" t="str">
        <f>TL[[#This Row],[Société]]&amp;" - "&amp;TL[[#This Row],[Compte]]</f>
        <v>TH4 - 28155000</v>
      </c>
      <c r="B493" s="233" t="s">
        <v>3418</v>
      </c>
      <c r="C493" s="227" t="s">
        <v>966</v>
      </c>
      <c r="F493" s="227" t="s">
        <v>297</v>
      </c>
    </row>
    <row r="494" spans="1:6" x14ac:dyDescent="0.25">
      <c r="A494" s="227" t="str">
        <f>TL[[#This Row],[Société]]&amp;" - "&amp;TL[[#This Row],[Compte]]</f>
        <v>TH4 - 28157000</v>
      </c>
      <c r="B494" s="233" t="s">
        <v>3419</v>
      </c>
      <c r="C494" s="227" t="s">
        <v>967</v>
      </c>
      <c r="F494" s="227" t="s">
        <v>297</v>
      </c>
    </row>
    <row r="495" spans="1:6" x14ac:dyDescent="0.25">
      <c r="A495" s="227" t="str">
        <f>TL[[#This Row],[Société]]&amp;" - "&amp;TL[[#This Row],[Compte]]</f>
        <v>TH4 - 28181000</v>
      </c>
      <c r="B495" s="233" t="s">
        <v>3420</v>
      </c>
      <c r="C495" s="227" t="s">
        <v>968</v>
      </c>
      <c r="F495" s="227" t="s">
        <v>297</v>
      </c>
    </row>
    <row r="496" spans="1:6" x14ac:dyDescent="0.25">
      <c r="A496" s="227" t="str">
        <f>TL[[#This Row],[Société]]&amp;" - "&amp;TL[[#This Row],[Compte]]</f>
        <v>TH4 - 28183000</v>
      </c>
      <c r="B496" s="233" t="s">
        <v>3421</v>
      </c>
      <c r="C496" s="227" t="s">
        <v>969</v>
      </c>
      <c r="F496" s="227" t="s">
        <v>297</v>
      </c>
    </row>
    <row r="497" spans="1:6" x14ac:dyDescent="0.25">
      <c r="A497" s="227" t="str">
        <f>TL[[#This Row],[Société]]&amp;" - "&amp;TL[[#This Row],[Compte]]</f>
        <v>TH4 - 28184000</v>
      </c>
      <c r="B497" s="233" t="s">
        <v>3422</v>
      </c>
      <c r="C497" s="227" t="s">
        <v>970</v>
      </c>
      <c r="F497" s="227" t="s">
        <v>297</v>
      </c>
    </row>
    <row r="498" spans="1:6" x14ac:dyDescent="0.25">
      <c r="A498" s="227" t="str">
        <f>TL[[#This Row],[Société]]&amp;" - "&amp;TL[[#This Row],[Compte]]</f>
        <v>TH4 - 31000000</v>
      </c>
      <c r="B498" s="233" t="s">
        <v>3423</v>
      </c>
      <c r="C498" s="227" t="s">
        <v>971</v>
      </c>
      <c r="F498" s="227" t="s">
        <v>297</v>
      </c>
    </row>
    <row r="499" spans="1:6" x14ac:dyDescent="0.25">
      <c r="A499" s="227" t="str">
        <f>TL[[#This Row],[Société]]&amp;" - "&amp;TL[[#This Row],[Compte]]</f>
        <v>TH4 - 32000000</v>
      </c>
      <c r="B499" s="233" t="s">
        <v>3424</v>
      </c>
      <c r="C499" s="227" t="s">
        <v>972</v>
      </c>
      <c r="F499" s="227" t="s">
        <v>297</v>
      </c>
    </row>
    <row r="500" spans="1:6" x14ac:dyDescent="0.25">
      <c r="A500" s="227" t="str">
        <f>TL[[#This Row],[Société]]&amp;" - "&amp;TL[[#This Row],[Compte]]</f>
        <v>TH4 - 32100000</v>
      </c>
      <c r="B500" s="233" t="s">
        <v>3425</v>
      </c>
      <c r="C500" s="227" t="s">
        <v>973</v>
      </c>
      <c r="F500" s="227" t="s">
        <v>297</v>
      </c>
    </row>
    <row r="501" spans="1:6" x14ac:dyDescent="0.25">
      <c r="A501" s="227" t="str">
        <f>TL[[#This Row],[Société]]&amp;" - "&amp;TL[[#This Row],[Compte]]</f>
        <v>TH4 - 32200000</v>
      </c>
      <c r="B501" s="233" t="s">
        <v>3426</v>
      </c>
      <c r="C501" s="227" t="s">
        <v>974</v>
      </c>
      <c r="F501" s="227" t="s">
        <v>297</v>
      </c>
    </row>
    <row r="502" spans="1:6" x14ac:dyDescent="0.25">
      <c r="A502" s="227" t="str">
        <f>TL[[#This Row],[Société]]&amp;" - "&amp;TL[[#This Row],[Compte]]</f>
        <v>TH4 - 40100000</v>
      </c>
      <c r="B502" s="233" t="s">
        <v>3427</v>
      </c>
      <c r="C502" s="227" t="s">
        <v>564</v>
      </c>
      <c r="F502" s="227" t="s">
        <v>297</v>
      </c>
    </row>
    <row r="503" spans="1:6" x14ac:dyDescent="0.25">
      <c r="A503" s="227" t="str">
        <f>TL[[#This Row],[Société]]&amp;" - "&amp;TL[[#This Row],[Compte]]</f>
        <v>TH4 - 40410000</v>
      </c>
      <c r="B503" s="233" t="s">
        <v>3428</v>
      </c>
      <c r="C503" s="227" t="s">
        <v>846</v>
      </c>
      <c r="F503" s="227" t="s">
        <v>297</v>
      </c>
    </row>
    <row r="504" spans="1:6" x14ac:dyDescent="0.25">
      <c r="A504" s="227" t="str">
        <f>TL[[#This Row],[Société]]&amp;" - "&amp;TL[[#This Row],[Compte]]</f>
        <v>TH4 - 40810000</v>
      </c>
      <c r="B504" s="233" t="s">
        <v>3429</v>
      </c>
      <c r="C504" s="227" t="s">
        <v>975</v>
      </c>
      <c r="F504" s="227" t="s">
        <v>297</v>
      </c>
    </row>
    <row r="505" spans="1:6" x14ac:dyDescent="0.25">
      <c r="A505" s="227" t="str">
        <f>TL[[#This Row],[Société]]&amp;" - "&amp;TL[[#This Row],[Compte]]</f>
        <v>TH4 - 40840000</v>
      </c>
      <c r="B505" s="233" t="s">
        <v>3430</v>
      </c>
      <c r="C505" s="227" t="s">
        <v>976</v>
      </c>
      <c r="F505" s="227" t="s">
        <v>297</v>
      </c>
    </row>
    <row r="506" spans="1:6" x14ac:dyDescent="0.25">
      <c r="A506" s="227" t="str">
        <f>TL[[#This Row],[Société]]&amp;" - "&amp;TL[[#This Row],[Compte]]</f>
        <v>TH4 - 40910000</v>
      </c>
      <c r="B506" s="233" t="s">
        <v>3431</v>
      </c>
      <c r="C506" s="227" t="s">
        <v>977</v>
      </c>
      <c r="F506" s="227" t="s">
        <v>297</v>
      </c>
    </row>
    <row r="507" spans="1:6" x14ac:dyDescent="0.25">
      <c r="A507" s="227" t="str">
        <f>TL[[#This Row],[Société]]&amp;" - "&amp;TL[[#This Row],[Compte]]</f>
        <v>TH4 - 40960000</v>
      </c>
      <c r="B507" s="233" t="s">
        <v>3432</v>
      </c>
      <c r="C507" s="227" t="s">
        <v>978</v>
      </c>
      <c r="F507" s="227" t="s">
        <v>297</v>
      </c>
    </row>
    <row r="508" spans="1:6" x14ac:dyDescent="0.25">
      <c r="A508" s="227" t="str">
        <f>TL[[#This Row],[Société]]&amp;" - "&amp;TL[[#This Row],[Compte]]</f>
        <v>TH4 - 40970000</v>
      </c>
      <c r="B508" s="233" t="s">
        <v>3433</v>
      </c>
      <c r="C508" s="227" t="s">
        <v>979</v>
      </c>
      <c r="F508" s="227" t="s">
        <v>297</v>
      </c>
    </row>
    <row r="509" spans="1:6" x14ac:dyDescent="0.25">
      <c r="A509" s="227" t="str">
        <f>TL[[#This Row],[Société]]&amp;" - "&amp;TL[[#This Row],[Compte]]</f>
        <v>TH4 - 40980000</v>
      </c>
      <c r="B509" s="233" t="s">
        <v>3434</v>
      </c>
      <c r="C509" s="227" t="s">
        <v>980</v>
      </c>
      <c r="F509" s="227" t="s">
        <v>297</v>
      </c>
    </row>
    <row r="510" spans="1:6" x14ac:dyDescent="0.25">
      <c r="A510" s="227" t="str">
        <f>TL[[#This Row],[Société]]&amp;" - "&amp;TL[[#This Row],[Compte]]</f>
        <v>TH4 - 41100000</v>
      </c>
      <c r="B510" s="233" t="s">
        <v>1575</v>
      </c>
      <c r="C510" s="227" t="s">
        <v>568</v>
      </c>
      <c r="F510" s="227" t="s">
        <v>297</v>
      </c>
    </row>
    <row r="511" spans="1:6" x14ac:dyDescent="0.25">
      <c r="A511" s="227" t="str">
        <f>TL[[#This Row],[Société]]&amp;" - "&amp;TL[[#This Row],[Compte]]</f>
        <v>TH4 - 41300000</v>
      </c>
      <c r="B511" s="233" t="s">
        <v>3435</v>
      </c>
      <c r="C511" s="227" t="s">
        <v>981</v>
      </c>
      <c r="F511" s="227" t="s">
        <v>297</v>
      </c>
    </row>
    <row r="512" spans="1:6" x14ac:dyDescent="0.25">
      <c r="A512" s="227" t="str">
        <f>TL[[#This Row],[Société]]&amp;" - "&amp;TL[[#This Row],[Compte]]</f>
        <v>TH4 - 41600000</v>
      </c>
      <c r="B512" s="233" t="s">
        <v>3436</v>
      </c>
      <c r="C512" s="227" t="s">
        <v>569</v>
      </c>
      <c r="F512" s="227" t="s">
        <v>297</v>
      </c>
    </row>
    <row r="513" spans="1:6" x14ac:dyDescent="0.25">
      <c r="A513" s="227" t="str">
        <f>TL[[#This Row],[Société]]&amp;" - "&amp;TL[[#This Row],[Compte]]</f>
        <v>TH4 - 41810000</v>
      </c>
      <c r="B513" s="233" t="s">
        <v>3437</v>
      </c>
      <c r="C513" s="227" t="s">
        <v>982</v>
      </c>
      <c r="F513" s="227" t="s">
        <v>297</v>
      </c>
    </row>
    <row r="514" spans="1:6" x14ac:dyDescent="0.25">
      <c r="A514" s="227" t="str">
        <f>TL[[#This Row],[Société]]&amp;" - "&amp;TL[[#This Row],[Compte]]</f>
        <v>TH4 - 42100000</v>
      </c>
      <c r="B514" s="233" t="s">
        <v>3438</v>
      </c>
      <c r="C514" s="227" t="s">
        <v>530</v>
      </c>
      <c r="F514" s="227" t="s">
        <v>297</v>
      </c>
    </row>
    <row r="515" spans="1:6" x14ac:dyDescent="0.25">
      <c r="A515" s="227" t="str">
        <f>TL[[#This Row],[Société]]&amp;" - "&amp;TL[[#This Row],[Compte]]</f>
        <v>TH4 - 42101000</v>
      </c>
      <c r="B515" s="233" t="s">
        <v>3439</v>
      </c>
      <c r="C515" s="227" t="s">
        <v>1387</v>
      </c>
      <c r="F515" s="227" t="s">
        <v>297</v>
      </c>
    </row>
    <row r="516" spans="1:6" x14ac:dyDescent="0.25">
      <c r="A516" s="227" t="str">
        <f>TL[[#This Row],[Société]]&amp;" - "&amp;TL[[#This Row],[Compte]]</f>
        <v>TH4 - 42144400</v>
      </c>
      <c r="B516" s="233" t="s">
        <v>3440</v>
      </c>
      <c r="C516" s="227" t="s">
        <v>983</v>
      </c>
      <c r="F516" s="227" t="s">
        <v>297</v>
      </c>
    </row>
    <row r="517" spans="1:6" x14ac:dyDescent="0.25">
      <c r="A517" s="227" t="str">
        <f>TL[[#This Row],[Société]]&amp;" - "&amp;TL[[#This Row],[Compte]]</f>
        <v>TH4 - 42500000</v>
      </c>
      <c r="B517" s="233" t="s">
        <v>3441</v>
      </c>
      <c r="C517" s="227" t="s">
        <v>571</v>
      </c>
      <c r="F517" s="227" t="s">
        <v>297</v>
      </c>
    </row>
    <row r="518" spans="1:6" x14ac:dyDescent="0.25">
      <c r="A518" s="227" t="str">
        <f>TL[[#This Row],[Société]]&amp;" - "&amp;TL[[#This Row],[Compte]]</f>
        <v>TH4 - 42700000</v>
      </c>
      <c r="B518" s="233" t="s">
        <v>3442</v>
      </c>
      <c r="C518" s="227" t="s">
        <v>572</v>
      </c>
      <c r="F518" s="227" t="s">
        <v>297</v>
      </c>
    </row>
    <row r="519" spans="1:6" x14ac:dyDescent="0.25">
      <c r="A519" s="227" t="str">
        <f>TL[[#This Row],[Société]]&amp;" - "&amp;TL[[#This Row],[Compte]]</f>
        <v>TH4 - 42820000</v>
      </c>
      <c r="B519" s="233" t="s">
        <v>3443</v>
      </c>
      <c r="C519" s="227" t="s">
        <v>984</v>
      </c>
      <c r="F519" s="227" t="s">
        <v>297</v>
      </c>
    </row>
    <row r="520" spans="1:6" x14ac:dyDescent="0.25">
      <c r="A520" s="227" t="str">
        <f>TL[[#This Row],[Société]]&amp;" - "&amp;TL[[#This Row],[Compte]]</f>
        <v>TH4 - 42830000</v>
      </c>
      <c r="B520" s="233" t="s">
        <v>3444</v>
      </c>
      <c r="C520" s="227" t="s">
        <v>985</v>
      </c>
      <c r="F520" s="227" t="s">
        <v>297</v>
      </c>
    </row>
    <row r="521" spans="1:6" x14ac:dyDescent="0.25">
      <c r="A521" s="227" t="str">
        <f>TL[[#This Row],[Société]]&amp;" - "&amp;TL[[#This Row],[Compte]]</f>
        <v>TH4 - 43100000</v>
      </c>
      <c r="B521" s="233" t="s">
        <v>3445</v>
      </c>
      <c r="C521" s="227" t="s">
        <v>573</v>
      </c>
      <c r="F521" s="227" t="s">
        <v>297</v>
      </c>
    </row>
    <row r="522" spans="1:6" x14ac:dyDescent="0.25">
      <c r="A522" s="227" t="str">
        <f>TL[[#This Row],[Société]]&amp;" - "&amp;TL[[#This Row],[Compte]]</f>
        <v>TH4 - 43700000</v>
      </c>
      <c r="B522" s="233" t="s">
        <v>3446</v>
      </c>
      <c r="C522" s="227" t="s">
        <v>676</v>
      </c>
      <c r="F522" s="227" t="s">
        <v>297</v>
      </c>
    </row>
    <row r="523" spans="1:6" x14ac:dyDescent="0.25">
      <c r="A523" s="227" t="str">
        <f>TL[[#This Row],[Société]]&amp;" - "&amp;TL[[#This Row],[Compte]]</f>
        <v>TH4 - 43701000</v>
      </c>
      <c r="B523" s="233" t="s">
        <v>3447</v>
      </c>
      <c r="C523" s="227" t="s">
        <v>1457</v>
      </c>
      <c r="F523" s="227" t="s">
        <v>297</v>
      </c>
    </row>
    <row r="524" spans="1:6" x14ac:dyDescent="0.25">
      <c r="A524" s="227" t="str">
        <f>TL[[#This Row],[Société]]&amp;" - "&amp;TL[[#This Row],[Compte]]</f>
        <v>TH4 - 43701500</v>
      </c>
      <c r="B524" s="233" t="s">
        <v>3448</v>
      </c>
      <c r="C524" s="227" t="s">
        <v>1388</v>
      </c>
      <c r="F524" s="227" t="s">
        <v>297</v>
      </c>
    </row>
    <row r="525" spans="1:6" x14ac:dyDescent="0.25">
      <c r="A525" s="227" t="str">
        <f>TL[[#This Row],[Société]]&amp;" - "&amp;TL[[#This Row],[Compte]]</f>
        <v>TH4 - 43702000</v>
      </c>
      <c r="B525" s="233" t="s">
        <v>3449</v>
      </c>
      <c r="C525" s="227" t="s">
        <v>1458</v>
      </c>
      <c r="F525" s="227" t="s">
        <v>297</v>
      </c>
    </row>
    <row r="526" spans="1:6" x14ac:dyDescent="0.25">
      <c r="A526" s="227" t="str">
        <f>TL[[#This Row],[Société]]&amp;" - "&amp;TL[[#This Row],[Compte]]</f>
        <v>TH4 - 43702500</v>
      </c>
      <c r="B526" s="233" t="s">
        <v>3450</v>
      </c>
      <c r="C526" s="227" t="s">
        <v>1459</v>
      </c>
      <c r="F526" s="227" t="s">
        <v>297</v>
      </c>
    </row>
    <row r="527" spans="1:6" x14ac:dyDescent="0.25">
      <c r="A527" s="227" t="str">
        <f>TL[[#This Row],[Société]]&amp;" - "&amp;TL[[#This Row],[Compte]]</f>
        <v>TH4 - 43702600</v>
      </c>
      <c r="B527" s="233" t="s">
        <v>3451</v>
      </c>
      <c r="C527" s="227" t="s">
        <v>1460</v>
      </c>
      <c r="F527" s="227" t="s">
        <v>297</v>
      </c>
    </row>
    <row r="528" spans="1:6" x14ac:dyDescent="0.25">
      <c r="A528" s="227" t="str">
        <f>TL[[#This Row],[Société]]&amp;" - "&amp;TL[[#This Row],[Compte]]</f>
        <v>TH4 - 43702700</v>
      </c>
      <c r="B528" s="233" t="s">
        <v>3452</v>
      </c>
      <c r="C528" s="227" t="s">
        <v>1461</v>
      </c>
      <c r="F528" s="227" t="s">
        <v>297</v>
      </c>
    </row>
    <row r="529" spans="1:6" x14ac:dyDescent="0.25">
      <c r="A529" s="227" t="str">
        <f>TL[[#This Row],[Société]]&amp;" - "&amp;TL[[#This Row],[Compte]]</f>
        <v>TH4 - 43703000</v>
      </c>
      <c r="B529" s="233" t="s">
        <v>3453</v>
      </c>
      <c r="C529" s="227" t="s">
        <v>576</v>
      </c>
      <c r="F529" s="227" t="s">
        <v>297</v>
      </c>
    </row>
    <row r="530" spans="1:6" x14ac:dyDescent="0.25">
      <c r="A530" s="227" t="str">
        <f>TL[[#This Row],[Société]]&amp;" - "&amp;TL[[#This Row],[Compte]]</f>
        <v>TH4 - 43704000</v>
      </c>
      <c r="B530" s="233" t="s">
        <v>3454</v>
      </c>
      <c r="C530" s="227" t="s">
        <v>2138</v>
      </c>
      <c r="F530" s="227" t="s">
        <v>297</v>
      </c>
    </row>
    <row r="531" spans="1:6" x14ac:dyDescent="0.25">
      <c r="A531" s="227" t="str">
        <f>TL[[#This Row],[Société]]&amp;" - "&amp;TL[[#This Row],[Compte]]</f>
        <v>TH4 - 43705000</v>
      </c>
      <c r="B531" s="233" t="s">
        <v>3455</v>
      </c>
      <c r="C531" s="227" t="s">
        <v>1076</v>
      </c>
      <c r="F531" s="227" t="s">
        <v>297</v>
      </c>
    </row>
    <row r="532" spans="1:6" x14ac:dyDescent="0.25">
      <c r="A532" s="227" t="str">
        <f>TL[[#This Row],[Société]]&amp;" - "&amp;TL[[#This Row],[Compte]]</f>
        <v>TH4 - 43706000</v>
      </c>
      <c r="B532" s="233" t="s">
        <v>3456</v>
      </c>
      <c r="C532" s="227" t="s">
        <v>1462</v>
      </c>
      <c r="F532" s="227" t="s">
        <v>297</v>
      </c>
    </row>
    <row r="533" spans="1:6" x14ac:dyDescent="0.25">
      <c r="A533" s="227" t="str">
        <f>TL[[#This Row],[Société]]&amp;" - "&amp;TL[[#This Row],[Compte]]</f>
        <v>TH4 - 43708000</v>
      </c>
      <c r="B533" s="233" t="s">
        <v>3457</v>
      </c>
      <c r="C533" s="227" t="s">
        <v>2139</v>
      </c>
      <c r="F533" s="227" t="s">
        <v>297</v>
      </c>
    </row>
    <row r="534" spans="1:6" x14ac:dyDescent="0.25">
      <c r="A534" s="227" t="str">
        <f>TL[[#This Row],[Société]]&amp;" - "&amp;TL[[#This Row],[Compte]]</f>
        <v>TH4 - 43800000</v>
      </c>
      <c r="B534" s="233" t="s">
        <v>3458</v>
      </c>
      <c r="C534" s="227" t="s">
        <v>2140</v>
      </c>
      <c r="F534" s="227" t="s">
        <v>297</v>
      </c>
    </row>
    <row r="535" spans="1:6" x14ac:dyDescent="0.25">
      <c r="A535" s="227" t="str">
        <f>TL[[#This Row],[Société]]&amp;" - "&amp;TL[[#This Row],[Compte]]</f>
        <v>TH4 - 43820000</v>
      </c>
      <c r="B535" s="233" t="s">
        <v>3459</v>
      </c>
      <c r="C535" s="227" t="s">
        <v>858</v>
      </c>
      <c r="F535" s="227" t="s">
        <v>297</v>
      </c>
    </row>
    <row r="536" spans="1:6" x14ac:dyDescent="0.25">
      <c r="A536" s="227" t="str">
        <f>TL[[#This Row],[Société]]&amp;" - "&amp;TL[[#This Row],[Compte]]</f>
        <v>TH4 - 43860000</v>
      </c>
      <c r="B536" s="233" t="s">
        <v>3460</v>
      </c>
      <c r="C536" s="227" t="s">
        <v>986</v>
      </c>
      <c r="F536" s="227" t="s">
        <v>297</v>
      </c>
    </row>
    <row r="537" spans="1:6" x14ac:dyDescent="0.25">
      <c r="A537" s="227" t="str">
        <f>TL[[#This Row],[Société]]&amp;" - "&amp;TL[[#This Row],[Compte]]</f>
        <v>TH4 - 44200000</v>
      </c>
      <c r="B537" s="233" t="s">
        <v>3461</v>
      </c>
      <c r="C537" s="227" t="s">
        <v>1463</v>
      </c>
      <c r="F537" s="227" t="s">
        <v>297</v>
      </c>
    </row>
    <row r="538" spans="1:6" x14ac:dyDescent="0.25">
      <c r="A538" s="227" t="str">
        <f>TL[[#This Row],[Société]]&amp;" - "&amp;TL[[#This Row],[Compte]]</f>
        <v>TH4 - 44210000</v>
      </c>
      <c r="B538" s="233" t="s">
        <v>3462</v>
      </c>
      <c r="C538" s="227" t="s">
        <v>987</v>
      </c>
      <c r="F538" s="227" t="s">
        <v>297</v>
      </c>
    </row>
    <row r="539" spans="1:6" x14ac:dyDescent="0.25">
      <c r="A539" s="227" t="str">
        <f>TL[[#This Row],[Société]]&amp;" - "&amp;TL[[#This Row],[Compte]]</f>
        <v>TH4 - 44300000</v>
      </c>
      <c r="B539" s="233" t="s">
        <v>3463</v>
      </c>
      <c r="C539" s="227" t="s">
        <v>1464</v>
      </c>
      <c r="F539" s="227" t="s">
        <v>297</v>
      </c>
    </row>
    <row r="540" spans="1:6" x14ac:dyDescent="0.25">
      <c r="A540" s="227" t="str">
        <f>TL[[#This Row],[Société]]&amp;" - "&amp;TL[[#This Row],[Compte]]</f>
        <v>TH4 - 44400000</v>
      </c>
      <c r="B540" s="233" t="s">
        <v>3464</v>
      </c>
      <c r="C540" s="227" t="s">
        <v>988</v>
      </c>
      <c r="F540" s="227" t="s">
        <v>297</v>
      </c>
    </row>
    <row r="541" spans="1:6" x14ac:dyDescent="0.25">
      <c r="A541" s="227" t="str">
        <f>TL[[#This Row],[Société]]&amp;" - "&amp;TL[[#This Row],[Compte]]</f>
        <v>TH4 - 44520000</v>
      </c>
      <c r="B541" s="233" t="s">
        <v>3465</v>
      </c>
      <c r="C541" s="227" t="s">
        <v>580</v>
      </c>
      <c r="F541" s="227" t="s">
        <v>297</v>
      </c>
    </row>
    <row r="542" spans="1:6" x14ac:dyDescent="0.25">
      <c r="A542" s="227" t="str">
        <f>TL[[#This Row],[Société]]&amp;" - "&amp;TL[[#This Row],[Compte]]</f>
        <v>TH4 - 44551000</v>
      </c>
      <c r="B542" s="233" t="s">
        <v>3466</v>
      </c>
      <c r="C542" s="227" t="s">
        <v>949</v>
      </c>
      <c r="F542" s="227" t="s">
        <v>297</v>
      </c>
    </row>
    <row r="543" spans="1:6" x14ac:dyDescent="0.25">
      <c r="A543" s="227" t="str">
        <f>TL[[#This Row],[Société]]&amp;" - "&amp;TL[[#This Row],[Compte]]</f>
        <v>TH4 - 44562000</v>
      </c>
      <c r="B543" s="233" t="s">
        <v>3467</v>
      </c>
      <c r="C543" s="227" t="s">
        <v>989</v>
      </c>
      <c r="F543" s="227" t="s">
        <v>297</v>
      </c>
    </row>
    <row r="544" spans="1:6" x14ac:dyDescent="0.25">
      <c r="A544" s="227" t="str">
        <f>TL[[#This Row],[Société]]&amp;" - "&amp;TL[[#This Row],[Compte]]</f>
        <v>TH4 - 44562100</v>
      </c>
      <c r="B544" s="233" t="s">
        <v>3468</v>
      </c>
      <c r="C544" s="227" t="s">
        <v>990</v>
      </c>
      <c r="F544" s="227" t="s">
        <v>297</v>
      </c>
    </row>
    <row r="545" spans="1:6" x14ac:dyDescent="0.25">
      <c r="A545" s="227" t="str">
        <f>TL[[#This Row],[Société]]&amp;" - "&amp;TL[[#This Row],[Compte]]</f>
        <v>TH4 - 44566000</v>
      </c>
      <c r="B545" s="233" t="s">
        <v>3469</v>
      </c>
      <c r="C545" s="227" t="s">
        <v>991</v>
      </c>
      <c r="F545" s="227" t="s">
        <v>297</v>
      </c>
    </row>
    <row r="546" spans="1:6" x14ac:dyDescent="0.25">
      <c r="A546" s="227" t="str">
        <f>TL[[#This Row],[Société]]&amp;" - "&amp;TL[[#This Row],[Compte]]</f>
        <v>TH4 - 44566100</v>
      </c>
      <c r="B546" s="233" t="s">
        <v>3470</v>
      </c>
      <c r="C546" s="227" t="s">
        <v>686</v>
      </c>
      <c r="F546" s="227" t="s">
        <v>297</v>
      </c>
    </row>
    <row r="547" spans="1:6" x14ac:dyDescent="0.25">
      <c r="A547" s="227" t="str">
        <f>TL[[#This Row],[Société]]&amp;" - "&amp;TL[[#This Row],[Compte]]</f>
        <v>TH4 - 44566200</v>
      </c>
      <c r="B547" s="233" t="s">
        <v>3471</v>
      </c>
      <c r="C547" s="227" t="s">
        <v>992</v>
      </c>
      <c r="F547" s="227" t="s">
        <v>297</v>
      </c>
    </row>
    <row r="548" spans="1:6" x14ac:dyDescent="0.25">
      <c r="A548" s="227" t="str">
        <f>TL[[#This Row],[Société]]&amp;" - "&amp;TL[[#This Row],[Compte]]</f>
        <v>TH4 - 44567000</v>
      </c>
      <c r="B548" s="233" t="s">
        <v>3472</v>
      </c>
      <c r="C548" s="227" t="s">
        <v>993</v>
      </c>
      <c r="F548" s="227" t="s">
        <v>297</v>
      </c>
    </row>
    <row r="549" spans="1:6" x14ac:dyDescent="0.25">
      <c r="A549" s="227" t="str">
        <f>TL[[#This Row],[Société]]&amp;" - "&amp;TL[[#This Row],[Compte]]</f>
        <v>TH4 - 44571000</v>
      </c>
      <c r="B549" s="233" t="s">
        <v>3473</v>
      </c>
      <c r="C549" s="227" t="s">
        <v>994</v>
      </c>
      <c r="F549" s="227" t="s">
        <v>297</v>
      </c>
    </row>
    <row r="550" spans="1:6" x14ac:dyDescent="0.25">
      <c r="A550" s="227" t="str">
        <f>TL[[#This Row],[Société]]&amp;" - "&amp;TL[[#This Row],[Compte]]</f>
        <v>TH4 - 44571100</v>
      </c>
      <c r="B550" s="233" t="s">
        <v>3474</v>
      </c>
      <c r="C550" s="227" t="s">
        <v>995</v>
      </c>
      <c r="F550" s="227" t="s">
        <v>297</v>
      </c>
    </row>
    <row r="551" spans="1:6" x14ac:dyDescent="0.25">
      <c r="A551" s="227" t="str">
        <f>TL[[#This Row],[Société]]&amp;" - "&amp;TL[[#This Row],[Compte]]</f>
        <v>TH4 - 44571300</v>
      </c>
      <c r="B551" s="233" t="s">
        <v>3475</v>
      </c>
      <c r="C551" s="227" t="s">
        <v>996</v>
      </c>
      <c r="F551" s="227" t="s">
        <v>297</v>
      </c>
    </row>
    <row r="552" spans="1:6" x14ac:dyDescent="0.25">
      <c r="A552" s="227" t="str">
        <f>TL[[#This Row],[Société]]&amp;" - "&amp;TL[[#This Row],[Compte]]</f>
        <v>TH4 - 44571400</v>
      </c>
      <c r="B552" s="233" t="s">
        <v>3476</v>
      </c>
      <c r="C552" s="227" t="s">
        <v>997</v>
      </c>
      <c r="F552" s="227" t="s">
        <v>297</v>
      </c>
    </row>
    <row r="553" spans="1:6" x14ac:dyDescent="0.25">
      <c r="A553" s="227" t="str">
        <f>TL[[#This Row],[Société]]&amp;" - "&amp;TL[[#This Row],[Compte]]</f>
        <v>TH4 - 44571500</v>
      </c>
      <c r="B553" s="233" t="s">
        <v>3477</v>
      </c>
      <c r="C553" s="227" t="s">
        <v>998</v>
      </c>
      <c r="F553" s="227" t="s">
        <v>297</v>
      </c>
    </row>
    <row r="554" spans="1:6" x14ac:dyDescent="0.25">
      <c r="A554" s="227" t="str">
        <f>TL[[#This Row],[Société]]&amp;" - "&amp;TL[[#This Row],[Compte]]</f>
        <v>TH4 - 44571600</v>
      </c>
      <c r="B554" s="233" t="s">
        <v>3478</v>
      </c>
      <c r="C554" s="227" t="s">
        <v>999</v>
      </c>
      <c r="F554" s="227" t="s">
        <v>297</v>
      </c>
    </row>
    <row r="555" spans="1:6" x14ac:dyDescent="0.25">
      <c r="A555" s="227" t="str">
        <f>TL[[#This Row],[Société]]&amp;" - "&amp;TL[[#This Row],[Compte]]</f>
        <v>TH4 - 44571700</v>
      </c>
      <c r="B555" s="233" t="s">
        <v>3479</v>
      </c>
      <c r="C555" s="227" t="s">
        <v>585</v>
      </c>
      <c r="F555" s="227" t="s">
        <v>297</v>
      </c>
    </row>
    <row r="556" spans="1:6" x14ac:dyDescent="0.25">
      <c r="A556" s="227" t="str">
        <f>TL[[#This Row],[Société]]&amp;" - "&amp;TL[[#This Row],[Compte]]</f>
        <v>TH4 - 44572000</v>
      </c>
      <c r="B556" s="233" t="s">
        <v>3480</v>
      </c>
      <c r="C556" s="227" t="s">
        <v>1389</v>
      </c>
      <c r="F556" s="227" t="s">
        <v>297</v>
      </c>
    </row>
    <row r="557" spans="1:6" x14ac:dyDescent="0.25">
      <c r="A557" s="227" t="str">
        <f>TL[[#This Row],[Société]]&amp;" - "&amp;TL[[#This Row],[Compte]]</f>
        <v>TH4 - 44580000</v>
      </c>
      <c r="B557" s="233" t="s">
        <v>3481</v>
      </c>
      <c r="C557" s="227" t="s">
        <v>1000</v>
      </c>
      <c r="F557" s="227" t="s">
        <v>297</v>
      </c>
    </row>
    <row r="558" spans="1:6" x14ac:dyDescent="0.25">
      <c r="A558" s="227" t="str">
        <f>TL[[#This Row],[Société]]&amp;" - "&amp;TL[[#This Row],[Compte]]</f>
        <v>TH4 - 44583000</v>
      </c>
      <c r="B558" s="233" t="s">
        <v>3482</v>
      </c>
      <c r="C558" s="227" t="s">
        <v>1001</v>
      </c>
      <c r="F558" s="227" t="s">
        <v>297</v>
      </c>
    </row>
    <row r="559" spans="1:6" x14ac:dyDescent="0.25">
      <c r="A559" s="227" t="str">
        <f>TL[[#This Row],[Société]]&amp;" - "&amp;TL[[#This Row],[Compte]]</f>
        <v>TH4 - 44586000</v>
      </c>
      <c r="B559" s="233" t="s">
        <v>3483</v>
      </c>
      <c r="C559" s="227" t="s">
        <v>1002</v>
      </c>
      <c r="F559" s="227" t="s">
        <v>297</v>
      </c>
    </row>
    <row r="560" spans="1:6" x14ac:dyDescent="0.25">
      <c r="A560" s="227" t="str">
        <f>TL[[#This Row],[Société]]&amp;" - "&amp;TL[[#This Row],[Compte]]</f>
        <v>TH4 - 44586100</v>
      </c>
      <c r="B560" s="233" t="s">
        <v>3484</v>
      </c>
      <c r="C560" s="227" t="s">
        <v>868</v>
      </c>
      <c r="F560" s="227" t="s">
        <v>297</v>
      </c>
    </row>
    <row r="561" spans="1:6" x14ac:dyDescent="0.25">
      <c r="A561" s="227" t="str">
        <f>TL[[#This Row],[Société]]&amp;" - "&amp;TL[[#This Row],[Compte]]</f>
        <v>TH4 - 44587000</v>
      </c>
      <c r="B561" s="233" t="s">
        <v>3485</v>
      </c>
      <c r="C561" s="227" t="s">
        <v>586</v>
      </c>
      <c r="F561" s="227" t="s">
        <v>297</v>
      </c>
    </row>
    <row r="562" spans="1:6" x14ac:dyDescent="0.25">
      <c r="A562" s="227" t="str">
        <f>TL[[#This Row],[Société]]&amp;" - "&amp;TL[[#This Row],[Compte]]</f>
        <v>TH4 - 44860000</v>
      </c>
      <c r="B562" s="233" t="s">
        <v>3486</v>
      </c>
      <c r="C562" s="227" t="s">
        <v>1003</v>
      </c>
      <c r="F562" s="227" t="s">
        <v>297</v>
      </c>
    </row>
    <row r="563" spans="1:6" x14ac:dyDescent="0.25">
      <c r="A563" s="227" t="str">
        <f>TL[[#This Row],[Société]]&amp;" - "&amp;TL[[#This Row],[Compte]]</f>
        <v>TH4 - 44870000</v>
      </c>
      <c r="B563" s="233" t="s">
        <v>3487</v>
      </c>
      <c r="C563" s="227" t="s">
        <v>869</v>
      </c>
      <c r="F563" s="227" t="s">
        <v>297</v>
      </c>
    </row>
    <row r="564" spans="1:6" x14ac:dyDescent="0.25">
      <c r="A564" s="227" t="str">
        <f>TL[[#This Row],[Société]]&amp;" - "&amp;TL[[#This Row],[Compte]]</f>
        <v>TH4 - 45500000</v>
      </c>
      <c r="B564" s="233" t="s">
        <v>3488</v>
      </c>
      <c r="C564" s="227" t="s">
        <v>1004</v>
      </c>
      <c r="F564" s="227" t="s">
        <v>297</v>
      </c>
    </row>
    <row r="565" spans="1:6" x14ac:dyDescent="0.25">
      <c r="A565" s="227" t="str">
        <f>TL[[#This Row],[Société]]&amp;" - "&amp;TL[[#This Row],[Compte]]</f>
        <v>TH4 - 45700000</v>
      </c>
      <c r="B565" s="233" t="s">
        <v>3489</v>
      </c>
      <c r="C565" s="227" t="s">
        <v>1005</v>
      </c>
      <c r="F565" s="227" t="s">
        <v>297</v>
      </c>
    </row>
    <row r="566" spans="1:6" x14ac:dyDescent="0.25">
      <c r="A566" s="227" t="str">
        <f>TL[[#This Row],[Société]]&amp;" - "&amp;TL[[#This Row],[Compte]]</f>
        <v>TH4 - 46700000</v>
      </c>
      <c r="B566" s="233" t="s">
        <v>3490</v>
      </c>
      <c r="C566" s="227" t="s">
        <v>529</v>
      </c>
      <c r="F566" s="227" t="s">
        <v>297</v>
      </c>
    </row>
    <row r="567" spans="1:6" x14ac:dyDescent="0.25">
      <c r="A567" s="227" t="str">
        <f>TL[[#This Row],[Société]]&amp;" - "&amp;TL[[#This Row],[Compte]]</f>
        <v>TH4 - 46710000</v>
      </c>
      <c r="B567" s="233" t="s">
        <v>3491</v>
      </c>
      <c r="C567" s="227" t="s">
        <v>301</v>
      </c>
      <c r="F567" s="227" t="s">
        <v>297</v>
      </c>
    </row>
    <row r="568" spans="1:6" x14ac:dyDescent="0.25">
      <c r="A568" s="227" t="str">
        <f>TL[[#This Row],[Société]]&amp;" - "&amp;TL[[#This Row],[Compte]]</f>
        <v>TH4 - 46720000</v>
      </c>
      <c r="B568" s="233" t="s">
        <v>3492</v>
      </c>
      <c r="C568" s="227" t="s">
        <v>589</v>
      </c>
      <c r="F568" s="227" t="s">
        <v>297</v>
      </c>
    </row>
    <row r="569" spans="1:6" x14ac:dyDescent="0.25">
      <c r="A569" s="227" t="str">
        <f>TL[[#This Row],[Société]]&amp;" - "&amp;TL[[#This Row],[Compte]]</f>
        <v>TH4 - 46721000</v>
      </c>
      <c r="B569" s="233" t="s">
        <v>3493</v>
      </c>
      <c r="C569" s="227" t="s">
        <v>1079</v>
      </c>
      <c r="F569" s="227" t="s">
        <v>297</v>
      </c>
    </row>
    <row r="570" spans="1:6" x14ac:dyDescent="0.25">
      <c r="A570" s="227" t="str">
        <f>TL[[#This Row],[Société]]&amp;" - "&amp;TL[[#This Row],[Compte]]</f>
        <v>TH4 - 46722000</v>
      </c>
      <c r="B570" s="233" t="s">
        <v>3494</v>
      </c>
      <c r="C570" s="227" t="s">
        <v>1006</v>
      </c>
      <c r="F570" s="227" t="s">
        <v>297</v>
      </c>
    </row>
    <row r="571" spans="1:6" x14ac:dyDescent="0.25">
      <c r="A571" s="227" t="str">
        <f>TL[[#This Row],[Société]]&amp;" - "&amp;TL[[#This Row],[Compte]]</f>
        <v>TH4 - 46723000</v>
      </c>
      <c r="B571" s="233" t="s">
        <v>3495</v>
      </c>
      <c r="C571" s="227" t="s">
        <v>1390</v>
      </c>
      <c r="F571" s="227" t="s">
        <v>297</v>
      </c>
    </row>
    <row r="572" spans="1:6" x14ac:dyDescent="0.25">
      <c r="A572" s="227" t="str">
        <f>TL[[#This Row],[Société]]&amp;" - "&amp;TL[[#This Row],[Compte]]</f>
        <v>TH4 - 46724000</v>
      </c>
      <c r="B572" s="233" t="s">
        <v>3496</v>
      </c>
      <c r="C572" s="227" t="s">
        <v>1007</v>
      </c>
      <c r="F572" s="227" t="s">
        <v>297</v>
      </c>
    </row>
    <row r="573" spans="1:6" x14ac:dyDescent="0.25">
      <c r="A573" s="227" t="str">
        <f>TL[[#This Row],[Société]]&amp;" - "&amp;TL[[#This Row],[Compte]]</f>
        <v>TH4 - 46725000</v>
      </c>
      <c r="B573" s="233" t="s">
        <v>3497</v>
      </c>
      <c r="C573" s="227" t="s">
        <v>1465</v>
      </c>
      <c r="F573" s="227" t="s">
        <v>297</v>
      </c>
    </row>
    <row r="574" spans="1:6" x14ac:dyDescent="0.25">
      <c r="A574" s="227" t="str">
        <f>TL[[#This Row],[Société]]&amp;" - "&amp;TL[[#This Row],[Compte]]</f>
        <v>TH4 - 46726000</v>
      </c>
      <c r="B574" s="233" t="s">
        <v>3498</v>
      </c>
      <c r="C574" s="227" t="s">
        <v>1466</v>
      </c>
      <c r="F574" s="227" t="s">
        <v>297</v>
      </c>
    </row>
    <row r="575" spans="1:6" x14ac:dyDescent="0.25">
      <c r="A575" s="227" t="str">
        <f>TL[[#This Row],[Société]]&amp;" - "&amp;TL[[#This Row],[Compte]]</f>
        <v>TH4 - 46727000</v>
      </c>
      <c r="B575" s="233" t="s">
        <v>3499</v>
      </c>
      <c r="C575" s="227" t="s">
        <v>2100</v>
      </c>
      <c r="F575" s="227" t="s">
        <v>297</v>
      </c>
    </row>
    <row r="576" spans="1:6" x14ac:dyDescent="0.25">
      <c r="A576" s="227" t="str">
        <f>TL[[#This Row],[Société]]&amp;" - "&amp;TL[[#This Row],[Compte]]</f>
        <v>TH4 - 46730000</v>
      </c>
      <c r="B576" s="233" t="s">
        <v>3500</v>
      </c>
      <c r="C576" s="227" t="s">
        <v>526</v>
      </c>
      <c r="F576" s="227" t="s">
        <v>297</v>
      </c>
    </row>
    <row r="577" spans="1:6" x14ac:dyDescent="0.25">
      <c r="A577" s="227" t="str">
        <f>TL[[#This Row],[Société]]&amp;" - "&amp;TL[[#This Row],[Compte]]</f>
        <v>TH4 - 46740000</v>
      </c>
      <c r="B577" s="233" t="s">
        <v>3501</v>
      </c>
      <c r="C577" s="227" t="s">
        <v>704</v>
      </c>
      <c r="F577" s="227" t="s">
        <v>297</v>
      </c>
    </row>
    <row r="578" spans="1:6" x14ac:dyDescent="0.25">
      <c r="A578" s="227" t="str">
        <f>TL[[#This Row],[Société]]&amp;" - "&amp;TL[[#This Row],[Compte]]</f>
        <v>TH4 - 46744400</v>
      </c>
      <c r="B578" s="233" t="s">
        <v>3502</v>
      </c>
      <c r="C578" s="227" t="s">
        <v>1008</v>
      </c>
      <c r="F578" s="227" t="s">
        <v>297</v>
      </c>
    </row>
    <row r="579" spans="1:6" x14ac:dyDescent="0.25">
      <c r="A579" s="227" t="str">
        <f>TL[[#This Row],[Société]]&amp;" - "&amp;TL[[#This Row],[Compte]]</f>
        <v>TH4 - 46755500</v>
      </c>
      <c r="B579" s="233" t="s">
        <v>3503</v>
      </c>
      <c r="C579" s="227" t="s">
        <v>526</v>
      </c>
      <c r="F579" s="227" t="s">
        <v>297</v>
      </c>
    </row>
    <row r="580" spans="1:6" x14ac:dyDescent="0.25">
      <c r="A580" s="227" t="str">
        <f>TL[[#This Row],[Société]]&amp;" - "&amp;TL[[#This Row],[Compte]]</f>
        <v>TH4 - 46766600</v>
      </c>
      <c r="B580" s="233" t="s">
        <v>3504</v>
      </c>
      <c r="C580" s="227" t="s">
        <v>1009</v>
      </c>
      <c r="F580" s="227" t="s">
        <v>297</v>
      </c>
    </row>
    <row r="581" spans="1:6" x14ac:dyDescent="0.25">
      <c r="A581" s="227" t="str">
        <f>TL[[#This Row],[Société]]&amp;" - "&amp;TL[[#This Row],[Compte]]</f>
        <v>TH4 - 46860000</v>
      </c>
      <c r="B581" s="233" t="s">
        <v>3505</v>
      </c>
      <c r="C581" s="227" t="s">
        <v>1010</v>
      </c>
      <c r="F581" s="227" t="s">
        <v>297</v>
      </c>
    </row>
    <row r="582" spans="1:6" x14ac:dyDescent="0.25">
      <c r="A582" s="227" t="str">
        <f>TL[[#This Row],[Société]]&amp;" - "&amp;TL[[#This Row],[Compte]]</f>
        <v>TH4 - 46870000</v>
      </c>
      <c r="B582" s="233" t="s">
        <v>3506</v>
      </c>
      <c r="C582" s="227" t="s">
        <v>1011</v>
      </c>
      <c r="F582" s="227" t="s">
        <v>297</v>
      </c>
    </row>
    <row r="583" spans="1:6" x14ac:dyDescent="0.25">
      <c r="A583" s="227" t="str">
        <f>TL[[#This Row],[Société]]&amp;" - "&amp;TL[[#This Row],[Compte]]</f>
        <v>TH4 - 47100000</v>
      </c>
      <c r="B583" s="233" t="s">
        <v>3507</v>
      </c>
      <c r="C583" s="227" t="s">
        <v>948</v>
      </c>
      <c r="F583" s="227" t="s">
        <v>297</v>
      </c>
    </row>
    <row r="584" spans="1:6" x14ac:dyDescent="0.25">
      <c r="A584" s="227" t="str">
        <f>TL[[#This Row],[Société]]&amp;" - "&amp;TL[[#This Row],[Compte]]</f>
        <v>TH4 - 47200000</v>
      </c>
      <c r="B584" s="233" t="s">
        <v>3508</v>
      </c>
      <c r="C584" s="227" t="s">
        <v>875</v>
      </c>
      <c r="F584" s="227" t="s">
        <v>297</v>
      </c>
    </row>
    <row r="585" spans="1:6" x14ac:dyDescent="0.25">
      <c r="A585" s="227" t="str">
        <f>TL[[#This Row],[Société]]&amp;" - "&amp;TL[[#This Row],[Compte]]</f>
        <v>TH4 - 48600000</v>
      </c>
      <c r="B585" s="233" t="s">
        <v>3509</v>
      </c>
      <c r="C585" s="227" t="s">
        <v>1012</v>
      </c>
      <c r="F585" s="227" t="s">
        <v>297</v>
      </c>
    </row>
    <row r="586" spans="1:6" x14ac:dyDescent="0.25">
      <c r="A586" s="227" t="str">
        <f>TL[[#This Row],[Société]]&amp;" - "&amp;TL[[#This Row],[Compte]]</f>
        <v>TH4 - 48700000</v>
      </c>
      <c r="B586" s="233" t="s">
        <v>3510</v>
      </c>
      <c r="C586" s="227" t="s">
        <v>595</v>
      </c>
      <c r="F586" s="227" t="s">
        <v>297</v>
      </c>
    </row>
    <row r="587" spans="1:6" x14ac:dyDescent="0.25">
      <c r="A587" s="227" t="str">
        <f>TL[[#This Row],[Société]]&amp;" - "&amp;TL[[#This Row],[Compte]]</f>
        <v>TH4 - 50320000</v>
      </c>
      <c r="B587" s="233" t="s">
        <v>3511</v>
      </c>
      <c r="C587" s="227" t="s">
        <v>1467</v>
      </c>
      <c r="F587" s="227" t="s">
        <v>297</v>
      </c>
    </row>
    <row r="588" spans="1:6" x14ac:dyDescent="0.25">
      <c r="A588" s="227" t="str">
        <f>TL[[#This Row],[Société]]&amp;" - "&amp;TL[[#This Row],[Compte]]</f>
        <v>TH4 - 50800000</v>
      </c>
      <c r="B588" s="233" t="s">
        <v>3512</v>
      </c>
      <c r="C588" s="227" t="s">
        <v>877</v>
      </c>
      <c r="F588" s="227" t="s">
        <v>297</v>
      </c>
    </row>
    <row r="589" spans="1:6" x14ac:dyDescent="0.25">
      <c r="A589" s="227" t="str">
        <f>TL[[#This Row],[Société]]&amp;" - "&amp;TL[[#This Row],[Compte]]</f>
        <v>TH4 - 50810000</v>
      </c>
      <c r="B589" s="233" t="s">
        <v>3513</v>
      </c>
      <c r="C589" s="227" t="s">
        <v>878</v>
      </c>
      <c r="F589" s="227" t="s">
        <v>297</v>
      </c>
    </row>
    <row r="590" spans="1:6" x14ac:dyDescent="0.25">
      <c r="A590" s="227" t="str">
        <f>TL[[#This Row],[Société]]&amp;" - "&amp;TL[[#This Row],[Compte]]</f>
        <v>TH4 - 51120000</v>
      </c>
      <c r="B590" s="233" t="s">
        <v>3514</v>
      </c>
      <c r="C590" s="227" t="s">
        <v>879</v>
      </c>
      <c r="F590" s="227" t="s">
        <v>297</v>
      </c>
    </row>
    <row r="591" spans="1:6" x14ac:dyDescent="0.25">
      <c r="A591" s="227" t="str">
        <f>TL[[#This Row],[Société]]&amp;" - "&amp;TL[[#This Row],[Compte]]</f>
        <v>TH4 - 51121000</v>
      </c>
      <c r="B591" s="233" t="s">
        <v>3515</v>
      </c>
      <c r="C591" s="227" t="s">
        <v>879</v>
      </c>
      <c r="F591" s="227" t="s">
        <v>297</v>
      </c>
    </row>
    <row r="592" spans="1:6" x14ac:dyDescent="0.25">
      <c r="A592" s="227" t="str">
        <f>TL[[#This Row],[Société]]&amp;" - "&amp;TL[[#This Row],[Compte]]</f>
        <v>TH4 - 51121100</v>
      </c>
      <c r="B592" s="233" t="s">
        <v>3516</v>
      </c>
      <c r="C592" s="227" t="s">
        <v>879</v>
      </c>
      <c r="F592" s="227" t="s">
        <v>297</v>
      </c>
    </row>
    <row r="593" spans="1:6" x14ac:dyDescent="0.25">
      <c r="A593" s="227" t="str">
        <f>TL[[#This Row],[Société]]&amp;" - "&amp;TL[[#This Row],[Compte]]</f>
        <v>TH4 - 51122000</v>
      </c>
      <c r="B593" s="233" t="s">
        <v>3517</v>
      </c>
      <c r="C593" s="227" t="s">
        <v>825</v>
      </c>
      <c r="F593" s="227" t="s">
        <v>297</v>
      </c>
    </row>
    <row r="594" spans="1:6" x14ac:dyDescent="0.25">
      <c r="A594" s="227" t="str">
        <f>TL[[#This Row],[Société]]&amp;" - "&amp;TL[[#This Row],[Compte]]</f>
        <v>TH4 - 51122100</v>
      </c>
      <c r="B594" s="233" t="s">
        <v>3518</v>
      </c>
      <c r="C594" s="227" t="s">
        <v>825</v>
      </c>
      <c r="F594" s="227" t="s">
        <v>297</v>
      </c>
    </row>
    <row r="595" spans="1:6" x14ac:dyDescent="0.25">
      <c r="A595" s="227" t="str">
        <f>TL[[#This Row],[Société]]&amp;" - "&amp;TL[[#This Row],[Compte]]</f>
        <v>TH4 - 51123000</v>
      </c>
      <c r="B595" s="233" t="s">
        <v>3519</v>
      </c>
      <c r="C595" s="227" t="s">
        <v>638</v>
      </c>
      <c r="F595" s="227" t="s">
        <v>297</v>
      </c>
    </row>
    <row r="596" spans="1:6" x14ac:dyDescent="0.25">
      <c r="A596" s="227" t="str">
        <f>TL[[#This Row],[Société]]&amp;" - "&amp;TL[[#This Row],[Compte]]</f>
        <v>TH4 - 51123100</v>
      </c>
      <c r="B596" s="233" t="s">
        <v>3520</v>
      </c>
      <c r="C596" s="227" t="s">
        <v>638</v>
      </c>
      <c r="F596" s="227" t="s">
        <v>297</v>
      </c>
    </row>
    <row r="597" spans="1:6" x14ac:dyDescent="0.25">
      <c r="A597" s="227" t="str">
        <f>TL[[#This Row],[Société]]&amp;" - "&amp;TL[[#This Row],[Compte]]</f>
        <v>TH4 - 51125000</v>
      </c>
      <c r="B597" s="233" t="s">
        <v>3521</v>
      </c>
      <c r="C597" s="227" t="s">
        <v>598</v>
      </c>
      <c r="F597" s="227" t="s">
        <v>297</v>
      </c>
    </row>
    <row r="598" spans="1:6" x14ac:dyDescent="0.25">
      <c r="A598" s="227" t="str">
        <f>TL[[#This Row],[Société]]&amp;" - "&amp;TL[[#This Row],[Compte]]</f>
        <v>TH4 - 51125100</v>
      </c>
      <c r="B598" s="233" t="s">
        <v>3522</v>
      </c>
      <c r="C598" s="227" t="s">
        <v>598</v>
      </c>
      <c r="F598" s="227" t="s">
        <v>297</v>
      </c>
    </row>
    <row r="599" spans="1:6" x14ac:dyDescent="0.25">
      <c r="A599" s="227" t="str">
        <f>TL[[#This Row],[Société]]&amp;" - "&amp;TL[[#This Row],[Compte]]</f>
        <v>TH4 - 51126000</v>
      </c>
      <c r="B599" s="233" t="s">
        <v>3523</v>
      </c>
      <c r="C599" s="227" t="s">
        <v>1468</v>
      </c>
      <c r="F599" s="227" t="s">
        <v>297</v>
      </c>
    </row>
    <row r="600" spans="1:6" x14ac:dyDescent="0.25">
      <c r="A600" s="227" t="str">
        <f>TL[[#This Row],[Société]]&amp;" - "&amp;TL[[#This Row],[Compte]]</f>
        <v>TH4 - 51126100</v>
      </c>
      <c r="B600" s="233" t="s">
        <v>3524</v>
      </c>
      <c r="C600" s="227" t="s">
        <v>1391</v>
      </c>
      <c r="F600" s="227" t="s">
        <v>297</v>
      </c>
    </row>
    <row r="601" spans="1:6" x14ac:dyDescent="0.25">
      <c r="A601" s="227" t="str">
        <f>TL[[#This Row],[Société]]&amp;" - "&amp;TL[[#This Row],[Compte]]</f>
        <v>TH4 - 51127000</v>
      </c>
      <c r="B601" s="233" t="s">
        <v>3525</v>
      </c>
      <c r="C601" s="227" t="s">
        <v>2093</v>
      </c>
      <c r="F601" s="227" t="s">
        <v>297</v>
      </c>
    </row>
    <row r="602" spans="1:6" x14ac:dyDescent="0.25">
      <c r="A602" s="227" t="str">
        <f>TL[[#This Row],[Société]]&amp;" - "&amp;TL[[#This Row],[Compte]]</f>
        <v>TH4 - 51170000</v>
      </c>
      <c r="B602" s="233" t="s">
        <v>3526</v>
      </c>
      <c r="C602" s="227" t="s">
        <v>1013</v>
      </c>
      <c r="F602" s="227" t="s">
        <v>297</v>
      </c>
    </row>
    <row r="603" spans="1:6" x14ac:dyDescent="0.25">
      <c r="A603" s="227" t="str">
        <f>TL[[#This Row],[Société]]&amp;" - "&amp;TL[[#This Row],[Compte]]</f>
        <v>TH4 - 51170100</v>
      </c>
      <c r="B603" s="233" t="s">
        <v>3527</v>
      </c>
      <c r="C603" s="227" t="s">
        <v>531</v>
      </c>
      <c r="F603" s="227" t="s">
        <v>297</v>
      </c>
    </row>
    <row r="604" spans="1:6" x14ac:dyDescent="0.25">
      <c r="A604" s="227" t="str">
        <f>TL[[#This Row],[Société]]&amp;" - "&amp;TL[[#This Row],[Compte]]</f>
        <v>TH4 - 51200000</v>
      </c>
      <c r="B604" s="233" t="s">
        <v>3528</v>
      </c>
      <c r="C604" s="227" t="s">
        <v>1560</v>
      </c>
      <c r="F604" s="227" t="s">
        <v>297</v>
      </c>
    </row>
    <row r="605" spans="1:6" x14ac:dyDescent="0.25">
      <c r="A605" s="227" t="str">
        <f>TL[[#This Row],[Société]]&amp;" - "&amp;TL[[#This Row],[Compte]]</f>
        <v>TH4 - 51210000</v>
      </c>
      <c r="B605" s="233" t="s">
        <v>3529</v>
      </c>
      <c r="C605" s="227" t="s">
        <v>1014</v>
      </c>
      <c r="F605" s="227" t="s">
        <v>297</v>
      </c>
    </row>
    <row r="606" spans="1:6" x14ac:dyDescent="0.25">
      <c r="A606" s="227" t="str">
        <f>TL[[#This Row],[Société]]&amp;" - "&amp;TL[[#This Row],[Compte]]</f>
        <v>TH4 - 51220000</v>
      </c>
      <c r="B606" s="233" t="s">
        <v>3530</v>
      </c>
      <c r="C606" s="227" t="s">
        <v>1469</v>
      </c>
      <c r="F606" s="227" t="s">
        <v>297</v>
      </c>
    </row>
    <row r="607" spans="1:6" x14ac:dyDescent="0.25">
      <c r="A607" s="227" t="str">
        <f>TL[[#This Row],[Société]]&amp;" - "&amp;TL[[#This Row],[Compte]]</f>
        <v>TH4 - 51230000</v>
      </c>
      <c r="B607" s="233" t="s">
        <v>3531</v>
      </c>
      <c r="C607" s="227" t="s">
        <v>1561</v>
      </c>
      <c r="F607" s="227" t="s">
        <v>297</v>
      </c>
    </row>
    <row r="608" spans="1:6" x14ac:dyDescent="0.25">
      <c r="A608" s="227" t="str">
        <f>TL[[#This Row],[Société]]&amp;" - "&amp;TL[[#This Row],[Compte]]</f>
        <v>TH4 - 51240000</v>
      </c>
      <c r="B608" s="233" t="s">
        <v>3532</v>
      </c>
      <c r="C608" s="227" t="s">
        <v>1562</v>
      </c>
      <c r="F608" s="227" t="s">
        <v>297</v>
      </c>
    </row>
    <row r="609" spans="1:6" x14ac:dyDescent="0.25">
      <c r="A609" s="227" t="str">
        <f>TL[[#This Row],[Société]]&amp;" - "&amp;TL[[#This Row],[Compte]]</f>
        <v>TH4 - 51810000</v>
      </c>
      <c r="B609" s="233" t="s">
        <v>3533</v>
      </c>
      <c r="C609" s="227" t="s">
        <v>880</v>
      </c>
      <c r="F609" s="227" t="s">
        <v>297</v>
      </c>
    </row>
    <row r="610" spans="1:6" x14ac:dyDescent="0.25">
      <c r="A610" s="227" t="str">
        <f>TL[[#This Row],[Société]]&amp;" - "&amp;TL[[#This Row],[Compte]]</f>
        <v>TH4 - 51860000</v>
      </c>
      <c r="B610" s="233" t="s">
        <v>3534</v>
      </c>
      <c r="C610" s="227" t="s">
        <v>1015</v>
      </c>
      <c r="F610" s="227" t="s">
        <v>297</v>
      </c>
    </row>
    <row r="611" spans="1:6" x14ac:dyDescent="0.25">
      <c r="A611" s="227" t="str">
        <f>TL[[#This Row],[Société]]&amp;" - "&amp;TL[[#This Row],[Compte]]</f>
        <v>TH4 - 51880000</v>
      </c>
      <c r="B611" s="233" t="s">
        <v>3535</v>
      </c>
      <c r="C611" s="227" t="s">
        <v>1016</v>
      </c>
      <c r="F611" s="227" t="s">
        <v>297</v>
      </c>
    </row>
    <row r="612" spans="1:6" x14ac:dyDescent="0.25">
      <c r="A612" s="227" t="str">
        <f>TL[[#This Row],[Société]]&amp;" - "&amp;TL[[#This Row],[Compte]]</f>
        <v>TH4 - 51910000</v>
      </c>
      <c r="B612" s="233" t="s">
        <v>3536</v>
      </c>
      <c r="C612" s="227" t="s">
        <v>1017</v>
      </c>
      <c r="F612" s="227" t="s">
        <v>297</v>
      </c>
    </row>
    <row r="613" spans="1:6" x14ac:dyDescent="0.25">
      <c r="A613" s="227" t="str">
        <f>TL[[#This Row],[Société]]&amp;" - "&amp;TL[[#This Row],[Compte]]</f>
        <v>TH4 - 51920000</v>
      </c>
      <c r="B613" s="233" t="s">
        <v>3537</v>
      </c>
      <c r="C613" s="227" t="s">
        <v>724</v>
      </c>
      <c r="F613" s="227" t="s">
        <v>297</v>
      </c>
    </row>
    <row r="614" spans="1:6" x14ac:dyDescent="0.25">
      <c r="A614" s="227" t="str">
        <f>TL[[#This Row],[Société]]&amp;" - "&amp;TL[[#This Row],[Compte]]</f>
        <v>TH4 - 53020000</v>
      </c>
      <c r="B614" s="233" t="s">
        <v>3538</v>
      </c>
      <c r="C614" s="227" t="s">
        <v>604</v>
      </c>
      <c r="F614" s="227" t="s">
        <v>297</v>
      </c>
    </row>
    <row r="615" spans="1:6" x14ac:dyDescent="0.25">
      <c r="A615" s="227" t="str">
        <f>TL[[#This Row],[Société]]&amp;" - "&amp;TL[[#This Row],[Compte]]</f>
        <v>TH4 - 53100000</v>
      </c>
      <c r="B615" s="233" t="s">
        <v>3539</v>
      </c>
      <c r="C615" s="227" t="s">
        <v>532</v>
      </c>
      <c r="F615" s="227" t="s">
        <v>297</v>
      </c>
    </row>
    <row r="616" spans="1:6" x14ac:dyDescent="0.25">
      <c r="A616" s="227" t="str">
        <f>TL[[#This Row],[Société]]&amp;" - "&amp;TL[[#This Row],[Compte]]</f>
        <v>TH4 - 58000000</v>
      </c>
      <c r="B616" s="233" t="s">
        <v>3540</v>
      </c>
      <c r="C616" s="227" t="s">
        <v>1470</v>
      </c>
      <c r="F616" s="227" t="s">
        <v>297</v>
      </c>
    </row>
    <row r="617" spans="1:6" x14ac:dyDescent="0.25">
      <c r="A617" s="227" t="str">
        <f>TL[[#This Row],[Société]]&amp;" - "&amp;TL[[#This Row],[Compte]]</f>
        <v>TH4 - 58010000</v>
      </c>
      <c r="B617" s="233" t="s">
        <v>3541</v>
      </c>
      <c r="C617" s="227" t="s">
        <v>726</v>
      </c>
      <c r="F617" s="227" t="s">
        <v>297</v>
      </c>
    </row>
    <row r="618" spans="1:6" x14ac:dyDescent="0.25">
      <c r="A618" s="227" t="str">
        <f>TL[[#This Row],[Société]]&amp;" - "&amp;TL[[#This Row],[Compte]]</f>
        <v>TH4 - 58100000</v>
      </c>
      <c r="B618" s="233" t="s">
        <v>3542</v>
      </c>
      <c r="C618" s="227" t="s">
        <v>883</v>
      </c>
      <c r="F618" s="227" t="s">
        <v>297</v>
      </c>
    </row>
    <row r="619" spans="1:6" x14ac:dyDescent="0.25">
      <c r="A619" s="227" t="str">
        <f>TL[[#This Row],[Société]]&amp;" - "&amp;TL[[#This Row],[Compte]]</f>
        <v>TH4 - 58110000</v>
      </c>
      <c r="B619" s="233" t="s">
        <v>3543</v>
      </c>
      <c r="C619" s="227" t="s">
        <v>1018</v>
      </c>
      <c r="F619" s="227" t="s">
        <v>297</v>
      </c>
    </row>
    <row r="620" spans="1:6" x14ac:dyDescent="0.25">
      <c r="A620" s="227" t="str">
        <f>TL[[#This Row],[Société]]&amp;" - "&amp;TL[[#This Row],[Compte]]</f>
        <v>TH4 - 58300000</v>
      </c>
      <c r="B620" s="233" t="s">
        <v>3544</v>
      </c>
      <c r="C620" s="227" t="s">
        <v>728</v>
      </c>
      <c r="F620" s="227" t="s">
        <v>297</v>
      </c>
    </row>
    <row r="621" spans="1:6" x14ac:dyDescent="0.25">
      <c r="A621" s="227" t="str">
        <f>TL[[#This Row],[Société]]&amp;" - "&amp;TL[[#This Row],[Compte]]</f>
        <v>TH4 - 60100000</v>
      </c>
      <c r="B621" s="233" t="s">
        <v>3545</v>
      </c>
      <c r="C621" s="227" t="s">
        <v>729</v>
      </c>
      <c r="F621" s="227" t="s">
        <v>297</v>
      </c>
    </row>
    <row r="622" spans="1:6" x14ac:dyDescent="0.25">
      <c r="A622" s="227" t="str">
        <f>TL[[#This Row],[Société]]&amp;" - "&amp;TL[[#This Row],[Compte]]</f>
        <v>TH4 - 60110000</v>
      </c>
      <c r="B622" s="233" t="s">
        <v>2617</v>
      </c>
      <c r="C622" s="227" t="s">
        <v>171</v>
      </c>
      <c r="D622" s="233" t="s">
        <v>0</v>
      </c>
      <c r="E622" s="233" t="s">
        <v>7</v>
      </c>
      <c r="F622" s="227" t="s">
        <v>297</v>
      </c>
    </row>
    <row r="623" spans="1:6" x14ac:dyDescent="0.25">
      <c r="A623" s="227" t="str">
        <f>TL[[#This Row],[Société]]&amp;" - "&amp;TL[[#This Row],[Compte]]</f>
        <v>TH4 - 60110200</v>
      </c>
      <c r="B623" s="233" t="s">
        <v>2622</v>
      </c>
      <c r="C623" s="227" t="s">
        <v>225</v>
      </c>
      <c r="D623" s="233" t="s">
        <v>1</v>
      </c>
      <c r="E623" s="233" t="s">
        <v>11</v>
      </c>
      <c r="F623" s="227" t="s">
        <v>297</v>
      </c>
    </row>
    <row r="624" spans="1:6" x14ac:dyDescent="0.25">
      <c r="A624" s="227" t="str">
        <f>TL[[#This Row],[Société]]&amp;" - "&amp;TL[[#This Row],[Compte]]</f>
        <v>TH4 - 60110300</v>
      </c>
      <c r="B624" s="233" t="s">
        <v>2621</v>
      </c>
      <c r="C624" s="227" t="s">
        <v>160</v>
      </c>
      <c r="D624" s="233" t="s">
        <v>3</v>
      </c>
      <c r="E624" s="233" t="s">
        <v>9</v>
      </c>
      <c r="F624" s="227" t="s">
        <v>297</v>
      </c>
    </row>
    <row r="625" spans="1:6" x14ac:dyDescent="0.25">
      <c r="A625" s="227" t="str">
        <f>TL[[#This Row],[Société]]&amp;" - "&amp;TL[[#This Row],[Compte]]</f>
        <v>TH4 - 60220100</v>
      </c>
      <c r="B625" s="233" t="s">
        <v>2623</v>
      </c>
      <c r="C625" s="227" t="s">
        <v>327</v>
      </c>
      <c r="D625" s="233" t="s">
        <v>7</v>
      </c>
      <c r="E625" s="233" t="s">
        <v>0</v>
      </c>
      <c r="F625" s="227" t="s">
        <v>297</v>
      </c>
    </row>
    <row r="626" spans="1:6" x14ac:dyDescent="0.25">
      <c r="A626" s="227" t="str">
        <f>TL[[#This Row],[Société]]&amp;" - "&amp;TL[[#This Row],[Compte]]</f>
        <v>TH4 - 60220200</v>
      </c>
      <c r="B626" s="233" t="s">
        <v>2741</v>
      </c>
      <c r="C626" s="227" t="s">
        <v>268</v>
      </c>
      <c r="D626" s="233" t="s">
        <v>150</v>
      </c>
      <c r="E626" s="233" t="s">
        <v>147</v>
      </c>
      <c r="F626" s="227" t="s">
        <v>297</v>
      </c>
    </row>
    <row r="627" spans="1:6" x14ac:dyDescent="0.25">
      <c r="A627" s="227" t="str">
        <f>TL[[#This Row],[Société]]&amp;" - "&amp;TL[[#This Row],[Compte]]</f>
        <v>TH4 - 60260000</v>
      </c>
      <c r="B627" s="233" t="s">
        <v>3546</v>
      </c>
      <c r="C627" s="227" t="s">
        <v>452</v>
      </c>
      <c r="F627" s="227" t="s">
        <v>297</v>
      </c>
    </row>
    <row r="628" spans="1:6" x14ac:dyDescent="0.25">
      <c r="A628" s="227" t="str">
        <f>TL[[#This Row],[Société]]&amp;" - "&amp;TL[[#This Row],[Compte]]</f>
        <v>TH4 - 60261000</v>
      </c>
      <c r="B628" s="233" t="s">
        <v>3547</v>
      </c>
      <c r="C628" s="227" t="s">
        <v>362</v>
      </c>
      <c r="D628" s="233" t="s">
        <v>23</v>
      </c>
      <c r="E628" s="240" t="s">
        <v>0</v>
      </c>
      <c r="F628" s="227" t="s">
        <v>297</v>
      </c>
    </row>
    <row r="629" spans="1:6" x14ac:dyDescent="0.25">
      <c r="A629" s="227" t="str">
        <f>TL[[#This Row],[Société]]&amp;" - "&amp;TL[[#This Row],[Compte]]</f>
        <v>TH4 - 60261200</v>
      </c>
      <c r="B629" s="233" t="s">
        <v>3548</v>
      </c>
      <c r="C629" s="227" t="s">
        <v>3549</v>
      </c>
      <c r="D629" s="235" t="s">
        <v>0</v>
      </c>
      <c r="E629" s="235" t="s">
        <v>2964</v>
      </c>
      <c r="F629" s="227" t="s">
        <v>297</v>
      </c>
    </row>
    <row r="630" spans="1:6" x14ac:dyDescent="0.25">
      <c r="A630" s="227" t="str">
        <f>TL[[#This Row],[Société]]&amp;" - "&amp;TL[[#This Row],[Compte]]</f>
        <v>TH4 - 60310000</v>
      </c>
      <c r="B630" s="233" t="s">
        <v>2618</v>
      </c>
      <c r="C630" s="227" t="s">
        <v>361</v>
      </c>
      <c r="D630" s="233" t="s">
        <v>0</v>
      </c>
      <c r="E630" s="233" t="s">
        <v>7</v>
      </c>
      <c r="F630" s="227" t="s">
        <v>297</v>
      </c>
    </row>
    <row r="631" spans="1:6" x14ac:dyDescent="0.25">
      <c r="A631" s="227" t="str">
        <f>TL[[#This Row],[Société]]&amp;" - "&amp;TL[[#This Row],[Compte]]</f>
        <v>TH4 - 60320000</v>
      </c>
      <c r="B631" s="233" t="s">
        <v>2624</v>
      </c>
      <c r="C631" s="227" t="s">
        <v>334</v>
      </c>
      <c r="D631" s="233" t="s">
        <v>7</v>
      </c>
      <c r="E631" s="233" t="s">
        <v>0</v>
      </c>
      <c r="F631" s="227" t="s">
        <v>297</v>
      </c>
    </row>
    <row r="632" spans="1:6" x14ac:dyDescent="0.25">
      <c r="A632" s="227" t="str">
        <f>TL[[#This Row],[Société]]&amp;" - "&amp;TL[[#This Row],[Compte]]</f>
        <v>TH4 - 60320100</v>
      </c>
      <c r="B632" s="233" t="s">
        <v>2742</v>
      </c>
      <c r="C632" s="227" t="s">
        <v>2955</v>
      </c>
      <c r="D632" s="233" t="s">
        <v>150</v>
      </c>
      <c r="E632" s="233" t="s">
        <v>147</v>
      </c>
      <c r="F632" s="227" t="s">
        <v>297</v>
      </c>
    </row>
    <row r="633" spans="1:6" x14ac:dyDescent="0.25">
      <c r="A633" s="227" t="str">
        <f>TL[[#This Row],[Société]]&amp;" - "&amp;TL[[#This Row],[Compte]]</f>
        <v>TH4 - 60320200</v>
      </c>
      <c r="B633" s="233" t="s">
        <v>3550</v>
      </c>
      <c r="C633" s="227" t="s">
        <v>1019</v>
      </c>
      <c r="F633" s="227" t="s">
        <v>297</v>
      </c>
    </row>
    <row r="634" spans="1:6" x14ac:dyDescent="0.25">
      <c r="A634" s="227" t="str">
        <f>TL[[#This Row],[Société]]&amp;" - "&amp;TL[[#This Row],[Compte]]</f>
        <v>TH4 - 60400000</v>
      </c>
      <c r="B634" s="233" t="s">
        <v>3551</v>
      </c>
      <c r="C634" s="227" t="s">
        <v>1020</v>
      </c>
      <c r="F634" s="227" t="s">
        <v>297</v>
      </c>
    </row>
    <row r="635" spans="1:6" x14ac:dyDescent="0.25">
      <c r="A635" s="227" t="str">
        <f>TL[[#This Row],[Société]]&amp;" - "&amp;TL[[#This Row],[Compte]]</f>
        <v>TH4 - 60610100</v>
      </c>
      <c r="B635" s="233" t="s">
        <v>2700</v>
      </c>
      <c r="C635" s="227" t="s">
        <v>156</v>
      </c>
      <c r="D635" s="233" t="s">
        <v>27</v>
      </c>
      <c r="E635" s="233" t="s">
        <v>34</v>
      </c>
      <c r="F635" s="227" t="s">
        <v>297</v>
      </c>
    </row>
    <row r="636" spans="1:6" x14ac:dyDescent="0.25">
      <c r="A636" s="227" t="str">
        <f>TL[[#This Row],[Société]]&amp;" - "&amp;TL[[#This Row],[Compte]]</f>
        <v>TH4 - 60610300</v>
      </c>
      <c r="B636" s="233" t="s">
        <v>2701</v>
      </c>
      <c r="C636" s="227" t="s">
        <v>241</v>
      </c>
      <c r="D636" s="233" t="s">
        <v>27</v>
      </c>
      <c r="E636" s="233" t="s">
        <v>34</v>
      </c>
      <c r="F636" s="227" t="s">
        <v>297</v>
      </c>
    </row>
    <row r="637" spans="1:6" x14ac:dyDescent="0.25">
      <c r="A637" s="227" t="str">
        <f>TL[[#This Row],[Société]]&amp;" - "&amp;TL[[#This Row],[Compte]]</f>
        <v>TH4 - 60610500</v>
      </c>
      <c r="B637" s="233" t="s">
        <v>3552</v>
      </c>
      <c r="C637" s="227" t="s">
        <v>322</v>
      </c>
      <c r="D637" s="233" t="s">
        <v>27</v>
      </c>
      <c r="E637" s="233" t="s">
        <v>34</v>
      </c>
      <c r="F637" s="227" t="s">
        <v>297</v>
      </c>
    </row>
    <row r="638" spans="1:6" x14ac:dyDescent="0.25">
      <c r="A638" s="227" t="str">
        <f>TL[[#This Row],[Société]]&amp;" - "&amp;TL[[#This Row],[Compte]]</f>
        <v>TH4 - 60630000</v>
      </c>
      <c r="B638" s="233" t="s">
        <v>2660</v>
      </c>
      <c r="C638" s="227" t="s">
        <v>1153</v>
      </c>
      <c r="D638" s="233" t="s">
        <v>25</v>
      </c>
      <c r="E638" s="233" t="s">
        <v>23</v>
      </c>
      <c r="F638" s="227" t="s">
        <v>297</v>
      </c>
    </row>
    <row r="639" spans="1:6" x14ac:dyDescent="0.25">
      <c r="A639" s="227" t="str">
        <f>TL[[#This Row],[Société]]&amp;" - "&amp;TL[[#This Row],[Compte]]</f>
        <v>TH4 - 60630100</v>
      </c>
      <c r="B639" s="233" t="s">
        <v>3553</v>
      </c>
      <c r="C639" s="227" t="s">
        <v>885</v>
      </c>
      <c r="D639" s="233" t="s">
        <v>23</v>
      </c>
      <c r="E639" s="233" t="s">
        <v>2978</v>
      </c>
      <c r="F639" s="227" t="s">
        <v>297</v>
      </c>
    </row>
    <row r="640" spans="1:6" x14ac:dyDescent="0.25">
      <c r="A640" s="227" t="str">
        <f>TL[[#This Row],[Société]]&amp;" - "&amp;TL[[#This Row],[Compte]]</f>
        <v>TH4 - 60630200</v>
      </c>
      <c r="B640" s="233" t="s">
        <v>2703</v>
      </c>
      <c r="C640" s="227" t="s">
        <v>1392</v>
      </c>
      <c r="D640" s="233" t="s">
        <v>23</v>
      </c>
      <c r="E640" s="233" t="s">
        <v>2978</v>
      </c>
      <c r="F640" s="227" t="s">
        <v>297</v>
      </c>
    </row>
    <row r="641" spans="1:6" x14ac:dyDescent="0.25">
      <c r="A641" s="227" t="str">
        <f>TL[[#This Row],[Société]]&amp;" - "&amp;TL[[#This Row],[Compte]]</f>
        <v>TH4 - 60630300</v>
      </c>
      <c r="B641" s="233" t="s">
        <v>3554</v>
      </c>
      <c r="C641" s="227" t="s">
        <v>146</v>
      </c>
      <c r="D641" s="233" t="s">
        <v>21</v>
      </c>
      <c r="E641" s="233" t="s">
        <v>2982</v>
      </c>
      <c r="F641" s="227" t="s">
        <v>297</v>
      </c>
    </row>
    <row r="642" spans="1:6" x14ac:dyDescent="0.25">
      <c r="A642" s="227" t="str">
        <f>TL[[#This Row],[Société]]&amp;" - "&amp;TL[[#This Row],[Compte]]</f>
        <v>TH4 - 60630500</v>
      </c>
      <c r="B642" s="233" t="s">
        <v>3555</v>
      </c>
      <c r="C642" s="227" t="s">
        <v>1471</v>
      </c>
      <c r="D642" s="233" t="s">
        <v>50</v>
      </c>
      <c r="E642" s="233" t="s">
        <v>2978</v>
      </c>
      <c r="F642" s="227" t="s">
        <v>297</v>
      </c>
    </row>
    <row r="643" spans="1:6" x14ac:dyDescent="0.25">
      <c r="A643" s="227" t="str">
        <f>TL[[#This Row],[Société]]&amp;" - "&amp;TL[[#This Row],[Compte]]</f>
        <v>TH4 - 60640100</v>
      </c>
      <c r="B643" s="233" t="s">
        <v>2704</v>
      </c>
      <c r="C643" s="227" t="s">
        <v>325</v>
      </c>
      <c r="D643" s="233" t="s">
        <v>29</v>
      </c>
      <c r="E643" s="233" t="s">
        <v>2978</v>
      </c>
      <c r="F643" s="227" t="s">
        <v>297</v>
      </c>
    </row>
    <row r="644" spans="1:6" x14ac:dyDescent="0.25">
      <c r="A644" s="227" t="str">
        <f>TL[[#This Row],[Société]]&amp;" - "&amp;TL[[#This Row],[Compte]]</f>
        <v>TH4 - 60640200</v>
      </c>
      <c r="B644" s="233" t="s">
        <v>3556</v>
      </c>
      <c r="C644" s="227" t="s">
        <v>1021</v>
      </c>
      <c r="F644" s="227" t="s">
        <v>297</v>
      </c>
    </row>
    <row r="645" spans="1:6" x14ac:dyDescent="0.25">
      <c r="A645" s="227" t="str">
        <f>TL[[#This Row],[Société]]&amp;" - "&amp;TL[[#This Row],[Compte]]</f>
        <v>TH4 - 60661300</v>
      </c>
      <c r="B645" s="233" t="s">
        <v>2725</v>
      </c>
      <c r="C645" s="227" t="s">
        <v>267</v>
      </c>
      <c r="D645" s="233" t="s">
        <v>16</v>
      </c>
      <c r="E645" s="233" t="s">
        <v>52</v>
      </c>
      <c r="F645" s="227" t="s">
        <v>297</v>
      </c>
    </row>
    <row r="646" spans="1:6" x14ac:dyDescent="0.25">
      <c r="A646" s="227" t="str">
        <f>TL[[#This Row],[Société]]&amp;" - "&amp;TL[[#This Row],[Compte]]</f>
        <v>TH4 - 60680000</v>
      </c>
      <c r="B646" s="233" t="s">
        <v>3557</v>
      </c>
      <c r="C646" s="227" t="s">
        <v>1472</v>
      </c>
      <c r="D646" s="233" t="s">
        <v>16</v>
      </c>
      <c r="E646" s="233" t="s">
        <v>2979</v>
      </c>
      <c r="F646" s="227" t="s">
        <v>297</v>
      </c>
    </row>
    <row r="647" spans="1:6" x14ac:dyDescent="0.25">
      <c r="A647" s="227" t="str">
        <f>TL[[#This Row],[Société]]&amp;" - "&amp;TL[[#This Row],[Compte]]</f>
        <v>TH4 - 60910000</v>
      </c>
      <c r="B647" s="233" t="s">
        <v>3558</v>
      </c>
      <c r="C647" s="227" t="s">
        <v>216</v>
      </c>
      <c r="D647" s="233" t="s">
        <v>0</v>
      </c>
      <c r="E647" s="233" t="s">
        <v>7</v>
      </c>
      <c r="F647" s="227" t="s">
        <v>297</v>
      </c>
    </row>
    <row r="648" spans="1:6" x14ac:dyDescent="0.25">
      <c r="A648" s="227" t="str">
        <f>TL[[#This Row],[Société]]&amp;" - "&amp;TL[[#This Row],[Compte]]</f>
        <v>TH4 - 61100000</v>
      </c>
      <c r="B648" s="233" t="s">
        <v>3559</v>
      </c>
      <c r="C648" s="227" t="s">
        <v>732</v>
      </c>
      <c r="F648" s="227" t="s">
        <v>297</v>
      </c>
    </row>
    <row r="649" spans="1:6" x14ac:dyDescent="0.25">
      <c r="A649" s="227" t="str">
        <f>TL[[#This Row],[Société]]&amp;" - "&amp;TL[[#This Row],[Compte]]</f>
        <v>TH4 - 61100100</v>
      </c>
      <c r="B649" s="233" t="s">
        <v>3560</v>
      </c>
      <c r="C649" s="227" t="s">
        <v>3561</v>
      </c>
      <c r="D649" s="233" t="s">
        <v>20</v>
      </c>
      <c r="E649" s="233" t="s">
        <v>25</v>
      </c>
      <c r="F649" s="227" t="s">
        <v>297</v>
      </c>
    </row>
    <row r="650" spans="1:6" x14ac:dyDescent="0.25">
      <c r="A650" s="227" t="str">
        <f>TL[[#This Row],[Société]]&amp;" - "&amp;TL[[#This Row],[Compte]]</f>
        <v>TH4 - 61100500</v>
      </c>
      <c r="B650" s="233" t="s">
        <v>3562</v>
      </c>
      <c r="C650" s="227" t="s">
        <v>1393</v>
      </c>
      <c r="D650" s="233" t="s">
        <v>20</v>
      </c>
      <c r="E650" s="233" t="s">
        <v>25</v>
      </c>
      <c r="F650" s="227" t="s">
        <v>297</v>
      </c>
    </row>
    <row r="651" spans="1:6" x14ac:dyDescent="0.25">
      <c r="A651" s="227" t="str">
        <f>TL[[#This Row],[Société]]&amp;" - "&amp;TL[[#This Row],[Compte]]</f>
        <v>TH4 - 61110000</v>
      </c>
      <c r="B651" s="233" t="s">
        <v>3563</v>
      </c>
      <c r="C651" s="227" t="s">
        <v>1555</v>
      </c>
      <c r="D651" s="233" t="s">
        <v>39</v>
      </c>
      <c r="E651" s="233" t="s">
        <v>25</v>
      </c>
      <c r="F651" s="227" t="s">
        <v>297</v>
      </c>
    </row>
    <row r="652" spans="1:6" x14ac:dyDescent="0.25">
      <c r="A652" s="227" t="str">
        <f>TL[[#This Row],[Société]]&amp;" - "&amp;TL[[#This Row],[Compte]]</f>
        <v>TH4 - 61300000</v>
      </c>
      <c r="B652" s="233" t="s">
        <v>3564</v>
      </c>
      <c r="C652" s="227" t="s">
        <v>607</v>
      </c>
      <c r="D652" s="233" t="s">
        <v>152</v>
      </c>
      <c r="E652" s="233" t="s">
        <v>40</v>
      </c>
      <c r="F652" s="227" t="s">
        <v>297</v>
      </c>
    </row>
    <row r="653" spans="1:6" x14ac:dyDescent="0.25">
      <c r="A653" s="227" t="str">
        <f>TL[[#This Row],[Société]]&amp;" - "&amp;TL[[#This Row],[Compte]]</f>
        <v>TH4 - 61300400</v>
      </c>
      <c r="B653" s="233" t="s">
        <v>3565</v>
      </c>
      <c r="C653" s="227" t="s">
        <v>1394</v>
      </c>
      <c r="D653" s="233" t="s">
        <v>35</v>
      </c>
      <c r="E653" s="233" t="s">
        <v>42</v>
      </c>
      <c r="F653" s="227" t="s">
        <v>297</v>
      </c>
    </row>
    <row r="654" spans="1:6" x14ac:dyDescent="0.25">
      <c r="A654" s="227" t="str">
        <f>TL[[#This Row],[Société]]&amp;" - "&amp;TL[[#This Row],[Compte]]</f>
        <v>TH4 - 61300500</v>
      </c>
      <c r="B654" s="233" t="s">
        <v>3566</v>
      </c>
      <c r="C654" s="227" t="s">
        <v>890</v>
      </c>
      <c r="D654" s="233" t="s">
        <v>20</v>
      </c>
      <c r="E654" s="233" t="s">
        <v>25</v>
      </c>
      <c r="F654" s="227" t="s">
        <v>297</v>
      </c>
    </row>
    <row r="655" spans="1:6" x14ac:dyDescent="0.25">
      <c r="A655" s="227" t="str">
        <f>TL[[#This Row],[Société]]&amp;" - "&amp;TL[[#This Row],[Compte]]</f>
        <v>TH4 - 61300600</v>
      </c>
      <c r="B655" s="233" t="s">
        <v>3567</v>
      </c>
      <c r="C655" s="227" t="s">
        <v>1395</v>
      </c>
      <c r="D655" s="233" t="s">
        <v>20</v>
      </c>
      <c r="E655" s="233" t="s">
        <v>25</v>
      </c>
      <c r="F655" s="227" t="s">
        <v>297</v>
      </c>
    </row>
    <row r="656" spans="1:6" x14ac:dyDescent="0.25">
      <c r="A656" s="227" t="str">
        <f>TL[[#This Row],[Société]]&amp;" - "&amp;TL[[#This Row],[Compte]]</f>
        <v>TH4 - 61300700</v>
      </c>
      <c r="B656" s="233" t="s">
        <v>3568</v>
      </c>
      <c r="C656" s="227" t="s">
        <v>1473</v>
      </c>
      <c r="D656" s="233" t="s">
        <v>50</v>
      </c>
      <c r="E656" s="233" t="s">
        <v>50</v>
      </c>
      <c r="F656" s="227" t="s">
        <v>297</v>
      </c>
    </row>
    <row r="657" spans="1:6" x14ac:dyDescent="0.25">
      <c r="A657" s="227" t="str">
        <f>TL[[#This Row],[Société]]&amp;" - "&amp;TL[[#This Row],[Compte]]</f>
        <v>TH4 - 61300800</v>
      </c>
      <c r="B657" s="233" t="s">
        <v>3569</v>
      </c>
      <c r="C657" s="227" t="s">
        <v>1022</v>
      </c>
      <c r="F657" s="227" t="s">
        <v>297</v>
      </c>
    </row>
    <row r="658" spans="1:6" x14ac:dyDescent="0.25">
      <c r="A658" s="227" t="str">
        <f>TL[[#This Row],[Société]]&amp;" - "&amp;TL[[#This Row],[Compte]]</f>
        <v>TH4 - 61300900</v>
      </c>
      <c r="B658" s="233" t="s">
        <v>3570</v>
      </c>
      <c r="C658" s="227" t="s">
        <v>522</v>
      </c>
      <c r="D658" s="233" t="s">
        <v>20</v>
      </c>
      <c r="E658" s="233" t="s">
        <v>25</v>
      </c>
      <c r="F658" s="227" t="s">
        <v>297</v>
      </c>
    </row>
    <row r="659" spans="1:6" x14ac:dyDescent="0.25">
      <c r="A659" s="227" t="str">
        <f>TL[[#This Row],[Société]]&amp;" - "&amp;TL[[#This Row],[Compte]]</f>
        <v>TH4 - 61320000</v>
      </c>
      <c r="B659" s="233" t="s">
        <v>2709</v>
      </c>
      <c r="C659" s="227" t="s">
        <v>443</v>
      </c>
      <c r="D659" s="233" t="s">
        <v>35</v>
      </c>
      <c r="E659" s="233" t="s">
        <v>2985</v>
      </c>
      <c r="F659" s="227" t="s">
        <v>297</v>
      </c>
    </row>
    <row r="660" spans="1:6" x14ac:dyDescent="0.25">
      <c r="A660" s="227" t="str">
        <f>TL[[#This Row],[Société]]&amp;" - "&amp;TL[[#This Row],[Compte]]</f>
        <v>TH4 - 61350000</v>
      </c>
      <c r="B660" s="233" t="s">
        <v>3571</v>
      </c>
      <c r="C660" s="227" t="s">
        <v>324</v>
      </c>
      <c r="D660" s="233" t="s">
        <v>20</v>
      </c>
      <c r="E660" s="233" t="s">
        <v>25</v>
      </c>
      <c r="F660" s="227" t="s">
        <v>297</v>
      </c>
    </row>
    <row r="661" spans="1:6" x14ac:dyDescent="0.25">
      <c r="A661" s="227" t="str">
        <f>TL[[#This Row],[Société]]&amp;" - "&amp;TL[[#This Row],[Compte]]</f>
        <v>TH4 - 61351000</v>
      </c>
      <c r="B661" s="233" t="s">
        <v>3572</v>
      </c>
      <c r="C661" s="227" t="s">
        <v>1023</v>
      </c>
      <c r="D661" s="233" t="s">
        <v>20</v>
      </c>
      <c r="E661" s="233" t="s">
        <v>25</v>
      </c>
      <c r="F661" s="227" t="s">
        <v>297</v>
      </c>
    </row>
    <row r="662" spans="1:6" x14ac:dyDescent="0.25">
      <c r="A662" s="227" t="str">
        <f>TL[[#This Row],[Société]]&amp;" - "&amp;TL[[#This Row],[Compte]]</f>
        <v>TH4 - 61352000</v>
      </c>
      <c r="B662" s="233" t="s">
        <v>3573</v>
      </c>
      <c r="C662" s="227" t="s">
        <v>1474</v>
      </c>
      <c r="D662" s="233" t="s">
        <v>20</v>
      </c>
      <c r="E662" s="233" t="s">
        <v>25</v>
      </c>
      <c r="F662" s="227" t="s">
        <v>297</v>
      </c>
    </row>
    <row r="663" spans="1:6" x14ac:dyDescent="0.25">
      <c r="A663" s="227" t="str">
        <f>TL[[#This Row],[Société]]&amp;" - "&amp;TL[[#This Row],[Compte]]</f>
        <v>TH4 - 61352100</v>
      </c>
      <c r="B663" s="233" t="s">
        <v>3574</v>
      </c>
      <c r="C663" s="227" t="s">
        <v>1475</v>
      </c>
      <c r="F663" s="227" t="s">
        <v>297</v>
      </c>
    </row>
    <row r="664" spans="1:6" x14ac:dyDescent="0.25">
      <c r="A664" s="227" t="str">
        <f>TL[[#This Row],[Société]]&amp;" - "&amp;TL[[#This Row],[Compte]]</f>
        <v>TH4 - 61352200</v>
      </c>
      <c r="B664" s="233" t="s">
        <v>3575</v>
      </c>
      <c r="C664" s="227" t="s">
        <v>1476</v>
      </c>
      <c r="D664" s="233" t="s">
        <v>50</v>
      </c>
      <c r="E664" s="233" t="s">
        <v>52</v>
      </c>
      <c r="F664" s="227" t="s">
        <v>297</v>
      </c>
    </row>
    <row r="665" spans="1:6" x14ac:dyDescent="0.25">
      <c r="A665" s="227" t="str">
        <f>TL[[#This Row],[Société]]&amp;" - "&amp;TL[[#This Row],[Compte]]</f>
        <v>TH4 - 61352300</v>
      </c>
      <c r="B665" s="233" t="s">
        <v>3576</v>
      </c>
      <c r="C665" s="227" t="s">
        <v>1477</v>
      </c>
      <c r="D665" s="233" t="s">
        <v>50</v>
      </c>
      <c r="E665" s="233" t="s">
        <v>52</v>
      </c>
      <c r="F665" s="227" t="s">
        <v>297</v>
      </c>
    </row>
    <row r="666" spans="1:6" x14ac:dyDescent="0.25">
      <c r="A666" s="227" t="str">
        <f>TL[[#This Row],[Société]]&amp;" - "&amp;TL[[#This Row],[Compte]]</f>
        <v>TH4 - 61352400</v>
      </c>
      <c r="B666" s="233" t="s">
        <v>3577</v>
      </c>
      <c r="C666" s="227" t="s">
        <v>1478</v>
      </c>
      <c r="D666" s="233" t="s">
        <v>50</v>
      </c>
      <c r="E666" s="233" t="s">
        <v>52</v>
      </c>
      <c r="F666" s="227" t="s">
        <v>297</v>
      </c>
    </row>
    <row r="667" spans="1:6" x14ac:dyDescent="0.25">
      <c r="A667" s="227" t="str">
        <f>TL[[#This Row],[Société]]&amp;" - "&amp;TL[[#This Row],[Compte]]</f>
        <v>TH4 - 61352500</v>
      </c>
      <c r="B667" s="233" t="s">
        <v>3578</v>
      </c>
      <c r="C667" s="227" t="s">
        <v>1563</v>
      </c>
      <c r="D667" s="233" t="s">
        <v>50</v>
      </c>
      <c r="E667" s="233" t="s">
        <v>52</v>
      </c>
      <c r="F667" s="227" t="s">
        <v>297</v>
      </c>
    </row>
    <row r="668" spans="1:6" x14ac:dyDescent="0.25">
      <c r="A668" s="227" t="str">
        <f>TL[[#This Row],[Société]]&amp;" - "&amp;TL[[#This Row],[Compte]]</f>
        <v>TH4 - 61352600</v>
      </c>
      <c r="B668" s="233" t="s">
        <v>3579</v>
      </c>
      <c r="C668" s="227" t="s">
        <v>1564</v>
      </c>
      <c r="D668" s="233" t="s">
        <v>50</v>
      </c>
      <c r="E668" s="233" t="s">
        <v>52</v>
      </c>
      <c r="F668" s="227" t="s">
        <v>297</v>
      </c>
    </row>
    <row r="669" spans="1:6" x14ac:dyDescent="0.25">
      <c r="A669" s="227" t="str">
        <f>TL[[#This Row],[Société]]&amp;" - "&amp;TL[[#This Row],[Compte]]</f>
        <v>TH4 - 61352700</v>
      </c>
      <c r="B669" s="233" t="s">
        <v>3580</v>
      </c>
      <c r="C669" s="227" t="s">
        <v>1565</v>
      </c>
      <c r="D669" s="233" t="s">
        <v>50</v>
      </c>
      <c r="E669" s="233" t="s">
        <v>52</v>
      </c>
      <c r="F669" s="227" t="s">
        <v>297</v>
      </c>
    </row>
    <row r="670" spans="1:6" x14ac:dyDescent="0.25">
      <c r="A670" s="227" t="str">
        <f>TL[[#This Row],[Société]]&amp;" - "&amp;TL[[#This Row],[Compte]]</f>
        <v>TH4 - 61352800</v>
      </c>
      <c r="B670" s="233" t="s">
        <v>3581</v>
      </c>
      <c r="C670" s="227" t="s">
        <v>1566</v>
      </c>
      <c r="D670" s="233" t="s">
        <v>50</v>
      </c>
      <c r="E670" s="233" t="s">
        <v>52</v>
      </c>
      <c r="F670" s="227" t="s">
        <v>297</v>
      </c>
    </row>
    <row r="671" spans="1:6" x14ac:dyDescent="0.25">
      <c r="A671" s="227" t="str">
        <f>TL[[#This Row],[Société]]&amp;" - "&amp;TL[[#This Row],[Compte]]</f>
        <v>TH4 - 61353000</v>
      </c>
      <c r="B671" s="233" t="s">
        <v>3582</v>
      </c>
      <c r="C671" s="227" t="s">
        <v>1567</v>
      </c>
      <c r="D671" s="233" t="s">
        <v>20</v>
      </c>
      <c r="E671" s="233" t="s">
        <v>25</v>
      </c>
      <c r="F671" s="227" t="s">
        <v>297</v>
      </c>
    </row>
    <row r="672" spans="1:6" x14ac:dyDescent="0.25">
      <c r="A672" s="227" t="str">
        <f>TL[[#This Row],[Société]]&amp;" - "&amp;TL[[#This Row],[Compte]]</f>
        <v>TH4 - 61354000</v>
      </c>
      <c r="B672" s="233" t="s">
        <v>3583</v>
      </c>
      <c r="C672" s="227" t="s">
        <v>1479</v>
      </c>
      <c r="D672" s="233" t="s">
        <v>20</v>
      </c>
      <c r="E672" s="233" t="s">
        <v>20</v>
      </c>
      <c r="F672" s="227" t="s">
        <v>297</v>
      </c>
    </row>
    <row r="673" spans="1:6" x14ac:dyDescent="0.25">
      <c r="A673" s="227" t="str">
        <f>TL[[#This Row],[Société]]&amp;" - "&amp;TL[[#This Row],[Compte]]</f>
        <v>TH4 - 61354100</v>
      </c>
      <c r="B673" s="233" t="s">
        <v>3584</v>
      </c>
      <c r="C673" s="227" t="s">
        <v>1568</v>
      </c>
      <c r="D673" s="233" t="s">
        <v>20</v>
      </c>
      <c r="E673" s="233" t="s">
        <v>25</v>
      </c>
      <c r="F673" s="227" t="s">
        <v>297</v>
      </c>
    </row>
    <row r="674" spans="1:6" x14ac:dyDescent="0.25">
      <c r="A674" s="227" t="str">
        <f>TL[[#This Row],[Société]]&amp;" - "&amp;TL[[#This Row],[Compte]]</f>
        <v>TH4 - 61354200</v>
      </c>
      <c r="B674" s="233" t="s">
        <v>3585</v>
      </c>
      <c r="C674" s="227" t="s">
        <v>2223</v>
      </c>
      <c r="D674" s="233" t="s">
        <v>20</v>
      </c>
      <c r="E674" s="233" t="s">
        <v>25</v>
      </c>
      <c r="F674" s="227" t="s">
        <v>297</v>
      </c>
    </row>
    <row r="675" spans="1:6" x14ac:dyDescent="0.25">
      <c r="A675" s="227" t="str">
        <f>TL[[#This Row],[Société]]&amp;" - "&amp;TL[[#This Row],[Compte]]</f>
        <v>TH4 - 61354300</v>
      </c>
      <c r="B675" s="233" t="s">
        <v>3586</v>
      </c>
      <c r="C675" s="227" t="s">
        <v>2952</v>
      </c>
      <c r="D675" s="233" t="s">
        <v>20</v>
      </c>
      <c r="E675" s="233" t="s">
        <v>25</v>
      </c>
      <c r="F675" s="227" t="s">
        <v>297</v>
      </c>
    </row>
    <row r="676" spans="1:6" x14ac:dyDescent="0.25">
      <c r="A676" s="227" t="str">
        <f>TL[[#This Row],[Société]]&amp;" - "&amp;TL[[#This Row],[Compte]]</f>
        <v>TH4 - 61400000</v>
      </c>
      <c r="B676" s="233" t="s">
        <v>3587</v>
      </c>
      <c r="C676" s="227" t="s">
        <v>450</v>
      </c>
      <c r="F676" s="227" t="s">
        <v>297</v>
      </c>
    </row>
    <row r="677" spans="1:6" x14ac:dyDescent="0.25">
      <c r="A677" s="227" t="str">
        <f>TL[[#This Row],[Société]]&amp;" - "&amp;TL[[#This Row],[Compte]]</f>
        <v>TH4 - 61410000</v>
      </c>
      <c r="B677" s="233" t="s">
        <v>2712</v>
      </c>
      <c r="C677" s="227" t="s">
        <v>323</v>
      </c>
      <c r="D677" s="233" t="s">
        <v>42</v>
      </c>
      <c r="E677" s="233" t="s">
        <v>40</v>
      </c>
      <c r="F677" s="227" t="s">
        <v>297</v>
      </c>
    </row>
    <row r="678" spans="1:6" x14ac:dyDescent="0.25">
      <c r="A678" s="227" t="str">
        <f>TL[[#This Row],[Société]]&amp;" - "&amp;TL[[#This Row],[Compte]]</f>
        <v>TH4 - 61500000</v>
      </c>
      <c r="B678" s="233" t="s">
        <v>3588</v>
      </c>
      <c r="C678" s="227" t="s">
        <v>1024</v>
      </c>
      <c r="F678" s="227" t="s">
        <v>297</v>
      </c>
    </row>
    <row r="679" spans="1:6" x14ac:dyDescent="0.25">
      <c r="A679" s="227" t="str">
        <f>TL[[#This Row],[Société]]&amp;" - "&amp;TL[[#This Row],[Compte]]</f>
        <v>TH4 - 61500100</v>
      </c>
      <c r="B679" s="233" t="s">
        <v>3589</v>
      </c>
      <c r="C679" s="227" t="s">
        <v>1025</v>
      </c>
      <c r="D679" s="233" t="s">
        <v>25</v>
      </c>
      <c r="E679" s="233" t="s">
        <v>23</v>
      </c>
      <c r="F679" s="227" t="s">
        <v>297</v>
      </c>
    </row>
    <row r="680" spans="1:6" x14ac:dyDescent="0.25">
      <c r="A680" s="227" t="str">
        <f>TL[[#This Row],[Société]]&amp;" - "&amp;TL[[#This Row],[Compte]]</f>
        <v>TH4 - 61500300</v>
      </c>
      <c r="B680" s="233" t="s">
        <v>3590</v>
      </c>
      <c r="C680" s="227" t="s">
        <v>895</v>
      </c>
      <c r="D680" s="233" t="s">
        <v>25</v>
      </c>
      <c r="E680" s="233" t="s">
        <v>25</v>
      </c>
      <c r="F680" s="227" t="s">
        <v>297</v>
      </c>
    </row>
    <row r="681" spans="1:6" x14ac:dyDescent="0.25">
      <c r="A681" s="227" t="str">
        <f>TL[[#This Row],[Société]]&amp;" - "&amp;TL[[#This Row],[Compte]]</f>
        <v>TH4 - 61500400</v>
      </c>
      <c r="B681" s="233" t="s">
        <v>3591</v>
      </c>
      <c r="C681" s="227" t="s">
        <v>1313</v>
      </c>
      <c r="D681" s="233" t="s">
        <v>20</v>
      </c>
      <c r="E681" s="233" t="s">
        <v>20</v>
      </c>
      <c r="F681" s="227" t="s">
        <v>297</v>
      </c>
    </row>
    <row r="682" spans="1:6" x14ac:dyDescent="0.25">
      <c r="A682" s="227" t="str">
        <f>TL[[#This Row],[Société]]&amp;" - "&amp;TL[[#This Row],[Compte]]</f>
        <v>TH4 - 61500600</v>
      </c>
      <c r="B682" s="233" t="s">
        <v>3592</v>
      </c>
      <c r="C682" s="227" t="s">
        <v>1396</v>
      </c>
      <c r="D682" s="233" t="s">
        <v>20</v>
      </c>
      <c r="E682" s="233" t="s">
        <v>25</v>
      </c>
      <c r="F682" s="227" t="s">
        <v>297</v>
      </c>
    </row>
    <row r="683" spans="1:6" x14ac:dyDescent="0.25">
      <c r="A683" s="227" t="str">
        <f>TL[[#This Row],[Société]]&amp;" - "&amp;TL[[#This Row],[Compte]]</f>
        <v>TH4 - 61501100</v>
      </c>
      <c r="B683" s="233" t="s">
        <v>3593</v>
      </c>
      <c r="C683" s="227" t="s">
        <v>1397</v>
      </c>
      <c r="D683" s="233" t="s">
        <v>20</v>
      </c>
      <c r="E683" s="233" t="s">
        <v>25</v>
      </c>
      <c r="F683" s="227" t="s">
        <v>297</v>
      </c>
    </row>
    <row r="684" spans="1:6" x14ac:dyDescent="0.25">
      <c r="A684" s="227" t="str">
        <f>TL[[#This Row],[Société]]&amp;" - "&amp;TL[[#This Row],[Compte]]</f>
        <v>TH4 - 61501200</v>
      </c>
      <c r="B684" s="233" t="s">
        <v>3594</v>
      </c>
      <c r="C684" s="227" t="s">
        <v>1398</v>
      </c>
      <c r="D684" s="233" t="s">
        <v>20</v>
      </c>
      <c r="E684" s="233" t="s">
        <v>18</v>
      </c>
      <c r="F684" s="227" t="s">
        <v>297</v>
      </c>
    </row>
    <row r="685" spans="1:6" x14ac:dyDescent="0.25">
      <c r="A685" s="227" t="str">
        <f>TL[[#This Row],[Société]]&amp;" - "&amp;TL[[#This Row],[Compte]]</f>
        <v>TH4 - 61501600</v>
      </c>
      <c r="B685" s="233" t="s">
        <v>3595</v>
      </c>
      <c r="C685" s="227" t="s">
        <v>1026</v>
      </c>
      <c r="D685" s="233" t="s">
        <v>20</v>
      </c>
      <c r="E685" s="233" t="s">
        <v>18</v>
      </c>
      <c r="F685" s="227" t="s">
        <v>297</v>
      </c>
    </row>
    <row r="686" spans="1:6" x14ac:dyDescent="0.25">
      <c r="A686" s="227" t="str">
        <f>TL[[#This Row],[Société]]&amp;" - "&amp;TL[[#This Row],[Compte]]</f>
        <v>TH4 - 61501700</v>
      </c>
      <c r="B686" s="233" t="s">
        <v>3596</v>
      </c>
      <c r="C686" s="227" t="s">
        <v>1399</v>
      </c>
      <c r="D686" s="233" t="s">
        <v>20</v>
      </c>
      <c r="E686" s="233" t="s">
        <v>25</v>
      </c>
      <c r="F686" s="227" t="s">
        <v>297</v>
      </c>
    </row>
    <row r="687" spans="1:6" x14ac:dyDescent="0.25">
      <c r="A687" s="227" t="str">
        <f>TL[[#This Row],[Société]]&amp;" - "&amp;TL[[#This Row],[Compte]]</f>
        <v>TH4 - 61520000</v>
      </c>
      <c r="B687" s="233" t="s">
        <v>3597</v>
      </c>
      <c r="C687" s="227" t="s">
        <v>154</v>
      </c>
      <c r="D687" s="233" t="s">
        <v>20</v>
      </c>
      <c r="E687" s="233" t="s">
        <v>25</v>
      </c>
      <c r="F687" s="227" t="s">
        <v>297</v>
      </c>
    </row>
    <row r="688" spans="1:6" x14ac:dyDescent="0.25">
      <c r="A688" s="227" t="str">
        <f>TL[[#This Row],[Société]]&amp;" - "&amp;TL[[#This Row],[Compte]]</f>
        <v>TH4 - 61521000</v>
      </c>
      <c r="B688" s="233" t="s">
        <v>2651</v>
      </c>
      <c r="C688" s="227" t="s">
        <v>260</v>
      </c>
      <c r="D688" s="233" t="s">
        <v>20</v>
      </c>
      <c r="E688" s="233" t="s">
        <v>18</v>
      </c>
      <c r="F688" s="227" t="s">
        <v>297</v>
      </c>
    </row>
    <row r="689" spans="1:6" x14ac:dyDescent="0.25">
      <c r="A689" s="227" t="str">
        <f>TL[[#This Row],[Société]]&amp;" - "&amp;TL[[#This Row],[Compte]]</f>
        <v>TH4 - 61522000</v>
      </c>
      <c r="B689" s="233" t="s">
        <v>3598</v>
      </c>
      <c r="C689" s="227" t="s">
        <v>1400</v>
      </c>
      <c r="D689" s="233" t="s">
        <v>20</v>
      </c>
      <c r="E689" s="233" t="s">
        <v>25</v>
      </c>
      <c r="F689" s="227" t="s">
        <v>297</v>
      </c>
    </row>
    <row r="690" spans="1:6" x14ac:dyDescent="0.25">
      <c r="A690" s="227" t="str">
        <f>TL[[#This Row],[Société]]&amp;" - "&amp;TL[[#This Row],[Compte]]</f>
        <v>TH4 - 61550000</v>
      </c>
      <c r="B690" s="233" t="s">
        <v>3599</v>
      </c>
      <c r="C690" s="227" t="s">
        <v>212</v>
      </c>
      <c r="D690" s="233" t="s">
        <v>25</v>
      </c>
      <c r="E690" s="233" t="s">
        <v>23</v>
      </c>
      <c r="F690" s="227" t="s">
        <v>297</v>
      </c>
    </row>
    <row r="691" spans="1:6" x14ac:dyDescent="0.25">
      <c r="A691" s="227" t="str">
        <f>TL[[#This Row],[Société]]&amp;" - "&amp;TL[[#This Row],[Compte]]</f>
        <v>TH4 - 61552000</v>
      </c>
      <c r="B691" s="233" t="s">
        <v>3600</v>
      </c>
      <c r="C691" s="227" t="s">
        <v>336</v>
      </c>
      <c r="D691" s="233" t="s">
        <v>25</v>
      </c>
      <c r="E691" s="233" t="s">
        <v>23</v>
      </c>
      <c r="F691" s="227" t="s">
        <v>297</v>
      </c>
    </row>
    <row r="692" spans="1:6" x14ac:dyDescent="0.25">
      <c r="A692" s="227" t="str">
        <f>TL[[#This Row],[Société]]&amp;" - "&amp;TL[[#This Row],[Compte]]</f>
        <v>TH4 - 61552100</v>
      </c>
      <c r="B692" s="233" t="s">
        <v>3601</v>
      </c>
      <c r="C692" s="227" t="s">
        <v>1027</v>
      </c>
      <c r="D692" s="233" t="s">
        <v>50</v>
      </c>
      <c r="E692" s="233" t="s">
        <v>23</v>
      </c>
      <c r="F692" s="227" t="s">
        <v>297</v>
      </c>
    </row>
    <row r="693" spans="1:6" x14ac:dyDescent="0.25">
      <c r="A693" s="227" t="str">
        <f>TL[[#This Row],[Société]]&amp;" - "&amp;TL[[#This Row],[Compte]]</f>
        <v>TH4 - 61552200</v>
      </c>
      <c r="B693" s="233" t="s">
        <v>3602</v>
      </c>
      <c r="C693" s="227" t="s">
        <v>1481</v>
      </c>
      <c r="D693" s="233" t="s">
        <v>20</v>
      </c>
      <c r="E693" s="233" t="s">
        <v>25</v>
      </c>
      <c r="F693" s="227" t="s">
        <v>297</v>
      </c>
    </row>
    <row r="694" spans="1:6" x14ac:dyDescent="0.25">
      <c r="A694" s="227" t="str">
        <f>TL[[#This Row],[Société]]&amp;" - "&amp;TL[[#This Row],[Compte]]</f>
        <v>TH4 - 61560000</v>
      </c>
      <c r="B694" s="233" t="s">
        <v>2666</v>
      </c>
      <c r="C694" s="227" t="s">
        <v>419</v>
      </c>
      <c r="D694" s="233" t="s">
        <v>20</v>
      </c>
      <c r="E694" s="233" t="s">
        <v>25</v>
      </c>
      <c r="F694" s="227" t="s">
        <v>297</v>
      </c>
    </row>
    <row r="695" spans="1:6" x14ac:dyDescent="0.25">
      <c r="A695" s="227" t="str">
        <f>TL[[#This Row],[Société]]&amp;" - "&amp;TL[[#This Row],[Compte]]</f>
        <v>TH4 - 61561000</v>
      </c>
      <c r="B695" s="233" t="s">
        <v>2667</v>
      </c>
      <c r="C695" s="227" t="s">
        <v>234</v>
      </c>
      <c r="D695" s="233" t="s">
        <v>20</v>
      </c>
      <c r="E695" s="233" t="s">
        <v>25</v>
      </c>
      <c r="F695" s="227" t="s">
        <v>297</v>
      </c>
    </row>
    <row r="696" spans="1:6" x14ac:dyDescent="0.25">
      <c r="A696" s="227" t="str">
        <f>TL[[#This Row],[Société]]&amp;" - "&amp;TL[[#This Row],[Compte]]</f>
        <v>TH4 - 61561100</v>
      </c>
      <c r="B696" s="233" t="s">
        <v>2668</v>
      </c>
      <c r="C696" s="227" t="s">
        <v>211</v>
      </c>
      <c r="D696" s="233" t="s">
        <v>20</v>
      </c>
      <c r="E696" s="233" t="s">
        <v>25</v>
      </c>
      <c r="F696" s="227" t="s">
        <v>297</v>
      </c>
    </row>
    <row r="697" spans="1:6" x14ac:dyDescent="0.25">
      <c r="A697" s="227" t="str">
        <f>TL[[#This Row],[Société]]&amp;" - "&amp;TL[[#This Row],[Compte]]</f>
        <v>TH4 - 61561200</v>
      </c>
      <c r="B697" s="233" t="s">
        <v>2669</v>
      </c>
      <c r="C697" s="227" t="s">
        <v>1401</v>
      </c>
      <c r="D697" s="233" t="s">
        <v>20</v>
      </c>
      <c r="E697" s="233" t="s">
        <v>25</v>
      </c>
      <c r="F697" s="227" t="s">
        <v>297</v>
      </c>
    </row>
    <row r="698" spans="1:6" x14ac:dyDescent="0.25">
      <c r="A698" s="227" t="str">
        <f>TL[[#This Row],[Société]]&amp;" - "&amp;TL[[#This Row],[Compte]]</f>
        <v>TH4 - 61561300</v>
      </c>
      <c r="B698" s="233" t="s">
        <v>2670</v>
      </c>
      <c r="C698" s="227" t="s">
        <v>239</v>
      </c>
      <c r="D698" s="233" t="s">
        <v>20</v>
      </c>
      <c r="E698" s="233" t="s">
        <v>25</v>
      </c>
      <c r="F698" s="227" t="s">
        <v>297</v>
      </c>
    </row>
    <row r="699" spans="1:6" x14ac:dyDescent="0.25">
      <c r="A699" s="227" t="str">
        <f>TL[[#This Row],[Société]]&amp;" - "&amp;TL[[#This Row],[Compte]]</f>
        <v>TH4 - 61561400</v>
      </c>
      <c r="B699" s="233" t="s">
        <v>3603</v>
      </c>
      <c r="C699" s="227" t="s">
        <v>1317</v>
      </c>
      <c r="D699" s="233" t="s">
        <v>20</v>
      </c>
      <c r="E699" s="233" t="s">
        <v>25</v>
      </c>
      <c r="F699" s="227" t="s">
        <v>297</v>
      </c>
    </row>
    <row r="700" spans="1:6" x14ac:dyDescent="0.25">
      <c r="A700" s="227" t="str">
        <f>TL[[#This Row],[Société]]&amp;" - "&amp;TL[[#This Row],[Compte]]</f>
        <v>TH4 - 61561500</v>
      </c>
      <c r="B700" s="233" t="s">
        <v>2652</v>
      </c>
      <c r="C700" s="227" t="s">
        <v>240</v>
      </c>
      <c r="D700" s="233" t="s">
        <v>20</v>
      </c>
      <c r="E700" s="233" t="s">
        <v>25</v>
      </c>
      <c r="F700" s="227" t="s">
        <v>297</v>
      </c>
    </row>
    <row r="701" spans="1:6" x14ac:dyDescent="0.25">
      <c r="A701" s="227" t="str">
        <f>TL[[#This Row],[Société]]&amp;" - "&amp;TL[[#This Row],[Compte]]</f>
        <v>TH4 - 61561600</v>
      </c>
      <c r="B701" s="233" t="s">
        <v>2671</v>
      </c>
      <c r="C701" s="227" t="s">
        <v>1402</v>
      </c>
      <c r="D701" s="233" t="s">
        <v>20</v>
      </c>
      <c r="E701" s="233" t="s">
        <v>25</v>
      </c>
      <c r="F701" s="227" t="s">
        <v>297</v>
      </c>
    </row>
    <row r="702" spans="1:6" x14ac:dyDescent="0.25">
      <c r="A702" s="227" t="str">
        <f>TL[[#This Row],[Société]]&amp;" - "&amp;TL[[#This Row],[Compte]]</f>
        <v>TH4 - 61561700</v>
      </c>
      <c r="B702" s="233" t="s">
        <v>3604</v>
      </c>
      <c r="C702" s="227" t="s">
        <v>746</v>
      </c>
      <c r="D702" s="233" t="s">
        <v>20</v>
      </c>
      <c r="E702" s="233" t="s">
        <v>25</v>
      </c>
      <c r="F702" s="227" t="s">
        <v>297</v>
      </c>
    </row>
    <row r="703" spans="1:6" x14ac:dyDescent="0.25">
      <c r="A703" s="227" t="str">
        <f>TL[[#This Row],[Société]]&amp;" - "&amp;TL[[#This Row],[Compte]]</f>
        <v>TH4 - 61561800</v>
      </c>
      <c r="B703" s="233" t="s">
        <v>2672</v>
      </c>
      <c r="C703" s="227" t="s">
        <v>233</v>
      </c>
      <c r="D703" s="233" t="s">
        <v>20</v>
      </c>
      <c r="E703" s="233" t="s">
        <v>25</v>
      </c>
      <c r="F703" s="227" t="s">
        <v>297</v>
      </c>
    </row>
    <row r="704" spans="1:6" x14ac:dyDescent="0.25">
      <c r="A704" s="227" t="str">
        <f>TL[[#This Row],[Société]]&amp;" - "&amp;TL[[#This Row],[Compte]]</f>
        <v>TH4 - 61561900</v>
      </c>
      <c r="B704" s="233" t="s">
        <v>3605</v>
      </c>
      <c r="C704" s="227" t="s">
        <v>326</v>
      </c>
      <c r="D704" s="233" t="s">
        <v>20</v>
      </c>
      <c r="E704" s="233" t="s">
        <v>18</v>
      </c>
      <c r="F704" s="227" t="s">
        <v>297</v>
      </c>
    </row>
    <row r="705" spans="1:6" x14ac:dyDescent="0.25">
      <c r="A705" s="227" t="str">
        <f>TL[[#This Row],[Société]]&amp;" - "&amp;TL[[#This Row],[Compte]]</f>
        <v>TH4 - 61562000</v>
      </c>
      <c r="B705" s="233" t="s">
        <v>2653</v>
      </c>
      <c r="C705" s="227" t="s">
        <v>1403</v>
      </c>
      <c r="D705" s="233" t="s">
        <v>20</v>
      </c>
      <c r="E705" s="233" t="s">
        <v>20</v>
      </c>
      <c r="F705" s="227" t="s">
        <v>297</v>
      </c>
    </row>
    <row r="706" spans="1:6" x14ac:dyDescent="0.25">
      <c r="A706" s="227" t="str">
        <f>TL[[#This Row],[Société]]&amp;" - "&amp;TL[[#This Row],[Compte]]</f>
        <v>TH4 - 61562100</v>
      </c>
      <c r="B706" s="233" t="s">
        <v>2673</v>
      </c>
      <c r="C706" s="227" t="s">
        <v>335</v>
      </c>
      <c r="D706" s="233" t="s">
        <v>20</v>
      </c>
      <c r="E706" s="233" t="s">
        <v>25</v>
      </c>
      <c r="F706" s="227" t="s">
        <v>297</v>
      </c>
    </row>
    <row r="707" spans="1:6" x14ac:dyDescent="0.25">
      <c r="A707" s="227" t="str">
        <f>TL[[#This Row],[Société]]&amp;" - "&amp;TL[[#This Row],[Compte]]</f>
        <v>TH4 - 61562200</v>
      </c>
      <c r="B707" s="233" t="s">
        <v>3606</v>
      </c>
      <c r="C707" s="227" t="s">
        <v>280</v>
      </c>
      <c r="D707" s="233" t="s">
        <v>20</v>
      </c>
      <c r="E707" s="233" t="s">
        <v>25</v>
      </c>
      <c r="F707" s="227" t="s">
        <v>297</v>
      </c>
    </row>
    <row r="708" spans="1:6" x14ac:dyDescent="0.25">
      <c r="A708" s="227" t="str">
        <f>TL[[#This Row],[Société]]&amp;" - "&amp;TL[[#This Row],[Compte]]</f>
        <v>TH4 - 61562300</v>
      </c>
      <c r="B708" s="233" t="s">
        <v>2674</v>
      </c>
      <c r="C708" s="227" t="s">
        <v>242</v>
      </c>
      <c r="D708" s="233" t="s">
        <v>20</v>
      </c>
      <c r="E708" s="233" t="s">
        <v>25</v>
      </c>
      <c r="F708" s="227" t="s">
        <v>297</v>
      </c>
    </row>
    <row r="709" spans="1:6" x14ac:dyDescent="0.25">
      <c r="A709" s="227" t="str">
        <f>TL[[#This Row],[Société]]&amp;" - "&amp;TL[[#This Row],[Compte]]</f>
        <v>TH4 - 61562400</v>
      </c>
      <c r="B709" s="233" t="s">
        <v>2654</v>
      </c>
      <c r="C709" s="227" t="s">
        <v>1028</v>
      </c>
      <c r="D709" s="233" t="s">
        <v>20</v>
      </c>
      <c r="E709" s="233" t="s">
        <v>25</v>
      </c>
      <c r="F709" s="227" t="s">
        <v>297</v>
      </c>
    </row>
    <row r="710" spans="1:6" x14ac:dyDescent="0.25">
      <c r="A710" s="227" t="str">
        <f>TL[[#This Row],[Société]]&amp;" - "&amp;TL[[#This Row],[Compte]]</f>
        <v>TH4 - 61562500</v>
      </c>
      <c r="B710" s="233" t="s">
        <v>2676</v>
      </c>
      <c r="C710" s="227" t="s">
        <v>1029</v>
      </c>
      <c r="F710" s="227" t="s">
        <v>297</v>
      </c>
    </row>
    <row r="711" spans="1:6" x14ac:dyDescent="0.25">
      <c r="A711" s="227" t="str">
        <f>TL[[#This Row],[Société]]&amp;" - "&amp;TL[[#This Row],[Compte]]</f>
        <v>TH4 - 61562600</v>
      </c>
      <c r="B711" s="233" t="s">
        <v>3607</v>
      </c>
      <c r="C711" s="227" t="s">
        <v>316</v>
      </c>
      <c r="D711" s="233" t="s">
        <v>20</v>
      </c>
      <c r="E711" s="233" t="s">
        <v>25</v>
      </c>
      <c r="F711" s="227" t="s">
        <v>297</v>
      </c>
    </row>
    <row r="712" spans="1:6" x14ac:dyDescent="0.25">
      <c r="A712" s="227" t="str">
        <f>TL[[#This Row],[Société]]&amp;" - "&amp;TL[[#This Row],[Compte]]</f>
        <v>TH4 - 61562700</v>
      </c>
      <c r="B712" s="233" t="s">
        <v>3608</v>
      </c>
      <c r="C712" s="227" t="s">
        <v>1030</v>
      </c>
      <c r="D712" s="233" t="s">
        <v>20</v>
      </c>
      <c r="E712" s="233" t="s">
        <v>25</v>
      </c>
      <c r="F712" s="227" t="s">
        <v>297</v>
      </c>
    </row>
    <row r="713" spans="1:6" x14ac:dyDescent="0.25">
      <c r="A713" s="227" t="str">
        <f>TL[[#This Row],[Société]]&amp;" - "&amp;TL[[#This Row],[Compte]]</f>
        <v>TH4 - 61562800</v>
      </c>
      <c r="B713" s="233" t="s">
        <v>2677</v>
      </c>
      <c r="C713" s="227" t="s">
        <v>1482</v>
      </c>
      <c r="D713" s="233" t="s">
        <v>20</v>
      </c>
      <c r="E713" s="233" t="s">
        <v>25</v>
      </c>
      <c r="F713" s="227" t="s">
        <v>297</v>
      </c>
    </row>
    <row r="714" spans="1:6" x14ac:dyDescent="0.25">
      <c r="A714" s="227" t="str">
        <f>TL[[#This Row],[Société]]&amp;" - "&amp;TL[[#This Row],[Compte]]</f>
        <v>TH4 - 61562900</v>
      </c>
      <c r="B714" s="233" t="s">
        <v>3609</v>
      </c>
      <c r="C714" s="227" t="s">
        <v>1031</v>
      </c>
      <c r="D714" s="233" t="s">
        <v>20</v>
      </c>
      <c r="E714" s="233" t="s">
        <v>25</v>
      </c>
      <c r="F714" s="227" t="s">
        <v>297</v>
      </c>
    </row>
    <row r="715" spans="1:6" x14ac:dyDescent="0.25">
      <c r="A715" s="227" t="str">
        <f>TL[[#This Row],[Société]]&amp;" - "&amp;TL[[#This Row],[Compte]]</f>
        <v>TH4 - 61563000</v>
      </c>
      <c r="B715" s="233" t="s">
        <v>2678</v>
      </c>
      <c r="C715" s="227" t="s">
        <v>259</v>
      </c>
      <c r="D715" s="233" t="s">
        <v>20</v>
      </c>
      <c r="E715" s="233" t="s">
        <v>25</v>
      </c>
      <c r="F715" s="227" t="s">
        <v>297</v>
      </c>
    </row>
    <row r="716" spans="1:6" x14ac:dyDescent="0.25">
      <c r="A716" s="227" t="str">
        <f>TL[[#This Row],[Société]]&amp;" - "&amp;TL[[#This Row],[Compte]]</f>
        <v>TH4 - 61563100</v>
      </c>
      <c r="B716" s="233" t="s">
        <v>3610</v>
      </c>
      <c r="C716" s="227" t="s">
        <v>1191</v>
      </c>
      <c r="D716" s="233" t="s">
        <v>20</v>
      </c>
      <c r="E716" s="233" t="s">
        <v>25</v>
      </c>
      <c r="F716" s="227" t="s">
        <v>297</v>
      </c>
    </row>
    <row r="717" spans="1:6" x14ac:dyDescent="0.25">
      <c r="A717" s="227" t="str">
        <f>TL[[#This Row],[Société]]&amp;" - "&amp;TL[[#This Row],[Compte]]</f>
        <v>TH4 - 61563200</v>
      </c>
      <c r="B717" s="233" t="s">
        <v>2679</v>
      </c>
      <c r="C717" s="227" t="s">
        <v>3611</v>
      </c>
      <c r="D717" s="233" t="s">
        <v>20</v>
      </c>
      <c r="E717" s="233" t="s">
        <v>25</v>
      </c>
      <c r="F717" s="227" t="s">
        <v>297</v>
      </c>
    </row>
    <row r="718" spans="1:6" x14ac:dyDescent="0.25">
      <c r="A718" s="227" t="str">
        <f>TL[[#This Row],[Société]]&amp;" - "&amp;TL[[#This Row],[Compte]]</f>
        <v>TH4 - 61563300</v>
      </c>
      <c r="B718" s="233" t="s">
        <v>3612</v>
      </c>
      <c r="C718" s="227" t="s">
        <v>1032</v>
      </c>
      <c r="D718" s="233" t="s">
        <v>20</v>
      </c>
      <c r="E718" s="233" t="s">
        <v>25</v>
      </c>
      <c r="F718" s="227" t="s">
        <v>297</v>
      </c>
    </row>
    <row r="719" spans="1:6" x14ac:dyDescent="0.25">
      <c r="A719" s="227" t="str">
        <f>TL[[#This Row],[Société]]&amp;" - "&amp;TL[[#This Row],[Compte]]</f>
        <v>TH4 - 61563400</v>
      </c>
      <c r="B719" s="233" t="s">
        <v>3613</v>
      </c>
      <c r="C719" s="227" t="s">
        <v>1483</v>
      </c>
      <c r="D719" s="233" t="s">
        <v>20</v>
      </c>
      <c r="E719" s="233" t="s">
        <v>25</v>
      </c>
      <c r="F719" s="227" t="s">
        <v>297</v>
      </c>
    </row>
    <row r="720" spans="1:6" x14ac:dyDescent="0.25">
      <c r="A720" s="227" t="str">
        <f>TL[[#This Row],[Société]]&amp;" - "&amp;TL[[#This Row],[Compte]]</f>
        <v>TH4 - 61563500</v>
      </c>
      <c r="B720" s="233" t="s">
        <v>2680</v>
      </c>
      <c r="C720" s="227" t="s">
        <v>314</v>
      </c>
      <c r="D720" s="233" t="s">
        <v>20</v>
      </c>
      <c r="E720" s="233" t="s">
        <v>25</v>
      </c>
      <c r="F720" s="227" t="s">
        <v>297</v>
      </c>
    </row>
    <row r="721" spans="1:6" x14ac:dyDescent="0.25">
      <c r="A721" s="227" t="str">
        <f>TL[[#This Row],[Société]]&amp;" - "&amp;TL[[#This Row],[Compte]]</f>
        <v>TH4 - 61563600</v>
      </c>
      <c r="B721" s="233" t="s">
        <v>2681</v>
      </c>
      <c r="C721" s="227" t="s">
        <v>1484</v>
      </c>
      <c r="D721" s="233" t="s">
        <v>20</v>
      </c>
      <c r="E721" s="233" t="s">
        <v>25</v>
      </c>
      <c r="F721" s="227" t="s">
        <v>297</v>
      </c>
    </row>
    <row r="722" spans="1:6" x14ac:dyDescent="0.25">
      <c r="A722" s="227" t="str">
        <f>TL[[#This Row],[Société]]&amp;" - "&amp;TL[[#This Row],[Compte]]</f>
        <v>TH4 - 61563700</v>
      </c>
      <c r="B722" s="233" t="s">
        <v>2682</v>
      </c>
      <c r="C722" s="227" t="s">
        <v>1485</v>
      </c>
      <c r="D722" s="233" t="s">
        <v>20</v>
      </c>
      <c r="E722" s="233" t="s">
        <v>25</v>
      </c>
      <c r="F722" s="227" t="s">
        <v>297</v>
      </c>
    </row>
    <row r="723" spans="1:6" x14ac:dyDescent="0.25">
      <c r="A723" s="227" t="str">
        <f>TL[[#This Row],[Société]]&amp;" - "&amp;TL[[#This Row],[Compte]]</f>
        <v>TH4 - 61563800</v>
      </c>
      <c r="B723" s="233" t="s">
        <v>2683</v>
      </c>
      <c r="C723" s="227" t="s">
        <v>1486</v>
      </c>
      <c r="D723" s="233" t="s">
        <v>20</v>
      </c>
      <c r="E723" s="233" t="s">
        <v>25</v>
      </c>
      <c r="F723" s="227" t="s">
        <v>297</v>
      </c>
    </row>
    <row r="724" spans="1:6" x14ac:dyDescent="0.25">
      <c r="A724" s="227" t="str">
        <f>TL[[#This Row],[Société]]&amp;" - "&amp;TL[[#This Row],[Compte]]</f>
        <v>TH4 - 61563900</v>
      </c>
      <c r="B724" s="233" t="s">
        <v>3614</v>
      </c>
      <c r="C724" s="227" t="s">
        <v>1442</v>
      </c>
      <c r="D724" s="233" t="s">
        <v>20</v>
      </c>
      <c r="E724" s="233" t="s">
        <v>25</v>
      </c>
      <c r="F724" s="227" t="s">
        <v>297</v>
      </c>
    </row>
    <row r="725" spans="1:6" x14ac:dyDescent="0.25">
      <c r="A725" s="227" t="str">
        <f>TL[[#This Row],[Société]]&amp;" - "&amp;TL[[#This Row],[Compte]]</f>
        <v>TH4 - 61564000</v>
      </c>
      <c r="B725" s="233" t="s">
        <v>3615</v>
      </c>
      <c r="C725" s="227" t="s">
        <v>1443</v>
      </c>
      <c r="D725" s="233" t="s">
        <v>20</v>
      </c>
      <c r="E725" s="233" t="s">
        <v>25</v>
      </c>
      <c r="F725" s="227" t="s">
        <v>297</v>
      </c>
    </row>
    <row r="726" spans="1:6" x14ac:dyDescent="0.25">
      <c r="A726" s="227" t="str">
        <f>TL[[#This Row],[Société]]&amp;" - "&amp;TL[[#This Row],[Compte]]</f>
        <v>TH4 - 61564100</v>
      </c>
      <c r="B726" s="233" t="s">
        <v>2684</v>
      </c>
      <c r="C726" s="227" t="s">
        <v>1487</v>
      </c>
      <c r="D726" s="233" t="s">
        <v>20</v>
      </c>
      <c r="E726" s="233" t="s">
        <v>20</v>
      </c>
      <c r="F726" s="227" t="s">
        <v>297</v>
      </c>
    </row>
    <row r="727" spans="1:6" x14ac:dyDescent="0.25">
      <c r="A727" s="227" t="str">
        <f>TL[[#This Row],[Société]]&amp;" - "&amp;TL[[#This Row],[Compte]]</f>
        <v>TH4 - 61564200</v>
      </c>
      <c r="B727" s="233" t="s">
        <v>3616</v>
      </c>
      <c r="C727" s="227" t="s">
        <v>1488</v>
      </c>
      <c r="D727" s="233" t="s">
        <v>20</v>
      </c>
      <c r="E727" s="233" t="s">
        <v>25</v>
      </c>
      <c r="F727" s="227" t="s">
        <v>297</v>
      </c>
    </row>
    <row r="728" spans="1:6" x14ac:dyDescent="0.25">
      <c r="A728" s="227" t="str">
        <f>TL[[#This Row],[Société]]&amp;" - "&amp;TL[[#This Row],[Compte]]</f>
        <v>TH4 - 61564300</v>
      </c>
      <c r="B728" s="233" t="s">
        <v>2685</v>
      </c>
      <c r="C728" s="227" t="s">
        <v>1547</v>
      </c>
      <c r="D728" s="233" t="s">
        <v>20</v>
      </c>
      <c r="E728" s="233" t="s">
        <v>25</v>
      </c>
      <c r="F728" s="227" t="s">
        <v>297</v>
      </c>
    </row>
    <row r="729" spans="1:6" x14ac:dyDescent="0.25">
      <c r="A729" s="227" t="str">
        <f>TL[[#This Row],[Société]]&amp;" - "&amp;TL[[#This Row],[Compte]]</f>
        <v>TH4 - 61564400</v>
      </c>
      <c r="B729" s="233" t="s">
        <v>3617</v>
      </c>
      <c r="C729" s="227" t="s">
        <v>2101</v>
      </c>
      <c r="D729" s="233" t="s">
        <v>20</v>
      </c>
      <c r="E729" s="233" t="s">
        <v>25</v>
      </c>
      <c r="F729" s="227" t="s">
        <v>297</v>
      </c>
    </row>
    <row r="730" spans="1:6" x14ac:dyDescent="0.25">
      <c r="A730" s="227" t="str">
        <f>TL[[#This Row],[Société]]&amp;" - "&amp;TL[[#This Row],[Compte]]</f>
        <v>TH4 - 61600100</v>
      </c>
      <c r="B730" s="233" t="s">
        <v>2716</v>
      </c>
      <c r="C730" s="227" t="s">
        <v>342</v>
      </c>
      <c r="D730" s="233" t="s">
        <v>40</v>
      </c>
      <c r="E730" s="233" t="s">
        <v>45</v>
      </c>
      <c r="F730" s="227" t="s">
        <v>297</v>
      </c>
    </row>
    <row r="731" spans="1:6" x14ac:dyDescent="0.25">
      <c r="A731" s="227" t="str">
        <f>TL[[#This Row],[Société]]&amp;" - "&amp;TL[[#This Row],[Compte]]</f>
        <v>TH4 - 61600200</v>
      </c>
      <c r="B731" s="233" t="s">
        <v>2731</v>
      </c>
      <c r="C731" s="227" t="s">
        <v>1489</v>
      </c>
      <c r="D731" s="233" t="s">
        <v>40</v>
      </c>
      <c r="E731" s="233" t="s">
        <v>45</v>
      </c>
      <c r="F731" s="227" t="s">
        <v>297</v>
      </c>
    </row>
    <row r="732" spans="1:6" x14ac:dyDescent="0.25">
      <c r="A732" s="227" t="str">
        <f>TL[[#This Row],[Société]]&amp;" - "&amp;TL[[#This Row],[Compte]]</f>
        <v>TH4 - 61600300</v>
      </c>
      <c r="B732" s="233" t="s">
        <v>3618</v>
      </c>
      <c r="C732" s="227" t="s">
        <v>355</v>
      </c>
      <c r="D732" s="233" t="s">
        <v>40</v>
      </c>
      <c r="E732" s="233" t="s">
        <v>45</v>
      </c>
      <c r="F732" s="227" t="s">
        <v>297</v>
      </c>
    </row>
    <row r="733" spans="1:6" x14ac:dyDescent="0.25">
      <c r="A733" s="227" t="str">
        <f>TL[[#This Row],[Société]]&amp;" - "&amp;TL[[#This Row],[Compte]]</f>
        <v>TH4 - 61600400</v>
      </c>
      <c r="B733" s="233" t="s">
        <v>3619</v>
      </c>
      <c r="C733" s="227" t="s">
        <v>278</v>
      </c>
      <c r="D733" s="233" t="s">
        <v>50</v>
      </c>
      <c r="E733" s="233" t="s">
        <v>52</v>
      </c>
      <c r="F733" s="227" t="s">
        <v>297</v>
      </c>
    </row>
    <row r="734" spans="1:6" x14ac:dyDescent="0.25">
      <c r="A734" s="227" t="str">
        <f>TL[[#This Row],[Société]]&amp;" - "&amp;TL[[#This Row],[Compte]]</f>
        <v>TH4 - 61600500</v>
      </c>
      <c r="B734" s="233" t="s">
        <v>3620</v>
      </c>
      <c r="C734" s="227" t="s">
        <v>375</v>
      </c>
      <c r="D734" s="233" t="s">
        <v>40</v>
      </c>
      <c r="E734" s="233" t="s">
        <v>45</v>
      </c>
      <c r="F734" s="227" t="s">
        <v>297</v>
      </c>
    </row>
    <row r="735" spans="1:6" x14ac:dyDescent="0.25">
      <c r="A735" s="227" t="str">
        <f>TL[[#This Row],[Société]]&amp;" - "&amp;TL[[#This Row],[Compte]]</f>
        <v>TH4 - 61600600</v>
      </c>
      <c r="B735" s="233" t="s">
        <v>3621</v>
      </c>
      <c r="C735" s="227" t="s">
        <v>1490</v>
      </c>
      <c r="D735" s="233" t="s">
        <v>40</v>
      </c>
      <c r="E735" s="233" t="s">
        <v>45</v>
      </c>
      <c r="F735" s="227" t="s">
        <v>297</v>
      </c>
    </row>
    <row r="736" spans="1:6" x14ac:dyDescent="0.25">
      <c r="A736" s="227" t="str">
        <f>TL[[#This Row],[Société]]&amp;" - "&amp;TL[[#This Row],[Compte]]</f>
        <v>TH4 - 61600800</v>
      </c>
      <c r="B736" s="233" t="s">
        <v>3622</v>
      </c>
      <c r="C736" s="227" t="s">
        <v>1491</v>
      </c>
      <c r="D736" s="233" t="s">
        <v>40</v>
      </c>
      <c r="E736" s="233" t="s">
        <v>45</v>
      </c>
      <c r="F736" s="227" t="s">
        <v>297</v>
      </c>
    </row>
    <row r="737" spans="1:6" x14ac:dyDescent="0.25">
      <c r="A737" s="227" t="str">
        <f>TL[[#This Row],[Société]]&amp;" - "&amp;TL[[#This Row],[Compte]]</f>
        <v>TH4 - 61810000</v>
      </c>
      <c r="B737" s="233" t="s">
        <v>3623</v>
      </c>
      <c r="C737" s="227" t="s">
        <v>354</v>
      </c>
      <c r="D737" s="233" t="s">
        <v>20</v>
      </c>
      <c r="E737" s="233" t="s">
        <v>25</v>
      </c>
      <c r="F737" s="227" t="s">
        <v>297</v>
      </c>
    </row>
    <row r="738" spans="1:6" x14ac:dyDescent="0.25">
      <c r="A738" s="227" t="str">
        <f>TL[[#This Row],[Société]]&amp;" - "&amp;TL[[#This Row],[Compte]]</f>
        <v>TH4 - 62140000</v>
      </c>
      <c r="B738" s="233" t="s">
        <v>3624</v>
      </c>
      <c r="C738" s="227" t="s">
        <v>1492</v>
      </c>
      <c r="D738" s="233" t="s">
        <v>13</v>
      </c>
      <c r="E738" s="233" t="s">
        <v>16</v>
      </c>
      <c r="F738" s="227" t="s">
        <v>297</v>
      </c>
    </row>
    <row r="739" spans="1:6" x14ac:dyDescent="0.25">
      <c r="A739" s="227" t="str">
        <f>TL[[#This Row],[Société]]&amp;" - "&amp;TL[[#This Row],[Compte]]</f>
        <v>TH4 - 62140100</v>
      </c>
      <c r="B739" s="233" t="s">
        <v>3625</v>
      </c>
      <c r="C739" s="227" t="s">
        <v>341</v>
      </c>
      <c r="D739" s="233" t="s">
        <v>12</v>
      </c>
      <c r="E739" s="233" t="s">
        <v>3</v>
      </c>
      <c r="F739" s="227" t="s">
        <v>297</v>
      </c>
    </row>
    <row r="740" spans="1:6" x14ac:dyDescent="0.25">
      <c r="A740" s="227" t="str">
        <f>TL[[#This Row],[Société]]&amp;" - "&amp;TL[[#This Row],[Compte]]</f>
        <v>TH4 - 62140400</v>
      </c>
      <c r="B740" s="233" t="s">
        <v>3626</v>
      </c>
      <c r="C740" s="227" t="s">
        <v>1493</v>
      </c>
      <c r="D740" s="233" t="s">
        <v>13</v>
      </c>
      <c r="E740" s="233" t="s">
        <v>12</v>
      </c>
      <c r="F740" s="227" t="s">
        <v>297</v>
      </c>
    </row>
    <row r="741" spans="1:6" x14ac:dyDescent="0.25">
      <c r="A741" s="227" t="str">
        <f>TL[[#This Row],[Société]]&amp;" - "&amp;TL[[#This Row],[Compte]]</f>
        <v>TH4 - 62141100</v>
      </c>
      <c r="B741" s="233" t="s">
        <v>3627</v>
      </c>
      <c r="C741" s="227" t="s">
        <v>2954</v>
      </c>
      <c r="D741" s="233" t="s">
        <v>50</v>
      </c>
      <c r="E741" s="233" t="s">
        <v>52</v>
      </c>
      <c r="F741" s="227" t="s">
        <v>297</v>
      </c>
    </row>
    <row r="742" spans="1:6" x14ac:dyDescent="0.25">
      <c r="A742" s="227" t="str">
        <f>TL[[#This Row],[Société]]&amp;" - "&amp;TL[[#This Row],[Compte]]</f>
        <v>TH4 - 62141200</v>
      </c>
      <c r="B742" s="233" t="s">
        <v>3628</v>
      </c>
      <c r="C742" s="227" t="s">
        <v>1494</v>
      </c>
      <c r="D742" s="233" t="s">
        <v>50</v>
      </c>
      <c r="E742" s="233" t="s">
        <v>16</v>
      </c>
      <c r="F742" s="227" t="s">
        <v>297</v>
      </c>
    </row>
    <row r="743" spans="1:6" x14ac:dyDescent="0.25">
      <c r="A743" s="227" t="str">
        <f>TL[[#This Row],[Société]]&amp;" - "&amp;TL[[#This Row],[Compte]]</f>
        <v>TH4 - 62141300</v>
      </c>
      <c r="B743" s="233" t="s">
        <v>3629</v>
      </c>
      <c r="C743" s="227" t="s">
        <v>2951</v>
      </c>
      <c r="D743" s="233" t="s">
        <v>50</v>
      </c>
      <c r="E743" s="233" t="s">
        <v>16</v>
      </c>
      <c r="F743" s="227" t="s">
        <v>297</v>
      </c>
    </row>
    <row r="744" spans="1:6" x14ac:dyDescent="0.25">
      <c r="A744" s="227" t="str">
        <f>TL[[#This Row],[Société]]&amp;" - "&amp;TL[[#This Row],[Compte]]</f>
        <v>TH4 - 62200000</v>
      </c>
      <c r="B744" s="233" t="s">
        <v>3630</v>
      </c>
      <c r="C744" s="227" t="s">
        <v>1033</v>
      </c>
      <c r="D744" s="233" t="s">
        <v>20</v>
      </c>
      <c r="E744" s="233" t="s">
        <v>25</v>
      </c>
      <c r="F744" s="227" t="s">
        <v>297</v>
      </c>
    </row>
    <row r="745" spans="1:6" x14ac:dyDescent="0.25">
      <c r="A745" s="227" t="str">
        <f>TL[[#This Row],[Société]]&amp;" - "&amp;TL[[#This Row],[Compte]]</f>
        <v>TH4 - 62260000</v>
      </c>
      <c r="B745" s="233" t="s">
        <v>2714</v>
      </c>
      <c r="C745" s="227" t="s">
        <v>1203</v>
      </c>
      <c r="D745" s="233" t="s">
        <v>39</v>
      </c>
      <c r="E745" s="233" t="s">
        <v>44</v>
      </c>
      <c r="F745" s="227" t="s">
        <v>297</v>
      </c>
    </row>
    <row r="746" spans="1:6" x14ac:dyDescent="0.25">
      <c r="A746" s="227" t="str">
        <f>TL[[#This Row],[Société]]&amp;" - "&amp;TL[[#This Row],[Compte]]</f>
        <v>TH4 - 62261000</v>
      </c>
      <c r="B746" s="233" t="s">
        <v>2715</v>
      </c>
      <c r="C746" s="227" t="s">
        <v>162</v>
      </c>
      <c r="D746" s="233" t="s">
        <v>39</v>
      </c>
      <c r="E746" s="233" t="s">
        <v>44</v>
      </c>
      <c r="F746" s="227" t="s">
        <v>297</v>
      </c>
    </row>
    <row r="747" spans="1:6" x14ac:dyDescent="0.25">
      <c r="A747" s="227" t="str">
        <f>TL[[#This Row],[Société]]&amp;" - "&amp;TL[[#This Row],[Compte]]</f>
        <v>TH4 - 62262000</v>
      </c>
      <c r="B747" s="233" t="s">
        <v>3631</v>
      </c>
      <c r="C747" s="227" t="s">
        <v>903</v>
      </c>
      <c r="D747" s="233" t="s">
        <v>39</v>
      </c>
      <c r="E747" s="233" t="s">
        <v>44</v>
      </c>
      <c r="F747" s="227" t="s">
        <v>297</v>
      </c>
    </row>
    <row r="748" spans="1:6" x14ac:dyDescent="0.25">
      <c r="A748" s="227" t="str">
        <f>TL[[#This Row],[Société]]&amp;" - "&amp;TL[[#This Row],[Compte]]</f>
        <v>TH4 - 62263000</v>
      </c>
      <c r="B748" s="233" t="s">
        <v>3632</v>
      </c>
      <c r="C748" s="227" t="s">
        <v>1495</v>
      </c>
      <c r="D748" s="233" t="s">
        <v>39</v>
      </c>
      <c r="E748" s="233" t="s">
        <v>44</v>
      </c>
      <c r="F748" s="227" t="s">
        <v>297</v>
      </c>
    </row>
    <row r="749" spans="1:6" x14ac:dyDescent="0.25">
      <c r="A749" s="227" t="str">
        <f>TL[[#This Row],[Société]]&amp;" - "&amp;TL[[#This Row],[Compte]]</f>
        <v>TH4 - 62264000</v>
      </c>
      <c r="B749" s="233" t="s">
        <v>3633</v>
      </c>
      <c r="C749" s="227" t="s">
        <v>1526</v>
      </c>
      <c r="D749" s="233" t="s">
        <v>39</v>
      </c>
      <c r="E749" s="233" t="s">
        <v>29</v>
      </c>
      <c r="F749" s="227" t="s">
        <v>297</v>
      </c>
    </row>
    <row r="750" spans="1:6" x14ac:dyDescent="0.25">
      <c r="A750" s="227" t="str">
        <f>TL[[#This Row],[Société]]&amp;" - "&amp;TL[[#This Row],[Compte]]</f>
        <v>TH4 - 62270000</v>
      </c>
      <c r="B750" s="233" t="s">
        <v>3634</v>
      </c>
      <c r="C750" s="227" t="s">
        <v>159</v>
      </c>
      <c r="D750" s="233" t="s">
        <v>39</v>
      </c>
      <c r="E750" s="233" t="s">
        <v>44</v>
      </c>
      <c r="F750" s="227" t="s">
        <v>297</v>
      </c>
    </row>
    <row r="751" spans="1:6" x14ac:dyDescent="0.25">
      <c r="A751" s="227" t="str">
        <f>TL[[#This Row],[Société]]&amp;" - "&amp;TL[[#This Row],[Compte]]</f>
        <v>TH4 - 62300000</v>
      </c>
      <c r="B751" s="233" t="s">
        <v>2695</v>
      </c>
      <c r="C751" s="227" t="s">
        <v>339</v>
      </c>
      <c r="D751" s="233" t="s">
        <v>17</v>
      </c>
      <c r="E751" s="233" t="s">
        <v>30</v>
      </c>
      <c r="F751" s="227" t="s">
        <v>297</v>
      </c>
    </row>
    <row r="752" spans="1:6" x14ac:dyDescent="0.25">
      <c r="A752" s="227" t="str">
        <f>TL[[#This Row],[Société]]&amp;" - "&amp;TL[[#This Row],[Compte]]</f>
        <v>TH4 - 62300200</v>
      </c>
      <c r="B752" s="233" t="s">
        <v>2696</v>
      </c>
      <c r="C752" s="227" t="s">
        <v>215</v>
      </c>
      <c r="D752" s="233" t="s">
        <v>18</v>
      </c>
      <c r="E752" s="233" t="s">
        <v>32</v>
      </c>
      <c r="F752" s="227" t="s">
        <v>297</v>
      </c>
    </row>
    <row r="753" spans="1:6" x14ac:dyDescent="0.25">
      <c r="A753" s="227" t="str">
        <f>TL[[#This Row],[Société]]&amp;" - "&amp;TL[[#This Row],[Compte]]</f>
        <v>TH4 - 62300300</v>
      </c>
      <c r="B753" s="233" t="s">
        <v>3635</v>
      </c>
      <c r="C753" s="227" t="s">
        <v>1496</v>
      </c>
      <c r="D753" s="233" t="s">
        <v>50</v>
      </c>
      <c r="E753" s="233" t="s">
        <v>32</v>
      </c>
      <c r="F753" s="227" t="s">
        <v>297</v>
      </c>
    </row>
    <row r="754" spans="1:6" x14ac:dyDescent="0.25">
      <c r="A754" s="227" t="str">
        <f>TL[[#This Row],[Société]]&amp;" - "&amp;TL[[#This Row],[Compte]]</f>
        <v>TH4 - 62310000</v>
      </c>
      <c r="B754" s="233" t="s">
        <v>3636</v>
      </c>
      <c r="C754" s="227" t="s">
        <v>1034</v>
      </c>
      <c r="D754" s="233" t="s">
        <v>152</v>
      </c>
      <c r="E754" s="233" t="s">
        <v>32</v>
      </c>
      <c r="F754" s="227" t="s">
        <v>297</v>
      </c>
    </row>
    <row r="755" spans="1:6" x14ac:dyDescent="0.25">
      <c r="A755" s="227" t="str">
        <f>TL[[#This Row],[Société]]&amp;" - "&amp;TL[[#This Row],[Compte]]</f>
        <v>TH4 - 62320000</v>
      </c>
      <c r="B755" s="233" t="s">
        <v>3637</v>
      </c>
      <c r="C755" s="227" t="s">
        <v>1404</v>
      </c>
      <c r="D755" s="233" t="s">
        <v>18</v>
      </c>
      <c r="E755" s="233" t="s">
        <v>32</v>
      </c>
      <c r="F755" s="227" t="s">
        <v>297</v>
      </c>
    </row>
    <row r="756" spans="1:6" x14ac:dyDescent="0.25">
      <c r="A756" s="227" t="str">
        <f>TL[[#This Row],[Société]]&amp;" - "&amp;TL[[#This Row],[Compte]]</f>
        <v>TH4 - 62340000</v>
      </c>
      <c r="B756" s="233" t="s">
        <v>2697</v>
      </c>
      <c r="C756" s="227" t="s">
        <v>905</v>
      </c>
      <c r="F756" s="227" t="s">
        <v>297</v>
      </c>
    </row>
    <row r="757" spans="1:6" x14ac:dyDescent="0.25">
      <c r="A757" s="227" t="str">
        <f>TL[[#This Row],[Société]]&amp;" - "&amp;TL[[#This Row],[Compte]]</f>
        <v>TH4 - 62340100</v>
      </c>
      <c r="B757" s="233" t="s">
        <v>2698</v>
      </c>
      <c r="C757" s="227" t="s">
        <v>370</v>
      </c>
      <c r="D757" s="233" t="s">
        <v>18</v>
      </c>
      <c r="E757" s="233" t="s">
        <v>32</v>
      </c>
      <c r="F757" s="227" t="s">
        <v>297</v>
      </c>
    </row>
    <row r="758" spans="1:6" x14ac:dyDescent="0.25">
      <c r="A758" s="227" t="str">
        <f>TL[[#This Row],[Société]]&amp;" - "&amp;TL[[#This Row],[Compte]]</f>
        <v>TH4 - 62340400</v>
      </c>
      <c r="B758" s="233" t="s">
        <v>3638</v>
      </c>
      <c r="C758" s="227" t="s">
        <v>228</v>
      </c>
      <c r="D758" s="233" t="s">
        <v>18</v>
      </c>
      <c r="E758" s="233" t="s">
        <v>32</v>
      </c>
      <c r="F758" s="227" t="s">
        <v>297</v>
      </c>
    </row>
    <row r="759" spans="1:6" x14ac:dyDescent="0.25">
      <c r="A759" s="227" t="str">
        <f>TL[[#This Row],[Société]]&amp;" - "&amp;TL[[#This Row],[Compte]]</f>
        <v>TH4 - 62340500</v>
      </c>
      <c r="B759" s="233" t="s">
        <v>3639</v>
      </c>
      <c r="C759" s="227" t="s">
        <v>1497</v>
      </c>
      <c r="D759" s="233" t="s">
        <v>50</v>
      </c>
      <c r="E759" s="233" t="s">
        <v>32</v>
      </c>
      <c r="F759" s="227" t="s">
        <v>297</v>
      </c>
    </row>
    <row r="760" spans="1:6" x14ac:dyDescent="0.25">
      <c r="A760" s="227" t="str">
        <f>TL[[#This Row],[Société]]&amp;" - "&amp;TL[[#This Row],[Compte]]</f>
        <v>TH4 - 62341500</v>
      </c>
      <c r="B760" s="233" t="s">
        <v>2699</v>
      </c>
      <c r="C760" s="227" t="s">
        <v>254</v>
      </c>
      <c r="D760" s="233" t="s">
        <v>18</v>
      </c>
      <c r="E760" s="233" t="s">
        <v>32</v>
      </c>
      <c r="F760" s="227" t="s">
        <v>297</v>
      </c>
    </row>
    <row r="761" spans="1:6" x14ac:dyDescent="0.25">
      <c r="A761" s="227" t="str">
        <f>TL[[#This Row],[Société]]&amp;" - "&amp;TL[[#This Row],[Compte]]</f>
        <v>TH4 - 62341600</v>
      </c>
      <c r="B761" s="233" t="s">
        <v>3640</v>
      </c>
      <c r="C761" s="227" t="s">
        <v>1405</v>
      </c>
      <c r="F761" s="227" t="s">
        <v>297</v>
      </c>
    </row>
    <row r="762" spans="1:6" x14ac:dyDescent="0.25">
      <c r="A762" s="227" t="str">
        <f>TL[[#This Row],[Société]]&amp;" - "&amp;TL[[#This Row],[Compte]]</f>
        <v>TH4 - 62380000</v>
      </c>
      <c r="B762" s="233" t="s">
        <v>3641</v>
      </c>
      <c r="C762" s="227" t="s">
        <v>347</v>
      </c>
      <c r="D762" s="233" t="s">
        <v>18</v>
      </c>
      <c r="E762" s="233" t="s">
        <v>32</v>
      </c>
      <c r="F762" s="227" t="s">
        <v>297</v>
      </c>
    </row>
    <row r="763" spans="1:6" x14ac:dyDescent="0.25">
      <c r="A763" s="227" t="str">
        <f>TL[[#This Row],[Société]]&amp;" - "&amp;TL[[#This Row],[Compte]]</f>
        <v>TH4 - 62410000</v>
      </c>
      <c r="B763" s="233" t="s">
        <v>3642</v>
      </c>
      <c r="C763" s="227" t="s">
        <v>1406</v>
      </c>
      <c r="D763" s="233" t="s">
        <v>0</v>
      </c>
      <c r="E763" s="233" t="s">
        <v>7</v>
      </c>
      <c r="F763" s="227" t="s">
        <v>297</v>
      </c>
    </row>
    <row r="764" spans="1:6" x14ac:dyDescent="0.25">
      <c r="A764" s="227" t="str">
        <f>TL[[#This Row],[Société]]&amp;" - "&amp;TL[[#This Row],[Compte]]</f>
        <v>TH4 - 62500000</v>
      </c>
      <c r="B764" s="233" t="s">
        <v>3643</v>
      </c>
      <c r="C764" s="227" t="s">
        <v>2103</v>
      </c>
      <c r="F764" s="227" t="s">
        <v>297</v>
      </c>
    </row>
    <row r="765" spans="1:6" x14ac:dyDescent="0.25">
      <c r="A765" s="227" t="str">
        <f>TL[[#This Row],[Société]]&amp;" - "&amp;TL[[#This Row],[Compte]]</f>
        <v>TH4 - 62510300</v>
      </c>
      <c r="B765" s="233" t="s">
        <v>3644</v>
      </c>
      <c r="C765" s="227" t="s">
        <v>1035</v>
      </c>
      <c r="D765" s="233" t="s">
        <v>289</v>
      </c>
      <c r="E765" s="233" t="s">
        <v>2979</v>
      </c>
      <c r="F765" s="227" t="s">
        <v>297</v>
      </c>
    </row>
    <row r="766" spans="1:6" x14ac:dyDescent="0.25">
      <c r="A766" s="227" t="str">
        <f>TL[[#This Row],[Société]]&amp;" - "&amp;TL[[#This Row],[Compte]]</f>
        <v>TH4 - 62510400</v>
      </c>
      <c r="B766" s="233" t="s">
        <v>3645</v>
      </c>
      <c r="C766" s="227" t="s">
        <v>1036</v>
      </c>
      <c r="D766" s="233" t="s">
        <v>147</v>
      </c>
      <c r="E766" s="233" t="s">
        <v>2979</v>
      </c>
      <c r="F766" s="227" t="s">
        <v>297</v>
      </c>
    </row>
    <row r="767" spans="1:6" x14ac:dyDescent="0.25">
      <c r="A767" s="227" t="str">
        <f>TL[[#This Row],[Société]]&amp;" - "&amp;TL[[#This Row],[Compte]]</f>
        <v>TH4 - 62520100</v>
      </c>
      <c r="B767" s="233" t="s">
        <v>3646</v>
      </c>
      <c r="C767" s="227" t="s">
        <v>279</v>
      </c>
      <c r="D767" s="233" t="s">
        <v>16</v>
      </c>
      <c r="E767" s="233" t="s">
        <v>2979</v>
      </c>
      <c r="F767" s="227" t="s">
        <v>297</v>
      </c>
    </row>
    <row r="768" spans="1:6" x14ac:dyDescent="0.25">
      <c r="A768" s="227" t="str">
        <f>TL[[#This Row],[Société]]&amp;" - "&amp;TL[[#This Row],[Compte]]</f>
        <v>TH4 - 62520400</v>
      </c>
      <c r="B768" s="233" t="s">
        <v>3647</v>
      </c>
      <c r="C768" s="227" t="s">
        <v>1407</v>
      </c>
      <c r="D768" s="233" t="s">
        <v>16</v>
      </c>
      <c r="E768" s="233" t="s">
        <v>2979</v>
      </c>
      <c r="F768" s="227" t="s">
        <v>297</v>
      </c>
    </row>
    <row r="769" spans="1:6" x14ac:dyDescent="0.25">
      <c r="A769" s="227" t="str">
        <f>TL[[#This Row],[Société]]&amp;" - "&amp;TL[[#This Row],[Compte]]</f>
        <v>TH4 - 62570100</v>
      </c>
      <c r="B769" s="233" t="s">
        <v>3648</v>
      </c>
      <c r="C769" s="227" t="s">
        <v>2953</v>
      </c>
      <c r="D769" s="233" t="s">
        <v>32</v>
      </c>
      <c r="E769" s="233" t="s">
        <v>2982</v>
      </c>
      <c r="F769" s="227" t="s">
        <v>297</v>
      </c>
    </row>
    <row r="770" spans="1:6" x14ac:dyDescent="0.25">
      <c r="A770" s="227" t="str">
        <f>TL[[#This Row],[Société]]&amp;" - "&amp;TL[[#This Row],[Compte]]</f>
        <v>TH4 - 62600100</v>
      </c>
      <c r="B770" s="233" t="s">
        <v>3649</v>
      </c>
      <c r="C770" s="227" t="s">
        <v>636</v>
      </c>
      <c r="D770" s="233" t="s">
        <v>27</v>
      </c>
      <c r="E770" s="233" t="s">
        <v>34</v>
      </c>
      <c r="F770" s="227" t="s">
        <v>297</v>
      </c>
    </row>
    <row r="771" spans="1:6" x14ac:dyDescent="0.25">
      <c r="A771" s="227" t="str">
        <f>TL[[#This Row],[Société]]&amp;" - "&amp;TL[[#This Row],[Compte]]</f>
        <v>TH4 - 62600300</v>
      </c>
      <c r="B771" s="233" t="s">
        <v>3650</v>
      </c>
      <c r="C771" s="227" t="s">
        <v>1218</v>
      </c>
      <c r="D771" s="233" t="s">
        <v>27</v>
      </c>
      <c r="E771" s="233" t="s">
        <v>34</v>
      </c>
      <c r="F771" s="227" t="s">
        <v>297</v>
      </c>
    </row>
    <row r="772" spans="1:6" x14ac:dyDescent="0.25">
      <c r="A772" s="227" t="str">
        <f>TL[[#This Row],[Société]]&amp;" - "&amp;TL[[#This Row],[Compte]]</f>
        <v>TH4 - 62610000</v>
      </c>
      <c r="B772" s="233" t="s">
        <v>3651</v>
      </c>
      <c r="C772" s="227" t="s">
        <v>170</v>
      </c>
      <c r="D772" s="233" t="s">
        <v>27</v>
      </c>
      <c r="E772" s="233" t="s">
        <v>34</v>
      </c>
      <c r="F772" s="227" t="s">
        <v>297</v>
      </c>
    </row>
    <row r="773" spans="1:6" x14ac:dyDescent="0.25">
      <c r="A773" s="227" t="str">
        <f>TL[[#This Row],[Société]]&amp;" - "&amp;TL[[#This Row],[Compte]]</f>
        <v>TH4 - 62620000</v>
      </c>
      <c r="B773" s="233" t="s">
        <v>2702</v>
      </c>
      <c r="C773" s="227" t="s">
        <v>1498</v>
      </c>
      <c r="D773" s="233" t="s">
        <v>27</v>
      </c>
      <c r="E773" s="233" t="s">
        <v>34</v>
      </c>
      <c r="F773" s="227" t="s">
        <v>297</v>
      </c>
    </row>
    <row r="774" spans="1:6" x14ac:dyDescent="0.25">
      <c r="A774" s="227" t="str">
        <f>TL[[#This Row],[Société]]&amp;" - "&amp;TL[[#This Row],[Compte]]</f>
        <v>TH4 - 62700100</v>
      </c>
      <c r="B774" s="233" t="s">
        <v>3652</v>
      </c>
      <c r="C774" s="227" t="s">
        <v>258</v>
      </c>
      <c r="D774" s="233" t="s">
        <v>47</v>
      </c>
      <c r="E774" s="233" t="s">
        <v>21</v>
      </c>
      <c r="F774" s="227" t="s">
        <v>297</v>
      </c>
    </row>
    <row r="775" spans="1:6" x14ac:dyDescent="0.25">
      <c r="A775" s="227" t="str">
        <f>TL[[#This Row],[Société]]&amp;" - "&amp;TL[[#This Row],[Compte]]</f>
        <v>TH4 - 62700200</v>
      </c>
      <c r="B775" s="233" t="s">
        <v>3653</v>
      </c>
      <c r="C775" s="227" t="s">
        <v>1037</v>
      </c>
      <c r="D775" s="233" t="s">
        <v>47</v>
      </c>
      <c r="E775" s="233" t="s">
        <v>21</v>
      </c>
      <c r="F775" s="227" t="s">
        <v>297</v>
      </c>
    </row>
    <row r="776" spans="1:6" x14ac:dyDescent="0.25">
      <c r="A776" s="227" t="str">
        <f>TL[[#This Row],[Société]]&amp;" - "&amp;TL[[#This Row],[Compte]]</f>
        <v>TH4 - 62700300</v>
      </c>
      <c r="B776" s="233" t="s">
        <v>3654</v>
      </c>
      <c r="C776" s="227" t="s">
        <v>263</v>
      </c>
      <c r="D776" s="233" t="s">
        <v>47</v>
      </c>
      <c r="E776" s="233" t="s">
        <v>21</v>
      </c>
      <c r="F776" s="227" t="s">
        <v>297</v>
      </c>
    </row>
    <row r="777" spans="1:6" x14ac:dyDescent="0.25">
      <c r="A777" s="227" t="str">
        <f>TL[[#This Row],[Société]]&amp;" - "&amp;TL[[#This Row],[Compte]]</f>
        <v>TH4 - 62700500</v>
      </c>
      <c r="B777" s="233" t="s">
        <v>3655</v>
      </c>
      <c r="C777" s="227" t="s">
        <v>244</v>
      </c>
      <c r="D777" s="233" t="s">
        <v>47</v>
      </c>
      <c r="E777" s="233" t="s">
        <v>21</v>
      </c>
      <c r="F777" s="227" t="s">
        <v>297</v>
      </c>
    </row>
    <row r="778" spans="1:6" x14ac:dyDescent="0.25">
      <c r="A778" s="227" t="str">
        <f>TL[[#This Row],[Société]]&amp;" - "&amp;TL[[#This Row],[Compte]]</f>
        <v>TH4 - 62780100</v>
      </c>
      <c r="B778" s="233" t="s">
        <v>2656</v>
      </c>
      <c r="C778" s="227" t="s">
        <v>258</v>
      </c>
      <c r="D778" s="233" t="s">
        <v>47</v>
      </c>
      <c r="E778" s="233" t="s">
        <v>21</v>
      </c>
      <c r="F778" s="227" t="s">
        <v>297</v>
      </c>
    </row>
    <row r="779" spans="1:6" x14ac:dyDescent="0.25">
      <c r="A779" s="227" t="str">
        <f>TL[[#This Row],[Société]]&amp;" - "&amp;TL[[#This Row],[Compte]]</f>
        <v>TH4 - 62780200</v>
      </c>
      <c r="B779" s="233" t="s">
        <v>2657</v>
      </c>
      <c r="C779" s="227" t="s">
        <v>238</v>
      </c>
      <c r="D779" s="233" t="s">
        <v>47</v>
      </c>
      <c r="E779" s="233" t="s">
        <v>21</v>
      </c>
      <c r="F779" s="227" t="s">
        <v>297</v>
      </c>
    </row>
    <row r="780" spans="1:6" x14ac:dyDescent="0.25">
      <c r="A780" s="227" t="str">
        <f>TL[[#This Row],[Société]]&amp;" - "&amp;TL[[#This Row],[Compte]]</f>
        <v>TH4 - 62780300</v>
      </c>
      <c r="B780" s="233" t="s">
        <v>2658</v>
      </c>
      <c r="C780" s="227" t="s">
        <v>363</v>
      </c>
      <c r="D780" s="233" t="s">
        <v>47</v>
      </c>
      <c r="E780" s="233" t="s">
        <v>21</v>
      </c>
      <c r="F780" s="227" t="s">
        <v>297</v>
      </c>
    </row>
    <row r="781" spans="1:6" x14ac:dyDescent="0.25">
      <c r="A781" s="227" t="str">
        <f>TL[[#This Row],[Société]]&amp;" - "&amp;TL[[#This Row],[Compte]]</f>
        <v>TH4 - 62780500</v>
      </c>
      <c r="B781" s="233" t="s">
        <v>3656</v>
      </c>
      <c r="C781" s="227" t="s">
        <v>340</v>
      </c>
      <c r="D781" s="233" t="s">
        <v>47</v>
      </c>
      <c r="E781" s="233" t="s">
        <v>21</v>
      </c>
      <c r="F781" s="227" t="s">
        <v>297</v>
      </c>
    </row>
    <row r="782" spans="1:6" x14ac:dyDescent="0.25">
      <c r="A782" s="227" t="str">
        <f>TL[[#This Row],[Société]]&amp;" - "&amp;TL[[#This Row],[Compte]]</f>
        <v>TH4 - 62780600</v>
      </c>
      <c r="B782" s="233" t="s">
        <v>3657</v>
      </c>
      <c r="C782" s="227" t="s">
        <v>328</v>
      </c>
      <c r="D782" s="233" t="s">
        <v>47</v>
      </c>
      <c r="E782" s="233" t="s">
        <v>21</v>
      </c>
      <c r="F782" s="227" t="s">
        <v>297</v>
      </c>
    </row>
    <row r="783" spans="1:6" x14ac:dyDescent="0.25">
      <c r="A783" s="227" t="str">
        <f>TL[[#This Row],[Société]]&amp;" - "&amp;TL[[#This Row],[Compte]]</f>
        <v>TH4 - 62802300</v>
      </c>
      <c r="B783" s="233" t="s">
        <v>2706</v>
      </c>
      <c r="C783" s="227" t="s">
        <v>33</v>
      </c>
      <c r="D783" s="233" t="s">
        <v>32</v>
      </c>
      <c r="E783" s="233" t="s">
        <v>2982</v>
      </c>
      <c r="F783" s="227" t="s">
        <v>297</v>
      </c>
    </row>
    <row r="784" spans="1:6" x14ac:dyDescent="0.25">
      <c r="A784" s="227" t="str">
        <f>TL[[#This Row],[Société]]&amp;" - "&amp;TL[[#This Row],[Compte]]</f>
        <v>TH4 - 62802400</v>
      </c>
      <c r="B784" s="233" t="s">
        <v>2743</v>
      </c>
      <c r="C784" s="227" t="s">
        <v>1499</v>
      </c>
      <c r="D784" s="233" t="s">
        <v>150</v>
      </c>
      <c r="E784" s="233" t="s">
        <v>147</v>
      </c>
      <c r="F784" s="227" t="s">
        <v>297</v>
      </c>
    </row>
    <row r="785" spans="1:6" x14ac:dyDescent="0.25">
      <c r="A785" s="227" t="str">
        <f>TL[[#This Row],[Société]]&amp;" - "&amp;TL[[#This Row],[Compte]]</f>
        <v>TH4 - 62820000</v>
      </c>
      <c r="B785" s="233" t="s">
        <v>3658</v>
      </c>
      <c r="C785" s="227" t="s">
        <v>304</v>
      </c>
      <c r="D785" s="233" t="s">
        <v>50</v>
      </c>
      <c r="E785" s="233" t="s">
        <v>2982</v>
      </c>
      <c r="F785" s="227" t="s">
        <v>297</v>
      </c>
    </row>
    <row r="786" spans="1:6" x14ac:dyDescent="0.25">
      <c r="A786" s="227" t="str">
        <f>TL[[#This Row],[Société]]&amp;" - "&amp;TL[[#This Row],[Compte]]</f>
        <v>TH4 - 62830000</v>
      </c>
      <c r="B786" s="233" t="s">
        <v>3659</v>
      </c>
      <c r="C786" s="227" t="s">
        <v>405</v>
      </c>
      <c r="D786" s="233" t="s">
        <v>147</v>
      </c>
      <c r="E786" s="233" t="s">
        <v>288</v>
      </c>
      <c r="F786" s="227" t="s">
        <v>297</v>
      </c>
    </row>
    <row r="787" spans="1:6" x14ac:dyDescent="0.25">
      <c r="A787" s="227" t="str">
        <f>TL[[#This Row],[Société]]&amp;" - "&amp;TL[[#This Row],[Compte]]</f>
        <v>TH4 - 62832000</v>
      </c>
      <c r="B787" s="233" t="s">
        <v>3660</v>
      </c>
      <c r="C787" s="227" t="s">
        <v>2141</v>
      </c>
      <c r="D787" s="233" t="s">
        <v>147</v>
      </c>
      <c r="E787" s="233" t="s">
        <v>288</v>
      </c>
      <c r="F787" s="227" t="s">
        <v>297</v>
      </c>
    </row>
    <row r="788" spans="1:6" x14ac:dyDescent="0.25">
      <c r="A788" s="227" t="str">
        <f>TL[[#This Row],[Société]]&amp;" - "&amp;TL[[#This Row],[Compte]]</f>
        <v>TH4 - 62840000</v>
      </c>
      <c r="B788" s="233" t="s">
        <v>2691</v>
      </c>
      <c r="C788" s="227" t="s">
        <v>166</v>
      </c>
      <c r="D788" s="233" t="s">
        <v>16</v>
      </c>
      <c r="E788" s="233" t="s">
        <v>25</v>
      </c>
      <c r="F788" s="227" t="s">
        <v>297</v>
      </c>
    </row>
    <row r="789" spans="1:6" x14ac:dyDescent="0.25">
      <c r="A789" s="227" t="str">
        <f>TL[[#This Row],[Société]]&amp;" - "&amp;TL[[#This Row],[Compte]]</f>
        <v>TH4 - 63120000</v>
      </c>
      <c r="B789" s="233" t="s">
        <v>3661</v>
      </c>
      <c r="C789" s="227" t="s">
        <v>2103</v>
      </c>
      <c r="F789" s="227" t="s">
        <v>297</v>
      </c>
    </row>
    <row r="790" spans="1:6" x14ac:dyDescent="0.25">
      <c r="A790" s="227" t="str">
        <f>TL[[#This Row],[Société]]&amp;" - "&amp;TL[[#This Row],[Compte]]</f>
        <v>TH4 - 63330000</v>
      </c>
      <c r="B790" s="233" t="s">
        <v>2717</v>
      </c>
      <c r="C790" s="227" t="s">
        <v>332</v>
      </c>
      <c r="D790" s="233" t="s">
        <v>42</v>
      </c>
      <c r="E790" s="233" t="s">
        <v>47</v>
      </c>
      <c r="F790" s="227" t="s">
        <v>297</v>
      </c>
    </row>
    <row r="791" spans="1:6" x14ac:dyDescent="0.25">
      <c r="A791" s="227" t="str">
        <f>TL[[#This Row],[Société]]&amp;" - "&amp;TL[[#This Row],[Compte]]</f>
        <v>TH4 - 63340000</v>
      </c>
      <c r="B791" s="233" t="s">
        <v>3662</v>
      </c>
      <c r="C791" s="227" t="s">
        <v>243</v>
      </c>
      <c r="D791" s="233" t="s">
        <v>42</v>
      </c>
      <c r="E791" s="233" t="s">
        <v>47</v>
      </c>
      <c r="F791" s="227" t="s">
        <v>297</v>
      </c>
    </row>
    <row r="792" spans="1:6" x14ac:dyDescent="0.25">
      <c r="A792" s="227" t="str">
        <f>TL[[#This Row],[Société]]&amp;" - "&amp;TL[[#This Row],[Compte]]</f>
        <v>TH4 - 63350000</v>
      </c>
      <c r="B792" s="233" t="s">
        <v>2718</v>
      </c>
      <c r="C792" s="227" t="s">
        <v>331</v>
      </c>
      <c r="D792" s="233" t="s">
        <v>42</v>
      </c>
      <c r="E792" s="233" t="s">
        <v>47</v>
      </c>
      <c r="F792" s="227" t="s">
        <v>297</v>
      </c>
    </row>
    <row r="793" spans="1:6" x14ac:dyDescent="0.25">
      <c r="A793" s="227" t="str">
        <f>TL[[#This Row],[Société]]&amp;" - "&amp;TL[[#This Row],[Compte]]</f>
        <v>TH4 - 63511000</v>
      </c>
      <c r="B793" s="233" t="s">
        <v>3663</v>
      </c>
      <c r="C793" s="227" t="s">
        <v>612</v>
      </c>
      <c r="D793" s="233" t="s">
        <v>42</v>
      </c>
      <c r="E793" s="233" t="s">
        <v>47</v>
      </c>
      <c r="F793" s="227" t="s">
        <v>297</v>
      </c>
    </row>
    <row r="794" spans="1:6" x14ac:dyDescent="0.25">
      <c r="A794" s="227" t="str">
        <f>TL[[#This Row],[Société]]&amp;" - "&amp;TL[[#This Row],[Compte]]</f>
        <v>TH4 - 63511100</v>
      </c>
      <c r="B794" s="233" t="s">
        <v>2719</v>
      </c>
      <c r="C794" s="227" t="s">
        <v>168</v>
      </c>
      <c r="D794" s="233" t="s">
        <v>42</v>
      </c>
      <c r="E794" s="233" t="s">
        <v>47</v>
      </c>
      <c r="F794" s="227" t="s">
        <v>297</v>
      </c>
    </row>
    <row r="795" spans="1:6" x14ac:dyDescent="0.25">
      <c r="A795" s="227" t="str">
        <f>TL[[#This Row],[Société]]&amp;" - "&amp;TL[[#This Row],[Compte]]</f>
        <v>TH4 - 63511200</v>
      </c>
      <c r="B795" s="233" t="s">
        <v>2720</v>
      </c>
      <c r="C795" s="227" t="s">
        <v>165</v>
      </c>
      <c r="D795" s="233" t="s">
        <v>42</v>
      </c>
      <c r="E795" s="233" t="s">
        <v>47</v>
      </c>
      <c r="F795" s="227" t="s">
        <v>297</v>
      </c>
    </row>
    <row r="796" spans="1:6" x14ac:dyDescent="0.25">
      <c r="A796" s="227" t="str">
        <f>TL[[#This Row],[Société]]&amp;" - "&amp;TL[[#This Row],[Compte]]</f>
        <v>TH4 - 63512000</v>
      </c>
      <c r="B796" s="233" t="s">
        <v>3664</v>
      </c>
      <c r="C796" s="227" t="s">
        <v>1038</v>
      </c>
      <c r="D796" s="233" t="s">
        <v>42</v>
      </c>
      <c r="E796" s="233" t="s">
        <v>47</v>
      </c>
      <c r="F796" s="227" t="s">
        <v>297</v>
      </c>
    </row>
    <row r="797" spans="1:6" x14ac:dyDescent="0.25">
      <c r="A797" s="227" t="str">
        <f>TL[[#This Row],[Société]]&amp;" - "&amp;TL[[#This Row],[Compte]]</f>
        <v>TH4 - 63513000</v>
      </c>
      <c r="B797" s="233" t="s">
        <v>3665</v>
      </c>
      <c r="C797" s="227" t="s">
        <v>1408</v>
      </c>
      <c r="D797" s="233" t="s">
        <v>42</v>
      </c>
      <c r="E797" s="233" t="s">
        <v>47</v>
      </c>
      <c r="F797" s="227" t="s">
        <v>297</v>
      </c>
    </row>
    <row r="798" spans="1:6" x14ac:dyDescent="0.25">
      <c r="A798" s="227" t="str">
        <f>TL[[#This Row],[Société]]&amp;" - "&amp;TL[[#This Row],[Compte]]</f>
        <v>TH4 - 63514000</v>
      </c>
      <c r="B798" s="233" t="s">
        <v>2721</v>
      </c>
      <c r="C798" s="227" t="s">
        <v>230</v>
      </c>
      <c r="D798" s="233" t="s">
        <v>50</v>
      </c>
      <c r="E798" s="233" t="s">
        <v>47</v>
      </c>
      <c r="F798" s="227" t="s">
        <v>297</v>
      </c>
    </row>
    <row r="799" spans="1:6" x14ac:dyDescent="0.25">
      <c r="A799" s="227" t="str">
        <f>TL[[#This Row],[Société]]&amp;" - "&amp;TL[[#This Row],[Compte]]</f>
        <v>TH4 - 63550000</v>
      </c>
      <c r="B799" s="233" t="s">
        <v>3666</v>
      </c>
      <c r="C799" s="227" t="s">
        <v>330</v>
      </c>
      <c r="D799" s="233" t="s">
        <v>42</v>
      </c>
      <c r="E799" s="233" t="s">
        <v>47</v>
      </c>
      <c r="F799" s="227" t="s">
        <v>297</v>
      </c>
    </row>
    <row r="800" spans="1:6" x14ac:dyDescent="0.25">
      <c r="A800" s="227" t="str">
        <f>TL[[#This Row],[Société]]&amp;" - "&amp;TL[[#This Row],[Compte]]</f>
        <v>TH4 - 63551000</v>
      </c>
      <c r="B800" s="233" t="s">
        <v>3667</v>
      </c>
      <c r="C800" s="227" t="s">
        <v>1039</v>
      </c>
      <c r="D800" s="233" t="s">
        <v>42</v>
      </c>
      <c r="E800" s="233" t="s">
        <v>47</v>
      </c>
      <c r="F800" s="227" t="s">
        <v>297</v>
      </c>
    </row>
    <row r="801" spans="1:6" x14ac:dyDescent="0.25">
      <c r="A801" s="227" t="str">
        <f>TL[[#This Row],[Société]]&amp;" - "&amp;TL[[#This Row],[Compte]]</f>
        <v>TH4 - 63552000</v>
      </c>
      <c r="B801" s="233" t="s">
        <v>3668</v>
      </c>
      <c r="C801" s="227" t="s">
        <v>769</v>
      </c>
      <c r="D801" s="233" t="s">
        <v>42</v>
      </c>
      <c r="E801" s="233" t="s">
        <v>47</v>
      </c>
      <c r="F801" s="227" t="s">
        <v>297</v>
      </c>
    </row>
    <row r="802" spans="1:6" x14ac:dyDescent="0.25">
      <c r="A802" s="227" t="str">
        <f>TL[[#This Row],[Société]]&amp;" - "&amp;TL[[#This Row],[Compte]]</f>
        <v>TH4 - 63553000</v>
      </c>
      <c r="B802" s="233" t="s">
        <v>2722</v>
      </c>
      <c r="C802" s="227" t="s">
        <v>366</v>
      </c>
      <c r="D802" s="233" t="s">
        <v>42</v>
      </c>
      <c r="E802" s="233" t="s">
        <v>47</v>
      </c>
      <c r="F802" s="227" t="s">
        <v>297</v>
      </c>
    </row>
    <row r="803" spans="1:6" x14ac:dyDescent="0.25">
      <c r="A803" s="227" t="str">
        <f>TL[[#This Row],[Société]]&amp;" - "&amp;TL[[#This Row],[Compte]]</f>
        <v>TH4 - 63554000</v>
      </c>
      <c r="B803" s="233" t="s">
        <v>3669</v>
      </c>
      <c r="C803" s="227" t="s">
        <v>1040</v>
      </c>
      <c r="D803" s="233" t="s">
        <v>42</v>
      </c>
      <c r="E803" s="233" t="s">
        <v>47</v>
      </c>
      <c r="F803" s="227" t="s">
        <v>297</v>
      </c>
    </row>
    <row r="804" spans="1:6" x14ac:dyDescent="0.25">
      <c r="A804" s="227" t="str">
        <f>TL[[#This Row],[Société]]&amp;" - "&amp;TL[[#This Row],[Compte]]</f>
        <v>TH4 - 63555000</v>
      </c>
      <c r="B804" s="233" t="s">
        <v>3670</v>
      </c>
      <c r="C804" s="227" t="s">
        <v>269</v>
      </c>
      <c r="D804" s="233" t="s">
        <v>71</v>
      </c>
      <c r="E804" s="233" t="s">
        <v>7</v>
      </c>
      <c r="F804" s="227" t="s">
        <v>297</v>
      </c>
    </row>
    <row r="805" spans="1:6" x14ac:dyDescent="0.25">
      <c r="A805" s="227" t="str">
        <f>TL[[#This Row],[Société]]&amp;" - "&amp;TL[[#This Row],[Compte]]</f>
        <v>TH4 - 63570000</v>
      </c>
      <c r="B805" s="233" t="s">
        <v>3671</v>
      </c>
      <c r="C805" s="227" t="s">
        <v>1041</v>
      </c>
      <c r="F805" s="227" t="s">
        <v>297</v>
      </c>
    </row>
    <row r="806" spans="1:6" x14ac:dyDescent="0.25">
      <c r="A806" s="227" t="str">
        <f>TL[[#This Row],[Société]]&amp;" - "&amp;TL[[#This Row],[Compte]]</f>
        <v>TH4 - 63710000</v>
      </c>
      <c r="B806" s="233" t="s">
        <v>3672</v>
      </c>
      <c r="C806" s="227" t="s">
        <v>1042</v>
      </c>
      <c r="D806" s="233" t="s">
        <v>42</v>
      </c>
      <c r="E806" s="233" t="s">
        <v>47</v>
      </c>
      <c r="F806" s="227" t="s">
        <v>297</v>
      </c>
    </row>
    <row r="807" spans="1:6" x14ac:dyDescent="0.25">
      <c r="A807" s="227" t="str">
        <f>TL[[#This Row],[Société]]&amp;" - "&amp;TL[[#This Row],[Compte]]</f>
        <v>TH4 - 63730000</v>
      </c>
      <c r="B807" s="233" t="s">
        <v>2723</v>
      </c>
      <c r="C807" s="227" t="s">
        <v>333</v>
      </c>
      <c r="D807" s="233" t="s">
        <v>42</v>
      </c>
      <c r="E807" s="233" t="s">
        <v>47</v>
      </c>
      <c r="F807" s="227" t="s">
        <v>297</v>
      </c>
    </row>
    <row r="808" spans="1:6" x14ac:dyDescent="0.25">
      <c r="A808" s="227" t="str">
        <f>TL[[#This Row],[Société]]&amp;" - "&amp;TL[[#This Row],[Compte]]</f>
        <v>TH4 - 64110100</v>
      </c>
      <c r="B808" s="233" t="s">
        <v>2625</v>
      </c>
      <c r="C808" s="227" t="s">
        <v>376</v>
      </c>
      <c r="D808" s="233" t="s">
        <v>12</v>
      </c>
      <c r="E808" s="233" t="s">
        <v>3</v>
      </c>
      <c r="F808" s="227" t="s">
        <v>297</v>
      </c>
    </row>
    <row r="809" spans="1:6" x14ac:dyDescent="0.25">
      <c r="A809" s="227" t="str">
        <f>TL[[#This Row],[Société]]&amp;" - "&amp;TL[[#This Row],[Compte]]</f>
        <v>TH4 - 64110300</v>
      </c>
      <c r="B809" s="233" t="s">
        <v>3673</v>
      </c>
      <c r="C809" s="227" t="s">
        <v>1500</v>
      </c>
      <c r="D809" s="233" t="s">
        <v>12</v>
      </c>
      <c r="E809" s="233" t="s">
        <v>3</v>
      </c>
      <c r="F809" s="227" t="s">
        <v>297</v>
      </c>
    </row>
    <row r="810" spans="1:6" x14ac:dyDescent="0.25">
      <c r="A810" s="227" t="str">
        <f>TL[[#This Row],[Société]]&amp;" - "&amp;TL[[#This Row],[Compte]]</f>
        <v>TH4 - 64110400</v>
      </c>
      <c r="B810" s="233" t="s">
        <v>2636</v>
      </c>
      <c r="C810" s="227" t="s">
        <v>144</v>
      </c>
      <c r="D810" s="233" t="s">
        <v>13</v>
      </c>
      <c r="E810" s="233" t="s">
        <v>12</v>
      </c>
      <c r="F810" s="227" t="s">
        <v>297</v>
      </c>
    </row>
    <row r="811" spans="1:6" x14ac:dyDescent="0.25">
      <c r="A811" s="227" t="str">
        <f>TL[[#This Row],[Société]]&amp;" - "&amp;TL[[#This Row],[Compte]]</f>
        <v>TH4 - 64110500</v>
      </c>
      <c r="B811" s="233" t="s">
        <v>3674</v>
      </c>
      <c r="C811" s="227" t="s">
        <v>1501</v>
      </c>
      <c r="D811" s="233" t="s">
        <v>50</v>
      </c>
      <c r="E811" s="233" t="s">
        <v>12</v>
      </c>
      <c r="F811" s="227" t="s">
        <v>297</v>
      </c>
    </row>
    <row r="812" spans="1:6" x14ac:dyDescent="0.25">
      <c r="A812" s="227" t="str">
        <f>TL[[#This Row],[Société]]&amp;" - "&amp;TL[[#This Row],[Compte]]</f>
        <v>TH4 - 64111000</v>
      </c>
      <c r="B812" s="233" t="s">
        <v>3675</v>
      </c>
      <c r="C812" s="227" t="s">
        <v>372</v>
      </c>
      <c r="D812" s="233" t="s">
        <v>12</v>
      </c>
      <c r="E812" s="233" t="s">
        <v>3</v>
      </c>
      <c r="F812" s="227" t="s">
        <v>297</v>
      </c>
    </row>
    <row r="813" spans="1:6" x14ac:dyDescent="0.25">
      <c r="A813" s="227" t="str">
        <f>TL[[#This Row],[Société]]&amp;" - "&amp;TL[[#This Row],[Compte]]</f>
        <v>TH4 - 64112000</v>
      </c>
      <c r="B813" s="233" t="s">
        <v>3676</v>
      </c>
      <c r="C813" s="227" t="s">
        <v>1550</v>
      </c>
      <c r="D813" s="233" t="s">
        <v>12</v>
      </c>
      <c r="E813" s="233" t="s">
        <v>3</v>
      </c>
      <c r="F813" s="227" t="s">
        <v>297</v>
      </c>
    </row>
    <row r="814" spans="1:6" x14ac:dyDescent="0.25">
      <c r="A814" s="227" t="str">
        <f>TL[[#This Row],[Société]]&amp;" - "&amp;TL[[#This Row],[Compte]]</f>
        <v>TH4 - 64113000</v>
      </c>
      <c r="B814" s="233" t="s">
        <v>3677</v>
      </c>
      <c r="C814" s="227" t="s">
        <v>1552</v>
      </c>
      <c r="D814" s="233" t="s">
        <v>13</v>
      </c>
      <c r="E814" s="233" t="s">
        <v>12</v>
      </c>
      <c r="F814" s="227" t="s">
        <v>297</v>
      </c>
    </row>
    <row r="815" spans="1:6" x14ac:dyDescent="0.25">
      <c r="A815" s="227" t="str">
        <f>TL[[#This Row],[Société]]&amp;" - "&amp;TL[[#This Row],[Compte]]</f>
        <v>TH4 - 64114000</v>
      </c>
      <c r="B815" s="233" t="s">
        <v>3678</v>
      </c>
      <c r="C815" s="227" t="s">
        <v>1409</v>
      </c>
      <c r="D815" s="233" t="s">
        <v>50</v>
      </c>
      <c r="E815" s="233" t="s">
        <v>12</v>
      </c>
      <c r="F815" s="227" t="s">
        <v>297</v>
      </c>
    </row>
    <row r="816" spans="1:6" x14ac:dyDescent="0.25">
      <c r="A816" s="227" t="str">
        <f>TL[[#This Row],[Société]]&amp;" - "&amp;TL[[#This Row],[Compte]]</f>
        <v>TH4 - 64120000</v>
      </c>
      <c r="B816" s="233" t="s">
        <v>2626</v>
      </c>
      <c r="C816" s="227" t="s">
        <v>1410</v>
      </c>
      <c r="D816" s="233" t="s">
        <v>12</v>
      </c>
      <c r="E816" s="233" t="s">
        <v>3</v>
      </c>
      <c r="F816" s="227" t="s">
        <v>297</v>
      </c>
    </row>
    <row r="817" spans="1:6" x14ac:dyDescent="0.25">
      <c r="A817" s="227" t="str">
        <f>TL[[#This Row],[Société]]&amp;" - "&amp;TL[[#This Row],[Compte]]</f>
        <v>TH4 - 64121000</v>
      </c>
      <c r="B817" s="233" t="s">
        <v>2637</v>
      </c>
      <c r="C817" s="227" t="s">
        <v>2142</v>
      </c>
      <c r="F817" s="227" t="s">
        <v>297</v>
      </c>
    </row>
    <row r="818" spans="1:6" x14ac:dyDescent="0.25">
      <c r="A818" s="227" t="str">
        <f>TL[[#This Row],[Société]]&amp;" - "&amp;TL[[#This Row],[Compte]]</f>
        <v>TH4 - 64122000</v>
      </c>
      <c r="B818" s="233" t="s">
        <v>3679</v>
      </c>
      <c r="C818" s="227" t="s">
        <v>359</v>
      </c>
      <c r="D818" s="233" t="s">
        <v>13</v>
      </c>
      <c r="E818" s="233" t="s">
        <v>12</v>
      </c>
      <c r="F818" s="227" t="s">
        <v>297</v>
      </c>
    </row>
    <row r="819" spans="1:6" x14ac:dyDescent="0.25">
      <c r="A819" s="227" t="str">
        <f>TL[[#This Row],[Société]]&amp;" - "&amp;TL[[#This Row],[Compte]]</f>
        <v>TH4 - 64123000</v>
      </c>
      <c r="B819" s="233" t="s">
        <v>3680</v>
      </c>
      <c r="C819" s="227" t="s">
        <v>364</v>
      </c>
      <c r="D819" s="233" t="s">
        <v>12</v>
      </c>
      <c r="E819" s="233" t="s">
        <v>3</v>
      </c>
      <c r="F819" s="227" t="s">
        <v>297</v>
      </c>
    </row>
    <row r="820" spans="1:6" x14ac:dyDescent="0.25">
      <c r="A820" s="227" t="str">
        <f>TL[[#This Row],[Société]]&amp;" - "&amp;TL[[#This Row],[Compte]]</f>
        <v>TH4 - 64130000</v>
      </c>
      <c r="B820" s="233" t="s">
        <v>3681</v>
      </c>
      <c r="C820" s="227" t="s">
        <v>615</v>
      </c>
      <c r="D820" s="233" t="s">
        <v>13</v>
      </c>
      <c r="E820" s="233" t="s">
        <v>12</v>
      </c>
      <c r="F820" s="227" t="s">
        <v>297</v>
      </c>
    </row>
    <row r="821" spans="1:6" x14ac:dyDescent="0.25">
      <c r="A821" s="227" t="str">
        <f>TL[[#This Row],[Société]]&amp;" - "&amp;TL[[#This Row],[Compte]]</f>
        <v>TH4 - 64133300</v>
      </c>
      <c r="B821" s="233" t="s">
        <v>3682</v>
      </c>
      <c r="C821" s="227" t="s">
        <v>1411</v>
      </c>
      <c r="D821" s="233" t="s">
        <v>50</v>
      </c>
      <c r="E821" s="233" t="s">
        <v>12</v>
      </c>
      <c r="F821" s="227" t="s">
        <v>297</v>
      </c>
    </row>
    <row r="822" spans="1:6" x14ac:dyDescent="0.25">
      <c r="A822" s="227" t="str">
        <f>TL[[#This Row],[Société]]&amp;" - "&amp;TL[[#This Row],[Compte]]</f>
        <v>TH4 - 64140000</v>
      </c>
      <c r="B822" s="233" t="s">
        <v>3683</v>
      </c>
      <c r="C822" s="227" t="s">
        <v>1043</v>
      </c>
      <c r="D822" s="233" t="s">
        <v>12</v>
      </c>
      <c r="E822" s="233" t="s">
        <v>3</v>
      </c>
      <c r="F822" s="227" t="s">
        <v>297</v>
      </c>
    </row>
    <row r="823" spans="1:6" x14ac:dyDescent="0.25">
      <c r="A823" s="227" t="str">
        <f>TL[[#This Row],[Société]]&amp;" - "&amp;TL[[#This Row],[Compte]]</f>
        <v>TH4 - 64140100</v>
      </c>
      <c r="B823" s="233" t="s">
        <v>2627</v>
      </c>
      <c r="C823" s="227" t="s">
        <v>356</v>
      </c>
      <c r="D823" s="233" t="s">
        <v>12</v>
      </c>
      <c r="E823" s="233" t="s">
        <v>3</v>
      </c>
      <c r="F823" s="227" t="s">
        <v>297</v>
      </c>
    </row>
    <row r="824" spans="1:6" x14ac:dyDescent="0.25">
      <c r="A824" s="227" t="str">
        <f>TL[[#This Row],[Société]]&amp;" - "&amp;TL[[#This Row],[Compte]]</f>
        <v>TH4 - 64140400</v>
      </c>
      <c r="B824" s="233" t="s">
        <v>2638</v>
      </c>
      <c r="C824" s="227" t="s">
        <v>344</v>
      </c>
      <c r="D824" s="233" t="s">
        <v>13</v>
      </c>
      <c r="E824" s="233" t="s">
        <v>12</v>
      </c>
      <c r="F824" s="227" t="s">
        <v>297</v>
      </c>
    </row>
    <row r="825" spans="1:6" x14ac:dyDescent="0.25">
      <c r="A825" s="227" t="str">
        <f>TL[[#This Row],[Société]]&amp;" - "&amp;TL[[#This Row],[Compte]]</f>
        <v>TH4 - 64141100</v>
      </c>
      <c r="B825" s="233" t="s">
        <v>2628</v>
      </c>
      <c r="C825" s="227" t="s">
        <v>350</v>
      </c>
      <c r="D825" s="233" t="s">
        <v>12</v>
      </c>
      <c r="E825" s="233" t="s">
        <v>3</v>
      </c>
      <c r="F825" s="227" t="s">
        <v>297</v>
      </c>
    </row>
    <row r="826" spans="1:6" x14ac:dyDescent="0.25">
      <c r="A826" s="227" t="str">
        <f>TL[[#This Row],[Société]]&amp;" - "&amp;TL[[#This Row],[Compte]]</f>
        <v>TH4 - 64141400</v>
      </c>
      <c r="B826" s="233" t="s">
        <v>2639</v>
      </c>
      <c r="C826" s="227" t="s">
        <v>348</v>
      </c>
      <c r="D826" s="233" t="s">
        <v>13</v>
      </c>
      <c r="E826" s="233" t="s">
        <v>12</v>
      </c>
      <c r="F826" s="227" t="s">
        <v>297</v>
      </c>
    </row>
    <row r="827" spans="1:6" x14ac:dyDescent="0.25">
      <c r="A827" s="227" t="str">
        <f>TL[[#This Row],[Société]]&amp;" - "&amp;TL[[#This Row],[Compte]]</f>
        <v>TH4 - 64504100</v>
      </c>
      <c r="B827" s="233" t="s">
        <v>3684</v>
      </c>
      <c r="C827" s="227" t="s">
        <v>271</v>
      </c>
      <c r="D827" s="233" t="s">
        <v>12</v>
      </c>
      <c r="E827" s="233" t="s">
        <v>71</v>
      </c>
      <c r="F827" s="227" t="s">
        <v>297</v>
      </c>
    </row>
    <row r="828" spans="1:6" x14ac:dyDescent="0.25">
      <c r="A828" s="227" t="str">
        <f>TL[[#This Row],[Société]]&amp;" - "&amp;TL[[#This Row],[Compte]]</f>
        <v>TH4 - 64504400</v>
      </c>
      <c r="B828" s="233" t="s">
        <v>3685</v>
      </c>
      <c r="C828" s="227" t="s">
        <v>273</v>
      </c>
      <c r="D828" s="233" t="s">
        <v>15</v>
      </c>
      <c r="E828" s="233" t="s">
        <v>13</v>
      </c>
      <c r="F828" s="227" t="s">
        <v>297</v>
      </c>
    </row>
    <row r="829" spans="1:6" x14ac:dyDescent="0.25">
      <c r="A829" s="227" t="str">
        <f>TL[[#This Row],[Société]]&amp;" - "&amp;TL[[#This Row],[Compte]]</f>
        <v>TH4 - 64510100</v>
      </c>
      <c r="B829" s="233" t="s">
        <v>2630</v>
      </c>
      <c r="C829" s="227" t="s">
        <v>175</v>
      </c>
      <c r="D829" s="233" t="s">
        <v>12</v>
      </c>
      <c r="E829" s="233" t="s">
        <v>71</v>
      </c>
      <c r="F829" s="227" t="s">
        <v>297</v>
      </c>
    </row>
    <row r="830" spans="1:6" x14ac:dyDescent="0.25">
      <c r="A830" s="227" t="str">
        <f>TL[[#This Row],[Société]]&amp;" - "&amp;TL[[#This Row],[Compte]]</f>
        <v>TH4 - 64510400</v>
      </c>
      <c r="B830" s="233" t="s">
        <v>2644</v>
      </c>
      <c r="C830" s="227" t="s">
        <v>345</v>
      </c>
      <c r="D830" s="233" t="s">
        <v>15</v>
      </c>
      <c r="E830" s="233" t="s">
        <v>13</v>
      </c>
      <c r="F830" s="227" t="s">
        <v>297</v>
      </c>
    </row>
    <row r="831" spans="1:6" x14ac:dyDescent="0.25">
      <c r="A831" s="227" t="str">
        <f>TL[[#This Row],[Société]]&amp;" - "&amp;TL[[#This Row],[Compte]]</f>
        <v>TH4 - 64520100</v>
      </c>
      <c r="B831" s="233" t="s">
        <v>2631</v>
      </c>
      <c r="C831" s="227" t="s">
        <v>231</v>
      </c>
      <c r="D831" s="233" t="s">
        <v>12</v>
      </c>
      <c r="E831" s="233" t="s">
        <v>71</v>
      </c>
      <c r="F831" s="227" t="s">
        <v>297</v>
      </c>
    </row>
    <row r="832" spans="1:6" x14ac:dyDescent="0.25">
      <c r="A832" s="227" t="str">
        <f>TL[[#This Row],[Société]]&amp;" - "&amp;TL[[#This Row],[Compte]]</f>
        <v>TH4 - 64520400</v>
      </c>
      <c r="B832" s="233" t="s">
        <v>2645</v>
      </c>
      <c r="C832" s="227" t="s">
        <v>273</v>
      </c>
      <c r="D832" s="233" t="s">
        <v>15</v>
      </c>
      <c r="E832" s="233" t="s">
        <v>13</v>
      </c>
      <c r="F832" s="227" t="s">
        <v>297</v>
      </c>
    </row>
    <row r="833" spans="1:6" x14ac:dyDescent="0.25">
      <c r="A833" s="227" t="str">
        <f>TL[[#This Row],[Société]]&amp;" - "&amp;TL[[#This Row],[Compte]]</f>
        <v>TH4 - 64530100</v>
      </c>
      <c r="B833" s="233" t="s">
        <v>2632</v>
      </c>
      <c r="C833" s="227" t="s">
        <v>343</v>
      </c>
      <c r="D833" s="233" t="s">
        <v>12</v>
      </c>
      <c r="E833" s="233" t="s">
        <v>71</v>
      </c>
      <c r="F833" s="227" t="s">
        <v>297</v>
      </c>
    </row>
    <row r="834" spans="1:6" x14ac:dyDescent="0.25">
      <c r="A834" s="227" t="str">
        <f>TL[[#This Row],[Société]]&amp;" - "&amp;TL[[#This Row],[Compte]]</f>
        <v>TH4 - 64530400</v>
      </c>
      <c r="B834" s="233" t="s">
        <v>2646</v>
      </c>
      <c r="C834" s="227" t="s">
        <v>352</v>
      </c>
      <c r="D834" s="233" t="s">
        <v>15</v>
      </c>
      <c r="E834" s="233" t="s">
        <v>13</v>
      </c>
      <c r="F834" s="227" t="s">
        <v>297</v>
      </c>
    </row>
    <row r="835" spans="1:6" x14ac:dyDescent="0.25">
      <c r="A835" s="227" t="str">
        <f>TL[[#This Row],[Société]]&amp;" - "&amp;TL[[#This Row],[Compte]]</f>
        <v>TH4 - 64540100</v>
      </c>
      <c r="B835" s="233" t="s">
        <v>2633</v>
      </c>
      <c r="C835" s="227" t="s">
        <v>169</v>
      </c>
      <c r="D835" s="233" t="s">
        <v>12</v>
      </c>
      <c r="E835" s="233" t="s">
        <v>71</v>
      </c>
      <c r="F835" s="227" t="s">
        <v>297</v>
      </c>
    </row>
    <row r="836" spans="1:6" x14ac:dyDescent="0.25">
      <c r="A836" s="227" t="str">
        <f>TL[[#This Row],[Société]]&amp;" - "&amp;TL[[#This Row],[Compte]]</f>
        <v>TH4 - 64540400</v>
      </c>
      <c r="B836" s="233" t="s">
        <v>2647</v>
      </c>
      <c r="C836" s="227" t="s">
        <v>351</v>
      </c>
      <c r="D836" s="233" t="s">
        <v>15</v>
      </c>
      <c r="E836" s="233" t="s">
        <v>13</v>
      </c>
      <c r="F836" s="227" t="s">
        <v>297</v>
      </c>
    </row>
    <row r="837" spans="1:6" x14ac:dyDescent="0.25">
      <c r="A837" s="227" t="str">
        <f>TL[[#This Row],[Société]]&amp;" - "&amp;TL[[#This Row],[Compte]]</f>
        <v>TH4 - 64550400</v>
      </c>
      <c r="B837" s="233" t="s">
        <v>3686</v>
      </c>
      <c r="C837" s="227" t="s">
        <v>360</v>
      </c>
      <c r="D837" s="233" t="s">
        <v>15</v>
      </c>
      <c r="E837" s="233" t="s">
        <v>13</v>
      </c>
      <c r="F837" s="227" t="s">
        <v>297</v>
      </c>
    </row>
    <row r="838" spans="1:6" x14ac:dyDescent="0.25">
      <c r="A838" s="227" t="str">
        <f>TL[[#This Row],[Société]]&amp;" - "&amp;TL[[#This Row],[Compte]]</f>
        <v>TH4 - 64580000</v>
      </c>
      <c r="B838" s="233" t="s">
        <v>2634</v>
      </c>
      <c r="C838" s="227" t="s">
        <v>353</v>
      </c>
      <c r="D838" s="233" t="s">
        <v>12</v>
      </c>
      <c r="E838" s="233" t="s">
        <v>71</v>
      </c>
      <c r="F838" s="227" t="s">
        <v>297</v>
      </c>
    </row>
    <row r="839" spans="1:6" x14ac:dyDescent="0.25">
      <c r="A839" s="227" t="str">
        <f>TL[[#This Row],[Société]]&amp;" - "&amp;TL[[#This Row],[Compte]]</f>
        <v>TH4 - 64581000</v>
      </c>
      <c r="B839" s="233" t="s">
        <v>2648</v>
      </c>
      <c r="C839" s="227" t="s">
        <v>1044</v>
      </c>
      <c r="D839" s="233" t="s">
        <v>15</v>
      </c>
      <c r="E839" s="233" t="s">
        <v>13</v>
      </c>
      <c r="F839" s="227" t="s">
        <v>297</v>
      </c>
    </row>
    <row r="840" spans="1:6" x14ac:dyDescent="0.25">
      <c r="A840" s="227" t="str">
        <f>TL[[#This Row],[Société]]&amp;" - "&amp;TL[[#This Row],[Compte]]</f>
        <v>TH4 - 64582000</v>
      </c>
      <c r="B840" s="233" t="s">
        <v>3687</v>
      </c>
      <c r="C840" s="227" t="s">
        <v>349</v>
      </c>
      <c r="D840" s="233" t="s">
        <v>15</v>
      </c>
      <c r="E840" s="233" t="s">
        <v>13</v>
      </c>
      <c r="F840" s="227" t="s">
        <v>297</v>
      </c>
    </row>
    <row r="841" spans="1:6" x14ac:dyDescent="0.25">
      <c r="A841" s="227" t="str">
        <f>TL[[#This Row],[Société]]&amp;" - "&amp;TL[[#This Row],[Compte]]</f>
        <v>TH4 - 64610000</v>
      </c>
      <c r="B841" s="233" t="s">
        <v>3688</v>
      </c>
      <c r="C841" s="227" t="s">
        <v>1045</v>
      </c>
      <c r="F841" s="227" t="s">
        <v>297</v>
      </c>
    </row>
    <row r="842" spans="1:6" x14ac:dyDescent="0.25">
      <c r="A842" s="227" t="str">
        <f>TL[[#This Row],[Société]]&amp;" - "&amp;TL[[#This Row],[Compte]]</f>
        <v>TH4 - 64750000</v>
      </c>
      <c r="B842" s="233" t="s">
        <v>2692</v>
      </c>
      <c r="C842" s="227" t="s">
        <v>172</v>
      </c>
      <c r="D842" s="233" t="s">
        <v>20</v>
      </c>
      <c r="E842" s="233" t="s">
        <v>2982</v>
      </c>
      <c r="F842" s="227" t="s">
        <v>297</v>
      </c>
    </row>
    <row r="843" spans="1:6" x14ac:dyDescent="0.25">
      <c r="A843" s="227" t="str">
        <f>TL[[#This Row],[Société]]&amp;" - "&amp;TL[[#This Row],[Compte]]</f>
        <v>TH4 - 64910000</v>
      </c>
      <c r="B843" s="233" t="s">
        <v>3689</v>
      </c>
      <c r="C843" s="227" t="s">
        <v>374</v>
      </c>
      <c r="D843" s="233" t="s">
        <v>148</v>
      </c>
      <c r="E843" s="233" t="s">
        <v>1303</v>
      </c>
      <c r="F843" s="227" t="s">
        <v>297</v>
      </c>
    </row>
    <row r="844" spans="1:6" x14ac:dyDescent="0.25">
      <c r="A844" s="227" t="str">
        <f>TL[[#This Row],[Société]]&amp;" - "&amp;TL[[#This Row],[Compte]]</f>
        <v>TH4 - 65100100</v>
      </c>
      <c r="B844" s="233" t="s">
        <v>2713</v>
      </c>
      <c r="C844" s="227" t="s">
        <v>321</v>
      </c>
      <c r="D844" s="233" t="s">
        <v>37</v>
      </c>
      <c r="E844" s="233" t="s">
        <v>42</v>
      </c>
      <c r="F844" s="227" t="s">
        <v>297</v>
      </c>
    </row>
    <row r="845" spans="1:6" x14ac:dyDescent="0.25">
      <c r="A845" s="227" t="str">
        <f>TL[[#This Row],[Société]]&amp;" - "&amp;TL[[#This Row],[Compte]]</f>
        <v>TH4 - 65100300</v>
      </c>
      <c r="B845" s="233" t="s">
        <v>3690</v>
      </c>
      <c r="C845" s="227" t="s">
        <v>282</v>
      </c>
      <c r="D845" s="233" t="s">
        <v>20</v>
      </c>
      <c r="E845" s="233" t="s">
        <v>2982</v>
      </c>
      <c r="F845" s="227" t="s">
        <v>297</v>
      </c>
    </row>
    <row r="846" spans="1:6" x14ac:dyDescent="0.25">
      <c r="A846" s="227" t="str">
        <f>TL[[#This Row],[Société]]&amp;" - "&amp;TL[[#This Row],[Compte]]</f>
        <v>TH4 - 65120000</v>
      </c>
      <c r="B846" s="233" t="s">
        <v>2710</v>
      </c>
      <c r="C846" s="227" t="s">
        <v>2155</v>
      </c>
      <c r="D846" s="233" t="s">
        <v>35</v>
      </c>
      <c r="E846" s="233" t="s">
        <v>37</v>
      </c>
      <c r="F846" s="227" t="s">
        <v>297</v>
      </c>
    </row>
    <row r="847" spans="1:6" x14ac:dyDescent="0.25">
      <c r="A847" s="227" t="str">
        <f>TL[[#This Row],[Société]]&amp;" - "&amp;TL[[#This Row],[Compte]]</f>
        <v>TH4 - 65121000</v>
      </c>
      <c r="B847" s="233" t="s">
        <v>2711</v>
      </c>
      <c r="C847" s="227" t="s">
        <v>1569</v>
      </c>
      <c r="D847" s="233" t="s">
        <v>37</v>
      </c>
      <c r="E847" s="233" t="s">
        <v>37</v>
      </c>
      <c r="F847" s="227" t="s">
        <v>297</v>
      </c>
    </row>
    <row r="848" spans="1:6" x14ac:dyDescent="0.25">
      <c r="A848" s="227" t="str">
        <f>TL[[#This Row],[Société]]&amp;" - "&amp;TL[[#This Row],[Compte]]</f>
        <v>TH4 - 65130000</v>
      </c>
      <c r="B848" s="233" t="s">
        <v>3691</v>
      </c>
      <c r="C848" s="227" t="s">
        <v>1502</v>
      </c>
      <c r="D848" s="233" t="s">
        <v>35</v>
      </c>
      <c r="E848" s="233" t="s">
        <v>42</v>
      </c>
      <c r="F848" s="227" t="s">
        <v>297</v>
      </c>
    </row>
    <row r="849" spans="1:6" x14ac:dyDescent="0.25">
      <c r="A849" s="227" t="str">
        <f>TL[[#This Row],[Société]]&amp;" - "&amp;TL[[#This Row],[Compte]]</f>
        <v>TH4 - 65131000</v>
      </c>
      <c r="B849" s="233" t="s">
        <v>3692</v>
      </c>
      <c r="C849" s="227" t="s">
        <v>1503</v>
      </c>
      <c r="D849" s="233" t="s">
        <v>37</v>
      </c>
      <c r="E849" s="233" t="s">
        <v>42</v>
      </c>
      <c r="F849" s="227" t="s">
        <v>297</v>
      </c>
    </row>
    <row r="850" spans="1:6" x14ac:dyDescent="0.25">
      <c r="A850" s="227" t="str">
        <f>TL[[#This Row],[Société]]&amp;" - "&amp;TL[[#This Row],[Compte]]</f>
        <v>TH4 - 65410000</v>
      </c>
      <c r="B850" s="233" t="s">
        <v>3693</v>
      </c>
      <c r="C850" s="227" t="s">
        <v>1046</v>
      </c>
      <c r="F850" s="227" t="s">
        <v>297</v>
      </c>
    </row>
    <row r="851" spans="1:6" x14ac:dyDescent="0.25">
      <c r="A851" s="227" t="str">
        <f>TL[[#This Row],[Société]]&amp;" - "&amp;TL[[#This Row],[Compte]]</f>
        <v>TH4 - 65500000</v>
      </c>
      <c r="B851" s="233" t="s">
        <v>3694</v>
      </c>
      <c r="C851" s="227" t="s">
        <v>1047</v>
      </c>
      <c r="D851" s="233" t="s">
        <v>152</v>
      </c>
      <c r="E851" s="233" t="s">
        <v>52</v>
      </c>
      <c r="F851" s="227" t="s">
        <v>297</v>
      </c>
    </row>
    <row r="852" spans="1:6" x14ac:dyDescent="0.25">
      <c r="A852" s="227" t="str">
        <f>TL[[#This Row],[Société]]&amp;" - "&amp;TL[[#This Row],[Compte]]</f>
        <v>TH4 - 65800000</v>
      </c>
      <c r="B852" s="233" t="s">
        <v>3695</v>
      </c>
      <c r="C852" s="227" t="s">
        <v>164</v>
      </c>
      <c r="D852" s="233" t="s">
        <v>50</v>
      </c>
      <c r="E852" s="233" t="s">
        <v>2982</v>
      </c>
      <c r="F852" s="227" t="s">
        <v>297</v>
      </c>
    </row>
    <row r="853" spans="1:6" x14ac:dyDescent="0.25">
      <c r="A853" s="227" t="str">
        <f>TL[[#This Row],[Société]]&amp;" - "&amp;TL[[#This Row],[Compte]]</f>
        <v>TH4 - 66110000</v>
      </c>
      <c r="B853" s="233" t="s">
        <v>2737</v>
      </c>
      <c r="C853" s="227" t="s">
        <v>1412</v>
      </c>
      <c r="D853" s="233" t="s">
        <v>47</v>
      </c>
      <c r="E853" s="233" t="s">
        <v>286</v>
      </c>
      <c r="F853" s="227" t="s">
        <v>297</v>
      </c>
    </row>
    <row r="854" spans="1:6" x14ac:dyDescent="0.25">
      <c r="A854" s="227" t="str">
        <f>TL[[#This Row],[Société]]&amp;" - "&amp;TL[[#This Row],[Compte]]</f>
        <v>TH4 - 66112000</v>
      </c>
      <c r="B854" s="233" t="s">
        <v>3696</v>
      </c>
      <c r="C854" s="227" t="s">
        <v>329</v>
      </c>
      <c r="D854" s="233" t="s">
        <v>47</v>
      </c>
      <c r="E854" s="233" t="s">
        <v>286</v>
      </c>
      <c r="F854" s="227" t="s">
        <v>297</v>
      </c>
    </row>
    <row r="855" spans="1:6" x14ac:dyDescent="0.25">
      <c r="A855" s="227" t="str">
        <f>TL[[#This Row],[Société]]&amp;" - "&amp;TL[[#This Row],[Compte]]</f>
        <v>TH4 - 66113000</v>
      </c>
      <c r="B855" s="233" t="s">
        <v>3697</v>
      </c>
      <c r="C855" s="227" t="s">
        <v>1504</v>
      </c>
      <c r="D855" s="233" t="s">
        <v>47</v>
      </c>
      <c r="E855" s="233" t="s">
        <v>286</v>
      </c>
      <c r="F855" s="227" t="s">
        <v>297</v>
      </c>
    </row>
    <row r="856" spans="1:6" x14ac:dyDescent="0.25">
      <c r="A856" s="227" t="str">
        <f>TL[[#This Row],[Société]]&amp;" - "&amp;TL[[#This Row],[Compte]]</f>
        <v>TH4 - 66114000</v>
      </c>
      <c r="B856" s="233" t="s">
        <v>3698</v>
      </c>
      <c r="C856" s="227" t="s">
        <v>1505</v>
      </c>
      <c r="D856" s="233" t="s">
        <v>47</v>
      </c>
      <c r="E856" s="233" t="s">
        <v>286</v>
      </c>
      <c r="F856" s="227" t="s">
        <v>297</v>
      </c>
    </row>
    <row r="857" spans="1:6" x14ac:dyDescent="0.25">
      <c r="A857" s="227" t="str">
        <f>TL[[#This Row],[Société]]&amp;" - "&amp;TL[[#This Row],[Compte]]</f>
        <v>TH4 - 66115000</v>
      </c>
      <c r="B857" s="233" t="s">
        <v>3699</v>
      </c>
      <c r="C857" s="227" t="s">
        <v>1506</v>
      </c>
      <c r="D857" s="233" t="s">
        <v>47</v>
      </c>
      <c r="E857" s="233" t="s">
        <v>286</v>
      </c>
      <c r="F857" s="227" t="s">
        <v>297</v>
      </c>
    </row>
    <row r="858" spans="1:6" x14ac:dyDescent="0.25">
      <c r="A858" s="227" t="str">
        <f>TL[[#This Row],[Société]]&amp;" - "&amp;TL[[#This Row],[Compte]]</f>
        <v>TH4 - 66160000</v>
      </c>
      <c r="B858" s="233" t="s">
        <v>3700</v>
      </c>
      <c r="C858" s="227" t="s">
        <v>1507</v>
      </c>
      <c r="D858" s="233" t="s">
        <v>47</v>
      </c>
      <c r="E858" s="233" t="s">
        <v>286</v>
      </c>
      <c r="F858" s="227" t="s">
        <v>297</v>
      </c>
    </row>
    <row r="859" spans="1:6" x14ac:dyDescent="0.25">
      <c r="A859" s="227" t="str">
        <f>TL[[#This Row],[Société]]&amp;" - "&amp;TL[[#This Row],[Compte]]</f>
        <v>TH4 - 66800000</v>
      </c>
      <c r="B859" s="233" t="s">
        <v>3701</v>
      </c>
      <c r="C859" s="227" t="s">
        <v>1048</v>
      </c>
      <c r="F859" s="227" t="s">
        <v>297</v>
      </c>
    </row>
    <row r="860" spans="1:6" x14ac:dyDescent="0.25">
      <c r="A860" s="227" t="str">
        <f>TL[[#This Row],[Société]]&amp;" - "&amp;TL[[#This Row],[Compte]]</f>
        <v>TH4 - 67110000</v>
      </c>
      <c r="B860" s="233" t="s">
        <v>2707</v>
      </c>
      <c r="C860" s="227" t="s">
        <v>371</v>
      </c>
      <c r="D860" s="233" t="s">
        <v>30</v>
      </c>
      <c r="E860" s="233" t="s">
        <v>2982</v>
      </c>
      <c r="F860" s="227" t="s">
        <v>297</v>
      </c>
    </row>
    <row r="861" spans="1:6" x14ac:dyDescent="0.25">
      <c r="A861" s="227" t="str">
        <f>TL[[#This Row],[Société]]&amp;" - "&amp;TL[[#This Row],[Compte]]</f>
        <v>TH4 - 67120000</v>
      </c>
      <c r="B861" s="233" t="s">
        <v>3702</v>
      </c>
      <c r="C861" s="227" t="s">
        <v>369</v>
      </c>
      <c r="D861" s="233" t="s">
        <v>50</v>
      </c>
      <c r="E861" s="233" t="s">
        <v>2995</v>
      </c>
      <c r="F861" s="227" t="s">
        <v>297</v>
      </c>
    </row>
    <row r="862" spans="1:6" x14ac:dyDescent="0.25">
      <c r="A862" s="227" t="str">
        <f>TL[[#This Row],[Société]]&amp;" - "&amp;TL[[#This Row],[Compte]]</f>
        <v>TH4 - 67130000</v>
      </c>
      <c r="B862" s="233" t="s">
        <v>3703</v>
      </c>
      <c r="C862" s="227" t="s">
        <v>155</v>
      </c>
      <c r="D862" s="233" t="s">
        <v>50</v>
      </c>
      <c r="E862" s="233" t="s">
        <v>2995</v>
      </c>
      <c r="F862" s="227" t="s">
        <v>297</v>
      </c>
    </row>
    <row r="863" spans="1:6" x14ac:dyDescent="0.25">
      <c r="A863" s="227" t="str">
        <f>TL[[#This Row],[Société]]&amp;" - "&amp;TL[[#This Row],[Compte]]</f>
        <v>TH4 - 67131000</v>
      </c>
      <c r="B863" s="233" t="s">
        <v>3704</v>
      </c>
      <c r="C863" s="227" t="s">
        <v>1049</v>
      </c>
      <c r="D863" s="233" t="s">
        <v>50</v>
      </c>
      <c r="E863" s="233" t="s">
        <v>2995</v>
      </c>
      <c r="F863" s="227" t="s">
        <v>297</v>
      </c>
    </row>
    <row r="864" spans="1:6" x14ac:dyDescent="0.25">
      <c r="A864" s="227" t="str">
        <f>TL[[#This Row],[Société]]&amp;" - "&amp;TL[[#This Row],[Compte]]</f>
        <v>TH4 - 67180000</v>
      </c>
      <c r="B864" s="233" t="s">
        <v>3705</v>
      </c>
      <c r="C864" s="227" t="s">
        <v>1050</v>
      </c>
      <c r="F864" s="227" t="s">
        <v>297</v>
      </c>
    </row>
    <row r="865" spans="1:6" x14ac:dyDescent="0.25">
      <c r="A865" s="227" t="str">
        <f>TL[[#This Row],[Société]]&amp;" - "&amp;TL[[#This Row],[Compte]]</f>
        <v>TH4 - 67200000</v>
      </c>
      <c r="B865" s="233" t="s">
        <v>3706</v>
      </c>
      <c r="C865" s="227" t="s">
        <v>1051</v>
      </c>
      <c r="F865" s="227" t="s">
        <v>297</v>
      </c>
    </row>
    <row r="866" spans="1:6" x14ac:dyDescent="0.25">
      <c r="A866" s="227" t="str">
        <f>TL[[#This Row],[Société]]&amp;" - "&amp;TL[[#This Row],[Compte]]</f>
        <v>TH4 - 67500000</v>
      </c>
      <c r="B866" s="233" t="s">
        <v>3707</v>
      </c>
      <c r="C866" s="227" t="s">
        <v>618</v>
      </c>
      <c r="F866" s="227" t="s">
        <v>297</v>
      </c>
    </row>
    <row r="867" spans="1:6" x14ac:dyDescent="0.25">
      <c r="A867" s="227" t="str">
        <f>TL[[#This Row],[Société]]&amp;" - "&amp;TL[[#This Row],[Compte]]</f>
        <v>TH4 - 67510000</v>
      </c>
      <c r="B867" s="233" t="s">
        <v>3708</v>
      </c>
      <c r="C867" s="227" t="s">
        <v>1052</v>
      </c>
      <c r="D867" s="233" t="s">
        <v>44</v>
      </c>
      <c r="E867" s="233" t="s">
        <v>2995</v>
      </c>
      <c r="F867" s="227" t="s">
        <v>297</v>
      </c>
    </row>
    <row r="868" spans="1:6" x14ac:dyDescent="0.25">
      <c r="A868" s="227" t="str">
        <f>TL[[#This Row],[Société]]&amp;" - "&amp;TL[[#This Row],[Compte]]</f>
        <v>TH4 - 67520000</v>
      </c>
      <c r="B868" s="233" t="s">
        <v>3709</v>
      </c>
      <c r="C868" s="227" t="s">
        <v>1053</v>
      </c>
      <c r="D868" s="233" t="s">
        <v>44</v>
      </c>
      <c r="E868" s="233" t="s">
        <v>2995</v>
      </c>
      <c r="F868" s="227" t="s">
        <v>297</v>
      </c>
    </row>
    <row r="869" spans="1:6" x14ac:dyDescent="0.25">
      <c r="A869" s="227" t="str">
        <f>TL[[#This Row],[Société]]&amp;" - "&amp;TL[[#This Row],[Compte]]</f>
        <v>TH4 - 68111000</v>
      </c>
      <c r="B869" s="233" t="s">
        <v>2724</v>
      </c>
      <c r="C869" s="227" t="s">
        <v>247</v>
      </c>
      <c r="D869" s="233" t="s">
        <v>45</v>
      </c>
      <c r="E869" s="233" t="s">
        <v>48</v>
      </c>
      <c r="F869" s="227" t="s">
        <v>297</v>
      </c>
    </row>
    <row r="870" spans="1:6" x14ac:dyDescent="0.25">
      <c r="A870" s="227" t="str">
        <f>TL[[#This Row],[Société]]&amp;" - "&amp;TL[[#This Row],[Compte]]</f>
        <v>TH4 - 68112000</v>
      </c>
      <c r="B870" s="233" t="s">
        <v>3710</v>
      </c>
      <c r="C870" s="227" t="s">
        <v>173</v>
      </c>
      <c r="D870" s="233" t="s">
        <v>45</v>
      </c>
      <c r="E870" s="233" t="s">
        <v>48</v>
      </c>
      <c r="F870" s="227" t="s">
        <v>297</v>
      </c>
    </row>
    <row r="871" spans="1:6" x14ac:dyDescent="0.25">
      <c r="A871" s="227" t="str">
        <f>TL[[#This Row],[Société]]&amp;" - "&amp;TL[[#This Row],[Compte]]</f>
        <v>TH4 - 68150000</v>
      </c>
      <c r="B871" s="233" t="s">
        <v>3711</v>
      </c>
      <c r="C871" s="227" t="s">
        <v>174</v>
      </c>
      <c r="D871" s="233" t="s">
        <v>45</v>
      </c>
      <c r="E871" s="233" t="s">
        <v>48</v>
      </c>
      <c r="F871" s="227" t="s">
        <v>297</v>
      </c>
    </row>
    <row r="872" spans="1:6" x14ac:dyDescent="0.25">
      <c r="A872" s="227" t="str">
        <f>TL[[#This Row],[Société]]&amp;" - "&amp;TL[[#This Row],[Compte]]</f>
        <v>TH4 - 68710000</v>
      </c>
      <c r="B872" s="233" t="s">
        <v>3712</v>
      </c>
      <c r="C872" s="227" t="s">
        <v>620</v>
      </c>
      <c r="D872" s="233" t="s">
        <v>45</v>
      </c>
      <c r="E872" s="233" t="s">
        <v>48</v>
      </c>
      <c r="F872" s="227" t="s">
        <v>297</v>
      </c>
    </row>
    <row r="873" spans="1:6" x14ac:dyDescent="0.25">
      <c r="A873" s="227" t="str">
        <f>TL[[#This Row],[Société]]&amp;" - "&amp;TL[[#This Row],[Compte]]</f>
        <v>TH4 - 68711000</v>
      </c>
      <c r="B873" s="233" t="s">
        <v>3713</v>
      </c>
      <c r="C873" s="227" t="s">
        <v>621</v>
      </c>
      <c r="D873" s="233" t="s">
        <v>45</v>
      </c>
      <c r="E873" s="233" t="s">
        <v>48</v>
      </c>
      <c r="F873" s="227" t="s">
        <v>297</v>
      </c>
    </row>
    <row r="874" spans="1:6" x14ac:dyDescent="0.25">
      <c r="A874" s="227" t="str">
        <f>TL[[#This Row],[Société]]&amp;" - "&amp;TL[[#This Row],[Compte]]</f>
        <v>TH4 - 68712000</v>
      </c>
      <c r="B874" s="233" t="s">
        <v>3714</v>
      </c>
      <c r="C874" s="227" t="s">
        <v>313</v>
      </c>
      <c r="D874" s="233" t="s">
        <v>45</v>
      </c>
      <c r="E874" s="233" t="s">
        <v>48</v>
      </c>
      <c r="F874" s="227" t="s">
        <v>297</v>
      </c>
    </row>
    <row r="875" spans="1:6" x14ac:dyDescent="0.25">
      <c r="A875" s="227" t="str">
        <f>TL[[#This Row],[Société]]&amp;" - "&amp;TL[[#This Row],[Compte]]</f>
        <v>TH4 - 68725000</v>
      </c>
      <c r="B875" s="233" t="s">
        <v>3715</v>
      </c>
      <c r="C875" s="227" t="s">
        <v>931</v>
      </c>
      <c r="F875" s="227" t="s">
        <v>297</v>
      </c>
    </row>
    <row r="876" spans="1:6" x14ac:dyDescent="0.25">
      <c r="A876" s="227" t="str">
        <f>TL[[#This Row],[Société]]&amp;" - "&amp;TL[[#This Row],[Compte]]</f>
        <v>TH4 - 69500000</v>
      </c>
      <c r="B876" s="233" t="s">
        <v>3716</v>
      </c>
      <c r="C876" s="227" t="s">
        <v>1413</v>
      </c>
      <c r="F876" s="227" t="s">
        <v>297</v>
      </c>
    </row>
    <row r="877" spans="1:6" x14ac:dyDescent="0.25">
      <c r="A877" s="227" t="str">
        <f>TL[[#This Row],[Société]]&amp;" - "&amp;TL[[#This Row],[Compte]]</f>
        <v>TH4 - 69510000</v>
      </c>
      <c r="B877" s="233" t="s">
        <v>3717</v>
      </c>
      <c r="C877" s="227" t="s">
        <v>357</v>
      </c>
      <c r="D877" s="233" t="s">
        <v>152</v>
      </c>
      <c r="E877" s="233" t="s">
        <v>1303</v>
      </c>
      <c r="F877" s="227" t="s">
        <v>297</v>
      </c>
    </row>
    <row r="878" spans="1:6" x14ac:dyDescent="0.25">
      <c r="A878" s="227" t="str">
        <f>TL[[#This Row],[Société]]&amp;" - "&amp;TL[[#This Row],[Compte]]</f>
        <v>TH4 - 69511000</v>
      </c>
      <c r="B878" s="233" t="s">
        <v>3718</v>
      </c>
      <c r="C878" s="227" t="s">
        <v>377</v>
      </c>
      <c r="D878" s="233" t="s">
        <v>152</v>
      </c>
      <c r="E878" s="233" t="s">
        <v>1303</v>
      </c>
      <c r="F878" s="227" t="s">
        <v>297</v>
      </c>
    </row>
    <row r="879" spans="1:6" x14ac:dyDescent="0.25">
      <c r="A879" s="227" t="str">
        <f>TL[[#This Row],[Société]]&amp;" - "&amp;TL[[#This Row],[Compte]]</f>
        <v>TH4 - 69512000</v>
      </c>
      <c r="B879" s="233" t="s">
        <v>3719</v>
      </c>
      <c r="C879" s="227" t="s">
        <v>1414</v>
      </c>
      <c r="D879" s="233" t="s">
        <v>152</v>
      </c>
      <c r="E879" s="233" t="s">
        <v>1303</v>
      </c>
      <c r="F879" s="227" t="s">
        <v>297</v>
      </c>
    </row>
    <row r="880" spans="1:6" x14ac:dyDescent="0.25">
      <c r="A880" s="227" t="str">
        <f>TL[[#This Row],[Société]]&amp;" - "&amp;TL[[#This Row],[Compte]]</f>
        <v>TH4 - 69891000</v>
      </c>
      <c r="B880" s="233" t="s">
        <v>3720</v>
      </c>
      <c r="C880" s="227" t="s">
        <v>1508</v>
      </c>
      <c r="D880" s="233" t="s">
        <v>148</v>
      </c>
      <c r="E880" s="233" t="s">
        <v>1303</v>
      </c>
      <c r="F880" s="227" t="s">
        <v>297</v>
      </c>
    </row>
    <row r="881" spans="1:6" x14ac:dyDescent="0.25">
      <c r="A881" s="227" t="str">
        <f>TL[[#This Row],[Société]]&amp;" - "&amp;TL[[#This Row],[Compte]]</f>
        <v>TH4 - 69892000</v>
      </c>
      <c r="B881" s="233" t="s">
        <v>3721</v>
      </c>
      <c r="C881" s="227" t="s">
        <v>237</v>
      </c>
      <c r="D881" s="233" t="s">
        <v>148</v>
      </c>
      <c r="E881" s="233" t="s">
        <v>1303</v>
      </c>
      <c r="F881" s="227" t="s">
        <v>297</v>
      </c>
    </row>
    <row r="882" spans="1:6" x14ac:dyDescent="0.25">
      <c r="A882" s="227" t="str">
        <f>TL[[#This Row],[Société]]&amp;" - "&amp;TL[[#This Row],[Compte]]</f>
        <v>TH4 - 69899900</v>
      </c>
      <c r="B882" s="233" t="s">
        <v>3722</v>
      </c>
      <c r="C882" s="227" t="s">
        <v>1054</v>
      </c>
      <c r="F882" s="227" t="s">
        <v>297</v>
      </c>
    </row>
    <row r="883" spans="1:6" x14ac:dyDescent="0.25">
      <c r="A883" s="227" t="str">
        <f>TL[[#This Row],[Société]]&amp;" - "&amp;TL[[#This Row],[Compte]]</f>
        <v>TH4 - 69910000</v>
      </c>
      <c r="B883" s="233" t="s">
        <v>3723</v>
      </c>
      <c r="C883" s="227" t="s">
        <v>1055</v>
      </c>
      <c r="D883" s="233" t="s">
        <v>152</v>
      </c>
      <c r="E883" s="233" t="s">
        <v>1303</v>
      </c>
      <c r="F883" s="227" t="s">
        <v>297</v>
      </c>
    </row>
    <row r="884" spans="1:6" x14ac:dyDescent="0.25">
      <c r="A884" s="227" t="str">
        <f>TL[[#This Row],[Société]]&amp;" - "&amp;TL[[#This Row],[Compte]]</f>
        <v>TH4 - 70100100</v>
      </c>
      <c r="B884" s="233" t="s">
        <v>2613</v>
      </c>
      <c r="C884" s="227" t="s">
        <v>64</v>
      </c>
      <c r="D884" s="233" t="s">
        <v>143</v>
      </c>
      <c r="E884" s="233" t="s">
        <v>5</v>
      </c>
      <c r="F884" s="227" t="s">
        <v>297</v>
      </c>
    </row>
    <row r="885" spans="1:6" x14ac:dyDescent="0.25">
      <c r="A885" s="227" t="str">
        <f>TL[[#This Row],[Société]]&amp;" - "&amp;TL[[#This Row],[Compte]]</f>
        <v>TH4 - 70100200</v>
      </c>
      <c r="B885" s="233" t="s">
        <v>2614</v>
      </c>
      <c r="C885" s="227" t="s">
        <v>379</v>
      </c>
      <c r="D885" s="233" t="s">
        <v>143</v>
      </c>
      <c r="E885" s="233" t="s">
        <v>5</v>
      </c>
      <c r="F885" s="227" t="s">
        <v>297</v>
      </c>
    </row>
    <row r="886" spans="1:6" x14ac:dyDescent="0.25">
      <c r="A886" s="227" t="str">
        <f>TL[[#This Row],[Société]]&amp;" - "&amp;TL[[#This Row],[Compte]]</f>
        <v>TH4 - 70100300</v>
      </c>
      <c r="B886" s="233" t="s">
        <v>3724</v>
      </c>
      <c r="C886" s="227" t="s">
        <v>934</v>
      </c>
      <c r="D886" s="233" t="s">
        <v>143</v>
      </c>
      <c r="E886" s="233" t="s">
        <v>143</v>
      </c>
      <c r="F886" s="227" t="s">
        <v>297</v>
      </c>
    </row>
    <row r="887" spans="1:6" x14ac:dyDescent="0.25">
      <c r="A887" s="227" t="str">
        <f>TL[[#This Row],[Société]]&amp;" - "&amp;TL[[#This Row],[Compte]]</f>
        <v>TH4 - 70100400</v>
      </c>
      <c r="B887" s="233" t="s">
        <v>3725</v>
      </c>
      <c r="C887" s="227" t="s">
        <v>1056</v>
      </c>
      <c r="D887" s="233" t="s">
        <v>143</v>
      </c>
      <c r="E887" s="233" t="s">
        <v>143</v>
      </c>
      <c r="F887" s="227" t="s">
        <v>297</v>
      </c>
    </row>
    <row r="888" spans="1:6" x14ac:dyDescent="0.25">
      <c r="A888" s="227" t="str">
        <f>TL[[#This Row],[Société]]&amp;" - "&amp;TL[[#This Row],[Compte]]</f>
        <v>TH4 - 70100500</v>
      </c>
      <c r="B888" s="233" t="s">
        <v>3726</v>
      </c>
      <c r="C888" s="227" t="s">
        <v>1018</v>
      </c>
      <c r="F888" s="227" t="s">
        <v>297</v>
      </c>
    </row>
    <row r="889" spans="1:6" x14ac:dyDescent="0.25">
      <c r="A889" s="227" t="str">
        <f>TL[[#This Row],[Société]]&amp;" - "&amp;TL[[#This Row],[Compte]]</f>
        <v>TH4 - 70100600</v>
      </c>
      <c r="B889" s="233" t="s">
        <v>3727</v>
      </c>
      <c r="C889" s="227" t="s">
        <v>1018</v>
      </c>
      <c r="F889" s="227" t="s">
        <v>297</v>
      </c>
    </row>
    <row r="890" spans="1:6" x14ac:dyDescent="0.25">
      <c r="A890" s="227" t="str">
        <f>TL[[#This Row],[Société]]&amp;" - "&amp;TL[[#This Row],[Compte]]</f>
        <v>TH4 - 70101000</v>
      </c>
      <c r="B890" s="233" t="s">
        <v>2615</v>
      </c>
      <c r="C890" s="227" t="s">
        <v>378</v>
      </c>
      <c r="D890" s="233" t="s">
        <v>143</v>
      </c>
      <c r="E890" s="233" t="s">
        <v>5</v>
      </c>
      <c r="F890" s="227" t="s">
        <v>297</v>
      </c>
    </row>
    <row r="891" spans="1:6" x14ac:dyDescent="0.25">
      <c r="A891" s="227" t="str">
        <f>TL[[#This Row],[Société]]&amp;" - "&amp;TL[[#This Row],[Compte]]</f>
        <v>TH4 - 70102000</v>
      </c>
      <c r="B891" s="233" t="s">
        <v>2616</v>
      </c>
      <c r="C891" s="227" t="s">
        <v>1377</v>
      </c>
      <c r="D891" s="233" t="s">
        <v>143</v>
      </c>
      <c r="E891" s="233" t="s">
        <v>5</v>
      </c>
      <c r="F891" s="227" t="s">
        <v>297</v>
      </c>
    </row>
    <row r="892" spans="1:6" x14ac:dyDescent="0.25">
      <c r="A892" s="227" t="str">
        <f>TL[[#This Row],[Société]]&amp;" - "&amp;TL[[#This Row],[Compte]]</f>
        <v>TH4 - 70110300</v>
      </c>
      <c r="B892" s="233" t="s">
        <v>3728</v>
      </c>
      <c r="C892" s="227" t="s">
        <v>1057</v>
      </c>
      <c r="F892" s="227" t="s">
        <v>297</v>
      </c>
    </row>
    <row r="893" spans="1:6" x14ac:dyDescent="0.25">
      <c r="A893" s="227" t="str">
        <f>TL[[#This Row],[Société]]&amp;" - "&amp;TL[[#This Row],[Compte]]</f>
        <v>TH4 - 70230000</v>
      </c>
      <c r="B893" s="233" t="s">
        <v>2740</v>
      </c>
      <c r="C893" s="227" t="s">
        <v>365</v>
      </c>
      <c r="D893" s="233" t="s">
        <v>149</v>
      </c>
      <c r="E893" s="233" t="s">
        <v>3004</v>
      </c>
      <c r="F893" s="227" t="s">
        <v>297</v>
      </c>
    </row>
    <row r="894" spans="1:6" x14ac:dyDescent="0.25">
      <c r="A894" s="227" t="str">
        <f>TL[[#This Row],[Société]]&amp;" - "&amp;TL[[#This Row],[Compte]]</f>
        <v>TH4 - 70800000</v>
      </c>
      <c r="B894" s="233" t="s">
        <v>2620</v>
      </c>
      <c r="C894" s="227" t="s">
        <v>1509</v>
      </c>
      <c r="D894" s="233" t="s">
        <v>0</v>
      </c>
      <c r="E894" s="233" t="s">
        <v>7</v>
      </c>
      <c r="F894" s="227" t="s">
        <v>297</v>
      </c>
    </row>
    <row r="895" spans="1:6" x14ac:dyDescent="0.25">
      <c r="A895" s="227" t="str">
        <f>TL[[#This Row],[Société]]&amp;" - "&amp;TL[[#This Row],[Compte]]</f>
        <v>TH4 - 70810000</v>
      </c>
      <c r="B895" s="233" t="s">
        <v>3729</v>
      </c>
      <c r="C895" s="227" t="s">
        <v>380</v>
      </c>
      <c r="D895" s="233" t="s">
        <v>13</v>
      </c>
      <c r="E895" s="233" t="s">
        <v>12</v>
      </c>
      <c r="F895" s="227" t="s">
        <v>297</v>
      </c>
    </row>
    <row r="896" spans="1:6" x14ac:dyDescent="0.25">
      <c r="A896" s="227" t="str">
        <f>TL[[#This Row],[Société]]&amp;" - "&amp;TL[[#This Row],[Compte]]</f>
        <v>TH4 - 70820000</v>
      </c>
      <c r="B896" s="233" t="s">
        <v>3730</v>
      </c>
      <c r="C896" s="227" t="s">
        <v>802</v>
      </c>
      <c r="D896" s="233" t="s">
        <v>0</v>
      </c>
      <c r="E896" s="233" t="s">
        <v>7</v>
      </c>
      <c r="F896" s="227" t="s">
        <v>297</v>
      </c>
    </row>
    <row r="897" spans="1:6" x14ac:dyDescent="0.25">
      <c r="A897" s="227" t="str">
        <f>TL[[#This Row],[Société]]&amp;" - "&amp;TL[[#This Row],[Compte]]</f>
        <v>TH4 - 70830000</v>
      </c>
      <c r="B897" s="233" t="s">
        <v>3731</v>
      </c>
      <c r="C897" s="227" t="s">
        <v>803</v>
      </c>
      <c r="D897" s="233" t="s">
        <v>7</v>
      </c>
      <c r="E897" s="233" t="s">
        <v>0</v>
      </c>
      <c r="F897" s="227" t="s">
        <v>297</v>
      </c>
    </row>
    <row r="898" spans="1:6" x14ac:dyDescent="0.25">
      <c r="A898" s="227" t="str">
        <f>TL[[#This Row],[Société]]&amp;" - "&amp;TL[[#This Row],[Compte]]</f>
        <v>TH4 - 70840000</v>
      </c>
      <c r="B898" s="233" t="s">
        <v>3732</v>
      </c>
      <c r="C898" s="227" t="s">
        <v>1058</v>
      </c>
      <c r="D898" s="233" t="s">
        <v>23</v>
      </c>
      <c r="E898" s="233" t="s">
        <v>2978</v>
      </c>
      <c r="F898" s="227" t="s">
        <v>297</v>
      </c>
    </row>
    <row r="899" spans="1:6" x14ac:dyDescent="0.25">
      <c r="A899" s="227" t="str">
        <f>TL[[#This Row],[Société]]&amp;" - "&amp;TL[[#This Row],[Compte]]</f>
        <v>TH4 - 70850000</v>
      </c>
      <c r="B899" s="233" t="s">
        <v>3733</v>
      </c>
      <c r="C899" s="227" t="s">
        <v>1059</v>
      </c>
      <c r="D899" s="233" t="s">
        <v>150</v>
      </c>
      <c r="E899" s="233" t="s">
        <v>147</v>
      </c>
      <c r="F899" s="227" t="s">
        <v>297</v>
      </c>
    </row>
    <row r="900" spans="1:6" x14ac:dyDescent="0.25">
      <c r="A900" s="227" t="str">
        <f>TL[[#This Row],[Société]]&amp;" - "&amp;TL[[#This Row],[Compte]]</f>
        <v>TH4 - 70860000</v>
      </c>
      <c r="B900" s="233" t="s">
        <v>3734</v>
      </c>
      <c r="C900" s="227" t="s">
        <v>1327</v>
      </c>
      <c r="D900" s="233" t="s">
        <v>18</v>
      </c>
      <c r="E900" s="233" t="s">
        <v>32</v>
      </c>
      <c r="F900" s="227" t="s">
        <v>297</v>
      </c>
    </row>
    <row r="901" spans="1:6" x14ac:dyDescent="0.25">
      <c r="A901" s="227" t="str">
        <f>TL[[#This Row],[Société]]&amp;" - "&amp;TL[[#This Row],[Compte]]</f>
        <v>TH4 - 70870000</v>
      </c>
      <c r="B901" s="233" t="s">
        <v>3735</v>
      </c>
      <c r="C901" s="227" t="s">
        <v>1060</v>
      </c>
      <c r="D901" s="233" t="s">
        <v>16</v>
      </c>
      <c r="E901" s="233" t="s">
        <v>2979</v>
      </c>
      <c r="F901" s="227" t="s">
        <v>297</v>
      </c>
    </row>
    <row r="902" spans="1:6" x14ac:dyDescent="0.25">
      <c r="A902" s="227" t="str">
        <f>TL[[#This Row],[Société]]&amp;" - "&amp;TL[[#This Row],[Compte]]</f>
        <v>TH4 - 70880000</v>
      </c>
      <c r="B902" s="233" t="s">
        <v>3736</v>
      </c>
      <c r="C902" s="227" t="s">
        <v>358</v>
      </c>
      <c r="D902" s="233" t="s">
        <v>0</v>
      </c>
      <c r="E902" s="233" t="s">
        <v>25</v>
      </c>
      <c r="F902" s="227" t="s">
        <v>297</v>
      </c>
    </row>
    <row r="903" spans="1:6" x14ac:dyDescent="0.25">
      <c r="A903" s="227" t="str">
        <f>TL[[#This Row],[Société]]&amp;" - "&amp;TL[[#This Row],[Compte]]</f>
        <v>TH4 - 70881000</v>
      </c>
      <c r="B903" s="233" t="s">
        <v>3737</v>
      </c>
      <c r="C903" s="227" t="s">
        <v>368</v>
      </c>
      <c r="D903" s="233" t="s">
        <v>13</v>
      </c>
      <c r="E903" s="233" t="s">
        <v>12</v>
      </c>
      <c r="F903" s="227" t="s">
        <v>297</v>
      </c>
    </row>
    <row r="904" spans="1:6" x14ac:dyDescent="0.25">
      <c r="A904" s="227" t="str">
        <f>TL[[#This Row],[Société]]&amp;" - "&amp;TL[[#This Row],[Compte]]</f>
        <v>TH4 - 70881100</v>
      </c>
      <c r="B904" s="233" t="s">
        <v>3738</v>
      </c>
      <c r="C904" s="227" t="s">
        <v>1330</v>
      </c>
      <c r="D904" s="233" t="s">
        <v>12</v>
      </c>
      <c r="E904" s="233" t="s">
        <v>3</v>
      </c>
      <c r="F904" s="227" t="s">
        <v>297</v>
      </c>
    </row>
    <row r="905" spans="1:6" x14ac:dyDescent="0.25">
      <c r="A905" s="227" t="str">
        <f>TL[[#This Row],[Société]]&amp;" - "&amp;TL[[#This Row],[Compte]]</f>
        <v>TH4 - 70881200</v>
      </c>
      <c r="B905" s="233" t="s">
        <v>3739</v>
      </c>
      <c r="C905" s="227" t="s">
        <v>2102</v>
      </c>
      <c r="D905" s="233" t="s">
        <v>18</v>
      </c>
      <c r="E905" s="233" t="s">
        <v>32</v>
      </c>
      <c r="F905" s="227" t="s">
        <v>297</v>
      </c>
    </row>
    <row r="906" spans="1:6" x14ac:dyDescent="0.25">
      <c r="A906" s="227" t="str">
        <f>TL[[#This Row],[Société]]&amp;" - "&amp;TL[[#This Row],[Compte]]</f>
        <v>TH4 - 72610000</v>
      </c>
      <c r="B906" s="233" t="s">
        <v>2629</v>
      </c>
      <c r="C906" s="227" t="s">
        <v>356</v>
      </c>
      <c r="D906" s="233" t="s">
        <v>12</v>
      </c>
      <c r="E906" s="233" t="s">
        <v>3</v>
      </c>
      <c r="F906" s="227" t="s">
        <v>297</v>
      </c>
    </row>
    <row r="907" spans="1:6" x14ac:dyDescent="0.25">
      <c r="A907" s="227" t="str">
        <f>TL[[#This Row],[Société]]&amp;" - "&amp;TL[[#This Row],[Compte]]</f>
        <v>TH4 - 72611000</v>
      </c>
      <c r="B907" s="233" t="s">
        <v>2641</v>
      </c>
      <c r="C907" s="227" t="s">
        <v>344</v>
      </c>
      <c r="D907" s="233" t="s">
        <v>13</v>
      </c>
      <c r="E907" s="233" t="s">
        <v>12</v>
      </c>
      <c r="F907" s="227" t="s">
        <v>297</v>
      </c>
    </row>
    <row r="908" spans="1:6" x14ac:dyDescent="0.25">
      <c r="A908" s="227" t="str">
        <f>TL[[#This Row],[Société]]&amp;" - "&amp;TL[[#This Row],[Compte]]</f>
        <v>TH4 - 74010000</v>
      </c>
      <c r="B908" s="233" t="s">
        <v>3740</v>
      </c>
      <c r="C908" s="227" t="s">
        <v>1559</v>
      </c>
      <c r="D908" s="233" t="s">
        <v>50</v>
      </c>
      <c r="E908" s="240" t="s">
        <v>71</v>
      </c>
      <c r="F908" s="227" t="s">
        <v>297</v>
      </c>
    </row>
    <row r="909" spans="1:6" x14ac:dyDescent="0.25">
      <c r="A909" s="227" t="str">
        <f>TL[[#This Row],[Société]]&amp;" - "&amp;TL[[#This Row],[Compte]]</f>
        <v>TH4 - 74020000</v>
      </c>
      <c r="B909" s="233" t="s">
        <v>3741</v>
      </c>
      <c r="C909" s="227" t="s">
        <v>626</v>
      </c>
      <c r="D909" s="236" t="s">
        <v>12</v>
      </c>
      <c r="E909" s="233" t="s">
        <v>2995</v>
      </c>
      <c r="F909" s="227" t="s">
        <v>297</v>
      </c>
    </row>
    <row r="910" spans="1:6" x14ac:dyDescent="0.25">
      <c r="A910" s="227" t="str">
        <f>TL[[#This Row],[Société]]&amp;" - "&amp;TL[[#This Row],[Compte]]</f>
        <v>TH4 - 74030000</v>
      </c>
      <c r="B910" s="233" t="s">
        <v>3742</v>
      </c>
      <c r="C910" s="227" t="s">
        <v>2143</v>
      </c>
      <c r="D910" s="233" t="s">
        <v>50</v>
      </c>
      <c r="E910" s="233" t="s">
        <v>2995</v>
      </c>
      <c r="F910" s="227" t="s">
        <v>297</v>
      </c>
    </row>
    <row r="911" spans="1:6" x14ac:dyDescent="0.25">
      <c r="A911" s="227" t="str">
        <f>TL[[#This Row],[Société]]&amp;" - "&amp;TL[[#This Row],[Compte]]</f>
        <v>TH4 - 74040000</v>
      </c>
      <c r="B911" s="233" t="s">
        <v>3743</v>
      </c>
      <c r="C911" s="227" t="s">
        <v>1415</v>
      </c>
      <c r="F911" s="227" t="s">
        <v>297</v>
      </c>
    </row>
    <row r="912" spans="1:6" x14ac:dyDescent="0.25">
      <c r="A912" s="227" t="str">
        <f>TL[[#This Row],[Société]]&amp;" - "&amp;TL[[#This Row],[Compte]]</f>
        <v>TH4 - 74041000</v>
      </c>
      <c r="B912" s="233" t="s">
        <v>3744</v>
      </c>
      <c r="C912" s="227" t="s">
        <v>1510</v>
      </c>
      <c r="D912" s="233" t="s">
        <v>50</v>
      </c>
      <c r="E912" s="233" t="s">
        <v>2995</v>
      </c>
      <c r="F912" s="227" t="s">
        <v>297</v>
      </c>
    </row>
    <row r="913" spans="1:6" x14ac:dyDescent="0.25">
      <c r="A913" s="227" t="str">
        <f>TL[[#This Row],[Société]]&amp;" - "&amp;TL[[#This Row],[Compte]]</f>
        <v>TH4 - 75800000</v>
      </c>
      <c r="B913" s="233" t="s">
        <v>3745</v>
      </c>
      <c r="C913" s="227" t="s">
        <v>163</v>
      </c>
      <c r="D913" s="233" t="s">
        <v>50</v>
      </c>
      <c r="E913" s="233" t="s">
        <v>2982</v>
      </c>
      <c r="F913" s="227" t="s">
        <v>297</v>
      </c>
    </row>
    <row r="914" spans="1:6" x14ac:dyDescent="0.25">
      <c r="A914" s="227" t="str">
        <f>TL[[#This Row],[Société]]&amp;" - "&amp;TL[[#This Row],[Compte]]</f>
        <v>TH4 - 76400000</v>
      </c>
      <c r="B914" s="233" t="s">
        <v>3746</v>
      </c>
      <c r="C914" s="227" t="s">
        <v>627</v>
      </c>
      <c r="D914" s="233" t="s">
        <v>152</v>
      </c>
      <c r="E914" s="233" t="s">
        <v>286</v>
      </c>
      <c r="F914" s="227" t="s">
        <v>297</v>
      </c>
    </row>
    <row r="915" spans="1:6" x14ac:dyDescent="0.25">
      <c r="A915" s="227" t="str">
        <f>TL[[#This Row],[Société]]&amp;" - "&amp;TL[[#This Row],[Compte]]</f>
        <v>TH4 - 76600000</v>
      </c>
      <c r="B915" s="233" t="s">
        <v>3747</v>
      </c>
      <c r="C915" s="227" t="s">
        <v>1061</v>
      </c>
      <c r="F915" s="227" t="s">
        <v>297</v>
      </c>
    </row>
    <row r="916" spans="1:6" x14ac:dyDescent="0.25">
      <c r="A916" s="227" t="str">
        <f>TL[[#This Row],[Société]]&amp;" - "&amp;TL[[#This Row],[Compte]]</f>
        <v>TH4 - 76700000</v>
      </c>
      <c r="B916" s="233" t="s">
        <v>3748</v>
      </c>
      <c r="C916" s="227" t="s">
        <v>1062</v>
      </c>
      <c r="D916" s="233" t="s">
        <v>48</v>
      </c>
      <c r="E916" s="233" t="s">
        <v>286</v>
      </c>
      <c r="F916" s="227" t="s">
        <v>297</v>
      </c>
    </row>
    <row r="917" spans="1:6" x14ac:dyDescent="0.25">
      <c r="A917" s="227" t="str">
        <f>TL[[#This Row],[Société]]&amp;" - "&amp;TL[[#This Row],[Compte]]</f>
        <v>TH4 - 76710000</v>
      </c>
      <c r="B917" s="233" t="s">
        <v>3749</v>
      </c>
      <c r="C917" s="227" t="s">
        <v>807</v>
      </c>
      <c r="D917" s="233" t="s">
        <v>48</v>
      </c>
      <c r="E917" s="233" t="s">
        <v>286</v>
      </c>
      <c r="F917" s="227" t="s">
        <v>297</v>
      </c>
    </row>
    <row r="918" spans="1:6" x14ac:dyDescent="0.25">
      <c r="A918" s="227" t="str">
        <f>TL[[#This Row],[Société]]&amp;" - "&amp;TL[[#This Row],[Compte]]</f>
        <v>TH4 - 76800000</v>
      </c>
      <c r="B918" s="233" t="s">
        <v>3750</v>
      </c>
      <c r="C918" s="227" t="s">
        <v>1063</v>
      </c>
      <c r="D918" s="233" t="s">
        <v>152</v>
      </c>
      <c r="F918" s="227" t="s">
        <v>297</v>
      </c>
    </row>
    <row r="919" spans="1:6" x14ac:dyDescent="0.25">
      <c r="A919" s="227" t="str">
        <f>TL[[#This Row],[Société]]&amp;" - "&amp;TL[[#This Row],[Compte]]</f>
        <v>TH4 - 76810000</v>
      </c>
      <c r="B919" s="233" t="s">
        <v>3751</v>
      </c>
      <c r="C919" s="227" t="s">
        <v>941</v>
      </c>
      <c r="D919" s="233" t="s">
        <v>47</v>
      </c>
      <c r="E919" s="233" t="s">
        <v>286</v>
      </c>
      <c r="F919" s="227" t="s">
        <v>297</v>
      </c>
    </row>
    <row r="920" spans="1:6" x14ac:dyDescent="0.25">
      <c r="A920" s="227" t="str">
        <f>TL[[#This Row],[Société]]&amp;" - "&amp;TL[[#This Row],[Compte]]</f>
        <v>TH4 - 77110000</v>
      </c>
      <c r="B920" s="233" t="s">
        <v>2708</v>
      </c>
      <c r="C920" s="227" t="s">
        <v>2926</v>
      </c>
      <c r="D920" s="233" t="s">
        <v>30</v>
      </c>
      <c r="E920" s="233" t="s">
        <v>2982</v>
      </c>
      <c r="F920" s="227" t="s">
        <v>297</v>
      </c>
    </row>
    <row r="921" spans="1:6" x14ac:dyDescent="0.25">
      <c r="A921" s="227" t="str">
        <f>TL[[#This Row],[Société]]&amp;" - "&amp;TL[[#This Row],[Compte]]</f>
        <v>TH4 - 77180000</v>
      </c>
      <c r="B921" s="233" t="s">
        <v>3752</v>
      </c>
      <c r="C921" s="227" t="s">
        <v>943</v>
      </c>
      <c r="F921" s="227" t="s">
        <v>297</v>
      </c>
    </row>
    <row r="922" spans="1:6" x14ac:dyDescent="0.25">
      <c r="A922" s="227" t="str">
        <f>TL[[#This Row],[Société]]&amp;" - "&amp;TL[[#This Row],[Compte]]</f>
        <v>TH4 - 77200000</v>
      </c>
      <c r="B922" s="233" t="s">
        <v>3753</v>
      </c>
      <c r="C922" s="227" t="s">
        <v>1064</v>
      </c>
      <c r="D922" s="233" t="s">
        <v>50</v>
      </c>
      <c r="E922" s="233" t="s">
        <v>2995</v>
      </c>
      <c r="F922" s="227" t="s">
        <v>297</v>
      </c>
    </row>
    <row r="923" spans="1:6" x14ac:dyDescent="0.25">
      <c r="A923" s="227" t="str">
        <f>TL[[#This Row],[Société]]&amp;" - "&amp;TL[[#This Row],[Compte]]</f>
        <v>TH4 - 77520000</v>
      </c>
      <c r="B923" s="233" t="s">
        <v>3754</v>
      </c>
      <c r="C923" s="227" t="s">
        <v>381</v>
      </c>
      <c r="F923" s="227" t="s">
        <v>297</v>
      </c>
    </row>
    <row r="924" spans="1:6" x14ac:dyDescent="0.25">
      <c r="A924" s="227" t="str">
        <f>TL[[#This Row],[Société]]&amp;" - "&amp;TL[[#This Row],[Compte]]</f>
        <v>TH4 - 78111000</v>
      </c>
      <c r="B924" s="233" t="s">
        <v>3755</v>
      </c>
      <c r="C924" s="227" t="s">
        <v>628</v>
      </c>
      <c r="D924" s="233" t="s">
        <v>45</v>
      </c>
      <c r="E924" s="233" t="s">
        <v>48</v>
      </c>
      <c r="F924" s="227" t="s">
        <v>297</v>
      </c>
    </row>
    <row r="925" spans="1:6" x14ac:dyDescent="0.25">
      <c r="A925" s="227" t="str">
        <f>TL[[#This Row],[Société]]&amp;" - "&amp;TL[[#This Row],[Compte]]</f>
        <v>TH4 - 78112000</v>
      </c>
      <c r="B925" s="233" t="s">
        <v>3756</v>
      </c>
      <c r="C925" s="227" t="s">
        <v>264</v>
      </c>
      <c r="D925" s="233" t="s">
        <v>45</v>
      </c>
      <c r="E925" s="233" t="s">
        <v>48</v>
      </c>
      <c r="F925" s="227" t="s">
        <v>297</v>
      </c>
    </row>
    <row r="926" spans="1:6" x14ac:dyDescent="0.25">
      <c r="A926" s="227" t="str">
        <f>TL[[#This Row],[Société]]&amp;" - "&amp;TL[[#This Row],[Compte]]</f>
        <v>TH4 - 78150000</v>
      </c>
      <c r="B926" s="233" t="s">
        <v>3757</v>
      </c>
      <c r="C926" s="227" t="s">
        <v>176</v>
      </c>
      <c r="D926" s="233" t="s">
        <v>45</v>
      </c>
      <c r="E926" s="233" t="s">
        <v>48</v>
      </c>
      <c r="F926" s="227" t="s">
        <v>297</v>
      </c>
    </row>
    <row r="927" spans="1:6" x14ac:dyDescent="0.25">
      <c r="A927" s="227" t="str">
        <f>TL[[#This Row],[Société]]&amp;" - "&amp;TL[[#This Row],[Compte]]</f>
        <v>TH4 - 78711000</v>
      </c>
      <c r="B927" s="233" t="s">
        <v>3758</v>
      </c>
      <c r="C927" s="227" t="s">
        <v>812</v>
      </c>
      <c r="F927" s="227" t="s">
        <v>297</v>
      </c>
    </row>
    <row r="928" spans="1:6" x14ac:dyDescent="0.25">
      <c r="A928" s="227" t="str">
        <f>TL[[#This Row],[Société]]&amp;" - "&amp;TL[[#This Row],[Compte]]</f>
        <v>TH4 - 78712000</v>
      </c>
      <c r="B928" s="233" t="s">
        <v>3759</v>
      </c>
      <c r="C928" s="227" t="s">
        <v>813</v>
      </c>
      <c r="F928" s="227" t="s">
        <v>297</v>
      </c>
    </row>
    <row r="929" spans="1:6" x14ac:dyDescent="0.25">
      <c r="A929" s="227" t="str">
        <f>TL[[#This Row],[Société]]&amp;" - "&amp;TL[[#This Row],[Compte]]</f>
        <v>TH4 - 78725000</v>
      </c>
      <c r="B929" s="233" t="s">
        <v>3760</v>
      </c>
      <c r="C929" s="227" t="s">
        <v>1065</v>
      </c>
      <c r="D929" s="233" t="s">
        <v>45</v>
      </c>
      <c r="E929" s="233" t="s">
        <v>48</v>
      </c>
      <c r="F929" s="227" t="s">
        <v>297</v>
      </c>
    </row>
    <row r="930" spans="1:6" x14ac:dyDescent="0.25">
      <c r="A930" s="227" t="str">
        <f>TL[[#This Row],[Société]]&amp;" - "&amp;TL[[#This Row],[Compte]]</f>
        <v>TH4 - 79100000</v>
      </c>
      <c r="B930" s="233" t="s">
        <v>3761</v>
      </c>
      <c r="C930" s="227" t="s">
        <v>367</v>
      </c>
      <c r="D930" s="233" t="s">
        <v>50</v>
      </c>
      <c r="E930" s="233" t="s">
        <v>52</v>
      </c>
      <c r="F930" s="227" t="s">
        <v>297</v>
      </c>
    </row>
    <row r="931" spans="1:6" x14ac:dyDescent="0.25">
      <c r="A931" s="227" t="str">
        <f>TL[[#This Row],[Société]]&amp;" - "&amp;TL[[#This Row],[Compte]]</f>
        <v>TH4 - 79110000</v>
      </c>
      <c r="B931" s="233" t="s">
        <v>3762</v>
      </c>
      <c r="C931" s="227" t="s">
        <v>1066</v>
      </c>
      <c r="D931" s="233" t="s">
        <v>13</v>
      </c>
      <c r="E931" s="233" t="s">
        <v>12</v>
      </c>
      <c r="F931" s="227" t="s">
        <v>297</v>
      </c>
    </row>
    <row r="932" spans="1:6" x14ac:dyDescent="0.25">
      <c r="A932" s="227" t="str">
        <f>TL[[#This Row],[Société]]&amp;" - "&amp;TL[[#This Row],[Compte]]</f>
        <v>TH4 - 79110100</v>
      </c>
      <c r="B932" s="233" t="s">
        <v>3763</v>
      </c>
      <c r="C932" s="227" t="s">
        <v>346</v>
      </c>
      <c r="D932" s="233" t="s">
        <v>12</v>
      </c>
      <c r="E932" s="233" t="s">
        <v>3</v>
      </c>
      <c r="F932" s="227" t="s">
        <v>297</v>
      </c>
    </row>
    <row r="933" spans="1:6" x14ac:dyDescent="0.25">
      <c r="A933" s="227" t="str">
        <f>TL[[#This Row],[Société]]&amp;" - "&amp;TL[[#This Row],[Compte]]</f>
        <v>TH4 - 79110400</v>
      </c>
      <c r="B933" s="233" t="s">
        <v>3764</v>
      </c>
      <c r="C933" s="227" t="s">
        <v>344</v>
      </c>
      <c r="D933" s="233" t="s">
        <v>13</v>
      </c>
      <c r="E933" s="233" t="s">
        <v>12</v>
      </c>
      <c r="F933" s="227" t="s">
        <v>297</v>
      </c>
    </row>
    <row r="934" spans="1:6" x14ac:dyDescent="0.25">
      <c r="A934" s="227" t="str">
        <f>TL[[#This Row],[Société]]&amp;" - "&amp;TL[[#This Row],[Compte]]</f>
        <v>TH4 - 79110500</v>
      </c>
      <c r="B934" s="233" t="s">
        <v>3765</v>
      </c>
      <c r="C934" s="227" t="s">
        <v>224</v>
      </c>
      <c r="D934" s="233" t="s">
        <v>13</v>
      </c>
      <c r="E934" s="233" t="s">
        <v>12</v>
      </c>
      <c r="F934" s="227" t="s">
        <v>297</v>
      </c>
    </row>
    <row r="935" spans="1:6" x14ac:dyDescent="0.25">
      <c r="A935" s="227" t="str">
        <f>TL[[#This Row],[Société]]&amp;" - "&amp;TL[[#This Row],[Compte]]</f>
        <v>TH4 - 79111000</v>
      </c>
      <c r="B935" s="233" t="s">
        <v>3766</v>
      </c>
      <c r="C935" s="227" t="s">
        <v>1067</v>
      </c>
      <c r="D935" s="233" t="s">
        <v>12</v>
      </c>
      <c r="E935" s="233" t="s">
        <v>3</v>
      </c>
      <c r="F935" s="227" t="s">
        <v>297</v>
      </c>
    </row>
    <row r="936" spans="1:6" x14ac:dyDescent="0.25">
      <c r="A936" s="227" t="str">
        <f>TL[[#This Row],[Société]]&amp;" - "&amp;TL[[#This Row],[Compte]]</f>
        <v>TH4 - 79120000</v>
      </c>
      <c r="B936" s="233" t="s">
        <v>3767</v>
      </c>
      <c r="C936" s="227" t="s">
        <v>1416</v>
      </c>
      <c r="D936" s="233" t="s">
        <v>25</v>
      </c>
      <c r="E936" s="233" t="s">
        <v>52</v>
      </c>
      <c r="F936" s="227" t="s">
        <v>297</v>
      </c>
    </row>
    <row r="937" spans="1:6" x14ac:dyDescent="0.25">
      <c r="A937" s="227" t="str">
        <f>TL[[#This Row],[Société]]&amp;" - "&amp;TL[[#This Row],[Compte]]</f>
        <v>TH4 - 79121000</v>
      </c>
      <c r="B937" s="233" t="s">
        <v>3768</v>
      </c>
      <c r="C937" s="227" t="s">
        <v>1068</v>
      </c>
      <c r="F937" s="227" t="s">
        <v>297</v>
      </c>
    </row>
    <row r="938" spans="1:6" x14ac:dyDescent="0.25">
      <c r="A938" s="227" t="str">
        <f>TL[[#This Row],[Société]]&amp;" - "&amp;TL[[#This Row],[Compte]]</f>
        <v>TH4 - 79130000</v>
      </c>
      <c r="B938" s="233" t="s">
        <v>3769</v>
      </c>
      <c r="C938" s="227" t="s">
        <v>1570</v>
      </c>
      <c r="D938" s="233" t="s">
        <v>12</v>
      </c>
      <c r="E938" s="233" t="s">
        <v>3</v>
      </c>
      <c r="F938" s="227" t="s">
        <v>297</v>
      </c>
    </row>
    <row r="939" spans="1:6" x14ac:dyDescent="0.25">
      <c r="A939" s="227" t="str">
        <f>TL[[#This Row],[Société]]&amp;" - "&amp;TL[[#This Row],[Compte]]</f>
        <v>TH4 - 79131000</v>
      </c>
      <c r="B939" s="233" t="s">
        <v>3770</v>
      </c>
      <c r="C939" s="227" t="s">
        <v>1069</v>
      </c>
      <c r="D939" s="233" t="s">
        <v>13</v>
      </c>
      <c r="E939" s="233" t="s">
        <v>12</v>
      </c>
      <c r="F939" s="227" t="s">
        <v>297</v>
      </c>
    </row>
    <row r="940" spans="1:6" x14ac:dyDescent="0.25">
      <c r="A940" s="227" t="str">
        <f>TL[[#This Row],[Société]]&amp;" - "&amp;TL[[#This Row],[Compte]]</f>
        <v>TH4 - 79131100</v>
      </c>
      <c r="B940" s="233" t="s">
        <v>3771</v>
      </c>
      <c r="C940" s="227" t="s">
        <v>1070</v>
      </c>
      <c r="D940" s="233" t="s">
        <v>12</v>
      </c>
      <c r="E940" s="233" t="s">
        <v>3</v>
      </c>
      <c r="F940" s="227" t="s">
        <v>297</v>
      </c>
    </row>
    <row r="941" spans="1:6" x14ac:dyDescent="0.25">
      <c r="A941" s="227" t="str">
        <f>TL[[#This Row],[Société]]&amp;" - "&amp;TL[[#This Row],[Compte]]</f>
        <v>TH4 - 89000000</v>
      </c>
      <c r="B941" s="233" t="s">
        <v>3772</v>
      </c>
      <c r="C941" s="227" t="s">
        <v>631</v>
      </c>
      <c r="F941" s="227" t="s">
        <v>297</v>
      </c>
    </row>
    <row r="942" spans="1:6" x14ac:dyDescent="0.25">
      <c r="A942" s="227" t="str">
        <f>TL[[#This Row],[Société]]&amp;" - "&amp;TL[[#This Row],[Compte]]</f>
        <v>VICTOIRE - 101000</v>
      </c>
      <c r="B942" s="233" t="s">
        <v>1802</v>
      </c>
      <c r="C942" s="227" t="s">
        <v>3773</v>
      </c>
      <c r="F942" s="227" t="s">
        <v>3002</v>
      </c>
    </row>
    <row r="943" spans="1:6" x14ac:dyDescent="0.25">
      <c r="A943" s="227" t="str">
        <f>TL[[#This Row],[Société]]&amp;" - "&amp;TL[[#This Row],[Compte]]</f>
        <v>VICTOIRE - 101100</v>
      </c>
      <c r="B943" s="233" t="s">
        <v>1803</v>
      </c>
      <c r="C943" s="227" t="s">
        <v>640</v>
      </c>
      <c r="F943" s="227" t="s">
        <v>3002</v>
      </c>
    </row>
    <row r="944" spans="1:6" x14ac:dyDescent="0.25">
      <c r="A944" s="227" t="str">
        <f>TL[[#This Row],[Société]]&amp;" - "&amp;TL[[#This Row],[Compte]]</f>
        <v>VICTOIRE - 101200</v>
      </c>
      <c r="B944" s="233" t="s">
        <v>3774</v>
      </c>
      <c r="C944" s="227" t="s">
        <v>3775</v>
      </c>
      <c r="F944" s="227" t="s">
        <v>3002</v>
      </c>
    </row>
    <row r="945" spans="1:6" x14ac:dyDescent="0.25">
      <c r="A945" s="227" t="str">
        <f>TL[[#This Row],[Société]]&amp;" - "&amp;TL[[#This Row],[Compte]]</f>
        <v>VICTOIRE - 101300</v>
      </c>
      <c r="B945" s="233" t="s">
        <v>1638</v>
      </c>
      <c r="C945" s="227" t="s">
        <v>3776</v>
      </c>
      <c r="F945" s="227" t="s">
        <v>3002</v>
      </c>
    </row>
    <row r="946" spans="1:6" x14ac:dyDescent="0.25">
      <c r="A946" s="227" t="str">
        <f>TL[[#This Row],[Société]]&amp;" - "&amp;TL[[#This Row],[Compte]]</f>
        <v>VICTOIRE - 101800</v>
      </c>
      <c r="B946" s="233" t="s">
        <v>1639</v>
      </c>
      <c r="C946" s="227" t="s">
        <v>3777</v>
      </c>
      <c r="F946" s="227" t="s">
        <v>3002</v>
      </c>
    </row>
    <row r="947" spans="1:6" x14ac:dyDescent="0.25">
      <c r="A947" s="227" t="str">
        <f>TL[[#This Row],[Société]]&amp;" - "&amp;TL[[#This Row],[Compte]]</f>
        <v>VICTOIRE - 104100</v>
      </c>
      <c r="B947" s="233" t="s">
        <v>3778</v>
      </c>
      <c r="C947" s="227" t="s">
        <v>3779</v>
      </c>
      <c r="F947" s="227" t="s">
        <v>3002</v>
      </c>
    </row>
    <row r="948" spans="1:6" x14ac:dyDescent="0.25">
      <c r="A948" s="227" t="str">
        <f>TL[[#This Row],[Société]]&amp;" - "&amp;TL[[#This Row],[Compte]]</f>
        <v>VICTOIRE - 104150</v>
      </c>
      <c r="B948" s="233" t="s">
        <v>3780</v>
      </c>
      <c r="C948" s="227" t="s">
        <v>3781</v>
      </c>
      <c r="F948" s="227" t="s">
        <v>3002</v>
      </c>
    </row>
    <row r="949" spans="1:6" x14ac:dyDescent="0.25">
      <c r="A949" s="227" t="str">
        <f>TL[[#This Row],[Société]]&amp;" - "&amp;TL[[#This Row],[Compte]]</f>
        <v>VICTOIRE - 104200</v>
      </c>
      <c r="B949" s="233" t="s">
        <v>3782</v>
      </c>
      <c r="C949" s="227" t="s">
        <v>3783</v>
      </c>
      <c r="F949" s="227" t="s">
        <v>3002</v>
      </c>
    </row>
    <row r="950" spans="1:6" x14ac:dyDescent="0.25">
      <c r="A950" s="227" t="str">
        <f>TL[[#This Row],[Société]]&amp;" - "&amp;TL[[#This Row],[Compte]]</f>
        <v>VICTOIRE - 104300</v>
      </c>
      <c r="B950" s="233" t="s">
        <v>3784</v>
      </c>
      <c r="C950" s="227" t="s">
        <v>3785</v>
      </c>
      <c r="F950" s="227" t="s">
        <v>3002</v>
      </c>
    </row>
    <row r="951" spans="1:6" x14ac:dyDescent="0.25">
      <c r="A951" s="227" t="str">
        <f>TL[[#This Row],[Société]]&amp;" - "&amp;TL[[#This Row],[Compte]]</f>
        <v>VICTOIRE - 104400</v>
      </c>
      <c r="B951" s="233" t="s">
        <v>3786</v>
      </c>
      <c r="C951" s="227" t="s">
        <v>3787</v>
      </c>
      <c r="F951" s="227" t="s">
        <v>3002</v>
      </c>
    </row>
    <row r="952" spans="1:6" x14ac:dyDescent="0.25">
      <c r="A952" s="227" t="str">
        <f>TL[[#This Row],[Société]]&amp;" - "&amp;TL[[#This Row],[Compte]]</f>
        <v>VICTOIRE - 104500</v>
      </c>
      <c r="B952" s="233" t="s">
        <v>3788</v>
      </c>
      <c r="C952" s="227" t="s">
        <v>3789</v>
      </c>
      <c r="F952" s="227" t="s">
        <v>3002</v>
      </c>
    </row>
    <row r="953" spans="1:6" x14ac:dyDescent="0.25">
      <c r="A953" s="227" t="str">
        <f>TL[[#This Row],[Société]]&amp;" - "&amp;TL[[#This Row],[Compte]]</f>
        <v>VICTOIRE - 105100</v>
      </c>
      <c r="B953" s="233" t="s">
        <v>3790</v>
      </c>
      <c r="C953" s="227" t="s">
        <v>3791</v>
      </c>
      <c r="F953" s="227" t="s">
        <v>3002</v>
      </c>
    </row>
    <row r="954" spans="1:6" x14ac:dyDescent="0.25">
      <c r="A954" s="227" t="str">
        <f>TL[[#This Row],[Société]]&amp;" - "&amp;TL[[#This Row],[Compte]]</f>
        <v>VICTOIRE - 105200</v>
      </c>
      <c r="B954" s="233" t="s">
        <v>3792</v>
      </c>
      <c r="C954" s="227" t="s">
        <v>3793</v>
      </c>
      <c r="F954" s="227" t="s">
        <v>3002</v>
      </c>
    </row>
    <row r="955" spans="1:6" x14ac:dyDescent="0.25">
      <c r="A955" s="227" t="str">
        <f>TL[[#This Row],[Société]]&amp;" - "&amp;TL[[#This Row],[Compte]]</f>
        <v>VICTOIRE - 105300</v>
      </c>
      <c r="B955" s="233" t="s">
        <v>3794</v>
      </c>
      <c r="C955" s="227" t="s">
        <v>3795</v>
      </c>
      <c r="F955" s="227" t="s">
        <v>3002</v>
      </c>
    </row>
    <row r="956" spans="1:6" x14ac:dyDescent="0.25">
      <c r="A956" s="227" t="str">
        <f>TL[[#This Row],[Société]]&amp;" - "&amp;TL[[#This Row],[Compte]]</f>
        <v>VICTOIRE - 105500</v>
      </c>
      <c r="B956" s="233" t="s">
        <v>3796</v>
      </c>
      <c r="C956" s="227" t="s">
        <v>3797</v>
      </c>
      <c r="F956" s="227" t="s">
        <v>3002</v>
      </c>
    </row>
    <row r="957" spans="1:6" x14ac:dyDescent="0.25">
      <c r="A957" s="227" t="str">
        <f>TL[[#This Row],[Société]]&amp;" - "&amp;TL[[#This Row],[Compte]]</f>
        <v>VICTOIRE - 105700</v>
      </c>
      <c r="B957" s="233" t="s">
        <v>3798</v>
      </c>
      <c r="C957" s="227" t="s">
        <v>3799</v>
      </c>
      <c r="F957" s="227" t="s">
        <v>3002</v>
      </c>
    </row>
    <row r="958" spans="1:6" x14ac:dyDescent="0.25">
      <c r="A958" s="227" t="str">
        <f>TL[[#This Row],[Société]]&amp;" - "&amp;TL[[#This Row],[Compte]]</f>
        <v>VICTOIRE - 105800</v>
      </c>
      <c r="B958" s="233" t="s">
        <v>3800</v>
      </c>
      <c r="C958" s="227" t="s">
        <v>3801</v>
      </c>
      <c r="F958" s="227" t="s">
        <v>3002</v>
      </c>
    </row>
    <row r="959" spans="1:6" x14ac:dyDescent="0.25">
      <c r="A959" s="227" t="str">
        <f>TL[[#This Row],[Société]]&amp;" - "&amp;TL[[#This Row],[Compte]]</f>
        <v>VICTOIRE - 106100</v>
      </c>
      <c r="B959" s="233" t="s">
        <v>1640</v>
      </c>
      <c r="C959" s="227" t="s">
        <v>3802</v>
      </c>
      <c r="F959" s="227" t="s">
        <v>3002</v>
      </c>
    </row>
    <row r="960" spans="1:6" x14ac:dyDescent="0.25">
      <c r="A960" s="227" t="str">
        <f>TL[[#This Row],[Société]]&amp;" - "&amp;TL[[#This Row],[Compte]]</f>
        <v>VICTOIRE - 106110</v>
      </c>
      <c r="B960" s="233" t="s">
        <v>3803</v>
      </c>
      <c r="C960" s="227" t="s">
        <v>3804</v>
      </c>
      <c r="F960" s="227" t="s">
        <v>3002</v>
      </c>
    </row>
    <row r="961" spans="1:6" x14ac:dyDescent="0.25">
      <c r="A961" s="227" t="str">
        <f>TL[[#This Row],[Société]]&amp;" - "&amp;TL[[#This Row],[Compte]]</f>
        <v>VICTOIRE - 106120</v>
      </c>
      <c r="B961" s="233" t="s">
        <v>3805</v>
      </c>
      <c r="C961" s="227" t="s">
        <v>3806</v>
      </c>
      <c r="F961" s="227" t="s">
        <v>3002</v>
      </c>
    </row>
    <row r="962" spans="1:6" x14ac:dyDescent="0.25">
      <c r="A962" s="227" t="str">
        <f>TL[[#This Row],[Société]]&amp;" - "&amp;TL[[#This Row],[Compte]]</f>
        <v>VICTOIRE - 106200</v>
      </c>
      <c r="B962" s="233" t="s">
        <v>1804</v>
      </c>
      <c r="C962" s="227" t="s">
        <v>3807</v>
      </c>
      <c r="F962" s="227" t="s">
        <v>3002</v>
      </c>
    </row>
    <row r="963" spans="1:6" x14ac:dyDescent="0.25">
      <c r="A963" s="227" t="str">
        <f>TL[[#This Row],[Société]]&amp;" - "&amp;TL[[#This Row],[Compte]]</f>
        <v>VICTOIRE - 106300</v>
      </c>
      <c r="B963" s="233" t="s">
        <v>3052</v>
      </c>
      <c r="C963" s="227" t="s">
        <v>3053</v>
      </c>
      <c r="F963" s="227" t="s">
        <v>3002</v>
      </c>
    </row>
    <row r="964" spans="1:6" x14ac:dyDescent="0.25">
      <c r="A964" s="227" t="str">
        <f>TL[[#This Row],[Société]]&amp;" - "&amp;TL[[#This Row],[Compte]]</f>
        <v>VICTOIRE - 106400</v>
      </c>
      <c r="B964" s="233" t="s">
        <v>3808</v>
      </c>
      <c r="C964" s="227" t="s">
        <v>3809</v>
      </c>
      <c r="F964" s="227" t="s">
        <v>3002</v>
      </c>
    </row>
    <row r="965" spans="1:6" x14ac:dyDescent="0.25">
      <c r="A965" s="227" t="str">
        <f>TL[[#This Row],[Société]]&amp;" - "&amp;TL[[#This Row],[Compte]]</f>
        <v>VICTOIRE - 106410</v>
      </c>
      <c r="B965" s="233" t="s">
        <v>3810</v>
      </c>
      <c r="C965" s="227" t="s">
        <v>3811</v>
      </c>
      <c r="F965" s="227" t="s">
        <v>3002</v>
      </c>
    </row>
    <row r="966" spans="1:6" x14ac:dyDescent="0.25">
      <c r="A966" s="227" t="str">
        <f>TL[[#This Row],[Société]]&amp;" - "&amp;TL[[#This Row],[Compte]]</f>
        <v>VICTOIRE - 106480</v>
      </c>
      <c r="B966" s="233" t="s">
        <v>3812</v>
      </c>
      <c r="C966" s="227" t="s">
        <v>3813</v>
      </c>
      <c r="F966" s="227" t="s">
        <v>3002</v>
      </c>
    </row>
    <row r="967" spans="1:6" x14ac:dyDescent="0.25">
      <c r="A967" s="227" t="str">
        <f>TL[[#This Row],[Société]]&amp;" - "&amp;TL[[#This Row],[Compte]]</f>
        <v>VICTOIRE - 106800</v>
      </c>
      <c r="B967" s="233" t="s">
        <v>1641</v>
      </c>
      <c r="C967" s="227" t="s">
        <v>3814</v>
      </c>
      <c r="F967" s="227" t="s">
        <v>3002</v>
      </c>
    </row>
    <row r="968" spans="1:6" x14ac:dyDescent="0.25">
      <c r="A968" s="227" t="str">
        <f>TL[[#This Row],[Société]]&amp;" - "&amp;TL[[#This Row],[Compte]]</f>
        <v>VICTOIRE - 106810</v>
      </c>
      <c r="B968" s="233" t="s">
        <v>1642</v>
      </c>
      <c r="C968" s="227" t="s">
        <v>3815</v>
      </c>
      <c r="F968" s="227" t="s">
        <v>3002</v>
      </c>
    </row>
    <row r="969" spans="1:6" x14ac:dyDescent="0.25">
      <c r="A969" s="227" t="str">
        <f>TL[[#This Row],[Société]]&amp;" - "&amp;TL[[#This Row],[Compte]]</f>
        <v>VICTOIRE - 106880</v>
      </c>
      <c r="B969" s="233" t="s">
        <v>3816</v>
      </c>
      <c r="C969" s="227" t="s">
        <v>3817</v>
      </c>
      <c r="F969" s="227" t="s">
        <v>3002</v>
      </c>
    </row>
    <row r="970" spans="1:6" x14ac:dyDescent="0.25">
      <c r="A970" s="227" t="str">
        <f>TL[[#This Row],[Société]]&amp;" - "&amp;TL[[#This Row],[Compte]]</f>
        <v>VICTOIRE - 107000</v>
      </c>
      <c r="B970" s="233" t="s">
        <v>3818</v>
      </c>
      <c r="C970" s="227" t="s">
        <v>3819</v>
      </c>
      <c r="F970" s="227" t="s">
        <v>3002</v>
      </c>
    </row>
    <row r="971" spans="1:6" x14ac:dyDescent="0.25">
      <c r="A971" s="227" t="str">
        <f>TL[[#This Row],[Société]]&amp;" - "&amp;TL[[#This Row],[Compte]]</f>
        <v>VICTOIRE - 108000</v>
      </c>
      <c r="B971" s="233" t="s">
        <v>3820</v>
      </c>
      <c r="C971" s="227" t="s">
        <v>3821</v>
      </c>
      <c r="F971" s="227" t="s">
        <v>3002</v>
      </c>
    </row>
    <row r="972" spans="1:6" x14ac:dyDescent="0.25">
      <c r="A972" s="227" t="str">
        <f>TL[[#This Row],[Société]]&amp;" - "&amp;TL[[#This Row],[Compte]]</f>
        <v>VICTOIRE - 109000</v>
      </c>
      <c r="B972" s="233" t="s">
        <v>3822</v>
      </c>
      <c r="C972" s="227" t="s">
        <v>3823</v>
      </c>
      <c r="F972" s="227" t="s">
        <v>3002</v>
      </c>
    </row>
    <row r="973" spans="1:6" x14ac:dyDescent="0.25">
      <c r="A973" s="227" t="str">
        <f>TL[[#This Row],[Société]]&amp;" - "&amp;TL[[#This Row],[Compte]]</f>
        <v>VICTOIRE - 110000</v>
      </c>
      <c r="B973" s="233" t="s">
        <v>3824</v>
      </c>
      <c r="C973" s="227" t="s">
        <v>3825</v>
      </c>
      <c r="F973" s="227" t="s">
        <v>3002</v>
      </c>
    </row>
    <row r="974" spans="1:6" x14ac:dyDescent="0.25">
      <c r="A974" s="227" t="str">
        <f>TL[[#This Row],[Société]]&amp;" - "&amp;TL[[#This Row],[Compte]]</f>
        <v>VICTOIRE - 119000</v>
      </c>
      <c r="B974" s="233" t="s">
        <v>3826</v>
      </c>
      <c r="C974" s="227" t="s">
        <v>3827</v>
      </c>
      <c r="F974" s="227" t="s">
        <v>3002</v>
      </c>
    </row>
    <row r="975" spans="1:6" x14ac:dyDescent="0.25">
      <c r="A975" s="227" t="str">
        <f>TL[[#This Row],[Société]]&amp;" - "&amp;TL[[#This Row],[Compte]]</f>
        <v>VICTOIRE - 120000</v>
      </c>
      <c r="B975" s="233" t="s">
        <v>1643</v>
      </c>
      <c r="C975" s="227" t="s">
        <v>3828</v>
      </c>
      <c r="F975" s="227" t="s">
        <v>3002</v>
      </c>
    </row>
    <row r="976" spans="1:6" x14ac:dyDescent="0.25">
      <c r="A976" s="227" t="str">
        <f>TL[[#This Row],[Société]]&amp;" - "&amp;TL[[#This Row],[Compte]]</f>
        <v>VICTOIRE - 128000</v>
      </c>
      <c r="B976" s="233" t="s">
        <v>3054</v>
      </c>
      <c r="C976" s="227" t="s">
        <v>3055</v>
      </c>
      <c r="F976" s="227" t="s">
        <v>3002</v>
      </c>
    </row>
    <row r="977" spans="1:6" x14ac:dyDescent="0.25">
      <c r="A977" s="227" t="str">
        <f>TL[[#This Row],[Société]]&amp;" - "&amp;TL[[#This Row],[Compte]]</f>
        <v>VICTOIRE - 129000</v>
      </c>
      <c r="B977" s="233" t="s">
        <v>1637</v>
      </c>
      <c r="C977" s="227" t="s">
        <v>543</v>
      </c>
      <c r="F977" s="227" t="s">
        <v>3002</v>
      </c>
    </row>
    <row r="978" spans="1:6" x14ac:dyDescent="0.25">
      <c r="A978" s="227" t="str">
        <f>TL[[#This Row],[Société]]&amp;" - "&amp;TL[[#This Row],[Compte]]</f>
        <v>VICTOIRE - 131000</v>
      </c>
      <c r="B978" s="233" t="s">
        <v>3829</v>
      </c>
      <c r="C978" s="227" t="s">
        <v>3830</v>
      </c>
      <c r="F978" s="227" t="s">
        <v>3002</v>
      </c>
    </row>
    <row r="979" spans="1:6" x14ac:dyDescent="0.25">
      <c r="A979" s="227" t="str">
        <f>TL[[#This Row],[Société]]&amp;" - "&amp;TL[[#This Row],[Compte]]</f>
        <v>VICTOIRE - 138000</v>
      </c>
      <c r="B979" s="233" t="s">
        <v>3831</v>
      </c>
      <c r="C979" s="227" t="s">
        <v>3832</v>
      </c>
      <c r="F979" s="227" t="s">
        <v>3002</v>
      </c>
    </row>
    <row r="980" spans="1:6" x14ac:dyDescent="0.25">
      <c r="A980" s="227" t="str">
        <f>TL[[#This Row],[Société]]&amp;" - "&amp;TL[[#This Row],[Compte]]</f>
        <v>VICTOIRE - 139000</v>
      </c>
      <c r="B980" s="233" t="s">
        <v>3833</v>
      </c>
      <c r="C980" s="227" t="s">
        <v>3834</v>
      </c>
      <c r="F980" s="227" t="s">
        <v>3002</v>
      </c>
    </row>
    <row r="981" spans="1:6" x14ac:dyDescent="0.25">
      <c r="A981" s="227" t="str">
        <f>TL[[#This Row],[Société]]&amp;" - "&amp;TL[[#This Row],[Compte]]</f>
        <v>VICTOIRE - 139100</v>
      </c>
      <c r="B981" s="233" t="s">
        <v>3835</v>
      </c>
      <c r="C981" s="227" t="s">
        <v>3836</v>
      </c>
      <c r="F981" s="227" t="s">
        <v>3002</v>
      </c>
    </row>
    <row r="982" spans="1:6" x14ac:dyDescent="0.25">
      <c r="A982" s="227" t="str">
        <f>TL[[#This Row],[Société]]&amp;" - "&amp;TL[[#This Row],[Compte]]</f>
        <v>VICTOIRE - 139800</v>
      </c>
      <c r="B982" s="233" t="s">
        <v>3837</v>
      </c>
      <c r="C982" s="227" t="s">
        <v>3838</v>
      </c>
      <c r="F982" s="227" t="s">
        <v>3002</v>
      </c>
    </row>
    <row r="983" spans="1:6" x14ac:dyDescent="0.25">
      <c r="A983" s="227" t="str">
        <f>TL[[#This Row],[Société]]&amp;" - "&amp;TL[[#This Row],[Compte]]</f>
        <v>VICTOIRE - 142300</v>
      </c>
      <c r="B983" s="233" t="s">
        <v>3839</v>
      </c>
      <c r="C983" s="227" t="s">
        <v>3840</v>
      </c>
      <c r="F983" s="227" t="s">
        <v>3002</v>
      </c>
    </row>
    <row r="984" spans="1:6" x14ac:dyDescent="0.25">
      <c r="A984" s="227" t="str">
        <f>TL[[#This Row],[Société]]&amp;" - "&amp;TL[[#This Row],[Compte]]</f>
        <v>VICTOIRE - 142400</v>
      </c>
      <c r="B984" s="233" t="s">
        <v>3841</v>
      </c>
      <c r="C984" s="227" t="s">
        <v>3842</v>
      </c>
      <c r="F984" s="227" t="s">
        <v>3002</v>
      </c>
    </row>
    <row r="985" spans="1:6" x14ac:dyDescent="0.25">
      <c r="A985" s="227" t="str">
        <f>TL[[#This Row],[Société]]&amp;" - "&amp;TL[[#This Row],[Compte]]</f>
        <v>VICTOIRE - 143100</v>
      </c>
      <c r="B985" s="233" t="s">
        <v>3843</v>
      </c>
      <c r="C985" s="227" t="s">
        <v>3844</v>
      </c>
      <c r="F985" s="227" t="s">
        <v>3002</v>
      </c>
    </row>
    <row r="986" spans="1:6" x14ac:dyDescent="0.25">
      <c r="A986" s="227" t="str">
        <f>TL[[#This Row],[Société]]&amp;" - "&amp;TL[[#This Row],[Compte]]</f>
        <v>VICTOIRE - 143200</v>
      </c>
      <c r="B986" s="233" t="s">
        <v>3845</v>
      </c>
      <c r="C986" s="227" t="s">
        <v>3846</v>
      </c>
      <c r="F986" s="227" t="s">
        <v>3002</v>
      </c>
    </row>
    <row r="987" spans="1:6" x14ac:dyDescent="0.25">
      <c r="A987" s="227" t="str">
        <f>TL[[#This Row],[Société]]&amp;" - "&amp;TL[[#This Row],[Compte]]</f>
        <v>VICTOIRE - 144000</v>
      </c>
      <c r="B987" s="233" t="s">
        <v>3847</v>
      </c>
      <c r="C987" s="227" t="s">
        <v>3848</v>
      </c>
      <c r="F987" s="227" t="s">
        <v>3002</v>
      </c>
    </row>
    <row r="988" spans="1:6" x14ac:dyDescent="0.25">
      <c r="A988" s="227" t="str">
        <f>TL[[#This Row],[Société]]&amp;" - "&amp;TL[[#This Row],[Compte]]</f>
        <v>VICTOIRE - 144100</v>
      </c>
      <c r="B988" s="233" t="s">
        <v>3849</v>
      </c>
      <c r="C988" s="227" t="s">
        <v>3850</v>
      </c>
      <c r="F988" s="227" t="s">
        <v>3002</v>
      </c>
    </row>
    <row r="989" spans="1:6" x14ac:dyDescent="0.25">
      <c r="A989" s="227" t="str">
        <f>TL[[#This Row],[Société]]&amp;" - "&amp;TL[[#This Row],[Compte]]</f>
        <v>VICTOIRE - 145000</v>
      </c>
      <c r="B989" s="233" t="s">
        <v>1805</v>
      </c>
      <c r="C989" s="227" t="s">
        <v>544</v>
      </c>
      <c r="F989" s="227" t="s">
        <v>3002</v>
      </c>
    </row>
    <row r="990" spans="1:6" x14ac:dyDescent="0.25">
      <c r="A990" s="227" t="str">
        <f>TL[[#This Row],[Société]]&amp;" - "&amp;TL[[#This Row],[Compte]]</f>
        <v>VICTOIRE - 146000</v>
      </c>
      <c r="B990" s="233" t="s">
        <v>3851</v>
      </c>
      <c r="C990" s="227" t="s">
        <v>3852</v>
      </c>
      <c r="F990" s="227" t="s">
        <v>3002</v>
      </c>
    </row>
    <row r="991" spans="1:6" x14ac:dyDescent="0.25">
      <c r="A991" s="227" t="str">
        <f>TL[[#This Row],[Société]]&amp;" - "&amp;TL[[#This Row],[Compte]]</f>
        <v>VICTOIRE - 147000</v>
      </c>
      <c r="B991" s="233" t="s">
        <v>3853</v>
      </c>
      <c r="C991" s="227" t="s">
        <v>3854</v>
      </c>
      <c r="F991" s="227" t="s">
        <v>3002</v>
      </c>
    </row>
    <row r="992" spans="1:6" x14ac:dyDescent="0.25">
      <c r="A992" s="227" t="str">
        <f>TL[[#This Row],[Société]]&amp;" - "&amp;TL[[#This Row],[Compte]]</f>
        <v>VICTOIRE - 148000</v>
      </c>
      <c r="B992" s="233" t="s">
        <v>3855</v>
      </c>
      <c r="C992" s="227" t="s">
        <v>3856</v>
      </c>
      <c r="F992" s="227" t="s">
        <v>3002</v>
      </c>
    </row>
    <row r="993" spans="1:6" x14ac:dyDescent="0.25">
      <c r="A993" s="227" t="str">
        <f>TL[[#This Row],[Société]]&amp;" - "&amp;TL[[#This Row],[Compte]]</f>
        <v>VICTOIRE - 148600</v>
      </c>
      <c r="B993" s="233" t="s">
        <v>3857</v>
      </c>
      <c r="C993" s="227" t="s">
        <v>3858</v>
      </c>
      <c r="F993" s="227" t="s">
        <v>3002</v>
      </c>
    </row>
    <row r="994" spans="1:6" x14ac:dyDescent="0.25">
      <c r="A994" s="227" t="str">
        <f>TL[[#This Row],[Société]]&amp;" - "&amp;TL[[#This Row],[Compte]]</f>
        <v>VICTOIRE - 148650</v>
      </c>
      <c r="B994" s="233" t="s">
        <v>3859</v>
      </c>
      <c r="C994" s="227" t="s">
        <v>3860</v>
      </c>
      <c r="F994" s="227" t="s">
        <v>3002</v>
      </c>
    </row>
    <row r="995" spans="1:6" x14ac:dyDescent="0.25">
      <c r="A995" s="227" t="str">
        <f>TL[[#This Row],[Société]]&amp;" - "&amp;TL[[#This Row],[Compte]]</f>
        <v>VICTOIRE - 151100</v>
      </c>
      <c r="B995" s="233" t="s">
        <v>3861</v>
      </c>
      <c r="C995" s="227" t="s">
        <v>3862</v>
      </c>
      <c r="F995" s="227" t="s">
        <v>3002</v>
      </c>
    </row>
    <row r="996" spans="1:6" x14ac:dyDescent="0.25">
      <c r="A996" s="227" t="str">
        <f>TL[[#This Row],[Société]]&amp;" - "&amp;TL[[#This Row],[Compte]]</f>
        <v>VICTOIRE - 151200</v>
      </c>
      <c r="B996" s="233" t="s">
        <v>3863</v>
      </c>
      <c r="C996" s="227" t="s">
        <v>3864</v>
      </c>
      <c r="F996" s="227" t="s">
        <v>3002</v>
      </c>
    </row>
    <row r="997" spans="1:6" x14ac:dyDescent="0.25">
      <c r="A997" s="227" t="str">
        <f>TL[[#This Row],[Société]]&amp;" - "&amp;TL[[#This Row],[Compte]]</f>
        <v>VICTOIRE - 151300</v>
      </c>
      <c r="B997" s="233" t="s">
        <v>3865</v>
      </c>
      <c r="C997" s="227" t="s">
        <v>3866</v>
      </c>
      <c r="F997" s="227" t="s">
        <v>3002</v>
      </c>
    </row>
    <row r="998" spans="1:6" x14ac:dyDescent="0.25">
      <c r="A998" s="227" t="str">
        <f>TL[[#This Row],[Société]]&amp;" - "&amp;TL[[#This Row],[Compte]]</f>
        <v>VICTOIRE - 151400</v>
      </c>
      <c r="B998" s="233" t="s">
        <v>3867</v>
      </c>
      <c r="C998" s="227" t="s">
        <v>3868</v>
      </c>
      <c r="F998" s="227" t="s">
        <v>3002</v>
      </c>
    </row>
    <row r="999" spans="1:6" x14ac:dyDescent="0.25">
      <c r="A999" s="227" t="str">
        <f>TL[[#This Row],[Société]]&amp;" - "&amp;TL[[#This Row],[Compte]]</f>
        <v>VICTOIRE - 151500</v>
      </c>
      <c r="B999" s="233" t="s">
        <v>3869</v>
      </c>
      <c r="C999" s="227" t="s">
        <v>3870</v>
      </c>
      <c r="F999" s="227" t="s">
        <v>3002</v>
      </c>
    </row>
    <row r="1000" spans="1:6" x14ac:dyDescent="0.25">
      <c r="A1000" s="227" t="str">
        <f>TL[[#This Row],[Société]]&amp;" - "&amp;TL[[#This Row],[Compte]]</f>
        <v>VICTOIRE - 151600</v>
      </c>
      <c r="B1000" s="233" t="s">
        <v>3871</v>
      </c>
      <c r="C1000" s="227" t="s">
        <v>3872</v>
      </c>
      <c r="F1000" s="227" t="s">
        <v>3002</v>
      </c>
    </row>
    <row r="1001" spans="1:6" x14ac:dyDescent="0.25">
      <c r="A1001" s="227" t="str">
        <f>TL[[#This Row],[Société]]&amp;" - "&amp;TL[[#This Row],[Compte]]</f>
        <v>VICTOIRE - 151700</v>
      </c>
      <c r="B1001" s="233" t="s">
        <v>3873</v>
      </c>
      <c r="C1001" s="227" t="s">
        <v>3874</v>
      </c>
      <c r="F1001" s="227" t="s">
        <v>3002</v>
      </c>
    </row>
    <row r="1002" spans="1:6" x14ac:dyDescent="0.25">
      <c r="A1002" s="227" t="str">
        <f>TL[[#This Row],[Société]]&amp;" - "&amp;TL[[#This Row],[Compte]]</f>
        <v>VICTOIRE - 151800</v>
      </c>
      <c r="B1002" s="233" t="s">
        <v>1806</v>
      </c>
      <c r="C1002" s="227" t="s">
        <v>3875</v>
      </c>
      <c r="F1002" s="227" t="s">
        <v>3002</v>
      </c>
    </row>
    <row r="1003" spans="1:6" x14ac:dyDescent="0.25">
      <c r="A1003" s="227" t="str">
        <f>TL[[#This Row],[Société]]&amp;" - "&amp;TL[[#This Row],[Compte]]</f>
        <v>VICTOIRE - 153000</v>
      </c>
      <c r="B1003" s="233" t="s">
        <v>1644</v>
      </c>
      <c r="C1003" s="227" t="s">
        <v>546</v>
      </c>
      <c r="F1003" s="227" t="s">
        <v>3002</v>
      </c>
    </row>
    <row r="1004" spans="1:6" x14ac:dyDescent="0.25">
      <c r="A1004" s="227" t="str">
        <f>TL[[#This Row],[Société]]&amp;" - "&amp;TL[[#This Row],[Compte]]</f>
        <v>VICTOIRE - 154000</v>
      </c>
      <c r="B1004" s="233" t="s">
        <v>3876</v>
      </c>
      <c r="C1004" s="227" t="s">
        <v>3877</v>
      </c>
      <c r="F1004" s="227" t="s">
        <v>3002</v>
      </c>
    </row>
    <row r="1005" spans="1:6" x14ac:dyDescent="0.25">
      <c r="A1005" s="227" t="str">
        <f>TL[[#This Row],[Société]]&amp;" - "&amp;TL[[#This Row],[Compte]]</f>
        <v>VICTOIRE - 155000</v>
      </c>
      <c r="B1005" s="233" t="s">
        <v>3878</v>
      </c>
      <c r="C1005" s="227" t="s">
        <v>3879</v>
      </c>
      <c r="F1005" s="227" t="s">
        <v>3002</v>
      </c>
    </row>
    <row r="1006" spans="1:6" x14ac:dyDescent="0.25">
      <c r="A1006" s="227" t="str">
        <f>TL[[#This Row],[Société]]&amp;" - "&amp;TL[[#This Row],[Compte]]</f>
        <v>VICTOIRE - 156000</v>
      </c>
      <c r="B1006" s="233" t="s">
        <v>3880</v>
      </c>
      <c r="C1006" s="227" t="s">
        <v>3881</v>
      </c>
      <c r="F1006" s="227" t="s">
        <v>3002</v>
      </c>
    </row>
    <row r="1007" spans="1:6" x14ac:dyDescent="0.25">
      <c r="A1007" s="227" t="str">
        <f>TL[[#This Row],[Société]]&amp;" - "&amp;TL[[#This Row],[Compte]]</f>
        <v>VICTOIRE - 157200</v>
      </c>
      <c r="B1007" s="233" t="s">
        <v>3882</v>
      </c>
      <c r="C1007" s="227" t="s">
        <v>3883</v>
      </c>
      <c r="F1007" s="227" t="s">
        <v>3002</v>
      </c>
    </row>
    <row r="1008" spans="1:6" x14ac:dyDescent="0.25">
      <c r="A1008" s="227" t="str">
        <f>TL[[#This Row],[Société]]&amp;" - "&amp;TL[[#This Row],[Compte]]</f>
        <v>VICTOIRE - 158000</v>
      </c>
      <c r="B1008" s="233" t="s">
        <v>1645</v>
      </c>
      <c r="C1008" s="227" t="s">
        <v>547</v>
      </c>
      <c r="F1008" s="227" t="s">
        <v>3002</v>
      </c>
    </row>
    <row r="1009" spans="1:6" x14ac:dyDescent="0.25">
      <c r="A1009" s="227" t="str">
        <f>TL[[#This Row],[Société]]&amp;" - "&amp;TL[[#This Row],[Compte]]</f>
        <v>VICTOIRE - 158200</v>
      </c>
      <c r="B1009" s="233" t="s">
        <v>3884</v>
      </c>
      <c r="C1009" s="227" t="s">
        <v>3885</v>
      </c>
      <c r="F1009" s="227" t="s">
        <v>3002</v>
      </c>
    </row>
    <row r="1010" spans="1:6" x14ac:dyDescent="0.25">
      <c r="A1010" s="227" t="str">
        <f>TL[[#This Row],[Société]]&amp;" - "&amp;TL[[#This Row],[Compte]]</f>
        <v>VICTOIRE - 158800</v>
      </c>
      <c r="B1010" s="233" t="s">
        <v>3886</v>
      </c>
      <c r="C1010" s="227" t="s">
        <v>3887</v>
      </c>
      <c r="F1010" s="227" t="s">
        <v>3002</v>
      </c>
    </row>
    <row r="1011" spans="1:6" x14ac:dyDescent="0.25">
      <c r="A1011" s="227" t="str">
        <f>TL[[#This Row],[Société]]&amp;" - "&amp;TL[[#This Row],[Compte]]</f>
        <v>VICTOIRE - 161000</v>
      </c>
      <c r="B1011" s="233" t="s">
        <v>3888</v>
      </c>
      <c r="C1011" s="227" t="s">
        <v>3889</v>
      </c>
      <c r="F1011" s="227" t="s">
        <v>3002</v>
      </c>
    </row>
    <row r="1012" spans="1:6" x14ac:dyDescent="0.25">
      <c r="A1012" s="227" t="str">
        <f>TL[[#This Row],[Société]]&amp;" - "&amp;TL[[#This Row],[Compte]]</f>
        <v>VICTOIRE - 163000</v>
      </c>
      <c r="B1012" s="233" t="s">
        <v>3890</v>
      </c>
      <c r="C1012" s="227" t="s">
        <v>3891</v>
      </c>
      <c r="F1012" s="227" t="s">
        <v>3002</v>
      </c>
    </row>
    <row r="1013" spans="1:6" x14ac:dyDescent="0.25">
      <c r="A1013" s="227" t="str">
        <f>TL[[#This Row],[Société]]&amp;" - "&amp;TL[[#This Row],[Compte]]</f>
        <v>VICTOIRE - 164000</v>
      </c>
      <c r="B1013" s="233" t="s">
        <v>3058</v>
      </c>
      <c r="C1013" s="227" t="s">
        <v>3892</v>
      </c>
      <c r="F1013" s="227" t="s">
        <v>3002</v>
      </c>
    </row>
    <row r="1014" spans="1:6" x14ac:dyDescent="0.25">
      <c r="A1014" s="227" t="str">
        <f>TL[[#This Row],[Société]]&amp;" - "&amp;TL[[#This Row],[Compte]]</f>
        <v>VICTOIRE - 164100</v>
      </c>
      <c r="B1014" s="233" t="s">
        <v>1807</v>
      </c>
      <c r="C1014" s="227" t="s">
        <v>3893</v>
      </c>
      <c r="F1014" s="227" t="s">
        <v>3002</v>
      </c>
    </row>
    <row r="1015" spans="1:6" x14ac:dyDescent="0.25">
      <c r="A1015" s="227" t="str">
        <f>TL[[#This Row],[Société]]&amp;" - "&amp;TL[[#This Row],[Compte]]</f>
        <v>VICTOIRE - 164110</v>
      </c>
      <c r="B1015" s="233" t="s">
        <v>3894</v>
      </c>
      <c r="C1015" s="227" t="s">
        <v>3895</v>
      </c>
      <c r="F1015" s="227" t="s">
        <v>3002</v>
      </c>
    </row>
    <row r="1016" spans="1:6" x14ac:dyDescent="0.25">
      <c r="A1016" s="227" t="str">
        <f>TL[[#This Row],[Société]]&amp;" - "&amp;TL[[#This Row],[Compte]]</f>
        <v>VICTOIRE - 164120</v>
      </c>
      <c r="B1016" s="233" t="s">
        <v>3896</v>
      </c>
      <c r="C1016" s="227" t="s">
        <v>3897</v>
      </c>
      <c r="F1016" s="227" t="s">
        <v>3002</v>
      </c>
    </row>
    <row r="1017" spans="1:6" x14ac:dyDescent="0.25">
      <c r="A1017" s="227" t="str">
        <f>TL[[#This Row],[Société]]&amp;" - "&amp;TL[[#This Row],[Compte]]</f>
        <v>VICTOIRE - 164130</v>
      </c>
      <c r="B1017" s="233" t="s">
        <v>3898</v>
      </c>
      <c r="C1017" s="227" t="s">
        <v>3899</v>
      </c>
      <c r="F1017" s="227" t="s">
        <v>3002</v>
      </c>
    </row>
    <row r="1018" spans="1:6" x14ac:dyDescent="0.25">
      <c r="A1018" s="227" t="str">
        <f>TL[[#This Row],[Société]]&amp;" - "&amp;TL[[#This Row],[Compte]]</f>
        <v>VICTOIRE - 164140</v>
      </c>
      <c r="B1018" s="233" t="s">
        <v>3900</v>
      </c>
      <c r="C1018" s="227" t="s">
        <v>3901</v>
      </c>
      <c r="F1018" s="227" t="s">
        <v>3002</v>
      </c>
    </row>
    <row r="1019" spans="1:6" x14ac:dyDescent="0.25">
      <c r="A1019" s="227" t="str">
        <f>TL[[#This Row],[Société]]&amp;" - "&amp;TL[[#This Row],[Compte]]</f>
        <v>VICTOIRE - 164150</v>
      </c>
      <c r="B1019" s="233" t="s">
        <v>3902</v>
      </c>
      <c r="C1019" s="227" t="s">
        <v>3903</v>
      </c>
      <c r="F1019" s="227" t="s">
        <v>3002</v>
      </c>
    </row>
    <row r="1020" spans="1:6" x14ac:dyDescent="0.25">
      <c r="A1020" s="227" t="str">
        <f>TL[[#This Row],[Société]]&amp;" - "&amp;TL[[#This Row],[Compte]]</f>
        <v>VICTOIRE - 164151</v>
      </c>
      <c r="B1020" s="233" t="s">
        <v>3904</v>
      </c>
      <c r="C1020" s="227" t="s">
        <v>3905</v>
      </c>
      <c r="F1020" s="227" t="s">
        <v>3002</v>
      </c>
    </row>
    <row r="1021" spans="1:6" x14ac:dyDescent="0.25">
      <c r="A1021" s="227" t="str">
        <f>TL[[#This Row],[Société]]&amp;" - "&amp;TL[[#This Row],[Compte]]</f>
        <v>VICTOIRE - 164152</v>
      </c>
      <c r="B1021" s="233" t="s">
        <v>3906</v>
      </c>
      <c r="C1021" s="227" t="s">
        <v>3907</v>
      </c>
      <c r="F1021" s="227" t="s">
        <v>3002</v>
      </c>
    </row>
    <row r="1022" spans="1:6" x14ac:dyDescent="0.25">
      <c r="A1022" s="227" t="str">
        <f>TL[[#This Row],[Société]]&amp;" - "&amp;TL[[#This Row],[Compte]]</f>
        <v>VICTOIRE - 164153</v>
      </c>
      <c r="B1022" s="233" t="s">
        <v>3908</v>
      </c>
      <c r="C1022" s="227" t="s">
        <v>3909</v>
      </c>
      <c r="F1022" s="227" t="s">
        <v>3002</v>
      </c>
    </row>
    <row r="1023" spans="1:6" x14ac:dyDescent="0.25">
      <c r="A1023" s="227" t="str">
        <f>TL[[#This Row],[Société]]&amp;" - "&amp;TL[[#This Row],[Compte]]</f>
        <v>VICTOIRE - 164154</v>
      </c>
      <c r="B1023" s="233" t="s">
        <v>3910</v>
      </c>
      <c r="C1023" s="227" t="s">
        <v>3911</v>
      </c>
      <c r="F1023" s="227" t="s">
        <v>3002</v>
      </c>
    </row>
    <row r="1024" spans="1:6" x14ac:dyDescent="0.25">
      <c r="A1024" s="227" t="str">
        <f>TL[[#This Row],[Société]]&amp;" - "&amp;TL[[#This Row],[Compte]]</f>
        <v>VICTOIRE - 164700</v>
      </c>
      <c r="B1024" s="233" t="s">
        <v>2162</v>
      </c>
      <c r="C1024" s="227" t="s">
        <v>3912</v>
      </c>
      <c r="F1024" s="227" t="s">
        <v>3002</v>
      </c>
    </row>
    <row r="1025" spans="1:6" x14ac:dyDescent="0.25">
      <c r="A1025" s="227" t="str">
        <f>TL[[#This Row],[Société]]&amp;" - "&amp;TL[[#This Row],[Compte]]</f>
        <v>VICTOIRE - 164710</v>
      </c>
      <c r="B1025" s="233" t="s">
        <v>3913</v>
      </c>
      <c r="C1025" s="227" t="s">
        <v>3914</v>
      </c>
      <c r="F1025" s="227" t="s">
        <v>3002</v>
      </c>
    </row>
    <row r="1026" spans="1:6" x14ac:dyDescent="0.25">
      <c r="A1026" s="227" t="str">
        <f>TL[[#This Row],[Société]]&amp;" - "&amp;TL[[#This Row],[Compte]]</f>
        <v>VICTOIRE - 164720</v>
      </c>
      <c r="B1026" s="233" t="s">
        <v>3915</v>
      </c>
      <c r="C1026" s="227" t="s">
        <v>3916</v>
      </c>
      <c r="F1026" s="227" t="s">
        <v>3002</v>
      </c>
    </row>
    <row r="1027" spans="1:6" x14ac:dyDescent="0.25">
      <c r="A1027" s="227" t="str">
        <f>TL[[#This Row],[Société]]&amp;" - "&amp;TL[[#This Row],[Compte]]</f>
        <v>VICTOIRE - 164730</v>
      </c>
      <c r="B1027" s="233" t="s">
        <v>3917</v>
      </c>
      <c r="C1027" s="227" t="s">
        <v>3918</v>
      </c>
      <c r="F1027" s="227" t="s">
        <v>3002</v>
      </c>
    </row>
    <row r="1028" spans="1:6" x14ac:dyDescent="0.25">
      <c r="A1028" s="227" t="str">
        <f>TL[[#This Row],[Société]]&amp;" - "&amp;TL[[#This Row],[Compte]]</f>
        <v>VICTOIRE - 164740</v>
      </c>
      <c r="B1028" s="233" t="s">
        <v>3919</v>
      </c>
      <c r="C1028" s="227" t="s">
        <v>3920</v>
      </c>
      <c r="F1028" s="227" t="s">
        <v>3002</v>
      </c>
    </row>
    <row r="1029" spans="1:6" x14ac:dyDescent="0.25">
      <c r="A1029" s="227" t="str">
        <f>TL[[#This Row],[Société]]&amp;" - "&amp;TL[[#This Row],[Compte]]</f>
        <v>VICTOIRE - 164750</v>
      </c>
      <c r="B1029" s="233" t="s">
        <v>3921</v>
      </c>
      <c r="C1029" s="227" t="s">
        <v>3922</v>
      </c>
      <c r="F1029" s="227" t="s">
        <v>3002</v>
      </c>
    </row>
    <row r="1030" spans="1:6" x14ac:dyDescent="0.25">
      <c r="A1030" s="227" t="str">
        <f>TL[[#This Row],[Société]]&amp;" - "&amp;TL[[#This Row],[Compte]]</f>
        <v>VICTOIRE - 164800</v>
      </c>
      <c r="B1030" s="233" t="s">
        <v>3923</v>
      </c>
      <c r="C1030" s="227" t="s">
        <v>3924</v>
      </c>
      <c r="F1030" s="227" t="s">
        <v>3002</v>
      </c>
    </row>
    <row r="1031" spans="1:6" x14ac:dyDescent="0.25">
      <c r="A1031" s="227" t="str">
        <f>TL[[#This Row],[Société]]&amp;" - "&amp;TL[[#This Row],[Compte]]</f>
        <v>VICTOIRE - 164810</v>
      </c>
      <c r="B1031" s="233" t="s">
        <v>3925</v>
      </c>
      <c r="C1031" s="227" t="s">
        <v>3926</v>
      </c>
      <c r="F1031" s="227" t="s">
        <v>3002</v>
      </c>
    </row>
    <row r="1032" spans="1:6" x14ac:dyDescent="0.25">
      <c r="A1032" s="227" t="str">
        <f>TL[[#This Row],[Société]]&amp;" - "&amp;TL[[#This Row],[Compte]]</f>
        <v>VICTOIRE - 164820</v>
      </c>
      <c r="B1032" s="233" t="s">
        <v>3927</v>
      </c>
      <c r="C1032" s="227" t="s">
        <v>3928</v>
      </c>
      <c r="F1032" s="227" t="s">
        <v>3002</v>
      </c>
    </row>
    <row r="1033" spans="1:6" x14ac:dyDescent="0.25">
      <c r="A1033" s="227" t="str">
        <f>TL[[#This Row],[Société]]&amp;" - "&amp;TL[[#This Row],[Compte]]</f>
        <v>VICTOIRE - 164830</v>
      </c>
      <c r="B1033" s="233" t="s">
        <v>3929</v>
      </c>
      <c r="C1033" s="227" t="s">
        <v>3930</v>
      </c>
      <c r="F1033" s="227" t="s">
        <v>3002</v>
      </c>
    </row>
    <row r="1034" spans="1:6" x14ac:dyDescent="0.25">
      <c r="A1034" s="227" t="str">
        <f>TL[[#This Row],[Société]]&amp;" - "&amp;TL[[#This Row],[Compte]]</f>
        <v>VICTOIRE - 164840</v>
      </c>
      <c r="B1034" s="233" t="s">
        <v>3931</v>
      </c>
      <c r="C1034" s="227" t="s">
        <v>3932</v>
      </c>
      <c r="F1034" s="227" t="s">
        <v>3002</v>
      </c>
    </row>
    <row r="1035" spans="1:6" x14ac:dyDescent="0.25">
      <c r="A1035" s="227" t="str">
        <f>TL[[#This Row],[Société]]&amp;" - "&amp;TL[[#This Row],[Compte]]</f>
        <v>VICTOIRE - 164850</v>
      </c>
      <c r="B1035" s="233" t="s">
        <v>3933</v>
      </c>
      <c r="C1035" s="227" t="s">
        <v>3934</v>
      </c>
      <c r="F1035" s="227" t="s">
        <v>3002</v>
      </c>
    </row>
    <row r="1036" spans="1:6" x14ac:dyDescent="0.25">
      <c r="A1036" s="227" t="str">
        <f>TL[[#This Row],[Société]]&amp;" - "&amp;TL[[#This Row],[Compte]]</f>
        <v>VICTOIRE - 165000</v>
      </c>
      <c r="B1036" s="233" t="s">
        <v>3935</v>
      </c>
      <c r="C1036" s="227" t="s">
        <v>3936</v>
      </c>
      <c r="F1036" s="227" t="s">
        <v>3002</v>
      </c>
    </row>
    <row r="1037" spans="1:6" x14ac:dyDescent="0.25">
      <c r="A1037" s="227" t="str">
        <f>TL[[#This Row],[Société]]&amp;" - "&amp;TL[[#This Row],[Compte]]</f>
        <v>VICTOIRE - 165100</v>
      </c>
      <c r="B1037" s="233" t="s">
        <v>3937</v>
      </c>
      <c r="C1037" s="227" t="s">
        <v>3938</v>
      </c>
      <c r="F1037" s="227" t="s">
        <v>3002</v>
      </c>
    </row>
    <row r="1038" spans="1:6" x14ac:dyDescent="0.25">
      <c r="A1038" s="227" t="str">
        <f>TL[[#This Row],[Société]]&amp;" - "&amp;TL[[#This Row],[Compte]]</f>
        <v>VICTOIRE - 165500</v>
      </c>
      <c r="B1038" s="233" t="s">
        <v>3939</v>
      </c>
      <c r="C1038" s="227" t="s">
        <v>3940</v>
      </c>
      <c r="F1038" s="227" t="s">
        <v>3002</v>
      </c>
    </row>
    <row r="1039" spans="1:6" x14ac:dyDescent="0.25">
      <c r="A1039" s="227" t="str">
        <f>TL[[#This Row],[Société]]&amp;" - "&amp;TL[[#This Row],[Compte]]</f>
        <v>VICTOIRE - 166000</v>
      </c>
      <c r="B1039" s="233" t="s">
        <v>3941</v>
      </c>
      <c r="C1039" s="227" t="s">
        <v>3942</v>
      </c>
      <c r="F1039" s="227" t="s">
        <v>3002</v>
      </c>
    </row>
    <row r="1040" spans="1:6" x14ac:dyDescent="0.25">
      <c r="A1040" s="227" t="str">
        <f>TL[[#This Row],[Société]]&amp;" - "&amp;TL[[#This Row],[Compte]]</f>
        <v>VICTOIRE - 166100</v>
      </c>
      <c r="B1040" s="233" t="s">
        <v>3943</v>
      </c>
      <c r="C1040" s="227" t="s">
        <v>3944</v>
      </c>
      <c r="F1040" s="227" t="s">
        <v>3002</v>
      </c>
    </row>
    <row r="1041" spans="1:6" x14ac:dyDescent="0.25">
      <c r="A1041" s="227" t="str">
        <f>TL[[#This Row],[Société]]&amp;" - "&amp;TL[[#This Row],[Compte]]</f>
        <v>VICTOIRE - 166200</v>
      </c>
      <c r="B1041" s="233" t="s">
        <v>3945</v>
      </c>
      <c r="C1041" s="227" t="s">
        <v>3946</v>
      </c>
      <c r="F1041" s="227" t="s">
        <v>3002</v>
      </c>
    </row>
    <row r="1042" spans="1:6" x14ac:dyDescent="0.25">
      <c r="A1042" s="227" t="str">
        <f>TL[[#This Row],[Société]]&amp;" - "&amp;TL[[#This Row],[Compte]]</f>
        <v>VICTOIRE - 166700</v>
      </c>
      <c r="B1042" s="233" t="s">
        <v>3947</v>
      </c>
      <c r="C1042" s="227" t="s">
        <v>3948</v>
      </c>
      <c r="F1042" s="227" t="s">
        <v>3002</v>
      </c>
    </row>
    <row r="1043" spans="1:6" x14ac:dyDescent="0.25">
      <c r="A1043" s="227" t="str">
        <f>TL[[#This Row],[Société]]&amp;" - "&amp;TL[[#This Row],[Compte]]</f>
        <v>VICTOIRE - 166800</v>
      </c>
      <c r="B1043" s="233" t="s">
        <v>3949</v>
      </c>
      <c r="C1043" s="227" t="s">
        <v>3950</v>
      </c>
      <c r="F1043" s="227" t="s">
        <v>3002</v>
      </c>
    </row>
    <row r="1044" spans="1:6" x14ac:dyDescent="0.25">
      <c r="A1044" s="227" t="str">
        <f>TL[[#This Row],[Société]]&amp;" - "&amp;TL[[#This Row],[Compte]]</f>
        <v>VICTOIRE - 167100</v>
      </c>
      <c r="B1044" s="233" t="s">
        <v>3951</v>
      </c>
      <c r="C1044" s="227" t="s">
        <v>3952</v>
      </c>
      <c r="F1044" s="227" t="s">
        <v>3002</v>
      </c>
    </row>
    <row r="1045" spans="1:6" x14ac:dyDescent="0.25">
      <c r="A1045" s="227" t="str">
        <f>TL[[#This Row],[Société]]&amp;" - "&amp;TL[[#This Row],[Compte]]</f>
        <v>VICTOIRE - 167400</v>
      </c>
      <c r="B1045" s="233" t="s">
        <v>3953</v>
      </c>
      <c r="C1045" s="227" t="s">
        <v>3954</v>
      </c>
      <c r="F1045" s="227" t="s">
        <v>3002</v>
      </c>
    </row>
    <row r="1046" spans="1:6" x14ac:dyDescent="0.25">
      <c r="A1046" s="227" t="str">
        <f>TL[[#This Row],[Société]]&amp;" - "&amp;TL[[#This Row],[Compte]]</f>
        <v>VICTOIRE - 167500</v>
      </c>
      <c r="B1046" s="233" t="s">
        <v>3955</v>
      </c>
      <c r="C1046" s="227" t="s">
        <v>3956</v>
      </c>
      <c r="F1046" s="227" t="s">
        <v>3002</v>
      </c>
    </row>
    <row r="1047" spans="1:6" x14ac:dyDescent="0.25">
      <c r="A1047" s="227" t="str">
        <f>TL[[#This Row],[Société]]&amp;" - "&amp;TL[[#This Row],[Compte]]</f>
        <v>VICTOIRE - 167600</v>
      </c>
      <c r="B1047" s="233" t="s">
        <v>3957</v>
      </c>
      <c r="C1047" s="227" t="s">
        <v>3958</v>
      </c>
      <c r="F1047" s="227" t="s">
        <v>3002</v>
      </c>
    </row>
    <row r="1048" spans="1:6" x14ac:dyDescent="0.25">
      <c r="A1048" s="227" t="str">
        <f>TL[[#This Row],[Société]]&amp;" - "&amp;TL[[#This Row],[Compte]]</f>
        <v>VICTOIRE - 168100</v>
      </c>
      <c r="B1048" s="233" t="s">
        <v>3959</v>
      </c>
      <c r="C1048" s="227" t="s">
        <v>3960</v>
      </c>
      <c r="F1048" s="227" t="s">
        <v>3002</v>
      </c>
    </row>
    <row r="1049" spans="1:6" x14ac:dyDescent="0.25">
      <c r="A1049" s="227" t="str">
        <f>TL[[#This Row],[Société]]&amp;" - "&amp;TL[[#This Row],[Compte]]</f>
        <v>VICTOIRE - 168500</v>
      </c>
      <c r="B1049" s="233" t="s">
        <v>3961</v>
      </c>
      <c r="C1049" s="227" t="s">
        <v>3962</v>
      </c>
      <c r="F1049" s="227" t="s">
        <v>3002</v>
      </c>
    </row>
    <row r="1050" spans="1:6" x14ac:dyDescent="0.25">
      <c r="A1050" s="227" t="str">
        <f>TL[[#This Row],[Société]]&amp;" - "&amp;TL[[#This Row],[Compte]]</f>
        <v>VICTOIRE - 168510</v>
      </c>
      <c r="B1050" s="233" t="s">
        <v>3963</v>
      </c>
      <c r="C1050" s="227" t="s">
        <v>3964</v>
      </c>
      <c r="F1050" s="227" t="s">
        <v>3002</v>
      </c>
    </row>
    <row r="1051" spans="1:6" x14ac:dyDescent="0.25">
      <c r="A1051" s="227" t="str">
        <f>TL[[#This Row],[Société]]&amp;" - "&amp;TL[[#This Row],[Compte]]</f>
        <v>VICTOIRE - 168570</v>
      </c>
      <c r="B1051" s="233" t="s">
        <v>3965</v>
      </c>
      <c r="C1051" s="227" t="s">
        <v>3966</v>
      </c>
      <c r="F1051" s="227" t="s">
        <v>3002</v>
      </c>
    </row>
    <row r="1052" spans="1:6" x14ac:dyDescent="0.25">
      <c r="A1052" s="227" t="str">
        <f>TL[[#This Row],[Société]]&amp;" - "&amp;TL[[#This Row],[Compte]]</f>
        <v>VICTOIRE - 168580</v>
      </c>
      <c r="B1052" s="233" t="s">
        <v>3967</v>
      </c>
      <c r="C1052" s="227" t="s">
        <v>3968</v>
      </c>
      <c r="F1052" s="227" t="s">
        <v>3002</v>
      </c>
    </row>
    <row r="1053" spans="1:6" x14ac:dyDescent="0.25">
      <c r="A1053" s="227" t="str">
        <f>TL[[#This Row],[Société]]&amp;" - "&amp;TL[[#This Row],[Compte]]</f>
        <v>VICTOIRE - 168700</v>
      </c>
      <c r="B1053" s="233" t="s">
        <v>3969</v>
      </c>
      <c r="C1053" s="227" t="s">
        <v>3970</v>
      </c>
      <c r="F1053" s="227" t="s">
        <v>3002</v>
      </c>
    </row>
    <row r="1054" spans="1:6" x14ac:dyDescent="0.25">
      <c r="A1054" s="227" t="str">
        <f>TL[[#This Row],[Société]]&amp;" - "&amp;TL[[#This Row],[Compte]]</f>
        <v>VICTOIRE - 168711</v>
      </c>
      <c r="B1054" s="233" t="s">
        <v>3971</v>
      </c>
      <c r="C1054" s="227" t="s">
        <v>3972</v>
      </c>
      <c r="F1054" s="227" t="s">
        <v>3002</v>
      </c>
    </row>
    <row r="1055" spans="1:6" x14ac:dyDescent="0.25">
      <c r="A1055" s="227" t="str">
        <f>TL[[#This Row],[Société]]&amp;" - "&amp;TL[[#This Row],[Compte]]</f>
        <v>VICTOIRE - 168712</v>
      </c>
      <c r="B1055" s="233" t="s">
        <v>3973</v>
      </c>
      <c r="C1055" s="227" t="s">
        <v>3974</v>
      </c>
      <c r="F1055" s="227" t="s">
        <v>3002</v>
      </c>
    </row>
    <row r="1056" spans="1:6" x14ac:dyDescent="0.25">
      <c r="A1056" s="227" t="str">
        <f>TL[[#This Row],[Société]]&amp;" - "&amp;TL[[#This Row],[Compte]]</f>
        <v>VICTOIRE - 168713</v>
      </c>
      <c r="B1056" s="233" t="s">
        <v>3975</v>
      </c>
      <c r="C1056" s="227" t="s">
        <v>3976</v>
      </c>
      <c r="F1056" s="227" t="s">
        <v>3002</v>
      </c>
    </row>
    <row r="1057" spans="1:6" x14ac:dyDescent="0.25">
      <c r="A1057" s="227" t="str">
        <f>TL[[#This Row],[Société]]&amp;" - "&amp;TL[[#This Row],[Compte]]</f>
        <v>VICTOIRE - 168771</v>
      </c>
      <c r="B1057" s="233" t="s">
        <v>3977</v>
      </c>
      <c r="C1057" s="227" t="s">
        <v>3978</v>
      </c>
      <c r="F1057" s="227" t="s">
        <v>3002</v>
      </c>
    </row>
    <row r="1058" spans="1:6" x14ac:dyDescent="0.25">
      <c r="A1058" s="227" t="str">
        <f>TL[[#This Row],[Société]]&amp;" - "&amp;TL[[#This Row],[Compte]]</f>
        <v>VICTOIRE - 168772</v>
      </c>
      <c r="B1058" s="233" t="s">
        <v>3979</v>
      </c>
      <c r="C1058" s="227" t="s">
        <v>3980</v>
      </c>
      <c r="F1058" s="227" t="s">
        <v>3002</v>
      </c>
    </row>
    <row r="1059" spans="1:6" x14ac:dyDescent="0.25">
      <c r="A1059" s="227" t="str">
        <f>TL[[#This Row],[Société]]&amp;" - "&amp;TL[[#This Row],[Compte]]</f>
        <v>VICTOIRE - 168773</v>
      </c>
      <c r="B1059" s="233" t="s">
        <v>3981</v>
      </c>
      <c r="C1059" s="227" t="s">
        <v>3982</v>
      </c>
      <c r="F1059" s="227" t="s">
        <v>3002</v>
      </c>
    </row>
    <row r="1060" spans="1:6" x14ac:dyDescent="0.25">
      <c r="A1060" s="227" t="str">
        <f>TL[[#This Row],[Société]]&amp;" - "&amp;TL[[#This Row],[Compte]]</f>
        <v>VICTOIRE - 168781</v>
      </c>
      <c r="B1060" s="233" t="s">
        <v>3983</v>
      </c>
      <c r="C1060" s="227" t="s">
        <v>3984</v>
      </c>
      <c r="F1060" s="227" t="s">
        <v>3002</v>
      </c>
    </row>
    <row r="1061" spans="1:6" x14ac:dyDescent="0.25">
      <c r="A1061" s="227" t="str">
        <f>TL[[#This Row],[Société]]&amp;" - "&amp;TL[[#This Row],[Compte]]</f>
        <v>VICTOIRE - 168782</v>
      </c>
      <c r="B1061" s="233" t="s">
        <v>3985</v>
      </c>
      <c r="C1061" s="227" t="s">
        <v>3986</v>
      </c>
      <c r="F1061" s="227" t="s">
        <v>3002</v>
      </c>
    </row>
    <row r="1062" spans="1:6" x14ac:dyDescent="0.25">
      <c r="A1062" s="227" t="str">
        <f>TL[[#This Row],[Société]]&amp;" - "&amp;TL[[#This Row],[Compte]]</f>
        <v>VICTOIRE - 168783</v>
      </c>
      <c r="B1062" s="233" t="s">
        <v>3987</v>
      </c>
      <c r="C1062" s="227" t="s">
        <v>3988</v>
      </c>
      <c r="F1062" s="227" t="s">
        <v>3002</v>
      </c>
    </row>
    <row r="1063" spans="1:6" x14ac:dyDescent="0.25">
      <c r="A1063" s="227" t="str">
        <f>TL[[#This Row],[Société]]&amp;" - "&amp;TL[[#This Row],[Compte]]</f>
        <v>VICTOIRE - 168800</v>
      </c>
      <c r="B1063" s="233" t="s">
        <v>1650</v>
      </c>
      <c r="C1063" s="227" t="s">
        <v>956</v>
      </c>
      <c r="F1063" s="227" t="s">
        <v>3002</v>
      </c>
    </row>
    <row r="1064" spans="1:6" x14ac:dyDescent="0.25">
      <c r="A1064" s="227" t="str">
        <f>TL[[#This Row],[Société]]&amp;" - "&amp;TL[[#This Row],[Compte]]</f>
        <v>VICTOIRE - 168810</v>
      </c>
      <c r="B1064" s="233" t="s">
        <v>3989</v>
      </c>
      <c r="C1064" s="227" t="s">
        <v>3990</v>
      </c>
      <c r="F1064" s="227" t="s">
        <v>3002</v>
      </c>
    </row>
    <row r="1065" spans="1:6" x14ac:dyDescent="0.25">
      <c r="A1065" s="227" t="str">
        <f>TL[[#This Row],[Société]]&amp;" - "&amp;TL[[#This Row],[Compte]]</f>
        <v>VICTOIRE - 168820</v>
      </c>
      <c r="B1065" s="233" t="s">
        <v>3991</v>
      </c>
      <c r="C1065" s="227" t="s">
        <v>3992</v>
      </c>
      <c r="F1065" s="227" t="s">
        <v>3002</v>
      </c>
    </row>
    <row r="1066" spans="1:6" x14ac:dyDescent="0.25">
      <c r="A1066" s="227" t="str">
        <f>TL[[#This Row],[Société]]&amp;" - "&amp;TL[[#This Row],[Compte]]</f>
        <v>VICTOIRE - 168830</v>
      </c>
      <c r="B1066" s="233" t="s">
        <v>3993</v>
      </c>
      <c r="C1066" s="227" t="s">
        <v>3994</v>
      </c>
      <c r="F1066" s="227" t="s">
        <v>3002</v>
      </c>
    </row>
    <row r="1067" spans="1:6" x14ac:dyDescent="0.25">
      <c r="A1067" s="227" t="str">
        <f>TL[[#This Row],[Société]]&amp;" - "&amp;TL[[#This Row],[Compte]]</f>
        <v>VICTOIRE - 168840</v>
      </c>
      <c r="B1067" s="233" t="s">
        <v>3065</v>
      </c>
      <c r="C1067" s="227" t="s">
        <v>3995</v>
      </c>
      <c r="F1067" s="227" t="s">
        <v>3002</v>
      </c>
    </row>
    <row r="1068" spans="1:6" x14ac:dyDescent="0.25">
      <c r="A1068" s="227" t="str">
        <f>TL[[#This Row],[Société]]&amp;" - "&amp;TL[[#This Row],[Compte]]</f>
        <v>VICTOIRE - 168850</v>
      </c>
      <c r="B1068" s="233" t="s">
        <v>3996</v>
      </c>
      <c r="C1068" s="227" t="s">
        <v>3997</v>
      </c>
      <c r="F1068" s="227" t="s">
        <v>3002</v>
      </c>
    </row>
    <row r="1069" spans="1:6" x14ac:dyDescent="0.25">
      <c r="A1069" s="227" t="str">
        <f>TL[[#This Row],[Société]]&amp;" - "&amp;TL[[#This Row],[Compte]]</f>
        <v>VICTOIRE - 168860</v>
      </c>
      <c r="B1069" s="233" t="s">
        <v>3998</v>
      </c>
      <c r="C1069" s="227" t="s">
        <v>3999</v>
      </c>
      <c r="F1069" s="227" t="s">
        <v>3002</v>
      </c>
    </row>
    <row r="1070" spans="1:6" x14ac:dyDescent="0.25">
      <c r="A1070" s="227" t="str">
        <f>TL[[#This Row],[Société]]&amp;" - "&amp;TL[[#This Row],[Compte]]</f>
        <v>VICTOIRE - 168870</v>
      </c>
      <c r="B1070" s="233" t="s">
        <v>4000</v>
      </c>
      <c r="C1070" s="227" t="s">
        <v>4001</v>
      </c>
      <c r="F1070" s="227" t="s">
        <v>3002</v>
      </c>
    </row>
    <row r="1071" spans="1:6" x14ac:dyDescent="0.25">
      <c r="A1071" s="227" t="str">
        <f>TL[[#This Row],[Société]]&amp;" - "&amp;TL[[#This Row],[Compte]]</f>
        <v>VICTOIRE - 168875</v>
      </c>
      <c r="B1071" s="233" t="s">
        <v>4002</v>
      </c>
      <c r="C1071" s="227" t="s">
        <v>4003</v>
      </c>
      <c r="F1071" s="227" t="s">
        <v>3002</v>
      </c>
    </row>
    <row r="1072" spans="1:6" x14ac:dyDescent="0.25">
      <c r="A1072" s="227" t="str">
        <f>TL[[#This Row],[Société]]&amp;" - "&amp;TL[[#This Row],[Compte]]</f>
        <v>VICTOIRE - 168880</v>
      </c>
      <c r="B1072" s="233" t="s">
        <v>4004</v>
      </c>
      <c r="C1072" s="227" t="s">
        <v>4005</v>
      </c>
      <c r="F1072" s="227" t="s">
        <v>3002</v>
      </c>
    </row>
    <row r="1073" spans="1:6" x14ac:dyDescent="0.25">
      <c r="A1073" s="227" t="str">
        <f>TL[[#This Row],[Société]]&amp;" - "&amp;TL[[#This Row],[Compte]]</f>
        <v>VICTOIRE - 169000</v>
      </c>
      <c r="B1073" s="233" t="s">
        <v>4006</v>
      </c>
      <c r="C1073" s="227" t="s">
        <v>4007</v>
      </c>
      <c r="F1073" s="227" t="s">
        <v>3002</v>
      </c>
    </row>
    <row r="1074" spans="1:6" x14ac:dyDescent="0.25">
      <c r="A1074" s="227" t="str">
        <f>TL[[#This Row],[Société]]&amp;" - "&amp;TL[[#This Row],[Compte]]</f>
        <v>VICTOIRE - 171000</v>
      </c>
      <c r="B1074" s="233" t="s">
        <v>4008</v>
      </c>
      <c r="C1074" s="227" t="s">
        <v>4009</v>
      </c>
      <c r="F1074" s="227" t="s">
        <v>3002</v>
      </c>
    </row>
    <row r="1075" spans="1:6" x14ac:dyDescent="0.25">
      <c r="A1075" s="227" t="str">
        <f>TL[[#This Row],[Société]]&amp;" - "&amp;TL[[#This Row],[Compte]]</f>
        <v>VICTOIRE - 171110</v>
      </c>
      <c r="B1075" s="233" t="s">
        <v>4010</v>
      </c>
      <c r="C1075" s="227" t="s">
        <v>4011</v>
      </c>
      <c r="F1075" s="227" t="s">
        <v>3002</v>
      </c>
    </row>
    <row r="1076" spans="1:6" x14ac:dyDescent="0.25">
      <c r="A1076" s="227" t="str">
        <f>TL[[#This Row],[Société]]&amp;" - "&amp;TL[[#This Row],[Compte]]</f>
        <v>VICTOIRE - 171120</v>
      </c>
      <c r="B1076" s="233" t="s">
        <v>4012</v>
      </c>
      <c r="C1076" s="227" t="s">
        <v>4013</v>
      </c>
      <c r="F1076" s="227" t="s">
        <v>3002</v>
      </c>
    </row>
    <row r="1077" spans="1:6" x14ac:dyDescent="0.25">
      <c r="A1077" s="227" t="str">
        <f>TL[[#This Row],[Société]]&amp;" - "&amp;TL[[#This Row],[Compte]]</f>
        <v>VICTOIRE - 171710</v>
      </c>
      <c r="B1077" s="233" t="s">
        <v>4014</v>
      </c>
      <c r="C1077" s="227" t="s">
        <v>4015</v>
      </c>
      <c r="F1077" s="227" t="s">
        <v>3002</v>
      </c>
    </row>
    <row r="1078" spans="1:6" x14ac:dyDescent="0.25">
      <c r="A1078" s="227" t="str">
        <f>TL[[#This Row],[Société]]&amp;" - "&amp;TL[[#This Row],[Compte]]</f>
        <v>VICTOIRE - 171720</v>
      </c>
      <c r="B1078" s="233" t="s">
        <v>4016</v>
      </c>
      <c r="C1078" s="227" t="s">
        <v>4017</v>
      </c>
      <c r="F1078" s="227" t="s">
        <v>3002</v>
      </c>
    </row>
    <row r="1079" spans="1:6" x14ac:dyDescent="0.25">
      <c r="A1079" s="227" t="str">
        <f>TL[[#This Row],[Société]]&amp;" - "&amp;TL[[#This Row],[Compte]]</f>
        <v>VICTOIRE - 171810</v>
      </c>
      <c r="B1079" s="233" t="s">
        <v>4018</v>
      </c>
      <c r="C1079" s="227" t="s">
        <v>4019</v>
      </c>
      <c r="F1079" s="227" t="s">
        <v>3002</v>
      </c>
    </row>
    <row r="1080" spans="1:6" x14ac:dyDescent="0.25">
      <c r="A1080" s="227" t="str">
        <f>TL[[#This Row],[Société]]&amp;" - "&amp;TL[[#This Row],[Compte]]</f>
        <v>VICTOIRE - 171820</v>
      </c>
      <c r="B1080" s="233" t="s">
        <v>4020</v>
      </c>
      <c r="C1080" s="227" t="s">
        <v>4021</v>
      </c>
      <c r="F1080" s="227" t="s">
        <v>3002</v>
      </c>
    </row>
    <row r="1081" spans="1:6" x14ac:dyDescent="0.25">
      <c r="A1081" s="227" t="str">
        <f>TL[[#This Row],[Société]]&amp;" - "&amp;TL[[#This Row],[Compte]]</f>
        <v>VICTOIRE - 174000</v>
      </c>
      <c r="B1081" s="233" t="s">
        <v>4022</v>
      </c>
      <c r="C1081" s="227" t="s">
        <v>4023</v>
      </c>
      <c r="F1081" s="227" t="s">
        <v>3002</v>
      </c>
    </row>
    <row r="1082" spans="1:6" x14ac:dyDescent="0.25">
      <c r="A1082" s="227" t="str">
        <f>TL[[#This Row],[Société]]&amp;" - "&amp;TL[[#This Row],[Compte]]</f>
        <v>VICTOIRE - 174110</v>
      </c>
      <c r="B1082" s="233" t="s">
        <v>4024</v>
      </c>
      <c r="C1082" s="227" t="s">
        <v>4011</v>
      </c>
      <c r="F1082" s="227" t="s">
        <v>3002</v>
      </c>
    </row>
    <row r="1083" spans="1:6" x14ac:dyDescent="0.25">
      <c r="A1083" s="227" t="str">
        <f>TL[[#This Row],[Société]]&amp;" - "&amp;TL[[#This Row],[Compte]]</f>
        <v>VICTOIRE - 174710</v>
      </c>
      <c r="B1083" s="233" t="s">
        <v>4025</v>
      </c>
      <c r="C1083" s="227" t="s">
        <v>4015</v>
      </c>
      <c r="F1083" s="227" t="s">
        <v>3002</v>
      </c>
    </row>
    <row r="1084" spans="1:6" x14ac:dyDescent="0.25">
      <c r="A1084" s="227" t="str">
        <f>TL[[#This Row],[Société]]&amp;" - "&amp;TL[[#This Row],[Compte]]</f>
        <v>VICTOIRE - 174810</v>
      </c>
      <c r="B1084" s="233" t="s">
        <v>4026</v>
      </c>
      <c r="C1084" s="227" t="s">
        <v>4019</v>
      </c>
      <c r="F1084" s="227" t="s">
        <v>3002</v>
      </c>
    </row>
    <row r="1085" spans="1:6" x14ac:dyDescent="0.25">
      <c r="A1085" s="227" t="str">
        <f>TL[[#This Row],[Société]]&amp;" - "&amp;TL[[#This Row],[Compte]]</f>
        <v>VICTOIRE - 178000</v>
      </c>
      <c r="B1085" s="233" t="s">
        <v>4027</v>
      </c>
      <c r="C1085" s="227" t="s">
        <v>4028</v>
      </c>
      <c r="F1085" s="227" t="s">
        <v>3002</v>
      </c>
    </row>
    <row r="1086" spans="1:6" x14ac:dyDescent="0.25">
      <c r="A1086" s="227" t="str">
        <f>TL[[#This Row],[Société]]&amp;" - "&amp;TL[[#This Row],[Compte]]</f>
        <v>VICTOIRE - 178100</v>
      </c>
      <c r="B1086" s="233" t="s">
        <v>4029</v>
      </c>
      <c r="C1086" s="227" t="s">
        <v>4030</v>
      </c>
      <c r="F1086" s="227" t="s">
        <v>3002</v>
      </c>
    </row>
    <row r="1087" spans="1:6" x14ac:dyDescent="0.25">
      <c r="A1087" s="227" t="str">
        <f>TL[[#This Row],[Société]]&amp;" - "&amp;TL[[#This Row],[Compte]]</f>
        <v>VICTOIRE - 178800</v>
      </c>
      <c r="B1087" s="233" t="s">
        <v>4031</v>
      </c>
      <c r="C1087" s="227" t="s">
        <v>956</v>
      </c>
      <c r="F1087" s="227" t="s">
        <v>3002</v>
      </c>
    </row>
    <row r="1088" spans="1:6" x14ac:dyDescent="0.25">
      <c r="A1088" s="227" t="str">
        <f>TL[[#This Row],[Société]]&amp;" - "&amp;TL[[#This Row],[Compte]]</f>
        <v>VICTOIRE - 181000</v>
      </c>
      <c r="B1088" s="233" t="s">
        <v>4032</v>
      </c>
      <c r="C1088" s="227" t="s">
        <v>4033</v>
      </c>
      <c r="F1088" s="227" t="s">
        <v>3002</v>
      </c>
    </row>
    <row r="1089" spans="1:6" x14ac:dyDescent="0.25">
      <c r="A1089" s="227" t="str">
        <f>TL[[#This Row],[Société]]&amp;" - "&amp;TL[[#This Row],[Compte]]</f>
        <v>VICTOIRE - 186000</v>
      </c>
      <c r="B1089" s="233" t="s">
        <v>4034</v>
      </c>
      <c r="C1089" s="227" t="s">
        <v>4035</v>
      </c>
      <c r="F1089" s="227" t="s">
        <v>3002</v>
      </c>
    </row>
    <row r="1090" spans="1:6" x14ac:dyDescent="0.25">
      <c r="A1090" s="227" t="str">
        <f>TL[[#This Row],[Société]]&amp;" - "&amp;TL[[#This Row],[Compte]]</f>
        <v>VICTOIRE - 187000</v>
      </c>
      <c r="B1090" s="233" t="s">
        <v>4036</v>
      </c>
      <c r="C1090" s="227" t="s">
        <v>4037</v>
      </c>
      <c r="F1090" s="227" t="s">
        <v>3002</v>
      </c>
    </row>
    <row r="1091" spans="1:6" x14ac:dyDescent="0.25">
      <c r="A1091" s="227" t="str">
        <f>TL[[#This Row],[Société]]&amp;" - "&amp;TL[[#This Row],[Compte]]</f>
        <v>VICTOIRE - 188000</v>
      </c>
      <c r="B1091" s="233" t="s">
        <v>4038</v>
      </c>
      <c r="C1091" s="227" t="s">
        <v>4039</v>
      </c>
      <c r="F1091" s="227" t="s">
        <v>3002</v>
      </c>
    </row>
    <row r="1092" spans="1:6" x14ac:dyDescent="0.25">
      <c r="A1092" s="227" t="str">
        <f>TL[[#This Row],[Société]]&amp;" - "&amp;TL[[#This Row],[Compte]]</f>
        <v>VICTOIRE - 201100</v>
      </c>
      <c r="B1092" s="233" t="s">
        <v>1809</v>
      </c>
      <c r="C1092" s="227" t="s">
        <v>957</v>
      </c>
      <c r="F1092" s="227" t="s">
        <v>3002</v>
      </c>
    </row>
    <row r="1093" spans="1:6" x14ac:dyDescent="0.25">
      <c r="A1093" s="227" t="str">
        <f>TL[[#This Row],[Société]]&amp;" - "&amp;TL[[#This Row],[Compte]]</f>
        <v>VICTOIRE - 201200</v>
      </c>
      <c r="B1093" s="233" t="s">
        <v>4040</v>
      </c>
      <c r="C1093" s="227" t="s">
        <v>4041</v>
      </c>
      <c r="F1093" s="227" t="s">
        <v>3002</v>
      </c>
    </row>
    <row r="1094" spans="1:6" x14ac:dyDescent="0.25">
      <c r="A1094" s="227" t="str">
        <f>TL[[#This Row],[Société]]&amp;" - "&amp;TL[[#This Row],[Compte]]</f>
        <v>VICTOIRE - 201300</v>
      </c>
      <c r="B1094" s="233" t="s">
        <v>4042</v>
      </c>
      <c r="C1094" s="227" t="s">
        <v>4043</v>
      </c>
      <c r="F1094" s="227" t="s">
        <v>3002</v>
      </c>
    </row>
    <row r="1095" spans="1:6" x14ac:dyDescent="0.25">
      <c r="A1095" s="227" t="str">
        <f>TL[[#This Row],[Société]]&amp;" - "&amp;TL[[#This Row],[Compte]]</f>
        <v>VICTOIRE - 203000</v>
      </c>
      <c r="B1095" s="233" t="s">
        <v>4044</v>
      </c>
      <c r="C1095" s="227" t="s">
        <v>4045</v>
      </c>
      <c r="F1095" s="227" t="s">
        <v>3002</v>
      </c>
    </row>
    <row r="1096" spans="1:6" x14ac:dyDescent="0.25">
      <c r="A1096" s="227" t="str">
        <f>TL[[#This Row],[Société]]&amp;" - "&amp;TL[[#This Row],[Compte]]</f>
        <v>VICTOIRE - 205000</v>
      </c>
      <c r="B1096" s="233" t="s">
        <v>1651</v>
      </c>
      <c r="C1096" s="227" t="s">
        <v>4046</v>
      </c>
      <c r="F1096" s="227" t="s">
        <v>3002</v>
      </c>
    </row>
    <row r="1097" spans="1:6" x14ac:dyDescent="0.25">
      <c r="A1097" s="227" t="str">
        <f>TL[[#This Row],[Société]]&amp;" - "&amp;TL[[#This Row],[Compte]]</f>
        <v>VICTOIRE - 205100</v>
      </c>
      <c r="B1097" s="233" t="s">
        <v>4047</v>
      </c>
      <c r="C1097" s="227" t="s">
        <v>650</v>
      </c>
      <c r="F1097" s="227" t="s">
        <v>3002</v>
      </c>
    </row>
    <row r="1098" spans="1:6" x14ac:dyDescent="0.25">
      <c r="A1098" s="227" t="str">
        <f>TL[[#This Row],[Société]]&amp;" - "&amp;TL[[#This Row],[Compte]]</f>
        <v>VICTOIRE - 206000</v>
      </c>
      <c r="B1098" s="233" t="s">
        <v>4048</v>
      </c>
      <c r="C1098" s="227" t="s">
        <v>4049</v>
      </c>
      <c r="F1098" s="227" t="s">
        <v>3002</v>
      </c>
    </row>
    <row r="1099" spans="1:6" x14ac:dyDescent="0.25">
      <c r="A1099" s="227" t="str">
        <f>TL[[#This Row],[Société]]&amp;" - "&amp;TL[[#This Row],[Compte]]</f>
        <v>VICTOIRE - 207000</v>
      </c>
      <c r="B1099" s="233" t="s">
        <v>4050</v>
      </c>
      <c r="C1099" s="227" t="s">
        <v>4051</v>
      </c>
      <c r="F1099" s="227" t="s">
        <v>3002</v>
      </c>
    </row>
    <row r="1100" spans="1:6" x14ac:dyDescent="0.25">
      <c r="A1100" s="227" t="str">
        <f>TL[[#This Row],[Société]]&amp;" - "&amp;TL[[#This Row],[Compte]]</f>
        <v>VICTOIRE - 208000</v>
      </c>
      <c r="B1100" s="233" t="s">
        <v>4052</v>
      </c>
      <c r="C1100" s="227" t="s">
        <v>4053</v>
      </c>
      <c r="F1100" s="227" t="s">
        <v>3002</v>
      </c>
    </row>
    <row r="1101" spans="1:6" x14ac:dyDescent="0.25">
      <c r="A1101" s="227" t="str">
        <f>TL[[#This Row],[Société]]&amp;" - "&amp;TL[[#This Row],[Compte]]</f>
        <v>VICTOIRE - 211000</v>
      </c>
      <c r="B1101" s="233" t="s">
        <v>4054</v>
      </c>
      <c r="C1101" s="227" t="s">
        <v>4055</v>
      </c>
      <c r="F1101" s="227" t="s">
        <v>3002</v>
      </c>
    </row>
    <row r="1102" spans="1:6" x14ac:dyDescent="0.25">
      <c r="A1102" s="227" t="str">
        <f>TL[[#This Row],[Société]]&amp;" - "&amp;TL[[#This Row],[Compte]]</f>
        <v>VICTOIRE - 212000</v>
      </c>
      <c r="B1102" s="233" t="s">
        <v>4056</v>
      </c>
      <c r="C1102" s="227" t="s">
        <v>4057</v>
      </c>
      <c r="F1102" s="227" t="s">
        <v>3002</v>
      </c>
    </row>
    <row r="1103" spans="1:6" x14ac:dyDescent="0.25">
      <c r="A1103" s="227" t="str">
        <f>TL[[#This Row],[Société]]&amp;" - "&amp;TL[[#This Row],[Compte]]</f>
        <v>VICTOIRE - 213100</v>
      </c>
      <c r="B1103" s="233" t="s">
        <v>4058</v>
      </c>
      <c r="C1103" s="227" t="s">
        <v>4059</v>
      </c>
      <c r="F1103" s="227" t="s">
        <v>3002</v>
      </c>
    </row>
    <row r="1104" spans="1:6" x14ac:dyDescent="0.25">
      <c r="A1104" s="227" t="str">
        <f>TL[[#This Row],[Société]]&amp;" - "&amp;TL[[#This Row],[Compte]]</f>
        <v>VICTOIRE - 213500</v>
      </c>
      <c r="B1104" s="233" t="s">
        <v>4060</v>
      </c>
      <c r="C1104" s="227" t="s">
        <v>4061</v>
      </c>
      <c r="F1104" s="227" t="s">
        <v>3002</v>
      </c>
    </row>
    <row r="1105" spans="1:6" x14ac:dyDescent="0.25">
      <c r="A1105" s="227" t="str">
        <f>TL[[#This Row],[Société]]&amp;" - "&amp;TL[[#This Row],[Compte]]</f>
        <v>VICTOIRE - 213800</v>
      </c>
      <c r="B1105" s="233" t="s">
        <v>4062</v>
      </c>
      <c r="C1105" s="227" t="s">
        <v>4063</v>
      </c>
      <c r="F1105" s="227" t="s">
        <v>3002</v>
      </c>
    </row>
    <row r="1106" spans="1:6" x14ac:dyDescent="0.25">
      <c r="A1106" s="227" t="str">
        <f>TL[[#This Row],[Société]]&amp;" - "&amp;TL[[#This Row],[Compte]]</f>
        <v>VICTOIRE - 214100</v>
      </c>
      <c r="B1106" s="233" t="s">
        <v>4064</v>
      </c>
      <c r="C1106" s="227" t="s">
        <v>4065</v>
      </c>
      <c r="F1106" s="227" t="s">
        <v>3002</v>
      </c>
    </row>
    <row r="1107" spans="1:6" x14ac:dyDescent="0.25">
      <c r="A1107" s="227" t="str">
        <f>TL[[#This Row],[Société]]&amp;" - "&amp;TL[[#This Row],[Compte]]</f>
        <v>VICTOIRE - 214500</v>
      </c>
      <c r="B1107" s="233" t="s">
        <v>1810</v>
      </c>
      <c r="C1107" s="227" t="s">
        <v>4066</v>
      </c>
      <c r="F1107" s="227" t="s">
        <v>3002</v>
      </c>
    </row>
    <row r="1108" spans="1:6" x14ac:dyDescent="0.25">
      <c r="A1108" s="227" t="str">
        <f>TL[[#This Row],[Société]]&amp;" - "&amp;TL[[#This Row],[Compte]]</f>
        <v>VICTOIRE - 215100</v>
      </c>
      <c r="B1108" s="233" t="s">
        <v>4067</v>
      </c>
      <c r="C1108" s="227" t="s">
        <v>4068</v>
      </c>
      <c r="F1108" s="227" t="s">
        <v>3002</v>
      </c>
    </row>
    <row r="1109" spans="1:6" x14ac:dyDescent="0.25">
      <c r="A1109" s="227" t="str">
        <f>TL[[#This Row],[Société]]&amp;" - "&amp;TL[[#This Row],[Compte]]</f>
        <v>VICTOIRE - 215300</v>
      </c>
      <c r="B1109" s="233" t="s">
        <v>4069</v>
      </c>
      <c r="C1109" s="227" t="s">
        <v>4070</v>
      </c>
      <c r="F1109" s="227" t="s">
        <v>3002</v>
      </c>
    </row>
    <row r="1110" spans="1:6" x14ac:dyDescent="0.25">
      <c r="A1110" s="227" t="str">
        <f>TL[[#This Row],[Société]]&amp;" - "&amp;TL[[#This Row],[Compte]]</f>
        <v>VICTOIRE - 215400</v>
      </c>
      <c r="B1110" s="233" t="s">
        <v>1652</v>
      </c>
      <c r="C1110" s="227" t="s">
        <v>4071</v>
      </c>
      <c r="F1110" s="227" t="s">
        <v>3002</v>
      </c>
    </row>
    <row r="1111" spans="1:6" x14ac:dyDescent="0.25">
      <c r="A1111" s="227" t="str">
        <f>TL[[#This Row],[Société]]&amp;" - "&amp;TL[[#This Row],[Compte]]</f>
        <v>VICTOIRE - 215410</v>
      </c>
      <c r="B1111" s="233" t="s">
        <v>4072</v>
      </c>
      <c r="C1111" s="227" t="s">
        <v>4073</v>
      </c>
      <c r="F1111" s="227" t="s">
        <v>3002</v>
      </c>
    </row>
    <row r="1112" spans="1:6" x14ac:dyDescent="0.25">
      <c r="A1112" s="227" t="str">
        <f>TL[[#This Row],[Société]]&amp;" - "&amp;TL[[#This Row],[Compte]]</f>
        <v>VICTOIRE - 215500</v>
      </c>
      <c r="B1112" s="233" t="s">
        <v>1653</v>
      </c>
      <c r="C1112" s="227" t="s">
        <v>551</v>
      </c>
      <c r="F1112" s="227" t="s">
        <v>3002</v>
      </c>
    </row>
    <row r="1113" spans="1:6" x14ac:dyDescent="0.25">
      <c r="A1113" s="227" t="str">
        <f>TL[[#This Row],[Société]]&amp;" - "&amp;TL[[#This Row],[Compte]]</f>
        <v>VICTOIRE - 215700</v>
      </c>
      <c r="B1113" s="233" t="s">
        <v>4074</v>
      </c>
      <c r="C1113" s="227" t="s">
        <v>960</v>
      </c>
      <c r="F1113" s="227" t="s">
        <v>3002</v>
      </c>
    </row>
    <row r="1114" spans="1:6" x14ac:dyDescent="0.25">
      <c r="A1114" s="227" t="str">
        <f>TL[[#This Row],[Société]]&amp;" - "&amp;TL[[#This Row],[Compte]]</f>
        <v>VICTOIRE - 217000</v>
      </c>
      <c r="B1114" s="233" t="s">
        <v>4075</v>
      </c>
      <c r="C1114" s="227" t="s">
        <v>4076</v>
      </c>
      <c r="F1114" s="227" t="s">
        <v>3002</v>
      </c>
    </row>
    <row r="1115" spans="1:6" x14ac:dyDescent="0.25">
      <c r="A1115" s="227" t="str">
        <f>TL[[#This Row],[Société]]&amp;" - "&amp;TL[[#This Row],[Compte]]</f>
        <v>VICTOIRE - 218100</v>
      </c>
      <c r="B1115" s="233" t="s">
        <v>1654</v>
      </c>
      <c r="C1115" s="227" t="s">
        <v>4077</v>
      </c>
      <c r="F1115" s="227" t="s">
        <v>3002</v>
      </c>
    </row>
    <row r="1116" spans="1:6" x14ac:dyDescent="0.25">
      <c r="A1116" s="227" t="str">
        <f>TL[[#This Row],[Société]]&amp;" - "&amp;TL[[#This Row],[Compte]]</f>
        <v>VICTOIRE - 218200</v>
      </c>
      <c r="B1116" s="233" t="s">
        <v>1812</v>
      </c>
      <c r="C1116" s="227" t="s">
        <v>4078</v>
      </c>
      <c r="F1116" s="227" t="s">
        <v>3002</v>
      </c>
    </row>
    <row r="1117" spans="1:6" x14ac:dyDescent="0.25">
      <c r="A1117" s="227" t="str">
        <f>TL[[#This Row],[Société]]&amp;" - "&amp;TL[[#This Row],[Compte]]</f>
        <v>VICTOIRE - 218300</v>
      </c>
      <c r="B1117" s="233" t="s">
        <v>1655</v>
      </c>
      <c r="C1117" s="227" t="s">
        <v>4079</v>
      </c>
      <c r="F1117" s="227" t="s">
        <v>3002</v>
      </c>
    </row>
    <row r="1118" spans="1:6" x14ac:dyDescent="0.25">
      <c r="A1118" s="227" t="str">
        <f>TL[[#This Row],[Société]]&amp;" - "&amp;TL[[#This Row],[Compte]]</f>
        <v>VICTOIRE - 218310</v>
      </c>
      <c r="B1118" s="233" t="s">
        <v>4080</v>
      </c>
      <c r="C1118" s="227" t="s">
        <v>4081</v>
      </c>
      <c r="F1118" s="227" t="s">
        <v>3002</v>
      </c>
    </row>
    <row r="1119" spans="1:6" x14ac:dyDescent="0.25">
      <c r="A1119" s="227" t="str">
        <f>TL[[#This Row],[Société]]&amp;" - "&amp;TL[[#This Row],[Compte]]</f>
        <v>VICTOIRE - 218400</v>
      </c>
      <c r="B1119" s="233" t="s">
        <v>1656</v>
      </c>
      <c r="C1119" s="227" t="s">
        <v>4082</v>
      </c>
      <c r="F1119" s="227" t="s">
        <v>3002</v>
      </c>
    </row>
    <row r="1120" spans="1:6" x14ac:dyDescent="0.25">
      <c r="A1120" s="227" t="str">
        <f>TL[[#This Row],[Société]]&amp;" - "&amp;TL[[#This Row],[Compte]]</f>
        <v>VICTOIRE - 218500</v>
      </c>
      <c r="B1120" s="233" t="s">
        <v>4083</v>
      </c>
      <c r="C1120" s="227" t="s">
        <v>4084</v>
      </c>
      <c r="F1120" s="227" t="s">
        <v>3002</v>
      </c>
    </row>
    <row r="1121" spans="1:6" x14ac:dyDescent="0.25">
      <c r="A1121" s="227" t="str">
        <f>TL[[#This Row],[Société]]&amp;" - "&amp;TL[[#This Row],[Compte]]</f>
        <v>VICTOIRE - 218600</v>
      </c>
      <c r="B1121" s="233" t="s">
        <v>4085</v>
      </c>
      <c r="C1121" s="227" t="s">
        <v>4086</v>
      </c>
      <c r="F1121" s="227" t="s">
        <v>3002</v>
      </c>
    </row>
    <row r="1122" spans="1:6" x14ac:dyDescent="0.25">
      <c r="A1122" s="227" t="str">
        <f>TL[[#This Row],[Société]]&amp;" - "&amp;TL[[#This Row],[Compte]]</f>
        <v>VICTOIRE - 218800</v>
      </c>
      <c r="B1122" s="233" t="s">
        <v>4087</v>
      </c>
      <c r="C1122" s="227" t="s">
        <v>4088</v>
      </c>
      <c r="F1122" s="227" t="s">
        <v>3002</v>
      </c>
    </row>
    <row r="1123" spans="1:6" x14ac:dyDescent="0.25">
      <c r="A1123" s="227" t="str">
        <f>TL[[#This Row],[Société]]&amp;" - "&amp;TL[[#This Row],[Compte]]</f>
        <v>VICTOIRE - 220000</v>
      </c>
      <c r="B1123" s="233" t="s">
        <v>4089</v>
      </c>
      <c r="C1123" s="227" t="s">
        <v>4090</v>
      </c>
      <c r="F1123" s="227" t="s">
        <v>3002</v>
      </c>
    </row>
    <row r="1124" spans="1:6" x14ac:dyDescent="0.25">
      <c r="A1124" s="227" t="str">
        <f>TL[[#This Row],[Société]]&amp;" - "&amp;TL[[#This Row],[Compte]]</f>
        <v>VICTOIRE - 229000</v>
      </c>
      <c r="B1124" s="233" t="s">
        <v>4091</v>
      </c>
      <c r="C1124" s="227" t="s">
        <v>4092</v>
      </c>
      <c r="F1124" s="227" t="s">
        <v>3002</v>
      </c>
    </row>
    <row r="1125" spans="1:6" x14ac:dyDescent="0.25">
      <c r="A1125" s="227" t="str">
        <f>TL[[#This Row],[Société]]&amp;" - "&amp;TL[[#This Row],[Compte]]</f>
        <v>VICTOIRE - 231000</v>
      </c>
      <c r="B1125" s="233" t="s">
        <v>1813</v>
      </c>
      <c r="C1125" s="227" t="s">
        <v>4093</v>
      </c>
      <c r="F1125" s="227" t="s">
        <v>3002</v>
      </c>
    </row>
    <row r="1126" spans="1:6" x14ac:dyDescent="0.25">
      <c r="A1126" s="227" t="str">
        <f>TL[[#This Row],[Société]]&amp;" - "&amp;TL[[#This Row],[Compte]]</f>
        <v>VICTOIRE - 231200</v>
      </c>
      <c r="B1126" s="233" t="s">
        <v>4094</v>
      </c>
      <c r="C1126" s="227" t="s">
        <v>4095</v>
      </c>
      <c r="F1126" s="227" t="s">
        <v>3002</v>
      </c>
    </row>
    <row r="1127" spans="1:6" x14ac:dyDescent="0.25">
      <c r="A1127" s="227" t="str">
        <f>TL[[#This Row],[Société]]&amp;" - "&amp;TL[[#This Row],[Compte]]</f>
        <v>VICTOIRE - 231300</v>
      </c>
      <c r="B1127" s="233" t="s">
        <v>4096</v>
      </c>
      <c r="C1127" s="227" t="s">
        <v>4097</v>
      </c>
      <c r="F1127" s="227" t="s">
        <v>3002</v>
      </c>
    </row>
    <row r="1128" spans="1:6" x14ac:dyDescent="0.25">
      <c r="A1128" s="227" t="str">
        <f>TL[[#This Row],[Société]]&amp;" - "&amp;TL[[#This Row],[Compte]]</f>
        <v>VICTOIRE - 231500</v>
      </c>
      <c r="B1128" s="233" t="s">
        <v>4098</v>
      </c>
      <c r="C1128" s="227" t="s">
        <v>834</v>
      </c>
      <c r="F1128" s="227" t="s">
        <v>3002</v>
      </c>
    </row>
    <row r="1129" spans="1:6" x14ac:dyDescent="0.25">
      <c r="A1129" s="227" t="str">
        <f>TL[[#This Row],[Société]]&amp;" - "&amp;TL[[#This Row],[Compte]]</f>
        <v>VICTOIRE - 231800</v>
      </c>
      <c r="B1129" s="233" t="s">
        <v>4099</v>
      </c>
      <c r="C1129" s="227" t="s">
        <v>4100</v>
      </c>
      <c r="F1129" s="227" t="s">
        <v>3002</v>
      </c>
    </row>
    <row r="1130" spans="1:6" x14ac:dyDescent="0.25">
      <c r="A1130" s="227" t="str">
        <f>TL[[#This Row],[Société]]&amp;" - "&amp;TL[[#This Row],[Compte]]</f>
        <v>VICTOIRE - 232000</v>
      </c>
      <c r="B1130" s="233" t="s">
        <v>4101</v>
      </c>
      <c r="C1130" s="227" t="s">
        <v>4102</v>
      </c>
      <c r="F1130" s="227" t="s">
        <v>3002</v>
      </c>
    </row>
    <row r="1131" spans="1:6" x14ac:dyDescent="0.25">
      <c r="A1131" s="227" t="str">
        <f>TL[[#This Row],[Société]]&amp;" - "&amp;TL[[#This Row],[Compte]]</f>
        <v>VICTOIRE - 237000</v>
      </c>
      <c r="B1131" s="233" t="s">
        <v>4103</v>
      </c>
      <c r="C1131" s="227" t="s">
        <v>4104</v>
      </c>
      <c r="F1131" s="227" t="s">
        <v>3002</v>
      </c>
    </row>
    <row r="1132" spans="1:6" x14ac:dyDescent="0.25">
      <c r="A1132" s="227" t="str">
        <f>TL[[#This Row],[Société]]&amp;" - "&amp;TL[[#This Row],[Compte]]</f>
        <v>VICTOIRE - 238000</v>
      </c>
      <c r="B1132" s="233" t="s">
        <v>4105</v>
      </c>
      <c r="C1132" s="227" t="s">
        <v>1096</v>
      </c>
      <c r="F1132" s="227" t="s">
        <v>3002</v>
      </c>
    </row>
    <row r="1133" spans="1:6" x14ac:dyDescent="0.25">
      <c r="A1133" s="227" t="str">
        <f>TL[[#This Row],[Société]]&amp;" - "&amp;TL[[#This Row],[Compte]]</f>
        <v>VICTOIRE - 238200</v>
      </c>
      <c r="B1133" s="233" t="s">
        <v>4106</v>
      </c>
      <c r="C1133" s="227" t="s">
        <v>4107</v>
      </c>
      <c r="F1133" s="227" t="s">
        <v>3002</v>
      </c>
    </row>
    <row r="1134" spans="1:6" x14ac:dyDescent="0.25">
      <c r="A1134" s="227" t="str">
        <f>TL[[#This Row],[Société]]&amp;" - "&amp;TL[[#This Row],[Compte]]</f>
        <v>VICTOIRE - 238300</v>
      </c>
      <c r="B1134" s="233" t="s">
        <v>4108</v>
      </c>
      <c r="C1134" s="227" t="s">
        <v>4109</v>
      </c>
      <c r="F1134" s="227" t="s">
        <v>3002</v>
      </c>
    </row>
    <row r="1135" spans="1:6" x14ac:dyDescent="0.25">
      <c r="A1135" s="227" t="str">
        <f>TL[[#This Row],[Société]]&amp;" - "&amp;TL[[#This Row],[Compte]]</f>
        <v>VICTOIRE - 238500</v>
      </c>
      <c r="B1135" s="233" t="s">
        <v>1814</v>
      </c>
      <c r="C1135" s="227" t="s">
        <v>835</v>
      </c>
      <c r="F1135" s="227" t="s">
        <v>3002</v>
      </c>
    </row>
    <row r="1136" spans="1:6" x14ac:dyDescent="0.25">
      <c r="A1136" s="227" t="str">
        <f>TL[[#This Row],[Société]]&amp;" - "&amp;TL[[#This Row],[Compte]]</f>
        <v>VICTOIRE - 238800</v>
      </c>
      <c r="B1136" s="233" t="s">
        <v>3072</v>
      </c>
      <c r="C1136" s="227" t="s">
        <v>3073</v>
      </c>
      <c r="F1136" s="227" t="s">
        <v>3002</v>
      </c>
    </row>
    <row r="1137" spans="1:6" x14ac:dyDescent="0.25">
      <c r="A1137" s="227" t="str">
        <f>TL[[#This Row],[Société]]&amp;" - "&amp;TL[[#This Row],[Compte]]</f>
        <v>VICTOIRE - 260000</v>
      </c>
      <c r="B1137" s="233" t="s">
        <v>4110</v>
      </c>
      <c r="C1137" s="227" t="s">
        <v>3773</v>
      </c>
      <c r="F1137" s="227" t="s">
        <v>3002</v>
      </c>
    </row>
    <row r="1138" spans="1:6" x14ac:dyDescent="0.25">
      <c r="A1138" s="227" t="str">
        <f>TL[[#This Row],[Société]]&amp;" - "&amp;TL[[#This Row],[Compte]]</f>
        <v>VICTOIRE - 261000</v>
      </c>
      <c r="B1138" s="233" t="s">
        <v>4111</v>
      </c>
      <c r="C1138" s="227" t="s">
        <v>962</v>
      </c>
      <c r="F1138" s="227" t="s">
        <v>3002</v>
      </c>
    </row>
    <row r="1139" spans="1:6" x14ac:dyDescent="0.25">
      <c r="A1139" s="227" t="str">
        <f>TL[[#This Row],[Société]]&amp;" - "&amp;TL[[#This Row],[Compte]]</f>
        <v>VICTOIRE - 261200</v>
      </c>
      <c r="B1139" s="233" t="s">
        <v>4112</v>
      </c>
      <c r="C1139" s="227" t="s">
        <v>4113</v>
      </c>
      <c r="F1139" s="227" t="s">
        <v>3002</v>
      </c>
    </row>
    <row r="1140" spans="1:6" x14ac:dyDescent="0.25">
      <c r="A1140" s="227" t="str">
        <f>TL[[#This Row],[Société]]&amp;" - "&amp;TL[[#This Row],[Compte]]</f>
        <v>VICTOIRE - 262000</v>
      </c>
      <c r="B1140" s="233" t="s">
        <v>4114</v>
      </c>
      <c r="C1140" s="227" t="s">
        <v>4115</v>
      </c>
      <c r="F1140" s="227" t="s">
        <v>3002</v>
      </c>
    </row>
    <row r="1141" spans="1:6" x14ac:dyDescent="0.25">
      <c r="A1141" s="227" t="str">
        <f>TL[[#This Row],[Société]]&amp;" - "&amp;TL[[#This Row],[Compte]]</f>
        <v>VICTOIRE - 266000</v>
      </c>
      <c r="B1141" s="233" t="s">
        <v>4116</v>
      </c>
      <c r="C1141" s="227" t="s">
        <v>4117</v>
      </c>
      <c r="F1141" s="227" t="s">
        <v>3002</v>
      </c>
    </row>
    <row r="1142" spans="1:6" x14ac:dyDescent="0.25">
      <c r="A1142" s="227" t="str">
        <f>TL[[#This Row],[Société]]&amp;" - "&amp;TL[[#This Row],[Compte]]</f>
        <v>VICTOIRE - 267000</v>
      </c>
      <c r="B1142" s="233" t="s">
        <v>4118</v>
      </c>
      <c r="C1142" s="227" t="s">
        <v>4119</v>
      </c>
      <c r="F1142" s="227" t="s">
        <v>3002</v>
      </c>
    </row>
    <row r="1143" spans="1:6" x14ac:dyDescent="0.25">
      <c r="A1143" s="227" t="str">
        <f>TL[[#This Row],[Société]]&amp;" - "&amp;TL[[#This Row],[Compte]]</f>
        <v>VICTOIRE - 267100</v>
      </c>
      <c r="B1143" s="233" t="s">
        <v>4120</v>
      </c>
      <c r="C1143" s="227" t="s">
        <v>4121</v>
      </c>
      <c r="F1143" s="227" t="s">
        <v>3002</v>
      </c>
    </row>
    <row r="1144" spans="1:6" x14ac:dyDescent="0.25">
      <c r="A1144" s="227" t="str">
        <f>TL[[#This Row],[Société]]&amp;" - "&amp;TL[[#This Row],[Compte]]</f>
        <v>VICTOIRE - 267170</v>
      </c>
      <c r="B1144" s="233" t="s">
        <v>4122</v>
      </c>
      <c r="C1144" s="227" t="s">
        <v>4123</v>
      </c>
      <c r="F1144" s="227" t="s">
        <v>3002</v>
      </c>
    </row>
    <row r="1145" spans="1:6" x14ac:dyDescent="0.25">
      <c r="A1145" s="227" t="str">
        <f>TL[[#This Row],[Société]]&amp;" - "&amp;TL[[#This Row],[Compte]]</f>
        <v>VICTOIRE - 267180</v>
      </c>
      <c r="B1145" s="233" t="s">
        <v>4124</v>
      </c>
      <c r="C1145" s="227" t="s">
        <v>4125</v>
      </c>
      <c r="F1145" s="227" t="s">
        <v>3002</v>
      </c>
    </row>
    <row r="1146" spans="1:6" x14ac:dyDescent="0.25">
      <c r="A1146" s="227" t="str">
        <f>TL[[#This Row],[Société]]&amp;" - "&amp;TL[[#This Row],[Compte]]</f>
        <v>VICTOIRE - 267400</v>
      </c>
      <c r="B1146" s="233" t="s">
        <v>4126</v>
      </c>
      <c r="C1146" s="227" t="s">
        <v>4127</v>
      </c>
      <c r="F1146" s="227" t="s">
        <v>3002</v>
      </c>
    </row>
    <row r="1147" spans="1:6" x14ac:dyDescent="0.25">
      <c r="A1147" s="227" t="str">
        <f>TL[[#This Row],[Société]]&amp;" - "&amp;TL[[#This Row],[Compte]]</f>
        <v>VICTOIRE - 267470</v>
      </c>
      <c r="B1147" s="233" t="s">
        <v>4128</v>
      </c>
      <c r="C1147" s="227" t="s">
        <v>4129</v>
      </c>
      <c r="F1147" s="227" t="s">
        <v>3002</v>
      </c>
    </row>
    <row r="1148" spans="1:6" x14ac:dyDescent="0.25">
      <c r="A1148" s="227" t="str">
        <f>TL[[#This Row],[Société]]&amp;" - "&amp;TL[[#This Row],[Compte]]</f>
        <v>VICTOIRE - 267480</v>
      </c>
      <c r="B1148" s="233" t="s">
        <v>4130</v>
      </c>
      <c r="C1148" s="227" t="s">
        <v>4131</v>
      </c>
      <c r="F1148" s="227" t="s">
        <v>3002</v>
      </c>
    </row>
    <row r="1149" spans="1:6" x14ac:dyDescent="0.25">
      <c r="A1149" s="227" t="str">
        <f>TL[[#This Row],[Société]]&amp;" - "&amp;TL[[#This Row],[Compte]]</f>
        <v>VICTOIRE - 267500</v>
      </c>
      <c r="B1149" s="233" t="s">
        <v>4132</v>
      </c>
      <c r="C1149" s="227" t="s">
        <v>4133</v>
      </c>
      <c r="F1149" s="227" t="s">
        <v>3002</v>
      </c>
    </row>
    <row r="1150" spans="1:6" x14ac:dyDescent="0.25">
      <c r="A1150" s="227" t="str">
        <f>TL[[#This Row],[Société]]&amp;" - "&amp;TL[[#This Row],[Compte]]</f>
        <v>VICTOIRE - 267600</v>
      </c>
      <c r="B1150" s="233" t="s">
        <v>4134</v>
      </c>
      <c r="C1150" s="227" t="s">
        <v>4135</v>
      </c>
      <c r="F1150" s="227" t="s">
        <v>3002</v>
      </c>
    </row>
    <row r="1151" spans="1:6" x14ac:dyDescent="0.25">
      <c r="A1151" s="227" t="str">
        <f>TL[[#This Row],[Société]]&amp;" - "&amp;TL[[#This Row],[Compte]]</f>
        <v>VICTOIRE - 267700</v>
      </c>
      <c r="B1151" s="233" t="s">
        <v>4136</v>
      </c>
      <c r="C1151" s="227" t="s">
        <v>4137</v>
      </c>
      <c r="F1151" s="227" t="s">
        <v>3002</v>
      </c>
    </row>
    <row r="1152" spans="1:6" x14ac:dyDescent="0.25">
      <c r="A1152" s="227" t="str">
        <f>TL[[#This Row],[Société]]&amp;" - "&amp;TL[[#This Row],[Compte]]</f>
        <v>VICTOIRE - 267800</v>
      </c>
      <c r="B1152" s="233" t="s">
        <v>4138</v>
      </c>
      <c r="C1152" s="227" t="s">
        <v>4139</v>
      </c>
      <c r="F1152" s="227" t="s">
        <v>3002</v>
      </c>
    </row>
    <row r="1153" spans="1:6" x14ac:dyDescent="0.25">
      <c r="A1153" s="227" t="str">
        <f>TL[[#This Row],[Société]]&amp;" - "&amp;TL[[#This Row],[Compte]]</f>
        <v>VICTOIRE - 268000</v>
      </c>
      <c r="B1153" s="233" t="s">
        <v>4140</v>
      </c>
      <c r="C1153" s="227" t="s">
        <v>4141</v>
      </c>
      <c r="F1153" s="227" t="s">
        <v>3002</v>
      </c>
    </row>
    <row r="1154" spans="1:6" x14ac:dyDescent="0.25">
      <c r="A1154" s="227" t="str">
        <f>TL[[#This Row],[Société]]&amp;" - "&amp;TL[[#This Row],[Compte]]</f>
        <v>VICTOIRE - 269000</v>
      </c>
      <c r="B1154" s="233" t="s">
        <v>4142</v>
      </c>
      <c r="C1154" s="227" t="s">
        <v>4143</v>
      </c>
      <c r="F1154" s="227" t="s">
        <v>3002</v>
      </c>
    </row>
    <row r="1155" spans="1:6" x14ac:dyDescent="0.25">
      <c r="A1155" s="227" t="str">
        <f>TL[[#This Row],[Société]]&amp;" - "&amp;TL[[#This Row],[Compte]]</f>
        <v>VICTOIRE - 269700</v>
      </c>
      <c r="B1155" s="233" t="s">
        <v>4144</v>
      </c>
      <c r="C1155" s="227" t="s">
        <v>4145</v>
      </c>
      <c r="F1155" s="227" t="s">
        <v>3002</v>
      </c>
    </row>
    <row r="1156" spans="1:6" x14ac:dyDescent="0.25">
      <c r="A1156" s="227" t="str">
        <f>TL[[#This Row],[Société]]&amp;" - "&amp;TL[[#This Row],[Compte]]</f>
        <v>VICTOIRE - 269800</v>
      </c>
      <c r="B1156" s="233" t="s">
        <v>4146</v>
      </c>
      <c r="C1156" s="227" t="s">
        <v>4147</v>
      </c>
      <c r="F1156" s="227" t="s">
        <v>3002</v>
      </c>
    </row>
    <row r="1157" spans="1:6" x14ac:dyDescent="0.25">
      <c r="A1157" s="227" t="str">
        <f>TL[[#This Row],[Société]]&amp;" - "&amp;TL[[#This Row],[Compte]]</f>
        <v>VICTOIRE - 271000</v>
      </c>
      <c r="B1157" s="233" t="s">
        <v>4148</v>
      </c>
      <c r="C1157" s="227" t="s">
        <v>4149</v>
      </c>
      <c r="F1157" s="227" t="s">
        <v>3002</v>
      </c>
    </row>
    <row r="1158" spans="1:6" x14ac:dyDescent="0.25">
      <c r="A1158" s="227" t="str">
        <f>TL[[#This Row],[Société]]&amp;" - "&amp;TL[[#This Row],[Compte]]</f>
        <v>VICTOIRE - 271100</v>
      </c>
      <c r="B1158" s="233" t="s">
        <v>4150</v>
      </c>
      <c r="C1158" s="227" t="s">
        <v>596</v>
      </c>
      <c r="F1158" s="227" t="s">
        <v>3002</v>
      </c>
    </row>
    <row r="1159" spans="1:6" x14ac:dyDescent="0.25">
      <c r="A1159" s="227" t="str">
        <f>TL[[#This Row],[Société]]&amp;" - "&amp;TL[[#This Row],[Compte]]</f>
        <v>VICTOIRE - 271800</v>
      </c>
      <c r="B1159" s="233" t="s">
        <v>4151</v>
      </c>
      <c r="C1159" s="227" t="s">
        <v>4152</v>
      </c>
      <c r="F1159" s="227" t="s">
        <v>3002</v>
      </c>
    </row>
    <row r="1160" spans="1:6" x14ac:dyDescent="0.25">
      <c r="A1160" s="227" t="str">
        <f>TL[[#This Row],[Société]]&amp;" - "&amp;TL[[#This Row],[Compte]]</f>
        <v>VICTOIRE - 272000</v>
      </c>
      <c r="B1160" s="233" t="s">
        <v>4153</v>
      </c>
      <c r="C1160" s="227" t="s">
        <v>4154</v>
      </c>
      <c r="F1160" s="227" t="s">
        <v>3002</v>
      </c>
    </row>
    <row r="1161" spans="1:6" x14ac:dyDescent="0.25">
      <c r="A1161" s="227" t="str">
        <f>TL[[#This Row],[Société]]&amp;" - "&amp;TL[[#This Row],[Compte]]</f>
        <v>VICTOIRE - 272100</v>
      </c>
      <c r="B1161" s="233" t="s">
        <v>4155</v>
      </c>
      <c r="C1161" s="227" t="s">
        <v>4156</v>
      </c>
      <c r="F1161" s="227" t="s">
        <v>3002</v>
      </c>
    </row>
    <row r="1162" spans="1:6" x14ac:dyDescent="0.25">
      <c r="A1162" s="227" t="str">
        <f>TL[[#This Row],[Société]]&amp;" - "&amp;TL[[#This Row],[Compte]]</f>
        <v>VICTOIRE - 272200</v>
      </c>
      <c r="B1162" s="233" t="s">
        <v>4157</v>
      </c>
      <c r="C1162" s="227" t="s">
        <v>4158</v>
      </c>
      <c r="F1162" s="227" t="s">
        <v>3002</v>
      </c>
    </row>
    <row r="1163" spans="1:6" x14ac:dyDescent="0.25">
      <c r="A1163" s="227" t="str">
        <f>TL[[#This Row],[Société]]&amp;" - "&amp;TL[[#This Row],[Compte]]</f>
        <v>VICTOIRE - 273000</v>
      </c>
      <c r="B1163" s="233" t="s">
        <v>4159</v>
      </c>
      <c r="C1163" s="227" t="s">
        <v>4160</v>
      </c>
      <c r="F1163" s="227" t="s">
        <v>3002</v>
      </c>
    </row>
    <row r="1164" spans="1:6" x14ac:dyDescent="0.25">
      <c r="A1164" s="227" t="str">
        <f>TL[[#This Row],[Société]]&amp;" - "&amp;TL[[#This Row],[Compte]]</f>
        <v>VICTOIRE - 274100</v>
      </c>
      <c r="B1164" s="233" t="s">
        <v>4161</v>
      </c>
      <c r="C1164" s="227" t="s">
        <v>4162</v>
      </c>
      <c r="F1164" s="227" t="s">
        <v>3002</v>
      </c>
    </row>
    <row r="1165" spans="1:6" x14ac:dyDescent="0.25">
      <c r="A1165" s="227" t="str">
        <f>TL[[#This Row],[Société]]&amp;" - "&amp;TL[[#This Row],[Compte]]</f>
        <v>VICTOIRE - 274200</v>
      </c>
      <c r="B1165" s="233" t="s">
        <v>4163</v>
      </c>
      <c r="C1165" s="227" t="s">
        <v>4164</v>
      </c>
      <c r="F1165" s="227" t="s">
        <v>3002</v>
      </c>
    </row>
    <row r="1166" spans="1:6" x14ac:dyDescent="0.25">
      <c r="A1166" s="227" t="str">
        <f>TL[[#This Row],[Société]]&amp;" - "&amp;TL[[#This Row],[Compte]]</f>
        <v>VICTOIRE - 274300</v>
      </c>
      <c r="B1166" s="233" t="s">
        <v>4165</v>
      </c>
      <c r="C1166" s="227" t="s">
        <v>4166</v>
      </c>
      <c r="F1166" s="227" t="s">
        <v>3002</v>
      </c>
    </row>
    <row r="1167" spans="1:6" x14ac:dyDescent="0.25">
      <c r="A1167" s="227" t="str">
        <f>TL[[#This Row],[Société]]&amp;" - "&amp;TL[[#This Row],[Compte]]</f>
        <v>VICTOIRE - 274370</v>
      </c>
      <c r="B1167" s="233" t="s">
        <v>4167</v>
      </c>
      <c r="C1167" s="227" t="s">
        <v>4168</v>
      </c>
      <c r="F1167" s="227" t="s">
        <v>3002</v>
      </c>
    </row>
    <row r="1168" spans="1:6" x14ac:dyDescent="0.25">
      <c r="A1168" s="227" t="str">
        <f>TL[[#This Row],[Société]]&amp;" - "&amp;TL[[#This Row],[Compte]]</f>
        <v>VICTOIRE - 274380</v>
      </c>
      <c r="B1168" s="233" t="s">
        <v>4169</v>
      </c>
      <c r="C1168" s="227" t="s">
        <v>4170</v>
      </c>
      <c r="F1168" s="227" t="s">
        <v>3002</v>
      </c>
    </row>
    <row r="1169" spans="1:6" x14ac:dyDescent="0.25">
      <c r="A1169" s="227" t="str">
        <f>TL[[#This Row],[Société]]&amp;" - "&amp;TL[[#This Row],[Compte]]</f>
        <v>VICTOIRE - 274800</v>
      </c>
      <c r="B1169" s="233" t="s">
        <v>4171</v>
      </c>
      <c r="C1169" s="227" t="s">
        <v>4172</v>
      </c>
      <c r="F1169" s="227" t="s">
        <v>3002</v>
      </c>
    </row>
    <row r="1170" spans="1:6" x14ac:dyDescent="0.25">
      <c r="A1170" s="227" t="str">
        <f>TL[[#This Row],[Société]]&amp;" - "&amp;TL[[#This Row],[Compte]]</f>
        <v>VICTOIRE - 274870</v>
      </c>
      <c r="B1170" s="233" t="s">
        <v>4173</v>
      </c>
      <c r="C1170" s="227" t="s">
        <v>4174</v>
      </c>
      <c r="F1170" s="227" t="s">
        <v>3002</v>
      </c>
    </row>
    <row r="1171" spans="1:6" x14ac:dyDescent="0.25">
      <c r="A1171" s="227" t="str">
        <f>TL[[#This Row],[Société]]&amp;" - "&amp;TL[[#This Row],[Compte]]</f>
        <v>VICTOIRE - 274880</v>
      </c>
      <c r="B1171" s="233" t="s">
        <v>4175</v>
      </c>
      <c r="C1171" s="227" t="s">
        <v>4176</v>
      </c>
      <c r="F1171" s="227" t="s">
        <v>3002</v>
      </c>
    </row>
    <row r="1172" spans="1:6" x14ac:dyDescent="0.25">
      <c r="A1172" s="227" t="str">
        <f>TL[[#This Row],[Société]]&amp;" - "&amp;TL[[#This Row],[Compte]]</f>
        <v>VICTOIRE - 275000</v>
      </c>
      <c r="B1172" s="233" t="s">
        <v>1815</v>
      </c>
      <c r="C1172" s="227" t="s">
        <v>556</v>
      </c>
      <c r="F1172" s="227" t="s">
        <v>3002</v>
      </c>
    </row>
    <row r="1173" spans="1:6" x14ac:dyDescent="0.25">
      <c r="A1173" s="227" t="str">
        <f>TL[[#This Row],[Société]]&amp;" - "&amp;TL[[#This Row],[Compte]]</f>
        <v>VICTOIRE - 275100</v>
      </c>
      <c r="B1173" s="233" t="s">
        <v>1816</v>
      </c>
      <c r="C1173" s="227" t="s">
        <v>4177</v>
      </c>
      <c r="F1173" s="227" t="s">
        <v>3002</v>
      </c>
    </row>
    <row r="1174" spans="1:6" x14ac:dyDescent="0.25">
      <c r="A1174" s="227" t="str">
        <f>TL[[#This Row],[Société]]&amp;" - "&amp;TL[[#This Row],[Compte]]</f>
        <v>VICTOIRE - 275500</v>
      </c>
      <c r="B1174" s="233" t="s">
        <v>4178</v>
      </c>
      <c r="C1174" s="227" t="s">
        <v>837</v>
      </c>
      <c r="F1174" s="227" t="s">
        <v>3002</v>
      </c>
    </row>
    <row r="1175" spans="1:6" x14ac:dyDescent="0.25">
      <c r="A1175" s="227" t="str">
        <f>TL[[#This Row],[Société]]&amp;" - "&amp;TL[[#This Row],[Compte]]</f>
        <v>VICTOIRE - 276100</v>
      </c>
      <c r="B1175" s="233" t="s">
        <v>4179</v>
      </c>
      <c r="C1175" s="227" t="s">
        <v>4180</v>
      </c>
      <c r="F1175" s="227" t="s">
        <v>3002</v>
      </c>
    </row>
    <row r="1176" spans="1:6" x14ac:dyDescent="0.25">
      <c r="A1176" s="227" t="str">
        <f>TL[[#This Row],[Société]]&amp;" - "&amp;TL[[#This Row],[Compte]]</f>
        <v>VICTOIRE - 276800</v>
      </c>
      <c r="B1176" s="233" t="s">
        <v>4181</v>
      </c>
      <c r="C1176" s="227" t="s">
        <v>956</v>
      </c>
      <c r="F1176" s="227" t="s">
        <v>3002</v>
      </c>
    </row>
    <row r="1177" spans="1:6" x14ac:dyDescent="0.25">
      <c r="A1177" s="227" t="str">
        <f>TL[[#This Row],[Société]]&amp;" - "&amp;TL[[#This Row],[Compte]]</f>
        <v>VICTOIRE - 276820</v>
      </c>
      <c r="B1177" s="233" t="s">
        <v>4182</v>
      </c>
      <c r="C1177" s="227" t="s">
        <v>4183</v>
      </c>
      <c r="F1177" s="227" t="s">
        <v>3002</v>
      </c>
    </row>
    <row r="1178" spans="1:6" x14ac:dyDescent="0.25">
      <c r="A1178" s="227" t="str">
        <f>TL[[#This Row],[Société]]&amp;" - "&amp;TL[[#This Row],[Compte]]</f>
        <v>VICTOIRE - 276840</v>
      </c>
      <c r="B1178" s="233" t="s">
        <v>4184</v>
      </c>
      <c r="C1178" s="227" t="s">
        <v>4185</v>
      </c>
      <c r="F1178" s="227" t="s">
        <v>3002</v>
      </c>
    </row>
    <row r="1179" spans="1:6" x14ac:dyDescent="0.25">
      <c r="A1179" s="227" t="str">
        <f>TL[[#This Row],[Société]]&amp;" - "&amp;TL[[#This Row],[Compte]]</f>
        <v>VICTOIRE - 276850</v>
      </c>
      <c r="B1179" s="233" t="s">
        <v>4186</v>
      </c>
      <c r="C1179" s="227" t="s">
        <v>4187</v>
      </c>
      <c r="F1179" s="227" t="s">
        <v>3002</v>
      </c>
    </row>
    <row r="1180" spans="1:6" x14ac:dyDescent="0.25">
      <c r="A1180" s="227" t="str">
        <f>TL[[#This Row],[Société]]&amp;" - "&amp;TL[[#This Row],[Compte]]</f>
        <v>VICTOIRE - 276880</v>
      </c>
      <c r="B1180" s="233" t="s">
        <v>4188</v>
      </c>
      <c r="C1180" s="227" t="s">
        <v>4189</v>
      </c>
      <c r="F1180" s="227" t="s">
        <v>3002</v>
      </c>
    </row>
    <row r="1181" spans="1:6" x14ac:dyDescent="0.25">
      <c r="A1181" s="227" t="str">
        <f>TL[[#This Row],[Société]]&amp;" - "&amp;TL[[#This Row],[Compte]]</f>
        <v>VICTOIRE - 277000</v>
      </c>
      <c r="B1181" s="233" t="s">
        <v>4190</v>
      </c>
      <c r="C1181" s="227" t="s">
        <v>4191</v>
      </c>
      <c r="F1181" s="227" t="s">
        <v>3002</v>
      </c>
    </row>
    <row r="1182" spans="1:6" x14ac:dyDescent="0.25">
      <c r="A1182" s="227" t="str">
        <f>TL[[#This Row],[Société]]&amp;" - "&amp;TL[[#This Row],[Compte]]</f>
        <v>VICTOIRE - 279000</v>
      </c>
      <c r="B1182" s="233" t="s">
        <v>4192</v>
      </c>
      <c r="C1182" s="227" t="s">
        <v>4193</v>
      </c>
      <c r="F1182" s="227" t="s">
        <v>3002</v>
      </c>
    </row>
    <row r="1183" spans="1:6" x14ac:dyDescent="0.25">
      <c r="A1183" s="227" t="str">
        <f>TL[[#This Row],[Société]]&amp;" - "&amp;TL[[#This Row],[Compte]]</f>
        <v>VICTOIRE - 279700</v>
      </c>
      <c r="B1183" s="233" t="s">
        <v>4194</v>
      </c>
      <c r="C1183" s="227" t="s">
        <v>4195</v>
      </c>
      <c r="F1183" s="227" t="s">
        <v>3002</v>
      </c>
    </row>
    <row r="1184" spans="1:6" x14ac:dyDescent="0.25">
      <c r="A1184" s="227" t="str">
        <f>TL[[#This Row],[Société]]&amp;" - "&amp;TL[[#This Row],[Compte]]</f>
        <v>VICTOIRE - 279800</v>
      </c>
      <c r="B1184" s="233" t="s">
        <v>4196</v>
      </c>
      <c r="C1184" s="227" t="s">
        <v>4197</v>
      </c>
      <c r="F1184" s="227" t="s">
        <v>3002</v>
      </c>
    </row>
    <row r="1185" spans="1:6" x14ac:dyDescent="0.25">
      <c r="A1185" s="227" t="str">
        <f>TL[[#This Row],[Société]]&amp;" - "&amp;TL[[#This Row],[Compte]]</f>
        <v>VICTOIRE - 280100</v>
      </c>
      <c r="B1185" s="233" t="s">
        <v>4198</v>
      </c>
      <c r="C1185" s="227" t="s">
        <v>4199</v>
      </c>
      <c r="F1185" s="227" t="s">
        <v>3002</v>
      </c>
    </row>
    <row r="1186" spans="1:6" x14ac:dyDescent="0.25">
      <c r="A1186" s="227" t="str">
        <f>TL[[#This Row],[Société]]&amp;" - "&amp;TL[[#This Row],[Compte]]</f>
        <v>VICTOIRE - 280300</v>
      </c>
      <c r="B1186" s="233" t="s">
        <v>4200</v>
      </c>
      <c r="C1186" s="227" t="s">
        <v>4201</v>
      </c>
      <c r="F1186" s="227" t="s">
        <v>3002</v>
      </c>
    </row>
    <row r="1187" spans="1:6" x14ac:dyDescent="0.25">
      <c r="A1187" s="227" t="str">
        <f>TL[[#This Row],[Société]]&amp;" - "&amp;TL[[#This Row],[Compte]]</f>
        <v>VICTOIRE - 280500</v>
      </c>
      <c r="B1187" s="233" t="s">
        <v>1657</v>
      </c>
      <c r="C1187" s="227" t="s">
        <v>4202</v>
      </c>
      <c r="F1187" s="227" t="s">
        <v>3002</v>
      </c>
    </row>
    <row r="1188" spans="1:6" x14ac:dyDescent="0.25">
      <c r="A1188" s="227" t="str">
        <f>TL[[#This Row],[Société]]&amp;" - "&amp;TL[[#This Row],[Compte]]</f>
        <v>VICTOIRE - 280700</v>
      </c>
      <c r="B1188" s="233" t="s">
        <v>4203</v>
      </c>
      <c r="C1188" s="227" t="s">
        <v>4204</v>
      </c>
      <c r="F1188" s="227" t="s">
        <v>3002</v>
      </c>
    </row>
    <row r="1189" spans="1:6" x14ac:dyDescent="0.25">
      <c r="A1189" s="227" t="str">
        <f>TL[[#This Row],[Société]]&amp;" - "&amp;TL[[#This Row],[Compte]]</f>
        <v>VICTOIRE - 280800</v>
      </c>
      <c r="B1189" s="233" t="s">
        <v>4205</v>
      </c>
      <c r="C1189" s="227" t="s">
        <v>4206</v>
      </c>
      <c r="F1189" s="227" t="s">
        <v>3002</v>
      </c>
    </row>
    <row r="1190" spans="1:6" x14ac:dyDescent="0.25">
      <c r="A1190" s="227" t="str">
        <f>TL[[#This Row],[Société]]&amp;" - "&amp;TL[[#This Row],[Compte]]</f>
        <v>VICTOIRE - 281200</v>
      </c>
      <c r="B1190" s="233" t="s">
        <v>4207</v>
      </c>
      <c r="C1190" s="227" t="s">
        <v>4208</v>
      </c>
      <c r="F1190" s="227" t="s">
        <v>3002</v>
      </c>
    </row>
    <row r="1191" spans="1:6" x14ac:dyDescent="0.25">
      <c r="A1191" s="227" t="str">
        <f>TL[[#This Row],[Société]]&amp;" - "&amp;TL[[#This Row],[Compte]]</f>
        <v>VICTOIRE - 281310</v>
      </c>
      <c r="B1191" s="233" t="s">
        <v>4209</v>
      </c>
      <c r="C1191" s="227" t="s">
        <v>4210</v>
      </c>
      <c r="F1191" s="227" t="s">
        <v>3002</v>
      </c>
    </row>
    <row r="1192" spans="1:6" x14ac:dyDescent="0.25">
      <c r="A1192" s="227" t="str">
        <f>TL[[#This Row],[Société]]&amp;" - "&amp;TL[[#This Row],[Compte]]</f>
        <v>VICTOIRE - 281350</v>
      </c>
      <c r="B1192" s="233" t="s">
        <v>4211</v>
      </c>
      <c r="C1192" s="227" t="s">
        <v>4212</v>
      </c>
      <c r="F1192" s="227" t="s">
        <v>3002</v>
      </c>
    </row>
    <row r="1193" spans="1:6" x14ac:dyDescent="0.25">
      <c r="A1193" s="227" t="str">
        <f>TL[[#This Row],[Société]]&amp;" - "&amp;TL[[#This Row],[Compte]]</f>
        <v>VICTOIRE - 281410</v>
      </c>
      <c r="B1193" s="233" t="s">
        <v>4213</v>
      </c>
      <c r="C1193" s="227" t="s">
        <v>4214</v>
      </c>
      <c r="F1193" s="227" t="s">
        <v>3002</v>
      </c>
    </row>
    <row r="1194" spans="1:6" x14ac:dyDescent="0.25">
      <c r="A1194" s="227" t="str">
        <f>TL[[#This Row],[Société]]&amp;" - "&amp;TL[[#This Row],[Compte]]</f>
        <v>VICTOIRE - 281450</v>
      </c>
      <c r="B1194" s="233" t="s">
        <v>1818</v>
      </c>
      <c r="C1194" s="227" t="s">
        <v>4215</v>
      </c>
      <c r="F1194" s="227" t="s">
        <v>3002</v>
      </c>
    </row>
    <row r="1195" spans="1:6" x14ac:dyDescent="0.25">
      <c r="A1195" s="227" t="str">
        <f>TL[[#This Row],[Société]]&amp;" - "&amp;TL[[#This Row],[Compte]]</f>
        <v>VICTOIRE - 281500</v>
      </c>
      <c r="B1195" s="233" t="s">
        <v>1819</v>
      </c>
      <c r="C1195" s="227" t="s">
        <v>4216</v>
      </c>
      <c r="F1195" s="227" t="s">
        <v>3002</v>
      </c>
    </row>
    <row r="1196" spans="1:6" x14ac:dyDescent="0.25">
      <c r="A1196" s="227" t="str">
        <f>TL[[#This Row],[Société]]&amp;" - "&amp;TL[[#This Row],[Compte]]</f>
        <v>VICTOIRE - 281540</v>
      </c>
      <c r="B1196" s="233" t="s">
        <v>1658</v>
      </c>
      <c r="C1196" s="227" t="s">
        <v>4217</v>
      </c>
      <c r="F1196" s="227" t="s">
        <v>3002</v>
      </c>
    </row>
    <row r="1197" spans="1:6" x14ac:dyDescent="0.25">
      <c r="A1197" s="227" t="str">
        <f>TL[[#This Row],[Société]]&amp;" - "&amp;TL[[#This Row],[Compte]]</f>
        <v>VICTOIRE - 281541</v>
      </c>
      <c r="B1197" s="233" t="s">
        <v>4218</v>
      </c>
      <c r="C1197" s="227" t="s">
        <v>4219</v>
      </c>
      <c r="F1197" s="227" t="s">
        <v>3002</v>
      </c>
    </row>
    <row r="1198" spans="1:6" x14ac:dyDescent="0.25">
      <c r="A1198" s="227" t="str">
        <f>TL[[#This Row],[Société]]&amp;" - "&amp;TL[[#This Row],[Compte]]</f>
        <v>VICTOIRE - 281810</v>
      </c>
      <c r="B1198" s="233" t="s">
        <v>1660</v>
      </c>
      <c r="C1198" s="227" t="s">
        <v>4220</v>
      </c>
      <c r="F1198" s="227" t="s">
        <v>3002</v>
      </c>
    </row>
    <row r="1199" spans="1:6" x14ac:dyDescent="0.25">
      <c r="A1199" s="227" t="str">
        <f>TL[[#This Row],[Société]]&amp;" - "&amp;TL[[#This Row],[Compte]]</f>
        <v>VICTOIRE - 281820</v>
      </c>
      <c r="B1199" s="233" t="s">
        <v>4221</v>
      </c>
      <c r="C1199" s="227" t="s">
        <v>4222</v>
      </c>
      <c r="F1199" s="227" t="s">
        <v>3002</v>
      </c>
    </row>
    <row r="1200" spans="1:6" x14ac:dyDescent="0.25">
      <c r="A1200" s="227" t="str">
        <f>TL[[#This Row],[Société]]&amp;" - "&amp;TL[[#This Row],[Compte]]</f>
        <v>VICTOIRE - 281830</v>
      </c>
      <c r="B1200" s="233" t="s">
        <v>1661</v>
      </c>
      <c r="C1200" s="227" t="s">
        <v>4223</v>
      </c>
      <c r="F1200" s="227" t="s">
        <v>3002</v>
      </c>
    </row>
    <row r="1201" spans="1:6" x14ac:dyDescent="0.25">
      <c r="A1201" s="227" t="str">
        <f>TL[[#This Row],[Société]]&amp;" - "&amp;TL[[#This Row],[Compte]]</f>
        <v>VICTOIRE - 281840</v>
      </c>
      <c r="B1201" s="233" t="s">
        <v>1662</v>
      </c>
      <c r="C1201" s="227" t="s">
        <v>4224</v>
      </c>
      <c r="F1201" s="227" t="s">
        <v>3002</v>
      </c>
    </row>
    <row r="1202" spans="1:6" x14ac:dyDescent="0.25">
      <c r="A1202" s="227" t="str">
        <f>TL[[#This Row],[Société]]&amp;" - "&amp;TL[[#This Row],[Compte]]</f>
        <v>VICTOIRE - 281860</v>
      </c>
      <c r="B1202" s="233" t="s">
        <v>4225</v>
      </c>
      <c r="C1202" s="227" t="s">
        <v>4226</v>
      </c>
      <c r="F1202" s="227" t="s">
        <v>3002</v>
      </c>
    </row>
    <row r="1203" spans="1:6" x14ac:dyDescent="0.25">
      <c r="A1203" s="227" t="str">
        <f>TL[[#This Row],[Société]]&amp;" - "&amp;TL[[#This Row],[Compte]]</f>
        <v>VICTOIRE - 282000</v>
      </c>
      <c r="B1203" s="233" t="s">
        <v>4227</v>
      </c>
      <c r="C1203" s="227" t="s">
        <v>4228</v>
      </c>
      <c r="F1203" s="227" t="s">
        <v>3002</v>
      </c>
    </row>
    <row r="1204" spans="1:6" x14ac:dyDescent="0.25">
      <c r="A1204" s="227" t="str">
        <f>TL[[#This Row],[Société]]&amp;" - "&amp;TL[[#This Row],[Compte]]</f>
        <v>VICTOIRE - 290500</v>
      </c>
      <c r="B1204" s="233" t="s">
        <v>4229</v>
      </c>
      <c r="C1204" s="227" t="s">
        <v>4230</v>
      </c>
      <c r="F1204" s="227" t="s">
        <v>3002</v>
      </c>
    </row>
    <row r="1205" spans="1:6" x14ac:dyDescent="0.25">
      <c r="A1205" s="227" t="str">
        <f>TL[[#This Row],[Société]]&amp;" - "&amp;TL[[#This Row],[Compte]]</f>
        <v>VICTOIRE - 290600</v>
      </c>
      <c r="B1205" s="233" t="s">
        <v>4231</v>
      </c>
      <c r="C1205" s="227" t="s">
        <v>4232</v>
      </c>
      <c r="F1205" s="227" t="s">
        <v>3002</v>
      </c>
    </row>
    <row r="1206" spans="1:6" x14ac:dyDescent="0.25">
      <c r="A1206" s="227" t="str">
        <f>TL[[#This Row],[Société]]&amp;" - "&amp;TL[[#This Row],[Compte]]</f>
        <v>VICTOIRE - 290700</v>
      </c>
      <c r="B1206" s="233" t="s">
        <v>4233</v>
      </c>
      <c r="C1206" s="227" t="s">
        <v>4234</v>
      </c>
      <c r="F1206" s="227" t="s">
        <v>3002</v>
      </c>
    </row>
    <row r="1207" spans="1:6" x14ac:dyDescent="0.25">
      <c r="A1207" s="227" t="str">
        <f>TL[[#This Row],[Société]]&amp;" - "&amp;TL[[#This Row],[Compte]]</f>
        <v>VICTOIRE - 290800</v>
      </c>
      <c r="B1207" s="233" t="s">
        <v>4235</v>
      </c>
      <c r="C1207" s="227" t="s">
        <v>4236</v>
      </c>
      <c r="F1207" s="227" t="s">
        <v>3002</v>
      </c>
    </row>
    <row r="1208" spans="1:6" x14ac:dyDescent="0.25">
      <c r="A1208" s="227" t="str">
        <f>TL[[#This Row],[Société]]&amp;" - "&amp;TL[[#This Row],[Compte]]</f>
        <v>VICTOIRE - 291100</v>
      </c>
      <c r="B1208" s="233" t="s">
        <v>4237</v>
      </c>
      <c r="C1208" s="227" t="s">
        <v>4238</v>
      </c>
      <c r="F1208" s="227" t="s">
        <v>3002</v>
      </c>
    </row>
    <row r="1209" spans="1:6" x14ac:dyDescent="0.25">
      <c r="A1209" s="227" t="str">
        <f>TL[[#This Row],[Société]]&amp;" - "&amp;TL[[#This Row],[Compte]]</f>
        <v>VICTOIRE - 291300</v>
      </c>
      <c r="B1209" s="233" t="s">
        <v>4239</v>
      </c>
      <c r="C1209" s="227" t="s">
        <v>4240</v>
      </c>
      <c r="F1209" s="227" t="s">
        <v>3002</v>
      </c>
    </row>
    <row r="1210" spans="1:6" x14ac:dyDescent="0.25">
      <c r="A1210" s="227" t="str">
        <f>TL[[#This Row],[Société]]&amp;" - "&amp;TL[[#This Row],[Compte]]</f>
        <v>VICTOIRE - 291500</v>
      </c>
      <c r="B1210" s="233" t="s">
        <v>4241</v>
      </c>
      <c r="C1210" s="227" t="s">
        <v>4242</v>
      </c>
      <c r="F1210" s="227" t="s">
        <v>3002</v>
      </c>
    </row>
    <row r="1211" spans="1:6" x14ac:dyDescent="0.25">
      <c r="A1211" s="227" t="str">
        <f>TL[[#This Row],[Société]]&amp;" - "&amp;TL[[#This Row],[Compte]]</f>
        <v>VICTOIRE - 291800</v>
      </c>
      <c r="B1211" s="233" t="s">
        <v>4243</v>
      </c>
      <c r="C1211" s="227" t="s">
        <v>4244</v>
      </c>
      <c r="F1211" s="227" t="s">
        <v>3002</v>
      </c>
    </row>
    <row r="1212" spans="1:6" x14ac:dyDescent="0.25">
      <c r="A1212" s="227" t="str">
        <f>TL[[#This Row],[Société]]&amp;" - "&amp;TL[[#This Row],[Compte]]</f>
        <v>VICTOIRE - 292000</v>
      </c>
      <c r="B1212" s="233" t="s">
        <v>4245</v>
      </c>
      <c r="C1212" s="227" t="s">
        <v>4246</v>
      </c>
      <c r="F1212" s="227" t="s">
        <v>3002</v>
      </c>
    </row>
    <row r="1213" spans="1:6" x14ac:dyDescent="0.25">
      <c r="A1213" s="227" t="str">
        <f>TL[[#This Row],[Société]]&amp;" - "&amp;TL[[#This Row],[Compte]]</f>
        <v>VICTOIRE - 293100</v>
      </c>
      <c r="B1213" s="233" t="s">
        <v>4247</v>
      </c>
      <c r="C1213" s="227" t="s">
        <v>4248</v>
      </c>
      <c r="F1213" s="227" t="s">
        <v>3002</v>
      </c>
    </row>
    <row r="1214" spans="1:6" x14ac:dyDescent="0.25">
      <c r="A1214" s="227" t="str">
        <f>TL[[#This Row],[Société]]&amp;" - "&amp;TL[[#This Row],[Compte]]</f>
        <v>VICTOIRE - 296100</v>
      </c>
      <c r="B1214" s="233" t="s">
        <v>4249</v>
      </c>
      <c r="C1214" s="227" t="s">
        <v>4250</v>
      </c>
      <c r="F1214" s="227" t="s">
        <v>3002</v>
      </c>
    </row>
    <row r="1215" spans="1:6" x14ac:dyDescent="0.25">
      <c r="A1215" s="227" t="str">
        <f>TL[[#This Row],[Société]]&amp;" - "&amp;TL[[#This Row],[Compte]]</f>
        <v>VICTOIRE - 296200</v>
      </c>
      <c r="B1215" s="233" t="s">
        <v>4251</v>
      </c>
      <c r="C1215" s="227" t="s">
        <v>4252</v>
      </c>
      <c r="F1215" s="227" t="s">
        <v>3002</v>
      </c>
    </row>
    <row r="1216" spans="1:6" x14ac:dyDescent="0.25">
      <c r="A1216" s="227" t="str">
        <f>TL[[#This Row],[Société]]&amp;" - "&amp;TL[[#This Row],[Compte]]</f>
        <v>VICTOIRE - 296600</v>
      </c>
      <c r="B1216" s="233" t="s">
        <v>4253</v>
      </c>
      <c r="C1216" s="227" t="s">
        <v>4254</v>
      </c>
      <c r="F1216" s="227" t="s">
        <v>3002</v>
      </c>
    </row>
    <row r="1217" spans="1:6" x14ac:dyDescent="0.25">
      <c r="A1217" s="227" t="str">
        <f>TL[[#This Row],[Société]]&amp;" - "&amp;TL[[#This Row],[Compte]]</f>
        <v>VICTOIRE - 296700</v>
      </c>
      <c r="B1217" s="233" t="s">
        <v>4255</v>
      </c>
      <c r="C1217" s="227" t="s">
        <v>4256</v>
      </c>
      <c r="F1217" s="227" t="s">
        <v>3002</v>
      </c>
    </row>
    <row r="1218" spans="1:6" x14ac:dyDescent="0.25">
      <c r="A1218" s="227" t="str">
        <f>TL[[#This Row],[Société]]&amp;" - "&amp;TL[[#This Row],[Compte]]</f>
        <v>VICTOIRE - 296800</v>
      </c>
      <c r="B1218" s="233" t="s">
        <v>4257</v>
      </c>
      <c r="C1218" s="227" t="s">
        <v>4258</v>
      </c>
      <c r="F1218" s="227" t="s">
        <v>3002</v>
      </c>
    </row>
    <row r="1219" spans="1:6" x14ac:dyDescent="0.25">
      <c r="A1219" s="227" t="str">
        <f>TL[[#This Row],[Société]]&amp;" - "&amp;TL[[#This Row],[Compte]]</f>
        <v>VICTOIRE - 297100</v>
      </c>
      <c r="B1219" s="233" t="s">
        <v>4259</v>
      </c>
      <c r="C1219" s="227" t="s">
        <v>4260</v>
      </c>
      <c r="F1219" s="227" t="s">
        <v>3002</v>
      </c>
    </row>
    <row r="1220" spans="1:6" x14ac:dyDescent="0.25">
      <c r="A1220" s="227" t="str">
        <f>TL[[#This Row],[Société]]&amp;" - "&amp;TL[[#This Row],[Compte]]</f>
        <v>VICTOIRE - 297200</v>
      </c>
      <c r="B1220" s="233" t="s">
        <v>4261</v>
      </c>
      <c r="C1220" s="227" t="s">
        <v>4262</v>
      </c>
      <c r="F1220" s="227" t="s">
        <v>3002</v>
      </c>
    </row>
    <row r="1221" spans="1:6" x14ac:dyDescent="0.25">
      <c r="A1221" s="227" t="str">
        <f>TL[[#This Row],[Société]]&amp;" - "&amp;TL[[#This Row],[Compte]]</f>
        <v>VICTOIRE - 297300</v>
      </c>
      <c r="B1221" s="233" t="s">
        <v>4263</v>
      </c>
      <c r="C1221" s="227" t="s">
        <v>4264</v>
      </c>
      <c r="F1221" s="227" t="s">
        <v>3002</v>
      </c>
    </row>
    <row r="1222" spans="1:6" x14ac:dyDescent="0.25">
      <c r="A1222" s="227" t="str">
        <f>TL[[#This Row],[Société]]&amp;" - "&amp;TL[[#This Row],[Compte]]</f>
        <v>VICTOIRE - 297400</v>
      </c>
      <c r="B1222" s="233" t="s">
        <v>4265</v>
      </c>
      <c r="C1222" s="227" t="s">
        <v>4266</v>
      </c>
      <c r="F1222" s="227" t="s">
        <v>3002</v>
      </c>
    </row>
    <row r="1223" spans="1:6" x14ac:dyDescent="0.25">
      <c r="A1223" s="227" t="str">
        <f>TL[[#This Row],[Société]]&amp;" - "&amp;TL[[#This Row],[Compte]]</f>
        <v>VICTOIRE - 297410</v>
      </c>
      <c r="B1223" s="233" t="s">
        <v>4267</v>
      </c>
      <c r="C1223" s="227" t="s">
        <v>4268</v>
      </c>
      <c r="F1223" s="227" t="s">
        <v>3002</v>
      </c>
    </row>
    <row r="1224" spans="1:6" x14ac:dyDescent="0.25">
      <c r="A1224" s="227" t="str">
        <f>TL[[#This Row],[Société]]&amp;" - "&amp;TL[[#This Row],[Compte]]</f>
        <v>VICTOIRE - 297420</v>
      </c>
      <c r="B1224" s="233" t="s">
        <v>4269</v>
      </c>
      <c r="C1224" s="227" t="s">
        <v>4270</v>
      </c>
      <c r="F1224" s="227" t="s">
        <v>3002</v>
      </c>
    </row>
    <row r="1225" spans="1:6" x14ac:dyDescent="0.25">
      <c r="A1225" s="227" t="str">
        <f>TL[[#This Row],[Société]]&amp;" - "&amp;TL[[#This Row],[Compte]]</f>
        <v>VICTOIRE - 297430</v>
      </c>
      <c r="B1225" s="233" t="s">
        <v>4271</v>
      </c>
      <c r="C1225" s="227" t="s">
        <v>4272</v>
      </c>
      <c r="F1225" s="227" t="s">
        <v>3002</v>
      </c>
    </row>
    <row r="1226" spans="1:6" x14ac:dyDescent="0.25">
      <c r="A1226" s="227" t="str">
        <f>TL[[#This Row],[Société]]&amp;" - "&amp;TL[[#This Row],[Compte]]</f>
        <v>VICTOIRE - 297480</v>
      </c>
      <c r="B1226" s="233" t="s">
        <v>4273</v>
      </c>
      <c r="C1226" s="227" t="s">
        <v>4274</v>
      </c>
      <c r="F1226" s="227" t="s">
        <v>3002</v>
      </c>
    </row>
    <row r="1227" spans="1:6" x14ac:dyDescent="0.25">
      <c r="A1227" s="227" t="str">
        <f>TL[[#This Row],[Société]]&amp;" - "&amp;TL[[#This Row],[Compte]]</f>
        <v>VICTOIRE - 297500</v>
      </c>
      <c r="B1227" s="233" t="s">
        <v>1820</v>
      </c>
      <c r="C1227" s="227" t="s">
        <v>4275</v>
      </c>
      <c r="F1227" s="227" t="s">
        <v>3002</v>
      </c>
    </row>
    <row r="1228" spans="1:6" x14ac:dyDescent="0.25">
      <c r="A1228" s="227" t="str">
        <f>TL[[#This Row],[Société]]&amp;" - "&amp;TL[[#This Row],[Compte]]</f>
        <v>VICTOIRE - 297510</v>
      </c>
      <c r="B1228" s="233" t="s">
        <v>4276</v>
      </c>
      <c r="C1228" s="227" t="s">
        <v>4277</v>
      </c>
      <c r="F1228" s="227" t="s">
        <v>3002</v>
      </c>
    </row>
    <row r="1229" spans="1:6" x14ac:dyDescent="0.25">
      <c r="A1229" s="227" t="str">
        <f>TL[[#This Row],[Société]]&amp;" - "&amp;TL[[#This Row],[Compte]]</f>
        <v>VICTOIRE - 297550</v>
      </c>
      <c r="B1229" s="233" t="s">
        <v>4278</v>
      </c>
      <c r="C1229" s="227" t="s">
        <v>4279</v>
      </c>
      <c r="F1229" s="227" t="s">
        <v>3002</v>
      </c>
    </row>
    <row r="1230" spans="1:6" x14ac:dyDescent="0.25">
      <c r="A1230" s="227" t="str">
        <f>TL[[#This Row],[Société]]&amp;" - "&amp;TL[[#This Row],[Compte]]</f>
        <v>VICTOIRE - 297600</v>
      </c>
      <c r="B1230" s="233" t="s">
        <v>4280</v>
      </c>
      <c r="C1230" s="227" t="s">
        <v>4281</v>
      </c>
      <c r="F1230" s="227" t="s">
        <v>3002</v>
      </c>
    </row>
    <row r="1231" spans="1:6" x14ac:dyDescent="0.25">
      <c r="A1231" s="227" t="str">
        <f>TL[[#This Row],[Société]]&amp;" - "&amp;TL[[#This Row],[Compte]]</f>
        <v>VICTOIRE - 310000</v>
      </c>
      <c r="B1231" s="233" t="s">
        <v>1663</v>
      </c>
      <c r="C1231" s="227" t="s">
        <v>4282</v>
      </c>
      <c r="F1231" s="227" t="s">
        <v>3002</v>
      </c>
    </row>
    <row r="1232" spans="1:6" x14ac:dyDescent="0.25">
      <c r="A1232" s="227" t="str">
        <f>TL[[#This Row],[Société]]&amp;" - "&amp;TL[[#This Row],[Compte]]</f>
        <v>VICTOIRE - 311000</v>
      </c>
      <c r="B1232" s="233" t="s">
        <v>4283</v>
      </c>
      <c r="C1232" s="227" t="s">
        <v>4284</v>
      </c>
      <c r="F1232" s="227" t="s">
        <v>3002</v>
      </c>
    </row>
    <row r="1233" spans="1:6" x14ac:dyDescent="0.25">
      <c r="A1233" s="227" t="str">
        <f>TL[[#This Row],[Société]]&amp;" - "&amp;TL[[#This Row],[Compte]]</f>
        <v>VICTOIRE - 312000</v>
      </c>
      <c r="B1233" s="233" t="s">
        <v>4285</v>
      </c>
      <c r="C1233" s="227" t="s">
        <v>4286</v>
      </c>
      <c r="F1233" s="227" t="s">
        <v>3002</v>
      </c>
    </row>
    <row r="1234" spans="1:6" x14ac:dyDescent="0.25">
      <c r="A1234" s="227" t="str">
        <f>TL[[#This Row],[Société]]&amp;" - "&amp;TL[[#This Row],[Compte]]</f>
        <v>VICTOIRE - 317000</v>
      </c>
      <c r="B1234" s="233" t="s">
        <v>4287</v>
      </c>
      <c r="C1234" s="227" t="s">
        <v>4288</v>
      </c>
      <c r="F1234" s="227" t="s">
        <v>3002</v>
      </c>
    </row>
    <row r="1235" spans="1:6" x14ac:dyDescent="0.25">
      <c r="A1235" s="227" t="str">
        <f>TL[[#This Row],[Société]]&amp;" - "&amp;TL[[#This Row],[Compte]]</f>
        <v>VICTOIRE - 320000</v>
      </c>
      <c r="B1235" s="233" t="s">
        <v>1664</v>
      </c>
      <c r="C1235" s="227" t="s">
        <v>3773</v>
      </c>
      <c r="F1235" s="227" t="s">
        <v>3002</v>
      </c>
    </row>
    <row r="1236" spans="1:6" x14ac:dyDescent="0.25">
      <c r="A1236" s="227" t="str">
        <f>TL[[#This Row],[Société]]&amp;" - "&amp;TL[[#This Row],[Compte]]</f>
        <v>VICTOIRE - 321000</v>
      </c>
      <c r="B1236" s="233" t="s">
        <v>1665</v>
      </c>
      <c r="C1236" s="227" t="s">
        <v>4289</v>
      </c>
      <c r="F1236" s="227" t="s">
        <v>3002</v>
      </c>
    </row>
    <row r="1237" spans="1:6" x14ac:dyDescent="0.25">
      <c r="A1237" s="227" t="str">
        <f>TL[[#This Row],[Société]]&amp;" - "&amp;TL[[#This Row],[Compte]]</f>
        <v>VICTOIRE - 321100</v>
      </c>
      <c r="B1237" s="233" t="s">
        <v>4290</v>
      </c>
      <c r="C1237" s="227" t="s">
        <v>4291</v>
      </c>
      <c r="F1237" s="227" t="s">
        <v>3002</v>
      </c>
    </row>
    <row r="1238" spans="1:6" x14ac:dyDescent="0.25">
      <c r="A1238" s="227" t="str">
        <f>TL[[#This Row],[Société]]&amp;" - "&amp;TL[[#This Row],[Compte]]</f>
        <v>VICTOIRE - 321200</v>
      </c>
      <c r="B1238" s="233" t="s">
        <v>4292</v>
      </c>
      <c r="C1238" s="227" t="s">
        <v>4293</v>
      </c>
      <c r="F1238" s="227" t="s">
        <v>3002</v>
      </c>
    </row>
    <row r="1239" spans="1:6" x14ac:dyDescent="0.25">
      <c r="A1239" s="227" t="str">
        <f>TL[[#This Row],[Société]]&amp;" - "&amp;TL[[#This Row],[Compte]]</f>
        <v>VICTOIRE - 322000</v>
      </c>
      <c r="B1239" s="233" t="s">
        <v>4294</v>
      </c>
      <c r="C1239" s="227" t="s">
        <v>4295</v>
      </c>
      <c r="F1239" s="227" t="s">
        <v>3002</v>
      </c>
    </row>
    <row r="1240" spans="1:6" x14ac:dyDescent="0.25">
      <c r="A1240" s="227" t="str">
        <f>TL[[#This Row],[Société]]&amp;" - "&amp;TL[[#This Row],[Compte]]</f>
        <v>VICTOIRE - 322100</v>
      </c>
      <c r="B1240" s="233" t="s">
        <v>4296</v>
      </c>
      <c r="C1240" s="227" t="s">
        <v>4297</v>
      </c>
      <c r="F1240" s="227" t="s">
        <v>3002</v>
      </c>
    </row>
    <row r="1241" spans="1:6" x14ac:dyDescent="0.25">
      <c r="A1241" s="227" t="str">
        <f>TL[[#This Row],[Société]]&amp;" - "&amp;TL[[#This Row],[Compte]]</f>
        <v>VICTOIRE - 322200</v>
      </c>
      <c r="B1241" s="233" t="s">
        <v>4298</v>
      </c>
      <c r="C1241" s="227" t="s">
        <v>4299</v>
      </c>
      <c r="F1241" s="227" t="s">
        <v>3002</v>
      </c>
    </row>
    <row r="1242" spans="1:6" x14ac:dyDescent="0.25">
      <c r="A1242" s="227" t="str">
        <f>TL[[#This Row],[Société]]&amp;" - "&amp;TL[[#This Row],[Compte]]</f>
        <v>VICTOIRE - 322300</v>
      </c>
      <c r="B1242" s="233" t="s">
        <v>4300</v>
      </c>
      <c r="C1242" s="227" t="s">
        <v>4301</v>
      </c>
      <c r="F1242" s="227" t="s">
        <v>3002</v>
      </c>
    </row>
    <row r="1243" spans="1:6" x14ac:dyDescent="0.25">
      <c r="A1243" s="227" t="str">
        <f>TL[[#This Row],[Société]]&amp;" - "&amp;TL[[#This Row],[Compte]]</f>
        <v>VICTOIRE - 322400</v>
      </c>
      <c r="B1243" s="233" t="s">
        <v>4302</v>
      </c>
      <c r="C1243" s="227" t="s">
        <v>4303</v>
      </c>
      <c r="F1243" s="227" t="s">
        <v>3002</v>
      </c>
    </row>
    <row r="1244" spans="1:6" x14ac:dyDescent="0.25">
      <c r="A1244" s="227" t="str">
        <f>TL[[#This Row],[Société]]&amp;" - "&amp;TL[[#This Row],[Compte]]</f>
        <v>VICTOIRE - 322500</v>
      </c>
      <c r="B1244" s="233" t="s">
        <v>4304</v>
      </c>
      <c r="C1244" s="227" t="s">
        <v>214</v>
      </c>
      <c r="F1244" s="227" t="s">
        <v>3002</v>
      </c>
    </row>
    <row r="1245" spans="1:6" x14ac:dyDescent="0.25">
      <c r="A1245" s="227" t="str">
        <f>TL[[#This Row],[Société]]&amp;" - "&amp;TL[[#This Row],[Compte]]</f>
        <v>VICTOIRE - 326000</v>
      </c>
      <c r="B1245" s="233" t="s">
        <v>4305</v>
      </c>
      <c r="C1245" s="227" t="s">
        <v>4306</v>
      </c>
      <c r="F1245" s="227" t="s">
        <v>3002</v>
      </c>
    </row>
    <row r="1246" spans="1:6" x14ac:dyDescent="0.25">
      <c r="A1246" s="227" t="str">
        <f>TL[[#This Row],[Société]]&amp;" - "&amp;TL[[#This Row],[Compte]]</f>
        <v>VICTOIRE - 331000</v>
      </c>
      <c r="B1246" s="233" t="s">
        <v>4307</v>
      </c>
      <c r="C1246" s="227" t="s">
        <v>4308</v>
      </c>
      <c r="F1246" s="227" t="s">
        <v>3002</v>
      </c>
    </row>
    <row r="1247" spans="1:6" x14ac:dyDescent="0.25">
      <c r="A1247" s="227" t="str">
        <f>TL[[#This Row],[Société]]&amp;" - "&amp;TL[[#This Row],[Compte]]</f>
        <v>VICTOIRE - 335000</v>
      </c>
      <c r="B1247" s="233" t="s">
        <v>4309</v>
      </c>
      <c r="C1247" s="227" t="s">
        <v>4310</v>
      </c>
      <c r="F1247" s="227" t="s">
        <v>3002</v>
      </c>
    </row>
    <row r="1248" spans="1:6" x14ac:dyDescent="0.25">
      <c r="A1248" s="227" t="str">
        <f>TL[[#This Row],[Société]]&amp;" - "&amp;TL[[#This Row],[Compte]]</f>
        <v>VICTOIRE - 341000</v>
      </c>
      <c r="B1248" s="233" t="s">
        <v>4311</v>
      </c>
      <c r="C1248" s="227" t="s">
        <v>4312</v>
      </c>
      <c r="F1248" s="227" t="s">
        <v>3002</v>
      </c>
    </row>
    <row r="1249" spans="1:6" x14ac:dyDescent="0.25">
      <c r="A1249" s="227" t="str">
        <f>TL[[#This Row],[Société]]&amp;" - "&amp;TL[[#This Row],[Compte]]</f>
        <v>VICTOIRE - 345000</v>
      </c>
      <c r="B1249" s="233" t="s">
        <v>4313</v>
      </c>
      <c r="C1249" s="227" t="s">
        <v>4314</v>
      </c>
      <c r="F1249" s="227" t="s">
        <v>3002</v>
      </c>
    </row>
    <row r="1250" spans="1:6" x14ac:dyDescent="0.25">
      <c r="A1250" s="227" t="str">
        <f>TL[[#This Row],[Société]]&amp;" - "&amp;TL[[#This Row],[Compte]]</f>
        <v>VICTOIRE - 348000</v>
      </c>
      <c r="B1250" s="233" t="s">
        <v>4315</v>
      </c>
      <c r="C1250" s="227" t="s">
        <v>4316</v>
      </c>
      <c r="F1250" s="227" t="s">
        <v>3002</v>
      </c>
    </row>
    <row r="1251" spans="1:6" x14ac:dyDescent="0.25">
      <c r="A1251" s="227" t="str">
        <f>TL[[#This Row],[Société]]&amp;" - "&amp;TL[[#This Row],[Compte]]</f>
        <v>VICTOIRE - 351000</v>
      </c>
      <c r="B1251" s="233" t="s">
        <v>4317</v>
      </c>
      <c r="C1251" s="227" t="s">
        <v>4318</v>
      </c>
      <c r="F1251" s="227" t="s">
        <v>3002</v>
      </c>
    </row>
    <row r="1252" spans="1:6" x14ac:dyDescent="0.25">
      <c r="A1252" s="227" t="str">
        <f>TL[[#This Row],[Société]]&amp;" - "&amp;TL[[#This Row],[Compte]]</f>
        <v>VICTOIRE - 351100</v>
      </c>
      <c r="B1252" s="233" t="s">
        <v>4319</v>
      </c>
      <c r="C1252" s="227" t="s">
        <v>4320</v>
      </c>
      <c r="F1252" s="227" t="s">
        <v>3002</v>
      </c>
    </row>
    <row r="1253" spans="1:6" x14ac:dyDescent="0.25">
      <c r="A1253" s="227" t="str">
        <f>TL[[#This Row],[Société]]&amp;" - "&amp;TL[[#This Row],[Compte]]</f>
        <v>VICTOIRE - 351200</v>
      </c>
      <c r="B1253" s="233" t="s">
        <v>4321</v>
      </c>
      <c r="C1253" s="227" t="s">
        <v>4322</v>
      </c>
      <c r="F1253" s="227" t="s">
        <v>3002</v>
      </c>
    </row>
    <row r="1254" spans="1:6" x14ac:dyDescent="0.25">
      <c r="A1254" s="227" t="str">
        <f>TL[[#This Row],[Société]]&amp;" - "&amp;TL[[#This Row],[Compte]]</f>
        <v>VICTOIRE - 355000</v>
      </c>
      <c r="B1254" s="233" t="s">
        <v>4323</v>
      </c>
      <c r="C1254" s="227" t="s">
        <v>4324</v>
      </c>
      <c r="F1254" s="227" t="s">
        <v>3002</v>
      </c>
    </row>
    <row r="1255" spans="1:6" x14ac:dyDescent="0.25">
      <c r="A1255" s="227" t="str">
        <f>TL[[#This Row],[Société]]&amp;" - "&amp;TL[[#This Row],[Compte]]</f>
        <v>VICTOIRE - 355100</v>
      </c>
      <c r="B1255" s="233" t="s">
        <v>4325</v>
      </c>
      <c r="C1255" s="227" t="s">
        <v>4326</v>
      </c>
      <c r="F1255" s="227" t="s">
        <v>3002</v>
      </c>
    </row>
    <row r="1256" spans="1:6" x14ac:dyDescent="0.25">
      <c r="A1256" s="227" t="str">
        <f>TL[[#This Row],[Société]]&amp;" - "&amp;TL[[#This Row],[Compte]]</f>
        <v>VICTOIRE - 355200</v>
      </c>
      <c r="B1256" s="233" t="s">
        <v>4327</v>
      </c>
      <c r="C1256" s="227" t="s">
        <v>4328</v>
      </c>
      <c r="F1256" s="227" t="s">
        <v>3002</v>
      </c>
    </row>
    <row r="1257" spans="1:6" x14ac:dyDescent="0.25">
      <c r="A1257" s="227" t="str">
        <f>TL[[#This Row],[Société]]&amp;" - "&amp;TL[[#This Row],[Compte]]</f>
        <v>VICTOIRE - 358000</v>
      </c>
      <c r="B1257" s="233" t="s">
        <v>4329</v>
      </c>
      <c r="C1257" s="227" t="s">
        <v>4330</v>
      </c>
      <c r="F1257" s="227" t="s">
        <v>3002</v>
      </c>
    </row>
    <row r="1258" spans="1:6" x14ac:dyDescent="0.25">
      <c r="A1258" s="227" t="str">
        <f>TL[[#This Row],[Société]]&amp;" - "&amp;TL[[#This Row],[Compte]]</f>
        <v>VICTOIRE - 360000</v>
      </c>
      <c r="B1258" s="233" t="s">
        <v>4331</v>
      </c>
      <c r="C1258" s="227" t="s">
        <v>4332</v>
      </c>
      <c r="F1258" s="227" t="s">
        <v>3002</v>
      </c>
    </row>
    <row r="1259" spans="1:6" x14ac:dyDescent="0.25">
      <c r="A1259" s="227" t="str">
        <f>TL[[#This Row],[Société]]&amp;" - "&amp;TL[[#This Row],[Compte]]</f>
        <v>VICTOIRE - 370000</v>
      </c>
      <c r="B1259" s="233" t="s">
        <v>4333</v>
      </c>
      <c r="C1259" s="227" t="s">
        <v>4334</v>
      </c>
      <c r="F1259" s="227" t="s">
        <v>3002</v>
      </c>
    </row>
    <row r="1260" spans="1:6" x14ac:dyDescent="0.25">
      <c r="A1260" s="227" t="str">
        <f>TL[[#This Row],[Société]]&amp;" - "&amp;TL[[#This Row],[Compte]]</f>
        <v>VICTOIRE - 371000</v>
      </c>
      <c r="B1260" s="233" t="s">
        <v>4335</v>
      </c>
      <c r="C1260" s="227" t="s">
        <v>4336</v>
      </c>
      <c r="F1260" s="227" t="s">
        <v>3002</v>
      </c>
    </row>
    <row r="1261" spans="1:6" x14ac:dyDescent="0.25">
      <c r="A1261" s="227" t="str">
        <f>TL[[#This Row],[Société]]&amp;" - "&amp;TL[[#This Row],[Compte]]</f>
        <v>VICTOIRE - 372000</v>
      </c>
      <c r="B1261" s="233" t="s">
        <v>4337</v>
      </c>
      <c r="C1261" s="227" t="s">
        <v>4338</v>
      </c>
      <c r="F1261" s="227" t="s">
        <v>3002</v>
      </c>
    </row>
    <row r="1262" spans="1:6" x14ac:dyDescent="0.25">
      <c r="A1262" s="227" t="str">
        <f>TL[[#This Row],[Société]]&amp;" - "&amp;TL[[#This Row],[Compte]]</f>
        <v>VICTOIRE - 391000</v>
      </c>
      <c r="B1262" s="233" t="s">
        <v>4339</v>
      </c>
      <c r="C1262" s="227" t="s">
        <v>4340</v>
      </c>
      <c r="F1262" s="227" t="s">
        <v>3002</v>
      </c>
    </row>
    <row r="1263" spans="1:6" x14ac:dyDescent="0.25">
      <c r="A1263" s="227" t="str">
        <f>TL[[#This Row],[Société]]&amp;" - "&amp;TL[[#This Row],[Compte]]</f>
        <v>VICTOIRE - 392000</v>
      </c>
      <c r="B1263" s="233" t="s">
        <v>4341</v>
      </c>
      <c r="C1263" s="227" t="s">
        <v>4342</v>
      </c>
      <c r="F1263" s="227" t="s">
        <v>3002</v>
      </c>
    </row>
    <row r="1264" spans="1:6" x14ac:dyDescent="0.25">
      <c r="A1264" s="227" t="str">
        <f>TL[[#This Row],[Société]]&amp;" - "&amp;TL[[#This Row],[Compte]]</f>
        <v>VICTOIRE - 393000</v>
      </c>
      <c r="B1264" s="233" t="s">
        <v>4343</v>
      </c>
      <c r="C1264" s="227" t="s">
        <v>4344</v>
      </c>
      <c r="F1264" s="227" t="s">
        <v>3002</v>
      </c>
    </row>
    <row r="1265" spans="1:6" x14ac:dyDescent="0.25">
      <c r="A1265" s="227" t="str">
        <f>TL[[#This Row],[Société]]&amp;" - "&amp;TL[[#This Row],[Compte]]</f>
        <v>VICTOIRE - 394000</v>
      </c>
      <c r="B1265" s="233" t="s">
        <v>4345</v>
      </c>
      <c r="C1265" s="227" t="s">
        <v>4346</v>
      </c>
      <c r="F1265" s="227" t="s">
        <v>3002</v>
      </c>
    </row>
    <row r="1266" spans="1:6" x14ac:dyDescent="0.25">
      <c r="A1266" s="227" t="str">
        <f>TL[[#This Row],[Société]]&amp;" - "&amp;TL[[#This Row],[Compte]]</f>
        <v>VICTOIRE - 395000</v>
      </c>
      <c r="B1266" s="233" t="s">
        <v>4347</v>
      </c>
      <c r="C1266" s="227" t="s">
        <v>4348</v>
      </c>
      <c r="F1266" s="227" t="s">
        <v>3002</v>
      </c>
    </row>
    <row r="1267" spans="1:6" x14ac:dyDescent="0.25">
      <c r="A1267" s="227" t="str">
        <f>TL[[#This Row],[Société]]&amp;" - "&amp;TL[[#This Row],[Compte]]</f>
        <v>VICTOIRE - 397000</v>
      </c>
      <c r="B1267" s="233" t="s">
        <v>4349</v>
      </c>
      <c r="C1267" s="227" t="s">
        <v>4350</v>
      </c>
      <c r="F1267" s="227" t="s">
        <v>3002</v>
      </c>
    </row>
    <row r="1268" spans="1:6" x14ac:dyDescent="0.25">
      <c r="A1268" s="227" t="str">
        <f>TL[[#This Row],[Société]]&amp;" - "&amp;TL[[#This Row],[Compte]]</f>
        <v>VICTOIRE - 401000</v>
      </c>
      <c r="B1268" s="233" t="s">
        <v>1581</v>
      </c>
      <c r="C1268" s="227" t="s">
        <v>564</v>
      </c>
      <c r="F1268" s="227" t="s">
        <v>3002</v>
      </c>
    </row>
    <row r="1269" spans="1:6" x14ac:dyDescent="0.25">
      <c r="A1269" s="227" t="str">
        <f>TL[[#This Row],[Société]]&amp;" - "&amp;TL[[#This Row],[Compte]]</f>
        <v>VICTOIRE - 401100</v>
      </c>
      <c r="B1269" s="233" t="s">
        <v>1822</v>
      </c>
      <c r="C1269" s="227" t="s">
        <v>564</v>
      </c>
      <c r="F1269" s="227" t="s">
        <v>3002</v>
      </c>
    </row>
    <row r="1270" spans="1:6" x14ac:dyDescent="0.25">
      <c r="A1270" s="227" t="str">
        <f>TL[[#This Row],[Société]]&amp;" - "&amp;TL[[#This Row],[Compte]]</f>
        <v>VICTOIRE - 401700</v>
      </c>
      <c r="B1270" s="233" t="s">
        <v>4351</v>
      </c>
      <c r="C1270" s="227" t="s">
        <v>4352</v>
      </c>
      <c r="F1270" s="227" t="s">
        <v>3002</v>
      </c>
    </row>
    <row r="1271" spans="1:6" x14ac:dyDescent="0.25">
      <c r="A1271" s="227" t="str">
        <f>TL[[#This Row],[Société]]&amp;" - "&amp;TL[[#This Row],[Compte]]</f>
        <v>VICTOIRE - 403000</v>
      </c>
      <c r="B1271" s="233" t="s">
        <v>4353</v>
      </c>
      <c r="C1271" s="227" t="s">
        <v>4354</v>
      </c>
      <c r="F1271" s="227" t="s">
        <v>3002</v>
      </c>
    </row>
    <row r="1272" spans="1:6" x14ac:dyDescent="0.25">
      <c r="A1272" s="227" t="str">
        <f>TL[[#This Row],[Société]]&amp;" - "&amp;TL[[#This Row],[Compte]]</f>
        <v>VICTOIRE - 404100</v>
      </c>
      <c r="B1272" s="233" t="s">
        <v>1823</v>
      </c>
      <c r="C1272" s="227" t="s">
        <v>664</v>
      </c>
      <c r="F1272" s="227" t="s">
        <v>3002</v>
      </c>
    </row>
    <row r="1273" spans="1:6" x14ac:dyDescent="0.25">
      <c r="A1273" s="227" t="str">
        <f>TL[[#This Row],[Société]]&amp;" - "&amp;TL[[#This Row],[Compte]]</f>
        <v>VICTOIRE - 404170</v>
      </c>
      <c r="B1273" s="233" t="s">
        <v>4355</v>
      </c>
      <c r="C1273" s="227" t="s">
        <v>4356</v>
      </c>
      <c r="F1273" s="227" t="s">
        <v>3002</v>
      </c>
    </row>
    <row r="1274" spans="1:6" x14ac:dyDescent="0.25">
      <c r="A1274" s="227" t="str">
        <f>TL[[#This Row],[Société]]&amp;" - "&amp;TL[[#This Row],[Compte]]</f>
        <v>VICTOIRE - 404180</v>
      </c>
      <c r="B1274" s="233" t="s">
        <v>4357</v>
      </c>
      <c r="C1274" s="227" t="s">
        <v>4358</v>
      </c>
      <c r="F1274" s="227" t="s">
        <v>3002</v>
      </c>
    </row>
    <row r="1275" spans="1:6" x14ac:dyDescent="0.25">
      <c r="A1275" s="227" t="str">
        <f>TL[[#This Row],[Société]]&amp;" - "&amp;TL[[#This Row],[Compte]]</f>
        <v>VICTOIRE - 404700</v>
      </c>
      <c r="B1275" s="233" t="s">
        <v>4359</v>
      </c>
      <c r="C1275" s="227" t="s">
        <v>4360</v>
      </c>
      <c r="F1275" s="227" t="s">
        <v>3002</v>
      </c>
    </row>
    <row r="1276" spans="1:6" x14ac:dyDescent="0.25">
      <c r="A1276" s="227" t="str">
        <f>TL[[#This Row],[Société]]&amp;" - "&amp;TL[[#This Row],[Compte]]</f>
        <v>VICTOIRE - 405000</v>
      </c>
      <c r="B1276" s="233" t="s">
        <v>4361</v>
      </c>
      <c r="C1276" s="227" t="s">
        <v>4362</v>
      </c>
      <c r="F1276" s="227" t="s">
        <v>3002</v>
      </c>
    </row>
    <row r="1277" spans="1:6" x14ac:dyDescent="0.25">
      <c r="A1277" s="227" t="str">
        <f>TL[[#This Row],[Société]]&amp;" - "&amp;TL[[#This Row],[Compte]]</f>
        <v>VICTOIRE - 408100</v>
      </c>
      <c r="B1277" s="233" t="s">
        <v>1666</v>
      </c>
      <c r="C1277" s="227" t="s">
        <v>4363</v>
      </c>
      <c r="F1277" s="227" t="s">
        <v>3002</v>
      </c>
    </row>
    <row r="1278" spans="1:6" x14ac:dyDescent="0.25">
      <c r="A1278" s="227" t="str">
        <f>TL[[#This Row],[Société]]&amp;" - "&amp;TL[[#This Row],[Compte]]</f>
        <v>VICTOIRE - 408101</v>
      </c>
      <c r="B1278" s="233" t="s">
        <v>4364</v>
      </c>
      <c r="C1278" s="227" t="s">
        <v>4365</v>
      </c>
      <c r="F1278" s="227" t="s">
        <v>3002</v>
      </c>
    </row>
    <row r="1279" spans="1:6" x14ac:dyDescent="0.25">
      <c r="A1279" s="227" t="str">
        <f>TL[[#This Row],[Société]]&amp;" - "&amp;TL[[#This Row],[Compte]]</f>
        <v>VICTOIRE - 408102</v>
      </c>
      <c r="B1279" s="233" t="s">
        <v>4366</v>
      </c>
      <c r="C1279" s="227" t="s">
        <v>4367</v>
      </c>
      <c r="F1279" s="227" t="s">
        <v>3002</v>
      </c>
    </row>
    <row r="1280" spans="1:6" x14ac:dyDescent="0.25">
      <c r="A1280" s="227" t="str">
        <f>TL[[#This Row],[Société]]&amp;" - "&amp;TL[[#This Row],[Compte]]</f>
        <v>VICTOIRE - 408104</v>
      </c>
      <c r="B1280" s="233" t="s">
        <v>4368</v>
      </c>
      <c r="C1280" s="227" t="s">
        <v>4369</v>
      </c>
      <c r="F1280" s="227" t="s">
        <v>3002</v>
      </c>
    </row>
    <row r="1281" spans="1:6" x14ac:dyDescent="0.25">
      <c r="A1281" s="227" t="str">
        <f>TL[[#This Row],[Société]]&amp;" - "&amp;TL[[#This Row],[Compte]]</f>
        <v>VICTOIRE - 408106</v>
      </c>
      <c r="B1281" s="233" t="s">
        <v>4370</v>
      </c>
      <c r="C1281" s="227" t="s">
        <v>4371</v>
      </c>
      <c r="F1281" s="227" t="s">
        <v>3002</v>
      </c>
    </row>
    <row r="1282" spans="1:6" x14ac:dyDescent="0.25">
      <c r="A1282" s="227" t="str">
        <f>TL[[#This Row],[Société]]&amp;" - "&amp;TL[[#This Row],[Compte]]</f>
        <v>VICTOIRE - 408107</v>
      </c>
      <c r="B1282" s="233" t="s">
        <v>4372</v>
      </c>
      <c r="C1282" s="227" t="s">
        <v>4373</v>
      </c>
      <c r="F1282" s="227" t="s">
        <v>3002</v>
      </c>
    </row>
    <row r="1283" spans="1:6" x14ac:dyDescent="0.25">
      <c r="A1283" s="227" t="str">
        <f>TL[[#This Row],[Société]]&amp;" - "&amp;TL[[#This Row],[Compte]]</f>
        <v>VICTOIRE - 408132</v>
      </c>
      <c r="B1283" s="233" t="s">
        <v>4374</v>
      </c>
      <c r="C1283" s="227" t="s">
        <v>4375</v>
      </c>
      <c r="F1283" s="227" t="s">
        <v>3002</v>
      </c>
    </row>
    <row r="1284" spans="1:6" x14ac:dyDescent="0.25">
      <c r="A1284" s="227" t="str">
        <f>TL[[#This Row],[Société]]&amp;" - "&amp;TL[[#This Row],[Compte]]</f>
        <v>VICTOIRE - 408133</v>
      </c>
      <c r="B1284" s="233" t="s">
        <v>4376</v>
      </c>
      <c r="C1284" s="227" t="s">
        <v>4377</v>
      </c>
      <c r="F1284" s="227" t="s">
        <v>3002</v>
      </c>
    </row>
    <row r="1285" spans="1:6" x14ac:dyDescent="0.25">
      <c r="A1285" s="227" t="str">
        <f>TL[[#This Row],[Société]]&amp;" - "&amp;TL[[#This Row],[Compte]]</f>
        <v>VICTOIRE - 408135</v>
      </c>
      <c r="B1285" s="233" t="s">
        <v>4378</v>
      </c>
      <c r="C1285" s="227" t="s">
        <v>4375</v>
      </c>
      <c r="F1285" s="227" t="s">
        <v>3002</v>
      </c>
    </row>
    <row r="1286" spans="1:6" x14ac:dyDescent="0.25">
      <c r="A1286" s="227" t="str">
        <f>TL[[#This Row],[Société]]&amp;" - "&amp;TL[[#This Row],[Compte]]</f>
        <v>VICTOIRE - 408140</v>
      </c>
      <c r="B1286" s="233" t="s">
        <v>4379</v>
      </c>
      <c r="C1286" s="227" t="s">
        <v>4380</v>
      </c>
      <c r="F1286" s="227" t="s">
        <v>3002</v>
      </c>
    </row>
    <row r="1287" spans="1:6" x14ac:dyDescent="0.25">
      <c r="A1287" s="227" t="str">
        <f>TL[[#This Row],[Société]]&amp;" - "&amp;TL[[#This Row],[Compte]]</f>
        <v>VICTOIRE - 408152</v>
      </c>
      <c r="B1287" s="233" t="s">
        <v>4381</v>
      </c>
      <c r="C1287" s="227" t="s">
        <v>4382</v>
      </c>
      <c r="F1287" s="227" t="s">
        <v>3002</v>
      </c>
    </row>
    <row r="1288" spans="1:6" x14ac:dyDescent="0.25">
      <c r="A1288" s="227" t="str">
        <f>TL[[#This Row],[Société]]&amp;" - "&amp;TL[[#This Row],[Compte]]</f>
        <v>VICTOIRE - 408155</v>
      </c>
      <c r="B1288" s="233" t="s">
        <v>4383</v>
      </c>
      <c r="C1288" s="227" t="s">
        <v>4384</v>
      </c>
      <c r="F1288" s="227" t="s">
        <v>3002</v>
      </c>
    </row>
    <row r="1289" spans="1:6" x14ac:dyDescent="0.25">
      <c r="A1289" s="227" t="str">
        <f>TL[[#This Row],[Société]]&amp;" - "&amp;TL[[#This Row],[Compte]]</f>
        <v>VICTOIRE - 408156</v>
      </c>
      <c r="B1289" s="233" t="s">
        <v>4385</v>
      </c>
      <c r="C1289" s="227" t="s">
        <v>4386</v>
      </c>
      <c r="F1289" s="227" t="s">
        <v>3002</v>
      </c>
    </row>
    <row r="1290" spans="1:6" x14ac:dyDescent="0.25">
      <c r="A1290" s="227" t="str">
        <f>TL[[#This Row],[Société]]&amp;" - "&amp;TL[[#This Row],[Compte]]</f>
        <v>VICTOIRE - 408160</v>
      </c>
      <c r="B1290" s="233" t="s">
        <v>4387</v>
      </c>
      <c r="C1290" s="227" t="s">
        <v>4388</v>
      </c>
      <c r="F1290" s="227" t="s">
        <v>3002</v>
      </c>
    </row>
    <row r="1291" spans="1:6" x14ac:dyDescent="0.25">
      <c r="A1291" s="227" t="str">
        <f>TL[[#This Row],[Société]]&amp;" - "&amp;TL[[#This Row],[Compte]]</f>
        <v>VICTOIRE - 408200</v>
      </c>
      <c r="B1291" s="233" t="s">
        <v>4389</v>
      </c>
      <c r="C1291" s="227" t="s">
        <v>4390</v>
      </c>
      <c r="F1291" s="227" t="s">
        <v>3002</v>
      </c>
    </row>
    <row r="1292" spans="1:6" x14ac:dyDescent="0.25">
      <c r="A1292" s="227" t="str">
        <f>TL[[#This Row],[Société]]&amp;" - "&amp;TL[[#This Row],[Compte]]</f>
        <v>VICTOIRE - 408210</v>
      </c>
      <c r="B1292" s="233" t="s">
        <v>4391</v>
      </c>
      <c r="C1292" s="227" t="s">
        <v>4392</v>
      </c>
      <c r="F1292" s="227" t="s">
        <v>3002</v>
      </c>
    </row>
    <row r="1293" spans="1:6" x14ac:dyDescent="0.25">
      <c r="A1293" s="227" t="str">
        <f>TL[[#This Row],[Société]]&amp;" - "&amp;TL[[#This Row],[Compte]]</f>
        <v>VICTOIRE - 408220</v>
      </c>
      <c r="B1293" s="233" t="s">
        <v>4393</v>
      </c>
      <c r="C1293" s="227" t="s">
        <v>4394</v>
      </c>
      <c r="F1293" s="227" t="s">
        <v>3002</v>
      </c>
    </row>
    <row r="1294" spans="1:6" x14ac:dyDescent="0.25">
      <c r="A1294" s="227" t="str">
        <f>TL[[#This Row],[Société]]&amp;" - "&amp;TL[[#This Row],[Compte]]</f>
        <v>VICTOIRE - 408226</v>
      </c>
      <c r="B1294" s="233" t="s">
        <v>4395</v>
      </c>
      <c r="C1294" s="227" t="s">
        <v>4396</v>
      </c>
      <c r="F1294" s="227" t="s">
        <v>3002</v>
      </c>
    </row>
    <row r="1295" spans="1:6" x14ac:dyDescent="0.25">
      <c r="A1295" s="227" t="str">
        <f>TL[[#This Row],[Société]]&amp;" - "&amp;TL[[#This Row],[Compte]]</f>
        <v>VICTOIRE - 408260</v>
      </c>
      <c r="B1295" s="233" t="s">
        <v>4397</v>
      </c>
      <c r="C1295" s="227" t="s">
        <v>4398</v>
      </c>
      <c r="F1295" s="227" t="s">
        <v>3002</v>
      </c>
    </row>
    <row r="1296" spans="1:6" x14ac:dyDescent="0.25">
      <c r="A1296" s="227" t="str">
        <f>TL[[#This Row],[Société]]&amp;" - "&amp;TL[[#This Row],[Compte]]</f>
        <v>VICTOIRE - 408300</v>
      </c>
      <c r="B1296" s="233" t="s">
        <v>4399</v>
      </c>
      <c r="C1296" s="227" t="s">
        <v>4400</v>
      </c>
      <c r="F1296" s="227" t="s">
        <v>3002</v>
      </c>
    </row>
    <row r="1297" spans="1:6" x14ac:dyDescent="0.25">
      <c r="A1297" s="227" t="str">
        <f>TL[[#This Row],[Société]]&amp;" - "&amp;TL[[#This Row],[Compte]]</f>
        <v>VICTOIRE - 408400</v>
      </c>
      <c r="B1297" s="233" t="s">
        <v>3082</v>
      </c>
      <c r="C1297" s="227" t="s">
        <v>976</v>
      </c>
      <c r="F1297" s="227" t="s">
        <v>3002</v>
      </c>
    </row>
    <row r="1298" spans="1:6" x14ac:dyDescent="0.25">
      <c r="A1298" s="227" t="str">
        <f>TL[[#This Row],[Société]]&amp;" - "&amp;TL[[#This Row],[Compte]]</f>
        <v>VICTOIRE - 408500</v>
      </c>
      <c r="B1298" s="233" t="s">
        <v>4401</v>
      </c>
      <c r="C1298" s="227" t="s">
        <v>4402</v>
      </c>
      <c r="F1298" s="227" t="s">
        <v>3002</v>
      </c>
    </row>
    <row r="1299" spans="1:6" x14ac:dyDescent="0.25">
      <c r="A1299" s="227" t="str">
        <f>TL[[#This Row],[Société]]&amp;" - "&amp;TL[[#This Row],[Compte]]</f>
        <v>VICTOIRE - 408800</v>
      </c>
      <c r="B1299" s="233" t="s">
        <v>4403</v>
      </c>
      <c r="C1299" s="227" t="s">
        <v>4404</v>
      </c>
      <c r="F1299" s="227" t="s">
        <v>3002</v>
      </c>
    </row>
    <row r="1300" spans="1:6" x14ac:dyDescent="0.25">
      <c r="A1300" s="227" t="str">
        <f>TL[[#This Row],[Société]]&amp;" - "&amp;TL[[#This Row],[Compte]]</f>
        <v>VICTOIRE - 409100</v>
      </c>
      <c r="B1300" s="233" t="s">
        <v>1667</v>
      </c>
      <c r="C1300" s="227" t="s">
        <v>4405</v>
      </c>
      <c r="F1300" s="227" t="s">
        <v>3002</v>
      </c>
    </row>
    <row r="1301" spans="1:6" x14ac:dyDescent="0.25">
      <c r="A1301" s="227" t="str">
        <f>TL[[#This Row],[Société]]&amp;" - "&amp;TL[[#This Row],[Compte]]</f>
        <v>VICTOIRE - 409600</v>
      </c>
      <c r="B1301" s="233" t="s">
        <v>1632</v>
      </c>
      <c r="C1301" s="227" t="s">
        <v>3084</v>
      </c>
      <c r="F1301" s="227" t="s">
        <v>3002</v>
      </c>
    </row>
    <row r="1302" spans="1:6" x14ac:dyDescent="0.25">
      <c r="A1302" s="227" t="str">
        <f>TL[[#This Row],[Société]]&amp;" - "&amp;TL[[#This Row],[Compte]]</f>
        <v>VICTOIRE - 409601</v>
      </c>
      <c r="B1302" s="233" t="s">
        <v>4406</v>
      </c>
      <c r="C1302" s="227" t="s">
        <v>4407</v>
      </c>
      <c r="F1302" s="227" t="s">
        <v>3002</v>
      </c>
    </row>
    <row r="1303" spans="1:6" x14ac:dyDescent="0.25">
      <c r="A1303" s="227" t="str">
        <f>TL[[#This Row],[Société]]&amp;" - "&amp;TL[[#This Row],[Compte]]</f>
        <v>VICTOIRE - 409602</v>
      </c>
      <c r="B1303" s="233" t="s">
        <v>4408</v>
      </c>
      <c r="C1303" s="227" t="s">
        <v>4409</v>
      </c>
      <c r="F1303" s="227" t="s">
        <v>3002</v>
      </c>
    </row>
    <row r="1304" spans="1:6" x14ac:dyDescent="0.25">
      <c r="A1304" s="227" t="str">
        <f>TL[[#This Row],[Société]]&amp;" - "&amp;TL[[#This Row],[Compte]]</f>
        <v>VICTOIRE - 409610</v>
      </c>
      <c r="B1304" s="233" t="s">
        <v>4410</v>
      </c>
      <c r="C1304" s="227" t="s">
        <v>3773</v>
      </c>
      <c r="F1304" s="227" t="s">
        <v>3002</v>
      </c>
    </row>
    <row r="1305" spans="1:6" x14ac:dyDescent="0.25">
      <c r="A1305" s="227" t="str">
        <f>TL[[#This Row],[Société]]&amp;" - "&amp;TL[[#This Row],[Compte]]</f>
        <v>VICTOIRE - 409611</v>
      </c>
      <c r="B1305" s="233" t="s">
        <v>4411</v>
      </c>
      <c r="C1305" s="227" t="s">
        <v>3773</v>
      </c>
      <c r="F1305" s="227" t="s">
        <v>3002</v>
      </c>
    </row>
    <row r="1306" spans="1:6" x14ac:dyDescent="0.25">
      <c r="A1306" s="227" t="str">
        <f>TL[[#This Row],[Société]]&amp;" - "&amp;TL[[#This Row],[Compte]]</f>
        <v>VICTOIRE - 409700</v>
      </c>
      <c r="B1306" s="233" t="s">
        <v>1825</v>
      </c>
      <c r="C1306" s="227" t="s">
        <v>979</v>
      </c>
      <c r="F1306" s="227" t="s">
        <v>3002</v>
      </c>
    </row>
    <row r="1307" spans="1:6" x14ac:dyDescent="0.25">
      <c r="A1307" s="227" t="str">
        <f>TL[[#This Row],[Société]]&amp;" - "&amp;TL[[#This Row],[Compte]]</f>
        <v>VICTOIRE - 409800</v>
      </c>
      <c r="B1307" s="233" t="s">
        <v>1668</v>
      </c>
      <c r="C1307" s="227" t="s">
        <v>4412</v>
      </c>
      <c r="F1307" s="227" t="s">
        <v>3002</v>
      </c>
    </row>
    <row r="1308" spans="1:6" x14ac:dyDescent="0.25">
      <c r="A1308" s="227" t="str">
        <f>TL[[#This Row],[Société]]&amp;" - "&amp;TL[[#This Row],[Compte]]</f>
        <v>VICTOIRE - 409801</v>
      </c>
      <c r="B1308" s="233" t="s">
        <v>4413</v>
      </c>
      <c r="C1308" s="227" t="s">
        <v>4414</v>
      </c>
      <c r="F1308" s="227" t="s">
        <v>3002</v>
      </c>
    </row>
    <row r="1309" spans="1:6" x14ac:dyDescent="0.25">
      <c r="A1309" s="227" t="str">
        <f>TL[[#This Row],[Société]]&amp;" - "&amp;TL[[#This Row],[Compte]]</f>
        <v>VICTOIRE - 411000</v>
      </c>
      <c r="B1309" s="233" t="s">
        <v>1708</v>
      </c>
      <c r="C1309" s="227" t="s">
        <v>568</v>
      </c>
      <c r="F1309" s="227" t="s">
        <v>3002</v>
      </c>
    </row>
    <row r="1310" spans="1:6" x14ac:dyDescent="0.25">
      <c r="A1310" s="227" t="str">
        <f>TL[[#This Row],[Société]]&amp;" - "&amp;TL[[#This Row],[Compte]]</f>
        <v>VICTOIRE - 411100</v>
      </c>
      <c r="B1310" s="233" t="s">
        <v>1827</v>
      </c>
      <c r="C1310" s="227" t="s">
        <v>568</v>
      </c>
      <c r="F1310" s="227" t="s">
        <v>3002</v>
      </c>
    </row>
    <row r="1311" spans="1:6" x14ac:dyDescent="0.25">
      <c r="A1311" s="227" t="str">
        <f>TL[[#This Row],[Société]]&amp;" - "&amp;TL[[#This Row],[Compte]]</f>
        <v>VICTOIRE - 411600</v>
      </c>
      <c r="B1311" s="233" t="s">
        <v>4415</v>
      </c>
      <c r="C1311" s="227" t="s">
        <v>4416</v>
      </c>
      <c r="F1311" s="227" t="s">
        <v>3002</v>
      </c>
    </row>
    <row r="1312" spans="1:6" x14ac:dyDescent="0.25">
      <c r="A1312" s="227" t="str">
        <f>TL[[#This Row],[Société]]&amp;" - "&amp;TL[[#This Row],[Compte]]</f>
        <v>VICTOIRE - 411700</v>
      </c>
      <c r="B1312" s="233" t="s">
        <v>4417</v>
      </c>
      <c r="C1312" s="227" t="s">
        <v>4418</v>
      </c>
      <c r="F1312" s="227" t="s">
        <v>3002</v>
      </c>
    </row>
    <row r="1313" spans="1:6" x14ac:dyDescent="0.25">
      <c r="A1313" s="227" t="str">
        <f>TL[[#This Row],[Société]]&amp;" - "&amp;TL[[#This Row],[Compte]]</f>
        <v>VICTOIRE - 413000</v>
      </c>
      <c r="B1313" s="233" t="s">
        <v>3088</v>
      </c>
      <c r="C1313" s="227" t="s">
        <v>3089</v>
      </c>
      <c r="F1313" s="227" t="s">
        <v>3002</v>
      </c>
    </row>
    <row r="1314" spans="1:6" x14ac:dyDescent="0.25">
      <c r="A1314" s="227" t="str">
        <f>TL[[#This Row],[Société]]&amp;" - "&amp;TL[[#This Row],[Compte]]</f>
        <v>VICTOIRE - 416000</v>
      </c>
      <c r="B1314" s="233" t="s">
        <v>1829</v>
      </c>
      <c r="C1314" s="227" t="s">
        <v>4419</v>
      </c>
      <c r="F1314" s="227" t="s">
        <v>3002</v>
      </c>
    </row>
    <row r="1315" spans="1:6" x14ac:dyDescent="0.25">
      <c r="A1315" s="227" t="str">
        <f>TL[[#This Row],[Société]]&amp;" - "&amp;TL[[#This Row],[Compte]]</f>
        <v>VICTOIRE - 417000</v>
      </c>
      <c r="B1315" s="233" t="s">
        <v>4420</v>
      </c>
      <c r="C1315" s="227" t="s">
        <v>4421</v>
      </c>
      <c r="F1315" s="227" t="s">
        <v>3002</v>
      </c>
    </row>
    <row r="1316" spans="1:6" x14ac:dyDescent="0.25">
      <c r="A1316" s="227" t="str">
        <f>TL[[#This Row],[Société]]&amp;" - "&amp;TL[[#This Row],[Compte]]</f>
        <v>VICTOIRE - 418100</v>
      </c>
      <c r="B1316" s="233" t="s">
        <v>1669</v>
      </c>
      <c r="C1316" s="227" t="s">
        <v>982</v>
      </c>
      <c r="F1316" s="227" t="s">
        <v>3002</v>
      </c>
    </row>
    <row r="1317" spans="1:6" x14ac:dyDescent="0.25">
      <c r="A1317" s="227" t="str">
        <f>TL[[#This Row],[Société]]&amp;" - "&amp;TL[[#This Row],[Compte]]</f>
        <v>VICTOIRE - 418101</v>
      </c>
      <c r="B1317" s="233" t="s">
        <v>4422</v>
      </c>
      <c r="C1317" s="227" t="s">
        <v>4423</v>
      </c>
      <c r="F1317" s="227" t="s">
        <v>3002</v>
      </c>
    </row>
    <row r="1318" spans="1:6" x14ac:dyDescent="0.25">
      <c r="A1318" s="227" t="str">
        <f>TL[[#This Row],[Société]]&amp;" - "&amp;TL[[#This Row],[Compte]]</f>
        <v>VICTOIRE - 418104</v>
      </c>
      <c r="B1318" s="233" t="s">
        <v>4424</v>
      </c>
      <c r="C1318" s="227" t="s">
        <v>4425</v>
      </c>
      <c r="F1318" s="227" t="s">
        <v>3002</v>
      </c>
    </row>
    <row r="1319" spans="1:6" x14ac:dyDescent="0.25">
      <c r="A1319" s="227" t="str">
        <f>TL[[#This Row],[Société]]&amp;" - "&amp;TL[[#This Row],[Compte]]</f>
        <v>VICTOIRE - 418105</v>
      </c>
      <c r="B1319" s="233" t="s">
        <v>4426</v>
      </c>
      <c r="C1319" s="227" t="s">
        <v>4427</v>
      </c>
      <c r="F1319" s="227" t="s">
        <v>3002</v>
      </c>
    </row>
    <row r="1320" spans="1:6" x14ac:dyDescent="0.25">
      <c r="A1320" s="227" t="str">
        <f>TL[[#This Row],[Société]]&amp;" - "&amp;TL[[#This Row],[Compte]]</f>
        <v>VICTOIRE - 418106</v>
      </c>
      <c r="B1320" s="233" t="s">
        <v>4428</v>
      </c>
      <c r="C1320" s="227" t="s">
        <v>4429</v>
      </c>
      <c r="F1320" s="227" t="s">
        <v>3002</v>
      </c>
    </row>
    <row r="1321" spans="1:6" x14ac:dyDescent="0.25">
      <c r="A1321" s="227" t="str">
        <f>TL[[#This Row],[Société]]&amp;" - "&amp;TL[[#This Row],[Compte]]</f>
        <v>VICTOIRE - 418107</v>
      </c>
      <c r="B1321" s="233" t="s">
        <v>4430</v>
      </c>
      <c r="C1321" s="227" t="s">
        <v>4431</v>
      </c>
      <c r="F1321" s="227" t="s">
        <v>3002</v>
      </c>
    </row>
    <row r="1322" spans="1:6" x14ac:dyDescent="0.25">
      <c r="A1322" s="227" t="str">
        <f>TL[[#This Row],[Société]]&amp;" - "&amp;TL[[#This Row],[Compte]]</f>
        <v>VICTOIRE - 418108</v>
      </c>
      <c r="B1322" s="233" t="s">
        <v>4432</v>
      </c>
      <c r="C1322" s="227" t="s">
        <v>4433</v>
      </c>
      <c r="F1322" s="227" t="s">
        <v>3002</v>
      </c>
    </row>
    <row r="1323" spans="1:6" x14ac:dyDescent="0.25">
      <c r="A1323" s="227" t="str">
        <f>TL[[#This Row],[Société]]&amp;" - "&amp;TL[[#This Row],[Compte]]</f>
        <v>VICTOIRE - 418800</v>
      </c>
      <c r="B1323" s="233" t="s">
        <v>4434</v>
      </c>
      <c r="C1323" s="227" t="s">
        <v>4435</v>
      </c>
      <c r="F1323" s="227" t="s">
        <v>3002</v>
      </c>
    </row>
    <row r="1324" spans="1:6" x14ac:dyDescent="0.25">
      <c r="A1324" s="227" t="str">
        <f>TL[[#This Row],[Société]]&amp;" - "&amp;TL[[#This Row],[Compte]]</f>
        <v>VICTOIRE - 419100</v>
      </c>
      <c r="B1324" s="233" t="s">
        <v>1830</v>
      </c>
      <c r="C1324" s="227" t="s">
        <v>671</v>
      </c>
      <c r="F1324" s="227" t="s">
        <v>3002</v>
      </c>
    </row>
    <row r="1325" spans="1:6" x14ac:dyDescent="0.25">
      <c r="A1325" s="227" t="str">
        <f>TL[[#This Row],[Société]]&amp;" - "&amp;TL[[#This Row],[Compte]]</f>
        <v>VICTOIRE - 419600</v>
      </c>
      <c r="B1325" s="233" t="s">
        <v>4436</v>
      </c>
      <c r="C1325" s="227" t="s">
        <v>4437</v>
      </c>
      <c r="F1325" s="227" t="s">
        <v>3002</v>
      </c>
    </row>
    <row r="1326" spans="1:6" x14ac:dyDescent="0.25">
      <c r="A1326" s="227" t="str">
        <f>TL[[#This Row],[Société]]&amp;" - "&amp;TL[[#This Row],[Compte]]</f>
        <v>VICTOIRE - 419700</v>
      </c>
      <c r="B1326" s="233" t="s">
        <v>4438</v>
      </c>
      <c r="C1326" s="227" t="s">
        <v>4439</v>
      </c>
      <c r="F1326" s="227" t="s">
        <v>3002</v>
      </c>
    </row>
    <row r="1327" spans="1:6" x14ac:dyDescent="0.25">
      <c r="A1327" s="227" t="str">
        <f>TL[[#This Row],[Société]]&amp;" - "&amp;TL[[#This Row],[Compte]]</f>
        <v>VICTOIRE - 419800</v>
      </c>
      <c r="B1327" s="233" t="s">
        <v>1831</v>
      </c>
      <c r="C1327" s="227" t="s">
        <v>4440</v>
      </c>
      <c r="F1327" s="227" t="s">
        <v>3002</v>
      </c>
    </row>
    <row r="1328" spans="1:6" x14ac:dyDescent="0.25">
      <c r="A1328" s="227" t="str">
        <f>TL[[#This Row],[Société]]&amp;" - "&amp;TL[[#This Row],[Compte]]</f>
        <v>VICTOIRE - 421000</v>
      </c>
      <c r="B1328" s="233" t="s">
        <v>1670</v>
      </c>
      <c r="C1328" s="227" t="s">
        <v>3090</v>
      </c>
      <c r="F1328" s="227" t="s">
        <v>3002</v>
      </c>
    </row>
    <row r="1329" spans="1:6" x14ac:dyDescent="0.25">
      <c r="A1329" s="227" t="str">
        <f>TL[[#This Row],[Société]]&amp;" - "&amp;TL[[#This Row],[Compte]]</f>
        <v>VICTOIRE - 421100</v>
      </c>
      <c r="B1329" s="233" t="s">
        <v>3092</v>
      </c>
      <c r="C1329" s="227" t="s">
        <v>4441</v>
      </c>
      <c r="F1329" s="227" t="s">
        <v>3002</v>
      </c>
    </row>
    <row r="1330" spans="1:6" x14ac:dyDescent="0.25">
      <c r="A1330" s="227" t="str">
        <f>TL[[#This Row],[Société]]&amp;" - "&amp;TL[[#This Row],[Compte]]</f>
        <v>VICTOIRE - 422000</v>
      </c>
      <c r="B1330" s="233" t="s">
        <v>4442</v>
      </c>
      <c r="C1330" s="227" t="s">
        <v>4443</v>
      </c>
      <c r="F1330" s="227" t="s">
        <v>3002</v>
      </c>
    </row>
    <row r="1331" spans="1:6" x14ac:dyDescent="0.25">
      <c r="A1331" s="227" t="str">
        <f>TL[[#This Row],[Société]]&amp;" - "&amp;TL[[#This Row],[Compte]]</f>
        <v>VICTOIRE - 424600</v>
      </c>
      <c r="B1331" s="233" t="s">
        <v>4444</v>
      </c>
      <c r="C1331" s="227" t="s">
        <v>4445</v>
      </c>
      <c r="F1331" s="227" t="s">
        <v>3002</v>
      </c>
    </row>
    <row r="1332" spans="1:6" x14ac:dyDescent="0.25">
      <c r="A1332" s="227" t="str">
        <f>TL[[#This Row],[Société]]&amp;" - "&amp;TL[[#This Row],[Compte]]</f>
        <v>VICTOIRE - 424800</v>
      </c>
      <c r="B1332" s="233" t="s">
        <v>4446</v>
      </c>
      <c r="C1332" s="227" t="s">
        <v>4447</v>
      </c>
      <c r="F1332" s="227" t="s">
        <v>3002</v>
      </c>
    </row>
    <row r="1333" spans="1:6" x14ac:dyDescent="0.25">
      <c r="A1333" s="227" t="str">
        <f>TL[[#This Row],[Société]]&amp;" - "&amp;TL[[#This Row],[Compte]]</f>
        <v>VICTOIRE - 425000</v>
      </c>
      <c r="B1333" s="233" t="s">
        <v>1672</v>
      </c>
      <c r="C1333" s="227" t="s">
        <v>4448</v>
      </c>
      <c r="F1333" s="227" t="s">
        <v>3002</v>
      </c>
    </row>
    <row r="1334" spans="1:6" x14ac:dyDescent="0.25">
      <c r="A1334" s="227" t="str">
        <f>TL[[#This Row],[Société]]&amp;" - "&amp;TL[[#This Row],[Compte]]</f>
        <v>VICTOIRE - 426000</v>
      </c>
      <c r="B1334" s="233" t="s">
        <v>4449</v>
      </c>
      <c r="C1334" s="227" t="s">
        <v>4450</v>
      </c>
      <c r="F1334" s="227" t="s">
        <v>3002</v>
      </c>
    </row>
    <row r="1335" spans="1:6" x14ac:dyDescent="0.25">
      <c r="A1335" s="227" t="str">
        <f>TL[[#This Row],[Société]]&amp;" - "&amp;TL[[#This Row],[Compte]]</f>
        <v>VICTOIRE - 427000</v>
      </c>
      <c r="B1335" s="233" t="s">
        <v>1710</v>
      </c>
      <c r="C1335" s="227" t="s">
        <v>4451</v>
      </c>
      <c r="F1335" s="227" t="s">
        <v>3002</v>
      </c>
    </row>
    <row r="1336" spans="1:6" x14ac:dyDescent="0.25">
      <c r="A1336" s="227" t="str">
        <f>TL[[#This Row],[Société]]&amp;" - "&amp;TL[[#This Row],[Compte]]</f>
        <v>VICTOIRE - 428000</v>
      </c>
      <c r="B1336" s="233" t="s">
        <v>4452</v>
      </c>
      <c r="C1336" s="227" t="s">
        <v>4453</v>
      </c>
      <c r="F1336" s="227" t="s">
        <v>3002</v>
      </c>
    </row>
    <row r="1337" spans="1:6" x14ac:dyDescent="0.25">
      <c r="A1337" s="227" t="str">
        <f>TL[[#This Row],[Société]]&amp;" - "&amp;TL[[#This Row],[Compte]]</f>
        <v>VICTOIRE - 428200</v>
      </c>
      <c r="B1337" s="233" t="s">
        <v>1673</v>
      </c>
      <c r="C1337" s="227" t="s">
        <v>4454</v>
      </c>
      <c r="F1337" s="227" t="s">
        <v>3002</v>
      </c>
    </row>
    <row r="1338" spans="1:6" x14ac:dyDescent="0.25">
      <c r="A1338" s="227" t="str">
        <f>TL[[#This Row],[Société]]&amp;" - "&amp;TL[[#This Row],[Compte]]</f>
        <v>VICTOIRE - 428201</v>
      </c>
      <c r="B1338" s="233" t="s">
        <v>4455</v>
      </c>
      <c r="C1338" s="227" t="s">
        <v>4456</v>
      </c>
      <c r="F1338" s="227" t="s">
        <v>3002</v>
      </c>
    </row>
    <row r="1339" spans="1:6" x14ac:dyDescent="0.25">
      <c r="A1339" s="227" t="str">
        <f>TL[[#This Row],[Société]]&amp;" - "&amp;TL[[#This Row],[Compte]]</f>
        <v>VICTOIRE - 428400</v>
      </c>
      <c r="B1339" s="233" t="s">
        <v>4457</v>
      </c>
      <c r="C1339" s="227" t="s">
        <v>4458</v>
      </c>
      <c r="F1339" s="227" t="s">
        <v>3002</v>
      </c>
    </row>
    <row r="1340" spans="1:6" x14ac:dyDescent="0.25">
      <c r="A1340" s="227" t="str">
        <f>TL[[#This Row],[Société]]&amp;" - "&amp;TL[[#This Row],[Compte]]</f>
        <v>VICTOIRE - 428600</v>
      </c>
      <c r="B1340" s="233" t="s">
        <v>1834</v>
      </c>
      <c r="C1340" s="227" t="s">
        <v>4459</v>
      </c>
      <c r="F1340" s="227" t="s">
        <v>3002</v>
      </c>
    </row>
    <row r="1341" spans="1:6" x14ac:dyDescent="0.25">
      <c r="A1341" s="227" t="str">
        <f>TL[[#This Row],[Société]]&amp;" - "&amp;TL[[#This Row],[Compte]]</f>
        <v>VICTOIRE - 428610</v>
      </c>
      <c r="B1341" s="233" t="s">
        <v>3099</v>
      </c>
      <c r="C1341" s="227" t="s">
        <v>4460</v>
      </c>
      <c r="F1341" s="227" t="s">
        <v>3002</v>
      </c>
    </row>
    <row r="1342" spans="1:6" x14ac:dyDescent="0.25">
      <c r="A1342" s="227" t="str">
        <f>TL[[#This Row],[Société]]&amp;" - "&amp;TL[[#This Row],[Compte]]</f>
        <v>VICTOIRE - 428620</v>
      </c>
      <c r="B1342" s="233" t="s">
        <v>4461</v>
      </c>
      <c r="C1342" s="227" t="s">
        <v>4462</v>
      </c>
      <c r="F1342" s="227" t="s">
        <v>3002</v>
      </c>
    </row>
    <row r="1343" spans="1:6" x14ac:dyDescent="0.25">
      <c r="A1343" s="227" t="str">
        <f>TL[[#This Row],[Société]]&amp;" - "&amp;TL[[#This Row],[Compte]]</f>
        <v>VICTOIRE - 428625</v>
      </c>
      <c r="B1343" s="233" t="s">
        <v>4463</v>
      </c>
      <c r="C1343" s="227" t="s">
        <v>4464</v>
      </c>
      <c r="F1343" s="227" t="s">
        <v>3002</v>
      </c>
    </row>
    <row r="1344" spans="1:6" x14ac:dyDescent="0.25">
      <c r="A1344" s="227" t="str">
        <f>TL[[#This Row],[Société]]&amp;" - "&amp;TL[[#This Row],[Compte]]</f>
        <v>VICTOIRE - 428700</v>
      </c>
      <c r="B1344" s="233" t="s">
        <v>4465</v>
      </c>
      <c r="C1344" s="227" t="s">
        <v>4466</v>
      </c>
      <c r="F1344" s="227" t="s">
        <v>3002</v>
      </c>
    </row>
    <row r="1345" spans="1:6" x14ac:dyDescent="0.25">
      <c r="A1345" s="227" t="str">
        <f>TL[[#This Row],[Société]]&amp;" - "&amp;TL[[#This Row],[Compte]]</f>
        <v>VICTOIRE - 431000</v>
      </c>
      <c r="B1345" s="233" t="s">
        <v>1674</v>
      </c>
      <c r="C1345" s="227" t="s">
        <v>4467</v>
      </c>
      <c r="F1345" s="227" t="s">
        <v>3002</v>
      </c>
    </row>
    <row r="1346" spans="1:6" x14ac:dyDescent="0.25">
      <c r="A1346" s="227" t="str">
        <f>TL[[#This Row],[Société]]&amp;" - "&amp;TL[[#This Row],[Compte]]</f>
        <v>VICTOIRE - 437000</v>
      </c>
      <c r="B1346" s="233" t="s">
        <v>1835</v>
      </c>
      <c r="C1346" s="227" t="s">
        <v>3102</v>
      </c>
      <c r="F1346" s="227" t="s">
        <v>3002</v>
      </c>
    </row>
    <row r="1347" spans="1:6" x14ac:dyDescent="0.25">
      <c r="A1347" s="227" t="str">
        <f>TL[[#This Row],[Société]]&amp;" - "&amp;TL[[#This Row],[Compte]]</f>
        <v>VICTOIRE - 437020</v>
      </c>
      <c r="B1347" s="233" t="s">
        <v>1676</v>
      </c>
      <c r="C1347" s="227" t="s">
        <v>2159</v>
      </c>
      <c r="F1347" s="227" t="s">
        <v>3002</v>
      </c>
    </row>
    <row r="1348" spans="1:6" x14ac:dyDescent="0.25">
      <c r="A1348" s="227" t="str">
        <f>TL[[#This Row],[Société]]&amp;" - "&amp;TL[[#This Row],[Compte]]</f>
        <v>VICTOIRE - 437030</v>
      </c>
      <c r="B1348" s="233" t="s">
        <v>1839</v>
      </c>
      <c r="C1348" s="227" t="s">
        <v>2158</v>
      </c>
      <c r="F1348" s="227" t="s">
        <v>3002</v>
      </c>
    </row>
    <row r="1349" spans="1:6" x14ac:dyDescent="0.25">
      <c r="A1349" s="227" t="str">
        <f>TL[[#This Row],[Société]]&amp;" - "&amp;TL[[#This Row],[Compte]]</f>
        <v>VICTOIRE - 437080</v>
      </c>
      <c r="B1349" s="233" t="s">
        <v>3106</v>
      </c>
      <c r="C1349" s="227" t="s">
        <v>2158</v>
      </c>
      <c r="F1349" s="227" t="s">
        <v>3002</v>
      </c>
    </row>
    <row r="1350" spans="1:6" x14ac:dyDescent="0.25">
      <c r="A1350" s="227" t="str">
        <f>TL[[#This Row],[Société]]&amp;" - "&amp;TL[[#This Row],[Compte]]</f>
        <v>VICTOIRE - 437100</v>
      </c>
      <c r="B1350" s="233" t="s">
        <v>4468</v>
      </c>
      <c r="C1350" s="227" t="s">
        <v>4469</v>
      </c>
      <c r="F1350" s="227" t="s">
        <v>3002</v>
      </c>
    </row>
    <row r="1351" spans="1:6" x14ac:dyDescent="0.25">
      <c r="A1351" s="227" t="str">
        <f>TL[[#This Row],[Société]]&amp;" - "&amp;TL[[#This Row],[Compte]]</f>
        <v>VICTOIRE - 437110</v>
      </c>
      <c r="B1351" s="233" t="s">
        <v>4470</v>
      </c>
      <c r="C1351" s="227" t="s">
        <v>4471</v>
      </c>
      <c r="F1351" s="227" t="s">
        <v>3002</v>
      </c>
    </row>
    <row r="1352" spans="1:6" x14ac:dyDescent="0.25">
      <c r="A1352" s="227" t="str">
        <f>TL[[#This Row],[Société]]&amp;" - "&amp;TL[[#This Row],[Compte]]</f>
        <v>VICTOIRE - 437120</v>
      </c>
      <c r="B1352" s="233" t="s">
        <v>4472</v>
      </c>
      <c r="C1352" s="227" t="s">
        <v>4473</v>
      </c>
      <c r="F1352" s="227" t="s">
        <v>3002</v>
      </c>
    </row>
    <row r="1353" spans="1:6" x14ac:dyDescent="0.25">
      <c r="A1353" s="227" t="str">
        <f>TL[[#This Row],[Société]]&amp;" - "&amp;TL[[#This Row],[Compte]]</f>
        <v>VICTOIRE - 437125</v>
      </c>
      <c r="B1353" s="233" t="s">
        <v>4474</v>
      </c>
      <c r="C1353" s="227" t="s">
        <v>4475</v>
      </c>
      <c r="F1353" s="227" t="s">
        <v>3002</v>
      </c>
    </row>
    <row r="1354" spans="1:6" x14ac:dyDescent="0.25">
      <c r="A1354" s="227" t="str">
        <f>TL[[#This Row],[Société]]&amp;" - "&amp;TL[[#This Row],[Compte]]</f>
        <v>VICTOIRE - 437130</v>
      </c>
      <c r="B1354" s="233" t="s">
        <v>4476</v>
      </c>
      <c r="C1354" s="227" t="s">
        <v>4477</v>
      </c>
      <c r="F1354" s="227" t="s">
        <v>3002</v>
      </c>
    </row>
    <row r="1355" spans="1:6" x14ac:dyDescent="0.25">
      <c r="A1355" s="227" t="str">
        <f>TL[[#This Row],[Société]]&amp;" - "&amp;TL[[#This Row],[Compte]]</f>
        <v>VICTOIRE - 437140</v>
      </c>
      <c r="B1355" s="233" t="s">
        <v>4478</v>
      </c>
      <c r="C1355" s="227" t="s">
        <v>4479</v>
      </c>
      <c r="F1355" s="227" t="s">
        <v>3002</v>
      </c>
    </row>
    <row r="1356" spans="1:6" x14ac:dyDescent="0.25">
      <c r="A1356" s="227" t="str">
        <f>TL[[#This Row],[Société]]&amp;" - "&amp;TL[[#This Row],[Compte]]</f>
        <v>VICTOIRE - 437200</v>
      </c>
      <c r="B1356" s="233" t="s">
        <v>3112</v>
      </c>
      <c r="C1356" s="227" t="s">
        <v>4480</v>
      </c>
      <c r="F1356" s="227" t="s">
        <v>3002</v>
      </c>
    </row>
    <row r="1357" spans="1:6" x14ac:dyDescent="0.25">
      <c r="A1357" s="227" t="str">
        <f>TL[[#This Row],[Société]]&amp;" - "&amp;TL[[#This Row],[Compte]]</f>
        <v>VICTOIRE - 437300</v>
      </c>
      <c r="B1357" s="233" t="s">
        <v>4481</v>
      </c>
      <c r="C1357" s="227" t="s">
        <v>4482</v>
      </c>
      <c r="F1357" s="227" t="s">
        <v>3002</v>
      </c>
    </row>
    <row r="1358" spans="1:6" x14ac:dyDescent="0.25">
      <c r="A1358" s="227" t="str">
        <f>TL[[#This Row],[Société]]&amp;" - "&amp;TL[[#This Row],[Compte]]</f>
        <v>VICTOIRE - 437320</v>
      </c>
      <c r="B1358" s="233" t="s">
        <v>4483</v>
      </c>
      <c r="C1358" s="227" t="s">
        <v>3773</v>
      </c>
      <c r="F1358" s="227" t="s">
        <v>3002</v>
      </c>
    </row>
    <row r="1359" spans="1:6" x14ac:dyDescent="0.25">
      <c r="A1359" s="227" t="str">
        <f>TL[[#This Row],[Société]]&amp;" - "&amp;TL[[#This Row],[Compte]]</f>
        <v>VICTOIRE - 437330</v>
      </c>
      <c r="B1359" s="233" t="s">
        <v>4484</v>
      </c>
      <c r="C1359" s="227" t="s">
        <v>3773</v>
      </c>
      <c r="F1359" s="227" t="s">
        <v>3002</v>
      </c>
    </row>
    <row r="1360" spans="1:6" x14ac:dyDescent="0.25">
      <c r="A1360" s="227" t="str">
        <f>TL[[#This Row],[Société]]&amp;" - "&amp;TL[[#This Row],[Compte]]</f>
        <v>VICTOIRE - 437340</v>
      </c>
      <c r="B1360" s="233" t="s">
        <v>4485</v>
      </c>
      <c r="C1360" s="227" t="s">
        <v>3773</v>
      </c>
      <c r="F1360" s="227" t="s">
        <v>3002</v>
      </c>
    </row>
    <row r="1361" spans="1:6" x14ac:dyDescent="0.25">
      <c r="A1361" s="227" t="str">
        <f>TL[[#This Row],[Société]]&amp;" - "&amp;TL[[#This Row],[Compte]]</f>
        <v>VICTOIRE - 437350</v>
      </c>
      <c r="B1361" s="233" t="s">
        <v>4486</v>
      </c>
      <c r="C1361" s="227" t="s">
        <v>3773</v>
      </c>
      <c r="F1361" s="227" t="s">
        <v>3002</v>
      </c>
    </row>
    <row r="1362" spans="1:6" x14ac:dyDescent="0.25">
      <c r="A1362" s="227" t="str">
        <f>TL[[#This Row],[Société]]&amp;" - "&amp;TL[[#This Row],[Compte]]</f>
        <v>VICTOIRE - 437400</v>
      </c>
      <c r="B1362" s="233" t="s">
        <v>4487</v>
      </c>
      <c r="C1362" s="227" t="s">
        <v>4488</v>
      </c>
      <c r="F1362" s="227" t="s">
        <v>3002</v>
      </c>
    </row>
    <row r="1363" spans="1:6" x14ac:dyDescent="0.25">
      <c r="A1363" s="227" t="str">
        <f>TL[[#This Row],[Société]]&amp;" - "&amp;TL[[#This Row],[Compte]]</f>
        <v>VICTOIRE - 437800</v>
      </c>
      <c r="B1363" s="233" t="s">
        <v>4489</v>
      </c>
      <c r="C1363" s="227" t="s">
        <v>857</v>
      </c>
      <c r="F1363" s="227" t="s">
        <v>3002</v>
      </c>
    </row>
    <row r="1364" spans="1:6" x14ac:dyDescent="0.25">
      <c r="A1364" s="227" t="str">
        <f>TL[[#This Row],[Société]]&amp;" - "&amp;TL[[#This Row],[Compte]]</f>
        <v>VICTOIRE - 438000</v>
      </c>
      <c r="B1364" s="233" t="s">
        <v>2122</v>
      </c>
      <c r="C1364" s="227" t="s">
        <v>2158</v>
      </c>
      <c r="F1364" s="227" t="s">
        <v>3002</v>
      </c>
    </row>
    <row r="1365" spans="1:6" x14ac:dyDescent="0.25">
      <c r="A1365" s="227" t="str">
        <f>TL[[#This Row],[Société]]&amp;" - "&amp;TL[[#This Row],[Compte]]</f>
        <v>VICTOIRE - 438200</v>
      </c>
      <c r="B1365" s="233" t="s">
        <v>2123</v>
      </c>
      <c r="C1365" s="227" t="s">
        <v>858</v>
      </c>
      <c r="F1365" s="227" t="s">
        <v>3002</v>
      </c>
    </row>
    <row r="1366" spans="1:6" x14ac:dyDescent="0.25">
      <c r="A1366" s="227" t="str">
        <f>TL[[#This Row],[Société]]&amp;" - "&amp;TL[[#This Row],[Compte]]</f>
        <v>VICTOIRE - 438600</v>
      </c>
      <c r="B1366" s="233" t="s">
        <v>1678</v>
      </c>
      <c r="C1366" s="227" t="s">
        <v>4490</v>
      </c>
      <c r="F1366" s="227" t="s">
        <v>3002</v>
      </c>
    </row>
    <row r="1367" spans="1:6" x14ac:dyDescent="0.25">
      <c r="A1367" s="227" t="str">
        <f>TL[[#This Row],[Société]]&amp;" - "&amp;TL[[#This Row],[Compte]]</f>
        <v>VICTOIRE - 438610</v>
      </c>
      <c r="B1367" s="233" t="s">
        <v>2119</v>
      </c>
      <c r="C1367" s="227" t="s">
        <v>4491</v>
      </c>
      <c r="F1367" s="227" t="s">
        <v>3002</v>
      </c>
    </row>
    <row r="1368" spans="1:6" x14ac:dyDescent="0.25">
      <c r="A1368" s="227" t="str">
        <f>TL[[#This Row],[Société]]&amp;" - "&amp;TL[[#This Row],[Compte]]</f>
        <v>VICTOIRE - 438611</v>
      </c>
      <c r="B1368" s="233" t="s">
        <v>4492</v>
      </c>
      <c r="C1368" s="227" t="s">
        <v>4493</v>
      </c>
      <c r="F1368" s="227" t="s">
        <v>3002</v>
      </c>
    </row>
    <row r="1369" spans="1:6" x14ac:dyDescent="0.25">
      <c r="A1369" s="227" t="str">
        <f>TL[[#This Row],[Société]]&amp;" - "&amp;TL[[#This Row],[Compte]]</f>
        <v>VICTOIRE - 438612</v>
      </c>
      <c r="B1369" s="233" t="s">
        <v>4494</v>
      </c>
      <c r="C1369" s="227" t="s">
        <v>4495</v>
      </c>
      <c r="F1369" s="227" t="s">
        <v>3002</v>
      </c>
    </row>
    <row r="1370" spans="1:6" x14ac:dyDescent="0.25">
      <c r="A1370" s="227" t="str">
        <f>TL[[#This Row],[Société]]&amp;" - "&amp;TL[[#This Row],[Compte]]</f>
        <v>VICTOIRE - 438613</v>
      </c>
      <c r="B1370" s="233" t="s">
        <v>4496</v>
      </c>
      <c r="C1370" s="227" t="s">
        <v>4497</v>
      </c>
      <c r="F1370" s="227" t="s">
        <v>3002</v>
      </c>
    </row>
    <row r="1371" spans="1:6" x14ac:dyDescent="0.25">
      <c r="A1371" s="227" t="str">
        <f>TL[[#This Row],[Société]]&amp;" - "&amp;TL[[#This Row],[Compte]]</f>
        <v>VICTOIRE - 438614</v>
      </c>
      <c r="B1371" s="233" t="s">
        <v>4498</v>
      </c>
      <c r="C1371" s="227" t="s">
        <v>4499</v>
      </c>
      <c r="F1371" s="227" t="s">
        <v>3002</v>
      </c>
    </row>
    <row r="1372" spans="1:6" x14ac:dyDescent="0.25">
      <c r="A1372" s="227" t="str">
        <f>TL[[#This Row],[Société]]&amp;" - "&amp;TL[[#This Row],[Compte]]</f>
        <v>VICTOIRE - 438620</v>
      </c>
      <c r="B1372" s="233" t="s">
        <v>2118</v>
      </c>
      <c r="C1372" s="227" t="s">
        <v>4500</v>
      </c>
      <c r="F1372" s="227" t="s">
        <v>3002</v>
      </c>
    </row>
    <row r="1373" spans="1:6" x14ac:dyDescent="0.25">
      <c r="A1373" s="227" t="str">
        <f>TL[[#This Row],[Société]]&amp;" - "&amp;TL[[#This Row],[Compte]]</f>
        <v>VICTOIRE - 438700</v>
      </c>
      <c r="B1373" s="233" t="s">
        <v>1679</v>
      </c>
      <c r="C1373" s="227" t="s">
        <v>4501</v>
      </c>
      <c r="F1373" s="227" t="s">
        <v>3002</v>
      </c>
    </row>
    <row r="1374" spans="1:6" x14ac:dyDescent="0.25">
      <c r="A1374" s="227" t="str">
        <f>TL[[#This Row],[Société]]&amp;" - "&amp;TL[[#This Row],[Compte]]</f>
        <v>VICTOIRE - 441000</v>
      </c>
      <c r="B1374" s="233" t="s">
        <v>4502</v>
      </c>
      <c r="C1374" s="227" t="s">
        <v>4503</v>
      </c>
      <c r="F1374" s="227" t="s">
        <v>3002</v>
      </c>
    </row>
    <row r="1375" spans="1:6" x14ac:dyDescent="0.25">
      <c r="A1375" s="227" t="str">
        <f>TL[[#This Row],[Société]]&amp;" - "&amp;TL[[#This Row],[Compte]]</f>
        <v>VICTOIRE - 441100</v>
      </c>
      <c r="B1375" s="233" t="s">
        <v>4504</v>
      </c>
      <c r="C1375" s="227" t="s">
        <v>4505</v>
      </c>
      <c r="F1375" s="227" t="s">
        <v>3002</v>
      </c>
    </row>
    <row r="1376" spans="1:6" x14ac:dyDescent="0.25">
      <c r="A1376" s="227" t="str">
        <f>TL[[#This Row],[Société]]&amp;" - "&amp;TL[[#This Row],[Compte]]</f>
        <v>VICTOIRE - 441700</v>
      </c>
      <c r="B1376" s="233" t="s">
        <v>4506</v>
      </c>
      <c r="C1376" s="227" t="s">
        <v>3363</v>
      </c>
      <c r="F1376" s="227" t="s">
        <v>3002</v>
      </c>
    </row>
    <row r="1377" spans="1:6" x14ac:dyDescent="0.25">
      <c r="A1377" s="227" t="str">
        <f>TL[[#This Row],[Société]]&amp;" - "&amp;TL[[#This Row],[Compte]]</f>
        <v>VICTOIRE - 441800</v>
      </c>
      <c r="B1377" s="233" t="s">
        <v>4507</v>
      </c>
      <c r="C1377" s="227" t="s">
        <v>4508</v>
      </c>
      <c r="F1377" s="227" t="s">
        <v>3002</v>
      </c>
    </row>
    <row r="1378" spans="1:6" x14ac:dyDescent="0.25">
      <c r="A1378" s="227" t="str">
        <f>TL[[#This Row],[Société]]&amp;" - "&amp;TL[[#This Row],[Compte]]</f>
        <v>VICTOIRE - 441900</v>
      </c>
      <c r="B1378" s="233" t="s">
        <v>4509</v>
      </c>
      <c r="C1378" s="227" t="s">
        <v>4510</v>
      </c>
      <c r="F1378" s="227" t="s">
        <v>3002</v>
      </c>
    </row>
    <row r="1379" spans="1:6" x14ac:dyDescent="0.25">
      <c r="A1379" s="227" t="str">
        <f>TL[[#This Row],[Société]]&amp;" - "&amp;TL[[#This Row],[Compte]]</f>
        <v>VICTOIRE - 442000</v>
      </c>
      <c r="B1379" s="233" t="s">
        <v>1680</v>
      </c>
      <c r="C1379" s="227" t="s">
        <v>4511</v>
      </c>
      <c r="F1379" s="227" t="s">
        <v>3002</v>
      </c>
    </row>
    <row r="1380" spans="1:6" x14ac:dyDescent="0.25">
      <c r="A1380" s="227" t="str">
        <f>TL[[#This Row],[Société]]&amp;" - "&amp;TL[[#This Row],[Compte]]</f>
        <v>VICTOIRE - 442100</v>
      </c>
      <c r="B1380" s="233" t="s">
        <v>1841</v>
      </c>
      <c r="C1380" s="227" t="s">
        <v>4512</v>
      </c>
      <c r="F1380" s="227" t="s">
        <v>3002</v>
      </c>
    </row>
    <row r="1381" spans="1:6" x14ac:dyDescent="0.25">
      <c r="A1381" s="227" t="str">
        <f>TL[[#This Row],[Société]]&amp;" - "&amp;TL[[#This Row],[Compte]]</f>
        <v>VICTOIRE - 442200</v>
      </c>
      <c r="B1381" s="233" t="s">
        <v>4513</v>
      </c>
      <c r="C1381" s="227" t="s">
        <v>4514</v>
      </c>
      <c r="F1381" s="227" t="s">
        <v>3002</v>
      </c>
    </row>
    <row r="1382" spans="1:6" x14ac:dyDescent="0.25">
      <c r="A1382" s="227" t="str">
        <f>TL[[#This Row],[Société]]&amp;" - "&amp;TL[[#This Row],[Compte]]</f>
        <v>VICTOIRE - 442300</v>
      </c>
      <c r="B1382" s="233" t="s">
        <v>3122</v>
      </c>
      <c r="C1382" s="227" t="s">
        <v>3123</v>
      </c>
      <c r="F1382" s="227" t="s">
        <v>3002</v>
      </c>
    </row>
    <row r="1383" spans="1:6" x14ac:dyDescent="0.25">
      <c r="A1383" s="227" t="str">
        <f>TL[[#This Row],[Société]]&amp;" - "&amp;TL[[#This Row],[Compte]]</f>
        <v>VICTOIRE - 442400</v>
      </c>
      <c r="B1383" s="233" t="s">
        <v>4515</v>
      </c>
      <c r="C1383" s="227" t="s">
        <v>4516</v>
      </c>
      <c r="F1383" s="227" t="s">
        <v>3002</v>
      </c>
    </row>
    <row r="1384" spans="1:6" x14ac:dyDescent="0.25">
      <c r="A1384" s="227" t="str">
        <f>TL[[#This Row],[Société]]&amp;" - "&amp;TL[[#This Row],[Compte]]</f>
        <v>VICTOIRE - 442500</v>
      </c>
      <c r="B1384" s="233" t="s">
        <v>4517</v>
      </c>
      <c r="C1384" s="227" t="s">
        <v>4518</v>
      </c>
      <c r="F1384" s="227" t="s">
        <v>3002</v>
      </c>
    </row>
    <row r="1385" spans="1:6" x14ac:dyDescent="0.25">
      <c r="A1385" s="227" t="str">
        <f>TL[[#This Row],[Société]]&amp;" - "&amp;TL[[#This Row],[Compte]]</f>
        <v>VICTOIRE - 443000</v>
      </c>
      <c r="B1385" s="233" t="s">
        <v>4519</v>
      </c>
      <c r="C1385" s="227" t="s">
        <v>4520</v>
      </c>
      <c r="F1385" s="227" t="s">
        <v>3002</v>
      </c>
    </row>
    <row r="1386" spans="1:6" x14ac:dyDescent="0.25">
      <c r="A1386" s="227" t="str">
        <f>TL[[#This Row],[Société]]&amp;" - "&amp;TL[[#This Row],[Compte]]</f>
        <v>VICTOIRE - 443100</v>
      </c>
      <c r="B1386" s="233" t="s">
        <v>4521</v>
      </c>
      <c r="C1386" s="227" t="s">
        <v>4522</v>
      </c>
      <c r="F1386" s="227" t="s">
        <v>3002</v>
      </c>
    </row>
    <row r="1387" spans="1:6" x14ac:dyDescent="0.25">
      <c r="A1387" s="227" t="str">
        <f>TL[[#This Row],[Société]]&amp;" - "&amp;TL[[#This Row],[Compte]]</f>
        <v>VICTOIRE - 443200</v>
      </c>
      <c r="B1387" s="233" t="s">
        <v>1681</v>
      </c>
      <c r="C1387" s="227" t="s">
        <v>4523</v>
      </c>
      <c r="F1387" s="227" t="s">
        <v>3002</v>
      </c>
    </row>
    <row r="1388" spans="1:6" x14ac:dyDescent="0.25">
      <c r="A1388" s="227" t="str">
        <f>TL[[#This Row],[Société]]&amp;" - "&amp;TL[[#This Row],[Compte]]</f>
        <v>VICTOIRE - 443800</v>
      </c>
      <c r="B1388" s="233" t="s">
        <v>4524</v>
      </c>
      <c r="C1388" s="227" t="s">
        <v>4525</v>
      </c>
      <c r="F1388" s="227" t="s">
        <v>3002</v>
      </c>
    </row>
    <row r="1389" spans="1:6" x14ac:dyDescent="0.25">
      <c r="A1389" s="227" t="str">
        <f>TL[[#This Row],[Société]]&amp;" - "&amp;TL[[#This Row],[Compte]]</f>
        <v>VICTOIRE - 444000</v>
      </c>
      <c r="B1389" s="233" t="s">
        <v>1682</v>
      </c>
      <c r="C1389" s="227" t="s">
        <v>4526</v>
      </c>
      <c r="F1389" s="227" t="s">
        <v>3002</v>
      </c>
    </row>
    <row r="1390" spans="1:6" x14ac:dyDescent="0.25">
      <c r="A1390" s="227" t="str">
        <f>TL[[#This Row],[Société]]&amp;" - "&amp;TL[[#This Row],[Compte]]</f>
        <v>VICTOIRE - 444200</v>
      </c>
      <c r="B1390" s="233" t="s">
        <v>4527</v>
      </c>
      <c r="C1390" s="227" t="s">
        <v>4528</v>
      </c>
      <c r="F1390" s="227" t="s">
        <v>3002</v>
      </c>
    </row>
    <row r="1391" spans="1:6" x14ac:dyDescent="0.25">
      <c r="A1391" s="227" t="str">
        <f>TL[[#This Row],[Société]]&amp;" - "&amp;TL[[#This Row],[Compte]]</f>
        <v>VICTOIRE - 445200</v>
      </c>
      <c r="B1391" s="233" t="s">
        <v>1842</v>
      </c>
      <c r="C1391" s="227" t="s">
        <v>4529</v>
      </c>
      <c r="F1391" s="227" t="s">
        <v>3002</v>
      </c>
    </row>
    <row r="1392" spans="1:6" x14ac:dyDescent="0.25">
      <c r="A1392" s="227" t="str">
        <f>TL[[#This Row],[Société]]&amp;" - "&amp;TL[[#This Row],[Compte]]</f>
        <v>VICTOIRE - 445500</v>
      </c>
      <c r="B1392" s="233" t="s">
        <v>4530</v>
      </c>
      <c r="C1392" s="227" t="s">
        <v>3773</v>
      </c>
      <c r="F1392" s="227" t="s">
        <v>3002</v>
      </c>
    </row>
    <row r="1393" spans="1:6" x14ac:dyDescent="0.25">
      <c r="A1393" s="227" t="str">
        <f>TL[[#This Row],[Société]]&amp;" - "&amp;TL[[#This Row],[Compte]]</f>
        <v>VICTOIRE - 445510</v>
      </c>
      <c r="B1393" s="233" t="s">
        <v>1683</v>
      </c>
      <c r="C1393" s="227" t="s">
        <v>4531</v>
      </c>
      <c r="F1393" s="227" t="s">
        <v>3002</v>
      </c>
    </row>
    <row r="1394" spans="1:6" x14ac:dyDescent="0.25">
      <c r="A1394" s="227" t="str">
        <f>TL[[#This Row],[Société]]&amp;" - "&amp;TL[[#This Row],[Compte]]</f>
        <v>VICTOIRE - 445580</v>
      </c>
      <c r="B1394" s="233" t="s">
        <v>3125</v>
      </c>
      <c r="C1394" s="227" t="s">
        <v>4532</v>
      </c>
      <c r="F1394" s="227" t="s">
        <v>3002</v>
      </c>
    </row>
    <row r="1395" spans="1:6" x14ac:dyDescent="0.25">
      <c r="A1395" s="227" t="str">
        <f>TL[[#This Row],[Société]]&amp;" - "&amp;TL[[#This Row],[Compte]]</f>
        <v>VICTOIRE - 445620</v>
      </c>
      <c r="B1395" s="233" t="s">
        <v>1843</v>
      </c>
      <c r="C1395" s="227" t="s">
        <v>4533</v>
      </c>
      <c r="F1395" s="227" t="s">
        <v>3002</v>
      </c>
    </row>
    <row r="1396" spans="1:6" x14ac:dyDescent="0.25">
      <c r="A1396" s="227" t="str">
        <f>TL[[#This Row],[Société]]&amp;" - "&amp;TL[[#This Row],[Compte]]</f>
        <v>VICTOIRE - 445630</v>
      </c>
      <c r="B1396" s="233" t="s">
        <v>4534</v>
      </c>
      <c r="C1396" s="227" t="s">
        <v>4535</v>
      </c>
      <c r="F1396" s="227" t="s">
        <v>3002</v>
      </c>
    </row>
    <row r="1397" spans="1:6" x14ac:dyDescent="0.25">
      <c r="A1397" s="227" t="str">
        <f>TL[[#This Row],[Société]]&amp;" - "&amp;TL[[#This Row],[Compte]]</f>
        <v>VICTOIRE - 445660</v>
      </c>
      <c r="B1397" s="233" t="s">
        <v>1580</v>
      </c>
      <c r="C1397" s="227" t="s">
        <v>4536</v>
      </c>
      <c r="F1397" s="227" t="s">
        <v>3002</v>
      </c>
    </row>
    <row r="1398" spans="1:6" x14ac:dyDescent="0.25">
      <c r="A1398" s="227" t="str">
        <f>TL[[#This Row],[Société]]&amp;" - "&amp;TL[[#This Row],[Compte]]</f>
        <v>VICTOIRE - 445661</v>
      </c>
      <c r="B1398" s="233" t="s">
        <v>1584</v>
      </c>
      <c r="C1398" s="227" t="s">
        <v>4537</v>
      </c>
      <c r="F1398" s="227" t="s">
        <v>3002</v>
      </c>
    </row>
    <row r="1399" spans="1:6" x14ac:dyDescent="0.25">
      <c r="A1399" s="227" t="str">
        <f>TL[[#This Row],[Société]]&amp;" - "&amp;TL[[#This Row],[Compte]]</f>
        <v>VICTOIRE - 445662</v>
      </c>
      <c r="B1399" s="233" t="s">
        <v>1845</v>
      </c>
      <c r="C1399" s="227" t="s">
        <v>4538</v>
      </c>
      <c r="F1399" s="227" t="s">
        <v>3002</v>
      </c>
    </row>
    <row r="1400" spans="1:6" x14ac:dyDescent="0.25">
      <c r="A1400" s="227" t="str">
        <f>TL[[#This Row],[Société]]&amp;" - "&amp;TL[[#This Row],[Compte]]</f>
        <v>VICTOIRE - 445670</v>
      </c>
      <c r="B1400" s="233" t="s">
        <v>1846</v>
      </c>
      <c r="C1400" s="227" t="s">
        <v>4539</v>
      </c>
      <c r="F1400" s="227" t="s">
        <v>3002</v>
      </c>
    </row>
    <row r="1401" spans="1:6" x14ac:dyDescent="0.25">
      <c r="A1401" s="227" t="str">
        <f>TL[[#This Row],[Société]]&amp;" - "&amp;TL[[#This Row],[Compte]]</f>
        <v>VICTOIRE - 445680</v>
      </c>
      <c r="B1401" s="233" t="s">
        <v>4540</v>
      </c>
      <c r="C1401" s="227" t="s">
        <v>4541</v>
      </c>
      <c r="F1401" s="227" t="s">
        <v>3002</v>
      </c>
    </row>
    <row r="1402" spans="1:6" x14ac:dyDescent="0.25">
      <c r="A1402" s="227" t="str">
        <f>TL[[#This Row],[Société]]&amp;" - "&amp;TL[[#This Row],[Compte]]</f>
        <v>VICTOIRE - 445700</v>
      </c>
      <c r="B1402" s="233" t="s">
        <v>4542</v>
      </c>
      <c r="C1402" s="227" t="s">
        <v>4543</v>
      </c>
      <c r="F1402" s="227" t="s">
        <v>3002</v>
      </c>
    </row>
    <row r="1403" spans="1:6" x14ac:dyDescent="0.25">
      <c r="A1403" s="227" t="str">
        <f>TL[[#This Row],[Société]]&amp;" - "&amp;TL[[#This Row],[Compte]]</f>
        <v>VICTOIRE - 445710</v>
      </c>
      <c r="B1403" s="233" t="s">
        <v>1742</v>
      </c>
      <c r="C1403" s="227" t="s">
        <v>4544</v>
      </c>
      <c r="F1403" s="227" t="s">
        <v>3002</v>
      </c>
    </row>
    <row r="1404" spans="1:6" x14ac:dyDescent="0.25">
      <c r="A1404" s="227" t="str">
        <f>TL[[#This Row],[Société]]&amp;" - "&amp;TL[[#This Row],[Compte]]</f>
        <v>VICTOIRE - 445711</v>
      </c>
      <c r="B1404" s="233" t="s">
        <v>1847</v>
      </c>
      <c r="C1404" s="227" t="s">
        <v>4545</v>
      </c>
      <c r="F1404" s="227" t="s">
        <v>3002</v>
      </c>
    </row>
    <row r="1405" spans="1:6" x14ac:dyDescent="0.25">
      <c r="A1405" s="227" t="str">
        <f>TL[[#This Row],[Société]]&amp;" - "&amp;TL[[#This Row],[Compte]]</f>
        <v>VICTOIRE - 445713</v>
      </c>
      <c r="B1405" s="233" t="s">
        <v>1848</v>
      </c>
      <c r="C1405" s="227" t="s">
        <v>4545</v>
      </c>
      <c r="F1405" s="227" t="s">
        <v>3002</v>
      </c>
    </row>
    <row r="1406" spans="1:6" x14ac:dyDescent="0.25">
      <c r="A1406" s="227" t="str">
        <f>TL[[#This Row],[Société]]&amp;" - "&amp;TL[[#This Row],[Compte]]</f>
        <v>VICTOIRE - 445716</v>
      </c>
      <c r="B1406" s="233" t="s">
        <v>1684</v>
      </c>
      <c r="C1406" s="227" t="s">
        <v>2165</v>
      </c>
      <c r="F1406" s="227" t="s">
        <v>3002</v>
      </c>
    </row>
    <row r="1407" spans="1:6" x14ac:dyDescent="0.25">
      <c r="A1407" s="227" t="str">
        <f>TL[[#This Row],[Société]]&amp;" - "&amp;TL[[#This Row],[Compte]]</f>
        <v>VICTOIRE - 445720</v>
      </c>
      <c r="B1407" s="233" t="s">
        <v>1685</v>
      </c>
      <c r="C1407" s="227" t="s">
        <v>2161</v>
      </c>
      <c r="F1407" s="227" t="s">
        <v>3002</v>
      </c>
    </row>
    <row r="1408" spans="1:6" x14ac:dyDescent="0.25">
      <c r="A1408" s="227" t="str">
        <f>TL[[#This Row],[Société]]&amp;" - "&amp;TL[[#This Row],[Compte]]</f>
        <v>VICTOIRE - 445780</v>
      </c>
      <c r="B1408" s="233" t="s">
        <v>4546</v>
      </c>
      <c r="C1408" s="227" t="s">
        <v>4547</v>
      </c>
      <c r="F1408" s="227" t="s">
        <v>3002</v>
      </c>
    </row>
    <row r="1409" spans="1:6" x14ac:dyDescent="0.25">
      <c r="A1409" s="227" t="str">
        <f>TL[[#This Row],[Société]]&amp;" - "&amp;TL[[#This Row],[Compte]]</f>
        <v>VICTOIRE - 445800</v>
      </c>
      <c r="B1409" s="233" t="s">
        <v>4548</v>
      </c>
      <c r="C1409" s="227" t="s">
        <v>4549</v>
      </c>
      <c r="F1409" s="227" t="s">
        <v>3002</v>
      </c>
    </row>
    <row r="1410" spans="1:6" x14ac:dyDescent="0.25">
      <c r="A1410" s="227" t="str">
        <f>TL[[#This Row],[Société]]&amp;" - "&amp;TL[[#This Row],[Compte]]</f>
        <v>VICTOIRE - 445801</v>
      </c>
      <c r="B1410" s="233" t="s">
        <v>4550</v>
      </c>
      <c r="C1410" s="227" t="s">
        <v>4551</v>
      </c>
      <c r="F1410" s="227" t="s">
        <v>3002</v>
      </c>
    </row>
    <row r="1411" spans="1:6" x14ac:dyDescent="0.25">
      <c r="A1411" s="227" t="str">
        <f>TL[[#This Row],[Société]]&amp;" - "&amp;TL[[#This Row],[Compte]]</f>
        <v>VICTOIRE - 445807</v>
      </c>
      <c r="B1411" s="233" t="s">
        <v>4552</v>
      </c>
      <c r="C1411" s="227" t="s">
        <v>4553</v>
      </c>
      <c r="F1411" s="227" t="s">
        <v>3002</v>
      </c>
    </row>
    <row r="1412" spans="1:6" x14ac:dyDescent="0.25">
      <c r="A1412" s="227" t="str">
        <f>TL[[#This Row],[Société]]&amp;" - "&amp;TL[[#This Row],[Compte]]</f>
        <v>VICTOIRE - 445810</v>
      </c>
      <c r="B1412" s="233" t="s">
        <v>4554</v>
      </c>
      <c r="C1412" s="227" t="s">
        <v>4555</v>
      </c>
      <c r="F1412" s="227" t="s">
        <v>3002</v>
      </c>
    </row>
    <row r="1413" spans="1:6" x14ac:dyDescent="0.25">
      <c r="A1413" s="227" t="str">
        <f>TL[[#This Row],[Société]]&amp;" - "&amp;TL[[#This Row],[Compte]]</f>
        <v>VICTOIRE - 445820</v>
      </c>
      <c r="B1413" s="233" t="s">
        <v>4556</v>
      </c>
      <c r="C1413" s="227" t="s">
        <v>4557</v>
      </c>
      <c r="F1413" s="227" t="s">
        <v>3002</v>
      </c>
    </row>
    <row r="1414" spans="1:6" x14ac:dyDescent="0.25">
      <c r="A1414" s="227" t="str">
        <f>TL[[#This Row],[Société]]&amp;" - "&amp;TL[[#This Row],[Compte]]</f>
        <v>VICTOIRE - 445830</v>
      </c>
      <c r="B1414" s="233" t="s">
        <v>1851</v>
      </c>
      <c r="C1414" s="227" t="s">
        <v>4558</v>
      </c>
      <c r="F1414" s="227" t="s">
        <v>3002</v>
      </c>
    </row>
    <row r="1415" spans="1:6" x14ac:dyDescent="0.25">
      <c r="A1415" s="227" t="str">
        <f>TL[[#This Row],[Société]]&amp;" - "&amp;TL[[#This Row],[Compte]]</f>
        <v>VICTOIRE - 445840</v>
      </c>
      <c r="B1415" s="233" t="s">
        <v>4559</v>
      </c>
      <c r="C1415" s="227" t="s">
        <v>4560</v>
      </c>
      <c r="F1415" s="227" t="s">
        <v>3002</v>
      </c>
    </row>
    <row r="1416" spans="1:6" x14ac:dyDescent="0.25">
      <c r="A1416" s="227" t="str">
        <f>TL[[#This Row],[Société]]&amp;" - "&amp;TL[[#This Row],[Compte]]</f>
        <v>VICTOIRE - 445860</v>
      </c>
      <c r="B1416" s="233" t="s">
        <v>1686</v>
      </c>
      <c r="C1416" s="227" t="s">
        <v>4561</v>
      </c>
      <c r="F1416" s="227" t="s">
        <v>3002</v>
      </c>
    </row>
    <row r="1417" spans="1:6" x14ac:dyDescent="0.25">
      <c r="A1417" s="227" t="str">
        <f>TL[[#This Row],[Société]]&amp;" - "&amp;TL[[#This Row],[Compte]]</f>
        <v>VICTOIRE - 445870</v>
      </c>
      <c r="B1417" s="233" t="s">
        <v>1688</v>
      </c>
      <c r="C1417" s="227" t="s">
        <v>4562</v>
      </c>
      <c r="F1417" s="227" t="s">
        <v>3002</v>
      </c>
    </row>
    <row r="1418" spans="1:6" x14ac:dyDescent="0.25">
      <c r="A1418" s="227" t="str">
        <f>TL[[#This Row],[Société]]&amp;" - "&amp;TL[[#This Row],[Compte]]</f>
        <v>VICTOIRE - 446000</v>
      </c>
      <c r="B1418" s="233" t="s">
        <v>4563</v>
      </c>
      <c r="C1418" s="227" t="s">
        <v>4564</v>
      </c>
      <c r="F1418" s="227" t="s">
        <v>3002</v>
      </c>
    </row>
    <row r="1419" spans="1:6" x14ac:dyDescent="0.25">
      <c r="A1419" s="227" t="str">
        <f>TL[[#This Row],[Société]]&amp;" - "&amp;TL[[#This Row],[Compte]]</f>
        <v>VICTOIRE - 446100</v>
      </c>
      <c r="B1419" s="233" t="s">
        <v>4565</v>
      </c>
      <c r="C1419" s="227" t="s">
        <v>4564</v>
      </c>
      <c r="F1419" s="227" t="s">
        <v>3002</v>
      </c>
    </row>
    <row r="1420" spans="1:6" x14ac:dyDescent="0.25">
      <c r="A1420" s="227" t="str">
        <f>TL[[#This Row],[Société]]&amp;" - "&amp;TL[[#This Row],[Compte]]</f>
        <v>VICTOIRE - 447000</v>
      </c>
      <c r="B1420" s="233" t="s">
        <v>4566</v>
      </c>
      <c r="C1420" s="227" t="s">
        <v>4567</v>
      </c>
      <c r="F1420" s="227" t="s">
        <v>3002</v>
      </c>
    </row>
    <row r="1421" spans="1:6" x14ac:dyDescent="0.25">
      <c r="A1421" s="227" t="str">
        <f>TL[[#This Row],[Société]]&amp;" - "&amp;TL[[#This Row],[Compte]]</f>
        <v>VICTOIRE - 448200</v>
      </c>
      <c r="B1421" s="233" t="s">
        <v>4568</v>
      </c>
      <c r="C1421" s="227" t="s">
        <v>4569</v>
      </c>
      <c r="F1421" s="227" t="s">
        <v>3002</v>
      </c>
    </row>
    <row r="1422" spans="1:6" x14ac:dyDescent="0.25">
      <c r="A1422" s="227" t="str">
        <f>TL[[#This Row],[Société]]&amp;" - "&amp;TL[[#This Row],[Compte]]</f>
        <v>VICTOIRE - 448600</v>
      </c>
      <c r="B1422" s="233" t="s">
        <v>1689</v>
      </c>
      <c r="C1422" s="227" t="s">
        <v>4570</v>
      </c>
      <c r="F1422" s="227" t="s">
        <v>3002</v>
      </c>
    </row>
    <row r="1423" spans="1:6" x14ac:dyDescent="0.25">
      <c r="A1423" s="227" t="str">
        <f>TL[[#This Row],[Société]]&amp;" - "&amp;TL[[#This Row],[Compte]]</f>
        <v>VICTOIRE - 448630</v>
      </c>
      <c r="B1423" s="233" t="s">
        <v>4571</v>
      </c>
      <c r="C1423" s="227" t="s">
        <v>2158</v>
      </c>
      <c r="F1423" s="227" t="s">
        <v>3002</v>
      </c>
    </row>
    <row r="1424" spans="1:6" x14ac:dyDescent="0.25">
      <c r="A1424" s="227" t="str">
        <f>TL[[#This Row],[Société]]&amp;" - "&amp;TL[[#This Row],[Compte]]</f>
        <v>VICTOIRE - 448631</v>
      </c>
      <c r="B1424" s="233" t="s">
        <v>4572</v>
      </c>
      <c r="C1424" s="227" t="s">
        <v>4573</v>
      </c>
      <c r="F1424" s="227" t="s">
        <v>3002</v>
      </c>
    </row>
    <row r="1425" spans="1:6" x14ac:dyDescent="0.25">
      <c r="A1425" s="227" t="str">
        <f>TL[[#This Row],[Société]]&amp;" - "&amp;TL[[#This Row],[Compte]]</f>
        <v>VICTOIRE - 448632</v>
      </c>
      <c r="B1425" s="233" t="s">
        <v>4574</v>
      </c>
      <c r="C1425" s="227" t="s">
        <v>4575</v>
      </c>
      <c r="F1425" s="227" t="s">
        <v>3002</v>
      </c>
    </row>
    <row r="1426" spans="1:6" x14ac:dyDescent="0.25">
      <c r="A1426" s="227" t="str">
        <f>TL[[#This Row],[Société]]&amp;" - "&amp;TL[[#This Row],[Compte]]</f>
        <v>VICTOIRE - 448633</v>
      </c>
      <c r="B1426" s="233" t="s">
        <v>4576</v>
      </c>
      <c r="C1426" s="227" t="s">
        <v>4577</v>
      </c>
      <c r="F1426" s="227" t="s">
        <v>3002</v>
      </c>
    </row>
    <row r="1427" spans="1:6" x14ac:dyDescent="0.25">
      <c r="A1427" s="227" t="str">
        <f>TL[[#This Row],[Société]]&amp;" - "&amp;TL[[#This Row],[Compte]]</f>
        <v>VICTOIRE - 448634</v>
      </c>
      <c r="B1427" s="233" t="s">
        <v>4578</v>
      </c>
      <c r="C1427" s="227" t="s">
        <v>4579</v>
      </c>
      <c r="F1427" s="227" t="s">
        <v>3002</v>
      </c>
    </row>
    <row r="1428" spans="1:6" x14ac:dyDescent="0.25">
      <c r="A1428" s="227" t="str">
        <f>TL[[#This Row],[Société]]&amp;" - "&amp;TL[[#This Row],[Compte]]</f>
        <v>VICTOIRE - 448635</v>
      </c>
      <c r="B1428" s="233" t="s">
        <v>4580</v>
      </c>
      <c r="C1428" s="227" t="s">
        <v>4581</v>
      </c>
      <c r="F1428" s="227" t="s">
        <v>3002</v>
      </c>
    </row>
    <row r="1429" spans="1:6" x14ac:dyDescent="0.25">
      <c r="A1429" s="227" t="str">
        <f>TL[[#This Row],[Société]]&amp;" - "&amp;TL[[#This Row],[Compte]]</f>
        <v>VICTOIRE - 448636</v>
      </c>
      <c r="B1429" s="233" t="s">
        <v>4582</v>
      </c>
      <c r="C1429" s="227" t="s">
        <v>4583</v>
      </c>
      <c r="F1429" s="227" t="s">
        <v>3002</v>
      </c>
    </row>
    <row r="1430" spans="1:6" x14ac:dyDescent="0.25">
      <c r="A1430" s="227" t="str">
        <f>TL[[#This Row],[Société]]&amp;" - "&amp;TL[[#This Row],[Compte]]</f>
        <v>VICTOIRE - 448637</v>
      </c>
      <c r="B1430" s="233" t="s">
        <v>4584</v>
      </c>
      <c r="C1430" s="227" t="s">
        <v>4585</v>
      </c>
      <c r="F1430" s="227" t="s">
        <v>3002</v>
      </c>
    </row>
    <row r="1431" spans="1:6" x14ac:dyDescent="0.25">
      <c r="A1431" s="227" t="str">
        <f>TL[[#This Row],[Société]]&amp;" - "&amp;TL[[#This Row],[Compte]]</f>
        <v>VICTOIRE - 448638</v>
      </c>
      <c r="B1431" s="233" t="s">
        <v>4586</v>
      </c>
      <c r="C1431" s="227" t="s">
        <v>4587</v>
      </c>
      <c r="F1431" s="227" t="s">
        <v>3002</v>
      </c>
    </row>
    <row r="1432" spans="1:6" x14ac:dyDescent="0.25">
      <c r="A1432" s="227" t="str">
        <f>TL[[#This Row],[Société]]&amp;" - "&amp;TL[[#This Row],[Compte]]</f>
        <v>VICTOIRE - 448639</v>
      </c>
      <c r="B1432" s="233" t="s">
        <v>4588</v>
      </c>
      <c r="C1432" s="227" t="s">
        <v>4589</v>
      </c>
      <c r="F1432" s="227" t="s">
        <v>3002</v>
      </c>
    </row>
    <row r="1433" spans="1:6" x14ac:dyDescent="0.25">
      <c r="A1433" s="227" t="str">
        <f>TL[[#This Row],[Société]]&amp;" - "&amp;TL[[#This Row],[Compte]]</f>
        <v>VICTOIRE - 448640</v>
      </c>
      <c r="B1433" s="233" t="s">
        <v>4590</v>
      </c>
      <c r="C1433" s="227" t="s">
        <v>4591</v>
      </c>
      <c r="F1433" s="227" t="s">
        <v>3002</v>
      </c>
    </row>
    <row r="1434" spans="1:6" x14ac:dyDescent="0.25">
      <c r="A1434" s="227" t="str">
        <f>TL[[#This Row],[Société]]&amp;" - "&amp;TL[[#This Row],[Compte]]</f>
        <v>VICTOIRE - 448700</v>
      </c>
      <c r="B1434" s="233" t="s">
        <v>1853</v>
      </c>
      <c r="C1434" s="227" t="s">
        <v>4592</v>
      </c>
      <c r="F1434" s="227" t="s">
        <v>3002</v>
      </c>
    </row>
    <row r="1435" spans="1:6" x14ac:dyDescent="0.25">
      <c r="A1435" s="227" t="str">
        <f>TL[[#This Row],[Société]]&amp;" - "&amp;TL[[#This Row],[Compte]]</f>
        <v>VICTOIRE - 449000</v>
      </c>
      <c r="B1435" s="233" t="s">
        <v>4593</v>
      </c>
      <c r="C1435" s="227" t="s">
        <v>4594</v>
      </c>
      <c r="F1435" s="227" t="s">
        <v>3002</v>
      </c>
    </row>
    <row r="1436" spans="1:6" x14ac:dyDescent="0.25">
      <c r="A1436" s="227" t="str">
        <f>TL[[#This Row],[Société]]&amp;" - "&amp;TL[[#This Row],[Compte]]</f>
        <v>VICTOIRE - 451000</v>
      </c>
      <c r="B1436" s="233" t="s">
        <v>4595</v>
      </c>
      <c r="C1436" s="227" t="s">
        <v>4596</v>
      </c>
      <c r="F1436" s="227" t="s">
        <v>3002</v>
      </c>
    </row>
    <row r="1437" spans="1:6" x14ac:dyDescent="0.25">
      <c r="A1437" s="227" t="str">
        <f>TL[[#This Row],[Société]]&amp;" - "&amp;TL[[#This Row],[Compte]]</f>
        <v>VICTOIRE - 455000</v>
      </c>
      <c r="B1437" s="233" t="s">
        <v>1854</v>
      </c>
      <c r="C1437" s="227" t="s">
        <v>4597</v>
      </c>
      <c r="F1437" s="227" t="s">
        <v>3002</v>
      </c>
    </row>
    <row r="1438" spans="1:6" x14ac:dyDescent="0.25">
      <c r="A1438" s="227" t="str">
        <f>TL[[#This Row],[Société]]&amp;" - "&amp;TL[[#This Row],[Compte]]</f>
        <v>VICTOIRE - 455100</v>
      </c>
      <c r="B1438" s="233" t="s">
        <v>1690</v>
      </c>
      <c r="C1438" s="227" t="s">
        <v>4598</v>
      </c>
      <c r="F1438" s="227" t="s">
        <v>3002</v>
      </c>
    </row>
    <row r="1439" spans="1:6" x14ac:dyDescent="0.25">
      <c r="A1439" s="227" t="str">
        <f>TL[[#This Row],[Société]]&amp;" - "&amp;TL[[#This Row],[Compte]]</f>
        <v>VICTOIRE - 455170</v>
      </c>
      <c r="B1439" s="233" t="s">
        <v>4599</v>
      </c>
      <c r="C1439" s="227" t="s">
        <v>4600</v>
      </c>
      <c r="F1439" s="227" t="s">
        <v>3002</v>
      </c>
    </row>
    <row r="1440" spans="1:6" x14ac:dyDescent="0.25">
      <c r="A1440" s="227" t="str">
        <f>TL[[#This Row],[Société]]&amp;" - "&amp;TL[[#This Row],[Compte]]</f>
        <v>VICTOIRE - 455180</v>
      </c>
      <c r="B1440" s="233" t="s">
        <v>4601</v>
      </c>
      <c r="C1440" s="227" t="s">
        <v>4602</v>
      </c>
      <c r="F1440" s="227" t="s">
        <v>3002</v>
      </c>
    </row>
    <row r="1441" spans="1:6" x14ac:dyDescent="0.25">
      <c r="A1441" s="227" t="str">
        <f>TL[[#This Row],[Société]]&amp;" - "&amp;TL[[#This Row],[Compte]]</f>
        <v>VICTOIRE - 455300</v>
      </c>
      <c r="B1441" s="233" t="s">
        <v>4603</v>
      </c>
      <c r="C1441" s="227" t="s">
        <v>4604</v>
      </c>
      <c r="F1441" s="227" t="s">
        <v>3002</v>
      </c>
    </row>
    <row r="1442" spans="1:6" x14ac:dyDescent="0.25">
      <c r="A1442" s="227" t="str">
        <f>TL[[#This Row],[Société]]&amp;" - "&amp;TL[[#This Row],[Compte]]</f>
        <v>VICTOIRE - 455800</v>
      </c>
      <c r="B1442" s="233" t="s">
        <v>1691</v>
      </c>
      <c r="C1442" s="227" t="s">
        <v>697</v>
      </c>
      <c r="F1442" s="227" t="s">
        <v>3002</v>
      </c>
    </row>
    <row r="1443" spans="1:6" x14ac:dyDescent="0.25">
      <c r="A1443" s="227" t="str">
        <f>TL[[#This Row],[Société]]&amp;" - "&amp;TL[[#This Row],[Compte]]</f>
        <v>VICTOIRE - 456000</v>
      </c>
      <c r="B1443" s="233" t="s">
        <v>4605</v>
      </c>
      <c r="C1443" s="227" t="s">
        <v>4606</v>
      </c>
      <c r="F1443" s="227" t="s">
        <v>3002</v>
      </c>
    </row>
    <row r="1444" spans="1:6" x14ac:dyDescent="0.25">
      <c r="A1444" s="227" t="str">
        <f>TL[[#This Row],[Société]]&amp;" - "&amp;TL[[#This Row],[Compte]]</f>
        <v>VICTOIRE - 456110</v>
      </c>
      <c r="B1444" s="233" t="s">
        <v>4607</v>
      </c>
      <c r="C1444" s="227" t="s">
        <v>4608</v>
      </c>
      <c r="F1444" s="227" t="s">
        <v>3002</v>
      </c>
    </row>
    <row r="1445" spans="1:6" x14ac:dyDescent="0.25">
      <c r="A1445" s="227" t="str">
        <f>TL[[#This Row],[Société]]&amp;" - "&amp;TL[[#This Row],[Compte]]</f>
        <v>VICTOIRE - 456150</v>
      </c>
      <c r="B1445" s="233" t="s">
        <v>4609</v>
      </c>
      <c r="C1445" s="227" t="s">
        <v>4610</v>
      </c>
      <c r="F1445" s="227" t="s">
        <v>3002</v>
      </c>
    </row>
    <row r="1446" spans="1:6" x14ac:dyDescent="0.25">
      <c r="A1446" s="227" t="str">
        <f>TL[[#This Row],[Société]]&amp;" - "&amp;TL[[#This Row],[Compte]]</f>
        <v>VICTOIRE - 456210</v>
      </c>
      <c r="B1446" s="233" t="s">
        <v>4611</v>
      </c>
      <c r="C1446" s="227" t="s">
        <v>4612</v>
      </c>
      <c r="F1446" s="227" t="s">
        <v>3002</v>
      </c>
    </row>
    <row r="1447" spans="1:6" x14ac:dyDescent="0.25">
      <c r="A1447" s="227" t="str">
        <f>TL[[#This Row],[Société]]&amp;" - "&amp;TL[[#This Row],[Compte]]</f>
        <v>VICTOIRE - 457000</v>
      </c>
      <c r="B1447" s="233" t="s">
        <v>1856</v>
      </c>
      <c r="C1447" s="227" t="s">
        <v>4613</v>
      </c>
      <c r="F1447" s="227" t="s">
        <v>3002</v>
      </c>
    </row>
    <row r="1448" spans="1:6" x14ac:dyDescent="0.25">
      <c r="A1448" s="227" t="str">
        <f>TL[[#This Row],[Société]]&amp;" - "&amp;TL[[#This Row],[Compte]]</f>
        <v>VICTOIRE - 458000</v>
      </c>
      <c r="B1448" s="233" t="s">
        <v>4614</v>
      </c>
      <c r="C1448" s="227" t="s">
        <v>4615</v>
      </c>
      <c r="F1448" s="227" t="s">
        <v>3002</v>
      </c>
    </row>
    <row r="1449" spans="1:6" x14ac:dyDescent="0.25">
      <c r="A1449" s="227" t="str">
        <f>TL[[#This Row],[Société]]&amp;" - "&amp;TL[[#This Row],[Compte]]</f>
        <v>VICTOIRE - 458100</v>
      </c>
      <c r="B1449" s="233" t="s">
        <v>4616</v>
      </c>
      <c r="C1449" s="227" t="s">
        <v>4617</v>
      </c>
      <c r="F1449" s="227" t="s">
        <v>3002</v>
      </c>
    </row>
    <row r="1450" spans="1:6" x14ac:dyDescent="0.25">
      <c r="A1450" s="227" t="str">
        <f>TL[[#This Row],[Société]]&amp;" - "&amp;TL[[#This Row],[Compte]]</f>
        <v>VICTOIRE - 458800</v>
      </c>
      <c r="B1450" s="233" t="s">
        <v>3144</v>
      </c>
      <c r="C1450" s="227" t="s">
        <v>697</v>
      </c>
      <c r="F1450" s="227" t="s">
        <v>3002</v>
      </c>
    </row>
    <row r="1451" spans="1:6" x14ac:dyDescent="0.25">
      <c r="A1451" s="227" t="str">
        <f>TL[[#This Row],[Société]]&amp;" - "&amp;TL[[#This Row],[Compte]]</f>
        <v>VICTOIRE - 462000</v>
      </c>
      <c r="B1451" s="233" t="s">
        <v>4618</v>
      </c>
      <c r="C1451" s="227" t="s">
        <v>4619</v>
      </c>
      <c r="F1451" s="227" t="s">
        <v>3002</v>
      </c>
    </row>
    <row r="1452" spans="1:6" x14ac:dyDescent="0.25">
      <c r="A1452" s="227" t="str">
        <f>TL[[#This Row],[Société]]&amp;" - "&amp;TL[[#This Row],[Compte]]</f>
        <v>VICTOIRE - 462700</v>
      </c>
      <c r="B1452" s="233" t="s">
        <v>4620</v>
      </c>
      <c r="C1452" s="227" t="s">
        <v>4621</v>
      </c>
      <c r="F1452" s="227" t="s">
        <v>3002</v>
      </c>
    </row>
    <row r="1453" spans="1:6" x14ac:dyDescent="0.25">
      <c r="A1453" s="227" t="str">
        <f>TL[[#This Row],[Société]]&amp;" - "&amp;TL[[#This Row],[Compte]]</f>
        <v>VICTOIRE - 462800</v>
      </c>
      <c r="B1453" s="233" t="s">
        <v>4622</v>
      </c>
      <c r="C1453" s="227" t="s">
        <v>4623</v>
      </c>
      <c r="F1453" s="227" t="s">
        <v>3002</v>
      </c>
    </row>
    <row r="1454" spans="1:6" x14ac:dyDescent="0.25">
      <c r="A1454" s="227" t="str">
        <f>TL[[#This Row],[Société]]&amp;" - "&amp;TL[[#This Row],[Compte]]</f>
        <v>VICTOIRE - 464000</v>
      </c>
      <c r="B1454" s="233" t="s">
        <v>4624</v>
      </c>
      <c r="C1454" s="227" t="s">
        <v>4625</v>
      </c>
      <c r="F1454" s="227" t="s">
        <v>3002</v>
      </c>
    </row>
    <row r="1455" spans="1:6" x14ac:dyDescent="0.25">
      <c r="A1455" s="227" t="str">
        <f>TL[[#This Row],[Société]]&amp;" - "&amp;TL[[#This Row],[Compte]]</f>
        <v>VICTOIRE - 465000</v>
      </c>
      <c r="B1455" s="233" t="s">
        <v>4626</v>
      </c>
      <c r="C1455" s="227" t="s">
        <v>4627</v>
      </c>
      <c r="F1455" s="227" t="s">
        <v>3002</v>
      </c>
    </row>
    <row r="1456" spans="1:6" x14ac:dyDescent="0.25">
      <c r="A1456" s="227" t="str">
        <f>TL[[#This Row],[Société]]&amp;" - "&amp;TL[[#This Row],[Compte]]</f>
        <v>VICTOIRE - 467000</v>
      </c>
      <c r="B1456" s="233" t="s">
        <v>1857</v>
      </c>
      <c r="C1456" s="227" t="s">
        <v>593</v>
      </c>
      <c r="F1456" s="227" t="s">
        <v>3002</v>
      </c>
    </row>
    <row r="1457" spans="1:6" x14ac:dyDescent="0.25">
      <c r="A1457" s="227" t="str">
        <f>TL[[#This Row],[Société]]&amp;" - "&amp;TL[[#This Row],[Compte]]</f>
        <v>VICTOIRE - 467100</v>
      </c>
      <c r="B1457" s="233" t="s">
        <v>1858</v>
      </c>
      <c r="C1457" s="227" t="s">
        <v>4628</v>
      </c>
      <c r="F1457" s="227" t="s">
        <v>3002</v>
      </c>
    </row>
    <row r="1458" spans="1:6" x14ac:dyDescent="0.25">
      <c r="A1458" s="227" t="str">
        <f>TL[[#This Row],[Société]]&amp;" - "&amp;TL[[#This Row],[Compte]]</f>
        <v>VICTOIRE - 467200</v>
      </c>
      <c r="B1458" s="233" t="s">
        <v>1692</v>
      </c>
      <c r="C1458" s="227" t="s">
        <v>4629</v>
      </c>
      <c r="F1458" s="227" t="s">
        <v>3002</v>
      </c>
    </row>
    <row r="1459" spans="1:6" x14ac:dyDescent="0.25">
      <c r="A1459" s="227" t="str">
        <f>TL[[#This Row],[Société]]&amp;" - "&amp;TL[[#This Row],[Compte]]</f>
        <v>VICTOIRE - 467400</v>
      </c>
      <c r="B1459" s="233" t="s">
        <v>1863</v>
      </c>
      <c r="C1459" s="227" t="s">
        <v>4630</v>
      </c>
      <c r="F1459" s="227" t="s">
        <v>3002</v>
      </c>
    </row>
    <row r="1460" spans="1:6" x14ac:dyDescent="0.25">
      <c r="A1460" s="227" t="str">
        <f>TL[[#This Row],[Société]]&amp;" - "&amp;TL[[#This Row],[Compte]]</f>
        <v>VICTOIRE - 467700</v>
      </c>
      <c r="B1460" s="233" t="s">
        <v>4631</v>
      </c>
      <c r="C1460" s="227" t="s">
        <v>4632</v>
      </c>
      <c r="F1460" s="227" t="s">
        <v>3002</v>
      </c>
    </row>
    <row r="1461" spans="1:6" x14ac:dyDescent="0.25">
      <c r="A1461" s="227" t="str">
        <f>TL[[#This Row],[Société]]&amp;" - "&amp;TL[[#This Row],[Compte]]</f>
        <v>VICTOIRE - 468600</v>
      </c>
      <c r="B1461" s="233" t="s">
        <v>1869</v>
      </c>
      <c r="C1461" s="227" t="s">
        <v>1010</v>
      </c>
      <c r="F1461" s="227" t="s">
        <v>3002</v>
      </c>
    </row>
    <row r="1462" spans="1:6" x14ac:dyDescent="0.25">
      <c r="A1462" s="227" t="str">
        <f>TL[[#This Row],[Société]]&amp;" - "&amp;TL[[#This Row],[Compte]]</f>
        <v>VICTOIRE - 468700</v>
      </c>
      <c r="B1462" s="233" t="s">
        <v>1693</v>
      </c>
      <c r="C1462" s="227" t="s">
        <v>1011</v>
      </c>
      <c r="F1462" s="227" t="s">
        <v>3002</v>
      </c>
    </row>
    <row r="1463" spans="1:6" x14ac:dyDescent="0.25">
      <c r="A1463" s="227" t="str">
        <f>TL[[#This Row],[Société]]&amp;" - "&amp;TL[[#This Row],[Compte]]</f>
        <v>VICTOIRE - 471000</v>
      </c>
      <c r="B1463" s="233" t="s">
        <v>1722</v>
      </c>
      <c r="C1463" s="227" t="s">
        <v>4633</v>
      </c>
      <c r="F1463" s="227" t="s">
        <v>3002</v>
      </c>
    </row>
    <row r="1464" spans="1:6" x14ac:dyDescent="0.25">
      <c r="A1464" s="227" t="str">
        <f>TL[[#This Row],[Société]]&amp;" - "&amp;TL[[#This Row],[Compte]]</f>
        <v>VICTOIRE - 472000</v>
      </c>
      <c r="B1464" s="233" t="s">
        <v>1870</v>
      </c>
      <c r="C1464" s="227" t="s">
        <v>4633</v>
      </c>
      <c r="F1464" s="227" t="s">
        <v>3002</v>
      </c>
    </row>
    <row r="1465" spans="1:6" x14ac:dyDescent="0.25">
      <c r="A1465" s="227" t="str">
        <f>TL[[#This Row],[Société]]&amp;" - "&amp;TL[[#This Row],[Compte]]</f>
        <v>VICTOIRE - 476100</v>
      </c>
      <c r="B1465" s="233" t="s">
        <v>4634</v>
      </c>
      <c r="C1465" s="227" t="s">
        <v>4635</v>
      </c>
      <c r="F1465" s="227" t="s">
        <v>3002</v>
      </c>
    </row>
    <row r="1466" spans="1:6" x14ac:dyDescent="0.25">
      <c r="A1466" s="227" t="str">
        <f>TL[[#This Row],[Société]]&amp;" - "&amp;TL[[#This Row],[Compte]]</f>
        <v>VICTOIRE - 476200</v>
      </c>
      <c r="B1466" s="233" t="s">
        <v>4636</v>
      </c>
      <c r="C1466" s="227" t="s">
        <v>4637</v>
      </c>
      <c r="F1466" s="227" t="s">
        <v>3002</v>
      </c>
    </row>
    <row r="1467" spans="1:6" x14ac:dyDescent="0.25">
      <c r="A1467" s="227" t="str">
        <f>TL[[#This Row],[Société]]&amp;" - "&amp;TL[[#This Row],[Compte]]</f>
        <v>VICTOIRE - 476800</v>
      </c>
      <c r="B1467" s="233" t="s">
        <v>4638</v>
      </c>
      <c r="C1467" s="227" t="s">
        <v>4639</v>
      </c>
      <c r="F1467" s="227" t="s">
        <v>3002</v>
      </c>
    </row>
    <row r="1468" spans="1:6" x14ac:dyDescent="0.25">
      <c r="A1468" s="227" t="str">
        <f>TL[[#This Row],[Société]]&amp;" - "&amp;TL[[#This Row],[Compte]]</f>
        <v>VICTOIRE - 477100</v>
      </c>
      <c r="B1468" s="233" t="s">
        <v>4640</v>
      </c>
      <c r="C1468" s="227" t="s">
        <v>4641</v>
      </c>
      <c r="F1468" s="227" t="s">
        <v>3002</v>
      </c>
    </row>
    <row r="1469" spans="1:6" x14ac:dyDescent="0.25">
      <c r="A1469" s="227" t="str">
        <f>TL[[#This Row],[Société]]&amp;" - "&amp;TL[[#This Row],[Compte]]</f>
        <v>VICTOIRE - 477200</v>
      </c>
      <c r="B1469" s="233" t="s">
        <v>4642</v>
      </c>
      <c r="C1469" s="227" t="s">
        <v>4643</v>
      </c>
      <c r="F1469" s="227" t="s">
        <v>3002</v>
      </c>
    </row>
    <row r="1470" spans="1:6" x14ac:dyDescent="0.25">
      <c r="A1470" s="227" t="str">
        <f>TL[[#This Row],[Société]]&amp;" - "&amp;TL[[#This Row],[Compte]]</f>
        <v>VICTOIRE - 477800</v>
      </c>
      <c r="B1470" s="233" t="s">
        <v>4644</v>
      </c>
      <c r="C1470" s="227" t="s">
        <v>4639</v>
      </c>
      <c r="F1470" s="227" t="s">
        <v>3002</v>
      </c>
    </row>
    <row r="1471" spans="1:6" x14ac:dyDescent="0.25">
      <c r="A1471" s="227" t="str">
        <f>TL[[#This Row],[Société]]&amp;" - "&amp;TL[[#This Row],[Compte]]</f>
        <v>VICTOIRE - 478000</v>
      </c>
      <c r="B1471" s="233" t="s">
        <v>4645</v>
      </c>
      <c r="C1471" s="227" t="s">
        <v>4646</v>
      </c>
      <c r="F1471" s="227" t="s">
        <v>3002</v>
      </c>
    </row>
    <row r="1472" spans="1:6" x14ac:dyDescent="0.25">
      <c r="A1472" s="227" t="str">
        <f>TL[[#This Row],[Société]]&amp;" - "&amp;TL[[#This Row],[Compte]]</f>
        <v>VICTOIRE - 478700</v>
      </c>
      <c r="B1472" s="233" t="s">
        <v>4647</v>
      </c>
      <c r="C1472" s="227" t="s">
        <v>4648</v>
      </c>
      <c r="F1472" s="227" t="s">
        <v>3002</v>
      </c>
    </row>
    <row r="1473" spans="1:6" x14ac:dyDescent="0.25">
      <c r="A1473" s="227" t="str">
        <f>TL[[#This Row],[Société]]&amp;" - "&amp;TL[[#This Row],[Compte]]</f>
        <v>VICTOIRE - 481100</v>
      </c>
      <c r="B1473" s="233" t="s">
        <v>4649</v>
      </c>
      <c r="C1473" s="227" t="s">
        <v>4650</v>
      </c>
      <c r="F1473" s="227" t="s">
        <v>3002</v>
      </c>
    </row>
    <row r="1474" spans="1:6" x14ac:dyDescent="0.25">
      <c r="A1474" s="227" t="str">
        <f>TL[[#This Row],[Société]]&amp;" - "&amp;TL[[#This Row],[Compte]]</f>
        <v>VICTOIRE - 481200</v>
      </c>
      <c r="B1474" s="233" t="s">
        <v>4651</v>
      </c>
      <c r="C1474" s="227" t="s">
        <v>4652</v>
      </c>
      <c r="F1474" s="227" t="s">
        <v>3002</v>
      </c>
    </row>
    <row r="1475" spans="1:6" x14ac:dyDescent="0.25">
      <c r="A1475" s="227" t="str">
        <f>TL[[#This Row],[Société]]&amp;" - "&amp;TL[[#This Row],[Compte]]</f>
        <v>VICTOIRE - 481600</v>
      </c>
      <c r="B1475" s="233" t="s">
        <v>4653</v>
      </c>
      <c r="C1475" s="227" t="s">
        <v>4654</v>
      </c>
      <c r="F1475" s="227" t="s">
        <v>3002</v>
      </c>
    </row>
    <row r="1476" spans="1:6" x14ac:dyDescent="0.25">
      <c r="A1476" s="227" t="str">
        <f>TL[[#This Row],[Société]]&amp;" - "&amp;TL[[#This Row],[Compte]]</f>
        <v>VICTOIRE - 481800</v>
      </c>
      <c r="B1476" s="233" t="s">
        <v>4655</v>
      </c>
      <c r="C1476" s="227" t="s">
        <v>4656</v>
      </c>
      <c r="F1476" s="227" t="s">
        <v>3002</v>
      </c>
    </row>
    <row r="1477" spans="1:6" x14ac:dyDescent="0.25">
      <c r="A1477" s="227" t="str">
        <f>TL[[#This Row],[Société]]&amp;" - "&amp;TL[[#This Row],[Compte]]</f>
        <v>VICTOIRE - 486000</v>
      </c>
      <c r="B1477" s="233" t="s">
        <v>1694</v>
      </c>
      <c r="C1477" s="227" t="s">
        <v>4657</v>
      </c>
      <c r="F1477" s="227" t="s">
        <v>3002</v>
      </c>
    </row>
    <row r="1478" spans="1:6" x14ac:dyDescent="0.25">
      <c r="A1478" s="227" t="str">
        <f>TL[[#This Row],[Société]]&amp;" - "&amp;TL[[#This Row],[Compte]]</f>
        <v>VICTOIRE - 486060</v>
      </c>
      <c r="B1478" s="233" t="s">
        <v>4658</v>
      </c>
      <c r="C1478" s="227" t="s">
        <v>4659</v>
      </c>
      <c r="F1478" s="227" t="s">
        <v>3002</v>
      </c>
    </row>
    <row r="1479" spans="1:6" x14ac:dyDescent="0.25">
      <c r="A1479" s="227" t="str">
        <f>TL[[#This Row],[Société]]&amp;" - "&amp;TL[[#This Row],[Compte]]</f>
        <v>VICTOIRE - 486120</v>
      </c>
      <c r="B1479" s="233" t="s">
        <v>4660</v>
      </c>
      <c r="C1479" s="227" t="s">
        <v>4661</v>
      </c>
      <c r="F1479" s="227" t="s">
        <v>3002</v>
      </c>
    </row>
    <row r="1480" spans="1:6" x14ac:dyDescent="0.25">
      <c r="A1480" s="227" t="str">
        <f>TL[[#This Row],[Société]]&amp;" - "&amp;TL[[#This Row],[Compte]]</f>
        <v>VICTOIRE - 486132</v>
      </c>
      <c r="B1480" s="233" t="s">
        <v>4662</v>
      </c>
      <c r="C1480" s="227" t="s">
        <v>4663</v>
      </c>
      <c r="F1480" s="227" t="s">
        <v>3002</v>
      </c>
    </row>
    <row r="1481" spans="1:6" x14ac:dyDescent="0.25">
      <c r="A1481" s="227" t="str">
        <f>TL[[#This Row],[Société]]&amp;" - "&amp;TL[[#This Row],[Compte]]</f>
        <v>VICTOIRE - 486133</v>
      </c>
      <c r="B1481" s="233" t="s">
        <v>4664</v>
      </c>
      <c r="C1481" s="227" t="s">
        <v>4665</v>
      </c>
      <c r="F1481" s="227" t="s">
        <v>3002</v>
      </c>
    </row>
    <row r="1482" spans="1:6" x14ac:dyDescent="0.25">
      <c r="A1482" s="227" t="str">
        <f>TL[[#This Row],[Société]]&amp;" - "&amp;TL[[#This Row],[Compte]]</f>
        <v>VICTOIRE - 486135</v>
      </c>
      <c r="B1482" s="233" t="s">
        <v>4666</v>
      </c>
      <c r="C1482" s="227" t="s">
        <v>4667</v>
      </c>
      <c r="F1482" s="227" t="s">
        <v>3002</v>
      </c>
    </row>
    <row r="1483" spans="1:6" x14ac:dyDescent="0.25">
      <c r="A1483" s="227" t="str">
        <f>TL[[#This Row],[Société]]&amp;" - "&amp;TL[[#This Row],[Compte]]</f>
        <v>VICTOIRE - 486150</v>
      </c>
      <c r="B1483" s="233" t="s">
        <v>4668</v>
      </c>
      <c r="C1483" s="227" t="s">
        <v>4669</v>
      </c>
      <c r="F1483" s="227" t="s">
        <v>3002</v>
      </c>
    </row>
    <row r="1484" spans="1:6" x14ac:dyDescent="0.25">
      <c r="A1484" s="227" t="str">
        <f>TL[[#This Row],[Société]]&amp;" - "&amp;TL[[#This Row],[Compte]]</f>
        <v>VICTOIRE - 486156</v>
      </c>
      <c r="B1484" s="233" t="s">
        <v>4670</v>
      </c>
      <c r="C1484" s="227" t="s">
        <v>4671</v>
      </c>
      <c r="F1484" s="227" t="s">
        <v>3002</v>
      </c>
    </row>
    <row r="1485" spans="1:6" x14ac:dyDescent="0.25">
      <c r="A1485" s="227" t="str">
        <f>TL[[#This Row],[Société]]&amp;" - "&amp;TL[[#This Row],[Compte]]</f>
        <v>VICTOIRE - 486160</v>
      </c>
      <c r="B1485" s="233" t="s">
        <v>4672</v>
      </c>
      <c r="C1485" s="227" t="s">
        <v>4673</v>
      </c>
      <c r="F1485" s="227" t="s">
        <v>3002</v>
      </c>
    </row>
    <row r="1486" spans="1:6" x14ac:dyDescent="0.25">
      <c r="A1486" s="227" t="str">
        <f>TL[[#This Row],[Société]]&amp;" - "&amp;TL[[#This Row],[Compte]]</f>
        <v>VICTOIRE - 486220</v>
      </c>
      <c r="B1486" s="233" t="s">
        <v>4674</v>
      </c>
      <c r="C1486" s="227" t="s">
        <v>4675</v>
      </c>
      <c r="F1486" s="227" t="s">
        <v>3002</v>
      </c>
    </row>
    <row r="1487" spans="1:6" x14ac:dyDescent="0.25">
      <c r="A1487" s="227" t="str">
        <f>TL[[#This Row],[Société]]&amp;" - "&amp;TL[[#This Row],[Compte]]</f>
        <v>VICTOIRE - 486234</v>
      </c>
      <c r="B1487" s="233" t="s">
        <v>4676</v>
      </c>
      <c r="C1487" s="227" t="s">
        <v>4677</v>
      </c>
      <c r="F1487" s="227" t="s">
        <v>3002</v>
      </c>
    </row>
    <row r="1488" spans="1:6" x14ac:dyDescent="0.25">
      <c r="A1488" s="227" t="str">
        <f>TL[[#This Row],[Société]]&amp;" - "&amp;TL[[#This Row],[Compte]]</f>
        <v>VICTOIRE - 486260</v>
      </c>
      <c r="B1488" s="233" t="s">
        <v>4678</v>
      </c>
      <c r="C1488" s="227" t="s">
        <v>4679</v>
      </c>
      <c r="F1488" s="227" t="s">
        <v>3002</v>
      </c>
    </row>
    <row r="1489" spans="1:6" x14ac:dyDescent="0.25">
      <c r="A1489" s="227" t="str">
        <f>TL[[#This Row],[Société]]&amp;" - "&amp;TL[[#This Row],[Compte]]</f>
        <v>VICTOIRE - 486270</v>
      </c>
      <c r="B1489" s="233" t="s">
        <v>4680</v>
      </c>
      <c r="C1489" s="227" t="s">
        <v>4681</v>
      </c>
      <c r="F1489" s="227" t="s">
        <v>3002</v>
      </c>
    </row>
    <row r="1490" spans="1:6" x14ac:dyDescent="0.25">
      <c r="A1490" s="227" t="str">
        <f>TL[[#This Row],[Société]]&amp;" - "&amp;TL[[#This Row],[Compte]]</f>
        <v>VICTOIRE - 486351</v>
      </c>
      <c r="B1490" s="233" t="s">
        <v>4682</v>
      </c>
      <c r="C1490" s="227" t="s">
        <v>4683</v>
      </c>
      <c r="F1490" s="227" t="s">
        <v>3002</v>
      </c>
    </row>
    <row r="1491" spans="1:6" x14ac:dyDescent="0.25">
      <c r="A1491" s="227" t="str">
        <f>TL[[#This Row],[Société]]&amp;" - "&amp;TL[[#This Row],[Compte]]</f>
        <v>VICTOIRE - 486610</v>
      </c>
      <c r="B1491" s="233" t="s">
        <v>4684</v>
      </c>
      <c r="C1491" s="227" t="s">
        <v>4685</v>
      </c>
      <c r="F1491" s="227" t="s">
        <v>3002</v>
      </c>
    </row>
    <row r="1492" spans="1:6" x14ac:dyDescent="0.25">
      <c r="A1492" s="227" t="str">
        <f>TL[[#This Row],[Société]]&amp;" - "&amp;TL[[#This Row],[Compte]]</f>
        <v>VICTOIRE - 487000</v>
      </c>
      <c r="B1492" s="233" t="s">
        <v>1871</v>
      </c>
      <c r="C1492" s="227" t="s">
        <v>4686</v>
      </c>
      <c r="F1492" s="227" t="s">
        <v>3002</v>
      </c>
    </row>
    <row r="1493" spans="1:6" x14ac:dyDescent="0.25">
      <c r="A1493" s="227" t="str">
        <f>TL[[#This Row],[Société]]&amp;" - "&amp;TL[[#This Row],[Compte]]</f>
        <v>VICTOIRE - 488600</v>
      </c>
      <c r="B1493" s="233" t="s">
        <v>4687</v>
      </c>
      <c r="C1493" s="227" t="s">
        <v>4688</v>
      </c>
      <c r="F1493" s="227" t="s">
        <v>3002</v>
      </c>
    </row>
    <row r="1494" spans="1:6" x14ac:dyDescent="0.25">
      <c r="A1494" s="227" t="str">
        <f>TL[[#This Row],[Société]]&amp;" - "&amp;TL[[#This Row],[Compte]]</f>
        <v>VICTOIRE - 488630</v>
      </c>
      <c r="B1494" s="233" t="s">
        <v>4689</v>
      </c>
      <c r="C1494" s="227" t="s">
        <v>2937</v>
      </c>
      <c r="F1494" s="227" t="s">
        <v>3002</v>
      </c>
    </row>
    <row r="1495" spans="1:6" x14ac:dyDescent="0.25">
      <c r="A1495" s="227" t="str">
        <f>TL[[#This Row],[Société]]&amp;" - "&amp;TL[[#This Row],[Compte]]</f>
        <v>VICTOIRE - 488631</v>
      </c>
      <c r="B1495" s="233" t="s">
        <v>4690</v>
      </c>
      <c r="C1495" s="227" t="s">
        <v>2936</v>
      </c>
      <c r="F1495" s="227" t="s">
        <v>3002</v>
      </c>
    </row>
    <row r="1496" spans="1:6" x14ac:dyDescent="0.25">
      <c r="A1496" s="227" t="str">
        <f>TL[[#This Row],[Société]]&amp;" - "&amp;TL[[#This Row],[Compte]]</f>
        <v>VICTOIRE - 488632</v>
      </c>
      <c r="B1496" s="233" t="s">
        <v>4691</v>
      </c>
      <c r="C1496" s="227" t="s">
        <v>4692</v>
      </c>
      <c r="F1496" s="227" t="s">
        <v>3002</v>
      </c>
    </row>
    <row r="1497" spans="1:6" x14ac:dyDescent="0.25">
      <c r="A1497" s="227" t="str">
        <f>TL[[#This Row],[Société]]&amp;" - "&amp;TL[[#This Row],[Compte]]</f>
        <v>VICTOIRE - 488633</v>
      </c>
      <c r="B1497" s="233" t="s">
        <v>4693</v>
      </c>
      <c r="C1497" s="227" t="s">
        <v>4694</v>
      </c>
      <c r="F1497" s="227" t="s">
        <v>3002</v>
      </c>
    </row>
    <row r="1498" spans="1:6" x14ac:dyDescent="0.25">
      <c r="A1498" s="227" t="str">
        <f>TL[[#This Row],[Société]]&amp;" - "&amp;TL[[#This Row],[Compte]]</f>
        <v>VICTOIRE - 488634</v>
      </c>
      <c r="B1498" s="233" t="s">
        <v>4695</v>
      </c>
      <c r="C1498" s="227" t="s">
        <v>4696</v>
      </c>
      <c r="F1498" s="227" t="s">
        <v>3002</v>
      </c>
    </row>
    <row r="1499" spans="1:6" x14ac:dyDescent="0.25">
      <c r="A1499" s="227" t="str">
        <f>TL[[#This Row],[Société]]&amp;" - "&amp;TL[[#This Row],[Compte]]</f>
        <v>VICTOIRE - 488636</v>
      </c>
      <c r="B1499" s="233" t="s">
        <v>4697</v>
      </c>
      <c r="C1499" s="227" t="s">
        <v>4698</v>
      </c>
      <c r="F1499" s="227" t="s">
        <v>3002</v>
      </c>
    </row>
    <row r="1500" spans="1:6" x14ac:dyDescent="0.25">
      <c r="A1500" s="227" t="str">
        <f>TL[[#This Row],[Société]]&amp;" - "&amp;TL[[#This Row],[Compte]]</f>
        <v>VICTOIRE - 488641</v>
      </c>
      <c r="B1500" s="233" t="s">
        <v>4699</v>
      </c>
      <c r="C1500" s="227" t="s">
        <v>4700</v>
      </c>
      <c r="F1500" s="227" t="s">
        <v>3002</v>
      </c>
    </row>
    <row r="1501" spans="1:6" x14ac:dyDescent="0.25">
      <c r="A1501" s="227" t="str">
        <f>TL[[#This Row],[Société]]&amp;" - "&amp;TL[[#This Row],[Compte]]</f>
        <v>VICTOIRE - 488681</v>
      </c>
      <c r="B1501" s="233" t="s">
        <v>4701</v>
      </c>
      <c r="C1501" s="227" t="s">
        <v>4702</v>
      </c>
      <c r="F1501" s="227" t="s">
        <v>3002</v>
      </c>
    </row>
    <row r="1502" spans="1:6" x14ac:dyDescent="0.25">
      <c r="A1502" s="227" t="str">
        <f>TL[[#This Row],[Société]]&amp;" - "&amp;TL[[#This Row],[Compte]]</f>
        <v>VICTOIRE - 488700</v>
      </c>
      <c r="B1502" s="233" t="s">
        <v>4703</v>
      </c>
      <c r="C1502" s="227" t="s">
        <v>4704</v>
      </c>
      <c r="F1502" s="227" t="s">
        <v>3002</v>
      </c>
    </row>
    <row r="1503" spans="1:6" x14ac:dyDescent="0.25">
      <c r="A1503" s="227" t="str">
        <f>TL[[#This Row],[Société]]&amp;" - "&amp;TL[[#This Row],[Compte]]</f>
        <v>VICTOIRE - 490910</v>
      </c>
      <c r="B1503" s="233" t="s">
        <v>4705</v>
      </c>
      <c r="C1503" s="227" t="s">
        <v>4706</v>
      </c>
      <c r="F1503" s="227" t="s">
        <v>3002</v>
      </c>
    </row>
    <row r="1504" spans="1:6" x14ac:dyDescent="0.25">
      <c r="A1504" s="227" t="str">
        <f>TL[[#This Row],[Société]]&amp;" - "&amp;TL[[#This Row],[Compte]]</f>
        <v>VICTOIRE - 491000</v>
      </c>
      <c r="B1504" s="233" t="s">
        <v>4707</v>
      </c>
      <c r="C1504" s="227" t="s">
        <v>4708</v>
      </c>
      <c r="F1504" s="227" t="s">
        <v>3002</v>
      </c>
    </row>
    <row r="1505" spans="1:6" x14ac:dyDescent="0.25">
      <c r="A1505" s="227" t="str">
        <f>TL[[#This Row],[Société]]&amp;" - "&amp;TL[[#This Row],[Compte]]</f>
        <v>VICTOIRE - 495000</v>
      </c>
      <c r="B1505" s="233" t="s">
        <v>4709</v>
      </c>
      <c r="C1505" s="227" t="s">
        <v>4710</v>
      </c>
      <c r="F1505" s="227" t="s">
        <v>3002</v>
      </c>
    </row>
    <row r="1506" spans="1:6" x14ac:dyDescent="0.25">
      <c r="A1506" s="227" t="str">
        <f>TL[[#This Row],[Société]]&amp;" - "&amp;TL[[#This Row],[Compte]]</f>
        <v>VICTOIRE - 496000</v>
      </c>
      <c r="B1506" s="233" t="s">
        <v>4711</v>
      </c>
      <c r="C1506" s="227" t="s">
        <v>4712</v>
      </c>
      <c r="F1506" s="227" t="s">
        <v>3002</v>
      </c>
    </row>
    <row r="1507" spans="1:6" x14ac:dyDescent="0.25">
      <c r="A1507" s="227" t="str">
        <f>TL[[#This Row],[Société]]&amp;" - "&amp;TL[[#This Row],[Compte]]</f>
        <v>VICTOIRE - 496200</v>
      </c>
      <c r="B1507" s="233" t="s">
        <v>4713</v>
      </c>
      <c r="C1507" s="227" t="s">
        <v>4714</v>
      </c>
      <c r="F1507" s="227" t="s">
        <v>3002</v>
      </c>
    </row>
    <row r="1508" spans="1:6" x14ac:dyDescent="0.25">
      <c r="A1508" s="227" t="str">
        <f>TL[[#This Row],[Société]]&amp;" - "&amp;TL[[#This Row],[Compte]]</f>
        <v>VICTOIRE - 496500</v>
      </c>
      <c r="B1508" s="233" t="s">
        <v>4715</v>
      </c>
      <c r="C1508" s="227" t="s">
        <v>4716</v>
      </c>
      <c r="F1508" s="227" t="s">
        <v>3002</v>
      </c>
    </row>
    <row r="1509" spans="1:6" x14ac:dyDescent="0.25">
      <c r="A1509" s="227" t="str">
        <f>TL[[#This Row],[Société]]&amp;" - "&amp;TL[[#This Row],[Compte]]</f>
        <v>VICTOIRE - 496700</v>
      </c>
      <c r="B1509" s="233" t="s">
        <v>4717</v>
      </c>
      <c r="C1509" s="227" t="s">
        <v>4718</v>
      </c>
      <c r="F1509" s="227" t="s">
        <v>3002</v>
      </c>
    </row>
    <row r="1510" spans="1:6" x14ac:dyDescent="0.25">
      <c r="A1510" s="227" t="str">
        <f>TL[[#This Row],[Société]]&amp;" - "&amp;TL[[#This Row],[Compte]]</f>
        <v>VICTOIRE - 496740</v>
      </c>
      <c r="B1510" s="233" t="s">
        <v>4719</v>
      </c>
      <c r="C1510" s="227" t="s">
        <v>4720</v>
      </c>
      <c r="F1510" s="227" t="s">
        <v>3002</v>
      </c>
    </row>
    <row r="1511" spans="1:6" x14ac:dyDescent="0.25">
      <c r="A1511" s="227" t="str">
        <f>TL[[#This Row],[Société]]&amp;" - "&amp;TL[[#This Row],[Compte]]</f>
        <v>VICTOIRE - 496742</v>
      </c>
      <c r="B1511" s="233" t="s">
        <v>4721</v>
      </c>
      <c r="C1511" s="227" t="s">
        <v>4722</v>
      </c>
      <c r="F1511" s="227" t="s">
        <v>3002</v>
      </c>
    </row>
    <row r="1512" spans="1:6" x14ac:dyDescent="0.25">
      <c r="A1512" s="227" t="str">
        <f>TL[[#This Row],[Société]]&amp;" - "&amp;TL[[#This Row],[Compte]]</f>
        <v>VICTOIRE - 496744</v>
      </c>
      <c r="B1512" s="233" t="s">
        <v>4723</v>
      </c>
      <c r="C1512" s="227" t="s">
        <v>4724</v>
      </c>
      <c r="F1512" s="227" t="s">
        <v>3002</v>
      </c>
    </row>
    <row r="1513" spans="1:6" x14ac:dyDescent="0.25">
      <c r="A1513" s="227" t="str">
        <f>TL[[#This Row],[Société]]&amp;" - "&amp;TL[[#This Row],[Compte]]</f>
        <v>VICTOIRE - 501000</v>
      </c>
      <c r="B1513" s="233" t="s">
        <v>4725</v>
      </c>
      <c r="C1513" s="227" t="s">
        <v>4726</v>
      </c>
      <c r="F1513" s="227" t="s">
        <v>3002</v>
      </c>
    </row>
    <row r="1514" spans="1:6" x14ac:dyDescent="0.25">
      <c r="A1514" s="227" t="str">
        <f>TL[[#This Row],[Société]]&amp;" - "&amp;TL[[#This Row],[Compte]]</f>
        <v>VICTOIRE - 502000</v>
      </c>
      <c r="B1514" s="233" t="s">
        <v>4727</v>
      </c>
      <c r="C1514" s="227" t="s">
        <v>4728</v>
      </c>
      <c r="F1514" s="227" t="s">
        <v>3002</v>
      </c>
    </row>
    <row r="1515" spans="1:6" x14ac:dyDescent="0.25">
      <c r="A1515" s="227" t="str">
        <f>TL[[#This Row],[Société]]&amp;" - "&amp;TL[[#This Row],[Compte]]</f>
        <v>VICTOIRE - 503000</v>
      </c>
      <c r="B1515" s="233" t="s">
        <v>4729</v>
      </c>
      <c r="C1515" s="227" t="s">
        <v>596</v>
      </c>
      <c r="F1515" s="227" t="s">
        <v>3002</v>
      </c>
    </row>
    <row r="1516" spans="1:6" x14ac:dyDescent="0.25">
      <c r="A1516" s="227" t="str">
        <f>TL[[#This Row],[Société]]&amp;" - "&amp;TL[[#This Row],[Compte]]</f>
        <v>VICTOIRE - 504000</v>
      </c>
      <c r="B1516" s="233" t="s">
        <v>4730</v>
      </c>
      <c r="C1516" s="227" t="s">
        <v>4731</v>
      </c>
      <c r="F1516" s="227" t="s">
        <v>3002</v>
      </c>
    </row>
    <row r="1517" spans="1:6" x14ac:dyDescent="0.25">
      <c r="A1517" s="227" t="str">
        <f>TL[[#This Row],[Société]]&amp;" - "&amp;TL[[#This Row],[Compte]]</f>
        <v>VICTOIRE - 505000</v>
      </c>
      <c r="B1517" s="233" t="s">
        <v>4732</v>
      </c>
      <c r="C1517" s="227" t="s">
        <v>4733</v>
      </c>
      <c r="F1517" s="227" t="s">
        <v>3002</v>
      </c>
    </row>
    <row r="1518" spans="1:6" x14ac:dyDescent="0.25">
      <c r="A1518" s="227" t="str">
        <f>TL[[#This Row],[Société]]&amp;" - "&amp;TL[[#This Row],[Compte]]</f>
        <v>VICTOIRE - 506000</v>
      </c>
      <c r="B1518" s="233" t="s">
        <v>4734</v>
      </c>
      <c r="C1518" s="227" t="s">
        <v>4156</v>
      </c>
      <c r="F1518" s="227" t="s">
        <v>3002</v>
      </c>
    </row>
    <row r="1519" spans="1:6" x14ac:dyDescent="0.25">
      <c r="A1519" s="227" t="str">
        <f>TL[[#This Row],[Société]]&amp;" - "&amp;TL[[#This Row],[Compte]]</f>
        <v>VICTOIRE - 507000</v>
      </c>
      <c r="B1519" s="233" t="s">
        <v>4735</v>
      </c>
      <c r="C1519" s="227" t="s">
        <v>4736</v>
      </c>
      <c r="F1519" s="227" t="s">
        <v>3002</v>
      </c>
    </row>
    <row r="1520" spans="1:6" x14ac:dyDescent="0.25">
      <c r="A1520" s="227" t="str">
        <f>TL[[#This Row],[Société]]&amp;" - "&amp;TL[[#This Row],[Compte]]</f>
        <v>VICTOIRE - 507100</v>
      </c>
      <c r="B1520" s="233" t="s">
        <v>4737</v>
      </c>
      <c r="C1520" s="227" t="s">
        <v>4738</v>
      </c>
      <c r="F1520" s="227" t="s">
        <v>3002</v>
      </c>
    </row>
    <row r="1521" spans="1:6" x14ac:dyDescent="0.25">
      <c r="A1521" s="227" t="str">
        <f>TL[[#This Row],[Société]]&amp;" - "&amp;TL[[#This Row],[Compte]]</f>
        <v>VICTOIRE - 507400</v>
      </c>
      <c r="B1521" s="233" t="s">
        <v>4739</v>
      </c>
      <c r="C1521" s="227" t="s">
        <v>4740</v>
      </c>
      <c r="F1521" s="227" t="s">
        <v>3002</v>
      </c>
    </row>
    <row r="1522" spans="1:6" x14ac:dyDescent="0.25">
      <c r="A1522" s="227" t="str">
        <f>TL[[#This Row],[Société]]&amp;" - "&amp;TL[[#This Row],[Compte]]</f>
        <v>VICTOIRE - 507500</v>
      </c>
      <c r="B1522" s="233" t="s">
        <v>4741</v>
      </c>
      <c r="C1522" s="227" t="s">
        <v>4742</v>
      </c>
      <c r="F1522" s="227" t="s">
        <v>3002</v>
      </c>
    </row>
    <row r="1523" spans="1:6" x14ac:dyDescent="0.25">
      <c r="A1523" s="227" t="str">
        <f>TL[[#This Row],[Société]]&amp;" - "&amp;TL[[#This Row],[Compte]]</f>
        <v>VICTOIRE - 507700</v>
      </c>
      <c r="B1523" s="233" t="s">
        <v>4743</v>
      </c>
      <c r="C1523" s="227" t="s">
        <v>4744</v>
      </c>
      <c r="F1523" s="227" t="s">
        <v>3002</v>
      </c>
    </row>
    <row r="1524" spans="1:6" x14ac:dyDescent="0.25">
      <c r="A1524" s="227" t="str">
        <f>TL[[#This Row],[Société]]&amp;" - "&amp;TL[[#This Row],[Compte]]</f>
        <v>VICTOIRE - 507800</v>
      </c>
      <c r="B1524" s="233" t="s">
        <v>4745</v>
      </c>
      <c r="C1524" s="227" t="s">
        <v>4746</v>
      </c>
      <c r="F1524" s="227" t="s">
        <v>3002</v>
      </c>
    </row>
    <row r="1525" spans="1:6" x14ac:dyDescent="0.25">
      <c r="A1525" s="227" t="str">
        <f>TL[[#This Row],[Société]]&amp;" - "&amp;TL[[#This Row],[Compte]]</f>
        <v>VICTOIRE - 508100</v>
      </c>
      <c r="B1525" s="233" t="s">
        <v>1874</v>
      </c>
      <c r="C1525" s="227" t="s">
        <v>4747</v>
      </c>
      <c r="F1525" s="227" t="s">
        <v>3002</v>
      </c>
    </row>
    <row r="1526" spans="1:6" x14ac:dyDescent="0.25">
      <c r="A1526" s="227" t="str">
        <f>TL[[#This Row],[Société]]&amp;" - "&amp;TL[[#This Row],[Compte]]</f>
        <v>VICTOIRE - 508800</v>
      </c>
      <c r="B1526" s="233" t="s">
        <v>1875</v>
      </c>
      <c r="C1526" s="227" t="s">
        <v>4748</v>
      </c>
      <c r="F1526" s="227" t="s">
        <v>3002</v>
      </c>
    </row>
    <row r="1527" spans="1:6" x14ac:dyDescent="0.25">
      <c r="A1527" s="227" t="str">
        <f>TL[[#This Row],[Société]]&amp;" - "&amp;TL[[#This Row],[Compte]]</f>
        <v>VICTOIRE - 509000</v>
      </c>
      <c r="B1527" s="233" t="s">
        <v>4749</v>
      </c>
      <c r="C1527" s="227" t="s">
        <v>4750</v>
      </c>
      <c r="F1527" s="227" t="s">
        <v>3002</v>
      </c>
    </row>
    <row r="1528" spans="1:6" x14ac:dyDescent="0.25">
      <c r="A1528" s="227" t="str">
        <f>TL[[#This Row],[Société]]&amp;" - "&amp;TL[[#This Row],[Compte]]</f>
        <v>VICTOIRE - 511000</v>
      </c>
      <c r="B1528" s="233" t="s">
        <v>4751</v>
      </c>
      <c r="C1528" s="227" t="s">
        <v>4752</v>
      </c>
      <c r="F1528" s="227" t="s">
        <v>3002</v>
      </c>
    </row>
    <row r="1529" spans="1:6" x14ac:dyDescent="0.25">
      <c r="A1529" s="227" t="str">
        <f>TL[[#This Row],[Société]]&amp;" - "&amp;TL[[#This Row],[Compte]]</f>
        <v>VICTOIRE - 511100</v>
      </c>
      <c r="B1529" s="233" t="s">
        <v>4753</v>
      </c>
      <c r="C1529" s="227" t="s">
        <v>4754</v>
      </c>
      <c r="F1529" s="227" t="s">
        <v>3002</v>
      </c>
    </row>
    <row r="1530" spans="1:6" x14ac:dyDescent="0.25">
      <c r="A1530" s="227" t="str">
        <f>TL[[#This Row],[Société]]&amp;" - "&amp;TL[[#This Row],[Compte]]</f>
        <v>VICTOIRE - 511200</v>
      </c>
      <c r="B1530" s="233" t="s">
        <v>3162</v>
      </c>
      <c r="C1530" s="227" t="s">
        <v>4755</v>
      </c>
      <c r="F1530" s="227" t="s">
        <v>3002</v>
      </c>
    </row>
    <row r="1531" spans="1:6" x14ac:dyDescent="0.25">
      <c r="A1531" s="227" t="str">
        <f>TL[[#This Row],[Société]]&amp;" - "&amp;TL[[#This Row],[Compte]]</f>
        <v>VICTOIRE - 511231</v>
      </c>
      <c r="B1531" s="233" t="s">
        <v>1696</v>
      </c>
      <c r="C1531" s="227" t="s">
        <v>4628</v>
      </c>
      <c r="F1531" s="227" t="s">
        <v>3002</v>
      </c>
    </row>
    <row r="1532" spans="1:6" x14ac:dyDescent="0.25">
      <c r="A1532" s="227" t="str">
        <f>TL[[#This Row],[Société]]&amp;" - "&amp;TL[[#This Row],[Compte]]</f>
        <v>VICTOIRE - 511250</v>
      </c>
      <c r="B1532" s="233" t="s">
        <v>1881</v>
      </c>
      <c r="C1532" s="227" t="s">
        <v>4756</v>
      </c>
      <c r="F1532" s="227" t="s">
        <v>3002</v>
      </c>
    </row>
    <row r="1533" spans="1:6" x14ac:dyDescent="0.25">
      <c r="A1533" s="227" t="str">
        <f>TL[[#This Row],[Société]]&amp;" - "&amp;TL[[#This Row],[Compte]]</f>
        <v>VICTOIRE - 511251</v>
      </c>
      <c r="B1533" s="233" t="s">
        <v>1697</v>
      </c>
      <c r="C1533" s="227" t="s">
        <v>2163</v>
      </c>
      <c r="F1533" s="227" t="s">
        <v>3002</v>
      </c>
    </row>
    <row r="1534" spans="1:6" x14ac:dyDescent="0.25">
      <c r="A1534" s="227" t="str">
        <f>TL[[#This Row],[Société]]&amp;" - "&amp;TL[[#This Row],[Compte]]</f>
        <v>VICTOIRE - 511261</v>
      </c>
      <c r="B1534" s="233" t="s">
        <v>1698</v>
      </c>
      <c r="C1534" s="227" t="s">
        <v>1391</v>
      </c>
      <c r="F1534" s="227" t="s">
        <v>3002</v>
      </c>
    </row>
    <row r="1535" spans="1:6" x14ac:dyDescent="0.25">
      <c r="A1535" s="227" t="str">
        <f>TL[[#This Row],[Société]]&amp;" - "&amp;TL[[#This Row],[Compte]]</f>
        <v>VICTOIRE - 511300</v>
      </c>
      <c r="B1535" s="233" t="s">
        <v>4757</v>
      </c>
      <c r="C1535" s="227" t="s">
        <v>4758</v>
      </c>
      <c r="F1535" s="227" t="s">
        <v>3002</v>
      </c>
    </row>
    <row r="1536" spans="1:6" x14ac:dyDescent="0.25">
      <c r="A1536" s="227" t="str">
        <f>TL[[#This Row],[Société]]&amp;" - "&amp;TL[[#This Row],[Compte]]</f>
        <v>VICTOIRE - 511400</v>
      </c>
      <c r="B1536" s="233" t="s">
        <v>4759</v>
      </c>
      <c r="C1536" s="227" t="s">
        <v>4760</v>
      </c>
      <c r="F1536" s="227" t="s">
        <v>3002</v>
      </c>
    </row>
    <row r="1537" spans="1:6" x14ac:dyDescent="0.25">
      <c r="A1537" s="227" t="str">
        <f>TL[[#This Row],[Société]]&amp;" - "&amp;TL[[#This Row],[Compte]]</f>
        <v>VICTOIRE - 511701</v>
      </c>
      <c r="B1537" s="233" t="s">
        <v>1700</v>
      </c>
      <c r="C1537" s="227" t="s">
        <v>4761</v>
      </c>
      <c r="F1537" s="227" t="s">
        <v>3002</v>
      </c>
    </row>
    <row r="1538" spans="1:6" x14ac:dyDescent="0.25">
      <c r="A1538" s="227" t="str">
        <f>TL[[#This Row],[Société]]&amp;" - "&amp;TL[[#This Row],[Compte]]</f>
        <v>VICTOIRE - 511800</v>
      </c>
      <c r="B1538" s="233" t="s">
        <v>4762</v>
      </c>
      <c r="C1538" s="227" t="s">
        <v>4763</v>
      </c>
      <c r="F1538" s="227" t="s">
        <v>3002</v>
      </c>
    </row>
    <row r="1539" spans="1:6" x14ac:dyDescent="0.25">
      <c r="A1539" s="227" t="str">
        <f>TL[[#This Row],[Société]]&amp;" - "&amp;TL[[#This Row],[Compte]]</f>
        <v>VICTOIRE - 512000</v>
      </c>
      <c r="B1539" s="233" t="s">
        <v>1885</v>
      </c>
      <c r="C1539" s="227" t="s">
        <v>4764</v>
      </c>
      <c r="F1539" s="227" t="s">
        <v>3002</v>
      </c>
    </row>
    <row r="1540" spans="1:6" x14ac:dyDescent="0.25">
      <c r="A1540" s="227" t="str">
        <f>TL[[#This Row],[Société]]&amp;" - "&amp;TL[[#This Row],[Compte]]</f>
        <v>VICTOIRE - 512100</v>
      </c>
      <c r="B1540" s="233" t="s">
        <v>1886</v>
      </c>
      <c r="C1540" s="227" t="s">
        <v>1014</v>
      </c>
      <c r="F1540" s="227" t="s">
        <v>3002</v>
      </c>
    </row>
    <row r="1541" spans="1:6" x14ac:dyDescent="0.25">
      <c r="A1541" s="227" t="str">
        <f>TL[[#This Row],[Société]]&amp;" - "&amp;TL[[#This Row],[Compte]]</f>
        <v>VICTOIRE - 512101</v>
      </c>
      <c r="B1541" s="233" t="s">
        <v>4765</v>
      </c>
      <c r="C1541" s="227" t="s">
        <v>4766</v>
      </c>
      <c r="F1541" s="227" t="s">
        <v>3002</v>
      </c>
    </row>
    <row r="1542" spans="1:6" x14ac:dyDescent="0.25">
      <c r="A1542" s="227" t="str">
        <f>TL[[#This Row],[Société]]&amp;" - "&amp;TL[[#This Row],[Compte]]</f>
        <v>VICTOIRE - 512102</v>
      </c>
      <c r="B1542" s="233" t="s">
        <v>4767</v>
      </c>
      <c r="C1542" s="227" t="s">
        <v>4768</v>
      </c>
      <c r="F1542" s="227" t="s">
        <v>3002</v>
      </c>
    </row>
    <row r="1543" spans="1:6" x14ac:dyDescent="0.25">
      <c r="A1543" s="227" t="str">
        <f>TL[[#This Row],[Société]]&amp;" - "&amp;TL[[#This Row],[Compte]]</f>
        <v>VICTOIRE - 512103</v>
      </c>
      <c r="B1543" s="233" t="s">
        <v>4769</v>
      </c>
      <c r="C1543" s="227" t="s">
        <v>4770</v>
      </c>
      <c r="F1543" s="227" t="s">
        <v>3002</v>
      </c>
    </row>
    <row r="1544" spans="1:6" x14ac:dyDescent="0.25">
      <c r="A1544" s="227" t="str">
        <f>TL[[#This Row],[Société]]&amp;" - "&amp;TL[[#This Row],[Compte]]</f>
        <v>VICTOIRE - 512104</v>
      </c>
      <c r="B1544" s="233" t="s">
        <v>4771</v>
      </c>
      <c r="C1544" s="227" t="s">
        <v>1560</v>
      </c>
      <c r="F1544" s="227" t="s">
        <v>3002</v>
      </c>
    </row>
    <row r="1545" spans="1:6" x14ac:dyDescent="0.25">
      <c r="A1545" s="227" t="str">
        <f>TL[[#This Row],[Société]]&amp;" - "&amp;TL[[#This Row],[Compte]]</f>
        <v>VICTOIRE - 512110</v>
      </c>
      <c r="B1545" s="233" t="s">
        <v>4772</v>
      </c>
      <c r="C1545" s="227" t="s">
        <v>4773</v>
      </c>
      <c r="F1545" s="227" t="s">
        <v>3002</v>
      </c>
    </row>
    <row r="1546" spans="1:6" x14ac:dyDescent="0.25">
      <c r="A1546" s="227" t="str">
        <f>TL[[#This Row],[Société]]&amp;" - "&amp;TL[[#This Row],[Compte]]</f>
        <v>VICTOIRE - 512350</v>
      </c>
      <c r="B1546" s="233" t="s">
        <v>4774</v>
      </c>
      <c r="C1546" s="227" t="s">
        <v>3773</v>
      </c>
      <c r="F1546" s="227" t="s">
        <v>3002</v>
      </c>
    </row>
    <row r="1547" spans="1:6" x14ac:dyDescent="0.25">
      <c r="A1547" s="227" t="str">
        <f>TL[[#This Row],[Société]]&amp;" - "&amp;TL[[#This Row],[Compte]]</f>
        <v>VICTOIRE - 512400</v>
      </c>
      <c r="B1547" s="233" t="s">
        <v>1702</v>
      </c>
      <c r="C1547" s="227" t="s">
        <v>4775</v>
      </c>
      <c r="F1547" s="227" t="s">
        <v>3002</v>
      </c>
    </row>
    <row r="1548" spans="1:6" x14ac:dyDescent="0.25">
      <c r="A1548" s="227" t="str">
        <f>TL[[#This Row],[Société]]&amp;" - "&amp;TL[[#This Row],[Compte]]</f>
        <v>VICTOIRE - 512450</v>
      </c>
      <c r="B1548" s="233" t="s">
        <v>4776</v>
      </c>
      <c r="C1548" s="227" t="s">
        <v>3773</v>
      </c>
      <c r="F1548" s="227" t="s">
        <v>3002</v>
      </c>
    </row>
    <row r="1549" spans="1:6" x14ac:dyDescent="0.25">
      <c r="A1549" s="227" t="str">
        <f>TL[[#This Row],[Société]]&amp;" - "&amp;TL[[#This Row],[Compte]]</f>
        <v>VICTOIRE - 512550</v>
      </c>
      <c r="B1549" s="233" t="s">
        <v>4777</v>
      </c>
      <c r="C1549" s="227" t="s">
        <v>3773</v>
      </c>
      <c r="F1549" s="227" t="s">
        <v>3002</v>
      </c>
    </row>
    <row r="1550" spans="1:6" x14ac:dyDescent="0.25">
      <c r="A1550" s="227" t="str">
        <f>TL[[#This Row],[Société]]&amp;" - "&amp;TL[[#This Row],[Compte]]</f>
        <v>VICTOIRE - 512555</v>
      </c>
      <c r="B1550" s="233" t="s">
        <v>4778</v>
      </c>
      <c r="C1550" s="227" t="s">
        <v>3773</v>
      </c>
      <c r="F1550" s="227" t="s">
        <v>3002</v>
      </c>
    </row>
    <row r="1551" spans="1:6" x14ac:dyDescent="0.25">
      <c r="A1551" s="227" t="str">
        <f>TL[[#This Row],[Société]]&amp;" - "&amp;TL[[#This Row],[Compte]]</f>
        <v>VICTOIRE - 514000</v>
      </c>
      <c r="B1551" s="233" t="s">
        <v>4779</v>
      </c>
      <c r="C1551" s="227" t="s">
        <v>4780</v>
      </c>
      <c r="F1551" s="227" t="s">
        <v>3002</v>
      </c>
    </row>
    <row r="1552" spans="1:6" x14ac:dyDescent="0.25">
      <c r="A1552" s="227" t="str">
        <f>TL[[#This Row],[Société]]&amp;" - "&amp;TL[[#This Row],[Compte]]</f>
        <v>VICTOIRE - 516000</v>
      </c>
      <c r="B1552" s="233" t="s">
        <v>4781</v>
      </c>
      <c r="C1552" s="227" t="s">
        <v>4782</v>
      </c>
      <c r="F1552" s="227" t="s">
        <v>3002</v>
      </c>
    </row>
    <row r="1553" spans="1:6" x14ac:dyDescent="0.25">
      <c r="A1553" s="227" t="str">
        <f>TL[[#This Row],[Société]]&amp;" - "&amp;TL[[#This Row],[Compte]]</f>
        <v>VICTOIRE - 517000</v>
      </c>
      <c r="B1553" s="233" t="s">
        <v>4783</v>
      </c>
      <c r="C1553" s="227" t="s">
        <v>4784</v>
      </c>
      <c r="F1553" s="227" t="s">
        <v>3002</v>
      </c>
    </row>
    <row r="1554" spans="1:6" x14ac:dyDescent="0.25">
      <c r="A1554" s="227" t="str">
        <f>TL[[#This Row],[Société]]&amp;" - "&amp;TL[[#This Row],[Compte]]</f>
        <v>VICTOIRE - 518100</v>
      </c>
      <c r="B1554" s="233" t="s">
        <v>4785</v>
      </c>
      <c r="C1554" s="227" t="s">
        <v>602</v>
      </c>
      <c r="F1554" s="227" t="s">
        <v>3002</v>
      </c>
    </row>
    <row r="1555" spans="1:6" x14ac:dyDescent="0.25">
      <c r="A1555" s="227" t="str">
        <f>TL[[#This Row],[Société]]&amp;" - "&amp;TL[[#This Row],[Compte]]</f>
        <v>VICTOIRE - 518700</v>
      </c>
      <c r="B1555" s="233" t="s">
        <v>4786</v>
      </c>
      <c r="C1555" s="227" t="s">
        <v>4787</v>
      </c>
      <c r="F1555" s="227" t="s">
        <v>3002</v>
      </c>
    </row>
    <row r="1556" spans="1:6" x14ac:dyDescent="0.25">
      <c r="A1556" s="227" t="str">
        <f>TL[[#This Row],[Société]]&amp;" - "&amp;TL[[#This Row],[Compte]]</f>
        <v>VICTOIRE - 518800</v>
      </c>
      <c r="B1556" s="233" t="s">
        <v>1887</v>
      </c>
      <c r="C1556" s="227" t="s">
        <v>3183</v>
      </c>
      <c r="F1556" s="227" t="s">
        <v>3002</v>
      </c>
    </row>
    <row r="1557" spans="1:6" x14ac:dyDescent="0.25">
      <c r="A1557" s="227" t="str">
        <f>TL[[#This Row],[Société]]&amp;" - "&amp;TL[[#This Row],[Compte]]</f>
        <v>VICTOIRE - 519100</v>
      </c>
      <c r="B1557" s="233" t="s">
        <v>1888</v>
      </c>
      <c r="C1557" s="227" t="s">
        <v>4788</v>
      </c>
      <c r="F1557" s="227" t="s">
        <v>3002</v>
      </c>
    </row>
    <row r="1558" spans="1:6" x14ac:dyDescent="0.25">
      <c r="A1558" s="227" t="str">
        <f>TL[[#This Row],[Société]]&amp;" - "&amp;TL[[#This Row],[Compte]]</f>
        <v>VICTOIRE - 519200</v>
      </c>
      <c r="B1558" s="233" t="s">
        <v>1703</v>
      </c>
      <c r="C1558" s="227" t="s">
        <v>4789</v>
      </c>
      <c r="F1558" s="227" t="s">
        <v>3002</v>
      </c>
    </row>
    <row r="1559" spans="1:6" x14ac:dyDescent="0.25">
      <c r="A1559" s="227" t="str">
        <f>TL[[#This Row],[Société]]&amp;" - "&amp;TL[[#This Row],[Compte]]</f>
        <v>VICTOIRE - 519300</v>
      </c>
      <c r="B1559" s="233" t="s">
        <v>4790</v>
      </c>
      <c r="C1559" s="227" t="s">
        <v>4791</v>
      </c>
      <c r="F1559" s="227" t="s">
        <v>3002</v>
      </c>
    </row>
    <row r="1560" spans="1:6" x14ac:dyDescent="0.25">
      <c r="A1560" s="227" t="str">
        <f>TL[[#This Row],[Société]]&amp;" - "&amp;TL[[#This Row],[Compte]]</f>
        <v>VICTOIRE - 519400</v>
      </c>
      <c r="B1560" s="233" t="s">
        <v>4792</v>
      </c>
      <c r="C1560" s="227" t="s">
        <v>4793</v>
      </c>
      <c r="F1560" s="227" t="s">
        <v>3002</v>
      </c>
    </row>
    <row r="1561" spans="1:6" x14ac:dyDescent="0.25">
      <c r="A1561" s="227" t="str">
        <f>TL[[#This Row],[Société]]&amp;" - "&amp;TL[[#This Row],[Compte]]</f>
        <v>VICTOIRE - 519700</v>
      </c>
      <c r="B1561" s="233" t="s">
        <v>4794</v>
      </c>
      <c r="C1561" s="227" t="s">
        <v>4795</v>
      </c>
      <c r="F1561" s="227" t="s">
        <v>3002</v>
      </c>
    </row>
    <row r="1562" spans="1:6" x14ac:dyDescent="0.25">
      <c r="A1562" s="227" t="str">
        <f>TL[[#This Row],[Société]]&amp;" - "&amp;TL[[#This Row],[Compte]]</f>
        <v>VICTOIRE - 519800</v>
      </c>
      <c r="B1562" s="233" t="s">
        <v>4796</v>
      </c>
      <c r="C1562" s="227" t="s">
        <v>4797</v>
      </c>
      <c r="F1562" s="227" t="s">
        <v>3002</v>
      </c>
    </row>
    <row r="1563" spans="1:6" x14ac:dyDescent="0.25">
      <c r="A1563" s="227" t="str">
        <f>TL[[#This Row],[Société]]&amp;" - "&amp;TL[[#This Row],[Compte]]</f>
        <v>VICTOIRE - 520000</v>
      </c>
      <c r="B1563" s="233" t="s">
        <v>4798</v>
      </c>
      <c r="C1563" s="227" t="s">
        <v>4799</v>
      </c>
      <c r="F1563" s="227" t="s">
        <v>3002</v>
      </c>
    </row>
    <row r="1564" spans="1:6" x14ac:dyDescent="0.25">
      <c r="A1564" s="227" t="str">
        <f>TL[[#This Row],[Société]]&amp;" - "&amp;TL[[#This Row],[Compte]]</f>
        <v>VICTOIRE - 530000</v>
      </c>
      <c r="B1564" s="233" t="s">
        <v>3184</v>
      </c>
      <c r="C1564" s="227" t="s">
        <v>3185</v>
      </c>
      <c r="F1564" s="227" t="s">
        <v>3002</v>
      </c>
    </row>
    <row r="1565" spans="1:6" x14ac:dyDescent="0.25">
      <c r="A1565" s="227" t="str">
        <f>TL[[#This Row],[Société]]&amp;" - "&amp;TL[[#This Row],[Compte]]</f>
        <v>VICTOIRE - 530001</v>
      </c>
      <c r="B1565" s="233" t="s">
        <v>4800</v>
      </c>
      <c r="C1565" s="227" t="s">
        <v>3773</v>
      </c>
      <c r="F1565" s="227" t="s">
        <v>3002</v>
      </c>
    </row>
    <row r="1566" spans="1:6" x14ac:dyDescent="0.25">
      <c r="A1566" s="227" t="str">
        <f>TL[[#This Row],[Société]]&amp;" - "&amp;TL[[#This Row],[Compte]]</f>
        <v>VICTOIRE - 530002</v>
      </c>
      <c r="B1566" s="233" t="s">
        <v>4801</v>
      </c>
      <c r="C1566" s="227" t="s">
        <v>3773</v>
      </c>
      <c r="F1566" s="227" t="s">
        <v>3002</v>
      </c>
    </row>
    <row r="1567" spans="1:6" x14ac:dyDescent="0.25">
      <c r="A1567" s="227" t="str">
        <f>TL[[#This Row],[Société]]&amp;" - "&amp;TL[[#This Row],[Compte]]</f>
        <v>VICTOIRE - 531100</v>
      </c>
      <c r="B1567" s="233" t="s">
        <v>4802</v>
      </c>
      <c r="C1567" s="227" t="s">
        <v>4803</v>
      </c>
      <c r="F1567" s="227" t="s">
        <v>3002</v>
      </c>
    </row>
    <row r="1568" spans="1:6" x14ac:dyDescent="0.25">
      <c r="A1568" s="227" t="str">
        <f>TL[[#This Row],[Société]]&amp;" - "&amp;TL[[#This Row],[Compte]]</f>
        <v>VICTOIRE - 531101</v>
      </c>
      <c r="B1568" s="233" t="s">
        <v>4804</v>
      </c>
      <c r="C1568" s="227" t="s">
        <v>4805</v>
      </c>
      <c r="F1568" s="227" t="s">
        <v>3002</v>
      </c>
    </row>
    <row r="1569" spans="1:6" x14ac:dyDescent="0.25">
      <c r="A1569" s="227" t="str">
        <f>TL[[#This Row],[Société]]&amp;" - "&amp;TL[[#This Row],[Compte]]</f>
        <v>VICTOIRE - 531102</v>
      </c>
      <c r="B1569" s="233" t="s">
        <v>4806</v>
      </c>
      <c r="C1569" s="227" t="s">
        <v>4807</v>
      </c>
      <c r="F1569" s="227" t="s">
        <v>3002</v>
      </c>
    </row>
    <row r="1570" spans="1:6" x14ac:dyDescent="0.25">
      <c r="A1570" s="227" t="str">
        <f>TL[[#This Row],[Société]]&amp;" - "&amp;TL[[#This Row],[Compte]]</f>
        <v>VICTOIRE - 531400</v>
      </c>
      <c r="B1570" s="233" t="s">
        <v>4808</v>
      </c>
      <c r="C1570" s="227" t="s">
        <v>4809</v>
      </c>
      <c r="F1570" s="227" t="s">
        <v>3002</v>
      </c>
    </row>
    <row r="1571" spans="1:6" x14ac:dyDescent="0.25">
      <c r="A1571" s="227" t="str">
        <f>TL[[#This Row],[Société]]&amp;" - "&amp;TL[[#This Row],[Compte]]</f>
        <v>VICTOIRE - 540000</v>
      </c>
      <c r="B1571" s="233" t="s">
        <v>4810</v>
      </c>
      <c r="C1571" s="227" t="s">
        <v>4811</v>
      </c>
      <c r="F1571" s="227" t="s">
        <v>3002</v>
      </c>
    </row>
    <row r="1572" spans="1:6" x14ac:dyDescent="0.25">
      <c r="A1572" s="227" t="str">
        <f>TL[[#This Row],[Société]]&amp;" - "&amp;TL[[#This Row],[Compte]]</f>
        <v>VICTOIRE - 580000</v>
      </c>
      <c r="B1572" s="233" t="s">
        <v>1889</v>
      </c>
      <c r="C1572" s="227" t="s">
        <v>4812</v>
      </c>
      <c r="F1572" s="227" t="s">
        <v>3002</v>
      </c>
    </row>
    <row r="1573" spans="1:6" x14ac:dyDescent="0.25">
      <c r="A1573" s="227" t="str">
        <f>TL[[#This Row],[Société]]&amp;" - "&amp;TL[[#This Row],[Compte]]</f>
        <v>VICTOIRE - 580001</v>
      </c>
      <c r="B1573" s="233" t="s">
        <v>4813</v>
      </c>
      <c r="C1573" s="227" t="s">
        <v>4814</v>
      </c>
      <c r="F1573" s="227" t="s">
        <v>3002</v>
      </c>
    </row>
    <row r="1574" spans="1:6" x14ac:dyDescent="0.25">
      <c r="A1574" s="227" t="str">
        <f>TL[[#This Row],[Société]]&amp;" - "&amp;TL[[#This Row],[Compte]]</f>
        <v>VICTOIRE - 580002</v>
      </c>
      <c r="B1574" s="233" t="s">
        <v>4815</v>
      </c>
      <c r="C1574" s="227" t="s">
        <v>4816</v>
      </c>
      <c r="F1574" s="227" t="s">
        <v>3002</v>
      </c>
    </row>
    <row r="1575" spans="1:6" x14ac:dyDescent="0.25">
      <c r="A1575" s="227" t="str">
        <f>TL[[#This Row],[Société]]&amp;" - "&amp;TL[[#This Row],[Compte]]</f>
        <v>VICTOIRE - 580100</v>
      </c>
      <c r="B1575" s="233" t="s">
        <v>4817</v>
      </c>
      <c r="C1575" s="227" t="s">
        <v>4818</v>
      </c>
      <c r="F1575" s="227" t="s">
        <v>3002</v>
      </c>
    </row>
    <row r="1576" spans="1:6" x14ac:dyDescent="0.25">
      <c r="A1576" s="227" t="str">
        <f>TL[[#This Row],[Société]]&amp;" - "&amp;TL[[#This Row],[Compte]]</f>
        <v>VICTOIRE - 580200</v>
      </c>
      <c r="B1576" s="233" t="s">
        <v>4819</v>
      </c>
      <c r="C1576" s="227" t="s">
        <v>4820</v>
      </c>
      <c r="F1576" s="227" t="s">
        <v>3002</v>
      </c>
    </row>
    <row r="1577" spans="1:6" x14ac:dyDescent="0.25">
      <c r="A1577" s="227" t="str">
        <f>TL[[#This Row],[Société]]&amp;" - "&amp;TL[[#This Row],[Compte]]</f>
        <v>VICTOIRE - 581001</v>
      </c>
      <c r="B1577" s="233" t="s">
        <v>4821</v>
      </c>
      <c r="C1577" s="227" t="s">
        <v>4822</v>
      </c>
      <c r="F1577" s="227" t="s">
        <v>3002</v>
      </c>
    </row>
    <row r="1578" spans="1:6" x14ac:dyDescent="0.25">
      <c r="A1578" s="227" t="str">
        <f>TL[[#This Row],[Société]]&amp;" - "&amp;TL[[#This Row],[Compte]]</f>
        <v>VICTOIRE - 582000</v>
      </c>
      <c r="B1578" s="233" t="s">
        <v>4823</v>
      </c>
      <c r="C1578" s="227" t="s">
        <v>4824</v>
      </c>
      <c r="F1578" s="227" t="s">
        <v>3002</v>
      </c>
    </row>
    <row r="1579" spans="1:6" x14ac:dyDescent="0.25">
      <c r="A1579" s="227" t="str">
        <f>TL[[#This Row],[Société]]&amp;" - "&amp;TL[[#This Row],[Compte]]</f>
        <v>VICTOIRE - 583000</v>
      </c>
      <c r="B1579" s="233" t="s">
        <v>1891</v>
      </c>
      <c r="C1579" s="227" t="s">
        <v>4825</v>
      </c>
      <c r="F1579" s="227" t="s">
        <v>3002</v>
      </c>
    </row>
    <row r="1580" spans="1:6" x14ac:dyDescent="0.25">
      <c r="A1580" s="227" t="str">
        <f>TL[[#This Row],[Société]]&amp;" - "&amp;TL[[#This Row],[Compte]]</f>
        <v>VICTOIRE - 585000</v>
      </c>
      <c r="B1580" s="233" t="s">
        <v>4826</v>
      </c>
      <c r="C1580" s="227" t="s">
        <v>4827</v>
      </c>
      <c r="F1580" s="227" t="s">
        <v>3002</v>
      </c>
    </row>
    <row r="1581" spans="1:6" x14ac:dyDescent="0.25">
      <c r="A1581" s="227" t="str">
        <f>TL[[#This Row],[Société]]&amp;" - "&amp;TL[[#This Row],[Compte]]</f>
        <v>VICTOIRE - 587000</v>
      </c>
      <c r="B1581" s="233" t="s">
        <v>4828</v>
      </c>
      <c r="C1581" s="227" t="s">
        <v>4816</v>
      </c>
      <c r="F1581" s="227" t="s">
        <v>3002</v>
      </c>
    </row>
    <row r="1582" spans="1:6" x14ac:dyDescent="0.25">
      <c r="A1582" s="227" t="str">
        <f>TL[[#This Row],[Société]]&amp;" - "&amp;TL[[#This Row],[Compte]]</f>
        <v>VICTOIRE - 590000</v>
      </c>
      <c r="B1582" s="233" t="s">
        <v>4829</v>
      </c>
      <c r="C1582" s="227" t="s">
        <v>4830</v>
      </c>
      <c r="F1582" s="227" t="s">
        <v>3002</v>
      </c>
    </row>
    <row r="1583" spans="1:6" x14ac:dyDescent="0.25">
      <c r="A1583" s="227" t="str">
        <f>TL[[#This Row],[Société]]&amp;" - "&amp;TL[[#This Row],[Compte]]</f>
        <v>VICTOIRE - 590300</v>
      </c>
      <c r="B1583" s="233" t="s">
        <v>1892</v>
      </c>
      <c r="C1583" s="227" t="s">
        <v>4831</v>
      </c>
      <c r="F1583" s="227" t="s">
        <v>3002</v>
      </c>
    </row>
    <row r="1584" spans="1:6" x14ac:dyDescent="0.25">
      <c r="A1584" s="227" t="str">
        <f>TL[[#This Row],[Société]]&amp;" - "&amp;TL[[#This Row],[Compte]]</f>
        <v>VICTOIRE - 590600</v>
      </c>
      <c r="B1584" s="233" t="s">
        <v>4832</v>
      </c>
      <c r="C1584" s="227" t="s">
        <v>4833</v>
      </c>
      <c r="F1584" s="227" t="s">
        <v>3002</v>
      </c>
    </row>
    <row r="1585" spans="1:6" x14ac:dyDescent="0.25">
      <c r="A1585" s="227" t="str">
        <f>TL[[#This Row],[Société]]&amp;" - "&amp;TL[[#This Row],[Compte]]</f>
        <v>VICTOIRE - 601000</v>
      </c>
      <c r="B1585" s="233" t="s">
        <v>1893</v>
      </c>
      <c r="C1585" s="227" t="s">
        <v>4834</v>
      </c>
      <c r="F1585" s="227" t="s">
        <v>3002</v>
      </c>
    </row>
    <row r="1586" spans="1:6" x14ac:dyDescent="0.25">
      <c r="A1586" s="227" t="str">
        <f>TL[[#This Row],[Société]]&amp;" - "&amp;TL[[#This Row],[Compte]]</f>
        <v>VICTOIRE - 601100</v>
      </c>
      <c r="B1586" s="233" t="s">
        <v>1607</v>
      </c>
      <c r="C1586" s="227" t="s">
        <v>2834</v>
      </c>
      <c r="D1586" s="233" t="s">
        <v>0</v>
      </c>
      <c r="E1586" s="233" t="s">
        <v>7</v>
      </c>
      <c r="F1586" s="227" t="s">
        <v>3002</v>
      </c>
    </row>
    <row r="1587" spans="1:6" x14ac:dyDescent="0.25">
      <c r="A1587" s="227" t="str">
        <f>TL[[#This Row],[Société]]&amp;" - "&amp;TL[[#This Row],[Compte]]</f>
        <v>VICTOIRE - 601102</v>
      </c>
      <c r="B1587" s="233" t="s">
        <v>1790</v>
      </c>
      <c r="C1587" s="227" t="s">
        <v>2839</v>
      </c>
      <c r="D1587" s="233" t="s">
        <v>3</v>
      </c>
      <c r="E1587" s="233" t="s">
        <v>9</v>
      </c>
      <c r="F1587" s="227" t="s">
        <v>3002</v>
      </c>
    </row>
    <row r="1588" spans="1:6" x14ac:dyDescent="0.25">
      <c r="A1588" s="227" t="str">
        <f>TL[[#This Row],[Société]]&amp;" - "&amp;TL[[#This Row],[Compte]]</f>
        <v>VICTOIRE - 601103</v>
      </c>
      <c r="B1588" s="233" t="s">
        <v>1789</v>
      </c>
      <c r="C1588" s="227" t="s">
        <v>2840</v>
      </c>
      <c r="D1588" s="233" t="s">
        <v>1</v>
      </c>
      <c r="E1588" s="233" t="s">
        <v>11</v>
      </c>
      <c r="F1588" s="227" t="s">
        <v>3002</v>
      </c>
    </row>
    <row r="1589" spans="1:6" x14ac:dyDescent="0.25">
      <c r="A1589" s="227" t="str">
        <f>TL[[#This Row],[Société]]&amp;" - "&amp;TL[[#This Row],[Compte]]</f>
        <v>VICTOIRE - 601104</v>
      </c>
      <c r="B1589" s="233" t="s">
        <v>4835</v>
      </c>
      <c r="C1589" s="227" t="s">
        <v>4836</v>
      </c>
      <c r="D1589" s="233" t="s">
        <v>0</v>
      </c>
      <c r="E1589" s="233" t="s">
        <v>7</v>
      </c>
      <c r="F1589" s="227" t="s">
        <v>3002</v>
      </c>
    </row>
    <row r="1590" spans="1:6" x14ac:dyDescent="0.25">
      <c r="A1590" s="227" t="str">
        <f>TL[[#This Row],[Société]]&amp;" - "&amp;TL[[#This Row],[Compte]]</f>
        <v>VICTOIRE - 601200</v>
      </c>
      <c r="B1590" s="233" t="s">
        <v>4837</v>
      </c>
      <c r="C1590" s="227" t="s">
        <v>4838</v>
      </c>
      <c r="F1590" s="227" t="s">
        <v>3002</v>
      </c>
    </row>
    <row r="1591" spans="1:6" x14ac:dyDescent="0.25">
      <c r="A1591" s="227" t="str">
        <f>TL[[#This Row],[Société]]&amp;" - "&amp;TL[[#This Row],[Compte]]</f>
        <v>VICTOIRE - 601700</v>
      </c>
      <c r="B1591" s="233" t="s">
        <v>4839</v>
      </c>
      <c r="C1591" s="227" t="s">
        <v>4840</v>
      </c>
      <c r="F1591" s="227" t="s">
        <v>3002</v>
      </c>
    </row>
    <row r="1592" spans="1:6" x14ac:dyDescent="0.25">
      <c r="A1592" s="227" t="str">
        <f>TL[[#This Row],[Société]]&amp;" - "&amp;TL[[#This Row],[Compte]]</f>
        <v>VICTOIRE - 601900</v>
      </c>
      <c r="B1592" s="233" t="s">
        <v>4841</v>
      </c>
      <c r="C1592" s="227" t="s">
        <v>4842</v>
      </c>
      <c r="F1592" s="227" t="s">
        <v>3002</v>
      </c>
    </row>
    <row r="1593" spans="1:6" x14ac:dyDescent="0.25">
      <c r="A1593" s="227" t="str">
        <f>TL[[#This Row],[Société]]&amp;" - "&amp;TL[[#This Row],[Compte]]</f>
        <v>VICTOIRE - 601920</v>
      </c>
      <c r="B1593" s="233" t="s">
        <v>4843</v>
      </c>
      <c r="C1593" s="227" t="s">
        <v>4844</v>
      </c>
      <c r="F1593" s="227" t="s">
        <v>3002</v>
      </c>
    </row>
    <row r="1594" spans="1:6" x14ac:dyDescent="0.25">
      <c r="A1594" s="227" t="str">
        <f>TL[[#This Row],[Société]]&amp;" - "&amp;TL[[#This Row],[Compte]]</f>
        <v>VICTOIRE - 601940</v>
      </c>
      <c r="B1594" s="233" t="s">
        <v>4845</v>
      </c>
      <c r="C1594" s="227" t="s">
        <v>4846</v>
      </c>
      <c r="F1594" s="227" t="s">
        <v>3002</v>
      </c>
    </row>
    <row r="1595" spans="1:6" x14ac:dyDescent="0.25">
      <c r="A1595" s="227" t="str">
        <f>TL[[#This Row],[Société]]&amp;" - "&amp;TL[[#This Row],[Compte]]</f>
        <v>VICTOIRE - 602100</v>
      </c>
      <c r="B1595" s="233" t="s">
        <v>4847</v>
      </c>
      <c r="C1595" s="227" t="s">
        <v>4848</v>
      </c>
      <c r="F1595" s="227" t="s">
        <v>3002</v>
      </c>
    </row>
    <row r="1596" spans="1:6" x14ac:dyDescent="0.25">
      <c r="A1596" s="227" t="str">
        <f>TL[[#This Row],[Société]]&amp;" - "&amp;TL[[#This Row],[Compte]]</f>
        <v>VICTOIRE - 602110</v>
      </c>
      <c r="B1596" s="233" t="s">
        <v>4849</v>
      </c>
      <c r="C1596" s="227" t="s">
        <v>4850</v>
      </c>
      <c r="F1596" s="227" t="s">
        <v>3002</v>
      </c>
    </row>
    <row r="1597" spans="1:6" x14ac:dyDescent="0.25">
      <c r="A1597" s="227" t="str">
        <f>TL[[#This Row],[Société]]&amp;" - "&amp;TL[[#This Row],[Compte]]</f>
        <v>VICTOIRE - 602120</v>
      </c>
      <c r="B1597" s="233" t="s">
        <v>4851</v>
      </c>
      <c r="C1597" s="227" t="s">
        <v>4852</v>
      </c>
      <c r="F1597" s="227" t="s">
        <v>3002</v>
      </c>
    </row>
    <row r="1598" spans="1:6" x14ac:dyDescent="0.25">
      <c r="A1598" s="227" t="str">
        <f>TL[[#This Row],[Société]]&amp;" - "&amp;TL[[#This Row],[Compte]]</f>
        <v>VICTOIRE - 602200</v>
      </c>
      <c r="B1598" s="233" t="s">
        <v>4853</v>
      </c>
      <c r="C1598" s="227" t="s">
        <v>2841</v>
      </c>
      <c r="D1598" s="233" t="s">
        <v>7</v>
      </c>
      <c r="E1598" s="233" t="s">
        <v>0</v>
      </c>
      <c r="F1598" s="227" t="s">
        <v>3002</v>
      </c>
    </row>
    <row r="1599" spans="1:6" x14ac:dyDescent="0.25">
      <c r="A1599" s="227" t="str">
        <f>TL[[#This Row],[Société]]&amp;" - "&amp;TL[[#This Row],[Compte]]</f>
        <v>VICTOIRE - 602202</v>
      </c>
      <c r="B1599" s="233" t="s">
        <v>1631</v>
      </c>
      <c r="C1599" s="227" t="s">
        <v>2949</v>
      </c>
      <c r="D1599" s="233" t="s">
        <v>150</v>
      </c>
      <c r="E1599" s="233" t="s">
        <v>147</v>
      </c>
      <c r="F1599" s="227" t="s">
        <v>3002</v>
      </c>
    </row>
    <row r="1600" spans="1:6" x14ac:dyDescent="0.25">
      <c r="A1600" s="227" t="str">
        <f>TL[[#This Row],[Société]]&amp;" - "&amp;TL[[#This Row],[Compte]]</f>
        <v>VICTOIRE - 602210</v>
      </c>
      <c r="B1600" s="233" t="s">
        <v>4854</v>
      </c>
      <c r="C1600" s="227" t="s">
        <v>4855</v>
      </c>
      <c r="F1600" s="227" t="s">
        <v>3002</v>
      </c>
    </row>
    <row r="1601" spans="1:6" x14ac:dyDescent="0.25">
      <c r="A1601" s="227" t="str">
        <f>TL[[#This Row],[Société]]&amp;" - "&amp;TL[[#This Row],[Compte]]</f>
        <v>VICTOIRE - 602220</v>
      </c>
      <c r="B1601" s="233" t="s">
        <v>4856</v>
      </c>
      <c r="C1601" s="227" t="s">
        <v>4857</v>
      </c>
      <c r="F1601" s="227" t="s">
        <v>3002</v>
      </c>
    </row>
    <row r="1602" spans="1:6" x14ac:dyDescent="0.25">
      <c r="A1602" s="227" t="str">
        <f>TL[[#This Row],[Société]]&amp;" - "&amp;TL[[#This Row],[Compte]]</f>
        <v>VICTOIRE - 602240</v>
      </c>
      <c r="B1602" s="233" t="s">
        <v>4858</v>
      </c>
      <c r="C1602" s="227" t="s">
        <v>4859</v>
      </c>
      <c r="F1602" s="227" t="s">
        <v>3002</v>
      </c>
    </row>
    <row r="1603" spans="1:6" x14ac:dyDescent="0.25">
      <c r="A1603" s="227" t="str">
        <f>TL[[#This Row],[Société]]&amp;" - "&amp;TL[[#This Row],[Compte]]</f>
        <v>VICTOIRE - 602250</v>
      </c>
      <c r="B1603" s="233" t="s">
        <v>4860</v>
      </c>
      <c r="C1603" s="227" t="s">
        <v>4861</v>
      </c>
      <c r="F1603" s="227" t="s">
        <v>3002</v>
      </c>
    </row>
    <row r="1604" spans="1:6" x14ac:dyDescent="0.25">
      <c r="A1604" s="227" t="str">
        <f>TL[[#This Row],[Société]]&amp;" - "&amp;TL[[#This Row],[Compte]]</f>
        <v>VICTOIRE - 602600</v>
      </c>
      <c r="B1604" s="233" t="s">
        <v>3190</v>
      </c>
      <c r="C1604" s="227" t="s">
        <v>452</v>
      </c>
      <c r="F1604" s="227" t="s">
        <v>3002</v>
      </c>
    </row>
    <row r="1605" spans="1:6" x14ac:dyDescent="0.25">
      <c r="A1605" s="227" t="str">
        <f>TL[[#This Row],[Société]]&amp;" - "&amp;TL[[#This Row],[Compte]]</f>
        <v>VICTOIRE - 602610</v>
      </c>
      <c r="B1605" s="233" t="s">
        <v>1634</v>
      </c>
      <c r="C1605" s="227" t="s">
        <v>4862</v>
      </c>
      <c r="D1605" s="233" t="s">
        <v>23</v>
      </c>
      <c r="E1605" s="233" t="s">
        <v>0</v>
      </c>
      <c r="F1605" s="227" t="s">
        <v>3002</v>
      </c>
    </row>
    <row r="1606" spans="1:6" x14ac:dyDescent="0.25">
      <c r="A1606" s="227" t="str">
        <f>TL[[#This Row],[Société]]&amp;" - "&amp;TL[[#This Row],[Compte]]</f>
        <v>VICTOIRE - 602900</v>
      </c>
      <c r="B1606" s="233" t="s">
        <v>4863</v>
      </c>
      <c r="C1606" s="227" t="s">
        <v>4864</v>
      </c>
      <c r="F1606" s="227" t="s">
        <v>3002</v>
      </c>
    </row>
    <row r="1607" spans="1:6" x14ac:dyDescent="0.25">
      <c r="A1607" s="227" t="str">
        <f>TL[[#This Row],[Société]]&amp;" - "&amp;TL[[#This Row],[Compte]]</f>
        <v>VICTOIRE - 602920</v>
      </c>
      <c r="B1607" s="233" t="s">
        <v>4865</v>
      </c>
      <c r="C1607" s="227" t="s">
        <v>4866</v>
      </c>
      <c r="F1607" s="227" t="s">
        <v>3002</v>
      </c>
    </row>
    <row r="1608" spans="1:6" x14ac:dyDescent="0.25">
      <c r="A1608" s="227" t="str">
        <f>TL[[#This Row],[Société]]&amp;" - "&amp;TL[[#This Row],[Compte]]</f>
        <v>VICTOIRE - 602940</v>
      </c>
      <c r="B1608" s="233" t="s">
        <v>4867</v>
      </c>
      <c r="C1608" s="227" t="s">
        <v>4868</v>
      </c>
      <c r="F1608" s="227" t="s">
        <v>3002</v>
      </c>
    </row>
    <row r="1609" spans="1:6" x14ac:dyDescent="0.25">
      <c r="A1609" s="227" t="str">
        <f>TL[[#This Row],[Société]]&amp;" - "&amp;TL[[#This Row],[Compte]]</f>
        <v>VICTOIRE - 603100</v>
      </c>
      <c r="B1609" s="233" t="s">
        <v>1780</v>
      </c>
      <c r="C1609" s="227" t="s">
        <v>2835</v>
      </c>
      <c r="D1609" s="233" t="s">
        <v>0</v>
      </c>
      <c r="E1609" s="233" t="s">
        <v>7</v>
      </c>
      <c r="F1609" s="227" t="s">
        <v>3002</v>
      </c>
    </row>
    <row r="1610" spans="1:6" x14ac:dyDescent="0.25">
      <c r="A1610" s="227" t="str">
        <f>TL[[#This Row],[Société]]&amp;" - "&amp;TL[[#This Row],[Compte]]</f>
        <v>VICTOIRE - 603110</v>
      </c>
      <c r="B1610" s="233" t="s">
        <v>4869</v>
      </c>
      <c r="C1610" s="227" t="s">
        <v>2836</v>
      </c>
      <c r="D1610" s="233" t="s">
        <v>0</v>
      </c>
      <c r="E1610" s="233" t="s">
        <v>7</v>
      </c>
      <c r="F1610" s="227" t="s">
        <v>3002</v>
      </c>
    </row>
    <row r="1611" spans="1:6" x14ac:dyDescent="0.25">
      <c r="A1611" s="227" t="str">
        <f>TL[[#This Row],[Société]]&amp;" - "&amp;TL[[#This Row],[Compte]]</f>
        <v>VICTOIRE - 603200</v>
      </c>
      <c r="B1611" s="233" t="s">
        <v>1781</v>
      </c>
      <c r="C1611" s="227" t="s">
        <v>2402</v>
      </c>
      <c r="D1611" s="233" t="s">
        <v>7</v>
      </c>
      <c r="E1611" s="233" t="s">
        <v>0</v>
      </c>
      <c r="F1611" s="227" t="s">
        <v>3002</v>
      </c>
    </row>
    <row r="1612" spans="1:6" x14ac:dyDescent="0.25">
      <c r="A1612" s="227" t="str">
        <f>TL[[#This Row],[Société]]&amp;" - "&amp;TL[[#This Row],[Compte]]</f>
        <v>VICTOIRE - 603202</v>
      </c>
      <c r="B1612" s="233" t="s">
        <v>2830</v>
      </c>
      <c r="C1612" s="227" t="s">
        <v>4870</v>
      </c>
      <c r="F1612" s="227" t="s">
        <v>3002</v>
      </c>
    </row>
    <row r="1613" spans="1:6" x14ac:dyDescent="0.25">
      <c r="A1613" s="227" t="str">
        <f>TL[[#This Row],[Société]]&amp;" - "&amp;TL[[#This Row],[Compte]]</f>
        <v>VICTOIRE - 603210</v>
      </c>
      <c r="B1613" s="233" t="s">
        <v>1894</v>
      </c>
      <c r="C1613" s="227" t="s">
        <v>2842</v>
      </c>
      <c r="D1613" s="233" t="s">
        <v>7</v>
      </c>
      <c r="E1613" s="233" t="s">
        <v>0</v>
      </c>
      <c r="F1613" s="227" t="s">
        <v>3002</v>
      </c>
    </row>
    <row r="1614" spans="1:6" x14ac:dyDescent="0.25">
      <c r="A1614" s="227" t="str">
        <f>TL[[#This Row],[Société]]&amp;" - "&amp;TL[[#This Row],[Compte]]</f>
        <v>VICTOIRE - 603220</v>
      </c>
      <c r="B1614" s="233" t="s">
        <v>4871</v>
      </c>
      <c r="C1614" s="227" t="s">
        <v>2950</v>
      </c>
      <c r="D1614" s="233" t="s">
        <v>150</v>
      </c>
      <c r="E1614" s="233" t="s">
        <v>147</v>
      </c>
      <c r="F1614" s="227" t="s">
        <v>3002</v>
      </c>
    </row>
    <row r="1615" spans="1:6" x14ac:dyDescent="0.25">
      <c r="A1615" s="227" t="str">
        <f>TL[[#This Row],[Société]]&amp;" - "&amp;TL[[#This Row],[Compte]]</f>
        <v>VICTOIRE - 603700</v>
      </c>
      <c r="B1615" s="233" t="s">
        <v>4872</v>
      </c>
      <c r="C1615" s="227" t="s">
        <v>4873</v>
      </c>
      <c r="F1615" s="227" t="s">
        <v>3002</v>
      </c>
    </row>
    <row r="1616" spans="1:6" x14ac:dyDescent="0.25">
      <c r="A1616" s="227" t="str">
        <f>TL[[#This Row],[Société]]&amp;" - "&amp;TL[[#This Row],[Compte]]</f>
        <v>VICTOIRE - 604000</v>
      </c>
      <c r="B1616" s="233" t="s">
        <v>4874</v>
      </c>
      <c r="C1616" s="227" t="s">
        <v>1020</v>
      </c>
      <c r="F1616" s="227" t="s">
        <v>3002</v>
      </c>
    </row>
    <row r="1617" spans="1:6" x14ac:dyDescent="0.25">
      <c r="A1617" s="227" t="str">
        <f>TL[[#This Row],[Société]]&amp;" - "&amp;TL[[#This Row],[Compte]]</f>
        <v>VICTOIRE - 604920</v>
      </c>
      <c r="B1617" s="233" t="s">
        <v>4875</v>
      </c>
      <c r="C1617" s="227" t="s">
        <v>4876</v>
      </c>
      <c r="F1617" s="227" t="s">
        <v>3002</v>
      </c>
    </row>
    <row r="1618" spans="1:6" x14ac:dyDescent="0.25">
      <c r="A1618" s="227" t="str">
        <f>TL[[#This Row],[Société]]&amp;" - "&amp;TL[[#This Row],[Compte]]</f>
        <v>VICTOIRE - 604940</v>
      </c>
      <c r="B1618" s="233" t="s">
        <v>4877</v>
      </c>
      <c r="C1618" s="227" t="s">
        <v>4878</v>
      </c>
      <c r="F1618" s="227" t="s">
        <v>3002</v>
      </c>
    </row>
    <row r="1619" spans="1:6" x14ac:dyDescent="0.25">
      <c r="A1619" s="227" t="str">
        <f>TL[[#This Row],[Société]]&amp;" - "&amp;TL[[#This Row],[Compte]]</f>
        <v>VICTOIRE - 605000</v>
      </c>
      <c r="B1619" s="233" t="s">
        <v>4879</v>
      </c>
      <c r="C1619" s="227" t="s">
        <v>4880</v>
      </c>
      <c r="F1619" s="227" t="s">
        <v>3002</v>
      </c>
    </row>
    <row r="1620" spans="1:6" x14ac:dyDescent="0.25">
      <c r="A1620" s="227" t="str">
        <f>TL[[#This Row],[Société]]&amp;" - "&amp;TL[[#This Row],[Compte]]</f>
        <v>VICTOIRE - 605920</v>
      </c>
      <c r="B1620" s="233" t="s">
        <v>4881</v>
      </c>
      <c r="C1620" s="227" t="s">
        <v>4882</v>
      </c>
      <c r="F1620" s="227" t="s">
        <v>3002</v>
      </c>
    </row>
    <row r="1621" spans="1:6" x14ac:dyDescent="0.25">
      <c r="A1621" s="227" t="str">
        <f>TL[[#This Row],[Société]]&amp;" - "&amp;TL[[#This Row],[Compte]]</f>
        <v>VICTOIRE - 605940</v>
      </c>
      <c r="B1621" s="233" t="s">
        <v>4883</v>
      </c>
      <c r="C1621" s="227" t="s">
        <v>4884</v>
      </c>
      <c r="F1621" s="227" t="s">
        <v>3002</v>
      </c>
    </row>
    <row r="1622" spans="1:6" x14ac:dyDescent="0.25">
      <c r="A1622" s="227" t="str">
        <f>TL[[#This Row],[Société]]&amp;" - "&amp;TL[[#This Row],[Compte]]</f>
        <v>VICTOIRE - 606100</v>
      </c>
      <c r="B1622" s="233" t="s">
        <v>4885</v>
      </c>
      <c r="C1622" s="227" t="s">
        <v>4886</v>
      </c>
      <c r="F1622" s="227" t="s">
        <v>3002</v>
      </c>
    </row>
    <row r="1623" spans="1:6" x14ac:dyDescent="0.25">
      <c r="A1623" s="227" t="str">
        <f>TL[[#This Row],[Société]]&amp;" - "&amp;TL[[#This Row],[Compte]]</f>
        <v>VICTOIRE - 606110</v>
      </c>
      <c r="B1623" s="233" t="s">
        <v>2573</v>
      </c>
      <c r="C1623" s="227" t="s">
        <v>2917</v>
      </c>
      <c r="D1623" s="233" t="s">
        <v>27</v>
      </c>
      <c r="E1623" s="233" t="s">
        <v>34</v>
      </c>
      <c r="F1623" s="227" t="s">
        <v>3002</v>
      </c>
    </row>
    <row r="1624" spans="1:6" x14ac:dyDescent="0.25">
      <c r="A1624" s="227" t="str">
        <f>TL[[#This Row],[Société]]&amp;" - "&amp;TL[[#This Row],[Compte]]</f>
        <v>VICTOIRE - 606111</v>
      </c>
      <c r="B1624" s="233" t="s">
        <v>4887</v>
      </c>
      <c r="C1624" s="227" t="s">
        <v>2918</v>
      </c>
      <c r="D1624" s="233" t="s">
        <v>27</v>
      </c>
      <c r="E1624" s="233" t="s">
        <v>34</v>
      </c>
      <c r="F1624" s="227" t="s">
        <v>3002</v>
      </c>
    </row>
    <row r="1625" spans="1:6" x14ac:dyDescent="0.25">
      <c r="A1625" s="227" t="str">
        <f>TL[[#This Row],[Société]]&amp;" - "&amp;TL[[#This Row],[Compte]]</f>
        <v>VICTOIRE - 606112</v>
      </c>
      <c r="B1625" s="233" t="s">
        <v>4888</v>
      </c>
      <c r="C1625" s="227" t="s">
        <v>4889</v>
      </c>
      <c r="D1625" s="233" t="s">
        <v>27</v>
      </c>
      <c r="E1625" s="233" t="s">
        <v>34</v>
      </c>
      <c r="F1625" s="227" t="s">
        <v>3002</v>
      </c>
    </row>
    <row r="1626" spans="1:6" x14ac:dyDescent="0.25">
      <c r="A1626" s="227" t="str">
        <f>TL[[#This Row],[Société]]&amp;" - "&amp;TL[[#This Row],[Compte]]</f>
        <v>VICTOIRE - 606120</v>
      </c>
      <c r="B1626" s="233" t="s">
        <v>2574</v>
      </c>
      <c r="C1626" s="227" t="s">
        <v>2940</v>
      </c>
      <c r="D1626" s="233" t="s">
        <v>50</v>
      </c>
      <c r="E1626" s="233" t="s">
        <v>52</v>
      </c>
      <c r="F1626" s="227" t="s">
        <v>3002</v>
      </c>
    </row>
    <row r="1627" spans="1:6" x14ac:dyDescent="0.25">
      <c r="A1627" s="227" t="str">
        <f>TL[[#This Row],[Société]]&amp;" - "&amp;TL[[#This Row],[Compte]]</f>
        <v>VICTOIRE - 606130</v>
      </c>
      <c r="B1627" s="233" t="s">
        <v>2826</v>
      </c>
      <c r="C1627" s="227" t="s">
        <v>4890</v>
      </c>
      <c r="F1627" s="227" t="s">
        <v>3002</v>
      </c>
    </row>
    <row r="1628" spans="1:6" x14ac:dyDescent="0.25">
      <c r="A1628" s="227" t="str">
        <f>TL[[#This Row],[Société]]&amp;" - "&amp;TL[[#This Row],[Compte]]</f>
        <v>VICTOIRE - 606140</v>
      </c>
      <c r="B1628" s="233" t="s">
        <v>4891</v>
      </c>
      <c r="C1628" s="227" t="s">
        <v>4892</v>
      </c>
      <c r="F1628" s="227" t="s">
        <v>3002</v>
      </c>
    </row>
    <row r="1629" spans="1:6" x14ac:dyDescent="0.25">
      <c r="A1629" s="227" t="str">
        <f>TL[[#This Row],[Société]]&amp;" - "&amp;TL[[#This Row],[Compte]]</f>
        <v>VICTOIRE - 606149</v>
      </c>
      <c r="B1629" s="233" t="s">
        <v>4893</v>
      </c>
      <c r="C1629" s="227" t="s">
        <v>4894</v>
      </c>
      <c r="F1629" s="227" t="s">
        <v>3002</v>
      </c>
    </row>
    <row r="1630" spans="1:6" x14ac:dyDescent="0.25">
      <c r="A1630" s="227" t="str">
        <f>TL[[#This Row],[Société]]&amp;" - "&amp;TL[[#This Row],[Compte]]</f>
        <v>VICTOIRE - 606150</v>
      </c>
      <c r="B1630" s="233" t="s">
        <v>2575</v>
      </c>
      <c r="C1630" s="227" t="s">
        <v>4895</v>
      </c>
      <c r="F1630" s="227" t="s">
        <v>3002</v>
      </c>
    </row>
    <row r="1631" spans="1:6" x14ac:dyDescent="0.25">
      <c r="A1631" s="227" t="str">
        <f>TL[[#This Row],[Société]]&amp;" - "&amp;TL[[#This Row],[Compte]]</f>
        <v>VICTOIRE - 606160</v>
      </c>
      <c r="B1631" s="233" t="s">
        <v>4896</v>
      </c>
      <c r="C1631" s="227" t="s">
        <v>4897</v>
      </c>
      <c r="F1631" s="227" t="s">
        <v>3002</v>
      </c>
    </row>
    <row r="1632" spans="1:6" x14ac:dyDescent="0.25">
      <c r="A1632" s="227" t="str">
        <f>TL[[#This Row],[Société]]&amp;" - "&amp;TL[[#This Row],[Compte]]</f>
        <v>VICTOIRE - 606260</v>
      </c>
      <c r="B1632" s="233" t="s">
        <v>4898</v>
      </c>
      <c r="C1632" s="227" t="s">
        <v>2212</v>
      </c>
      <c r="F1632" s="227" t="s">
        <v>3002</v>
      </c>
    </row>
    <row r="1633" spans="1:6" x14ac:dyDescent="0.25">
      <c r="A1633" s="227" t="str">
        <f>TL[[#This Row],[Société]]&amp;" - "&amp;TL[[#This Row],[Compte]]</f>
        <v>VICTOIRE - 606300</v>
      </c>
      <c r="B1633" s="233" t="s">
        <v>1586</v>
      </c>
      <c r="C1633" s="227" t="s">
        <v>2878</v>
      </c>
      <c r="D1633" s="233" t="s">
        <v>23</v>
      </c>
      <c r="E1633" s="233" t="s">
        <v>23</v>
      </c>
      <c r="F1633" s="227" t="s">
        <v>3002</v>
      </c>
    </row>
    <row r="1634" spans="1:6" x14ac:dyDescent="0.25">
      <c r="A1634" s="227" t="str">
        <f>TL[[#This Row],[Société]]&amp;" - "&amp;TL[[#This Row],[Compte]]</f>
        <v>VICTOIRE - 606304</v>
      </c>
      <c r="B1634" s="233" t="s">
        <v>1896</v>
      </c>
      <c r="C1634" s="227" t="s">
        <v>2921</v>
      </c>
      <c r="D1634" s="233" t="s">
        <v>23</v>
      </c>
      <c r="E1634" s="233" t="s">
        <v>2978</v>
      </c>
      <c r="F1634" s="227" t="s">
        <v>3002</v>
      </c>
    </row>
    <row r="1635" spans="1:6" x14ac:dyDescent="0.25">
      <c r="A1635" s="227" t="str">
        <f>TL[[#This Row],[Société]]&amp;" - "&amp;TL[[#This Row],[Compte]]</f>
        <v>VICTOIRE - 606305</v>
      </c>
      <c r="B1635" s="233" t="s">
        <v>1897</v>
      </c>
      <c r="C1635" s="227" t="s">
        <v>4899</v>
      </c>
      <c r="D1635" s="233" t="s">
        <v>23</v>
      </c>
      <c r="E1635" s="233" t="s">
        <v>2978</v>
      </c>
      <c r="F1635" s="227" t="s">
        <v>3002</v>
      </c>
    </row>
    <row r="1636" spans="1:6" x14ac:dyDescent="0.25">
      <c r="A1636" s="227" t="str">
        <f>TL[[#This Row],[Société]]&amp;" - "&amp;TL[[#This Row],[Compte]]</f>
        <v>VICTOIRE - 606320</v>
      </c>
      <c r="B1636" s="233" t="s">
        <v>4900</v>
      </c>
      <c r="C1636" s="227" t="s">
        <v>4901</v>
      </c>
      <c r="D1636" s="233" t="s">
        <v>21</v>
      </c>
      <c r="E1636" s="233" t="s">
        <v>2982</v>
      </c>
      <c r="F1636" s="227" t="s">
        <v>3002</v>
      </c>
    </row>
    <row r="1637" spans="1:6" x14ac:dyDescent="0.25">
      <c r="A1637" s="227" t="str">
        <f>TL[[#This Row],[Société]]&amp;" - "&amp;TL[[#This Row],[Compte]]</f>
        <v>VICTOIRE - 606400</v>
      </c>
      <c r="B1637" s="233" t="s">
        <v>1898</v>
      </c>
      <c r="C1637" s="227" t="s">
        <v>2374</v>
      </c>
      <c r="D1637" s="233" t="s">
        <v>29</v>
      </c>
      <c r="E1637" s="233" t="s">
        <v>2978</v>
      </c>
      <c r="F1637" s="227" t="s">
        <v>3002</v>
      </c>
    </row>
    <row r="1638" spans="1:6" x14ac:dyDescent="0.25">
      <c r="A1638" s="227" t="str">
        <f>TL[[#This Row],[Société]]&amp;" - "&amp;TL[[#This Row],[Compte]]</f>
        <v>VICTOIRE - 606410</v>
      </c>
      <c r="B1638" s="233" t="s">
        <v>4902</v>
      </c>
      <c r="C1638" s="227" t="s">
        <v>2922</v>
      </c>
      <c r="D1638" s="233" t="s">
        <v>29</v>
      </c>
      <c r="E1638" s="233" t="s">
        <v>2978</v>
      </c>
      <c r="F1638" s="227" t="s">
        <v>3002</v>
      </c>
    </row>
    <row r="1639" spans="1:6" x14ac:dyDescent="0.25">
      <c r="A1639" s="227" t="str">
        <f>TL[[#This Row],[Société]]&amp;" - "&amp;TL[[#This Row],[Compte]]</f>
        <v>VICTOIRE - 606900</v>
      </c>
      <c r="B1639" s="233" t="s">
        <v>4903</v>
      </c>
      <c r="C1639" s="227" t="s">
        <v>4904</v>
      </c>
      <c r="F1639" s="227" t="s">
        <v>3002</v>
      </c>
    </row>
    <row r="1640" spans="1:6" x14ac:dyDescent="0.25">
      <c r="A1640" s="227" t="str">
        <f>TL[[#This Row],[Société]]&amp;" - "&amp;TL[[#This Row],[Compte]]</f>
        <v>VICTOIRE - 606920</v>
      </c>
      <c r="B1640" s="233" t="s">
        <v>4905</v>
      </c>
      <c r="C1640" s="227" t="s">
        <v>4906</v>
      </c>
      <c r="F1640" s="227" t="s">
        <v>3002</v>
      </c>
    </row>
    <row r="1641" spans="1:6" x14ac:dyDescent="0.25">
      <c r="A1641" s="227" t="str">
        <f>TL[[#This Row],[Société]]&amp;" - "&amp;TL[[#This Row],[Compte]]</f>
        <v>VICTOIRE - 606940</v>
      </c>
      <c r="B1641" s="233" t="s">
        <v>4907</v>
      </c>
      <c r="C1641" s="227" t="s">
        <v>4908</v>
      </c>
      <c r="F1641" s="227" t="s">
        <v>3002</v>
      </c>
    </row>
    <row r="1642" spans="1:6" x14ac:dyDescent="0.25">
      <c r="A1642" s="227" t="str">
        <f>TL[[#This Row],[Société]]&amp;" - "&amp;TL[[#This Row],[Compte]]</f>
        <v>VICTOIRE - 607000</v>
      </c>
      <c r="B1642" s="233" t="s">
        <v>4909</v>
      </c>
      <c r="C1642" s="227" t="s">
        <v>4910</v>
      </c>
      <c r="F1642" s="227" t="s">
        <v>3002</v>
      </c>
    </row>
    <row r="1643" spans="1:6" x14ac:dyDescent="0.25">
      <c r="A1643" s="227" t="str">
        <f>TL[[#This Row],[Société]]&amp;" - "&amp;TL[[#This Row],[Compte]]</f>
        <v>VICTOIRE - 607100</v>
      </c>
      <c r="B1643" s="233" t="s">
        <v>4911</v>
      </c>
      <c r="C1643" s="227" t="s">
        <v>4912</v>
      </c>
      <c r="F1643" s="227" t="s">
        <v>3002</v>
      </c>
    </row>
    <row r="1644" spans="1:6" x14ac:dyDescent="0.25">
      <c r="A1644" s="227" t="str">
        <f>TL[[#This Row],[Société]]&amp;" - "&amp;TL[[#This Row],[Compte]]</f>
        <v>VICTOIRE - 607200</v>
      </c>
      <c r="B1644" s="233" t="s">
        <v>4913</v>
      </c>
      <c r="C1644" s="227" t="s">
        <v>4914</v>
      </c>
      <c r="F1644" s="227" t="s">
        <v>3002</v>
      </c>
    </row>
    <row r="1645" spans="1:6" x14ac:dyDescent="0.25">
      <c r="A1645" s="227" t="str">
        <f>TL[[#This Row],[Société]]&amp;" - "&amp;TL[[#This Row],[Compte]]</f>
        <v>VICTOIRE - 607900</v>
      </c>
      <c r="B1645" s="233" t="s">
        <v>4915</v>
      </c>
      <c r="C1645" s="227" t="s">
        <v>4916</v>
      </c>
      <c r="F1645" s="227" t="s">
        <v>3002</v>
      </c>
    </row>
    <row r="1646" spans="1:6" x14ac:dyDescent="0.25">
      <c r="A1646" s="227" t="str">
        <f>TL[[#This Row],[Société]]&amp;" - "&amp;TL[[#This Row],[Compte]]</f>
        <v>VICTOIRE - 607920</v>
      </c>
      <c r="B1646" s="233" t="s">
        <v>4917</v>
      </c>
      <c r="C1646" s="227" t="s">
        <v>4918</v>
      </c>
      <c r="F1646" s="227" t="s">
        <v>3002</v>
      </c>
    </row>
    <row r="1647" spans="1:6" x14ac:dyDescent="0.25">
      <c r="A1647" s="227" t="str">
        <f>TL[[#This Row],[Société]]&amp;" - "&amp;TL[[#This Row],[Compte]]</f>
        <v>VICTOIRE - 607940</v>
      </c>
      <c r="B1647" s="233" t="s">
        <v>4919</v>
      </c>
      <c r="C1647" s="227" t="s">
        <v>4920</v>
      </c>
      <c r="F1647" s="227" t="s">
        <v>3002</v>
      </c>
    </row>
    <row r="1648" spans="1:6" x14ac:dyDescent="0.25">
      <c r="A1648" s="227" t="str">
        <f>TL[[#This Row],[Société]]&amp;" - "&amp;TL[[#This Row],[Compte]]</f>
        <v>VICTOIRE - 608100</v>
      </c>
      <c r="B1648" s="233" t="s">
        <v>4921</v>
      </c>
      <c r="C1648" s="227" t="s">
        <v>4922</v>
      </c>
      <c r="F1648" s="227" t="s">
        <v>3002</v>
      </c>
    </row>
    <row r="1649" spans="1:6" x14ac:dyDescent="0.25">
      <c r="A1649" s="227" t="str">
        <f>TL[[#This Row],[Société]]&amp;" - "&amp;TL[[#This Row],[Compte]]</f>
        <v>VICTOIRE - 608200</v>
      </c>
      <c r="B1649" s="233" t="s">
        <v>4923</v>
      </c>
      <c r="C1649" s="227" t="s">
        <v>4924</v>
      </c>
      <c r="F1649" s="227" t="s">
        <v>3002</v>
      </c>
    </row>
    <row r="1650" spans="1:6" x14ac:dyDescent="0.25">
      <c r="A1650" s="227" t="str">
        <f>TL[[#This Row],[Société]]&amp;" - "&amp;TL[[#This Row],[Compte]]</f>
        <v>VICTOIRE - 608400</v>
      </c>
      <c r="B1650" s="233" t="s">
        <v>4925</v>
      </c>
      <c r="C1650" s="227" t="s">
        <v>4926</v>
      </c>
      <c r="F1650" s="227" t="s">
        <v>3002</v>
      </c>
    </row>
    <row r="1651" spans="1:6" x14ac:dyDescent="0.25">
      <c r="A1651" s="227" t="str">
        <f>TL[[#This Row],[Société]]&amp;" - "&amp;TL[[#This Row],[Compte]]</f>
        <v>VICTOIRE - 608500</v>
      </c>
      <c r="B1651" s="233" t="s">
        <v>4927</v>
      </c>
      <c r="C1651" s="227" t="s">
        <v>4928</v>
      </c>
      <c r="F1651" s="227" t="s">
        <v>3002</v>
      </c>
    </row>
    <row r="1652" spans="1:6" x14ac:dyDescent="0.25">
      <c r="A1652" s="227" t="str">
        <f>TL[[#This Row],[Société]]&amp;" - "&amp;TL[[#This Row],[Compte]]</f>
        <v>VICTOIRE - 608600</v>
      </c>
      <c r="B1652" s="233" t="s">
        <v>4929</v>
      </c>
      <c r="C1652" s="227" t="s">
        <v>4930</v>
      </c>
      <c r="F1652" s="227" t="s">
        <v>3002</v>
      </c>
    </row>
    <row r="1653" spans="1:6" x14ac:dyDescent="0.25">
      <c r="A1653" s="227" t="str">
        <f>TL[[#This Row],[Société]]&amp;" - "&amp;TL[[#This Row],[Compte]]</f>
        <v>VICTOIRE - 608700</v>
      </c>
      <c r="B1653" s="233" t="s">
        <v>4931</v>
      </c>
      <c r="C1653" s="227" t="s">
        <v>4932</v>
      </c>
      <c r="F1653" s="227" t="s">
        <v>3002</v>
      </c>
    </row>
    <row r="1654" spans="1:6" x14ac:dyDescent="0.25">
      <c r="A1654" s="227" t="str">
        <f>TL[[#This Row],[Société]]&amp;" - "&amp;TL[[#This Row],[Compte]]</f>
        <v>VICTOIRE - 609000</v>
      </c>
      <c r="B1654" s="233" t="s">
        <v>3203</v>
      </c>
      <c r="C1654" s="227" t="s">
        <v>3204</v>
      </c>
      <c r="D1654" s="247" t="s">
        <v>0</v>
      </c>
      <c r="E1654" s="247" t="s">
        <v>7</v>
      </c>
      <c r="F1654" s="227" t="s">
        <v>3002</v>
      </c>
    </row>
    <row r="1655" spans="1:6" x14ac:dyDescent="0.25">
      <c r="A1655" s="227" t="str">
        <f>TL[[#This Row],[Société]]&amp;" - "&amp;TL[[#This Row],[Compte]]</f>
        <v>VICTOIRE - 609100</v>
      </c>
      <c r="B1655" s="233" t="s">
        <v>1636</v>
      </c>
      <c r="C1655" s="227" t="s">
        <v>4933</v>
      </c>
      <c r="F1655" s="227" t="s">
        <v>3002</v>
      </c>
    </row>
    <row r="1656" spans="1:6" x14ac:dyDescent="0.25">
      <c r="A1656" s="227" t="str">
        <f>TL[[#This Row],[Société]]&amp;" - "&amp;TL[[#This Row],[Compte]]</f>
        <v>VICTOIRE - 609200</v>
      </c>
      <c r="B1656" s="233" t="s">
        <v>4934</v>
      </c>
      <c r="C1656" s="227" t="s">
        <v>4935</v>
      </c>
      <c r="F1656" s="227" t="s">
        <v>3002</v>
      </c>
    </row>
    <row r="1657" spans="1:6" x14ac:dyDescent="0.25">
      <c r="A1657" s="227" t="str">
        <f>TL[[#This Row],[Société]]&amp;" - "&amp;TL[[#This Row],[Compte]]</f>
        <v>VICTOIRE - 609400</v>
      </c>
      <c r="B1657" s="233" t="s">
        <v>4936</v>
      </c>
      <c r="C1657" s="227" t="s">
        <v>4937</v>
      </c>
      <c r="F1657" s="227" t="s">
        <v>3002</v>
      </c>
    </row>
    <row r="1658" spans="1:6" x14ac:dyDescent="0.25">
      <c r="A1658" s="227" t="str">
        <f>TL[[#This Row],[Société]]&amp;" - "&amp;TL[[#This Row],[Compte]]</f>
        <v>VICTOIRE - 609500</v>
      </c>
      <c r="B1658" s="233" t="s">
        <v>4938</v>
      </c>
      <c r="C1658" s="227" t="s">
        <v>4939</v>
      </c>
      <c r="F1658" s="227" t="s">
        <v>3002</v>
      </c>
    </row>
    <row r="1659" spans="1:6" x14ac:dyDescent="0.25">
      <c r="A1659" s="227" t="str">
        <f>TL[[#This Row],[Société]]&amp;" - "&amp;TL[[#This Row],[Compte]]</f>
        <v>VICTOIRE - 609600</v>
      </c>
      <c r="B1659" s="233" t="s">
        <v>4940</v>
      </c>
      <c r="C1659" s="227" t="s">
        <v>4941</v>
      </c>
      <c r="F1659" s="227" t="s">
        <v>3002</v>
      </c>
    </row>
    <row r="1660" spans="1:6" x14ac:dyDescent="0.25">
      <c r="A1660" s="227" t="str">
        <f>TL[[#This Row],[Société]]&amp;" - "&amp;TL[[#This Row],[Compte]]</f>
        <v>VICTOIRE - 609700</v>
      </c>
      <c r="B1660" s="233" t="s">
        <v>3205</v>
      </c>
      <c r="C1660" s="227" t="s">
        <v>3206</v>
      </c>
      <c r="F1660" s="227" t="s">
        <v>3002</v>
      </c>
    </row>
    <row r="1661" spans="1:6" x14ac:dyDescent="0.25">
      <c r="A1661" s="227" t="str">
        <f>TL[[#This Row],[Société]]&amp;" - "&amp;TL[[#This Row],[Compte]]</f>
        <v>VICTOIRE - 609800</v>
      </c>
      <c r="B1661" s="233" t="s">
        <v>4942</v>
      </c>
      <c r="C1661" s="227" t="s">
        <v>4943</v>
      </c>
      <c r="F1661" s="227" t="s">
        <v>3002</v>
      </c>
    </row>
    <row r="1662" spans="1:6" x14ac:dyDescent="0.25">
      <c r="A1662" s="227" t="str">
        <f>TL[[#This Row],[Société]]&amp;" - "&amp;TL[[#This Row],[Compte]]</f>
        <v>VICTOIRE - 611000</v>
      </c>
      <c r="B1662" s="233" t="s">
        <v>1899</v>
      </c>
      <c r="C1662" s="227" t="s">
        <v>732</v>
      </c>
      <c r="D1662" s="233" t="s">
        <v>20</v>
      </c>
      <c r="E1662" s="233" t="s">
        <v>25</v>
      </c>
      <c r="F1662" s="227" t="s">
        <v>3002</v>
      </c>
    </row>
    <row r="1663" spans="1:6" x14ac:dyDescent="0.25">
      <c r="A1663" s="227" t="str">
        <f>TL[[#This Row],[Société]]&amp;" - "&amp;TL[[#This Row],[Compte]]</f>
        <v>VICTOIRE - 611001</v>
      </c>
      <c r="B1663" s="233" t="s">
        <v>1900</v>
      </c>
      <c r="C1663" s="227" t="s">
        <v>2880</v>
      </c>
      <c r="D1663" s="233" t="s">
        <v>20</v>
      </c>
      <c r="E1663" s="233" t="s">
        <v>25</v>
      </c>
      <c r="F1663" s="227" t="s">
        <v>3002</v>
      </c>
    </row>
    <row r="1664" spans="1:6" x14ac:dyDescent="0.25">
      <c r="A1664" s="227" t="str">
        <f>TL[[#This Row],[Société]]&amp;" - "&amp;TL[[#This Row],[Compte]]</f>
        <v>VICTOIRE - 611002</v>
      </c>
      <c r="B1664" s="233" t="s">
        <v>4944</v>
      </c>
      <c r="C1664" s="227" t="s">
        <v>2871</v>
      </c>
      <c r="D1664" s="233" t="s">
        <v>20</v>
      </c>
      <c r="E1664" s="233" t="s">
        <v>18</v>
      </c>
      <c r="F1664" s="227" t="s">
        <v>3002</v>
      </c>
    </row>
    <row r="1665" spans="1:6" x14ac:dyDescent="0.25">
      <c r="A1665" s="227" t="str">
        <f>TL[[#This Row],[Société]]&amp;" - "&amp;TL[[#This Row],[Compte]]</f>
        <v>VICTOIRE - 611003</v>
      </c>
      <c r="B1665" s="233" t="s">
        <v>1901</v>
      </c>
      <c r="C1665" s="227" t="s">
        <v>2881</v>
      </c>
      <c r="D1665" s="233" t="s">
        <v>20</v>
      </c>
      <c r="E1665" s="233" t="s">
        <v>25</v>
      </c>
      <c r="F1665" s="227" t="s">
        <v>3002</v>
      </c>
    </row>
    <row r="1666" spans="1:6" x14ac:dyDescent="0.25">
      <c r="A1666" s="227" t="str">
        <f>TL[[#This Row],[Société]]&amp;" - "&amp;TL[[#This Row],[Compte]]</f>
        <v>VICTOIRE - 611004</v>
      </c>
      <c r="B1666" s="233" t="s">
        <v>4945</v>
      </c>
      <c r="C1666" s="227" t="s">
        <v>2882</v>
      </c>
      <c r="D1666" s="233" t="s">
        <v>20</v>
      </c>
      <c r="E1666" s="233" t="s">
        <v>25</v>
      </c>
      <c r="F1666" s="227" t="s">
        <v>3002</v>
      </c>
    </row>
    <row r="1667" spans="1:6" x14ac:dyDescent="0.25">
      <c r="A1667" s="227" t="str">
        <f>TL[[#This Row],[Société]]&amp;" - "&amp;TL[[#This Row],[Compte]]</f>
        <v>VICTOIRE - 611005</v>
      </c>
      <c r="B1667" s="233" t="s">
        <v>1902</v>
      </c>
      <c r="C1667" s="227" t="s">
        <v>2883</v>
      </c>
      <c r="D1667" s="233" t="s">
        <v>20</v>
      </c>
      <c r="E1667" s="233" t="s">
        <v>25</v>
      </c>
      <c r="F1667" s="227" t="s">
        <v>3002</v>
      </c>
    </row>
    <row r="1668" spans="1:6" x14ac:dyDescent="0.25">
      <c r="A1668" s="227" t="str">
        <f>TL[[#This Row],[Société]]&amp;" - "&amp;TL[[#This Row],[Compte]]</f>
        <v>VICTOIRE - 611006</v>
      </c>
      <c r="B1668" s="233" t="s">
        <v>4946</v>
      </c>
      <c r="C1668" s="227" t="s">
        <v>4947</v>
      </c>
      <c r="D1668" s="233" t="s">
        <v>20</v>
      </c>
      <c r="E1668" s="233" t="s">
        <v>20</v>
      </c>
      <c r="F1668" s="227" t="s">
        <v>3002</v>
      </c>
    </row>
    <row r="1669" spans="1:6" x14ac:dyDescent="0.25">
      <c r="A1669" s="227" t="str">
        <f>TL[[#This Row],[Société]]&amp;" - "&amp;TL[[#This Row],[Compte]]</f>
        <v>VICTOIRE - 611007</v>
      </c>
      <c r="B1669" s="233" t="s">
        <v>4948</v>
      </c>
      <c r="C1669" s="227" t="s">
        <v>2884</v>
      </c>
      <c r="D1669" s="233" t="s">
        <v>20</v>
      </c>
      <c r="E1669" s="233" t="s">
        <v>25</v>
      </c>
      <c r="F1669" s="227" t="s">
        <v>3002</v>
      </c>
    </row>
    <row r="1670" spans="1:6" x14ac:dyDescent="0.25">
      <c r="A1670" s="227" t="str">
        <f>TL[[#This Row],[Société]]&amp;" - "&amp;TL[[#This Row],[Compte]]</f>
        <v>VICTOIRE - 611008</v>
      </c>
      <c r="B1670" s="233" t="s">
        <v>4949</v>
      </c>
      <c r="C1670" s="227" t="s">
        <v>4950</v>
      </c>
      <c r="D1670" s="233" t="s">
        <v>147</v>
      </c>
      <c r="E1670" s="233" t="s">
        <v>288</v>
      </c>
      <c r="F1670" s="227" t="s">
        <v>3002</v>
      </c>
    </row>
    <row r="1671" spans="1:6" x14ac:dyDescent="0.25">
      <c r="A1671" s="227" t="str">
        <f>TL[[#This Row],[Société]]&amp;" - "&amp;TL[[#This Row],[Compte]]</f>
        <v>VICTOIRE - 611009</v>
      </c>
      <c r="B1671" s="233" t="s">
        <v>4951</v>
      </c>
      <c r="C1671" s="227" t="s">
        <v>2152</v>
      </c>
      <c r="D1671" s="233" t="s">
        <v>20</v>
      </c>
      <c r="E1671" s="233" t="s">
        <v>25</v>
      </c>
      <c r="F1671" s="227" t="s">
        <v>3002</v>
      </c>
    </row>
    <row r="1672" spans="1:6" x14ac:dyDescent="0.25">
      <c r="A1672" s="227" t="str">
        <f>TL[[#This Row],[Société]]&amp;" - "&amp;TL[[#This Row],[Compte]]</f>
        <v>VICTOIRE - 611010</v>
      </c>
      <c r="B1672" s="233" t="s">
        <v>4952</v>
      </c>
      <c r="C1672" s="227" t="s">
        <v>2136</v>
      </c>
      <c r="D1672" s="233" t="s">
        <v>147</v>
      </c>
      <c r="E1672" s="233" t="s">
        <v>288</v>
      </c>
      <c r="F1672" s="227" t="s">
        <v>3002</v>
      </c>
    </row>
    <row r="1673" spans="1:6" x14ac:dyDescent="0.25">
      <c r="A1673" s="227" t="str">
        <f>TL[[#This Row],[Société]]&amp;" - "&amp;TL[[#This Row],[Compte]]</f>
        <v>VICTOIRE - 611011</v>
      </c>
      <c r="B1673" s="233" t="s">
        <v>4953</v>
      </c>
      <c r="C1673" s="227" t="s">
        <v>4954</v>
      </c>
      <c r="D1673" s="233" t="s">
        <v>20</v>
      </c>
      <c r="E1673" s="233" t="s">
        <v>25</v>
      </c>
      <c r="F1673" s="227" t="s">
        <v>3002</v>
      </c>
    </row>
    <row r="1674" spans="1:6" x14ac:dyDescent="0.25">
      <c r="A1674" s="227" t="str">
        <f>TL[[#This Row],[Société]]&amp;" - "&amp;TL[[#This Row],[Compte]]</f>
        <v>VICTOIRE - 611012</v>
      </c>
      <c r="B1674" s="233" t="s">
        <v>2548</v>
      </c>
      <c r="C1674" s="227" t="s">
        <v>2885</v>
      </c>
      <c r="D1674" s="233" t="s">
        <v>20</v>
      </c>
      <c r="E1674" s="233" t="s">
        <v>25</v>
      </c>
      <c r="F1674" s="227" t="s">
        <v>3002</v>
      </c>
    </row>
    <row r="1675" spans="1:6" x14ac:dyDescent="0.25">
      <c r="A1675" s="227" t="str">
        <f>TL[[#This Row],[Société]]&amp;" - "&amp;TL[[#This Row],[Compte]]</f>
        <v>VICTOIRE - 611101</v>
      </c>
      <c r="B1675" s="233" t="s">
        <v>4955</v>
      </c>
      <c r="C1675" s="227" t="s">
        <v>1523</v>
      </c>
      <c r="D1675" s="233" t="s">
        <v>20</v>
      </c>
      <c r="E1675" s="233" t="s">
        <v>25</v>
      </c>
      <c r="F1675" s="227" t="s">
        <v>3002</v>
      </c>
    </row>
    <row r="1676" spans="1:6" x14ac:dyDescent="0.25">
      <c r="A1676" s="227" t="str">
        <f>TL[[#This Row],[Société]]&amp;" - "&amp;TL[[#This Row],[Compte]]</f>
        <v>VICTOIRE - 611102</v>
      </c>
      <c r="B1676" s="233" t="s">
        <v>4956</v>
      </c>
      <c r="C1676" s="227" t="s">
        <v>2886</v>
      </c>
      <c r="D1676" s="233" t="s">
        <v>20</v>
      </c>
      <c r="E1676" s="233" t="s">
        <v>25</v>
      </c>
      <c r="F1676" s="227" t="s">
        <v>3002</v>
      </c>
    </row>
    <row r="1677" spans="1:6" x14ac:dyDescent="0.25">
      <c r="A1677" s="227" t="str">
        <f>TL[[#This Row],[Société]]&amp;" - "&amp;TL[[#This Row],[Compte]]</f>
        <v>VICTOIRE - 611103</v>
      </c>
      <c r="B1677" s="233" t="s">
        <v>4957</v>
      </c>
      <c r="C1677" s="227" t="s">
        <v>2887</v>
      </c>
      <c r="D1677" s="233" t="s">
        <v>20</v>
      </c>
      <c r="E1677" s="233" t="s">
        <v>25</v>
      </c>
      <c r="F1677" s="227" t="s">
        <v>3002</v>
      </c>
    </row>
    <row r="1678" spans="1:6" x14ac:dyDescent="0.25">
      <c r="A1678" s="227" t="str">
        <f>TL[[#This Row],[Société]]&amp;" - "&amp;TL[[#This Row],[Compte]]</f>
        <v>VICTOIRE - 611104</v>
      </c>
      <c r="B1678" s="233" t="s">
        <v>4958</v>
      </c>
      <c r="C1678" s="227" t="s">
        <v>2888</v>
      </c>
      <c r="D1678" s="233" t="s">
        <v>20</v>
      </c>
      <c r="E1678" s="233" t="s">
        <v>25</v>
      </c>
      <c r="F1678" s="227" t="s">
        <v>3002</v>
      </c>
    </row>
    <row r="1679" spans="1:6" x14ac:dyDescent="0.25">
      <c r="A1679" s="227" t="str">
        <f>TL[[#This Row],[Société]]&amp;" - "&amp;TL[[#This Row],[Compte]]</f>
        <v>VICTOIRE - 611105</v>
      </c>
      <c r="B1679" s="233" t="s">
        <v>4959</v>
      </c>
      <c r="C1679" s="227" t="s">
        <v>2889</v>
      </c>
      <c r="D1679" s="233" t="s">
        <v>20</v>
      </c>
      <c r="E1679" s="233" t="s">
        <v>25</v>
      </c>
      <c r="F1679" s="227" t="s">
        <v>3002</v>
      </c>
    </row>
    <row r="1680" spans="1:6" x14ac:dyDescent="0.25">
      <c r="A1680" s="227" t="str">
        <f>TL[[#This Row],[Société]]&amp;" - "&amp;TL[[#This Row],[Compte]]</f>
        <v>VICTOIRE - 611107</v>
      </c>
      <c r="B1680" s="233" t="s">
        <v>4960</v>
      </c>
      <c r="C1680" s="227" t="s">
        <v>2890</v>
      </c>
      <c r="D1680" s="233" t="s">
        <v>20</v>
      </c>
      <c r="E1680" s="233" t="s">
        <v>25</v>
      </c>
      <c r="F1680" s="227" t="s">
        <v>3002</v>
      </c>
    </row>
    <row r="1681" spans="1:6" x14ac:dyDescent="0.25">
      <c r="A1681" s="227" t="str">
        <f>TL[[#This Row],[Société]]&amp;" - "&amp;TL[[#This Row],[Compte]]</f>
        <v>VICTOIRE - 611108</v>
      </c>
      <c r="B1681" s="233" t="s">
        <v>4961</v>
      </c>
      <c r="C1681" s="227" t="s">
        <v>2891</v>
      </c>
      <c r="D1681" s="233" t="s">
        <v>20</v>
      </c>
      <c r="E1681" s="233" t="s">
        <v>25</v>
      </c>
      <c r="F1681" s="227" t="s">
        <v>3002</v>
      </c>
    </row>
    <row r="1682" spans="1:6" x14ac:dyDescent="0.25">
      <c r="A1682" s="227" t="str">
        <f>TL[[#This Row],[Société]]&amp;" - "&amp;TL[[#This Row],[Compte]]</f>
        <v>VICTOIRE - 611109</v>
      </c>
      <c r="B1682" s="233" t="s">
        <v>4962</v>
      </c>
      <c r="C1682" s="227" t="s">
        <v>2892</v>
      </c>
      <c r="D1682" s="233" t="s">
        <v>20</v>
      </c>
      <c r="E1682" s="233" t="s">
        <v>25</v>
      </c>
      <c r="F1682" s="227" t="s">
        <v>3002</v>
      </c>
    </row>
    <row r="1683" spans="1:6" x14ac:dyDescent="0.25">
      <c r="A1683" s="227" t="str">
        <f>TL[[#This Row],[Société]]&amp;" - "&amp;TL[[#This Row],[Compte]]</f>
        <v>VICTOIRE - 611110</v>
      </c>
      <c r="B1683" s="233" t="s">
        <v>4963</v>
      </c>
      <c r="C1683" s="227" t="s">
        <v>2893</v>
      </c>
      <c r="D1683" s="233" t="s">
        <v>20</v>
      </c>
      <c r="E1683" s="233" t="s">
        <v>25</v>
      </c>
      <c r="F1683" s="227" t="s">
        <v>3002</v>
      </c>
    </row>
    <row r="1684" spans="1:6" x14ac:dyDescent="0.25">
      <c r="A1684" s="227" t="str">
        <f>TL[[#This Row],[Société]]&amp;" - "&amp;TL[[#This Row],[Compte]]</f>
        <v>VICTOIRE - 611940</v>
      </c>
      <c r="B1684" s="233" t="s">
        <v>4964</v>
      </c>
      <c r="C1684" s="227" t="s">
        <v>4965</v>
      </c>
      <c r="F1684" s="227" t="s">
        <v>3002</v>
      </c>
    </row>
    <row r="1685" spans="1:6" x14ac:dyDescent="0.25">
      <c r="A1685" s="227" t="str">
        <f>TL[[#This Row],[Société]]&amp;" - "&amp;TL[[#This Row],[Compte]]</f>
        <v>VICTOIRE - 612200</v>
      </c>
      <c r="B1685" s="233" t="s">
        <v>1903</v>
      </c>
      <c r="C1685" s="227" t="s">
        <v>4966</v>
      </c>
      <c r="F1685" s="227" t="s">
        <v>3002</v>
      </c>
    </row>
    <row r="1686" spans="1:6" x14ac:dyDescent="0.25">
      <c r="A1686" s="227" t="str">
        <f>TL[[#This Row],[Société]]&amp;" - "&amp;TL[[#This Row],[Compte]]</f>
        <v>VICTOIRE - 612201</v>
      </c>
      <c r="B1686" s="233" t="s">
        <v>4967</v>
      </c>
      <c r="C1686" s="227" t="s">
        <v>2941</v>
      </c>
      <c r="D1686" s="233" t="s">
        <v>45</v>
      </c>
      <c r="E1686" s="233" t="s">
        <v>52</v>
      </c>
      <c r="F1686" s="227" t="s">
        <v>3002</v>
      </c>
    </row>
    <row r="1687" spans="1:6" x14ac:dyDescent="0.25">
      <c r="A1687" s="227" t="str">
        <f>TL[[#This Row],[Société]]&amp;" - "&amp;TL[[#This Row],[Compte]]</f>
        <v>VICTOIRE - 612220</v>
      </c>
      <c r="B1687" s="233" t="s">
        <v>4968</v>
      </c>
      <c r="C1687" s="227" t="s">
        <v>4969</v>
      </c>
      <c r="F1687" s="227" t="s">
        <v>3002</v>
      </c>
    </row>
    <row r="1688" spans="1:6" x14ac:dyDescent="0.25">
      <c r="A1688" s="227" t="str">
        <f>TL[[#This Row],[Société]]&amp;" - "&amp;TL[[#This Row],[Compte]]</f>
        <v>VICTOIRE - 612500</v>
      </c>
      <c r="B1688" s="233" t="s">
        <v>4970</v>
      </c>
      <c r="C1688" s="227" t="s">
        <v>4971</v>
      </c>
      <c r="F1688" s="227" t="s">
        <v>3002</v>
      </c>
    </row>
    <row r="1689" spans="1:6" x14ac:dyDescent="0.25">
      <c r="A1689" s="227" t="str">
        <f>TL[[#This Row],[Société]]&amp;" - "&amp;TL[[#This Row],[Compte]]</f>
        <v>VICTOIRE - 613000</v>
      </c>
      <c r="B1689" s="233" t="s">
        <v>1904</v>
      </c>
      <c r="C1689" s="227" t="s">
        <v>607</v>
      </c>
      <c r="D1689" s="242" t="s">
        <v>50</v>
      </c>
      <c r="E1689" s="242" t="s">
        <v>52</v>
      </c>
      <c r="F1689" s="227" t="s">
        <v>3002</v>
      </c>
    </row>
    <row r="1690" spans="1:6" x14ac:dyDescent="0.25">
      <c r="A1690" s="227" t="str">
        <f>TL[[#This Row],[Société]]&amp;" - "&amp;TL[[#This Row],[Compte]]</f>
        <v>VICTOIRE - 613200</v>
      </c>
      <c r="B1690" s="233" t="s">
        <v>1587</v>
      </c>
      <c r="C1690" s="227" t="s">
        <v>2927</v>
      </c>
      <c r="D1690" s="233" t="s">
        <v>35</v>
      </c>
      <c r="E1690" s="233" t="s">
        <v>2985</v>
      </c>
      <c r="F1690" s="227" t="s">
        <v>3002</v>
      </c>
    </row>
    <row r="1691" spans="1:6" x14ac:dyDescent="0.25">
      <c r="A1691" s="227" t="str">
        <f>TL[[#This Row],[Société]]&amp;" - "&amp;TL[[#This Row],[Compte]]</f>
        <v>VICTOIRE - 613210</v>
      </c>
      <c r="B1691" s="233" t="s">
        <v>4972</v>
      </c>
      <c r="C1691" s="227" t="s">
        <v>2930</v>
      </c>
      <c r="D1691" s="233" t="s">
        <v>42</v>
      </c>
      <c r="E1691" s="233" t="s">
        <v>40</v>
      </c>
      <c r="F1691" s="227" t="s">
        <v>3002</v>
      </c>
    </row>
    <row r="1692" spans="1:6" x14ac:dyDescent="0.25">
      <c r="A1692" s="227" t="str">
        <f>TL[[#This Row],[Société]]&amp;" - "&amp;TL[[#This Row],[Compte]]</f>
        <v>VICTOIRE - 613300</v>
      </c>
      <c r="B1692" s="233" t="s">
        <v>3209</v>
      </c>
      <c r="C1692" s="227" t="s">
        <v>4973</v>
      </c>
      <c r="F1692" s="227" t="s">
        <v>3002</v>
      </c>
    </row>
    <row r="1693" spans="1:6" x14ac:dyDescent="0.25">
      <c r="A1693" s="227" t="str">
        <f>TL[[#This Row],[Société]]&amp;" - "&amp;TL[[#This Row],[Compte]]</f>
        <v>VICTOIRE - 613500</v>
      </c>
      <c r="B1693" s="233" t="s">
        <v>1920</v>
      </c>
      <c r="C1693" s="227" t="s">
        <v>4974</v>
      </c>
      <c r="F1693" s="227" t="s">
        <v>3002</v>
      </c>
    </row>
    <row r="1694" spans="1:6" x14ac:dyDescent="0.25">
      <c r="A1694" s="227" t="str">
        <f>TL[[#This Row],[Société]]&amp;" - "&amp;TL[[#This Row],[Compte]]</f>
        <v>VICTOIRE - 613510</v>
      </c>
      <c r="B1694" s="233" t="s">
        <v>1579</v>
      </c>
      <c r="C1694" s="227" t="s">
        <v>2894</v>
      </c>
      <c r="D1694" s="233" t="s">
        <v>20</v>
      </c>
      <c r="E1694" s="233" t="s">
        <v>25</v>
      </c>
      <c r="F1694" s="227" t="s">
        <v>3002</v>
      </c>
    </row>
    <row r="1695" spans="1:6" x14ac:dyDescent="0.25">
      <c r="A1695" s="227" t="str">
        <f>TL[[#This Row],[Société]]&amp;" - "&amp;TL[[#This Row],[Compte]]</f>
        <v>VICTOIRE - 613520</v>
      </c>
      <c r="B1695" s="233" t="s">
        <v>1599</v>
      </c>
      <c r="C1695" s="227" t="s">
        <v>4975</v>
      </c>
      <c r="F1695" s="227" t="s">
        <v>3002</v>
      </c>
    </row>
    <row r="1696" spans="1:6" x14ac:dyDescent="0.25">
      <c r="A1696" s="227" t="str">
        <f>TL[[#This Row],[Société]]&amp;" - "&amp;TL[[#This Row],[Compte]]</f>
        <v>VICTOIRE - 613530</v>
      </c>
      <c r="B1696" s="233" t="s">
        <v>2779</v>
      </c>
      <c r="C1696" s="227" t="s">
        <v>4976</v>
      </c>
      <c r="F1696" s="227" t="s">
        <v>3002</v>
      </c>
    </row>
    <row r="1697" spans="1:6" x14ac:dyDescent="0.25">
      <c r="A1697" s="227" t="str">
        <f>TL[[#This Row],[Société]]&amp;" - "&amp;TL[[#This Row],[Compte]]</f>
        <v>VICTOIRE - 613540</v>
      </c>
      <c r="B1697" s="233" t="s">
        <v>3220</v>
      </c>
      <c r="C1697" s="227" t="s">
        <v>2895</v>
      </c>
      <c r="D1697" s="233" t="s">
        <v>20</v>
      </c>
      <c r="E1697" s="233" t="s">
        <v>25</v>
      </c>
      <c r="F1697" s="227" t="s">
        <v>3002</v>
      </c>
    </row>
    <row r="1698" spans="1:6" x14ac:dyDescent="0.25">
      <c r="A1698" s="227" t="str">
        <f>TL[[#This Row],[Société]]&amp;" - "&amp;TL[[#This Row],[Compte]]</f>
        <v>VICTOIRE - 613580</v>
      </c>
      <c r="B1698" s="233" t="s">
        <v>4977</v>
      </c>
      <c r="C1698" s="227" t="s">
        <v>2896</v>
      </c>
      <c r="D1698" s="233" t="s">
        <v>20</v>
      </c>
      <c r="E1698" s="233" t="s">
        <v>25</v>
      </c>
      <c r="F1698" s="227" t="s">
        <v>3002</v>
      </c>
    </row>
    <row r="1699" spans="1:6" x14ac:dyDescent="0.25">
      <c r="A1699" s="227" t="str">
        <f>TL[[#This Row],[Société]]&amp;" - "&amp;TL[[#This Row],[Compte]]</f>
        <v>VICTOIRE - 614000</v>
      </c>
      <c r="B1699" s="233" t="s">
        <v>1921</v>
      </c>
      <c r="C1699" s="227" t="s">
        <v>4978</v>
      </c>
      <c r="F1699" s="227" t="s">
        <v>3002</v>
      </c>
    </row>
    <row r="1700" spans="1:6" x14ac:dyDescent="0.25">
      <c r="A1700" s="227" t="str">
        <f>TL[[#This Row],[Société]]&amp;" - "&amp;TL[[#This Row],[Compte]]</f>
        <v>VICTOIRE - 615000</v>
      </c>
      <c r="B1700" s="233" t="s">
        <v>4979</v>
      </c>
      <c r="C1700" s="227" t="s">
        <v>26</v>
      </c>
      <c r="F1700" s="227" t="s">
        <v>3002</v>
      </c>
    </row>
    <row r="1701" spans="1:6" x14ac:dyDescent="0.25">
      <c r="A1701" s="227" t="str">
        <f>TL[[#This Row],[Société]]&amp;" - "&amp;TL[[#This Row],[Compte]]</f>
        <v>VICTOIRE - 615002</v>
      </c>
      <c r="B1701" s="233" t="s">
        <v>4980</v>
      </c>
      <c r="C1701" s="227" t="s">
        <v>4981</v>
      </c>
      <c r="D1701" s="233" t="s">
        <v>25</v>
      </c>
      <c r="E1701" s="233" t="s">
        <v>23</v>
      </c>
      <c r="F1701" s="227" t="s">
        <v>3002</v>
      </c>
    </row>
    <row r="1702" spans="1:6" x14ac:dyDescent="0.25">
      <c r="A1702" s="227" t="str">
        <f>TL[[#This Row],[Société]]&amp;" - "&amp;TL[[#This Row],[Compte]]</f>
        <v>VICTOIRE - 615200</v>
      </c>
      <c r="B1702" s="233" t="s">
        <v>1629</v>
      </c>
      <c r="C1702" s="227" t="s">
        <v>4982</v>
      </c>
      <c r="D1702" s="233" t="s">
        <v>25</v>
      </c>
      <c r="E1702" s="233" t="s">
        <v>23</v>
      </c>
      <c r="F1702" s="227" t="s">
        <v>3002</v>
      </c>
    </row>
    <row r="1703" spans="1:6" x14ac:dyDescent="0.25">
      <c r="A1703" s="227" t="str">
        <f>TL[[#This Row],[Société]]&amp;" - "&amp;TL[[#This Row],[Compte]]</f>
        <v>VICTOIRE - 615500</v>
      </c>
      <c r="B1703" s="233" t="s">
        <v>1589</v>
      </c>
      <c r="C1703" s="227" t="s">
        <v>4983</v>
      </c>
      <c r="D1703" s="233" t="s">
        <v>50</v>
      </c>
      <c r="E1703" s="233" t="s">
        <v>52</v>
      </c>
      <c r="F1703" s="227" t="s">
        <v>3002</v>
      </c>
    </row>
    <row r="1704" spans="1:6" x14ac:dyDescent="0.25">
      <c r="A1704" s="227" t="str">
        <f>TL[[#This Row],[Société]]&amp;" - "&amp;TL[[#This Row],[Compte]]</f>
        <v>VICTOIRE - 615510</v>
      </c>
      <c r="B1704" s="233" t="s">
        <v>4984</v>
      </c>
      <c r="C1704" s="227" t="s">
        <v>2879</v>
      </c>
      <c r="D1704" s="233" t="s">
        <v>25</v>
      </c>
      <c r="E1704" s="233" t="s">
        <v>23</v>
      </c>
      <c r="F1704" s="227" t="s">
        <v>3002</v>
      </c>
    </row>
    <row r="1705" spans="1:6" x14ac:dyDescent="0.25">
      <c r="A1705" s="227" t="str">
        <f>TL[[#This Row],[Société]]&amp;" - "&amp;TL[[#This Row],[Compte]]</f>
        <v>VICTOIRE - 615511</v>
      </c>
      <c r="B1705" s="233" t="s">
        <v>4985</v>
      </c>
      <c r="C1705" s="227" t="s">
        <v>4986</v>
      </c>
      <c r="D1705" s="233" t="s">
        <v>25</v>
      </c>
      <c r="E1705" s="233" t="s">
        <v>23</v>
      </c>
      <c r="F1705" s="227" t="s">
        <v>3002</v>
      </c>
    </row>
    <row r="1706" spans="1:6" x14ac:dyDescent="0.25">
      <c r="A1706" s="227" t="str">
        <f>TL[[#This Row],[Société]]&amp;" - "&amp;TL[[#This Row],[Compte]]</f>
        <v>VICTOIRE - 615512</v>
      </c>
      <c r="B1706" s="233" t="s">
        <v>4987</v>
      </c>
      <c r="C1706" s="227" t="s">
        <v>4988</v>
      </c>
      <c r="D1706" s="233" t="s">
        <v>25</v>
      </c>
      <c r="E1706" s="233" t="s">
        <v>23</v>
      </c>
      <c r="F1706" s="227" t="s">
        <v>3002</v>
      </c>
    </row>
    <row r="1707" spans="1:6" x14ac:dyDescent="0.25">
      <c r="A1707" s="227" t="str">
        <f>TL[[#This Row],[Société]]&amp;" - "&amp;TL[[#This Row],[Compte]]</f>
        <v>VICTOIRE - 615513</v>
      </c>
      <c r="B1707" s="233" t="s">
        <v>4989</v>
      </c>
      <c r="C1707" s="227" t="s">
        <v>4990</v>
      </c>
      <c r="D1707" s="233" t="s">
        <v>25</v>
      </c>
      <c r="E1707" s="233" t="s">
        <v>23</v>
      </c>
      <c r="F1707" s="227" t="s">
        <v>3002</v>
      </c>
    </row>
    <row r="1708" spans="1:6" x14ac:dyDescent="0.25">
      <c r="A1708" s="227" t="str">
        <f>TL[[#This Row],[Société]]&amp;" - "&amp;TL[[#This Row],[Compte]]</f>
        <v>VICTOIRE - 615514</v>
      </c>
      <c r="B1708" s="233" t="s">
        <v>4991</v>
      </c>
      <c r="C1708" s="227" t="s">
        <v>4992</v>
      </c>
      <c r="D1708" s="233" t="s">
        <v>25</v>
      </c>
      <c r="E1708" s="233" t="s">
        <v>23</v>
      </c>
      <c r="F1708" s="227" t="s">
        <v>3002</v>
      </c>
    </row>
    <row r="1709" spans="1:6" x14ac:dyDescent="0.25">
      <c r="A1709" s="227" t="str">
        <f>TL[[#This Row],[Société]]&amp;" - "&amp;TL[[#This Row],[Compte]]</f>
        <v>VICTOIRE - 615520</v>
      </c>
      <c r="B1709" s="233" t="s">
        <v>1935</v>
      </c>
      <c r="C1709" s="227" t="s">
        <v>308</v>
      </c>
      <c r="F1709" s="227" t="s">
        <v>3002</v>
      </c>
    </row>
    <row r="1710" spans="1:6" x14ac:dyDescent="0.25">
      <c r="A1710" s="227" t="str">
        <f>TL[[#This Row],[Société]]&amp;" - "&amp;TL[[#This Row],[Compte]]</f>
        <v>VICTOIRE - 615530</v>
      </c>
      <c r="B1710" s="233" t="s">
        <v>4993</v>
      </c>
      <c r="C1710" s="227" t="s">
        <v>4994</v>
      </c>
      <c r="F1710" s="227" t="s">
        <v>3002</v>
      </c>
    </row>
    <row r="1711" spans="1:6" x14ac:dyDescent="0.25">
      <c r="A1711" s="227" t="str">
        <f>TL[[#This Row],[Société]]&amp;" - "&amp;TL[[#This Row],[Compte]]</f>
        <v>VICTOIRE - 615600</v>
      </c>
      <c r="B1711" s="233" t="s">
        <v>1627</v>
      </c>
      <c r="C1711" s="227" t="s">
        <v>2897</v>
      </c>
      <c r="D1711" s="233" t="s">
        <v>25</v>
      </c>
      <c r="E1711" s="233" t="s">
        <v>25</v>
      </c>
      <c r="F1711" s="227" t="s">
        <v>3002</v>
      </c>
    </row>
    <row r="1712" spans="1:6" x14ac:dyDescent="0.25">
      <c r="A1712" s="227" t="str">
        <f>TL[[#This Row],[Société]]&amp;" - "&amp;TL[[#This Row],[Compte]]</f>
        <v>VICTOIRE - 615601</v>
      </c>
      <c r="B1712" s="233" t="s">
        <v>4995</v>
      </c>
      <c r="C1712" s="227" t="s">
        <v>2898</v>
      </c>
      <c r="D1712" s="233" t="s">
        <v>25</v>
      </c>
      <c r="E1712" s="233" t="s">
        <v>25</v>
      </c>
      <c r="F1712" s="227" t="s">
        <v>3002</v>
      </c>
    </row>
    <row r="1713" spans="1:6" x14ac:dyDescent="0.25">
      <c r="A1713" s="227" t="str">
        <f>TL[[#This Row],[Société]]&amp;" - "&amp;TL[[#This Row],[Compte]]</f>
        <v>VICTOIRE - 615603</v>
      </c>
      <c r="B1713" s="233" t="s">
        <v>4996</v>
      </c>
      <c r="C1713" s="227" t="s">
        <v>2899</v>
      </c>
      <c r="D1713" s="233" t="s">
        <v>25</v>
      </c>
      <c r="E1713" s="233" t="s">
        <v>25</v>
      </c>
      <c r="F1713" s="227" t="s">
        <v>3002</v>
      </c>
    </row>
    <row r="1714" spans="1:6" x14ac:dyDescent="0.25">
      <c r="A1714" s="227" t="str">
        <f>TL[[#This Row],[Société]]&amp;" - "&amp;TL[[#This Row],[Compte]]</f>
        <v>VICTOIRE - 615606</v>
      </c>
      <c r="B1714" s="233" t="s">
        <v>4997</v>
      </c>
      <c r="C1714" s="227" t="s">
        <v>2872</v>
      </c>
      <c r="D1714" s="233" t="s">
        <v>25</v>
      </c>
      <c r="E1714" s="233" t="s">
        <v>20</v>
      </c>
      <c r="F1714" s="227" t="s">
        <v>3002</v>
      </c>
    </row>
    <row r="1715" spans="1:6" x14ac:dyDescent="0.25">
      <c r="A1715" s="227" t="str">
        <f>TL[[#This Row],[Société]]&amp;" - "&amp;TL[[#This Row],[Compte]]</f>
        <v>VICTOIRE - 615608</v>
      </c>
      <c r="B1715" s="233" t="s">
        <v>4998</v>
      </c>
      <c r="C1715" s="227" t="s">
        <v>2873</v>
      </c>
      <c r="D1715" s="233" t="s">
        <v>25</v>
      </c>
      <c r="E1715" s="233" t="s">
        <v>20</v>
      </c>
      <c r="F1715" s="227" t="s">
        <v>3002</v>
      </c>
    </row>
    <row r="1716" spans="1:6" x14ac:dyDescent="0.25">
      <c r="A1716" s="227" t="str">
        <f>TL[[#This Row],[Société]]&amp;" - "&amp;TL[[#This Row],[Compte]]</f>
        <v>VICTOIRE - 615609</v>
      </c>
      <c r="B1716" s="233" t="s">
        <v>2553</v>
      </c>
      <c r="C1716" s="227" t="s">
        <v>2900</v>
      </c>
      <c r="D1716" s="233" t="s">
        <v>25</v>
      </c>
      <c r="E1716" s="233" t="s">
        <v>25</v>
      </c>
      <c r="F1716" s="227" t="s">
        <v>3002</v>
      </c>
    </row>
    <row r="1717" spans="1:6" x14ac:dyDescent="0.25">
      <c r="A1717" s="227" t="str">
        <f>TL[[#This Row],[Société]]&amp;" - "&amp;TL[[#This Row],[Compte]]</f>
        <v>VICTOIRE - 615610</v>
      </c>
      <c r="B1717" s="233" t="s">
        <v>1779</v>
      </c>
      <c r="C1717" s="227" t="s">
        <v>2901</v>
      </c>
      <c r="D1717" s="233" t="s">
        <v>25</v>
      </c>
      <c r="E1717" s="233" t="s">
        <v>25</v>
      </c>
      <c r="F1717" s="227" t="s">
        <v>3002</v>
      </c>
    </row>
    <row r="1718" spans="1:6" x14ac:dyDescent="0.25">
      <c r="A1718" s="227" t="str">
        <f>TL[[#This Row],[Société]]&amp;" - "&amp;TL[[#This Row],[Compte]]</f>
        <v>VICTOIRE - 615611</v>
      </c>
      <c r="B1718" s="233" t="s">
        <v>1608</v>
      </c>
      <c r="C1718" s="227" t="s">
        <v>2902</v>
      </c>
      <c r="D1718" s="233" t="s">
        <v>25</v>
      </c>
      <c r="E1718" s="233" t="s">
        <v>25</v>
      </c>
      <c r="F1718" s="227" t="s">
        <v>3002</v>
      </c>
    </row>
    <row r="1719" spans="1:6" x14ac:dyDescent="0.25">
      <c r="A1719" s="227" t="str">
        <f>TL[[#This Row],[Société]]&amp;" - "&amp;TL[[#This Row],[Compte]]</f>
        <v>VICTOIRE - 615612</v>
      </c>
      <c r="B1719" s="233" t="s">
        <v>1635</v>
      </c>
      <c r="C1719" s="227" t="s">
        <v>4999</v>
      </c>
      <c r="D1719" s="233" t="s">
        <v>25</v>
      </c>
      <c r="E1719" s="233" t="s">
        <v>25</v>
      </c>
      <c r="F1719" s="227" t="s">
        <v>3002</v>
      </c>
    </row>
    <row r="1720" spans="1:6" x14ac:dyDescent="0.25">
      <c r="A1720" s="227" t="str">
        <f>TL[[#This Row],[Société]]&amp;" - "&amp;TL[[#This Row],[Compte]]</f>
        <v>VICTOIRE - 615614</v>
      </c>
      <c r="B1720" s="233" t="s">
        <v>1620</v>
      </c>
      <c r="C1720" s="227" t="s">
        <v>2903</v>
      </c>
      <c r="D1720" s="233" t="s">
        <v>20</v>
      </c>
      <c r="E1720" s="233" t="s">
        <v>25</v>
      </c>
      <c r="F1720" s="227" t="s">
        <v>3002</v>
      </c>
    </row>
    <row r="1721" spans="1:6" x14ac:dyDescent="0.25">
      <c r="A1721" s="227" t="str">
        <f>TL[[#This Row],[Société]]&amp;" - "&amp;TL[[#This Row],[Compte]]</f>
        <v>VICTOIRE - 615615</v>
      </c>
      <c r="B1721" s="233" t="s">
        <v>1598</v>
      </c>
      <c r="C1721" s="227" t="s">
        <v>2904</v>
      </c>
      <c r="D1721" s="233" t="s">
        <v>25</v>
      </c>
      <c r="E1721" s="233" t="s">
        <v>25</v>
      </c>
      <c r="F1721" s="227" t="s">
        <v>3002</v>
      </c>
    </row>
    <row r="1722" spans="1:6" x14ac:dyDescent="0.25">
      <c r="A1722" s="227" t="str">
        <f>TL[[#This Row],[Société]]&amp;" - "&amp;TL[[#This Row],[Compte]]</f>
        <v>VICTOIRE - 615618</v>
      </c>
      <c r="B1722" s="233" t="s">
        <v>1582</v>
      </c>
      <c r="C1722" s="227" t="s">
        <v>2905</v>
      </c>
      <c r="D1722" s="233" t="s">
        <v>25</v>
      </c>
      <c r="E1722" s="233" t="s">
        <v>25</v>
      </c>
      <c r="F1722" s="227" t="s">
        <v>3002</v>
      </c>
    </row>
    <row r="1723" spans="1:6" x14ac:dyDescent="0.25">
      <c r="A1723" s="227" t="str">
        <f>TL[[#This Row],[Société]]&amp;" - "&amp;TL[[#This Row],[Compte]]</f>
        <v>VICTOIRE - 615619</v>
      </c>
      <c r="B1723" s="233" t="s">
        <v>1936</v>
      </c>
      <c r="C1723" s="227" t="s">
        <v>2906</v>
      </c>
      <c r="D1723" s="233" t="s">
        <v>25</v>
      </c>
      <c r="E1723" s="233" t="s">
        <v>25</v>
      </c>
      <c r="F1723" s="227" t="s">
        <v>3002</v>
      </c>
    </row>
    <row r="1724" spans="1:6" x14ac:dyDescent="0.25">
      <c r="A1724" s="227" t="str">
        <f>TL[[#This Row],[Société]]&amp;" - "&amp;TL[[#This Row],[Compte]]</f>
        <v>VICTOIRE - 615620</v>
      </c>
      <c r="B1724" s="233" t="s">
        <v>1583</v>
      </c>
      <c r="C1724" s="227" t="s">
        <v>5000</v>
      </c>
      <c r="D1724" s="233" t="s">
        <v>25</v>
      </c>
      <c r="E1724" s="233" t="s">
        <v>25</v>
      </c>
      <c r="F1724" s="227" t="s">
        <v>3002</v>
      </c>
    </row>
    <row r="1725" spans="1:6" x14ac:dyDescent="0.25">
      <c r="A1725" s="227" t="str">
        <f>TL[[#This Row],[Société]]&amp;" - "&amp;TL[[#This Row],[Compte]]</f>
        <v>VICTOIRE - 615622</v>
      </c>
      <c r="B1725" s="233" t="s">
        <v>1614</v>
      </c>
      <c r="C1725" s="227" t="s">
        <v>5001</v>
      </c>
      <c r="D1725" s="233" t="s">
        <v>25</v>
      </c>
      <c r="E1725" s="233" t="s">
        <v>25</v>
      </c>
      <c r="F1725" s="227" t="s">
        <v>3002</v>
      </c>
    </row>
    <row r="1726" spans="1:6" x14ac:dyDescent="0.25">
      <c r="A1726" s="227" t="str">
        <f>TL[[#This Row],[Société]]&amp;" - "&amp;TL[[#This Row],[Compte]]</f>
        <v>VICTOIRE - 615624</v>
      </c>
      <c r="B1726" s="233" t="s">
        <v>1937</v>
      </c>
      <c r="C1726" s="227" t="s">
        <v>2907</v>
      </c>
      <c r="D1726" s="233" t="s">
        <v>25</v>
      </c>
      <c r="E1726" s="233" t="s">
        <v>25</v>
      </c>
      <c r="F1726" s="227" t="s">
        <v>3002</v>
      </c>
    </row>
    <row r="1727" spans="1:6" x14ac:dyDescent="0.25">
      <c r="A1727" s="227" t="str">
        <f>TL[[#This Row],[Société]]&amp;" - "&amp;TL[[#This Row],[Compte]]</f>
        <v>VICTOIRE - 615651</v>
      </c>
      <c r="B1727" s="233" t="s">
        <v>2556</v>
      </c>
      <c r="C1727" s="227" t="s">
        <v>5002</v>
      </c>
      <c r="D1727" s="233" t="s">
        <v>20</v>
      </c>
      <c r="E1727" s="233" t="s">
        <v>25</v>
      </c>
      <c r="F1727" s="227" t="s">
        <v>3002</v>
      </c>
    </row>
    <row r="1728" spans="1:6" x14ac:dyDescent="0.25">
      <c r="A1728" s="227" t="str">
        <f>TL[[#This Row],[Société]]&amp;" - "&amp;TL[[#This Row],[Compte]]</f>
        <v>VICTOIRE - 615662</v>
      </c>
      <c r="B1728" s="233" t="s">
        <v>2566</v>
      </c>
      <c r="C1728" s="227" t="s">
        <v>2908</v>
      </c>
      <c r="D1728" s="233" t="s">
        <v>20</v>
      </c>
      <c r="E1728" s="233" t="s">
        <v>25</v>
      </c>
      <c r="F1728" s="227" t="s">
        <v>3002</v>
      </c>
    </row>
    <row r="1729" spans="1:6" x14ac:dyDescent="0.25">
      <c r="A1729" s="227" t="str">
        <f>TL[[#This Row],[Société]]&amp;" - "&amp;TL[[#This Row],[Compte]]</f>
        <v>VICTOIRE - 616000</v>
      </c>
      <c r="B1729" s="233" t="s">
        <v>3255</v>
      </c>
      <c r="C1729" s="227" t="s">
        <v>3256</v>
      </c>
      <c r="F1729" s="227" t="s">
        <v>3002</v>
      </c>
    </row>
    <row r="1730" spans="1:6" x14ac:dyDescent="0.25">
      <c r="A1730" s="227" t="str">
        <f>TL[[#This Row],[Société]]&amp;" - "&amp;TL[[#This Row],[Compte]]</f>
        <v>VICTOIRE - 616010</v>
      </c>
      <c r="B1730" s="233" t="s">
        <v>5003</v>
      </c>
      <c r="C1730" s="227" t="s">
        <v>5004</v>
      </c>
      <c r="D1730" s="233" t="s">
        <v>40</v>
      </c>
      <c r="E1730" s="233" t="s">
        <v>45</v>
      </c>
      <c r="F1730" s="227" t="s">
        <v>3002</v>
      </c>
    </row>
    <row r="1731" spans="1:6" x14ac:dyDescent="0.25">
      <c r="A1731" s="227" t="str">
        <f>TL[[#This Row],[Société]]&amp;" - "&amp;TL[[#This Row],[Compte]]</f>
        <v>VICTOIRE - 616100</v>
      </c>
      <c r="B1731" s="233" t="s">
        <v>5005</v>
      </c>
      <c r="C1731" s="227" t="s">
        <v>2935</v>
      </c>
      <c r="D1731" s="233" t="s">
        <v>40</v>
      </c>
      <c r="E1731" s="233" t="s">
        <v>45</v>
      </c>
      <c r="F1731" s="227" t="s">
        <v>3002</v>
      </c>
    </row>
    <row r="1732" spans="1:6" x14ac:dyDescent="0.25">
      <c r="A1732" s="227" t="str">
        <f>TL[[#This Row],[Société]]&amp;" - "&amp;TL[[#This Row],[Compte]]</f>
        <v>VICTOIRE - 616120</v>
      </c>
      <c r="B1732" s="233" t="s">
        <v>5006</v>
      </c>
      <c r="C1732" s="227" t="s">
        <v>2942</v>
      </c>
      <c r="D1732" s="233" t="s">
        <v>50</v>
      </c>
      <c r="E1732" s="233" t="s">
        <v>52</v>
      </c>
      <c r="F1732" s="227" t="s">
        <v>3002</v>
      </c>
    </row>
    <row r="1733" spans="1:6" x14ac:dyDescent="0.25">
      <c r="A1733" s="227" t="str">
        <f>TL[[#This Row],[Société]]&amp;" - "&amp;TL[[#This Row],[Compte]]</f>
        <v>VICTOIRE - 616130</v>
      </c>
      <c r="B1733" s="233" t="s">
        <v>5007</v>
      </c>
      <c r="C1733" s="227" t="s">
        <v>5008</v>
      </c>
      <c r="D1733" s="233" t="s">
        <v>40</v>
      </c>
      <c r="E1733" s="233" t="s">
        <v>45</v>
      </c>
      <c r="F1733" s="227" t="s">
        <v>3002</v>
      </c>
    </row>
    <row r="1734" spans="1:6" x14ac:dyDescent="0.25">
      <c r="A1734" s="227" t="str">
        <f>TL[[#This Row],[Société]]&amp;" - "&amp;TL[[#This Row],[Compte]]</f>
        <v>VICTOIRE - 616140</v>
      </c>
      <c r="B1734" s="233" t="s">
        <v>5009</v>
      </c>
      <c r="C1734" s="227" t="s">
        <v>5010</v>
      </c>
      <c r="D1734" s="233" t="s">
        <v>40</v>
      </c>
      <c r="E1734" s="233" t="s">
        <v>45</v>
      </c>
      <c r="F1734" s="227" t="s">
        <v>3002</v>
      </c>
    </row>
    <row r="1735" spans="1:6" x14ac:dyDescent="0.25">
      <c r="A1735" s="227" t="str">
        <f>TL[[#This Row],[Société]]&amp;" - "&amp;TL[[#This Row],[Compte]]</f>
        <v>VICTOIRE - 616150</v>
      </c>
      <c r="B1735" s="233" t="s">
        <v>5011</v>
      </c>
      <c r="C1735" s="227" t="s">
        <v>5012</v>
      </c>
      <c r="D1735" s="233" t="s">
        <v>40</v>
      </c>
      <c r="E1735" s="233" t="s">
        <v>45</v>
      </c>
      <c r="F1735" s="227" t="s">
        <v>3002</v>
      </c>
    </row>
    <row r="1736" spans="1:6" x14ac:dyDescent="0.25">
      <c r="A1736" s="227" t="str">
        <f>TL[[#This Row],[Société]]&amp;" - "&amp;TL[[#This Row],[Compte]]</f>
        <v>VICTOIRE - 616170</v>
      </c>
      <c r="B1736" s="233" t="s">
        <v>5013</v>
      </c>
      <c r="C1736" s="227" t="s">
        <v>5014</v>
      </c>
      <c r="D1736" s="233" t="s">
        <v>40</v>
      </c>
      <c r="E1736" s="233" t="s">
        <v>45</v>
      </c>
      <c r="F1736" s="227" t="s">
        <v>3002</v>
      </c>
    </row>
    <row r="1737" spans="1:6" x14ac:dyDescent="0.25">
      <c r="A1737" s="227" t="str">
        <f>TL[[#This Row],[Société]]&amp;" - "&amp;TL[[#This Row],[Compte]]</f>
        <v>VICTOIRE - 616200</v>
      </c>
      <c r="B1737" s="233" t="s">
        <v>2762</v>
      </c>
      <c r="C1737" s="227" t="s">
        <v>5015</v>
      </c>
      <c r="F1737" s="227" t="s">
        <v>3002</v>
      </c>
    </row>
    <row r="1738" spans="1:6" x14ac:dyDescent="0.25">
      <c r="A1738" s="227" t="str">
        <f>TL[[#This Row],[Société]]&amp;" - "&amp;TL[[#This Row],[Compte]]</f>
        <v>VICTOIRE - 616300</v>
      </c>
      <c r="B1738" s="233" t="s">
        <v>2763</v>
      </c>
      <c r="C1738" s="227" t="s">
        <v>5016</v>
      </c>
      <c r="F1738" s="227" t="s">
        <v>3002</v>
      </c>
    </row>
    <row r="1739" spans="1:6" x14ac:dyDescent="0.25">
      <c r="A1739" s="227" t="str">
        <f>TL[[#This Row],[Société]]&amp;" - "&amp;TL[[#This Row],[Compte]]</f>
        <v>VICTOIRE - 616400</v>
      </c>
      <c r="B1739" s="233" t="s">
        <v>5017</v>
      </c>
      <c r="C1739" s="227" t="s">
        <v>5018</v>
      </c>
      <c r="F1739" s="227" t="s">
        <v>3002</v>
      </c>
    </row>
    <row r="1740" spans="1:6" x14ac:dyDescent="0.25">
      <c r="A1740" s="227" t="str">
        <f>TL[[#This Row],[Société]]&amp;" - "&amp;TL[[#This Row],[Compte]]</f>
        <v>VICTOIRE - 616500</v>
      </c>
      <c r="B1740" s="233" t="s">
        <v>5019</v>
      </c>
      <c r="C1740" s="227" t="s">
        <v>5020</v>
      </c>
      <c r="F1740" s="227" t="s">
        <v>3002</v>
      </c>
    </row>
    <row r="1741" spans="1:6" x14ac:dyDescent="0.25">
      <c r="A1741" s="227" t="str">
        <f>TL[[#This Row],[Société]]&amp;" - "&amp;TL[[#This Row],[Compte]]</f>
        <v>VICTOIRE - 616600</v>
      </c>
      <c r="B1741" s="233" t="s">
        <v>5021</v>
      </c>
      <c r="C1741" s="227" t="s">
        <v>5022</v>
      </c>
      <c r="F1741" s="227" t="s">
        <v>3002</v>
      </c>
    </row>
    <row r="1742" spans="1:6" x14ac:dyDescent="0.25">
      <c r="A1742" s="227" t="str">
        <f>TL[[#This Row],[Société]]&amp;" - "&amp;TL[[#This Row],[Compte]]</f>
        <v>VICTOIRE - 616700</v>
      </c>
      <c r="B1742" s="233" t="s">
        <v>5023</v>
      </c>
      <c r="C1742" s="227" t="s">
        <v>5024</v>
      </c>
      <c r="F1742" s="227" t="s">
        <v>3002</v>
      </c>
    </row>
    <row r="1743" spans="1:6" x14ac:dyDescent="0.25">
      <c r="A1743" s="227" t="str">
        <f>TL[[#This Row],[Société]]&amp;" - "&amp;TL[[#This Row],[Compte]]</f>
        <v>VICTOIRE - 616800</v>
      </c>
      <c r="B1743" s="233" t="s">
        <v>5025</v>
      </c>
      <c r="C1743" s="227" t="s">
        <v>5026</v>
      </c>
      <c r="F1743" s="227" t="s">
        <v>3002</v>
      </c>
    </row>
    <row r="1744" spans="1:6" x14ac:dyDescent="0.25">
      <c r="A1744" s="227" t="str">
        <f>TL[[#This Row],[Société]]&amp;" - "&amp;TL[[#This Row],[Compte]]</f>
        <v>VICTOIRE - 617000</v>
      </c>
      <c r="B1744" s="233" t="s">
        <v>5027</v>
      </c>
      <c r="C1744" s="227" t="s">
        <v>5028</v>
      </c>
      <c r="F1744" s="227" t="s">
        <v>3002</v>
      </c>
    </row>
    <row r="1745" spans="1:6" x14ac:dyDescent="0.25">
      <c r="A1745" s="227" t="str">
        <f>TL[[#This Row],[Société]]&amp;" - "&amp;TL[[#This Row],[Compte]]</f>
        <v>VICTOIRE - 618100</v>
      </c>
      <c r="B1745" s="233" t="s">
        <v>1943</v>
      </c>
      <c r="C1745" s="227" t="s">
        <v>2923</v>
      </c>
      <c r="D1745" s="233" t="s">
        <v>20</v>
      </c>
      <c r="E1745" s="233" t="s">
        <v>2982</v>
      </c>
      <c r="F1745" s="227" t="s">
        <v>3002</v>
      </c>
    </row>
    <row r="1746" spans="1:6" x14ac:dyDescent="0.25">
      <c r="A1746" s="227" t="str">
        <f>TL[[#This Row],[Société]]&amp;" - "&amp;TL[[#This Row],[Compte]]</f>
        <v>VICTOIRE - 618300</v>
      </c>
      <c r="B1746" s="233" t="s">
        <v>5029</v>
      </c>
      <c r="C1746" s="227" t="s">
        <v>5030</v>
      </c>
      <c r="F1746" s="227" t="s">
        <v>3002</v>
      </c>
    </row>
    <row r="1747" spans="1:6" x14ac:dyDescent="0.25">
      <c r="A1747" s="227" t="str">
        <f>TL[[#This Row],[Société]]&amp;" - "&amp;TL[[#This Row],[Compte]]</f>
        <v>VICTOIRE - 618500</v>
      </c>
      <c r="B1747" s="233" t="s">
        <v>5031</v>
      </c>
      <c r="C1747" s="227" t="s">
        <v>5032</v>
      </c>
      <c r="F1747" s="227" t="s">
        <v>3002</v>
      </c>
    </row>
    <row r="1748" spans="1:6" x14ac:dyDescent="0.25">
      <c r="A1748" s="227" t="str">
        <f>TL[[#This Row],[Société]]&amp;" - "&amp;TL[[#This Row],[Compte]]</f>
        <v>VICTOIRE - 619000</v>
      </c>
      <c r="B1748" s="233" t="s">
        <v>5033</v>
      </c>
      <c r="C1748" s="227" t="s">
        <v>5034</v>
      </c>
      <c r="F1748" s="227" t="s">
        <v>3002</v>
      </c>
    </row>
    <row r="1749" spans="1:6" x14ac:dyDescent="0.25">
      <c r="A1749" s="227" t="str">
        <f>TL[[#This Row],[Société]]&amp;" - "&amp;TL[[#This Row],[Compte]]</f>
        <v>VICTOIRE - 621010</v>
      </c>
      <c r="B1749" s="233" t="s">
        <v>2540</v>
      </c>
      <c r="C1749" s="227" t="s">
        <v>2870</v>
      </c>
      <c r="D1749" s="233" t="s">
        <v>50</v>
      </c>
      <c r="E1749" s="233" t="s">
        <v>16</v>
      </c>
      <c r="F1749" s="227" t="s">
        <v>3002</v>
      </c>
    </row>
    <row r="1750" spans="1:6" x14ac:dyDescent="0.25">
      <c r="A1750" s="227" t="str">
        <f>TL[[#This Row],[Société]]&amp;" - "&amp;TL[[#This Row],[Compte]]</f>
        <v>VICTOIRE - 621100</v>
      </c>
      <c r="B1750" s="233" t="s">
        <v>5035</v>
      </c>
      <c r="C1750" s="227" t="s">
        <v>5036</v>
      </c>
      <c r="F1750" s="227" t="s">
        <v>3002</v>
      </c>
    </row>
    <row r="1751" spans="1:6" x14ac:dyDescent="0.25">
      <c r="A1751" s="227" t="str">
        <f>TL[[#This Row],[Société]]&amp;" - "&amp;TL[[#This Row],[Compte]]</f>
        <v>VICTOIRE - 621400</v>
      </c>
      <c r="B1751" s="233" t="s">
        <v>1945</v>
      </c>
      <c r="C1751" s="227" t="s">
        <v>5037</v>
      </c>
      <c r="D1751" s="236" t="s">
        <v>12</v>
      </c>
      <c r="E1751" s="236" t="s">
        <v>16</v>
      </c>
      <c r="F1751" s="227" t="s">
        <v>3002</v>
      </c>
    </row>
    <row r="1752" spans="1:6" x14ac:dyDescent="0.25">
      <c r="A1752" s="227" t="str">
        <f>TL[[#This Row],[Société]]&amp;" - "&amp;TL[[#This Row],[Compte]]</f>
        <v>VICTOIRE - 622100</v>
      </c>
      <c r="B1752" s="233" t="s">
        <v>5038</v>
      </c>
      <c r="C1752" s="227" t="s">
        <v>5039</v>
      </c>
      <c r="F1752" s="227" t="s">
        <v>3002</v>
      </c>
    </row>
    <row r="1753" spans="1:6" x14ac:dyDescent="0.25">
      <c r="A1753" s="227" t="str">
        <f>TL[[#This Row],[Société]]&amp;" - "&amp;TL[[#This Row],[Compte]]</f>
        <v>VICTOIRE - 622200</v>
      </c>
      <c r="B1753" s="233" t="s">
        <v>5040</v>
      </c>
      <c r="C1753" s="227" t="s">
        <v>5041</v>
      </c>
      <c r="F1753" s="227" t="s">
        <v>3002</v>
      </c>
    </row>
    <row r="1754" spans="1:6" x14ac:dyDescent="0.25">
      <c r="A1754" s="227" t="str">
        <f>TL[[#This Row],[Société]]&amp;" - "&amp;TL[[#This Row],[Compte]]</f>
        <v>VICTOIRE - 622280</v>
      </c>
      <c r="B1754" s="233" t="s">
        <v>5042</v>
      </c>
      <c r="C1754" s="227" t="s">
        <v>5043</v>
      </c>
      <c r="F1754" s="227" t="s">
        <v>3002</v>
      </c>
    </row>
    <row r="1755" spans="1:6" x14ac:dyDescent="0.25">
      <c r="A1755" s="227" t="str">
        <f>TL[[#This Row],[Société]]&amp;" - "&amp;TL[[#This Row],[Compte]]</f>
        <v>VICTOIRE - 622400</v>
      </c>
      <c r="B1755" s="233" t="s">
        <v>5044</v>
      </c>
      <c r="C1755" s="227" t="s">
        <v>5045</v>
      </c>
      <c r="F1755" s="227" t="s">
        <v>3002</v>
      </c>
    </row>
    <row r="1756" spans="1:6" x14ac:dyDescent="0.25">
      <c r="A1756" s="227" t="str">
        <f>TL[[#This Row],[Société]]&amp;" - "&amp;TL[[#This Row],[Compte]]</f>
        <v>VICTOIRE - 622500</v>
      </c>
      <c r="B1756" s="233" t="s">
        <v>5046</v>
      </c>
      <c r="C1756" s="227" t="s">
        <v>5047</v>
      </c>
      <c r="F1756" s="227" t="s">
        <v>3002</v>
      </c>
    </row>
    <row r="1757" spans="1:6" x14ac:dyDescent="0.25">
      <c r="A1757" s="227" t="str">
        <f>TL[[#This Row],[Société]]&amp;" - "&amp;TL[[#This Row],[Compte]]</f>
        <v>VICTOIRE - 622600</v>
      </c>
      <c r="B1757" s="233" t="s">
        <v>1622</v>
      </c>
      <c r="C1757" s="227" t="s">
        <v>2454</v>
      </c>
      <c r="F1757" s="227" t="s">
        <v>3002</v>
      </c>
    </row>
    <row r="1758" spans="1:6" x14ac:dyDescent="0.25">
      <c r="A1758" s="227" t="str">
        <f>TL[[#This Row],[Société]]&amp;" - "&amp;TL[[#This Row],[Compte]]</f>
        <v>VICTOIRE - 622601</v>
      </c>
      <c r="B1758" s="233" t="s">
        <v>5048</v>
      </c>
      <c r="C1758" s="227" t="s">
        <v>2932</v>
      </c>
      <c r="D1758" s="233" t="s">
        <v>39</v>
      </c>
      <c r="E1758" s="233" t="s">
        <v>44</v>
      </c>
      <c r="F1758" s="227" t="s">
        <v>3002</v>
      </c>
    </row>
    <row r="1759" spans="1:6" x14ac:dyDescent="0.25">
      <c r="A1759" s="227" t="str">
        <f>TL[[#This Row],[Société]]&amp;" - "&amp;TL[[#This Row],[Compte]]</f>
        <v>VICTOIRE - 622602</v>
      </c>
      <c r="B1759" s="233" t="s">
        <v>5049</v>
      </c>
      <c r="C1759" s="227" t="s">
        <v>2933</v>
      </c>
      <c r="D1759" s="233" t="s">
        <v>39</v>
      </c>
      <c r="E1759" s="233" t="s">
        <v>44</v>
      </c>
      <c r="F1759" s="227" t="s">
        <v>3002</v>
      </c>
    </row>
    <row r="1760" spans="1:6" x14ac:dyDescent="0.25">
      <c r="A1760" s="227" t="str">
        <f>TL[[#This Row],[Société]]&amp;" - "&amp;TL[[#This Row],[Compte]]</f>
        <v>VICTOIRE - 622604</v>
      </c>
      <c r="B1760" s="233" t="s">
        <v>5050</v>
      </c>
      <c r="C1760" s="227" t="s">
        <v>2934</v>
      </c>
      <c r="D1760" s="233" t="s">
        <v>39</v>
      </c>
      <c r="E1760" s="233" t="s">
        <v>44</v>
      </c>
      <c r="F1760" s="227" t="s">
        <v>3002</v>
      </c>
    </row>
    <row r="1761" spans="1:6" x14ac:dyDescent="0.25">
      <c r="A1761" s="227" t="str">
        <f>TL[[#This Row],[Société]]&amp;" - "&amp;TL[[#This Row],[Compte]]</f>
        <v>VICTOIRE - 622680</v>
      </c>
      <c r="B1761" s="233" t="s">
        <v>2796</v>
      </c>
      <c r="C1761" s="227" t="s">
        <v>5051</v>
      </c>
      <c r="F1761" s="227" t="s">
        <v>3002</v>
      </c>
    </row>
    <row r="1762" spans="1:6" x14ac:dyDescent="0.25">
      <c r="A1762" s="227" t="str">
        <f>TL[[#This Row],[Société]]&amp;" - "&amp;TL[[#This Row],[Compte]]</f>
        <v>VICTOIRE - 622700</v>
      </c>
      <c r="B1762" s="233" t="s">
        <v>1952</v>
      </c>
      <c r="C1762" s="227" t="s">
        <v>159</v>
      </c>
      <c r="F1762" s="227" t="s">
        <v>3002</v>
      </c>
    </row>
    <row r="1763" spans="1:6" x14ac:dyDescent="0.25">
      <c r="A1763" s="227" t="str">
        <f>TL[[#This Row],[Société]]&amp;" - "&amp;TL[[#This Row],[Compte]]</f>
        <v>VICTOIRE - 622800</v>
      </c>
      <c r="B1763" s="233" t="s">
        <v>1738</v>
      </c>
      <c r="C1763" s="227" t="s">
        <v>5052</v>
      </c>
      <c r="F1763" s="227" t="s">
        <v>3002</v>
      </c>
    </row>
    <row r="1764" spans="1:6" x14ac:dyDescent="0.25">
      <c r="A1764" s="227" t="str">
        <f>TL[[#This Row],[Société]]&amp;" - "&amp;TL[[#This Row],[Compte]]</f>
        <v>VICTOIRE - 622890</v>
      </c>
      <c r="B1764" s="233" t="s">
        <v>5053</v>
      </c>
      <c r="C1764" s="227" t="s">
        <v>5054</v>
      </c>
      <c r="D1764" s="233" t="s">
        <v>20</v>
      </c>
      <c r="E1764" s="233" t="s">
        <v>25</v>
      </c>
      <c r="F1764" s="227" t="s">
        <v>3002</v>
      </c>
    </row>
    <row r="1765" spans="1:6" x14ac:dyDescent="0.25">
      <c r="A1765" s="227" t="str">
        <f>TL[[#This Row],[Société]]&amp;" - "&amp;TL[[#This Row],[Compte]]</f>
        <v>VICTOIRE - 623000</v>
      </c>
      <c r="B1765" s="233" t="s">
        <v>1594</v>
      </c>
      <c r="C1765" s="227" t="s">
        <v>2912</v>
      </c>
      <c r="D1765" s="233" t="s">
        <v>17</v>
      </c>
      <c r="E1765" s="233" t="s">
        <v>30</v>
      </c>
      <c r="F1765" s="227" t="s">
        <v>3002</v>
      </c>
    </row>
    <row r="1766" spans="1:6" x14ac:dyDescent="0.25">
      <c r="A1766" s="227" t="str">
        <f>TL[[#This Row],[Société]]&amp;" - "&amp;TL[[#This Row],[Compte]]</f>
        <v>VICTOIRE - 623002</v>
      </c>
      <c r="B1766" s="233" t="s">
        <v>1596</v>
      </c>
      <c r="C1766" s="227" t="s">
        <v>5055</v>
      </c>
      <c r="F1766" s="227" t="s">
        <v>3002</v>
      </c>
    </row>
    <row r="1767" spans="1:6" x14ac:dyDescent="0.25">
      <c r="A1767" s="227" t="str">
        <f>TL[[#This Row],[Société]]&amp;" - "&amp;TL[[#This Row],[Compte]]</f>
        <v>VICTOIRE - 623012</v>
      </c>
      <c r="B1767" s="233" t="s">
        <v>5056</v>
      </c>
      <c r="C1767" s="227" t="s">
        <v>5057</v>
      </c>
      <c r="D1767" s="233" t="s">
        <v>18</v>
      </c>
      <c r="E1767" s="233" t="s">
        <v>30</v>
      </c>
      <c r="F1767" s="227" t="s">
        <v>3002</v>
      </c>
    </row>
    <row r="1768" spans="1:6" x14ac:dyDescent="0.25">
      <c r="A1768" s="227" t="str">
        <f>TL[[#This Row],[Société]]&amp;" - "&amp;TL[[#This Row],[Compte]]</f>
        <v>VICTOIRE - 623100</v>
      </c>
      <c r="B1768" s="233" t="s">
        <v>1954</v>
      </c>
      <c r="C1768" s="227" t="s">
        <v>754</v>
      </c>
      <c r="D1768" s="233" t="s">
        <v>29</v>
      </c>
      <c r="F1768" s="227" t="s">
        <v>3002</v>
      </c>
    </row>
    <row r="1769" spans="1:6" x14ac:dyDescent="0.25">
      <c r="A1769" s="227" t="str">
        <f>TL[[#This Row],[Société]]&amp;" - "&amp;TL[[#This Row],[Compte]]</f>
        <v>VICTOIRE - 623102</v>
      </c>
      <c r="B1769" s="233" t="s">
        <v>5058</v>
      </c>
      <c r="C1769" s="227" t="s">
        <v>2913</v>
      </c>
      <c r="D1769" s="233" t="s">
        <v>18</v>
      </c>
      <c r="E1769" s="233" t="s">
        <v>32</v>
      </c>
      <c r="F1769" s="227" t="s">
        <v>3002</v>
      </c>
    </row>
    <row r="1770" spans="1:6" x14ac:dyDescent="0.25">
      <c r="A1770" s="227" t="str">
        <f>TL[[#This Row],[Société]]&amp;" - "&amp;TL[[#This Row],[Compte]]</f>
        <v>VICTOIRE - 623200</v>
      </c>
      <c r="B1770" s="233" t="s">
        <v>1955</v>
      </c>
      <c r="C1770" s="227" t="s">
        <v>5059</v>
      </c>
      <c r="F1770" s="227" t="s">
        <v>3002</v>
      </c>
    </row>
    <row r="1771" spans="1:6" x14ac:dyDescent="0.25">
      <c r="A1771" s="227" t="str">
        <f>TL[[#This Row],[Société]]&amp;" - "&amp;TL[[#This Row],[Compte]]</f>
        <v>VICTOIRE - 623300</v>
      </c>
      <c r="B1771" s="233" t="s">
        <v>5060</v>
      </c>
      <c r="C1771" s="227" t="s">
        <v>5061</v>
      </c>
      <c r="F1771" s="227" t="s">
        <v>3002</v>
      </c>
    </row>
    <row r="1772" spans="1:6" x14ac:dyDescent="0.25">
      <c r="A1772" s="227" t="str">
        <f>TL[[#This Row],[Société]]&amp;" - "&amp;TL[[#This Row],[Compte]]</f>
        <v>VICTOIRE - 623400</v>
      </c>
      <c r="B1772" s="233" t="s">
        <v>1601</v>
      </c>
      <c r="C1772" s="227" t="s">
        <v>2914</v>
      </c>
      <c r="D1772" s="233" t="s">
        <v>18</v>
      </c>
      <c r="E1772" s="233" t="s">
        <v>32</v>
      </c>
      <c r="F1772" s="227" t="s">
        <v>3002</v>
      </c>
    </row>
    <row r="1773" spans="1:6" x14ac:dyDescent="0.25">
      <c r="A1773" s="227" t="str">
        <f>TL[[#This Row],[Société]]&amp;" - "&amp;TL[[#This Row],[Compte]]</f>
        <v>VICTOIRE - 623401</v>
      </c>
      <c r="B1773" s="233" t="s">
        <v>1788</v>
      </c>
      <c r="C1773" s="227" t="s">
        <v>2915</v>
      </c>
      <c r="D1773" s="233" t="s">
        <v>18</v>
      </c>
      <c r="E1773" s="233" t="s">
        <v>32</v>
      </c>
      <c r="F1773" s="227" t="s">
        <v>3002</v>
      </c>
    </row>
    <row r="1774" spans="1:6" x14ac:dyDescent="0.25">
      <c r="A1774" s="227" t="str">
        <f>TL[[#This Row],[Société]]&amp;" - "&amp;TL[[#This Row],[Compte]]</f>
        <v>VICTOIRE - 623500</v>
      </c>
      <c r="B1774" s="233" t="s">
        <v>5062</v>
      </c>
      <c r="C1774" s="227" t="s">
        <v>5063</v>
      </c>
      <c r="F1774" s="227" t="s">
        <v>3002</v>
      </c>
    </row>
    <row r="1775" spans="1:6" x14ac:dyDescent="0.25">
      <c r="A1775" s="227" t="str">
        <f>TL[[#This Row],[Société]]&amp;" - "&amp;TL[[#This Row],[Compte]]</f>
        <v>VICTOIRE - 623600</v>
      </c>
      <c r="B1775" s="233" t="s">
        <v>5064</v>
      </c>
      <c r="C1775" s="227" t="s">
        <v>5065</v>
      </c>
      <c r="D1775" s="233" t="s">
        <v>29</v>
      </c>
      <c r="F1775" s="227" t="s">
        <v>3002</v>
      </c>
    </row>
    <row r="1776" spans="1:6" x14ac:dyDescent="0.25">
      <c r="A1776" s="227" t="str">
        <f>TL[[#This Row],[Société]]&amp;" - "&amp;TL[[#This Row],[Compte]]</f>
        <v>VICTOIRE - 623700</v>
      </c>
      <c r="B1776" s="233" t="s">
        <v>5066</v>
      </c>
      <c r="C1776" s="227" t="s">
        <v>5067</v>
      </c>
      <c r="F1776" s="227" t="s">
        <v>3002</v>
      </c>
    </row>
    <row r="1777" spans="1:6" x14ac:dyDescent="0.25">
      <c r="A1777" s="227" t="str">
        <f>TL[[#This Row],[Société]]&amp;" - "&amp;TL[[#This Row],[Compte]]</f>
        <v>VICTOIRE - 623800</v>
      </c>
      <c r="B1777" s="233" t="s">
        <v>1956</v>
      </c>
      <c r="C1777" s="227" t="s">
        <v>5068</v>
      </c>
      <c r="D1777" s="233" t="s">
        <v>18</v>
      </c>
      <c r="E1777" s="233" t="s">
        <v>32</v>
      </c>
      <c r="F1777" s="227" t="s">
        <v>3002</v>
      </c>
    </row>
    <row r="1778" spans="1:6" x14ac:dyDescent="0.25">
      <c r="A1778" s="227" t="str">
        <f>TL[[#This Row],[Société]]&amp;" - "&amp;TL[[#This Row],[Compte]]</f>
        <v>VICTOIRE - 623900</v>
      </c>
      <c r="B1778" s="233" t="s">
        <v>5069</v>
      </c>
      <c r="C1778" s="227" t="s">
        <v>5070</v>
      </c>
      <c r="D1778" s="233" t="s">
        <v>18</v>
      </c>
      <c r="E1778" s="233" t="s">
        <v>32</v>
      </c>
      <c r="F1778" s="227" t="s">
        <v>3002</v>
      </c>
    </row>
    <row r="1779" spans="1:6" x14ac:dyDescent="0.25">
      <c r="A1779" s="227" t="str">
        <f>TL[[#This Row],[Société]]&amp;" - "&amp;TL[[#This Row],[Compte]]</f>
        <v>VICTOIRE - 624100</v>
      </c>
      <c r="B1779" s="233" t="s">
        <v>1957</v>
      </c>
      <c r="C1779" s="227" t="s">
        <v>261</v>
      </c>
      <c r="D1779" s="233" t="s">
        <v>20</v>
      </c>
      <c r="E1779" s="233" t="s">
        <v>25</v>
      </c>
      <c r="F1779" s="227" t="s">
        <v>3002</v>
      </c>
    </row>
    <row r="1780" spans="1:6" x14ac:dyDescent="0.25">
      <c r="A1780" s="227" t="str">
        <f>TL[[#This Row],[Société]]&amp;" - "&amp;TL[[#This Row],[Compte]]</f>
        <v>VICTOIRE - 624200</v>
      </c>
      <c r="B1780" s="233" t="s">
        <v>5071</v>
      </c>
      <c r="C1780" s="227" t="s">
        <v>5072</v>
      </c>
      <c r="F1780" s="227" t="s">
        <v>3002</v>
      </c>
    </row>
    <row r="1781" spans="1:6" x14ac:dyDescent="0.25">
      <c r="A1781" s="227" t="str">
        <f>TL[[#This Row],[Société]]&amp;" - "&amp;TL[[#This Row],[Compte]]</f>
        <v>VICTOIRE - 624700</v>
      </c>
      <c r="B1781" s="233" t="s">
        <v>5073</v>
      </c>
      <c r="C1781" s="227" t="s">
        <v>5074</v>
      </c>
      <c r="F1781" s="227" t="s">
        <v>3002</v>
      </c>
    </row>
    <row r="1782" spans="1:6" x14ac:dyDescent="0.25">
      <c r="A1782" s="227" t="str">
        <f>TL[[#This Row],[Société]]&amp;" - "&amp;TL[[#This Row],[Compte]]</f>
        <v>VICTOIRE - 624800</v>
      </c>
      <c r="B1782" s="233" t="s">
        <v>5075</v>
      </c>
      <c r="C1782" s="227" t="s">
        <v>5076</v>
      </c>
      <c r="F1782" s="227" t="s">
        <v>3002</v>
      </c>
    </row>
    <row r="1783" spans="1:6" x14ac:dyDescent="0.25">
      <c r="A1783" s="227" t="str">
        <f>TL[[#This Row],[Société]]&amp;" - "&amp;TL[[#This Row],[Compte]]</f>
        <v>VICTOIRE - 625100</v>
      </c>
      <c r="B1783" s="233" t="s">
        <v>1958</v>
      </c>
      <c r="C1783" s="227" t="s">
        <v>2325</v>
      </c>
      <c r="F1783" s="227" t="s">
        <v>3002</v>
      </c>
    </row>
    <row r="1784" spans="1:6" x14ac:dyDescent="0.25">
      <c r="A1784" s="227" t="str">
        <f>TL[[#This Row],[Société]]&amp;" - "&amp;TL[[#This Row],[Compte]]</f>
        <v>VICTOIRE - 625101</v>
      </c>
      <c r="B1784" s="233" t="s">
        <v>5077</v>
      </c>
      <c r="C1784" s="227" t="s">
        <v>2843</v>
      </c>
      <c r="D1784" s="233" t="s">
        <v>16</v>
      </c>
      <c r="E1784" s="233" t="s">
        <v>2979</v>
      </c>
      <c r="F1784" s="227" t="s">
        <v>3002</v>
      </c>
    </row>
    <row r="1785" spans="1:6" x14ac:dyDescent="0.25">
      <c r="A1785" s="227" t="str">
        <f>TL[[#This Row],[Société]]&amp;" - "&amp;TL[[#This Row],[Compte]]</f>
        <v>VICTOIRE - 625102</v>
      </c>
      <c r="B1785" s="233" t="s">
        <v>1959</v>
      </c>
      <c r="C1785" s="227" t="s">
        <v>4897</v>
      </c>
      <c r="D1785" s="233" t="s">
        <v>16</v>
      </c>
      <c r="E1785" s="233" t="s">
        <v>2979</v>
      </c>
      <c r="F1785" s="227" t="s">
        <v>3002</v>
      </c>
    </row>
    <row r="1786" spans="1:6" x14ac:dyDescent="0.25">
      <c r="A1786" s="227" t="str">
        <f>TL[[#This Row],[Société]]&amp;" - "&amp;TL[[#This Row],[Compte]]</f>
        <v>VICTOIRE - 625103</v>
      </c>
      <c r="B1786" s="233" t="s">
        <v>1960</v>
      </c>
      <c r="C1786" s="227" t="s">
        <v>2843</v>
      </c>
      <c r="D1786" s="233" t="s">
        <v>16</v>
      </c>
      <c r="E1786" s="233" t="s">
        <v>2979</v>
      </c>
      <c r="F1786" s="227" t="s">
        <v>3002</v>
      </c>
    </row>
    <row r="1787" spans="1:6" x14ac:dyDescent="0.25">
      <c r="A1787" s="227" t="str">
        <f>TL[[#This Row],[Société]]&amp;" - "&amp;TL[[#This Row],[Compte]]</f>
        <v>VICTOIRE - 625104</v>
      </c>
      <c r="B1787" s="233" t="s">
        <v>5078</v>
      </c>
      <c r="C1787" s="227" t="s">
        <v>5079</v>
      </c>
      <c r="D1787" s="233" t="s">
        <v>16</v>
      </c>
      <c r="E1787" s="233" t="s">
        <v>2979</v>
      </c>
      <c r="F1787" s="227" t="s">
        <v>3002</v>
      </c>
    </row>
    <row r="1788" spans="1:6" x14ac:dyDescent="0.25">
      <c r="A1788" s="227" t="str">
        <f>TL[[#This Row],[Société]]&amp;" - "&amp;TL[[#This Row],[Compte]]</f>
        <v>VICTOIRE - 625105</v>
      </c>
      <c r="B1788" s="233" t="s">
        <v>5080</v>
      </c>
      <c r="C1788" s="227" t="s">
        <v>5081</v>
      </c>
      <c r="D1788" s="233" t="s">
        <v>16</v>
      </c>
      <c r="E1788" s="233" t="s">
        <v>2979</v>
      </c>
      <c r="F1788" s="227" t="s">
        <v>3002</v>
      </c>
    </row>
    <row r="1789" spans="1:6" x14ac:dyDescent="0.25">
      <c r="A1789" s="227" t="str">
        <f>TL[[#This Row],[Société]]&amp;" - "&amp;TL[[#This Row],[Compte]]</f>
        <v>VICTOIRE - 625200</v>
      </c>
      <c r="B1789" s="233" t="s">
        <v>2579</v>
      </c>
      <c r="C1789" s="227" t="s">
        <v>5082</v>
      </c>
      <c r="F1789" s="227" t="s">
        <v>3002</v>
      </c>
    </row>
    <row r="1790" spans="1:6" x14ac:dyDescent="0.25">
      <c r="A1790" s="227" t="str">
        <f>TL[[#This Row],[Société]]&amp;" - "&amp;TL[[#This Row],[Compte]]</f>
        <v>VICTOIRE - 625300</v>
      </c>
      <c r="B1790" s="233" t="s">
        <v>2581</v>
      </c>
      <c r="C1790" s="227" t="s">
        <v>5083</v>
      </c>
      <c r="F1790" s="227" t="s">
        <v>3002</v>
      </c>
    </row>
    <row r="1791" spans="1:6" x14ac:dyDescent="0.25">
      <c r="A1791" s="227" t="str">
        <f>TL[[#This Row],[Société]]&amp;" - "&amp;TL[[#This Row],[Compte]]</f>
        <v>VICTOIRE - 625500</v>
      </c>
      <c r="B1791" s="233" t="s">
        <v>5084</v>
      </c>
      <c r="C1791" s="227" t="s">
        <v>5085</v>
      </c>
      <c r="F1791" s="227" t="s">
        <v>3002</v>
      </c>
    </row>
    <row r="1792" spans="1:6" x14ac:dyDescent="0.25">
      <c r="A1792" s="227" t="str">
        <f>TL[[#This Row],[Société]]&amp;" - "&amp;TL[[#This Row],[Compte]]</f>
        <v>VICTOIRE - 625600</v>
      </c>
      <c r="B1792" s="233" t="s">
        <v>3275</v>
      </c>
      <c r="C1792" s="227" t="s">
        <v>3276</v>
      </c>
      <c r="F1792" s="227" t="s">
        <v>3002</v>
      </c>
    </row>
    <row r="1793" spans="1:6" x14ac:dyDescent="0.25">
      <c r="A1793" s="227" t="str">
        <f>TL[[#This Row],[Société]]&amp;" - "&amp;TL[[#This Row],[Compte]]</f>
        <v>VICTOIRE - 625700</v>
      </c>
      <c r="B1793" s="233" t="s">
        <v>2792</v>
      </c>
      <c r="C1793" s="227" t="s">
        <v>5086</v>
      </c>
      <c r="F1793" s="227" t="s">
        <v>3002</v>
      </c>
    </row>
    <row r="1794" spans="1:6" x14ac:dyDescent="0.25">
      <c r="A1794" s="227" t="str">
        <f>TL[[#This Row],[Société]]&amp;" - "&amp;TL[[#This Row],[Compte]]</f>
        <v>VICTOIRE - 625701</v>
      </c>
      <c r="B1794" s="233" t="s">
        <v>1963</v>
      </c>
      <c r="C1794" s="227" t="s">
        <v>2924</v>
      </c>
      <c r="D1794" s="233" t="s">
        <v>50</v>
      </c>
      <c r="E1794" s="233" t="s">
        <v>2982</v>
      </c>
      <c r="F1794" s="227" t="s">
        <v>3002</v>
      </c>
    </row>
    <row r="1795" spans="1:6" x14ac:dyDescent="0.25">
      <c r="A1795" s="227" t="str">
        <f>TL[[#This Row],[Société]]&amp;" - "&amp;TL[[#This Row],[Compte]]</f>
        <v>VICTOIRE - 626000</v>
      </c>
      <c r="B1795" s="233" t="s">
        <v>3277</v>
      </c>
      <c r="C1795" s="227" t="s">
        <v>170</v>
      </c>
      <c r="F1795" s="227" t="s">
        <v>3002</v>
      </c>
    </row>
    <row r="1796" spans="1:6" x14ac:dyDescent="0.25">
      <c r="A1796" s="227" t="str">
        <f>TL[[#This Row],[Société]]&amp;" - "&amp;TL[[#This Row],[Compte]]</f>
        <v>VICTOIRE - 626001</v>
      </c>
      <c r="B1796" s="233" t="s">
        <v>1733</v>
      </c>
      <c r="C1796" s="227" t="s">
        <v>5087</v>
      </c>
      <c r="D1796" s="233" t="s">
        <v>27</v>
      </c>
      <c r="E1796" s="233" t="s">
        <v>34</v>
      </c>
      <c r="F1796" s="227" t="s">
        <v>3002</v>
      </c>
    </row>
    <row r="1797" spans="1:6" x14ac:dyDescent="0.25">
      <c r="A1797" s="227" t="str">
        <f>TL[[#This Row],[Société]]&amp;" - "&amp;TL[[#This Row],[Compte]]</f>
        <v>VICTOIRE - 626002</v>
      </c>
      <c r="B1797" s="233" t="s">
        <v>1964</v>
      </c>
      <c r="C1797" s="227" t="s">
        <v>5087</v>
      </c>
      <c r="D1797" s="233" t="s">
        <v>27</v>
      </c>
      <c r="E1797" s="233" t="s">
        <v>34</v>
      </c>
      <c r="F1797" s="227" t="s">
        <v>3002</v>
      </c>
    </row>
    <row r="1798" spans="1:6" x14ac:dyDescent="0.25">
      <c r="A1798" s="227" t="str">
        <f>TL[[#This Row],[Société]]&amp;" - "&amp;TL[[#This Row],[Compte]]</f>
        <v>VICTOIRE - 626003</v>
      </c>
      <c r="B1798" s="233" t="s">
        <v>1965</v>
      </c>
      <c r="C1798" s="227" t="s">
        <v>2919</v>
      </c>
      <c r="D1798" s="233" t="s">
        <v>27</v>
      </c>
      <c r="E1798" s="233" t="s">
        <v>34</v>
      </c>
      <c r="F1798" s="227" t="s">
        <v>3002</v>
      </c>
    </row>
    <row r="1799" spans="1:6" x14ac:dyDescent="0.25">
      <c r="A1799" s="227" t="str">
        <f>TL[[#This Row],[Société]]&amp;" - "&amp;TL[[#This Row],[Compte]]</f>
        <v>VICTOIRE - 626008</v>
      </c>
      <c r="B1799" s="233" t="s">
        <v>5088</v>
      </c>
      <c r="C1799" s="227" t="s">
        <v>2920</v>
      </c>
      <c r="D1799" s="233" t="s">
        <v>27</v>
      </c>
      <c r="E1799" s="233" t="s">
        <v>34</v>
      </c>
      <c r="F1799" s="227" t="s">
        <v>3002</v>
      </c>
    </row>
    <row r="1800" spans="1:6" x14ac:dyDescent="0.25">
      <c r="A1800" s="227" t="str">
        <f>TL[[#This Row],[Société]]&amp;" - "&amp;TL[[#This Row],[Compte]]</f>
        <v>VICTOIRE - 626100</v>
      </c>
      <c r="B1800" s="233" t="s">
        <v>1967</v>
      </c>
      <c r="C1800" s="227" t="s">
        <v>3278</v>
      </c>
      <c r="F1800" s="227" t="s">
        <v>3002</v>
      </c>
    </row>
    <row r="1801" spans="1:6" x14ac:dyDescent="0.25">
      <c r="A1801" s="227" t="str">
        <f>TL[[#This Row],[Société]]&amp;" - "&amp;TL[[#This Row],[Compte]]</f>
        <v>VICTOIRE - 627000</v>
      </c>
      <c r="B1801" s="233" t="s">
        <v>3279</v>
      </c>
      <c r="C1801" s="227" t="s">
        <v>2874</v>
      </c>
      <c r="D1801" s="233" t="s">
        <v>47</v>
      </c>
      <c r="E1801" s="233" t="s">
        <v>21</v>
      </c>
      <c r="F1801" s="227" t="s">
        <v>3002</v>
      </c>
    </row>
    <row r="1802" spans="1:6" x14ac:dyDescent="0.25">
      <c r="A1802" s="227" t="str">
        <f>TL[[#This Row],[Société]]&amp;" - "&amp;TL[[#This Row],[Compte]]</f>
        <v>VICTOIRE - 627003</v>
      </c>
      <c r="B1802" s="233" t="s">
        <v>1970</v>
      </c>
      <c r="C1802" s="227" t="s">
        <v>5089</v>
      </c>
      <c r="D1802" s="233" t="s">
        <v>47</v>
      </c>
      <c r="E1802" s="233" t="s">
        <v>21</v>
      </c>
      <c r="F1802" s="227" t="s">
        <v>3002</v>
      </c>
    </row>
    <row r="1803" spans="1:6" x14ac:dyDescent="0.25">
      <c r="A1803" s="227" t="str">
        <f>TL[[#This Row],[Société]]&amp;" - "&amp;TL[[#This Row],[Compte]]</f>
        <v>VICTOIRE - 627005</v>
      </c>
      <c r="B1803" s="233" t="s">
        <v>1972</v>
      </c>
      <c r="C1803" s="227" t="s">
        <v>5090</v>
      </c>
      <c r="D1803" s="233" t="s">
        <v>47</v>
      </c>
      <c r="E1803" s="233" t="s">
        <v>21</v>
      </c>
      <c r="F1803" s="227" t="s">
        <v>3002</v>
      </c>
    </row>
    <row r="1804" spans="1:6" x14ac:dyDescent="0.25">
      <c r="A1804" s="227" t="str">
        <f>TL[[#This Row],[Société]]&amp;" - "&amp;TL[[#This Row],[Compte]]</f>
        <v>VICTOIRE - 627006</v>
      </c>
      <c r="B1804" s="233" t="s">
        <v>5091</v>
      </c>
      <c r="C1804" s="227" t="s">
        <v>2875</v>
      </c>
      <c r="D1804" s="233" t="s">
        <v>47</v>
      </c>
      <c r="E1804" s="233" t="s">
        <v>21</v>
      </c>
      <c r="F1804" s="227" t="s">
        <v>3002</v>
      </c>
    </row>
    <row r="1805" spans="1:6" x14ac:dyDescent="0.25">
      <c r="A1805" s="227" t="str">
        <f>TL[[#This Row],[Société]]&amp;" - "&amp;TL[[#This Row],[Compte]]</f>
        <v>VICTOIRE - 627100</v>
      </c>
      <c r="B1805" s="233" t="s">
        <v>5092</v>
      </c>
      <c r="C1805" s="227" t="s">
        <v>5093</v>
      </c>
      <c r="F1805" s="227" t="s">
        <v>3002</v>
      </c>
    </row>
    <row r="1806" spans="1:6" x14ac:dyDescent="0.25">
      <c r="A1806" s="227" t="str">
        <f>TL[[#This Row],[Société]]&amp;" - "&amp;TL[[#This Row],[Compte]]</f>
        <v>VICTOIRE - 627200</v>
      </c>
      <c r="B1806" s="233" t="s">
        <v>2117</v>
      </c>
      <c r="C1806" s="227" t="s">
        <v>1574</v>
      </c>
      <c r="F1806" s="227" t="s">
        <v>3002</v>
      </c>
    </row>
    <row r="1807" spans="1:6" x14ac:dyDescent="0.25">
      <c r="A1807" s="227" t="str">
        <f>TL[[#This Row],[Société]]&amp;" - "&amp;TL[[#This Row],[Compte]]</f>
        <v>VICTOIRE - 627500</v>
      </c>
      <c r="B1807" s="233" t="s">
        <v>5094</v>
      </c>
      <c r="C1807" s="227" t="s">
        <v>5095</v>
      </c>
      <c r="F1807" s="227" t="s">
        <v>3002</v>
      </c>
    </row>
    <row r="1808" spans="1:6" x14ac:dyDescent="0.25">
      <c r="A1808" s="227" t="str">
        <f>TL[[#This Row],[Société]]&amp;" - "&amp;TL[[#This Row],[Compte]]</f>
        <v>VICTOIRE - 627600</v>
      </c>
      <c r="B1808" s="233" t="s">
        <v>5096</v>
      </c>
      <c r="C1808" s="227" t="s">
        <v>5097</v>
      </c>
      <c r="F1808" s="227" t="s">
        <v>3002</v>
      </c>
    </row>
    <row r="1809" spans="1:6" x14ac:dyDescent="0.25">
      <c r="A1809" s="227" t="str">
        <f>TL[[#This Row],[Société]]&amp;" - "&amp;TL[[#This Row],[Compte]]</f>
        <v>VICTOIRE - 627700</v>
      </c>
      <c r="B1809" s="233" t="s">
        <v>5098</v>
      </c>
      <c r="C1809" s="227" t="s">
        <v>5099</v>
      </c>
      <c r="F1809" s="227" t="s">
        <v>3002</v>
      </c>
    </row>
    <row r="1810" spans="1:6" x14ac:dyDescent="0.25">
      <c r="A1810" s="227" t="str">
        <f>TL[[#This Row],[Société]]&amp;" - "&amp;TL[[#This Row],[Compte]]</f>
        <v>VICTOIRE - 627800</v>
      </c>
      <c r="B1810" s="233" t="s">
        <v>5100</v>
      </c>
      <c r="C1810" s="227" t="s">
        <v>5101</v>
      </c>
      <c r="D1810" s="233" t="s">
        <v>47</v>
      </c>
      <c r="E1810" s="233" t="s">
        <v>21</v>
      </c>
      <c r="F1810" s="227" t="s">
        <v>3002</v>
      </c>
    </row>
    <row r="1811" spans="1:6" x14ac:dyDescent="0.25">
      <c r="A1811" s="227" t="str">
        <f>TL[[#This Row],[Société]]&amp;" - "&amp;TL[[#This Row],[Compte]]</f>
        <v>VICTOIRE - 627801</v>
      </c>
      <c r="B1811" s="233" t="s">
        <v>1711</v>
      </c>
      <c r="C1811" s="227" t="s">
        <v>2876</v>
      </c>
      <c r="D1811" s="233" t="s">
        <v>47</v>
      </c>
      <c r="E1811" s="233" t="s">
        <v>21</v>
      </c>
      <c r="F1811" s="227" t="s">
        <v>3002</v>
      </c>
    </row>
    <row r="1812" spans="1:6" x14ac:dyDescent="0.25">
      <c r="A1812" s="227" t="str">
        <f>TL[[#This Row],[Société]]&amp;" - "&amp;TL[[#This Row],[Compte]]</f>
        <v>VICTOIRE - 627803</v>
      </c>
      <c r="B1812" s="233" t="s">
        <v>1716</v>
      </c>
      <c r="C1812" s="227" t="s">
        <v>2877</v>
      </c>
      <c r="D1812" s="233" t="s">
        <v>47</v>
      </c>
      <c r="E1812" s="233" t="s">
        <v>21</v>
      </c>
      <c r="F1812" s="227" t="s">
        <v>3002</v>
      </c>
    </row>
    <row r="1813" spans="1:6" x14ac:dyDescent="0.25">
      <c r="A1813" s="227" t="str">
        <f>TL[[#This Row],[Société]]&amp;" - "&amp;TL[[#This Row],[Compte]]</f>
        <v>VICTOIRE - 627805</v>
      </c>
      <c r="B1813" s="233" t="s">
        <v>1714</v>
      </c>
      <c r="C1813" s="227" t="s">
        <v>2178</v>
      </c>
      <c r="D1813" s="233" t="s">
        <v>47</v>
      </c>
      <c r="E1813" s="233" t="s">
        <v>21</v>
      </c>
      <c r="F1813" s="227" t="s">
        <v>3002</v>
      </c>
    </row>
    <row r="1814" spans="1:6" x14ac:dyDescent="0.25">
      <c r="A1814" s="227" t="str">
        <f>TL[[#This Row],[Société]]&amp;" - "&amp;TL[[#This Row],[Compte]]</f>
        <v>VICTOIRE - 628100</v>
      </c>
      <c r="B1814" s="233" t="s">
        <v>3281</v>
      </c>
      <c r="C1814" s="227" t="s">
        <v>5102</v>
      </c>
      <c r="F1814" s="227" t="s">
        <v>3002</v>
      </c>
    </row>
    <row r="1815" spans="1:6" x14ac:dyDescent="0.25">
      <c r="A1815" s="227" t="str">
        <f>TL[[#This Row],[Société]]&amp;" - "&amp;TL[[#This Row],[Compte]]</f>
        <v>VICTOIRE - 628101</v>
      </c>
      <c r="B1815" s="233" t="s">
        <v>5103</v>
      </c>
      <c r="C1815" s="227" t="s">
        <v>5104</v>
      </c>
      <c r="D1815" s="233" t="s">
        <v>20</v>
      </c>
      <c r="E1815" s="233" t="s">
        <v>25</v>
      </c>
      <c r="F1815" s="227" t="s">
        <v>3002</v>
      </c>
    </row>
    <row r="1816" spans="1:6" x14ac:dyDescent="0.25">
      <c r="A1816" s="227" t="str">
        <f>TL[[#This Row],[Société]]&amp;" - "&amp;TL[[#This Row],[Compte]]</f>
        <v>VICTOIRE - 628110</v>
      </c>
      <c r="B1816" s="233" t="s">
        <v>5105</v>
      </c>
      <c r="C1816" s="227" t="s">
        <v>5106</v>
      </c>
      <c r="F1816" s="227" t="s">
        <v>3002</v>
      </c>
    </row>
    <row r="1817" spans="1:6" x14ac:dyDescent="0.25">
      <c r="A1817" s="227" t="str">
        <f>TL[[#This Row],[Société]]&amp;" - "&amp;TL[[#This Row],[Compte]]</f>
        <v>VICTOIRE - 628200</v>
      </c>
      <c r="B1817" s="233" t="s">
        <v>1591</v>
      </c>
      <c r="C1817" s="227" t="s">
        <v>5107</v>
      </c>
      <c r="F1817" s="227" t="s">
        <v>3002</v>
      </c>
    </row>
    <row r="1818" spans="1:6" x14ac:dyDescent="0.25">
      <c r="A1818" s="227" t="str">
        <f>TL[[#This Row],[Société]]&amp;" - "&amp;TL[[#This Row],[Compte]]</f>
        <v>VICTOIRE - 628220</v>
      </c>
      <c r="B1818" s="233" t="s">
        <v>2605</v>
      </c>
      <c r="C1818" s="227" t="s">
        <v>2945</v>
      </c>
      <c r="D1818" s="233" t="s">
        <v>147</v>
      </c>
      <c r="E1818" s="233" t="s">
        <v>288</v>
      </c>
      <c r="F1818" s="227" t="s">
        <v>3002</v>
      </c>
    </row>
    <row r="1819" spans="1:6" x14ac:dyDescent="0.25">
      <c r="A1819" s="227" t="str">
        <f>TL[[#This Row],[Société]]&amp;" - "&amp;TL[[#This Row],[Compte]]</f>
        <v>VICTOIRE - 628300</v>
      </c>
      <c r="B1819" s="233" t="s">
        <v>1619</v>
      </c>
      <c r="C1819" s="227" t="s">
        <v>5108</v>
      </c>
      <c r="F1819" s="227" t="s">
        <v>3002</v>
      </c>
    </row>
    <row r="1820" spans="1:6" x14ac:dyDescent="0.25">
      <c r="A1820" s="227" t="str">
        <f>TL[[#This Row],[Société]]&amp;" - "&amp;TL[[#This Row],[Compte]]</f>
        <v>VICTOIRE - 628400</v>
      </c>
      <c r="B1820" s="233" t="s">
        <v>1623</v>
      </c>
      <c r="C1820" s="227" t="s">
        <v>2909</v>
      </c>
      <c r="D1820" s="233" t="s">
        <v>42</v>
      </c>
      <c r="E1820" s="233" t="s">
        <v>25</v>
      </c>
      <c r="F1820" s="227" t="s">
        <v>3002</v>
      </c>
    </row>
    <row r="1821" spans="1:6" x14ac:dyDescent="0.25">
      <c r="A1821" s="227" t="str">
        <f>TL[[#This Row],[Société]]&amp;" - "&amp;TL[[#This Row],[Compte]]</f>
        <v>VICTOIRE - 628800</v>
      </c>
      <c r="B1821" s="233" t="s">
        <v>5109</v>
      </c>
      <c r="C1821" s="227" t="s">
        <v>5110</v>
      </c>
      <c r="F1821" s="227" t="s">
        <v>3002</v>
      </c>
    </row>
    <row r="1822" spans="1:6" x14ac:dyDescent="0.25">
      <c r="A1822" s="227" t="str">
        <f>TL[[#This Row],[Société]]&amp;" - "&amp;TL[[#This Row],[Compte]]</f>
        <v>VICTOIRE - 628820</v>
      </c>
      <c r="B1822" s="233" t="s">
        <v>5111</v>
      </c>
      <c r="C1822" s="227" t="s">
        <v>5112</v>
      </c>
      <c r="F1822" s="227" t="s">
        <v>3002</v>
      </c>
    </row>
    <row r="1823" spans="1:6" x14ac:dyDescent="0.25">
      <c r="A1823" s="227" t="str">
        <f>TL[[#This Row],[Société]]&amp;" - "&amp;TL[[#This Row],[Compte]]</f>
        <v>VICTOIRE - 629000</v>
      </c>
      <c r="B1823" s="233" t="s">
        <v>5113</v>
      </c>
      <c r="C1823" s="227" t="s">
        <v>5114</v>
      </c>
      <c r="F1823" s="227" t="s">
        <v>3002</v>
      </c>
    </row>
    <row r="1824" spans="1:6" x14ac:dyDescent="0.25">
      <c r="A1824" s="227" t="str">
        <f>TL[[#This Row],[Société]]&amp;" - "&amp;TL[[#This Row],[Compte]]</f>
        <v>VICTOIRE - 631100</v>
      </c>
      <c r="B1824" s="233" t="s">
        <v>5115</v>
      </c>
      <c r="C1824" s="227" t="s">
        <v>5116</v>
      </c>
      <c r="F1824" s="227" t="s">
        <v>3002</v>
      </c>
    </row>
    <row r="1825" spans="1:6" x14ac:dyDescent="0.25">
      <c r="A1825" s="227" t="str">
        <f>TL[[#This Row],[Société]]&amp;" - "&amp;TL[[#This Row],[Compte]]</f>
        <v>VICTOIRE - 631200</v>
      </c>
      <c r="B1825" s="233" t="s">
        <v>5117</v>
      </c>
      <c r="C1825" s="227" t="s">
        <v>2936</v>
      </c>
      <c r="D1825" s="233" t="s">
        <v>42</v>
      </c>
      <c r="E1825" s="233" t="s">
        <v>47</v>
      </c>
      <c r="F1825" s="227" t="s">
        <v>3002</v>
      </c>
    </row>
    <row r="1826" spans="1:6" x14ac:dyDescent="0.25">
      <c r="A1826" s="227" t="str">
        <f>TL[[#This Row],[Société]]&amp;" - "&amp;TL[[#This Row],[Compte]]</f>
        <v>VICTOIRE - 631300</v>
      </c>
      <c r="B1826" s="233" t="s">
        <v>5118</v>
      </c>
      <c r="C1826" s="227" t="s">
        <v>5119</v>
      </c>
      <c r="D1826" s="233" t="s">
        <v>27</v>
      </c>
      <c r="E1826" s="233" t="s">
        <v>47</v>
      </c>
      <c r="F1826" s="227" t="s">
        <v>3002</v>
      </c>
    </row>
    <row r="1827" spans="1:6" x14ac:dyDescent="0.25">
      <c r="A1827" s="227" t="str">
        <f>TL[[#This Row],[Société]]&amp;" - "&amp;TL[[#This Row],[Compte]]</f>
        <v>VICTOIRE - 631400</v>
      </c>
      <c r="B1827" s="233" t="s">
        <v>5120</v>
      </c>
      <c r="C1827" s="227" t="s">
        <v>5121</v>
      </c>
      <c r="F1827" s="227" t="s">
        <v>3002</v>
      </c>
    </row>
    <row r="1828" spans="1:6" x14ac:dyDescent="0.25">
      <c r="A1828" s="227" t="str">
        <f>TL[[#This Row],[Société]]&amp;" - "&amp;TL[[#This Row],[Compte]]</f>
        <v>VICTOIRE - 631500</v>
      </c>
      <c r="B1828" s="233" t="s">
        <v>5122</v>
      </c>
      <c r="C1828" s="227" t="s">
        <v>5123</v>
      </c>
      <c r="D1828" s="233" t="s">
        <v>42</v>
      </c>
      <c r="E1828" s="233" t="s">
        <v>47</v>
      </c>
      <c r="F1828" s="227" t="s">
        <v>3002</v>
      </c>
    </row>
    <row r="1829" spans="1:6" x14ac:dyDescent="0.25">
      <c r="A1829" s="227" t="str">
        <f>TL[[#This Row],[Société]]&amp;" - "&amp;TL[[#This Row],[Compte]]</f>
        <v>VICTOIRE - 631800</v>
      </c>
      <c r="B1829" s="233" t="s">
        <v>5124</v>
      </c>
      <c r="C1829" s="227" t="s">
        <v>5125</v>
      </c>
      <c r="F1829" s="227" t="s">
        <v>3002</v>
      </c>
    </row>
    <row r="1830" spans="1:6" x14ac:dyDescent="0.25">
      <c r="A1830" s="227" t="str">
        <f>TL[[#This Row],[Société]]&amp;" - "&amp;TL[[#This Row],[Compte]]</f>
        <v>VICTOIRE - 633100</v>
      </c>
      <c r="B1830" s="233" t="s">
        <v>5126</v>
      </c>
      <c r="C1830" s="227" t="s">
        <v>5127</v>
      </c>
      <c r="F1830" s="227" t="s">
        <v>3002</v>
      </c>
    </row>
    <row r="1831" spans="1:6" x14ac:dyDescent="0.25">
      <c r="A1831" s="227" t="str">
        <f>TL[[#This Row],[Société]]&amp;" - "&amp;TL[[#This Row],[Compte]]</f>
        <v>VICTOIRE - 633200</v>
      </c>
      <c r="B1831" s="233" t="s">
        <v>5128</v>
      </c>
      <c r="C1831" s="227" t="s">
        <v>5129</v>
      </c>
      <c r="F1831" s="227" t="s">
        <v>3002</v>
      </c>
    </row>
    <row r="1832" spans="1:6" x14ac:dyDescent="0.25">
      <c r="A1832" s="227" t="str">
        <f>TL[[#This Row],[Société]]&amp;" - "&amp;TL[[#This Row],[Compte]]</f>
        <v>VICTOIRE - 633300</v>
      </c>
      <c r="B1832" s="233" t="s">
        <v>1730</v>
      </c>
      <c r="C1832" s="227" t="s">
        <v>2257</v>
      </c>
      <c r="D1832" s="233" t="s">
        <v>42</v>
      </c>
      <c r="E1832" s="233" t="s">
        <v>47</v>
      </c>
      <c r="F1832" s="227" t="s">
        <v>3002</v>
      </c>
    </row>
    <row r="1833" spans="1:6" x14ac:dyDescent="0.25">
      <c r="A1833" s="227" t="str">
        <f>TL[[#This Row],[Société]]&amp;" - "&amp;TL[[#This Row],[Compte]]</f>
        <v>VICTOIRE - 633400</v>
      </c>
      <c r="B1833" s="233" t="s">
        <v>1976</v>
      </c>
      <c r="C1833" s="227" t="s">
        <v>243</v>
      </c>
      <c r="F1833" s="227" t="s">
        <v>3002</v>
      </c>
    </row>
    <row r="1834" spans="1:6" x14ac:dyDescent="0.25">
      <c r="A1834" s="227" t="str">
        <f>TL[[#This Row],[Société]]&amp;" - "&amp;TL[[#This Row],[Compte]]</f>
        <v>VICTOIRE - 633500</v>
      </c>
      <c r="B1834" s="233" t="s">
        <v>1729</v>
      </c>
      <c r="C1834" s="227" t="s">
        <v>2258</v>
      </c>
      <c r="F1834" s="227" t="s">
        <v>3002</v>
      </c>
    </row>
    <row r="1835" spans="1:6" x14ac:dyDescent="0.25">
      <c r="A1835" s="227" t="str">
        <f>TL[[#This Row],[Société]]&amp;" - "&amp;TL[[#This Row],[Compte]]</f>
        <v>VICTOIRE - 633800</v>
      </c>
      <c r="B1835" s="233" t="s">
        <v>5130</v>
      </c>
      <c r="C1835" s="227" t="s">
        <v>5131</v>
      </c>
      <c r="F1835" s="227" t="s">
        <v>3002</v>
      </c>
    </row>
    <row r="1836" spans="1:6" x14ac:dyDescent="0.25">
      <c r="A1836" s="227" t="str">
        <f>TL[[#This Row],[Société]]&amp;" - "&amp;TL[[#This Row],[Compte]]</f>
        <v>VICTOIRE - 634600</v>
      </c>
      <c r="B1836" s="233" t="s">
        <v>5132</v>
      </c>
      <c r="C1836" s="227" t="s">
        <v>5133</v>
      </c>
      <c r="F1836" s="227" t="s">
        <v>3002</v>
      </c>
    </row>
    <row r="1837" spans="1:6" x14ac:dyDescent="0.25">
      <c r="A1837" s="227" t="str">
        <f>TL[[#This Row],[Société]]&amp;" - "&amp;TL[[#This Row],[Compte]]</f>
        <v>VICTOIRE - 635110</v>
      </c>
      <c r="B1837" s="233" t="s">
        <v>1977</v>
      </c>
      <c r="C1837" s="227" t="s">
        <v>5134</v>
      </c>
      <c r="F1837" s="227" t="s">
        <v>3002</v>
      </c>
    </row>
    <row r="1838" spans="1:6" x14ac:dyDescent="0.25">
      <c r="A1838" s="227" t="str">
        <f>TL[[#This Row],[Société]]&amp;" - "&amp;TL[[#This Row],[Compte]]</f>
        <v>VICTOIRE - 635111</v>
      </c>
      <c r="B1838" s="233" t="s">
        <v>1786</v>
      </c>
      <c r="C1838" s="227" t="s">
        <v>1554</v>
      </c>
      <c r="D1838" s="233" t="s">
        <v>42</v>
      </c>
      <c r="E1838" s="233" t="s">
        <v>47</v>
      </c>
      <c r="F1838" s="227" t="s">
        <v>3002</v>
      </c>
    </row>
    <row r="1839" spans="1:6" x14ac:dyDescent="0.25">
      <c r="A1839" s="227" t="str">
        <f>TL[[#This Row],[Société]]&amp;" - "&amp;TL[[#This Row],[Compte]]</f>
        <v>VICTOIRE - 635112</v>
      </c>
      <c r="B1839" s="233" t="s">
        <v>1732</v>
      </c>
      <c r="C1839" s="227" t="s">
        <v>2937</v>
      </c>
      <c r="D1839" s="233" t="s">
        <v>42</v>
      </c>
      <c r="E1839" s="233" t="s">
        <v>47</v>
      </c>
      <c r="F1839" s="227" t="s">
        <v>3002</v>
      </c>
    </row>
    <row r="1840" spans="1:6" x14ac:dyDescent="0.25">
      <c r="A1840" s="227" t="str">
        <f>TL[[#This Row],[Société]]&amp;" - "&amp;TL[[#This Row],[Compte]]</f>
        <v>VICTOIRE - 635120</v>
      </c>
      <c r="B1840" s="233" t="s">
        <v>5135</v>
      </c>
      <c r="C1840" s="227" t="s">
        <v>2304</v>
      </c>
      <c r="F1840" s="227" t="s">
        <v>3002</v>
      </c>
    </row>
    <row r="1841" spans="1:6" x14ac:dyDescent="0.25">
      <c r="A1841" s="227" t="str">
        <f>TL[[#This Row],[Société]]&amp;" - "&amp;TL[[#This Row],[Compte]]</f>
        <v>VICTOIRE - 635130</v>
      </c>
      <c r="B1841" s="233" t="s">
        <v>1978</v>
      </c>
      <c r="C1841" s="227" t="s">
        <v>5136</v>
      </c>
      <c r="D1841" s="233" t="s">
        <v>42</v>
      </c>
      <c r="E1841" s="233" t="s">
        <v>47</v>
      </c>
      <c r="F1841" s="227" t="s">
        <v>3002</v>
      </c>
    </row>
    <row r="1842" spans="1:6" x14ac:dyDescent="0.25">
      <c r="A1842" s="227" t="str">
        <f>TL[[#This Row],[Société]]&amp;" - "&amp;TL[[#This Row],[Compte]]</f>
        <v>VICTOIRE - 635140</v>
      </c>
      <c r="B1842" s="233" t="s">
        <v>1979</v>
      </c>
      <c r="C1842" s="227" t="s">
        <v>2938</v>
      </c>
      <c r="D1842" s="233" t="s">
        <v>42</v>
      </c>
      <c r="E1842" s="233" t="s">
        <v>47</v>
      </c>
      <c r="F1842" s="227" t="s">
        <v>3002</v>
      </c>
    </row>
    <row r="1843" spans="1:6" x14ac:dyDescent="0.25">
      <c r="A1843" s="227" t="str">
        <f>TL[[#This Row],[Société]]&amp;" - "&amp;TL[[#This Row],[Compte]]</f>
        <v>VICTOIRE - 635200</v>
      </c>
      <c r="B1843" s="233" t="s">
        <v>5137</v>
      </c>
      <c r="C1843" s="227" t="s">
        <v>5138</v>
      </c>
      <c r="F1843" s="227" t="s">
        <v>3002</v>
      </c>
    </row>
    <row r="1844" spans="1:6" x14ac:dyDescent="0.25">
      <c r="A1844" s="227" t="str">
        <f>TL[[#This Row],[Société]]&amp;" - "&amp;TL[[#This Row],[Compte]]</f>
        <v>VICTOIRE - 635300</v>
      </c>
      <c r="B1844" s="233" t="s">
        <v>1980</v>
      </c>
      <c r="C1844" s="227" t="s">
        <v>5139</v>
      </c>
      <c r="F1844" s="227" t="s">
        <v>3002</v>
      </c>
    </row>
    <row r="1845" spans="1:6" x14ac:dyDescent="0.25">
      <c r="A1845" s="227" t="str">
        <f>TL[[#This Row],[Société]]&amp;" - "&amp;TL[[#This Row],[Compte]]</f>
        <v>VICTOIRE - 635400</v>
      </c>
      <c r="B1845" s="233" t="s">
        <v>5140</v>
      </c>
      <c r="C1845" s="227" t="s">
        <v>5141</v>
      </c>
      <c r="F1845" s="227" t="s">
        <v>3002</v>
      </c>
    </row>
    <row r="1846" spans="1:6" x14ac:dyDescent="0.25">
      <c r="A1846" s="227" t="str">
        <f>TL[[#This Row],[Société]]&amp;" - "&amp;TL[[#This Row],[Compte]]</f>
        <v>VICTOIRE - 635410</v>
      </c>
      <c r="B1846" s="233" t="s">
        <v>5142</v>
      </c>
      <c r="C1846" s="227" t="s">
        <v>5143</v>
      </c>
      <c r="F1846" s="227" t="s">
        <v>3002</v>
      </c>
    </row>
    <row r="1847" spans="1:6" x14ac:dyDescent="0.25">
      <c r="A1847" s="227" t="str">
        <f>TL[[#This Row],[Société]]&amp;" - "&amp;TL[[#This Row],[Compte]]</f>
        <v>VICTOIRE - 635420</v>
      </c>
      <c r="B1847" s="233" t="s">
        <v>5144</v>
      </c>
      <c r="C1847" s="227" t="s">
        <v>5145</v>
      </c>
      <c r="F1847" s="227" t="s">
        <v>3002</v>
      </c>
    </row>
    <row r="1848" spans="1:6" x14ac:dyDescent="0.25">
      <c r="A1848" s="227" t="str">
        <f>TL[[#This Row],[Société]]&amp;" - "&amp;TL[[#This Row],[Compte]]</f>
        <v>VICTOIRE - 635430</v>
      </c>
      <c r="B1848" s="233" t="s">
        <v>5146</v>
      </c>
      <c r="C1848" s="227" t="s">
        <v>767</v>
      </c>
      <c r="F1848" s="227" t="s">
        <v>3002</v>
      </c>
    </row>
    <row r="1849" spans="1:6" x14ac:dyDescent="0.25">
      <c r="A1849" s="227" t="str">
        <f>TL[[#This Row],[Société]]&amp;" - "&amp;TL[[#This Row],[Compte]]</f>
        <v>VICTOIRE - 635500</v>
      </c>
      <c r="B1849" s="233" t="s">
        <v>1981</v>
      </c>
      <c r="C1849" s="227" t="s">
        <v>2837</v>
      </c>
      <c r="D1849" s="233" t="s">
        <v>71</v>
      </c>
      <c r="E1849" s="233" t="s">
        <v>7</v>
      </c>
      <c r="F1849" s="227" t="s">
        <v>3002</v>
      </c>
    </row>
    <row r="1850" spans="1:6" x14ac:dyDescent="0.25">
      <c r="A1850" s="227" t="str">
        <f>TL[[#This Row],[Société]]&amp;" - "&amp;TL[[#This Row],[Compte]]</f>
        <v>VICTOIRE - 635600</v>
      </c>
      <c r="B1850" s="233" t="s">
        <v>5147</v>
      </c>
      <c r="C1850" s="227" t="s">
        <v>5148</v>
      </c>
      <c r="D1850" s="233" t="s">
        <v>42</v>
      </c>
      <c r="E1850" s="233" t="s">
        <v>47</v>
      </c>
      <c r="F1850" s="227" t="s">
        <v>3002</v>
      </c>
    </row>
    <row r="1851" spans="1:6" x14ac:dyDescent="0.25">
      <c r="A1851" s="227" t="str">
        <f>TL[[#This Row],[Société]]&amp;" - "&amp;TL[[#This Row],[Compte]]</f>
        <v>VICTOIRE - 635800</v>
      </c>
      <c r="B1851" s="233" t="s">
        <v>1986</v>
      </c>
      <c r="C1851" s="227" t="s">
        <v>320</v>
      </c>
      <c r="F1851" s="227" t="s">
        <v>3002</v>
      </c>
    </row>
    <row r="1852" spans="1:6" x14ac:dyDescent="0.25">
      <c r="A1852" s="227" t="str">
        <f>TL[[#This Row],[Société]]&amp;" - "&amp;TL[[#This Row],[Compte]]</f>
        <v>VICTOIRE - 637100</v>
      </c>
      <c r="B1852" s="233" t="s">
        <v>1988</v>
      </c>
      <c r="C1852" s="227" t="s">
        <v>1042</v>
      </c>
      <c r="F1852" s="227" t="s">
        <v>3002</v>
      </c>
    </row>
    <row r="1853" spans="1:6" x14ac:dyDescent="0.25">
      <c r="A1853" s="227" t="str">
        <f>TL[[#This Row],[Société]]&amp;" - "&amp;TL[[#This Row],[Compte]]</f>
        <v>VICTOIRE - 637200</v>
      </c>
      <c r="B1853" s="233" t="s">
        <v>5149</v>
      </c>
      <c r="C1853" s="227" t="s">
        <v>5150</v>
      </c>
      <c r="F1853" s="227" t="s">
        <v>3002</v>
      </c>
    </row>
    <row r="1854" spans="1:6" x14ac:dyDescent="0.25">
      <c r="A1854" s="227" t="str">
        <f>TL[[#This Row],[Société]]&amp;" - "&amp;TL[[#This Row],[Compte]]</f>
        <v>VICTOIRE - 637300</v>
      </c>
      <c r="B1854" s="233" t="s">
        <v>1777</v>
      </c>
      <c r="C1854" s="227" t="s">
        <v>5151</v>
      </c>
      <c r="F1854" s="227" t="s">
        <v>3002</v>
      </c>
    </row>
    <row r="1855" spans="1:6" x14ac:dyDescent="0.25">
      <c r="A1855" s="227" t="str">
        <f>TL[[#This Row],[Société]]&amp;" - "&amp;TL[[#This Row],[Compte]]</f>
        <v>VICTOIRE - 637400</v>
      </c>
      <c r="B1855" s="233" t="s">
        <v>2515</v>
      </c>
      <c r="C1855" s="227" t="s">
        <v>5152</v>
      </c>
      <c r="F1855" s="227" t="s">
        <v>3002</v>
      </c>
    </row>
    <row r="1856" spans="1:6" x14ac:dyDescent="0.25">
      <c r="A1856" s="227" t="str">
        <f>TL[[#This Row],[Société]]&amp;" - "&amp;TL[[#This Row],[Compte]]</f>
        <v>VICTOIRE - 637800</v>
      </c>
      <c r="B1856" s="233" t="s">
        <v>1989</v>
      </c>
      <c r="C1856" s="227" t="s">
        <v>773</v>
      </c>
      <c r="F1856" s="227" t="s">
        <v>3002</v>
      </c>
    </row>
    <row r="1857" spans="1:6" x14ac:dyDescent="0.25">
      <c r="A1857" s="227" t="str">
        <f>TL[[#This Row],[Société]]&amp;" - "&amp;TL[[#This Row],[Compte]]</f>
        <v>VICTOIRE - 641010</v>
      </c>
      <c r="B1857" s="233" t="s">
        <v>5153</v>
      </c>
      <c r="C1857" s="227" t="s">
        <v>5154</v>
      </c>
      <c r="D1857" s="233" t="s">
        <v>13</v>
      </c>
      <c r="E1857" s="233" t="s">
        <v>12</v>
      </c>
      <c r="F1857" s="227" t="s">
        <v>3002</v>
      </c>
    </row>
    <row r="1858" spans="1:6" x14ac:dyDescent="0.25">
      <c r="A1858" s="227" t="str">
        <f>TL[[#This Row],[Société]]&amp;" - "&amp;TL[[#This Row],[Compte]]</f>
        <v>VICTOIRE - 641020</v>
      </c>
      <c r="B1858" s="233" t="s">
        <v>2530</v>
      </c>
      <c r="C1858" s="227" t="s">
        <v>2843</v>
      </c>
      <c r="D1858" s="233" t="s">
        <v>12</v>
      </c>
      <c r="E1858" s="233" t="s">
        <v>3</v>
      </c>
      <c r="F1858" s="227" t="s">
        <v>3002</v>
      </c>
    </row>
    <row r="1859" spans="1:6" x14ac:dyDescent="0.25">
      <c r="A1859" s="227" t="str">
        <f>TL[[#This Row],[Société]]&amp;" - "&amp;TL[[#This Row],[Compte]]</f>
        <v>VICTOIRE - 641030</v>
      </c>
      <c r="B1859" s="233" t="s">
        <v>2520</v>
      </c>
      <c r="C1859" s="227" t="s">
        <v>2856</v>
      </c>
      <c r="D1859" s="233" t="s">
        <v>13</v>
      </c>
      <c r="E1859" s="233" t="s">
        <v>12</v>
      </c>
      <c r="F1859" s="227" t="s">
        <v>3002</v>
      </c>
    </row>
    <row r="1860" spans="1:6" x14ac:dyDescent="0.25">
      <c r="A1860" s="227" t="str">
        <f>TL[[#This Row],[Société]]&amp;" - "&amp;TL[[#This Row],[Compte]]</f>
        <v>VICTOIRE - 641050</v>
      </c>
      <c r="B1860" s="233" t="s">
        <v>5155</v>
      </c>
      <c r="C1860" s="227" t="s">
        <v>5156</v>
      </c>
      <c r="D1860" s="233" t="s">
        <v>147</v>
      </c>
      <c r="E1860" s="233" t="s">
        <v>288</v>
      </c>
      <c r="F1860" s="227" t="s">
        <v>3002</v>
      </c>
    </row>
    <row r="1861" spans="1:6" x14ac:dyDescent="0.25">
      <c r="A1861" s="227" t="str">
        <f>TL[[#This Row],[Société]]&amp;" - "&amp;TL[[#This Row],[Compte]]</f>
        <v>VICTOIRE - 641100</v>
      </c>
      <c r="B1861" s="233" t="s">
        <v>5157</v>
      </c>
      <c r="C1861" s="227" t="s">
        <v>5158</v>
      </c>
      <c r="F1861" s="227" t="s">
        <v>3002</v>
      </c>
    </row>
    <row r="1862" spans="1:6" x14ac:dyDescent="0.25">
      <c r="A1862" s="227" t="str">
        <f>TL[[#This Row],[Société]]&amp;" - "&amp;TL[[#This Row],[Compte]]</f>
        <v>VICTOIRE - 641150</v>
      </c>
      <c r="B1862" s="233" t="s">
        <v>5159</v>
      </c>
      <c r="C1862" s="227" t="s">
        <v>5160</v>
      </c>
      <c r="F1862" s="227" t="s">
        <v>3002</v>
      </c>
    </row>
    <row r="1863" spans="1:6" x14ac:dyDescent="0.25">
      <c r="A1863" s="227" t="str">
        <f>TL[[#This Row],[Société]]&amp;" - "&amp;TL[[#This Row],[Compte]]</f>
        <v>VICTOIRE - 641200</v>
      </c>
      <c r="B1863" s="233" t="s">
        <v>1773</v>
      </c>
      <c r="C1863" s="227" t="s">
        <v>5161</v>
      </c>
      <c r="F1863" s="227" t="s">
        <v>3002</v>
      </c>
    </row>
    <row r="1864" spans="1:6" x14ac:dyDescent="0.25">
      <c r="A1864" s="227" t="str">
        <f>TL[[#This Row],[Société]]&amp;" - "&amp;TL[[#This Row],[Compte]]</f>
        <v>VICTOIRE - 641202</v>
      </c>
      <c r="B1864" s="233" t="s">
        <v>5162</v>
      </c>
      <c r="C1864" s="227" t="s">
        <v>5163</v>
      </c>
      <c r="D1864" s="233" t="s">
        <v>12</v>
      </c>
      <c r="E1864" s="233" t="s">
        <v>3</v>
      </c>
      <c r="F1864" s="227" t="s">
        <v>3002</v>
      </c>
    </row>
    <row r="1865" spans="1:6" x14ac:dyDescent="0.25">
      <c r="A1865" s="227" t="str">
        <f>TL[[#This Row],[Société]]&amp;" - "&amp;TL[[#This Row],[Compte]]</f>
        <v>VICTOIRE - 641203</v>
      </c>
      <c r="B1865" s="233" t="s">
        <v>5164</v>
      </c>
      <c r="C1865" s="227" t="s">
        <v>5165</v>
      </c>
      <c r="D1865" s="233" t="s">
        <v>13</v>
      </c>
      <c r="E1865" s="233" t="s">
        <v>12</v>
      </c>
      <c r="F1865" s="227" t="s">
        <v>3002</v>
      </c>
    </row>
    <row r="1866" spans="1:6" x14ac:dyDescent="0.25">
      <c r="A1866" s="227" t="str">
        <f>TL[[#This Row],[Société]]&amp;" - "&amp;TL[[#This Row],[Compte]]</f>
        <v>VICTOIRE - 641220</v>
      </c>
      <c r="B1866" s="233" t="s">
        <v>1783</v>
      </c>
      <c r="C1866" s="227" t="s">
        <v>2844</v>
      </c>
      <c r="D1866" s="233" t="s">
        <v>12</v>
      </c>
      <c r="E1866" s="233" t="s">
        <v>3</v>
      </c>
      <c r="F1866" s="227" t="s">
        <v>3002</v>
      </c>
    </row>
    <row r="1867" spans="1:6" x14ac:dyDescent="0.25">
      <c r="A1867" s="227" t="str">
        <f>TL[[#This Row],[Société]]&amp;" - "&amp;TL[[#This Row],[Compte]]</f>
        <v>VICTOIRE - 641230</v>
      </c>
      <c r="B1867" s="233" t="s">
        <v>1996</v>
      </c>
      <c r="C1867" s="227" t="s">
        <v>2857</v>
      </c>
      <c r="D1867" s="233" t="s">
        <v>13</v>
      </c>
      <c r="E1867" s="233" t="s">
        <v>12</v>
      </c>
      <c r="F1867" s="227" t="s">
        <v>3002</v>
      </c>
    </row>
    <row r="1868" spans="1:6" x14ac:dyDescent="0.25">
      <c r="A1868" s="227" t="str">
        <f>TL[[#This Row],[Société]]&amp;" - "&amp;TL[[#This Row],[Compte]]</f>
        <v>VICTOIRE - 641300</v>
      </c>
      <c r="B1868" s="233" t="s">
        <v>1997</v>
      </c>
      <c r="C1868" s="227" t="s">
        <v>615</v>
      </c>
      <c r="F1868" s="227" t="s">
        <v>3002</v>
      </c>
    </row>
    <row r="1869" spans="1:6" x14ac:dyDescent="0.25">
      <c r="A1869" s="227" t="str">
        <f>TL[[#This Row],[Société]]&amp;" - "&amp;TL[[#This Row],[Compte]]</f>
        <v>VICTOIRE - 641302</v>
      </c>
      <c r="B1869" s="233" t="s">
        <v>5166</v>
      </c>
      <c r="C1869" s="227" t="s">
        <v>5167</v>
      </c>
      <c r="D1869" s="233" t="s">
        <v>12</v>
      </c>
      <c r="E1869" s="233" t="s">
        <v>3</v>
      </c>
      <c r="F1869" s="227" t="s">
        <v>3002</v>
      </c>
    </row>
    <row r="1870" spans="1:6" x14ac:dyDescent="0.25">
      <c r="A1870" s="227" t="str">
        <f>TL[[#This Row],[Société]]&amp;" - "&amp;TL[[#This Row],[Compte]]</f>
        <v>VICTOIRE - 641303</v>
      </c>
      <c r="B1870" s="233" t="s">
        <v>5168</v>
      </c>
      <c r="C1870" s="227" t="s">
        <v>5169</v>
      </c>
      <c r="D1870" s="233" t="s">
        <v>13</v>
      </c>
      <c r="E1870" s="233" t="s">
        <v>12</v>
      </c>
      <c r="F1870" s="227" t="s">
        <v>3002</v>
      </c>
    </row>
    <row r="1871" spans="1:6" x14ac:dyDescent="0.25">
      <c r="A1871" s="227" t="str">
        <f>TL[[#This Row],[Société]]&amp;" - "&amp;TL[[#This Row],[Compte]]</f>
        <v>VICTOIRE - 641320</v>
      </c>
      <c r="B1871" s="233" t="s">
        <v>3295</v>
      </c>
      <c r="C1871" s="227" t="s">
        <v>4453</v>
      </c>
      <c r="F1871" s="227" t="s">
        <v>3002</v>
      </c>
    </row>
    <row r="1872" spans="1:6" x14ac:dyDescent="0.25">
      <c r="A1872" s="227" t="str">
        <f>TL[[#This Row],[Société]]&amp;" - "&amp;TL[[#This Row],[Compte]]</f>
        <v>VICTOIRE - 641400</v>
      </c>
      <c r="B1872" s="233" t="s">
        <v>3299</v>
      </c>
      <c r="C1872" s="227" t="s">
        <v>5170</v>
      </c>
      <c r="F1872" s="227" t="s">
        <v>3002</v>
      </c>
    </row>
    <row r="1873" spans="1:6" x14ac:dyDescent="0.25">
      <c r="A1873" s="227" t="str">
        <f>TL[[#This Row],[Société]]&amp;" - "&amp;TL[[#This Row],[Compte]]</f>
        <v>VICTOIRE - 641402</v>
      </c>
      <c r="B1873" s="233" t="s">
        <v>1999</v>
      </c>
      <c r="C1873" s="227" t="s">
        <v>2845</v>
      </c>
      <c r="D1873" s="233" t="s">
        <v>12</v>
      </c>
      <c r="E1873" s="233" t="s">
        <v>3</v>
      </c>
      <c r="F1873" s="227" t="s">
        <v>3002</v>
      </c>
    </row>
    <row r="1874" spans="1:6" x14ac:dyDescent="0.25">
      <c r="A1874" s="227" t="str">
        <f>TL[[#This Row],[Société]]&amp;" - "&amp;TL[[#This Row],[Compte]]</f>
        <v>VICTOIRE - 641403</v>
      </c>
      <c r="B1874" s="233" t="s">
        <v>2000</v>
      </c>
      <c r="C1874" s="227" t="s">
        <v>2858</v>
      </c>
      <c r="D1874" s="233" t="s">
        <v>13</v>
      </c>
      <c r="E1874" s="233" t="s">
        <v>12</v>
      </c>
      <c r="F1874" s="227" t="s">
        <v>3002</v>
      </c>
    </row>
    <row r="1875" spans="1:6" x14ac:dyDescent="0.25">
      <c r="A1875" s="227" t="str">
        <f>TL[[#This Row],[Société]]&amp;" - "&amp;TL[[#This Row],[Compte]]</f>
        <v>VICTOIRE - 641410</v>
      </c>
      <c r="B1875" s="233" t="s">
        <v>2522</v>
      </c>
      <c r="C1875" s="227" t="s">
        <v>5171</v>
      </c>
      <c r="D1875" s="233" t="s">
        <v>13</v>
      </c>
      <c r="E1875" s="233" t="s">
        <v>16</v>
      </c>
      <c r="F1875" s="227" t="s">
        <v>3002</v>
      </c>
    </row>
    <row r="1876" spans="1:6" x14ac:dyDescent="0.25">
      <c r="A1876" s="227" t="str">
        <f>TL[[#This Row],[Société]]&amp;" - "&amp;TL[[#This Row],[Compte]]</f>
        <v>VICTOIRE - 641411</v>
      </c>
      <c r="B1876" s="233" t="s">
        <v>1751</v>
      </c>
      <c r="C1876" s="227" t="s">
        <v>5172</v>
      </c>
      <c r="D1876" s="233" t="s">
        <v>12</v>
      </c>
      <c r="E1876" s="233" t="s">
        <v>3</v>
      </c>
      <c r="F1876" s="227" t="s">
        <v>3002</v>
      </c>
    </row>
    <row r="1877" spans="1:6" x14ac:dyDescent="0.25">
      <c r="A1877" s="227" t="str">
        <f>TL[[#This Row],[Société]]&amp;" - "&amp;TL[[#This Row],[Compte]]</f>
        <v>VICTOIRE - 641412</v>
      </c>
      <c r="B1877" s="233" t="s">
        <v>3301</v>
      </c>
      <c r="C1877" s="227" t="s">
        <v>5173</v>
      </c>
      <c r="D1877" s="233" t="s">
        <v>13</v>
      </c>
      <c r="E1877" s="233" t="s">
        <v>12</v>
      </c>
      <c r="F1877" s="227" t="s">
        <v>3002</v>
      </c>
    </row>
    <row r="1878" spans="1:6" x14ac:dyDescent="0.25">
      <c r="A1878" s="227" t="str">
        <f>TL[[#This Row],[Société]]&amp;" - "&amp;TL[[#This Row],[Compte]]</f>
        <v>VICTOIRE - 641413</v>
      </c>
      <c r="B1878" s="233" t="s">
        <v>5174</v>
      </c>
      <c r="C1878" s="227" t="s">
        <v>2859</v>
      </c>
      <c r="D1878" s="233" t="s">
        <v>13</v>
      </c>
      <c r="E1878" s="233" t="s">
        <v>12</v>
      </c>
      <c r="F1878" s="227" t="s">
        <v>3002</v>
      </c>
    </row>
    <row r="1879" spans="1:6" x14ac:dyDescent="0.25">
      <c r="A1879" s="227" t="str">
        <f>TL[[#This Row],[Société]]&amp;" - "&amp;TL[[#This Row],[Compte]]</f>
        <v>VICTOIRE - 641430</v>
      </c>
      <c r="B1879" s="233" t="s">
        <v>3303</v>
      </c>
      <c r="C1879" s="227" t="s">
        <v>5175</v>
      </c>
      <c r="D1879" s="233" t="s">
        <v>13</v>
      </c>
      <c r="E1879" s="233" t="s">
        <v>12</v>
      </c>
      <c r="F1879" s="227" t="s">
        <v>3002</v>
      </c>
    </row>
    <row r="1880" spans="1:6" x14ac:dyDescent="0.25">
      <c r="A1880" s="227" t="str">
        <f>TL[[#This Row],[Société]]&amp;" - "&amp;TL[[#This Row],[Compte]]</f>
        <v>VICTOIRE - 641450</v>
      </c>
      <c r="B1880" s="233" t="s">
        <v>5176</v>
      </c>
      <c r="C1880" s="227" t="s">
        <v>5177</v>
      </c>
      <c r="D1880" s="233" t="s">
        <v>13</v>
      </c>
      <c r="E1880" s="233" t="s">
        <v>12</v>
      </c>
      <c r="F1880" s="227" t="s">
        <v>3002</v>
      </c>
    </row>
    <row r="1881" spans="1:6" x14ac:dyDescent="0.25">
      <c r="A1881" s="227" t="str">
        <f>TL[[#This Row],[Société]]&amp;" - "&amp;TL[[#This Row],[Compte]]</f>
        <v>VICTOIRE - 641500</v>
      </c>
      <c r="B1881" s="233" t="s">
        <v>5178</v>
      </c>
      <c r="C1881" s="227" t="s">
        <v>5179</v>
      </c>
      <c r="F1881" s="227" t="s">
        <v>3002</v>
      </c>
    </row>
    <row r="1882" spans="1:6" x14ac:dyDescent="0.25">
      <c r="A1882" s="227" t="str">
        <f>TL[[#This Row],[Société]]&amp;" - "&amp;TL[[#This Row],[Compte]]</f>
        <v>VICTOIRE - 641520</v>
      </c>
      <c r="B1882" s="233" t="s">
        <v>5180</v>
      </c>
      <c r="C1882" s="227" t="s">
        <v>5181</v>
      </c>
      <c r="D1882" s="233" t="s">
        <v>13</v>
      </c>
      <c r="E1882" s="233" t="s">
        <v>12</v>
      </c>
      <c r="F1882" s="227" t="s">
        <v>3002</v>
      </c>
    </row>
    <row r="1883" spans="1:6" x14ac:dyDescent="0.25">
      <c r="A1883" s="227" t="str">
        <f>TL[[#This Row],[Société]]&amp;" - "&amp;TL[[#This Row],[Compte]]</f>
        <v>VICTOIRE - 641700</v>
      </c>
      <c r="B1883" s="233" t="s">
        <v>5182</v>
      </c>
      <c r="C1883" s="227" t="s">
        <v>5183</v>
      </c>
      <c r="F1883" s="227" t="s">
        <v>3002</v>
      </c>
    </row>
    <row r="1884" spans="1:6" x14ac:dyDescent="0.25">
      <c r="A1884" s="227" t="str">
        <f>TL[[#This Row],[Société]]&amp;" - "&amp;TL[[#This Row],[Compte]]</f>
        <v>VICTOIRE - 641800</v>
      </c>
      <c r="B1884" s="233" t="s">
        <v>5184</v>
      </c>
      <c r="C1884" s="227" t="s">
        <v>5185</v>
      </c>
      <c r="F1884" s="227" t="s">
        <v>3002</v>
      </c>
    </row>
    <row r="1885" spans="1:6" x14ac:dyDescent="0.25">
      <c r="A1885" s="227" t="str">
        <f>TL[[#This Row],[Société]]&amp;" - "&amp;TL[[#This Row],[Compte]]</f>
        <v>VICTOIRE - 641850</v>
      </c>
      <c r="B1885" s="233" t="s">
        <v>5186</v>
      </c>
      <c r="C1885" s="227" t="s">
        <v>4402</v>
      </c>
      <c r="D1885" s="240" t="s">
        <v>12</v>
      </c>
      <c r="E1885" s="240" t="s">
        <v>71</v>
      </c>
      <c r="F1885" s="227" t="s">
        <v>3002</v>
      </c>
    </row>
    <row r="1886" spans="1:6" x14ac:dyDescent="0.25">
      <c r="A1886" s="227" t="str">
        <f>TL[[#This Row],[Société]]&amp;" - "&amp;TL[[#This Row],[Compte]]</f>
        <v>VICTOIRE - 641912</v>
      </c>
      <c r="B1886" s="233" t="s">
        <v>5187</v>
      </c>
      <c r="C1886" s="227" t="s">
        <v>5188</v>
      </c>
      <c r="D1886" s="233" t="s">
        <v>50</v>
      </c>
      <c r="E1886" s="233" t="s">
        <v>15</v>
      </c>
      <c r="F1886" s="227" t="s">
        <v>3002</v>
      </c>
    </row>
    <row r="1887" spans="1:6" x14ac:dyDescent="0.25">
      <c r="A1887" s="227" t="str">
        <f>TL[[#This Row],[Société]]&amp;" - "&amp;TL[[#This Row],[Compte]]</f>
        <v>VICTOIRE - 644000</v>
      </c>
      <c r="B1887" s="233" t="s">
        <v>5189</v>
      </c>
      <c r="C1887" s="227" t="s">
        <v>5190</v>
      </c>
      <c r="F1887" s="227" t="s">
        <v>3002</v>
      </c>
    </row>
    <row r="1888" spans="1:6" x14ac:dyDescent="0.25">
      <c r="A1888" s="227" t="str">
        <f>TL[[#This Row],[Société]]&amp;" - "&amp;TL[[#This Row],[Compte]]</f>
        <v>VICTOIRE - 645100</v>
      </c>
      <c r="B1888" s="233" t="s">
        <v>5191</v>
      </c>
      <c r="C1888" s="227" t="s">
        <v>5192</v>
      </c>
      <c r="F1888" s="227" t="s">
        <v>3002</v>
      </c>
    </row>
    <row r="1889" spans="1:6" x14ac:dyDescent="0.25">
      <c r="A1889" s="227" t="str">
        <f>TL[[#This Row],[Société]]&amp;" - "&amp;TL[[#This Row],[Compte]]</f>
        <v>VICTOIRE - 645101</v>
      </c>
      <c r="B1889" s="233" t="s">
        <v>1755</v>
      </c>
      <c r="C1889" s="227" t="s">
        <v>5193</v>
      </c>
      <c r="D1889" s="233" t="s">
        <v>15</v>
      </c>
      <c r="E1889" s="233" t="s">
        <v>13</v>
      </c>
      <c r="F1889" s="227" t="s">
        <v>3002</v>
      </c>
    </row>
    <row r="1890" spans="1:6" x14ac:dyDescent="0.25">
      <c r="A1890" s="227" t="str">
        <f>TL[[#This Row],[Société]]&amp;" - "&amp;TL[[#This Row],[Compte]]</f>
        <v>VICTOIRE - 645102</v>
      </c>
      <c r="B1890" s="233" t="s">
        <v>2002</v>
      </c>
      <c r="C1890" s="227" t="s">
        <v>2849</v>
      </c>
      <c r="D1890" s="233" t="s">
        <v>12</v>
      </c>
      <c r="E1890" s="233" t="s">
        <v>71</v>
      </c>
      <c r="F1890" s="227" t="s">
        <v>3002</v>
      </c>
    </row>
    <row r="1891" spans="1:6" x14ac:dyDescent="0.25">
      <c r="A1891" s="227" t="str">
        <f>TL[[#This Row],[Société]]&amp;" - "&amp;TL[[#This Row],[Compte]]</f>
        <v>VICTOIRE - 645103</v>
      </c>
      <c r="B1891" s="233" t="s">
        <v>5194</v>
      </c>
      <c r="C1891" s="227" t="s">
        <v>2863</v>
      </c>
      <c r="D1891" s="233" t="s">
        <v>15</v>
      </c>
      <c r="E1891" s="233" t="s">
        <v>13</v>
      </c>
      <c r="F1891" s="227" t="s">
        <v>3002</v>
      </c>
    </row>
    <row r="1892" spans="1:6" x14ac:dyDescent="0.25">
      <c r="A1892" s="227" t="str">
        <f>TL[[#This Row],[Société]]&amp;" - "&amp;TL[[#This Row],[Compte]]</f>
        <v>VICTOIRE - 645200</v>
      </c>
      <c r="B1892" s="233" t="s">
        <v>5195</v>
      </c>
      <c r="C1892" s="227" t="s">
        <v>5196</v>
      </c>
      <c r="F1892" s="227" t="s">
        <v>3002</v>
      </c>
    </row>
    <row r="1893" spans="1:6" x14ac:dyDescent="0.25">
      <c r="A1893" s="227" t="str">
        <f>TL[[#This Row],[Société]]&amp;" - "&amp;TL[[#This Row],[Compte]]</f>
        <v>VICTOIRE - 645202</v>
      </c>
      <c r="B1893" s="233" t="s">
        <v>5197</v>
      </c>
      <c r="C1893" s="227" t="s">
        <v>2850</v>
      </c>
      <c r="D1893" s="233" t="s">
        <v>12</v>
      </c>
      <c r="E1893" s="233" t="s">
        <v>71</v>
      </c>
      <c r="F1893" s="227" t="s">
        <v>3002</v>
      </c>
    </row>
    <row r="1894" spans="1:6" x14ac:dyDescent="0.25">
      <c r="A1894" s="227" t="str">
        <f>TL[[#This Row],[Société]]&amp;" - "&amp;TL[[#This Row],[Compte]]</f>
        <v>VICTOIRE - 645203</v>
      </c>
      <c r="B1894" s="233" t="s">
        <v>5198</v>
      </c>
      <c r="C1894" s="227" t="s">
        <v>2864</v>
      </c>
      <c r="D1894" s="233" t="s">
        <v>15</v>
      </c>
      <c r="E1894" s="233" t="s">
        <v>13</v>
      </c>
      <c r="F1894" s="227" t="s">
        <v>3002</v>
      </c>
    </row>
    <row r="1895" spans="1:6" x14ac:dyDescent="0.25">
      <c r="A1895" s="227" t="str">
        <f>TL[[#This Row],[Société]]&amp;" - "&amp;TL[[#This Row],[Compte]]</f>
        <v>VICTOIRE - 645220</v>
      </c>
      <c r="B1895" s="233" t="s">
        <v>5199</v>
      </c>
      <c r="C1895" s="227" t="s">
        <v>5177</v>
      </c>
      <c r="D1895" s="233" t="s">
        <v>15</v>
      </c>
      <c r="E1895" s="233" t="s">
        <v>13</v>
      </c>
      <c r="F1895" s="227" t="s">
        <v>3002</v>
      </c>
    </row>
    <row r="1896" spans="1:6" x14ac:dyDescent="0.25">
      <c r="A1896" s="227" t="str">
        <f>TL[[#This Row],[Société]]&amp;" - "&amp;TL[[#This Row],[Compte]]</f>
        <v>VICTOIRE - 645300</v>
      </c>
      <c r="B1896" s="233" t="s">
        <v>5200</v>
      </c>
      <c r="C1896" s="227" t="s">
        <v>5201</v>
      </c>
      <c r="F1896" s="227" t="s">
        <v>3002</v>
      </c>
    </row>
    <row r="1897" spans="1:6" x14ac:dyDescent="0.25">
      <c r="A1897" s="227" t="str">
        <f>TL[[#This Row],[Société]]&amp;" - "&amp;TL[[#This Row],[Compte]]</f>
        <v>VICTOIRE - 645301</v>
      </c>
      <c r="B1897" s="233" t="s">
        <v>1757</v>
      </c>
      <c r="C1897" s="227" t="s">
        <v>5202</v>
      </c>
      <c r="D1897" s="233" t="s">
        <v>15</v>
      </c>
      <c r="E1897" s="233" t="s">
        <v>13</v>
      </c>
      <c r="F1897" s="227" t="s">
        <v>3002</v>
      </c>
    </row>
    <row r="1898" spans="1:6" x14ac:dyDescent="0.25">
      <c r="A1898" s="227" t="str">
        <f>TL[[#This Row],[Société]]&amp;" - "&amp;TL[[#This Row],[Compte]]</f>
        <v>VICTOIRE - 645302</v>
      </c>
      <c r="B1898" s="233" t="s">
        <v>2005</v>
      </c>
      <c r="C1898" s="227" t="s">
        <v>2851</v>
      </c>
      <c r="D1898" s="233" t="s">
        <v>12</v>
      </c>
      <c r="E1898" s="233" t="s">
        <v>71</v>
      </c>
      <c r="F1898" s="227" t="s">
        <v>3002</v>
      </c>
    </row>
    <row r="1899" spans="1:6" x14ac:dyDescent="0.25">
      <c r="A1899" s="227" t="str">
        <f>TL[[#This Row],[Société]]&amp;" - "&amp;TL[[#This Row],[Compte]]</f>
        <v>VICTOIRE - 645303</v>
      </c>
      <c r="B1899" s="233" t="s">
        <v>5203</v>
      </c>
      <c r="C1899" s="227" t="s">
        <v>2865</v>
      </c>
      <c r="D1899" s="233" t="s">
        <v>15</v>
      </c>
      <c r="E1899" s="233" t="s">
        <v>13</v>
      </c>
      <c r="F1899" s="227" t="s">
        <v>3002</v>
      </c>
    </row>
    <row r="1900" spans="1:6" x14ac:dyDescent="0.25">
      <c r="A1900" s="227" t="str">
        <f>TL[[#This Row],[Société]]&amp;" - "&amp;TL[[#This Row],[Compte]]</f>
        <v>VICTOIRE - 645310</v>
      </c>
      <c r="B1900" s="233" t="s">
        <v>5204</v>
      </c>
      <c r="C1900" s="227" t="s">
        <v>5205</v>
      </c>
      <c r="F1900" s="227" t="s">
        <v>3002</v>
      </c>
    </row>
    <row r="1901" spans="1:6" x14ac:dyDescent="0.25">
      <c r="A1901" s="227" t="str">
        <f>TL[[#This Row],[Société]]&amp;" - "&amp;TL[[#This Row],[Compte]]</f>
        <v>VICTOIRE - 645311</v>
      </c>
      <c r="B1901" s="233" t="s">
        <v>5206</v>
      </c>
      <c r="C1901" s="227" t="s">
        <v>5207</v>
      </c>
      <c r="D1901" s="233" t="s">
        <v>15</v>
      </c>
      <c r="E1901" s="233" t="s">
        <v>13</v>
      </c>
      <c r="F1901" s="227" t="s">
        <v>3002</v>
      </c>
    </row>
    <row r="1902" spans="1:6" x14ac:dyDescent="0.25">
      <c r="A1902" s="227" t="str">
        <f>TL[[#This Row],[Société]]&amp;" - "&amp;TL[[#This Row],[Compte]]</f>
        <v>VICTOIRE - 645312</v>
      </c>
      <c r="B1902" s="233" t="s">
        <v>5208</v>
      </c>
      <c r="C1902" s="227" t="s">
        <v>2852</v>
      </c>
      <c r="D1902" s="233" t="s">
        <v>12</v>
      </c>
      <c r="E1902" s="233" t="s">
        <v>71</v>
      </c>
      <c r="F1902" s="227" t="s">
        <v>3002</v>
      </c>
    </row>
    <row r="1903" spans="1:6" x14ac:dyDescent="0.25">
      <c r="A1903" s="227" t="str">
        <f>TL[[#This Row],[Société]]&amp;" - "&amp;TL[[#This Row],[Compte]]</f>
        <v>VICTOIRE - 645313</v>
      </c>
      <c r="B1903" s="233" t="s">
        <v>5209</v>
      </c>
      <c r="C1903" s="227" t="s">
        <v>2866</v>
      </c>
      <c r="D1903" s="233" t="s">
        <v>15</v>
      </c>
      <c r="E1903" s="233" t="s">
        <v>13</v>
      </c>
      <c r="F1903" s="227" t="s">
        <v>3002</v>
      </c>
    </row>
    <row r="1904" spans="1:6" x14ac:dyDescent="0.25">
      <c r="A1904" s="227" t="str">
        <f>TL[[#This Row],[Société]]&amp;" - "&amp;TL[[#This Row],[Compte]]</f>
        <v>VICTOIRE - 645320</v>
      </c>
      <c r="B1904" s="233" t="s">
        <v>2535</v>
      </c>
      <c r="C1904" s="227" t="s">
        <v>5210</v>
      </c>
      <c r="F1904" s="227" t="s">
        <v>3002</v>
      </c>
    </row>
    <row r="1905" spans="1:6" x14ac:dyDescent="0.25">
      <c r="A1905" s="227" t="str">
        <f>TL[[#This Row],[Société]]&amp;" - "&amp;TL[[#This Row],[Compte]]</f>
        <v>VICTOIRE - 645330</v>
      </c>
      <c r="B1905" s="233" t="s">
        <v>2525</v>
      </c>
      <c r="C1905" s="227" t="s">
        <v>5211</v>
      </c>
      <c r="F1905" s="227" t="s">
        <v>3002</v>
      </c>
    </row>
    <row r="1906" spans="1:6" x14ac:dyDescent="0.25">
      <c r="A1906" s="227" t="str">
        <f>TL[[#This Row],[Société]]&amp;" - "&amp;TL[[#This Row],[Compte]]</f>
        <v>VICTOIRE - 645400</v>
      </c>
      <c r="B1906" s="233" t="s">
        <v>5212</v>
      </c>
      <c r="C1906" s="227" t="s">
        <v>5213</v>
      </c>
      <c r="F1906" s="227" t="s">
        <v>3002</v>
      </c>
    </row>
    <row r="1907" spans="1:6" x14ac:dyDescent="0.25">
      <c r="A1907" s="227" t="str">
        <f>TL[[#This Row],[Société]]&amp;" - "&amp;TL[[#This Row],[Compte]]</f>
        <v>VICTOIRE - 645402</v>
      </c>
      <c r="B1907" s="233" t="s">
        <v>2007</v>
      </c>
      <c r="C1907" s="227" t="s">
        <v>2853</v>
      </c>
      <c r="D1907" s="233" t="s">
        <v>12</v>
      </c>
      <c r="E1907" s="233" t="s">
        <v>71</v>
      </c>
      <c r="F1907" s="227" t="s">
        <v>3002</v>
      </c>
    </row>
    <row r="1908" spans="1:6" x14ac:dyDescent="0.25">
      <c r="A1908" s="227" t="str">
        <f>TL[[#This Row],[Société]]&amp;" - "&amp;TL[[#This Row],[Compte]]</f>
        <v>VICTOIRE - 645403</v>
      </c>
      <c r="B1908" s="233" t="s">
        <v>5214</v>
      </c>
      <c r="C1908" s="227" t="s">
        <v>2867</v>
      </c>
      <c r="D1908" s="233" t="s">
        <v>15</v>
      </c>
      <c r="E1908" s="233" t="s">
        <v>13</v>
      </c>
      <c r="F1908" s="227" t="s">
        <v>3002</v>
      </c>
    </row>
    <row r="1909" spans="1:6" x14ac:dyDescent="0.25">
      <c r="A1909" s="227" t="str">
        <f>TL[[#This Row],[Société]]&amp;" - "&amp;TL[[#This Row],[Compte]]</f>
        <v>VICTOIRE - 645800</v>
      </c>
      <c r="B1909" s="233" t="s">
        <v>1775</v>
      </c>
      <c r="C1909" s="227" t="s">
        <v>5215</v>
      </c>
      <c r="F1909" s="227" t="s">
        <v>3002</v>
      </c>
    </row>
    <row r="1910" spans="1:6" x14ac:dyDescent="0.25">
      <c r="A1910" s="227" t="str">
        <f>TL[[#This Row],[Société]]&amp;" - "&amp;TL[[#This Row],[Compte]]</f>
        <v>VICTOIRE - 645810</v>
      </c>
      <c r="B1910" s="233" t="s">
        <v>1776</v>
      </c>
      <c r="C1910" s="227" t="s">
        <v>5216</v>
      </c>
      <c r="D1910" s="233" t="s">
        <v>15</v>
      </c>
      <c r="E1910" s="233" t="s">
        <v>13</v>
      </c>
      <c r="F1910" s="227" t="s">
        <v>3002</v>
      </c>
    </row>
    <row r="1911" spans="1:6" x14ac:dyDescent="0.25">
      <c r="A1911" s="227" t="str">
        <f>TL[[#This Row],[Société]]&amp;" - "&amp;TL[[#This Row],[Compte]]</f>
        <v>VICTOIRE - 645820</v>
      </c>
      <c r="B1911" s="233" t="s">
        <v>2008</v>
      </c>
      <c r="C1911" s="227" t="s">
        <v>2854</v>
      </c>
      <c r="D1911" s="233" t="s">
        <v>12</v>
      </c>
      <c r="E1911" s="233" t="s">
        <v>71</v>
      </c>
      <c r="F1911" s="227" t="s">
        <v>3002</v>
      </c>
    </row>
    <row r="1912" spans="1:6" x14ac:dyDescent="0.25">
      <c r="A1912" s="227" t="str">
        <f>TL[[#This Row],[Société]]&amp;" - "&amp;TL[[#This Row],[Compte]]</f>
        <v>VICTOIRE - 645830</v>
      </c>
      <c r="B1912" s="233" t="s">
        <v>2009</v>
      </c>
      <c r="C1912" s="227" t="s">
        <v>2868</v>
      </c>
      <c r="D1912" s="233" t="s">
        <v>15</v>
      </c>
      <c r="E1912" s="233" t="s">
        <v>13</v>
      </c>
      <c r="F1912" s="227" t="s">
        <v>3002</v>
      </c>
    </row>
    <row r="1913" spans="1:6" x14ac:dyDescent="0.25">
      <c r="A1913" s="227" t="str">
        <f>TL[[#This Row],[Société]]&amp;" - "&amp;TL[[#This Row],[Compte]]</f>
        <v>VICTOIRE - 645840</v>
      </c>
      <c r="B1913" s="233" t="s">
        <v>5217</v>
      </c>
      <c r="C1913" s="227" t="s">
        <v>5218</v>
      </c>
      <c r="F1913" s="227" t="s">
        <v>3002</v>
      </c>
    </row>
    <row r="1914" spans="1:6" x14ac:dyDescent="0.25">
      <c r="A1914" s="227" t="str">
        <f>TL[[#This Row],[Société]]&amp;" - "&amp;TL[[#This Row],[Compte]]</f>
        <v>VICTOIRE - 645911</v>
      </c>
      <c r="B1914" s="233" t="s">
        <v>5219</v>
      </c>
      <c r="C1914" s="227" t="s">
        <v>5220</v>
      </c>
      <c r="D1914" s="233" t="s">
        <v>50</v>
      </c>
      <c r="E1914" s="233" t="s">
        <v>15</v>
      </c>
      <c r="F1914" s="227" t="s">
        <v>3002</v>
      </c>
    </row>
    <row r="1915" spans="1:6" x14ac:dyDescent="0.25">
      <c r="A1915" s="227" t="str">
        <f>TL[[#This Row],[Société]]&amp;" - "&amp;TL[[#This Row],[Compte]]</f>
        <v>VICTOIRE - 645912</v>
      </c>
      <c r="B1915" s="233" t="s">
        <v>5221</v>
      </c>
      <c r="C1915" s="227" t="s">
        <v>5222</v>
      </c>
      <c r="D1915" s="233" t="s">
        <v>50</v>
      </c>
      <c r="E1915" s="233" t="s">
        <v>15</v>
      </c>
      <c r="F1915" s="227" t="s">
        <v>3002</v>
      </c>
    </row>
    <row r="1916" spans="1:6" x14ac:dyDescent="0.25">
      <c r="A1916" s="227" t="str">
        <f>TL[[#This Row],[Société]]&amp;" - "&amp;TL[[#This Row],[Compte]]</f>
        <v>VICTOIRE - 646000</v>
      </c>
      <c r="B1916" s="233" t="s">
        <v>2010</v>
      </c>
      <c r="C1916" s="227" t="s">
        <v>5223</v>
      </c>
      <c r="F1916" s="227" t="s">
        <v>3002</v>
      </c>
    </row>
    <row r="1917" spans="1:6" x14ac:dyDescent="0.25">
      <c r="A1917" s="227" t="str">
        <f>TL[[#This Row],[Société]]&amp;" - "&amp;TL[[#This Row],[Compte]]</f>
        <v>VICTOIRE - 646100</v>
      </c>
      <c r="B1917" s="233" t="s">
        <v>5224</v>
      </c>
      <c r="C1917" s="227" t="s">
        <v>5225</v>
      </c>
      <c r="F1917" s="227" t="s">
        <v>3002</v>
      </c>
    </row>
    <row r="1918" spans="1:6" x14ac:dyDescent="0.25">
      <c r="A1918" s="227" t="str">
        <f>TL[[#This Row],[Société]]&amp;" - "&amp;TL[[#This Row],[Compte]]</f>
        <v>VICTOIRE - 646200</v>
      </c>
      <c r="B1918" s="233" t="s">
        <v>3320</v>
      </c>
      <c r="C1918" s="227" t="s">
        <v>5226</v>
      </c>
      <c r="F1918" s="227" t="s">
        <v>3002</v>
      </c>
    </row>
    <row r="1919" spans="1:6" x14ac:dyDescent="0.25">
      <c r="A1919" s="227" t="str">
        <f>TL[[#This Row],[Société]]&amp;" - "&amp;TL[[#This Row],[Compte]]</f>
        <v>VICTOIRE - 646300</v>
      </c>
      <c r="B1919" s="233" t="s">
        <v>2011</v>
      </c>
      <c r="C1919" s="227" t="s">
        <v>5227</v>
      </c>
      <c r="F1919" s="227" t="s">
        <v>3002</v>
      </c>
    </row>
    <row r="1920" spans="1:6" x14ac:dyDescent="0.25">
      <c r="A1920" s="227" t="str">
        <f>TL[[#This Row],[Société]]&amp;" - "&amp;TL[[#This Row],[Compte]]</f>
        <v>VICTOIRE - 646400</v>
      </c>
      <c r="B1920" s="233" t="s">
        <v>5228</v>
      </c>
      <c r="C1920" s="227" t="s">
        <v>5229</v>
      </c>
      <c r="F1920" s="227" t="s">
        <v>3002</v>
      </c>
    </row>
    <row r="1921" spans="1:6" x14ac:dyDescent="0.25">
      <c r="A1921" s="227" t="str">
        <f>TL[[#This Row],[Société]]&amp;" - "&amp;TL[[#This Row],[Compte]]</f>
        <v>VICTOIRE - 646500</v>
      </c>
      <c r="B1921" s="233" t="s">
        <v>5230</v>
      </c>
      <c r="C1921" s="227" t="s">
        <v>5231</v>
      </c>
      <c r="F1921" s="227" t="s">
        <v>3002</v>
      </c>
    </row>
    <row r="1922" spans="1:6" x14ac:dyDescent="0.25">
      <c r="A1922" s="227" t="str">
        <f>TL[[#This Row],[Société]]&amp;" - "&amp;TL[[#This Row],[Compte]]</f>
        <v>VICTOIRE - 646600</v>
      </c>
      <c r="B1922" s="233" t="s">
        <v>5232</v>
      </c>
      <c r="C1922" s="227" t="s">
        <v>5233</v>
      </c>
      <c r="F1922" s="227" t="s">
        <v>3002</v>
      </c>
    </row>
    <row r="1923" spans="1:6" x14ac:dyDescent="0.25">
      <c r="A1923" s="227" t="str">
        <f>TL[[#This Row],[Société]]&amp;" - "&amp;TL[[#This Row],[Compte]]</f>
        <v>VICTOIRE - 647000</v>
      </c>
      <c r="B1923" s="233" t="s">
        <v>5234</v>
      </c>
      <c r="C1923" s="227" t="s">
        <v>5235</v>
      </c>
      <c r="F1923" s="227" t="s">
        <v>3002</v>
      </c>
    </row>
    <row r="1924" spans="1:6" x14ac:dyDescent="0.25">
      <c r="A1924" s="227" t="str">
        <f>TL[[#This Row],[Société]]&amp;" - "&amp;TL[[#This Row],[Compte]]</f>
        <v>VICTOIRE - 647100</v>
      </c>
      <c r="B1924" s="233" t="s">
        <v>5236</v>
      </c>
      <c r="C1924" s="227" t="s">
        <v>5237</v>
      </c>
      <c r="F1924" s="227" t="s">
        <v>3002</v>
      </c>
    </row>
    <row r="1925" spans="1:6" x14ac:dyDescent="0.25">
      <c r="A1925" s="227" t="str">
        <f>TL[[#This Row],[Société]]&amp;" - "&amp;TL[[#This Row],[Compte]]</f>
        <v>VICTOIRE - 647200</v>
      </c>
      <c r="B1925" s="233" t="s">
        <v>5238</v>
      </c>
      <c r="C1925" s="227" t="s">
        <v>4443</v>
      </c>
      <c r="F1925" s="227" t="s">
        <v>3002</v>
      </c>
    </row>
    <row r="1926" spans="1:6" x14ac:dyDescent="0.25">
      <c r="A1926" s="227" t="str">
        <f>TL[[#This Row],[Société]]&amp;" - "&amp;TL[[#This Row],[Compte]]</f>
        <v>VICTOIRE - 647300</v>
      </c>
      <c r="B1926" s="233" t="s">
        <v>5239</v>
      </c>
      <c r="C1926" s="227" t="s">
        <v>5240</v>
      </c>
      <c r="F1926" s="227" t="s">
        <v>3002</v>
      </c>
    </row>
    <row r="1927" spans="1:6" x14ac:dyDescent="0.25">
      <c r="A1927" s="227" t="str">
        <f>TL[[#This Row],[Société]]&amp;" - "&amp;TL[[#This Row],[Compte]]</f>
        <v>VICTOIRE - 647400</v>
      </c>
      <c r="B1927" s="233" t="s">
        <v>5241</v>
      </c>
      <c r="C1927" s="227" t="s">
        <v>5242</v>
      </c>
      <c r="F1927" s="227" t="s">
        <v>3002</v>
      </c>
    </row>
    <row r="1928" spans="1:6" x14ac:dyDescent="0.25">
      <c r="A1928" s="227" t="str">
        <f>TL[[#This Row],[Société]]&amp;" - "&amp;TL[[#This Row],[Compte]]</f>
        <v>VICTOIRE - 647500</v>
      </c>
      <c r="B1928" s="233" t="s">
        <v>1610</v>
      </c>
      <c r="C1928" s="227" t="s">
        <v>2177</v>
      </c>
      <c r="D1928" s="233" t="s">
        <v>20</v>
      </c>
      <c r="E1928" s="233" t="s">
        <v>25</v>
      </c>
      <c r="F1928" s="227" t="s">
        <v>3002</v>
      </c>
    </row>
    <row r="1929" spans="1:6" x14ac:dyDescent="0.25">
      <c r="A1929" s="227" t="str">
        <f>TL[[#This Row],[Société]]&amp;" - "&amp;TL[[#This Row],[Compte]]</f>
        <v>VICTOIRE - 647510</v>
      </c>
      <c r="B1929" s="233" t="s">
        <v>5243</v>
      </c>
      <c r="C1929" s="227" t="s">
        <v>5244</v>
      </c>
      <c r="D1929" s="233" t="s">
        <v>20</v>
      </c>
      <c r="E1929" s="233" t="s">
        <v>25</v>
      </c>
      <c r="F1929" s="227" t="s">
        <v>3002</v>
      </c>
    </row>
    <row r="1930" spans="1:6" x14ac:dyDescent="0.25">
      <c r="A1930" s="227" t="str">
        <f>TL[[#This Row],[Société]]&amp;" - "&amp;TL[[#This Row],[Compte]]</f>
        <v>VICTOIRE - 647600</v>
      </c>
      <c r="B1930" s="233" t="s">
        <v>5245</v>
      </c>
      <c r="C1930" s="227" t="s">
        <v>5246</v>
      </c>
      <c r="F1930" s="227" t="s">
        <v>3002</v>
      </c>
    </row>
    <row r="1931" spans="1:6" x14ac:dyDescent="0.25">
      <c r="A1931" s="227" t="str">
        <f>TL[[#This Row],[Société]]&amp;" - "&amp;TL[[#This Row],[Compte]]</f>
        <v>VICTOIRE - 647700</v>
      </c>
      <c r="B1931" s="233" t="s">
        <v>5247</v>
      </c>
      <c r="C1931" s="227" t="s">
        <v>4628</v>
      </c>
      <c r="F1931" s="227" t="s">
        <v>3002</v>
      </c>
    </row>
    <row r="1932" spans="1:6" x14ac:dyDescent="0.25">
      <c r="A1932" s="227" t="str">
        <f>TL[[#This Row],[Société]]&amp;" - "&amp;TL[[#This Row],[Compte]]</f>
        <v>VICTOIRE - 647800</v>
      </c>
      <c r="B1932" s="233" t="s">
        <v>5248</v>
      </c>
      <c r="C1932" s="227" t="s">
        <v>5249</v>
      </c>
      <c r="F1932" s="227" t="s">
        <v>3002</v>
      </c>
    </row>
    <row r="1933" spans="1:6" x14ac:dyDescent="0.25">
      <c r="A1933" s="227" t="str">
        <f>TL[[#This Row],[Société]]&amp;" - "&amp;TL[[#This Row],[Compte]]</f>
        <v>VICTOIRE - 648000</v>
      </c>
      <c r="B1933" s="233" t="s">
        <v>5250</v>
      </c>
      <c r="C1933" s="227" t="s">
        <v>2860</v>
      </c>
      <c r="D1933" s="233" t="s">
        <v>13</v>
      </c>
      <c r="E1933" s="233" t="s">
        <v>12</v>
      </c>
      <c r="F1933" s="227" t="s">
        <v>3002</v>
      </c>
    </row>
    <row r="1934" spans="1:6" x14ac:dyDescent="0.25">
      <c r="A1934" s="227" t="str">
        <f>TL[[#This Row],[Société]]&amp;" - "&amp;TL[[#This Row],[Compte]]</f>
        <v>VICTOIRE - 648020</v>
      </c>
      <c r="B1934" s="233" t="s">
        <v>5251</v>
      </c>
      <c r="C1934" s="227" t="s">
        <v>2846</v>
      </c>
      <c r="D1934" s="233" t="s">
        <v>12</v>
      </c>
      <c r="E1934" s="233" t="s">
        <v>3</v>
      </c>
      <c r="F1934" s="227" t="s">
        <v>3002</v>
      </c>
    </row>
    <row r="1935" spans="1:6" x14ac:dyDescent="0.25">
      <c r="A1935" s="227" t="str">
        <f>TL[[#This Row],[Société]]&amp;" - "&amp;TL[[#This Row],[Compte]]</f>
        <v>VICTOIRE - 649000</v>
      </c>
      <c r="B1935" s="233" t="s">
        <v>2012</v>
      </c>
      <c r="C1935" s="227" t="s">
        <v>3323</v>
      </c>
      <c r="F1935" s="227" t="s">
        <v>3002</v>
      </c>
    </row>
    <row r="1936" spans="1:6" x14ac:dyDescent="0.25">
      <c r="A1936" s="227" t="str">
        <f>TL[[#This Row],[Société]]&amp;" - "&amp;TL[[#This Row],[Compte]]</f>
        <v>VICTOIRE - 651000</v>
      </c>
      <c r="B1936" s="233" t="s">
        <v>2825</v>
      </c>
      <c r="C1936" s="227" t="s">
        <v>2931</v>
      </c>
      <c r="D1936" s="233" t="s">
        <v>37</v>
      </c>
      <c r="E1936" s="233" t="s">
        <v>42</v>
      </c>
      <c r="F1936" s="227" t="s">
        <v>3002</v>
      </c>
    </row>
    <row r="1937" spans="1:6" x14ac:dyDescent="0.25">
      <c r="A1937" s="227" t="str">
        <f>TL[[#This Row],[Société]]&amp;" - "&amp;TL[[#This Row],[Compte]]</f>
        <v>VICTOIRE - 651003</v>
      </c>
      <c r="B1937" s="233" t="s">
        <v>1796</v>
      </c>
      <c r="C1937" s="227" t="s">
        <v>5252</v>
      </c>
      <c r="D1937" s="233" t="s">
        <v>20</v>
      </c>
      <c r="E1937" s="233" t="s">
        <v>25</v>
      </c>
      <c r="F1937" s="227" t="s">
        <v>3002</v>
      </c>
    </row>
    <row r="1938" spans="1:6" x14ac:dyDescent="0.25">
      <c r="A1938" s="227" t="str">
        <f>TL[[#This Row],[Société]]&amp;" - "&amp;TL[[#This Row],[Compte]]</f>
        <v>VICTOIRE - 651010</v>
      </c>
      <c r="B1938" s="233" t="s">
        <v>5253</v>
      </c>
      <c r="C1938" s="227" t="s">
        <v>2928</v>
      </c>
      <c r="D1938" s="233" t="s">
        <v>35</v>
      </c>
      <c r="E1938" s="233" t="s">
        <v>37</v>
      </c>
      <c r="F1938" s="227" t="s">
        <v>3002</v>
      </c>
    </row>
    <row r="1939" spans="1:6" x14ac:dyDescent="0.25">
      <c r="A1939" s="227" t="str">
        <f>TL[[#This Row],[Société]]&amp;" - "&amp;TL[[#This Row],[Compte]]</f>
        <v>VICTOIRE - 651021</v>
      </c>
      <c r="B1939" s="233" t="s">
        <v>5254</v>
      </c>
      <c r="C1939" s="227" t="s">
        <v>2929</v>
      </c>
      <c r="D1939" s="233" t="s">
        <v>37</v>
      </c>
      <c r="E1939" s="233" t="s">
        <v>37</v>
      </c>
      <c r="F1939" s="227" t="s">
        <v>3002</v>
      </c>
    </row>
    <row r="1940" spans="1:6" x14ac:dyDescent="0.25">
      <c r="A1940" s="227" t="str">
        <f>TL[[#This Row],[Société]]&amp;" - "&amp;TL[[#This Row],[Compte]]</f>
        <v>VICTOIRE - 651100</v>
      </c>
      <c r="B1940" s="233" t="s">
        <v>5255</v>
      </c>
      <c r="C1940" s="227" t="s">
        <v>2910</v>
      </c>
      <c r="D1940" s="233" t="s">
        <v>20</v>
      </c>
      <c r="E1940" s="233" t="s">
        <v>25</v>
      </c>
      <c r="F1940" s="227" t="s">
        <v>3002</v>
      </c>
    </row>
    <row r="1941" spans="1:6" x14ac:dyDescent="0.25">
      <c r="A1941" s="227" t="str">
        <f>TL[[#This Row],[Société]]&amp;" - "&amp;TL[[#This Row],[Compte]]</f>
        <v>VICTOIRE - 651200</v>
      </c>
      <c r="B1941" s="233" t="s">
        <v>1604</v>
      </c>
      <c r="C1941" s="227" t="s">
        <v>5256</v>
      </c>
      <c r="F1941" s="227" t="s">
        <v>3002</v>
      </c>
    </row>
    <row r="1942" spans="1:6" x14ac:dyDescent="0.25">
      <c r="A1942" s="227" t="str">
        <f>TL[[#This Row],[Société]]&amp;" - "&amp;TL[[#This Row],[Compte]]</f>
        <v>VICTOIRE - 651300</v>
      </c>
      <c r="B1942" s="233" t="s">
        <v>5257</v>
      </c>
      <c r="C1942" s="227" t="s">
        <v>5258</v>
      </c>
      <c r="F1942" s="227" t="s">
        <v>3002</v>
      </c>
    </row>
    <row r="1943" spans="1:6" x14ac:dyDescent="0.25">
      <c r="A1943" s="227" t="str">
        <f>TL[[#This Row],[Société]]&amp;" - "&amp;TL[[#This Row],[Compte]]</f>
        <v>VICTOIRE - 651600</v>
      </c>
      <c r="B1943" s="233" t="s">
        <v>5259</v>
      </c>
      <c r="C1943" s="227" t="s">
        <v>5260</v>
      </c>
      <c r="F1943" s="227" t="s">
        <v>3002</v>
      </c>
    </row>
    <row r="1944" spans="1:6" x14ac:dyDescent="0.25">
      <c r="A1944" s="227" t="str">
        <f>TL[[#This Row],[Société]]&amp;" - "&amp;TL[[#This Row],[Compte]]</f>
        <v>VICTOIRE - 651800</v>
      </c>
      <c r="B1944" s="233" t="s">
        <v>5261</v>
      </c>
      <c r="C1944" s="227" t="s">
        <v>5262</v>
      </c>
      <c r="F1944" s="227" t="s">
        <v>3002</v>
      </c>
    </row>
    <row r="1945" spans="1:6" x14ac:dyDescent="0.25">
      <c r="A1945" s="227" t="str">
        <f>TL[[#This Row],[Société]]&amp;" - "&amp;TL[[#This Row],[Compte]]</f>
        <v>VICTOIRE - 653000</v>
      </c>
      <c r="B1945" s="233" t="s">
        <v>5263</v>
      </c>
      <c r="C1945" s="227" t="s">
        <v>5264</v>
      </c>
      <c r="F1945" s="227" t="s">
        <v>3002</v>
      </c>
    </row>
    <row r="1946" spans="1:6" x14ac:dyDescent="0.25">
      <c r="A1946" s="227" t="str">
        <f>TL[[#This Row],[Société]]&amp;" - "&amp;TL[[#This Row],[Compte]]</f>
        <v>VICTOIRE - 654000</v>
      </c>
      <c r="B1946" s="233" t="s">
        <v>5265</v>
      </c>
      <c r="C1946" s="227" t="s">
        <v>5266</v>
      </c>
      <c r="F1946" s="227" t="s">
        <v>3002</v>
      </c>
    </row>
    <row r="1947" spans="1:6" x14ac:dyDescent="0.25">
      <c r="A1947" s="227" t="str">
        <f>TL[[#This Row],[Société]]&amp;" - "&amp;TL[[#This Row],[Compte]]</f>
        <v>VICTOIRE - 654100</v>
      </c>
      <c r="B1947" s="233" t="s">
        <v>2013</v>
      </c>
      <c r="C1947" s="227" t="s">
        <v>5267</v>
      </c>
      <c r="D1947" s="233" t="s">
        <v>50</v>
      </c>
      <c r="E1947" s="233" t="s">
        <v>2982</v>
      </c>
      <c r="F1947" s="227" t="s">
        <v>3002</v>
      </c>
    </row>
    <row r="1948" spans="1:6" x14ac:dyDescent="0.25">
      <c r="A1948" s="227" t="str">
        <f>TL[[#This Row],[Société]]&amp;" - "&amp;TL[[#This Row],[Compte]]</f>
        <v>VICTOIRE - 654400</v>
      </c>
      <c r="B1948" s="233" t="s">
        <v>5268</v>
      </c>
      <c r="C1948" s="227" t="s">
        <v>5269</v>
      </c>
      <c r="F1948" s="227" t="s">
        <v>3002</v>
      </c>
    </row>
    <row r="1949" spans="1:6" x14ac:dyDescent="0.25">
      <c r="A1949" s="227" t="str">
        <f>TL[[#This Row],[Société]]&amp;" - "&amp;TL[[#This Row],[Compte]]</f>
        <v>VICTOIRE - 655000</v>
      </c>
      <c r="B1949" s="233" t="s">
        <v>2014</v>
      </c>
      <c r="C1949" s="227" t="s">
        <v>5270</v>
      </c>
      <c r="F1949" s="227" t="s">
        <v>3002</v>
      </c>
    </row>
    <row r="1950" spans="1:6" x14ac:dyDescent="0.25">
      <c r="A1950" s="227" t="str">
        <f>TL[[#This Row],[Société]]&amp;" - "&amp;TL[[#This Row],[Compte]]</f>
        <v>VICTOIRE - 656000</v>
      </c>
      <c r="B1950" s="233" t="s">
        <v>5271</v>
      </c>
      <c r="C1950" s="227" t="s">
        <v>5272</v>
      </c>
      <c r="F1950" s="227" t="s">
        <v>3002</v>
      </c>
    </row>
    <row r="1951" spans="1:6" x14ac:dyDescent="0.25">
      <c r="A1951" s="227" t="str">
        <f>TL[[#This Row],[Société]]&amp;" - "&amp;TL[[#This Row],[Compte]]</f>
        <v>VICTOIRE - 658000</v>
      </c>
      <c r="B1951" s="233" t="s">
        <v>1743</v>
      </c>
      <c r="C1951" s="227" t="s">
        <v>5273</v>
      </c>
      <c r="D1951" s="233" t="s">
        <v>50</v>
      </c>
      <c r="E1951" s="233" t="s">
        <v>2982</v>
      </c>
      <c r="F1951" s="227" t="s">
        <v>3002</v>
      </c>
    </row>
    <row r="1952" spans="1:6" x14ac:dyDescent="0.25">
      <c r="A1952" s="227" t="str">
        <f>TL[[#This Row],[Société]]&amp;" - "&amp;TL[[#This Row],[Compte]]</f>
        <v>VICTOIRE - 658100</v>
      </c>
      <c r="B1952" s="233" t="s">
        <v>5274</v>
      </c>
      <c r="C1952" s="227" t="s">
        <v>2926</v>
      </c>
      <c r="D1952" s="233" t="s">
        <v>30</v>
      </c>
      <c r="E1952" s="233" t="s">
        <v>2982</v>
      </c>
      <c r="F1952" s="227" t="s">
        <v>3002</v>
      </c>
    </row>
    <row r="1953" spans="1:6" x14ac:dyDescent="0.25">
      <c r="A1953" s="227" t="str">
        <f>TL[[#This Row],[Société]]&amp;" - "&amp;TL[[#This Row],[Compte]]</f>
        <v>VICTOIRE - 661100</v>
      </c>
      <c r="B1953" s="233" t="s">
        <v>1721</v>
      </c>
      <c r="C1953" s="227" t="s">
        <v>2944</v>
      </c>
      <c r="D1953" s="233" t="s">
        <v>47</v>
      </c>
      <c r="E1953" s="233" t="s">
        <v>286</v>
      </c>
      <c r="F1953" s="227" t="s">
        <v>3002</v>
      </c>
    </row>
    <row r="1954" spans="1:6" x14ac:dyDescent="0.25">
      <c r="A1954" s="227" t="str">
        <f>TL[[#This Row],[Société]]&amp;" - "&amp;TL[[#This Row],[Compte]]</f>
        <v>VICTOIRE - 661160</v>
      </c>
      <c r="B1954" s="233" t="s">
        <v>2015</v>
      </c>
      <c r="C1954" s="227" t="s">
        <v>5275</v>
      </c>
      <c r="F1954" s="227" t="s">
        <v>3002</v>
      </c>
    </row>
    <row r="1955" spans="1:6" x14ac:dyDescent="0.25">
      <c r="A1955" s="227" t="str">
        <f>TL[[#This Row],[Société]]&amp;" - "&amp;TL[[#This Row],[Compte]]</f>
        <v>VICTOIRE - 661170</v>
      </c>
      <c r="B1955" s="233" t="s">
        <v>5276</v>
      </c>
      <c r="C1955" s="227" t="s">
        <v>5277</v>
      </c>
      <c r="F1955" s="227" t="s">
        <v>3002</v>
      </c>
    </row>
    <row r="1956" spans="1:6" x14ac:dyDescent="0.25">
      <c r="A1956" s="227" t="str">
        <f>TL[[#This Row],[Société]]&amp;" - "&amp;TL[[#This Row],[Compte]]</f>
        <v>VICTOIRE - 661500</v>
      </c>
      <c r="B1956" s="233" t="s">
        <v>3327</v>
      </c>
      <c r="C1956" s="227" t="s">
        <v>5278</v>
      </c>
      <c r="F1956" s="227" t="s">
        <v>3002</v>
      </c>
    </row>
    <row r="1957" spans="1:6" x14ac:dyDescent="0.25">
      <c r="A1957" s="227" t="str">
        <f>TL[[#This Row],[Société]]&amp;" - "&amp;TL[[#This Row],[Compte]]</f>
        <v>VICTOIRE - 661600</v>
      </c>
      <c r="B1957" s="233" t="s">
        <v>2016</v>
      </c>
      <c r="C1957" s="227" t="s">
        <v>2282</v>
      </c>
      <c r="F1957" s="227" t="s">
        <v>3002</v>
      </c>
    </row>
    <row r="1958" spans="1:6" x14ac:dyDescent="0.25">
      <c r="A1958" s="227" t="str">
        <f>TL[[#This Row],[Société]]&amp;" - "&amp;TL[[#This Row],[Compte]]</f>
        <v>VICTOIRE - 661610</v>
      </c>
      <c r="B1958" s="233" t="s">
        <v>5279</v>
      </c>
      <c r="C1958" s="227" t="s">
        <v>5280</v>
      </c>
      <c r="F1958" s="227" t="s">
        <v>3002</v>
      </c>
    </row>
    <row r="1959" spans="1:6" x14ac:dyDescent="0.25">
      <c r="A1959" s="227" t="str">
        <f>TL[[#This Row],[Société]]&amp;" - "&amp;TL[[#This Row],[Compte]]</f>
        <v>VICTOIRE - 661700</v>
      </c>
      <c r="B1959" s="233" t="s">
        <v>5281</v>
      </c>
      <c r="C1959" s="227" t="s">
        <v>5282</v>
      </c>
      <c r="F1959" s="227" t="s">
        <v>3002</v>
      </c>
    </row>
    <row r="1960" spans="1:6" x14ac:dyDescent="0.25">
      <c r="A1960" s="227" t="str">
        <f>TL[[#This Row],[Société]]&amp;" - "&amp;TL[[#This Row],[Compte]]</f>
        <v>VICTOIRE - 661800</v>
      </c>
      <c r="B1960" s="233" t="s">
        <v>5283</v>
      </c>
      <c r="C1960" s="227" t="s">
        <v>5284</v>
      </c>
      <c r="F1960" s="227" t="s">
        <v>3002</v>
      </c>
    </row>
    <row r="1961" spans="1:6" x14ac:dyDescent="0.25">
      <c r="A1961" s="227" t="str">
        <f>TL[[#This Row],[Société]]&amp;" - "&amp;TL[[#This Row],[Compte]]</f>
        <v>VICTOIRE - 661810</v>
      </c>
      <c r="B1961" s="233" t="s">
        <v>5285</v>
      </c>
      <c r="C1961" s="227" t="s">
        <v>5286</v>
      </c>
      <c r="F1961" s="227" t="s">
        <v>3002</v>
      </c>
    </row>
    <row r="1962" spans="1:6" x14ac:dyDescent="0.25">
      <c r="A1962" s="227" t="str">
        <f>TL[[#This Row],[Société]]&amp;" - "&amp;TL[[#This Row],[Compte]]</f>
        <v>VICTOIRE - 661880</v>
      </c>
      <c r="B1962" s="233" t="s">
        <v>5287</v>
      </c>
      <c r="C1962" s="227" t="s">
        <v>5288</v>
      </c>
      <c r="F1962" s="227" t="s">
        <v>3002</v>
      </c>
    </row>
    <row r="1963" spans="1:6" x14ac:dyDescent="0.25">
      <c r="A1963" s="227" t="str">
        <f>TL[[#This Row],[Société]]&amp;" - "&amp;TL[[#This Row],[Compte]]</f>
        <v>VICTOIRE - 664000</v>
      </c>
      <c r="B1963" s="233" t="s">
        <v>5289</v>
      </c>
      <c r="C1963" s="227" t="s">
        <v>5290</v>
      </c>
      <c r="F1963" s="227" t="s">
        <v>3002</v>
      </c>
    </row>
    <row r="1964" spans="1:6" x14ac:dyDescent="0.25">
      <c r="A1964" s="227" t="str">
        <f>TL[[#This Row],[Société]]&amp;" - "&amp;TL[[#This Row],[Compte]]</f>
        <v>VICTOIRE - 665000</v>
      </c>
      <c r="B1964" s="233" t="s">
        <v>5291</v>
      </c>
      <c r="C1964" s="227" t="s">
        <v>5292</v>
      </c>
      <c r="F1964" s="227" t="s">
        <v>3002</v>
      </c>
    </row>
    <row r="1965" spans="1:6" x14ac:dyDescent="0.25">
      <c r="A1965" s="227" t="str">
        <f>TL[[#This Row],[Société]]&amp;" - "&amp;TL[[#This Row],[Compte]]</f>
        <v>VICTOIRE - 666000</v>
      </c>
      <c r="B1965" s="233" t="s">
        <v>2017</v>
      </c>
      <c r="C1965" s="227" t="s">
        <v>1260</v>
      </c>
      <c r="F1965" s="227" t="s">
        <v>3002</v>
      </c>
    </row>
    <row r="1966" spans="1:6" x14ac:dyDescent="0.25">
      <c r="A1966" s="227" t="str">
        <f>TL[[#This Row],[Société]]&amp;" - "&amp;TL[[#This Row],[Compte]]</f>
        <v>VICTOIRE - 667000</v>
      </c>
      <c r="B1966" s="233" t="s">
        <v>5293</v>
      </c>
      <c r="C1966" s="227" t="s">
        <v>1261</v>
      </c>
      <c r="F1966" s="227" t="s">
        <v>3002</v>
      </c>
    </row>
    <row r="1967" spans="1:6" x14ac:dyDescent="0.25">
      <c r="A1967" s="227" t="str">
        <f>TL[[#This Row],[Société]]&amp;" - "&amp;TL[[#This Row],[Compte]]</f>
        <v>VICTOIRE - 668000</v>
      </c>
      <c r="B1967" s="233" t="s">
        <v>5294</v>
      </c>
      <c r="C1967" s="227" t="s">
        <v>5295</v>
      </c>
      <c r="F1967" s="227" t="s">
        <v>3002</v>
      </c>
    </row>
    <row r="1968" spans="1:6" x14ac:dyDescent="0.25">
      <c r="A1968" s="227" t="str">
        <f>TL[[#This Row],[Société]]&amp;" - "&amp;TL[[#This Row],[Compte]]</f>
        <v>VICTOIRE - 668700</v>
      </c>
      <c r="B1968" s="233" t="s">
        <v>5296</v>
      </c>
      <c r="C1968" s="227" t="s">
        <v>5297</v>
      </c>
      <c r="F1968" s="227" t="s">
        <v>3002</v>
      </c>
    </row>
    <row r="1969" spans="1:6" x14ac:dyDescent="0.25">
      <c r="A1969" s="227" t="str">
        <f>TL[[#This Row],[Société]]&amp;" - "&amp;TL[[#This Row],[Compte]]</f>
        <v>VICTOIRE - 668800</v>
      </c>
      <c r="B1969" s="233" t="s">
        <v>2019</v>
      </c>
      <c r="C1969" s="227" t="s">
        <v>5298</v>
      </c>
      <c r="F1969" s="227" t="s">
        <v>3002</v>
      </c>
    </row>
    <row r="1970" spans="1:6" x14ac:dyDescent="0.25">
      <c r="A1970" s="227" t="str">
        <f>TL[[#This Row],[Société]]&amp;" - "&amp;TL[[#This Row],[Compte]]</f>
        <v>VICTOIRE - 671000</v>
      </c>
      <c r="B1970" s="233" t="s">
        <v>5299</v>
      </c>
      <c r="C1970" s="227" t="s">
        <v>5300</v>
      </c>
      <c r="F1970" s="227" t="s">
        <v>3002</v>
      </c>
    </row>
    <row r="1971" spans="1:6" x14ac:dyDescent="0.25">
      <c r="A1971" s="227" t="str">
        <f>TL[[#This Row],[Société]]&amp;" - "&amp;TL[[#This Row],[Compte]]</f>
        <v>VICTOIRE - 671100</v>
      </c>
      <c r="B1971" s="233" t="s">
        <v>1801</v>
      </c>
      <c r="C1971" s="227" t="s">
        <v>2925</v>
      </c>
      <c r="D1971" s="233" t="s">
        <v>50</v>
      </c>
      <c r="E1971" s="233" t="s">
        <v>2982</v>
      </c>
      <c r="F1971" s="227" t="s">
        <v>3002</v>
      </c>
    </row>
    <row r="1972" spans="1:6" x14ac:dyDescent="0.25">
      <c r="A1972" s="227" t="str">
        <f>TL[[#This Row],[Société]]&amp;" - "&amp;TL[[#This Row],[Compte]]</f>
        <v>VICTOIRE - 671200</v>
      </c>
      <c r="B1972" s="233" t="s">
        <v>2020</v>
      </c>
      <c r="C1972" s="227" t="s">
        <v>369</v>
      </c>
      <c r="F1972" s="227" t="s">
        <v>3002</v>
      </c>
    </row>
    <row r="1973" spans="1:6" x14ac:dyDescent="0.25">
      <c r="A1973" s="227" t="str">
        <f>TL[[#This Row],[Société]]&amp;" - "&amp;TL[[#This Row],[Compte]]</f>
        <v>VICTOIRE - 671300</v>
      </c>
      <c r="B1973" s="233" t="s">
        <v>1725</v>
      </c>
      <c r="C1973" s="227" t="s">
        <v>5301</v>
      </c>
      <c r="D1973" s="233" t="s">
        <v>50</v>
      </c>
      <c r="E1973" s="233" t="s">
        <v>2995</v>
      </c>
      <c r="F1973" s="227" t="s">
        <v>3002</v>
      </c>
    </row>
    <row r="1974" spans="1:6" x14ac:dyDescent="0.25">
      <c r="A1974" s="227" t="str">
        <f>TL[[#This Row],[Société]]&amp;" - "&amp;TL[[#This Row],[Compte]]</f>
        <v>VICTOIRE - 671400</v>
      </c>
      <c r="B1974" s="233" t="s">
        <v>5302</v>
      </c>
      <c r="C1974" s="227" t="s">
        <v>5303</v>
      </c>
      <c r="F1974" s="227" t="s">
        <v>3002</v>
      </c>
    </row>
    <row r="1975" spans="1:6" x14ac:dyDescent="0.25">
      <c r="A1975" s="227" t="str">
        <f>TL[[#This Row],[Société]]&amp;" - "&amp;TL[[#This Row],[Compte]]</f>
        <v>VICTOIRE - 671500</v>
      </c>
      <c r="B1975" s="233" t="s">
        <v>5304</v>
      </c>
      <c r="C1975" s="227" t="s">
        <v>5305</v>
      </c>
      <c r="F1975" s="227" t="s">
        <v>3002</v>
      </c>
    </row>
    <row r="1976" spans="1:6" x14ac:dyDescent="0.25">
      <c r="A1976" s="227" t="str">
        <f>TL[[#This Row],[Société]]&amp;" - "&amp;TL[[#This Row],[Compte]]</f>
        <v>VICTOIRE - 671700</v>
      </c>
      <c r="B1976" s="233" t="s">
        <v>5306</v>
      </c>
      <c r="C1976" s="227" t="s">
        <v>5307</v>
      </c>
      <c r="F1976" s="227" t="s">
        <v>3002</v>
      </c>
    </row>
    <row r="1977" spans="1:6" x14ac:dyDescent="0.25">
      <c r="A1977" s="227" t="str">
        <f>TL[[#This Row],[Société]]&amp;" - "&amp;TL[[#This Row],[Compte]]</f>
        <v>VICTOIRE - 671800</v>
      </c>
      <c r="B1977" s="233" t="s">
        <v>2022</v>
      </c>
      <c r="C1977" s="227" t="s">
        <v>1050</v>
      </c>
      <c r="F1977" s="227" t="s">
        <v>3002</v>
      </c>
    </row>
    <row r="1978" spans="1:6" x14ac:dyDescent="0.25">
      <c r="A1978" s="227" t="str">
        <f>TL[[#This Row],[Société]]&amp;" - "&amp;TL[[#This Row],[Compte]]</f>
        <v>VICTOIRE - 671810</v>
      </c>
      <c r="B1978" s="233" t="s">
        <v>5308</v>
      </c>
      <c r="C1978" s="227" t="s">
        <v>5309</v>
      </c>
      <c r="F1978" s="227" t="s">
        <v>3002</v>
      </c>
    </row>
    <row r="1979" spans="1:6" x14ac:dyDescent="0.25">
      <c r="A1979" s="227" t="str">
        <f>TL[[#This Row],[Société]]&amp;" - "&amp;TL[[#This Row],[Compte]]</f>
        <v>VICTOIRE - 671820</v>
      </c>
      <c r="B1979" s="233" t="s">
        <v>5310</v>
      </c>
      <c r="C1979" s="227" t="s">
        <v>5311</v>
      </c>
      <c r="F1979" s="227" t="s">
        <v>3002</v>
      </c>
    </row>
    <row r="1980" spans="1:6" x14ac:dyDescent="0.25">
      <c r="A1980" s="227" t="str">
        <f>TL[[#This Row],[Société]]&amp;" - "&amp;TL[[#This Row],[Compte]]</f>
        <v>VICTOIRE - 672000</v>
      </c>
      <c r="B1980" s="233" t="s">
        <v>2023</v>
      </c>
      <c r="C1980" s="227" t="s">
        <v>1051</v>
      </c>
      <c r="F1980" s="227" t="s">
        <v>3002</v>
      </c>
    </row>
    <row r="1981" spans="1:6" x14ac:dyDescent="0.25">
      <c r="A1981" s="227" t="str">
        <f>TL[[#This Row],[Société]]&amp;" - "&amp;TL[[#This Row],[Compte]]</f>
        <v>VICTOIRE - 674100</v>
      </c>
      <c r="B1981" s="233" t="s">
        <v>5312</v>
      </c>
      <c r="C1981" s="227" t="s">
        <v>5313</v>
      </c>
      <c r="F1981" s="227" t="s">
        <v>3002</v>
      </c>
    </row>
    <row r="1982" spans="1:6" x14ac:dyDescent="0.25">
      <c r="A1982" s="227" t="str">
        <f>TL[[#This Row],[Société]]&amp;" - "&amp;TL[[#This Row],[Compte]]</f>
        <v>VICTOIRE - 674200</v>
      </c>
      <c r="B1982" s="233" t="s">
        <v>5314</v>
      </c>
      <c r="C1982" s="227" t="s">
        <v>5315</v>
      </c>
      <c r="F1982" s="227" t="s">
        <v>3002</v>
      </c>
    </row>
    <row r="1983" spans="1:6" x14ac:dyDescent="0.25">
      <c r="A1983" s="227" t="str">
        <f>TL[[#This Row],[Société]]&amp;" - "&amp;TL[[#This Row],[Compte]]</f>
        <v>VICTOIRE - 675000</v>
      </c>
      <c r="B1983" s="233" t="s">
        <v>3330</v>
      </c>
      <c r="C1983" s="227" t="s">
        <v>618</v>
      </c>
      <c r="F1983" s="227" t="s">
        <v>3002</v>
      </c>
    </row>
    <row r="1984" spans="1:6" x14ac:dyDescent="0.25">
      <c r="A1984" s="227" t="str">
        <f>TL[[#This Row],[Société]]&amp;" - "&amp;TL[[#This Row],[Compte]]</f>
        <v>VICTOIRE - 675100</v>
      </c>
      <c r="B1984" s="233" t="s">
        <v>2024</v>
      </c>
      <c r="C1984" s="227" t="s">
        <v>5316</v>
      </c>
      <c r="F1984" s="227" t="s">
        <v>3002</v>
      </c>
    </row>
    <row r="1985" spans="1:6" x14ac:dyDescent="0.25">
      <c r="A1985" s="227" t="str">
        <f>TL[[#This Row],[Société]]&amp;" - "&amp;TL[[#This Row],[Compte]]</f>
        <v>VICTOIRE - 675200</v>
      </c>
      <c r="B1985" s="233" t="s">
        <v>2025</v>
      </c>
      <c r="C1985" s="227" t="s">
        <v>5317</v>
      </c>
      <c r="D1985" s="233" t="s">
        <v>44</v>
      </c>
      <c r="E1985" s="233" t="s">
        <v>2995</v>
      </c>
      <c r="F1985" s="227" t="s">
        <v>3002</v>
      </c>
    </row>
    <row r="1986" spans="1:6" x14ac:dyDescent="0.25">
      <c r="A1986" s="227" t="str">
        <f>TL[[#This Row],[Société]]&amp;" - "&amp;TL[[#This Row],[Compte]]</f>
        <v>VICTOIRE - 675600</v>
      </c>
      <c r="B1986" s="233" t="s">
        <v>3331</v>
      </c>
      <c r="C1986" s="227" t="s">
        <v>5318</v>
      </c>
      <c r="F1986" s="227" t="s">
        <v>3002</v>
      </c>
    </row>
    <row r="1987" spans="1:6" x14ac:dyDescent="0.25">
      <c r="A1987" s="227" t="str">
        <f>TL[[#This Row],[Société]]&amp;" - "&amp;TL[[#This Row],[Compte]]</f>
        <v>VICTOIRE - 678800</v>
      </c>
      <c r="B1987" s="233" t="s">
        <v>3332</v>
      </c>
      <c r="C1987" s="227" t="s">
        <v>3333</v>
      </c>
      <c r="F1987" s="227" t="s">
        <v>3002</v>
      </c>
    </row>
    <row r="1988" spans="1:6" x14ac:dyDescent="0.25">
      <c r="A1988" s="227" t="str">
        <f>TL[[#This Row],[Société]]&amp;" - "&amp;TL[[#This Row],[Compte]]</f>
        <v>VICTOIRE - 681100</v>
      </c>
      <c r="B1988" s="233" t="s">
        <v>5319</v>
      </c>
      <c r="C1988" s="227" t="s">
        <v>5320</v>
      </c>
      <c r="D1988" s="233" t="s">
        <v>45</v>
      </c>
      <c r="E1988" s="233" t="s">
        <v>48</v>
      </c>
      <c r="F1988" s="227" t="s">
        <v>3002</v>
      </c>
    </row>
    <row r="1989" spans="1:6" x14ac:dyDescent="0.25">
      <c r="A1989" s="227" t="str">
        <f>TL[[#This Row],[Société]]&amp;" - "&amp;TL[[#This Row],[Compte]]</f>
        <v>VICTOIRE - 681110</v>
      </c>
      <c r="B1989" s="233" t="s">
        <v>1787</v>
      </c>
      <c r="C1989" s="227" t="s">
        <v>2939</v>
      </c>
      <c r="D1989" s="233" t="s">
        <v>45</v>
      </c>
      <c r="E1989" s="233" t="s">
        <v>48</v>
      </c>
      <c r="F1989" s="227" t="s">
        <v>3002</v>
      </c>
    </row>
    <row r="1990" spans="1:6" x14ac:dyDescent="0.25">
      <c r="A1990" s="227" t="str">
        <f>TL[[#This Row],[Société]]&amp;" - "&amp;TL[[#This Row],[Compte]]</f>
        <v>VICTOIRE - 681120</v>
      </c>
      <c r="B1990" s="233" t="s">
        <v>2026</v>
      </c>
      <c r="C1990" s="227" t="s">
        <v>5321</v>
      </c>
      <c r="D1990" s="233" t="s">
        <v>45</v>
      </c>
      <c r="E1990" s="233" t="s">
        <v>48</v>
      </c>
      <c r="F1990" s="227" t="s">
        <v>3002</v>
      </c>
    </row>
    <row r="1991" spans="1:6" x14ac:dyDescent="0.25">
      <c r="A1991" s="227" t="str">
        <f>TL[[#This Row],[Société]]&amp;" - "&amp;TL[[#This Row],[Compte]]</f>
        <v>VICTOIRE - 681200</v>
      </c>
      <c r="B1991" s="233" t="s">
        <v>5322</v>
      </c>
      <c r="C1991" s="227" t="s">
        <v>5323</v>
      </c>
      <c r="F1991" s="227" t="s">
        <v>3002</v>
      </c>
    </row>
    <row r="1992" spans="1:6" x14ac:dyDescent="0.25">
      <c r="A1992" s="227" t="str">
        <f>TL[[#This Row],[Société]]&amp;" - "&amp;TL[[#This Row],[Compte]]</f>
        <v>VICTOIRE - 681500</v>
      </c>
      <c r="B1992" s="233" t="s">
        <v>2027</v>
      </c>
      <c r="C1992" s="227" t="s">
        <v>5324</v>
      </c>
      <c r="F1992" s="227" t="s">
        <v>3002</v>
      </c>
    </row>
    <row r="1993" spans="1:6" x14ac:dyDescent="0.25">
      <c r="A1993" s="227" t="str">
        <f>TL[[#This Row],[Société]]&amp;" - "&amp;TL[[#This Row],[Compte]]</f>
        <v>VICTOIRE - 681610</v>
      </c>
      <c r="B1993" s="233" t="s">
        <v>5325</v>
      </c>
      <c r="C1993" s="227" t="s">
        <v>5326</v>
      </c>
      <c r="F1993" s="227" t="s">
        <v>3002</v>
      </c>
    </row>
    <row r="1994" spans="1:6" x14ac:dyDescent="0.25">
      <c r="A1994" s="227" t="str">
        <f>TL[[#This Row],[Société]]&amp;" - "&amp;TL[[#This Row],[Compte]]</f>
        <v>VICTOIRE - 681620</v>
      </c>
      <c r="B1994" s="233" t="s">
        <v>5327</v>
      </c>
      <c r="C1994" s="227" t="s">
        <v>5328</v>
      </c>
      <c r="F1994" s="227" t="s">
        <v>3002</v>
      </c>
    </row>
    <row r="1995" spans="1:6" x14ac:dyDescent="0.25">
      <c r="A1995" s="227" t="str">
        <f>TL[[#This Row],[Société]]&amp;" - "&amp;TL[[#This Row],[Compte]]</f>
        <v>VICTOIRE - 681730</v>
      </c>
      <c r="B1995" s="233" t="s">
        <v>5329</v>
      </c>
      <c r="C1995" s="227" t="s">
        <v>5330</v>
      </c>
      <c r="F1995" s="227" t="s">
        <v>3002</v>
      </c>
    </row>
    <row r="1996" spans="1:6" x14ac:dyDescent="0.25">
      <c r="A1996" s="227" t="str">
        <f>TL[[#This Row],[Société]]&amp;" - "&amp;TL[[#This Row],[Compte]]</f>
        <v>VICTOIRE - 681740</v>
      </c>
      <c r="B1996" s="233" t="s">
        <v>5331</v>
      </c>
      <c r="C1996" s="227" t="s">
        <v>5332</v>
      </c>
      <c r="F1996" s="227" t="s">
        <v>3002</v>
      </c>
    </row>
    <row r="1997" spans="1:6" x14ac:dyDescent="0.25">
      <c r="A1997" s="227" t="str">
        <f>TL[[#This Row],[Société]]&amp;" - "&amp;TL[[#This Row],[Compte]]</f>
        <v>VICTOIRE - 681745</v>
      </c>
      <c r="B1997" s="233" t="s">
        <v>5333</v>
      </c>
      <c r="C1997" s="227" t="s">
        <v>5334</v>
      </c>
      <c r="F1997" s="227" t="s">
        <v>3002</v>
      </c>
    </row>
    <row r="1998" spans="1:6" x14ac:dyDescent="0.25">
      <c r="A1998" s="227" t="str">
        <f>TL[[#This Row],[Société]]&amp;" - "&amp;TL[[#This Row],[Compte]]</f>
        <v>VICTOIRE - 686100</v>
      </c>
      <c r="B1998" s="233" t="s">
        <v>5335</v>
      </c>
      <c r="C1998" s="227" t="s">
        <v>5336</v>
      </c>
      <c r="F1998" s="227" t="s">
        <v>3002</v>
      </c>
    </row>
    <row r="1999" spans="1:6" x14ac:dyDescent="0.25">
      <c r="A1999" s="227" t="str">
        <f>TL[[#This Row],[Société]]&amp;" - "&amp;TL[[#This Row],[Compte]]</f>
        <v>VICTOIRE - 686400</v>
      </c>
      <c r="B1999" s="233" t="s">
        <v>5337</v>
      </c>
      <c r="C1999" s="227" t="s">
        <v>5338</v>
      </c>
      <c r="F1999" s="227" t="s">
        <v>3002</v>
      </c>
    </row>
    <row r="2000" spans="1:6" x14ac:dyDescent="0.25">
      <c r="A2000" s="227" t="str">
        <f>TL[[#This Row],[Société]]&amp;" - "&amp;TL[[#This Row],[Compte]]</f>
        <v>VICTOIRE - 686500</v>
      </c>
      <c r="B2000" s="233" t="s">
        <v>5339</v>
      </c>
      <c r="C2000" s="227" t="s">
        <v>5340</v>
      </c>
      <c r="F2000" s="227" t="s">
        <v>3002</v>
      </c>
    </row>
    <row r="2001" spans="1:6" x14ac:dyDescent="0.25">
      <c r="A2001" s="227" t="str">
        <f>TL[[#This Row],[Société]]&amp;" - "&amp;TL[[#This Row],[Compte]]</f>
        <v>VICTOIRE - 686620</v>
      </c>
      <c r="B2001" s="233" t="s">
        <v>2030</v>
      </c>
      <c r="C2001" s="227" t="s">
        <v>5341</v>
      </c>
      <c r="F2001" s="227" t="s">
        <v>3002</v>
      </c>
    </row>
    <row r="2002" spans="1:6" x14ac:dyDescent="0.25">
      <c r="A2002" s="227" t="str">
        <f>TL[[#This Row],[Société]]&amp;" - "&amp;TL[[#This Row],[Compte]]</f>
        <v>VICTOIRE - 686640</v>
      </c>
      <c r="B2002" s="233" t="s">
        <v>5342</v>
      </c>
      <c r="C2002" s="227" t="s">
        <v>5343</v>
      </c>
      <c r="F2002" s="227" t="s">
        <v>3002</v>
      </c>
    </row>
    <row r="2003" spans="1:6" x14ac:dyDescent="0.25">
      <c r="A2003" s="227" t="str">
        <f>TL[[#This Row],[Société]]&amp;" - "&amp;TL[[#This Row],[Compte]]</f>
        <v>VICTOIRE - 686650</v>
      </c>
      <c r="B2003" s="233" t="s">
        <v>2031</v>
      </c>
      <c r="C2003" s="227" t="s">
        <v>5344</v>
      </c>
      <c r="F2003" s="227" t="s">
        <v>3002</v>
      </c>
    </row>
    <row r="2004" spans="1:6" x14ac:dyDescent="0.25">
      <c r="A2004" s="227" t="str">
        <f>TL[[#This Row],[Société]]&amp;" - "&amp;TL[[#This Row],[Compte]]</f>
        <v>VICTOIRE - 687110</v>
      </c>
      <c r="B2004" s="233" t="s">
        <v>2033</v>
      </c>
      <c r="C2004" s="227" t="s">
        <v>621</v>
      </c>
      <c r="F2004" s="227" t="s">
        <v>3002</v>
      </c>
    </row>
    <row r="2005" spans="1:6" x14ac:dyDescent="0.25">
      <c r="A2005" s="227" t="str">
        <f>TL[[#This Row],[Société]]&amp;" - "&amp;TL[[#This Row],[Compte]]</f>
        <v>VICTOIRE - 687120</v>
      </c>
      <c r="B2005" s="233" t="s">
        <v>2034</v>
      </c>
      <c r="C2005" s="227" t="s">
        <v>313</v>
      </c>
      <c r="F2005" s="227" t="s">
        <v>3002</v>
      </c>
    </row>
    <row r="2006" spans="1:6" x14ac:dyDescent="0.25">
      <c r="A2006" s="227" t="str">
        <f>TL[[#This Row],[Société]]&amp;" - "&amp;TL[[#This Row],[Compte]]</f>
        <v>VICTOIRE - 687200</v>
      </c>
      <c r="B2006" s="233" t="s">
        <v>5345</v>
      </c>
      <c r="C2006" s="227" t="s">
        <v>5346</v>
      </c>
      <c r="F2006" s="227" t="s">
        <v>3002</v>
      </c>
    </row>
    <row r="2007" spans="1:6" x14ac:dyDescent="0.25">
      <c r="A2007" s="227" t="str">
        <f>TL[[#This Row],[Société]]&amp;" - "&amp;TL[[#This Row],[Compte]]</f>
        <v>VICTOIRE - 687250</v>
      </c>
      <c r="B2007" s="233" t="s">
        <v>2035</v>
      </c>
      <c r="C2007" s="227" t="s">
        <v>622</v>
      </c>
      <c r="F2007" s="227" t="s">
        <v>3002</v>
      </c>
    </row>
    <row r="2008" spans="1:6" x14ac:dyDescent="0.25">
      <c r="A2008" s="227" t="str">
        <f>TL[[#This Row],[Société]]&amp;" - "&amp;TL[[#This Row],[Compte]]</f>
        <v>VICTOIRE - 687300</v>
      </c>
      <c r="B2008" s="233" t="s">
        <v>5347</v>
      </c>
      <c r="C2008" s="227" t="s">
        <v>5346</v>
      </c>
      <c r="F2008" s="227" t="s">
        <v>3002</v>
      </c>
    </row>
    <row r="2009" spans="1:6" x14ac:dyDescent="0.25">
      <c r="A2009" s="227" t="str">
        <f>TL[[#This Row],[Société]]&amp;" - "&amp;TL[[#This Row],[Compte]]</f>
        <v>VICTOIRE - 687400</v>
      </c>
      <c r="B2009" s="233" t="s">
        <v>5348</v>
      </c>
      <c r="C2009" s="227" t="s">
        <v>5349</v>
      </c>
      <c r="F2009" s="227" t="s">
        <v>3002</v>
      </c>
    </row>
    <row r="2010" spans="1:6" x14ac:dyDescent="0.25">
      <c r="A2010" s="227" t="str">
        <f>TL[[#This Row],[Société]]&amp;" - "&amp;TL[[#This Row],[Compte]]</f>
        <v>VICTOIRE - 687500</v>
      </c>
      <c r="B2010" s="233" t="s">
        <v>5350</v>
      </c>
      <c r="C2010" s="227" t="s">
        <v>5351</v>
      </c>
      <c r="F2010" s="227" t="s">
        <v>3002</v>
      </c>
    </row>
    <row r="2011" spans="1:6" x14ac:dyDescent="0.25">
      <c r="A2011" s="227" t="str">
        <f>TL[[#This Row],[Société]]&amp;" - "&amp;TL[[#This Row],[Compte]]</f>
        <v>VICTOIRE - 687600</v>
      </c>
      <c r="B2011" s="233" t="s">
        <v>5352</v>
      </c>
      <c r="C2011" s="227" t="s">
        <v>5353</v>
      </c>
      <c r="F2011" s="227" t="s">
        <v>3002</v>
      </c>
    </row>
    <row r="2012" spans="1:6" x14ac:dyDescent="0.25">
      <c r="A2012" s="227" t="str">
        <f>TL[[#This Row],[Société]]&amp;" - "&amp;TL[[#This Row],[Compte]]</f>
        <v>VICTOIRE - 689000</v>
      </c>
      <c r="B2012" s="233" t="s">
        <v>5354</v>
      </c>
      <c r="C2012" s="227" t="s">
        <v>5355</v>
      </c>
      <c r="F2012" s="227" t="s">
        <v>3002</v>
      </c>
    </row>
    <row r="2013" spans="1:6" x14ac:dyDescent="0.25">
      <c r="A2013" s="227" t="str">
        <f>TL[[#This Row],[Société]]&amp;" - "&amp;TL[[#This Row],[Compte]]</f>
        <v>VICTOIRE - 691000</v>
      </c>
      <c r="B2013" s="233" t="s">
        <v>5356</v>
      </c>
      <c r="C2013" s="227" t="s">
        <v>3942</v>
      </c>
      <c r="F2013" s="227" t="s">
        <v>3002</v>
      </c>
    </row>
    <row r="2014" spans="1:6" x14ac:dyDescent="0.25">
      <c r="A2014" s="227" t="str">
        <f>TL[[#This Row],[Société]]&amp;" - "&amp;TL[[#This Row],[Compte]]</f>
        <v>VICTOIRE - 695000</v>
      </c>
      <c r="B2014" s="233" t="s">
        <v>2036</v>
      </c>
      <c r="C2014" s="227" t="s">
        <v>3335</v>
      </c>
      <c r="F2014" s="227" t="s">
        <v>3002</v>
      </c>
    </row>
    <row r="2015" spans="1:6" x14ac:dyDescent="0.25">
      <c r="A2015" s="227" t="str">
        <f>TL[[#This Row],[Société]]&amp;" - "&amp;TL[[#This Row],[Compte]]</f>
        <v>VICTOIRE - 695100</v>
      </c>
      <c r="B2015" s="233" t="s">
        <v>2037</v>
      </c>
      <c r="C2015" s="227" t="s">
        <v>5357</v>
      </c>
      <c r="D2015" s="233" t="s">
        <v>152</v>
      </c>
      <c r="E2015" s="233" t="s">
        <v>1303</v>
      </c>
      <c r="F2015" s="227" t="s">
        <v>3002</v>
      </c>
    </row>
    <row r="2016" spans="1:6" x14ac:dyDescent="0.25">
      <c r="A2016" s="227" t="str">
        <f>TL[[#This Row],[Société]]&amp;" - "&amp;TL[[#This Row],[Compte]]</f>
        <v>VICTOIRE - 696000</v>
      </c>
      <c r="B2016" s="233" t="s">
        <v>5358</v>
      </c>
      <c r="C2016" s="227" t="s">
        <v>5359</v>
      </c>
      <c r="F2016" s="227" t="s">
        <v>3002</v>
      </c>
    </row>
    <row r="2017" spans="1:6" x14ac:dyDescent="0.25">
      <c r="A2017" s="227" t="str">
        <f>TL[[#This Row],[Société]]&amp;" - "&amp;TL[[#This Row],[Compte]]</f>
        <v>VICTOIRE - 697000</v>
      </c>
      <c r="B2017" s="233" t="s">
        <v>5360</v>
      </c>
      <c r="C2017" s="227" t="s">
        <v>5361</v>
      </c>
      <c r="F2017" s="227" t="s">
        <v>3002</v>
      </c>
    </row>
    <row r="2018" spans="1:6" x14ac:dyDescent="0.25">
      <c r="A2018" s="227" t="str">
        <f>TL[[#This Row],[Société]]&amp;" - "&amp;TL[[#This Row],[Compte]]</f>
        <v>VICTOIRE - 698100</v>
      </c>
      <c r="B2018" s="233" t="s">
        <v>5362</v>
      </c>
      <c r="C2018" s="227" t="s">
        <v>5363</v>
      </c>
      <c r="F2018" s="227" t="s">
        <v>3002</v>
      </c>
    </row>
    <row r="2019" spans="1:6" x14ac:dyDescent="0.25">
      <c r="A2019" s="227" t="str">
        <f>TL[[#This Row],[Société]]&amp;" - "&amp;TL[[#This Row],[Compte]]</f>
        <v>VICTOIRE - 698900</v>
      </c>
      <c r="B2019" s="233" t="s">
        <v>5364</v>
      </c>
      <c r="C2019" s="227" t="s">
        <v>5365</v>
      </c>
      <c r="F2019" s="227" t="s">
        <v>3002</v>
      </c>
    </row>
    <row r="2020" spans="1:6" x14ac:dyDescent="0.25">
      <c r="A2020" s="227" t="str">
        <f>TL[[#This Row],[Société]]&amp;" - "&amp;TL[[#This Row],[Compte]]</f>
        <v>VICTOIRE - 699000</v>
      </c>
      <c r="B2020" s="233" t="s">
        <v>5366</v>
      </c>
      <c r="C2020" s="227" t="s">
        <v>5367</v>
      </c>
      <c r="D2020" s="233" t="s">
        <v>152</v>
      </c>
      <c r="E2020" s="233" t="s">
        <v>1303</v>
      </c>
      <c r="F2020" s="227" t="s">
        <v>3002</v>
      </c>
    </row>
    <row r="2021" spans="1:6" x14ac:dyDescent="0.25">
      <c r="A2021" s="227" t="str">
        <f>TL[[#This Row],[Société]]&amp;" - "&amp;TL[[#This Row],[Compte]]</f>
        <v>VICTOIRE - 699500</v>
      </c>
      <c r="B2021" s="233" t="s">
        <v>5368</v>
      </c>
      <c r="C2021" s="227" t="s">
        <v>5369</v>
      </c>
      <c r="F2021" s="227" t="s">
        <v>3002</v>
      </c>
    </row>
    <row r="2022" spans="1:6" x14ac:dyDescent="0.25">
      <c r="A2022" s="227" t="str">
        <f>TL[[#This Row],[Société]]&amp;" - "&amp;TL[[#This Row],[Compte]]</f>
        <v>VICTOIRE - 699600</v>
      </c>
      <c r="B2022" s="233" t="s">
        <v>5370</v>
      </c>
      <c r="C2022" s="227" t="s">
        <v>5371</v>
      </c>
      <c r="F2022" s="227" t="s">
        <v>3002</v>
      </c>
    </row>
    <row r="2023" spans="1:6" x14ac:dyDescent="0.25">
      <c r="A2023" s="227" t="str">
        <f>TL[[#This Row],[Société]]&amp;" - "&amp;TL[[#This Row],[Compte]]</f>
        <v>VICTOIRE - 701000</v>
      </c>
      <c r="B2023" s="233" t="s">
        <v>5372</v>
      </c>
      <c r="C2023" s="227" t="s">
        <v>2831</v>
      </c>
      <c r="D2023" s="233" t="s">
        <v>143</v>
      </c>
      <c r="E2023" s="233" t="s">
        <v>5</v>
      </c>
      <c r="F2023" s="227" t="s">
        <v>3002</v>
      </c>
    </row>
    <row r="2024" spans="1:6" x14ac:dyDescent="0.25">
      <c r="A2024" s="227" t="str">
        <f>TL[[#This Row],[Société]]&amp;" - "&amp;TL[[#This Row],[Compte]]</f>
        <v>VICTOIRE - 701020</v>
      </c>
      <c r="B2024" s="233" t="s">
        <v>2049</v>
      </c>
      <c r="C2024" s="227" t="s">
        <v>2168</v>
      </c>
      <c r="F2024" s="227" t="s">
        <v>3002</v>
      </c>
    </row>
    <row r="2025" spans="1:6" x14ac:dyDescent="0.25">
      <c r="A2025" s="227" t="str">
        <f>TL[[#This Row],[Société]]&amp;" - "&amp;TL[[#This Row],[Compte]]</f>
        <v>VICTOIRE - 701100</v>
      </c>
      <c r="B2025" s="233" t="s">
        <v>2050</v>
      </c>
      <c r="C2025" s="227" t="s">
        <v>5373</v>
      </c>
      <c r="F2025" s="227" t="s">
        <v>3002</v>
      </c>
    </row>
    <row r="2026" spans="1:6" x14ac:dyDescent="0.25">
      <c r="A2026" s="227" t="str">
        <f>TL[[#This Row],[Société]]&amp;" - "&amp;TL[[#This Row],[Compte]]</f>
        <v>VICTOIRE - 701200</v>
      </c>
      <c r="B2026" s="233" t="s">
        <v>2814</v>
      </c>
      <c r="C2026" s="227" t="s">
        <v>2832</v>
      </c>
      <c r="D2026" s="233" t="s">
        <v>143</v>
      </c>
      <c r="E2026" s="233" t="s">
        <v>5</v>
      </c>
      <c r="F2026" s="227" t="s">
        <v>3002</v>
      </c>
    </row>
    <row r="2027" spans="1:6" x14ac:dyDescent="0.25">
      <c r="A2027" s="227" t="str">
        <f>TL[[#This Row],[Société]]&amp;" - "&amp;TL[[#This Row],[Compte]]</f>
        <v>VICTOIRE - 701300</v>
      </c>
      <c r="B2027" s="233" t="s">
        <v>5374</v>
      </c>
      <c r="C2027" s="227" t="s">
        <v>5375</v>
      </c>
      <c r="D2027" s="233" t="s">
        <v>149</v>
      </c>
      <c r="E2027" s="233" t="s">
        <v>3004</v>
      </c>
      <c r="F2027" s="227" t="s">
        <v>3002</v>
      </c>
    </row>
    <row r="2028" spans="1:6" x14ac:dyDescent="0.25">
      <c r="A2028" s="227" t="str">
        <f>TL[[#This Row],[Société]]&amp;" - "&amp;TL[[#This Row],[Compte]]</f>
        <v>VICTOIRE - 701400</v>
      </c>
      <c r="B2028" s="233" t="s">
        <v>5376</v>
      </c>
      <c r="C2028" s="227" t="s">
        <v>2833</v>
      </c>
      <c r="D2028" s="233" t="s">
        <v>143</v>
      </c>
      <c r="E2028" s="233" t="s">
        <v>5</v>
      </c>
      <c r="F2028" s="227" t="s">
        <v>3002</v>
      </c>
    </row>
    <row r="2029" spans="1:6" x14ac:dyDescent="0.25">
      <c r="A2029" s="227" t="str">
        <f>TL[[#This Row],[Société]]&amp;" - "&amp;TL[[#This Row],[Compte]]</f>
        <v>VICTOIRE - 701900</v>
      </c>
      <c r="B2029" s="233" t="s">
        <v>5377</v>
      </c>
      <c r="C2029" s="227" t="s">
        <v>5378</v>
      </c>
      <c r="F2029" s="227" t="s">
        <v>3002</v>
      </c>
    </row>
    <row r="2030" spans="1:6" x14ac:dyDescent="0.25">
      <c r="A2030" s="227" t="str">
        <f>TL[[#This Row],[Société]]&amp;" - "&amp;TL[[#This Row],[Compte]]</f>
        <v>VICTOIRE - 701920</v>
      </c>
      <c r="B2030" s="233" t="s">
        <v>5379</v>
      </c>
      <c r="C2030" s="227" t="s">
        <v>5380</v>
      </c>
      <c r="F2030" s="227" t="s">
        <v>3002</v>
      </c>
    </row>
    <row r="2031" spans="1:6" x14ac:dyDescent="0.25">
      <c r="A2031" s="227" t="str">
        <f>TL[[#This Row],[Société]]&amp;" - "&amp;TL[[#This Row],[Compte]]</f>
        <v>VICTOIRE - 702000</v>
      </c>
      <c r="B2031" s="233" t="s">
        <v>5381</v>
      </c>
      <c r="C2031" s="227" t="s">
        <v>2946</v>
      </c>
      <c r="D2031" s="233" t="s">
        <v>149</v>
      </c>
      <c r="E2031" s="233" t="s">
        <v>3004</v>
      </c>
      <c r="F2031" s="227" t="s">
        <v>3002</v>
      </c>
    </row>
    <row r="2032" spans="1:6" x14ac:dyDescent="0.25">
      <c r="A2032" s="227" t="str">
        <f>TL[[#This Row],[Société]]&amp;" - "&amp;TL[[#This Row],[Compte]]</f>
        <v>VICTOIRE - 702100</v>
      </c>
      <c r="B2032" s="233" t="s">
        <v>5382</v>
      </c>
      <c r="C2032" s="227" t="s">
        <v>5383</v>
      </c>
      <c r="F2032" s="227" t="s">
        <v>3002</v>
      </c>
    </row>
    <row r="2033" spans="1:6" x14ac:dyDescent="0.25">
      <c r="A2033" s="227" t="str">
        <f>TL[[#This Row],[Société]]&amp;" - "&amp;TL[[#This Row],[Compte]]</f>
        <v>VICTOIRE - 702200</v>
      </c>
      <c r="B2033" s="233" t="s">
        <v>5384</v>
      </c>
      <c r="C2033" s="227" t="s">
        <v>2947</v>
      </c>
      <c r="D2033" s="233" t="s">
        <v>149</v>
      </c>
      <c r="E2033" s="233" t="s">
        <v>3004</v>
      </c>
      <c r="F2033" s="227" t="s">
        <v>3002</v>
      </c>
    </row>
    <row r="2034" spans="1:6" x14ac:dyDescent="0.25">
      <c r="A2034" s="227" t="str">
        <f>TL[[#This Row],[Société]]&amp;" - "&amp;TL[[#This Row],[Compte]]</f>
        <v>VICTOIRE - 702400</v>
      </c>
      <c r="B2034" s="233" t="s">
        <v>5385</v>
      </c>
      <c r="C2034" s="227" t="s">
        <v>2948</v>
      </c>
      <c r="D2034" s="233" t="s">
        <v>149</v>
      </c>
      <c r="E2034" s="233" t="s">
        <v>3004</v>
      </c>
      <c r="F2034" s="227" t="s">
        <v>3002</v>
      </c>
    </row>
    <row r="2035" spans="1:6" x14ac:dyDescent="0.25">
      <c r="A2035" s="227" t="str">
        <f>TL[[#This Row],[Société]]&amp;" - "&amp;TL[[#This Row],[Compte]]</f>
        <v>VICTOIRE - 702900</v>
      </c>
      <c r="B2035" s="233" t="s">
        <v>5386</v>
      </c>
      <c r="C2035" s="227" t="s">
        <v>5387</v>
      </c>
      <c r="F2035" s="227" t="s">
        <v>3002</v>
      </c>
    </row>
    <row r="2036" spans="1:6" x14ac:dyDescent="0.25">
      <c r="A2036" s="227" t="str">
        <f>TL[[#This Row],[Société]]&amp;" - "&amp;TL[[#This Row],[Compte]]</f>
        <v>VICTOIRE - 702920</v>
      </c>
      <c r="B2036" s="233" t="s">
        <v>5388</v>
      </c>
      <c r="C2036" s="227" t="s">
        <v>5389</v>
      </c>
      <c r="F2036" s="227" t="s">
        <v>3002</v>
      </c>
    </row>
    <row r="2037" spans="1:6" x14ac:dyDescent="0.25">
      <c r="A2037" s="227" t="str">
        <f>TL[[#This Row],[Société]]&amp;" - "&amp;TL[[#This Row],[Compte]]</f>
        <v>VICTOIRE - 703000</v>
      </c>
      <c r="B2037" s="233" t="s">
        <v>5390</v>
      </c>
      <c r="C2037" s="227" t="s">
        <v>5391</v>
      </c>
      <c r="F2037" s="227" t="s">
        <v>3002</v>
      </c>
    </row>
    <row r="2038" spans="1:6" x14ac:dyDescent="0.25">
      <c r="A2038" s="227" t="str">
        <f>TL[[#This Row],[Société]]&amp;" - "&amp;TL[[#This Row],[Compte]]</f>
        <v>VICTOIRE - 703900</v>
      </c>
      <c r="B2038" s="233" t="s">
        <v>5392</v>
      </c>
      <c r="C2038" s="227" t="s">
        <v>5393</v>
      </c>
      <c r="F2038" s="227" t="s">
        <v>3002</v>
      </c>
    </row>
    <row r="2039" spans="1:6" x14ac:dyDescent="0.25">
      <c r="A2039" s="227" t="str">
        <f>TL[[#This Row],[Société]]&amp;" - "&amp;TL[[#This Row],[Compte]]</f>
        <v>VICTOIRE - 703920</v>
      </c>
      <c r="B2039" s="233" t="s">
        <v>5394</v>
      </c>
      <c r="C2039" s="227" t="s">
        <v>5395</v>
      </c>
      <c r="F2039" s="227" t="s">
        <v>3002</v>
      </c>
    </row>
    <row r="2040" spans="1:6" x14ac:dyDescent="0.25">
      <c r="A2040" s="227" t="str">
        <f>TL[[#This Row],[Société]]&amp;" - "&amp;TL[[#This Row],[Compte]]</f>
        <v>VICTOIRE - 704000</v>
      </c>
      <c r="B2040" s="233" t="s">
        <v>5396</v>
      </c>
      <c r="C2040" s="227" t="s">
        <v>5397</v>
      </c>
      <c r="F2040" s="227" t="s">
        <v>3002</v>
      </c>
    </row>
    <row r="2041" spans="1:6" x14ac:dyDescent="0.25">
      <c r="A2041" s="227" t="str">
        <f>TL[[#This Row],[Société]]&amp;" - "&amp;TL[[#This Row],[Compte]]</f>
        <v>VICTOIRE - 704900</v>
      </c>
      <c r="B2041" s="233" t="s">
        <v>5398</v>
      </c>
      <c r="C2041" s="227" t="s">
        <v>5399</v>
      </c>
      <c r="F2041" s="227" t="s">
        <v>3002</v>
      </c>
    </row>
    <row r="2042" spans="1:6" x14ac:dyDescent="0.25">
      <c r="A2042" s="227" t="str">
        <f>TL[[#This Row],[Société]]&amp;" - "&amp;TL[[#This Row],[Compte]]</f>
        <v>VICTOIRE - 704920</v>
      </c>
      <c r="B2042" s="233" t="s">
        <v>5400</v>
      </c>
      <c r="C2042" s="227" t="s">
        <v>5401</v>
      </c>
      <c r="F2042" s="227" t="s">
        <v>3002</v>
      </c>
    </row>
    <row r="2043" spans="1:6" x14ac:dyDescent="0.25">
      <c r="A2043" s="227" t="str">
        <f>TL[[#This Row],[Société]]&amp;" - "&amp;TL[[#This Row],[Compte]]</f>
        <v>VICTOIRE - 705000</v>
      </c>
      <c r="B2043" s="233" t="s">
        <v>5402</v>
      </c>
      <c r="C2043" s="227" t="s">
        <v>5403</v>
      </c>
      <c r="F2043" s="227" t="s">
        <v>3002</v>
      </c>
    </row>
    <row r="2044" spans="1:6" x14ac:dyDescent="0.25">
      <c r="A2044" s="227" t="str">
        <f>TL[[#This Row],[Société]]&amp;" - "&amp;TL[[#This Row],[Compte]]</f>
        <v>VICTOIRE - 705900</v>
      </c>
      <c r="B2044" s="233" t="s">
        <v>5404</v>
      </c>
      <c r="C2044" s="227" t="s">
        <v>5405</v>
      </c>
      <c r="F2044" s="227" t="s">
        <v>3002</v>
      </c>
    </row>
    <row r="2045" spans="1:6" x14ac:dyDescent="0.25">
      <c r="A2045" s="227" t="str">
        <f>TL[[#This Row],[Société]]&amp;" - "&amp;TL[[#This Row],[Compte]]</f>
        <v>VICTOIRE - 705920</v>
      </c>
      <c r="B2045" s="233" t="s">
        <v>5406</v>
      </c>
      <c r="C2045" s="227" t="s">
        <v>5407</v>
      </c>
      <c r="F2045" s="227" t="s">
        <v>3002</v>
      </c>
    </row>
    <row r="2046" spans="1:6" x14ac:dyDescent="0.25">
      <c r="A2046" s="227" t="str">
        <f>TL[[#This Row],[Société]]&amp;" - "&amp;TL[[#This Row],[Compte]]</f>
        <v>VICTOIRE - 706000</v>
      </c>
      <c r="B2046" s="233" t="s">
        <v>5408</v>
      </c>
      <c r="C2046" s="227" t="s">
        <v>5409</v>
      </c>
      <c r="F2046" s="227" t="s">
        <v>3002</v>
      </c>
    </row>
    <row r="2047" spans="1:6" x14ac:dyDescent="0.25">
      <c r="A2047" s="227" t="str">
        <f>TL[[#This Row],[Société]]&amp;" - "&amp;TL[[#This Row],[Compte]]</f>
        <v>VICTOIRE - 706800</v>
      </c>
      <c r="B2047" s="233" t="s">
        <v>5410</v>
      </c>
      <c r="C2047" s="227" t="s">
        <v>5411</v>
      </c>
      <c r="F2047" s="227" t="s">
        <v>3002</v>
      </c>
    </row>
    <row r="2048" spans="1:6" x14ac:dyDescent="0.25">
      <c r="A2048" s="227" t="str">
        <f>TL[[#This Row],[Société]]&amp;" - "&amp;TL[[#This Row],[Compte]]</f>
        <v>VICTOIRE - 706900</v>
      </c>
      <c r="B2048" s="233" t="s">
        <v>5412</v>
      </c>
      <c r="C2048" s="227" t="s">
        <v>5413</v>
      </c>
      <c r="F2048" s="227" t="s">
        <v>3002</v>
      </c>
    </row>
    <row r="2049" spans="1:6" x14ac:dyDescent="0.25">
      <c r="A2049" s="227" t="str">
        <f>TL[[#This Row],[Société]]&amp;" - "&amp;TL[[#This Row],[Compte]]</f>
        <v>VICTOIRE - 706920</v>
      </c>
      <c r="B2049" s="233" t="s">
        <v>5414</v>
      </c>
      <c r="C2049" s="227" t="s">
        <v>5415</v>
      </c>
      <c r="F2049" s="227" t="s">
        <v>3002</v>
      </c>
    </row>
    <row r="2050" spans="1:6" x14ac:dyDescent="0.25">
      <c r="A2050" s="227" t="str">
        <f>TL[[#This Row],[Société]]&amp;" - "&amp;TL[[#This Row],[Compte]]</f>
        <v>VICTOIRE - 707000</v>
      </c>
      <c r="B2050" s="233" t="s">
        <v>5416</v>
      </c>
      <c r="C2050" s="227" t="s">
        <v>5417</v>
      </c>
      <c r="F2050" s="227" t="s">
        <v>3002</v>
      </c>
    </row>
    <row r="2051" spans="1:6" x14ac:dyDescent="0.25">
      <c r="A2051" s="227" t="str">
        <f>TL[[#This Row],[Société]]&amp;" - "&amp;TL[[#This Row],[Compte]]</f>
        <v>VICTOIRE - 707080</v>
      </c>
      <c r="B2051" s="233" t="s">
        <v>5418</v>
      </c>
      <c r="C2051" s="227" t="s">
        <v>5419</v>
      </c>
      <c r="F2051" s="227" t="s">
        <v>3002</v>
      </c>
    </row>
    <row r="2052" spans="1:6" x14ac:dyDescent="0.25">
      <c r="A2052" s="227" t="str">
        <f>TL[[#This Row],[Société]]&amp;" - "&amp;TL[[#This Row],[Compte]]</f>
        <v>VICTOIRE - 707100</v>
      </c>
      <c r="B2052" s="233" t="s">
        <v>5420</v>
      </c>
      <c r="C2052" s="227" t="s">
        <v>5421</v>
      </c>
      <c r="F2052" s="227" t="s">
        <v>3002</v>
      </c>
    </row>
    <row r="2053" spans="1:6" x14ac:dyDescent="0.25">
      <c r="A2053" s="227" t="str">
        <f>TL[[#This Row],[Société]]&amp;" - "&amp;TL[[#This Row],[Compte]]</f>
        <v>VICTOIRE - 707200</v>
      </c>
      <c r="B2053" s="233" t="s">
        <v>5422</v>
      </c>
      <c r="C2053" s="227" t="s">
        <v>5423</v>
      </c>
      <c r="F2053" s="227" t="s">
        <v>3002</v>
      </c>
    </row>
    <row r="2054" spans="1:6" x14ac:dyDescent="0.25">
      <c r="A2054" s="227" t="str">
        <f>TL[[#This Row],[Société]]&amp;" - "&amp;TL[[#This Row],[Compte]]</f>
        <v>VICTOIRE - 707900</v>
      </c>
      <c r="B2054" s="233" t="s">
        <v>5424</v>
      </c>
      <c r="C2054" s="227" t="s">
        <v>5425</v>
      </c>
      <c r="F2054" s="227" t="s">
        <v>3002</v>
      </c>
    </row>
    <row r="2055" spans="1:6" x14ac:dyDescent="0.25">
      <c r="A2055" s="227" t="str">
        <f>TL[[#This Row],[Société]]&amp;" - "&amp;TL[[#This Row],[Compte]]</f>
        <v>VICTOIRE - 707920</v>
      </c>
      <c r="B2055" s="233" t="s">
        <v>5426</v>
      </c>
      <c r="C2055" s="227" t="s">
        <v>5427</v>
      </c>
      <c r="F2055" s="227" t="s">
        <v>3002</v>
      </c>
    </row>
    <row r="2056" spans="1:6" x14ac:dyDescent="0.25">
      <c r="A2056" s="227" t="str">
        <f>TL[[#This Row],[Société]]&amp;" - "&amp;TL[[#This Row],[Compte]]</f>
        <v>VICTOIRE - 708000</v>
      </c>
      <c r="B2056" s="233" t="s">
        <v>1735</v>
      </c>
      <c r="C2056" s="227" t="s">
        <v>5428</v>
      </c>
      <c r="F2056" s="227" t="s">
        <v>3002</v>
      </c>
    </row>
    <row r="2057" spans="1:6" x14ac:dyDescent="0.25">
      <c r="A2057" s="227" t="str">
        <f>TL[[#This Row],[Société]]&amp;" - "&amp;TL[[#This Row],[Compte]]</f>
        <v>VICTOIRE - 708100</v>
      </c>
      <c r="B2057" s="233" t="s">
        <v>2053</v>
      </c>
      <c r="C2057" s="227" t="s">
        <v>5429</v>
      </c>
      <c r="D2057" s="233" t="s">
        <v>0</v>
      </c>
      <c r="E2057" s="233" t="s">
        <v>7</v>
      </c>
      <c r="F2057" s="227" t="s">
        <v>3002</v>
      </c>
    </row>
    <row r="2058" spans="1:6" x14ac:dyDescent="0.25">
      <c r="A2058" s="227" t="str">
        <f>TL[[#This Row],[Société]]&amp;" - "&amp;TL[[#This Row],[Compte]]</f>
        <v>VICTOIRE - 708101</v>
      </c>
      <c r="B2058" s="233" t="s">
        <v>2054</v>
      </c>
      <c r="C2058" s="227" t="s">
        <v>4435</v>
      </c>
      <c r="D2058" s="233" t="s">
        <v>0</v>
      </c>
      <c r="E2058" s="233" t="s">
        <v>7</v>
      </c>
      <c r="F2058" s="227" t="s">
        <v>3002</v>
      </c>
    </row>
    <row r="2059" spans="1:6" x14ac:dyDescent="0.25">
      <c r="A2059" s="227" t="str">
        <f>TL[[#This Row],[Société]]&amp;" - "&amp;TL[[#This Row],[Compte]]</f>
        <v>VICTOIRE - 708102</v>
      </c>
      <c r="B2059" s="233" t="s">
        <v>5430</v>
      </c>
      <c r="C2059" s="227" t="s">
        <v>5431</v>
      </c>
      <c r="F2059" s="227" t="s">
        <v>3002</v>
      </c>
    </row>
    <row r="2060" spans="1:6" x14ac:dyDescent="0.25">
      <c r="A2060" s="227" t="str">
        <f>TL[[#This Row],[Société]]&amp;" - "&amp;TL[[#This Row],[Compte]]</f>
        <v>VICTOIRE - 708104</v>
      </c>
      <c r="B2060" s="233" t="s">
        <v>2055</v>
      </c>
      <c r="C2060" s="227" t="s">
        <v>5432</v>
      </c>
      <c r="F2060" s="227" t="s">
        <v>3002</v>
      </c>
    </row>
    <row r="2061" spans="1:6" x14ac:dyDescent="0.25">
      <c r="A2061" s="227" t="str">
        <f>TL[[#This Row],[Société]]&amp;" - "&amp;TL[[#This Row],[Compte]]</f>
        <v>VICTOIRE - 708105</v>
      </c>
      <c r="B2061" s="233" t="s">
        <v>5433</v>
      </c>
      <c r="C2061" s="227" t="s">
        <v>5434</v>
      </c>
      <c r="F2061" s="227" t="s">
        <v>3002</v>
      </c>
    </row>
    <row r="2062" spans="1:6" x14ac:dyDescent="0.25">
      <c r="A2062" s="227" t="str">
        <f>TL[[#This Row],[Société]]&amp;" - "&amp;TL[[#This Row],[Compte]]</f>
        <v>VICTOIRE - 708200</v>
      </c>
      <c r="B2062" s="233" t="s">
        <v>2056</v>
      </c>
      <c r="C2062" s="227" t="s">
        <v>5435</v>
      </c>
      <c r="F2062" s="227" t="s">
        <v>3002</v>
      </c>
    </row>
    <row r="2063" spans="1:6" x14ac:dyDescent="0.25">
      <c r="A2063" s="227" t="str">
        <f>TL[[#This Row],[Société]]&amp;" - "&amp;TL[[#This Row],[Compte]]</f>
        <v>VICTOIRE - 708290</v>
      </c>
      <c r="B2063" s="233" t="s">
        <v>5436</v>
      </c>
      <c r="C2063" s="227" t="s">
        <v>5437</v>
      </c>
      <c r="F2063" s="227" t="s">
        <v>3002</v>
      </c>
    </row>
    <row r="2064" spans="1:6" x14ac:dyDescent="0.25">
      <c r="A2064" s="227" t="str">
        <f>TL[[#This Row],[Société]]&amp;" - "&amp;TL[[#This Row],[Compte]]</f>
        <v>VICTOIRE - 708300</v>
      </c>
      <c r="B2064" s="233" t="s">
        <v>2057</v>
      </c>
      <c r="C2064" s="227" t="s">
        <v>607</v>
      </c>
      <c r="F2064" s="227" t="s">
        <v>3002</v>
      </c>
    </row>
    <row r="2065" spans="1:6" x14ac:dyDescent="0.25">
      <c r="A2065" s="227" t="str">
        <f>TL[[#This Row],[Société]]&amp;" - "&amp;TL[[#This Row],[Compte]]</f>
        <v>VICTOIRE - 708320</v>
      </c>
      <c r="B2065" s="233" t="s">
        <v>5438</v>
      </c>
      <c r="C2065" s="227" t="s">
        <v>5439</v>
      </c>
      <c r="F2065" s="227" t="s">
        <v>3002</v>
      </c>
    </row>
    <row r="2066" spans="1:6" x14ac:dyDescent="0.25">
      <c r="A2066" s="227" t="str">
        <f>TL[[#This Row],[Société]]&amp;" - "&amp;TL[[#This Row],[Compte]]</f>
        <v>VICTOIRE - 708390</v>
      </c>
      <c r="B2066" s="233" t="s">
        <v>5440</v>
      </c>
      <c r="C2066" s="227" t="s">
        <v>5441</v>
      </c>
      <c r="F2066" s="227" t="s">
        <v>3002</v>
      </c>
    </row>
    <row r="2067" spans="1:6" x14ac:dyDescent="0.25">
      <c r="A2067" s="227" t="str">
        <f>TL[[#This Row],[Société]]&amp;" - "&amp;TL[[#This Row],[Compte]]</f>
        <v>VICTOIRE - 708400</v>
      </c>
      <c r="B2067" s="233" t="s">
        <v>2058</v>
      </c>
      <c r="C2067" s="227" t="s">
        <v>5442</v>
      </c>
      <c r="F2067" s="227" t="s">
        <v>3002</v>
      </c>
    </row>
    <row r="2068" spans="1:6" x14ac:dyDescent="0.25">
      <c r="A2068" s="227" t="str">
        <f>TL[[#This Row],[Société]]&amp;" - "&amp;TL[[#This Row],[Compte]]</f>
        <v>VICTOIRE - 708490</v>
      </c>
      <c r="B2068" s="233" t="s">
        <v>5443</v>
      </c>
      <c r="C2068" s="227" t="s">
        <v>5444</v>
      </c>
      <c r="F2068" s="227" t="s">
        <v>3002</v>
      </c>
    </row>
    <row r="2069" spans="1:6" x14ac:dyDescent="0.25">
      <c r="A2069" s="227" t="str">
        <f>TL[[#This Row],[Société]]&amp;" - "&amp;TL[[#This Row],[Compte]]</f>
        <v>VICTOIRE - 708500</v>
      </c>
      <c r="B2069" s="233" t="s">
        <v>3348</v>
      </c>
      <c r="C2069" s="227" t="s">
        <v>5445</v>
      </c>
      <c r="F2069" s="227" t="s">
        <v>3002</v>
      </c>
    </row>
    <row r="2070" spans="1:6" x14ac:dyDescent="0.25">
      <c r="A2070" s="227" t="str">
        <f>TL[[#This Row],[Société]]&amp;" - "&amp;TL[[#This Row],[Compte]]</f>
        <v>VICTOIRE - 708520</v>
      </c>
      <c r="B2070" s="233" t="s">
        <v>5446</v>
      </c>
      <c r="C2070" s="227" t="s">
        <v>5447</v>
      </c>
      <c r="F2070" s="227" t="s">
        <v>3002</v>
      </c>
    </row>
    <row r="2071" spans="1:6" x14ac:dyDescent="0.25">
      <c r="A2071" s="227" t="str">
        <f>TL[[#This Row],[Société]]&amp;" - "&amp;TL[[#This Row],[Compte]]</f>
        <v>VICTOIRE - 708590</v>
      </c>
      <c r="B2071" s="233" t="s">
        <v>5448</v>
      </c>
      <c r="C2071" s="227" t="s">
        <v>5449</v>
      </c>
      <c r="F2071" s="227" t="s">
        <v>3002</v>
      </c>
    </row>
    <row r="2072" spans="1:6" x14ac:dyDescent="0.25">
      <c r="A2072" s="227" t="str">
        <f>TL[[#This Row],[Société]]&amp;" - "&amp;TL[[#This Row],[Compte]]</f>
        <v>VICTOIRE - 708800</v>
      </c>
      <c r="B2072" s="233" t="s">
        <v>1737</v>
      </c>
      <c r="C2072" s="227" t="s">
        <v>5450</v>
      </c>
      <c r="F2072" s="227" t="s">
        <v>3002</v>
      </c>
    </row>
    <row r="2073" spans="1:6" x14ac:dyDescent="0.25">
      <c r="A2073" s="227" t="str">
        <f>TL[[#This Row],[Société]]&amp;" - "&amp;TL[[#This Row],[Compte]]</f>
        <v>VICTOIRE - 708801</v>
      </c>
      <c r="B2073" s="233" t="s">
        <v>5451</v>
      </c>
      <c r="C2073" s="227" t="s">
        <v>2838</v>
      </c>
      <c r="D2073" s="233" t="s">
        <v>0</v>
      </c>
      <c r="E2073" s="233" t="s">
        <v>7</v>
      </c>
      <c r="F2073" s="227" t="s">
        <v>3002</v>
      </c>
    </row>
    <row r="2074" spans="1:6" x14ac:dyDescent="0.25">
      <c r="A2074" s="227" t="str">
        <f>TL[[#This Row],[Société]]&amp;" - "&amp;TL[[#This Row],[Compte]]</f>
        <v>VICTOIRE - 708802</v>
      </c>
      <c r="B2074" s="233" t="s">
        <v>5452</v>
      </c>
      <c r="C2074" s="227" t="s">
        <v>5453</v>
      </c>
      <c r="D2074" s="240" t="s">
        <v>0</v>
      </c>
      <c r="E2074" s="233" t="s">
        <v>7</v>
      </c>
      <c r="F2074" s="227" t="s">
        <v>3002</v>
      </c>
    </row>
    <row r="2075" spans="1:6" x14ac:dyDescent="0.25">
      <c r="A2075" s="227" t="str">
        <f>TL[[#This Row],[Société]]&amp;" - "&amp;TL[[#This Row],[Compte]]</f>
        <v>VICTOIRE - 708803</v>
      </c>
      <c r="B2075" s="233" t="s">
        <v>5454</v>
      </c>
      <c r="C2075" s="227" t="s">
        <v>5455</v>
      </c>
      <c r="D2075" s="233" t="s">
        <v>7</v>
      </c>
      <c r="E2075" s="233" t="s">
        <v>0</v>
      </c>
      <c r="F2075" s="227" t="s">
        <v>3002</v>
      </c>
    </row>
    <row r="2076" spans="1:6" x14ac:dyDescent="0.25">
      <c r="A2076" s="227" t="str">
        <f>TL[[#This Row],[Société]]&amp;" - "&amp;TL[[#This Row],[Compte]]</f>
        <v>VICTOIRE - 708804</v>
      </c>
      <c r="B2076" s="233" t="s">
        <v>5456</v>
      </c>
      <c r="C2076" s="227" t="s">
        <v>5457</v>
      </c>
      <c r="D2076" s="233" t="s">
        <v>150</v>
      </c>
      <c r="E2076" s="233" t="s">
        <v>3004</v>
      </c>
      <c r="F2076" s="227" t="s">
        <v>3002</v>
      </c>
    </row>
    <row r="2077" spans="1:6" x14ac:dyDescent="0.25">
      <c r="A2077" s="227" t="str">
        <f>TL[[#This Row],[Société]]&amp;" - "&amp;TL[[#This Row],[Compte]]</f>
        <v>VICTOIRE - 708805</v>
      </c>
      <c r="B2077" s="233" t="s">
        <v>5458</v>
      </c>
      <c r="C2077" s="227" t="s">
        <v>5459</v>
      </c>
      <c r="D2077" s="233" t="s">
        <v>23</v>
      </c>
      <c r="E2077" s="233" t="s">
        <v>2978</v>
      </c>
      <c r="F2077" s="227" t="s">
        <v>3002</v>
      </c>
    </row>
    <row r="2078" spans="1:6" x14ac:dyDescent="0.25">
      <c r="A2078" s="227" t="str">
        <f>TL[[#This Row],[Société]]&amp;" - "&amp;TL[[#This Row],[Compte]]</f>
        <v>VICTOIRE - 708806</v>
      </c>
      <c r="B2078" s="233" t="s">
        <v>5460</v>
      </c>
      <c r="C2078" s="227" t="s">
        <v>2911</v>
      </c>
      <c r="D2078" s="233" t="s">
        <v>0</v>
      </c>
      <c r="E2078" s="233" t="s">
        <v>25</v>
      </c>
      <c r="F2078" s="227" t="s">
        <v>3002</v>
      </c>
    </row>
    <row r="2079" spans="1:6" x14ac:dyDescent="0.25">
      <c r="A2079" s="227" t="str">
        <f>TL[[#This Row],[Société]]&amp;" - "&amp;TL[[#This Row],[Compte]]</f>
        <v>VICTOIRE - 708807</v>
      </c>
      <c r="B2079" s="233" t="s">
        <v>5461</v>
      </c>
      <c r="C2079" s="227" t="s">
        <v>2861</v>
      </c>
      <c r="D2079" s="233" t="s">
        <v>13</v>
      </c>
      <c r="E2079" s="233" t="s">
        <v>12</v>
      </c>
      <c r="F2079" s="227" t="s">
        <v>3002</v>
      </c>
    </row>
    <row r="2080" spans="1:6" x14ac:dyDescent="0.25">
      <c r="A2080" s="227" t="str">
        <f>TL[[#This Row],[Société]]&amp;" - "&amp;TL[[#This Row],[Compte]]</f>
        <v>VICTOIRE - 708808</v>
      </c>
      <c r="B2080" s="233" t="s">
        <v>5462</v>
      </c>
      <c r="C2080" s="227" t="s">
        <v>2869</v>
      </c>
      <c r="D2080" s="233" t="s">
        <v>15</v>
      </c>
      <c r="E2080" s="233" t="s">
        <v>13</v>
      </c>
      <c r="F2080" s="227" t="s">
        <v>3002</v>
      </c>
    </row>
    <row r="2081" spans="1:6" x14ac:dyDescent="0.25">
      <c r="A2081" s="227" t="str">
        <f>TL[[#This Row],[Société]]&amp;" - "&amp;TL[[#This Row],[Compte]]</f>
        <v>VICTOIRE - 708809</v>
      </c>
      <c r="B2081" s="233" t="s">
        <v>5463</v>
      </c>
      <c r="C2081" s="227" t="s">
        <v>2847</v>
      </c>
      <c r="D2081" s="233" t="s">
        <v>12</v>
      </c>
      <c r="E2081" s="233" t="s">
        <v>3</v>
      </c>
      <c r="F2081" s="227" t="s">
        <v>3002</v>
      </c>
    </row>
    <row r="2082" spans="1:6" x14ac:dyDescent="0.25">
      <c r="A2082" s="227" t="str">
        <f>TL[[#This Row],[Société]]&amp;" - "&amp;TL[[#This Row],[Compte]]</f>
        <v>VICTOIRE - 708810</v>
      </c>
      <c r="B2082" s="233" t="s">
        <v>2061</v>
      </c>
      <c r="C2082" s="227" t="s">
        <v>2855</v>
      </c>
      <c r="D2082" s="233" t="s">
        <v>12</v>
      </c>
      <c r="E2082" s="233" t="s">
        <v>71</v>
      </c>
      <c r="F2082" s="227" t="s">
        <v>3002</v>
      </c>
    </row>
    <row r="2083" spans="1:6" x14ac:dyDescent="0.25">
      <c r="A2083" s="227" t="str">
        <f>TL[[#This Row],[Société]]&amp;" - "&amp;TL[[#This Row],[Compte]]</f>
        <v>VICTOIRE - 708811</v>
      </c>
      <c r="B2083" s="233" t="s">
        <v>2062</v>
      </c>
      <c r="C2083" s="227" t="s">
        <v>2152</v>
      </c>
      <c r="D2083" s="233" t="s">
        <v>0</v>
      </c>
      <c r="E2083" s="233" t="s">
        <v>7</v>
      </c>
      <c r="F2083" s="227" t="s">
        <v>3002</v>
      </c>
    </row>
    <row r="2084" spans="1:6" x14ac:dyDescent="0.25">
      <c r="A2084" s="227" t="str">
        <f>TL[[#This Row],[Société]]&amp;" - "&amp;TL[[#This Row],[Compte]]</f>
        <v>VICTOIRE - 708870</v>
      </c>
      <c r="B2084" s="233" t="s">
        <v>2571</v>
      </c>
      <c r="C2084" s="227" t="s">
        <v>2916</v>
      </c>
      <c r="D2084" s="233" t="s">
        <v>18</v>
      </c>
      <c r="E2084" s="233" t="s">
        <v>32</v>
      </c>
      <c r="F2084" s="227" t="s">
        <v>3002</v>
      </c>
    </row>
    <row r="2085" spans="1:6" x14ac:dyDescent="0.25">
      <c r="A2085" s="227" t="str">
        <f>TL[[#This Row],[Société]]&amp;" - "&amp;TL[[#This Row],[Compte]]</f>
        <v>VICTOIRE - 708880</v>
      </c>
      <c r="B2085" s="233" t="s">
        <v>2608</v>
      </c>
      <c r="C2085" s="227" t="s">
        <v>5464</v>
      </c>
      <c r="D2085" s="240" t="s">
        <v>25</v>
      </c>
      <c r="E2085" s="233" t="s">
        <v>23</v>
      </c>
      <c r="F2085" s="227" t="s">
        <v>3002</v>
      </c>
    </row>
    <row r="2086" spans="1:6" x14ac:dyDescent="0.25">
      <c r="A2086" s="227" t="str">
        <f>TL[[#This Row],[Société]]&amp;" - "&amp;TL[[#This Row],[Compte]]</f>
        <v>VICTOIRE - 708890</v>
      </c>
      <c r="B2086" s="233" t="s">
        <v>3360</v>
      </c>
      <c r="C2086" s="227" t="s">
        <v>5465</v>
      </c>
      <c r="F2086" s="227" t="s">
        <v>3002</v>
      </c>
    </row>
    <row r="2087" spans="1:6" x14ac:dyDescent="0.25">
      <c r="A2087" s="227" t="str">
        <f>TL[[#This Row],[Société]]&amp;" - "&amp;TL[[#This Row],[Compte]]</f>
        <v>VICTOIRE - 709100</v>
      </c>
      <c r="B2087" s="233" t="s">
        <v>5466</v>
      </c>
      <c r="C2087" s="227" t="s">
        <v>5467</v>
      </c>
      <c r="F2087" s="227" t="s">
        <v>3002</v>
      </c>
    </row>
    <row r="2088" spans="1:6" x14ac:dyDescent="0.25">
      <c r="A2088" s="227" t="str">
        <f>TL[[#This Row],[Société]]&amp;" - "&amp;TL[[#This Row],[Compte]]</f>
        <v>VICTOIRE - 709190</v>
      </c>
      <c r="B2088" s="233" t="s">
        <v>5468</v>
      </c>
      <c r="C2088" s="227" t="s">
        <v>5469</v>
      </c>
      <c r="F2088" s="227" t="s">
        <v>3002</v>
      </c>
    </row>
    <row r="2089" spans="1:6" x14ac:dyDescent="0.25">
      <c r="A2089" s="227" t="str">
        <f>TL[[#This Row],[Société]]&amp;" - "&amp;TL[[#This Row],[Compte]]</f>
        <v>VICTOIRE - 709200</v>
      </c>
      <c r="B2089" s="233" t="s">
        <v>5470</v>
      </c>
      <c r="C2089" s="227" t="s">
        <v>5471</v>
      </c>
      <c r="F2089" s="227" t="s">
        <v>3002</v>
      </c>
    </row>
    <row r="2090" spans="1:6" x14ac:dyDescent="0.25">
      <c r="A2090" s="227" t="str">
        <f>TL[[#This Row],[Société]]&amp;" - "&amp;TL[[#This Row],[Compte]]</f>
        <v>VICTOIRE - 709290</v>
      </c>
      <c r="B2090" s="233" t="s">
        <v>5472</v>
      </c>
      <c r="C2090" s="227" t="s">
        <v>5473</v>
      </c>
      <c r="F2090" s="227" t="s">
        <v>3002</v>
      </c>
    </row>
    <row r="2091" spans="1:6" x14ac:dyDescent="0.25">
      <c r="A2091" s="227" t="str">
        <f>TL[[#This Row],[Société]]&amp;" - "&amp;TL[[#This Row],[Compte]]</f>
        <v>VICTOIRE - 709400</v>
      </c>
      <c r="B2091" s="233" t="s">
        <v>5474</v>
      </c>
      <c r="C2091" s="227" t="s">
        <v>5475</v>
      </c>
      <c r="F2091" s="227" t="s">
        <v>3002</v>
      </c>
    </row>
    <row r="2092" spans="1:6" x14ac:dyDescent="0.25">
      <c r="A2092" s="227" t="str">
        <f>TL[[#This Row],[Société]]&amp;" - "&amp;TL[[#This Row],[Compte]]</f>
        <v>VICTOIRE - 709490</v>
      </c>
      <c r="B2092" s="233" t="s">
        <v>5476</v>
      </c>
      <c r="C2092" s="227" t="s">
        <v>5477</v>
      </c>
      <c r="F2092" s="227" t="s">
        <v>3002</v>
      </c>
    </row>
    <row r="2093" spans="1:6" x14ac:dyDescent="0.25">
      <c r="A2093" s="227" t="str">
        <f>TL[[#This Row],[Société]]&amp;" - "&amp;TL[[#This Row],[Compte]]</f>
        <v>VICTOIRE - 709500</v>
      </c>
      <c r="B2093" s="233" t="s">
        <v>5478</v>
      </c>
      <c r="C2093" s="227" t="s">
        <v>5479</v>
      </c>
      <c r="F2093" s="227" t="s">
        <v>3002</v>
      </c>
    </row>
    <row r="2094" spans="1:6" x14ac:dyDescent="0.25">
      <c r="A2094" s="227" t="str">
        <f>TL[[#This Row],[Société]]&amp;" - "&amp;TL[[#This Row],[Compte]]</f>
        <v>VICTOIRE - 709590</v>
      </c>
      <c r="B2094" s="233" t="s">
        <v>5480</v>
      </c>
      <c r="C2094" s="227" t="s">
        <v>5481</v>
      </c>
      <c r="F2094" s="227" t="s">
        <v>3002</v>
      </c>
    </row>
    <row r="2095" spans="1:6" x14ac:dyDescent="0.25">
      <c r="A2095" s="227" t="str">
        <f>TL[[#This Row],[Société]]&amp;" - "&amp;TL[[#This Row],[Compte]]</f>
        <v>VICTOIRE - 709600</v>
      </c>
      <c r="B2095" s="233" t="s">
        <v>5482</v>
      </c>
      <c r="C2095" s="227" t="s">
        <v>5483</v>
      </c>
      <c r="F2095" s="227" t="s">
        <v>3002</v>
      </c>
    </row>
    <row r="2096" spans="1:6" x14ac:dyDescent="0.25">
      <c r="A2096" s="227" t="str">
        <f>TL[[#This Row],[Société]]&amp;" - "&amp;TL[[#This Row],[Compte]]</f>
        <v>VICTOIRE - 709690</v>
      </c>
      <c r="B2096" s="233" t="s">
        <v>5484</v>
      </c>
      <c r="C2096" s="227" t="s">
        <v>5485</v>
      </c>
      <c r="F2096" s="227" t="s">
        <v>3002</v>
      </c>
    </row>
    <row r="2097" spans="1:6" x14ac:dyDescent="0.25">
      <c r="A2097" s="227" t="str">
        <f>TL[[#This Row],[Société]]&amp;" - "&amp;TL[[#This Row],[Compte]]</f>
        <v>VICTOIRE - 709700</v>
      </c>
      <c r="B2097" s="233" t="s">
        <v>5486</v>
      </c>
      <c r="C2097" s="227" t="s">
        <v>5487</v>
      </c>
      <c r="F2097" s="227" t="s">
        <v>3002</v>
      </c>
    </row>
    <row r="2098" spans="1:6" x14ac:dyDescent="0.25">
      <c r="A2098" s="227" t="str">
        <f>TL[[#This Row],[Société]]&amp;" - "&amp;TL[[#This Row],[Compte]]</f>
        <v>VICTOIRE - 709790</v>
      </c>
      <c r="B2098" s="233" t="s">
        <v>5488</v>
      </c>
      <c r="C2098" s="227" t="s">
        <v>5489</v>
      </c>
      <c r="F2098" s="227" t="s">
        <v>3002</v>
      </c>
    </row>
    <row r="2099" spans="1:6" x14ac:dyDescent="0.25">
      <c r="A2099" s="227" t="str">
        <f>TL[[#This Row],[Société]]&amp;" - "&amp;TL[[#This Row],[Compte]]</f>
        <v>VICTOIRE - 709800</v>
      </c>
      <c r="B2099" s="233" t="s">
        <v>5490</v>
      </c>
      <c r="C2099" s="227" t="s">
        <v>5491</v>
      </c>
      <c r="F2099" s="227" t="s">
        <v>3002</v>
      </c>
    </row>
    <row r="2100" spans="1:6" x14ac:dyDescent="0.25">
      <c r="A2100" s="227" t="str">
        <f>TL[[#This Row],[Société]]&amp;" - "&amp;TL[[#This Row],[Compte]]</f>
        <v>VICTOIRE - 709890</v>
      </c>
      <c r="B2100" s="233" t="s">
        <v>5492</v>
      </c>
      <c r="C2100" s="227" t="s">
        <v>5493</v>
      </c>
      <c r="F2100" s="227" t="s">
        <v>3002</v>
      </c>
    </row>
    <row r="2101" spans="1:6" x14ac:dyDescent="0.25">
      <c r="A2101" s="227" t="str">
        <f>TL[[#This Row],[Société]]&amp;" - "&amp;TL[[#This Row],[Compte]]</f>
        <v>VICTOIRE - 713300</v>
      </c>
      <c r="B2101" s="233" t="s">
        <v>5494</v>
      </c>
      <c r="C2101" s="227" t="s">
        <v>5495</v>
      </c>
      <c r="F2101" s="227" t="s">
        <v>3002</v>
      </c>
    </row>
    <row r="2102" spans="1:6" x14ac:dyDescent="0.25">
      <c r="A2102" s="227" t="str">
        <f>TL[[#This Row],[Société]]&amp;" - "&amp;TL[[#This Row],[Compte]]</f>
        <v>VICTOIRE - 713400</v>
      </c>
      <c r="B2102" s="233" t="s">
        <v>5496</v>
      </c>
      <c r="C2102" s="227" t="s">
        <v>5497</v>
      </c>
      <c r="F2102" s="227" t="s">
        <v>3002</v>
      </c>
    </row>
    <row r="2103" spans="1:6" x14ac:dyDescent="0.25">
      <c r="A2103" s="227" t="str">
        <f>TL[[#This Row],[Société]]&amp;" - "&amp;TL[[#This Row],[Compte]]</f>
        <v>VICTOIRE - 713500</v>
      </c>
      <c r="B2103" s="233" t="s">
        <v>5498</v>
      </c>
      <c r="C2103" s="227" t="s">
        <v>5499</v>
      </c>
      <c r="F2103" s="227" t="s">
        <v>3002</v>
      </c>
    </row>
    <row r="2104" spans="1:6" x14ac:dyDescent="0.25">
      <c r="A2104" s="227" t="str">
        <f>TL[[#This Row],[Société]]&amp;" - "&amp;TL[[#This Row],[Compte]]</f>
        <v>VICTOIRE - 720000</v>
      </c>
      <c r="B2104" s="233" t="s">
        <v>5500</v>
      </c>
      <c r="C2104" s="227" t="s">
        <v>5501</v>
      </c>
      <c r="F2104" s="227" t="s">
        <v>3002</v>
      </c>
    </row>
    <row r="2105" spans="1:6" x14ac:dyDescent="0.25">
      <c r="A2105" s="227" t="str">
        <f>TL[[#This Row],[Société]]&amp;" - "&amp;TL[[#This Row],[Compte]]</f>
        <v>VICTOIRE - 721000</v>
      </c>
      <c r="B2105" s="233" t="s">
        <v>5502</v>
      </c>
      <c r="C2105" s="227" t="s">
        <v>5503</v>
      </c>
      <c r="F2105" s="227" t="s">
        <v>3002</v>
      </c>
    </row>
    <row r="2106" spans="1:6" x14ac:dyDescent="0.25">
      <c r="A2106" s="227" t="str">
        <f>TL[[#This Row],[Société]]&amp;" - "&amp;TL[[#This Row],[Compte]]</f>
        <v>VICTOIRE - 722000</v>
      </c>
      <c r="B2106" s="233" t="s">
        <v>5504</v>
      </c>
      <c r="C2106" s="227" t="s">
        <v>5505</v>
      </c>
      <c r="F2106" s="227" t="s">
        <v>3002</v>
      </c>
    </row>
    <row r="2107" spans="1:6" x14ac:dyDescent="0.25">
      <c r="A2107" s="227" t="str">
        <f>TL[[#This Row],[Société]]&amp;" - "&amp;TL[[#This Row],[Compte]]</f>
        <v>VICTOIRE - 726000</v>
      </c>
      <c r="B2107" s="233" t="s">
        <v>5506</v>
      </c>
      <c r="C2107" s="227" t="s">
        <v>2848</v>
      </c>
      <c r="D2107" s="233" t="s">
        <v>12</v>
      </c>
      <c r="E2107" s="233" t="s">
        <v>3</v>
      </c>
      <c r="F2107" s="227" t="s">
        <v>3002</v>
      </c>
    </row>
    <row r="2108" spans="1:6" x14ac:dyDescent="0.25">
      <c r="A2108" s="227" t="str">
        <f>TL[[#This Row],[Société]]&amp;" - "&amp;TL[[#This Row],[Compte]]</f>
        <v>VICTOIRE - 726100</v>
      </c>
      <c r="B2108" s="233" t="s">
        <v>1746</v>
      </c>
      <c r="C2108" s="227" t="s">
        <v>2862</v>
      </c>
      <c r="D2108" s="233" t="s">
        <v>13</v>
      </c>
      <c r="E2108" s="233" t="s">
        <v>12</v>
      </c>
      <c r="F2108" s="227" t="s">
        <v>3002</v>
      </c>
    </row>
    <row r="2109" spans="1:6" x14ac:dyDescent="0.25">
      <c r="A2109" s="227" t="str">
        <f>TL[[#This Row],[Société]]&amp;" - "&amp;TL[[#This Row],[Compte]]</f>
        <v>VICTOIRE - 730000</v>
      </c>
      <c r="B2109" s="233" t="s">
        <v>5507</v>
      </c>
      <c r="C2109" s="227" t="s">
        <v>5508</v>
      </c>
      <c r="F2109" s="227" t="s">
        <v>3002</v>
      </c>
    </row>
    <row r="2110" spans="1:6" x14ac:dyDescent="0.25">
      <c r="A2110" s="227" t="str">
        <f>TL[[#This Row],[Société]]&amp;" - "&amp;TL[[#This Row],[Compte]]</f>
        <v>VICTOIRE - 740000</v>
      </c>
      <c r="B2110" s="233" t="s">
        <v>3362</v>
      </c>
      <c r="C2110" s="227" t="s">
        <v>3363</v>
      </c>
      <c r="F2110" s="227" t="s">
        <v>3002</v>
      </c>
    </row>
    <row r="2111" spans="1:6" x14ac:dyDescent="0.25">
      <c r="A2111" s="227" t="str">
        <f>TL[[#This Row],[Société]]&amp;" - "&amp;TL[[#This Row],[Compte]]</f>
        <v>VICTOIRE - 740001</v>
      </c>
      <c r="B2111" s="233" t="s">
        <v>3364</v>
      </c>
      <c r="C2111" s="227" t="s">
        <v>5509</v>
      </c>
      <c r="D2111" s="233" t="s">
        <v>50</v>
      </c>
      <c r="E2111" s="233" t="s">
        <v>52</v>
      </c>
      <c r="F2111" s="227" t="s">
        <v>3002</v>
      </c>
    </row>
    <row r="2112" spans="1:6" x14ac:dyDescent="0.25">
      <c r="A2112" s="227" t="str">
        <f>TL[[#This Row],[Société]]&amp;" - "&amp;TL[[#This Row],[Compte]]</f>
        <v>VICTOIRE - 740010</v>
      </c>
      <c r="B2112" s="233" t="s">
        <v>5510</v>
      </c>
      <c r="C2112" s="227" t="s">
        <v>5511</v>
      </c>
      <c r="D2112" s="233" t="s">
        <v>50</v>
      </c>
      <c r="E2112" s="233" t="s">
        <v>52</v>
      </c>
      <c r="F2112" s="227" t="s">
        <v>3002</v>
      </c>
    </row>
    <row r="2113" spans="1:6" x14ac:dyDescent="0.25">
      <c r="A2113" s="227" t="str">
        <f>TL[[#This Row],[Société]]&amp;" - "&amp;TL[[#This Row],[Compte]]</f>
        <v>VICTOIRE - 740020</v>
      </c>
      <c r="B2113" s="233" t="s">
        <v>5512</v>
      </c>
      <c r="C2113" s="227" t="s">
        <v>5513</v>
      </c>
      <c r="D2113" s="233" t="s">
        <v>50</v>
      </c>
      <c r="E2113" s="233" t="s">
        <v>52</v>
      </c>
      <c r="F2113" s="227" t="s">
        <v>3002</v>
      </c>
    </row>
    <row r="2114" spans="1:6" x14ac:dyDescent="0.25">
      <c r="A2114" s="227" t="str">
        <f>TL[[#This Row],[Société]]&amp;" - "&amp;TL[[#This Row],[Compte]]</f>
        <v>VICTOIRE - 751000</v>
      </c>
      <c r="B2114" s="233" t="s">
        <v>5514</v>
      </c>
      <c r="C2114" s="227" t="s">
        <v>5515</v>
      </c>
      <c r="F2114" s="227" t="s">
        <v>3002</v>
      </c>
    </row>
    <row r="2115" spans="1:6" x14ac:dyDescent="0.25">
      <c r="A2115" s="227" t="str">
        <f>TL[[#This Row],[Société]]&amp;" - "&amp;TL[[#This Row],[Compte]]</f>
        <v>VICTOIRE - 751100</v>
      </c>
      <c r="B2115" s="233" t="s">
        <v>5516</v>
      </c>
      <c r="C2115" s="227" t="s">
        <v>5517</v>
      </c>
      <c r="F2115" s="227" t="s">
        <v>3002</v>
      </c>
    </row>
    <row r="2116" spans="1:6" x14ac:dyDescent="0.25">
      <c r="A2116" s="227" t="str">
        <f>TL[[#This Row],[Société]]&amp;" - "&amp;TL[[#This Row],[Compte]]</f>
        <v>VICTOIRE - 751600</v>
      </c>
      <c r="B2116" s="233" t="s">
        <v>5518</v>
      </c>
      <c r="C2116" s="227" t="s">
        <v>5260</v>
      </c>
      <c r="F2116" s="227" t="s">
        <v>3002</v>
      </c>
    </row>
    <row r="2117" spans="1:6" x14ac:dyDescent="0.25">
      <c r="A2117" s="227" t="str">
        <f>TL[[#This Row],[Société]]&amp;" - "&amp;TL[[#This Row],[Compte]]</f>
        <v>VICTOIRE - 752000</v>
      </c>
      <c r="B2117" s="233" t="s">
        <v>5519</v>
      </c>
      <c r="C2117" s="227" t="s">
        <v>5520</v>
      </c>
      <c r="F2117" s="227" t="s">
        <v>3002</v>
      </c>
    </row>
    <row r="2118" spans="1:6" x14ac:dyDescent="0.25">
      <c r="A2118" s="227" t="str">
        <f>TL[[#This Row],[Société]]&amp;" - "&amp;TL[[#This Row],[Compte]]</f>
        <v>VICTOIRE - 753000</v>
      </c>
      <c r="B2118" s="233" t="s">
        <v>5521</v>
      </c>
      <c r="C2118" s="227" t="s">
        <v>5522</v>
      </c>
      <c r="F2118" s="227" t="s">
        <v>3002</v>
      </c>
    </row>
    <row r="2119" spans="1:6" x14ac:dyDescent="0.25">
      <c r="A2119" s="227" t="str">
        <f>TL[[#This Row],[Société]]&amp;" - "&amp;TL[[#This Row],[Compte]]</f>
        <v>VICTOIRE - 755000</v>
      </c>
      <c r="B2119" s="233" t="s">
        <v>5523</v>
      </c>
      <c r="C2119" s="227" t="s">
        <v>5524</v>
      </c>
      <c r="F2119" s="227" t="s">
        <v>3002</v>
      </c>
    </row>
    <row r="2120" spans="1:6" x14ac:dyDescent="0.25">
      <c r="A2120" s="227" t="str">
        <f>TL[[#This Row],[Société]]&amp;" - "&amp;TL[[#This Row],[Compte]]</f>
        <v>VICTOIRE - 756000</v>
      </c>
      <c r="B2120" s="233" t="s">
        <v>5525</v>
      </c>
      <c r="C2120" s="227" t="s">
        <v>5526</v>
      </c>
      <c r="F2120" s="227" t="s">
        <v>3002</v>
      </c>
    </row>
    <row r="2121" spans="1:6" x14ac:dyDescent="0.25">
      <c r="A2121" s="227" t="str">
        <f>TL[[#This Row],[Société]]&amp;" - "&amp;TL[[#This Row],[Compte]]</f>
        <v>VICTOIRE - 758000</v>
      </c>
      <c r="B2121" s="233" t="s">
        <v>1744</v>
      </c>
      <c r="C2121" s="227" t="s">
        <v>5527</v>
      </c>
      <c r="D2121" s="233" t="s">
        <v>50</v>
      </c>
      <c r="E2121" s="233" t="s">
        <v>2982</v>
      </c>
      <c r="F2121" s="227" t="s">
        <v>3002</v>
      </c>
    </row>
    <row r="2122" spans="1:6" x14ac:dyDescent="0.25">
      <c r="A2122" s="227" t="str">
        <f>TL[[#This Row],[Société]]&amp;" - "&amp;TL[[#This Row],[Compte]]</f>
        <v>VICTOIRE - 758100</v>
      </c>
      <c r="B2122" s="233" t="s">
        <v>5528</v>
      </c>
      <c r="C2122" s="227" t="s">
        <v>2926</v>
      </c>
      <c r="D2122" s="233" t="s">
        <v>30</v>
      </c>
      <c r="E2122" s="233" t="s">
        <v>2982</v>
      </c>
      <c r="F2122" s="227" t="s">
        <v>3002</v>
      </c>
    </row>
    <row r="2123" spans="1:6" x14ac:dyDescent="0.25">
      <c r="A2123" s="227" t="str">
        <f>TL[[#This Row],[Société]]&amp;" - "&amp;TL[[#This Row],[Compte]]</f>
        <v>VICTOIRE - 761000</v>
      </c>
      <c r="B2123" s="233" t="s">
        <v>5529</v>
      </c>
      <c r="C2123" s="227" t="s">
        <v>5530</v>
      </c>
      <c r="F2123" s="227" t="s">
        <v>3002</v>
      </c>
    </row>
    <row r="2124" spans="1:6" x14ac:dyDescent="0.25">
      <c r="A2124" s="227" t="str">
        <f>TL[[#This Row],[Société]]&amp;" - "&amp;TL[[#This Row],[Compte]]</f>
        <v>VICTOIRE - 762000</v>
      </c>
      <c r="B2124" s="233" t="s">
        <v>5531</v>
      </c>
      <c r="C2124" s="227" t="s">
        <v>5532</v>
      </c>
      <c r="F2124" s="227" t="s">
        <v>3002</v>
      </c>
    </row>
    <row r="2125" spans="1:6" x14ac:dyDescent="0.25">
      <c r="A2125" s="227" t="str">
        <f>TL[[#This Row],[Société]]&amp;" - "&amp;TL[[#This Row],[Compte]]</f>
        <v>VICTOIRE - 762100</v>
      </c>
      <c r="B2125" s="233" t="s">
        <v>5533</v>
      </c>
      <c r="C2125" s="227" t="s">
        <v>5534</v>
      </c>
      <c r="F2125" s="227" t="s">
        <v>3002</v>
      </c>
    </row>
    <row r="2126" spans="1:6" x14ac:dyDescent="0.25">
      <c r="A2126" s="227" t="str">
        <f>TL[[#This Row],[Société]]&amp;" - "&amp;TL[[#This Row],[Compte]]</f>
        <v>VICTOIRE - 762400</v>
      </c>
      <c r="B2126" s="233" t="s">
        <v>5535</v>
      </c>
      <c r="C2126" s="227" t="s">
        <v>5536</v>
      </c>
      <c r="F2126" s="227" t="s">
        <v>3002</v>
      </c>
    </row>
    <row r="2127" spans="1:6" x14ac:dyDescent="0.25">
      <c r="A2127" s="227" t="str">
        <f>TL[[#This Row],[Société]]&amp;" - "&amp;TL[[#This Row],[Compte]]</f>
        <v>VICTOIRE - 762700</v>
      </c>
      <c r="B2127" s="233" t="s">
        <v>5537</v>
      </c>
      <c r="C2127" s="227" t="s">
        <v>5538</v>
      </c>
      <c r="F2127" s="227" t="s">
        <v>3002</v>
      </c>
    </row>
    <row r="2128" spans="1:6" x14ac:dyDescent="0.25">
      <c r="A2128" s="227" t="str">
        <f>TL[[#This Row],[Société]]&amp;" - "&amp;TL[[#This Row],[Compte]]</f>
        <v>VICTOIRE - 763000</v>
      </c>
      <c r="B2128" s="233" t="s">
        <v>5539</v>
      </c>
      <c r="C2128" s="227" t="s">
        <v>5540</v>
      </c>
      <c r="F2128" s="227" t="s">
        <v>3002</v>
      </c>
    </row>
    <row r="2129" spans="1:6" x14ac:dyDescent="0.25">
      <c r="A2129" s="227" t="str">
        <f>TL[[#This Row],[Société]]&amp;" - "&amp;TL[[#This Row],[Compte]]</f>
        <v>VICTOIRE - 763100</v>
      </c>
      <c r="B2129" s="233" t="s">
        <v>5541</v>
      </c>
      <c r="C2129" s="227" t="s">
        <v>5542</v>
      </c>
      <c r="F2129" s="227" t="s">
        <v>3002</v>
      </c>
    </row>
    <row r="2130" spans="1:6" x14ac:dyDescent="0.25">
      <c r="A2130" s="227" t="str">
        <f>TL[[#This Row],[Société]]&amp;" - "&amp;TL[[#This Row],[Compte]]</f>
        <v>VICTOIRE - 763800</v>
      </c>
      <c r="B2130" s="233" t="s">
        <v>1763</v>
      </c>
      <c r="C2130" s="227" t="s">
        <v>463</v>
      </c>
      <c r="F2130" s="227" t="s">
        <v>3002</v>
      </c>
    </row>
    <row r="2131" spans="1:6" x14ac:dyDescent="0.25">
      <c r="A2131" s="227" t="str">
        <f>TL[[#This Row],[Société]]&amp;" - "&amp;TL[[#This Row],[Compte]]</f>
        <v>VICTOIRE - 764000</v>
      </c>
      <c r="B2131" s="233" t="s">
        <v>2067</v>
      </c>
      <c r="C2131" s="227" t="s">
        <v>5543</v>
      </c>
      <c r="F2131" s="227" t="s">
        <v>3002</v>
      </c>
    </row>
    <row r="2132" spans="1:6" x14ac:dyDescent="0.25">
      <c r="A2132" s="227" t="str">
        <f>TL[[#This Row],[Société]]&amp;" - "&amp;TL[[#This Row],[Compte]]</f>
        <v>VICTOIRE - 765000</v>
      </c>
      <c r="B2132" s="233" t="s">
        <v>5544</v>
      </c>
      <c r="C2132" s="227" t="s">
        <v>5545</v>
      </c>
      <c r="F2132" s="227" t="s">
        <v>3002</v>
      </c>
    </row>
    <row r="2133" spans="1:6" x14ac:dyDescent="0.25">
      <c r="A2133" s="227" t="str">
        <f>TL[[#This Row],[Société]]&amp;" - "&amp;TL[[#This Row],[Compte]]</f>
        <v>VICTOIRE - 766000</v>
      </c>
      <c r="B2133" s="233" t="s">
        <v>2069</v>
      </c>
      <c r="C2133" s="227" t="s">
        <v>940</v>
      </c>
      <c r="F2133" s="227" t="s">
        <v>3002</v>
      </c>
    </row>
    <row r="2134" spans="1:6" x14ac:dyDescent="0.25">
      <c r="A2134" s="227" t="str">
        <f>TL[[#This Row],[Société]]&amp;" - "&amp;TL[[#This Row],[Compte]]</f>
        <v>VICTOIRE - 767000</v>
      </c>
      <c r="B2134" s="233" t="s">
        <v>2070</v>
      </c>
      <c r="C2134" s="227" t="s">
        <v>5546</v>
      </c>
      <c r="F2134" s="227" t="s">
        <v>3002</v>
      </c>
    </row>
    <row r="2135" spans="1:6" x14ac:dyDescent="0.25">
      <c r="A2135" s="227" t="str">
        <f>TL[[#This Row],[Société]]&amp;" - "&amp;TL[[#This Row],[Compte]]</f>
        <v>VICTOIRE - 768000</v>
      </c>
      <c r="B2135" s="233" t="s">
        <v>5547</v>
      </c>
      <c r="C2135" s="227" t="s">
        <v>5548</v>
      </c>
      <c r="D2135" s="233" t="s">
        <v>48</v>
      </c>
      <c r="E2135" s="233" t="s">
        <v>286</v>
      </c>
      <c r="F2135" s="227" t="s">
        <v>3002</v>
      </c>
    </row>
    <row r="2136" spans="1:6" x14ac:dyDescent="0.25">
      <c r="A2136" s="227" t="str">
        <f>TL[[#This Row],[Société]]&amp;" - "&amp;TL[[#This Row],[Compte]]</f>
        <v>VICTOIRE - 768800</v>
      </c>
      <c r="B2136" s="233" t="s">
        <v>2073</v>
      </c>
      <c r="C2136" s="227" t="s">
        <v>5298</v>
      </c>
      <c r="F2136" s="227" t="s">
        <v>3002</v>
      </c>
    </row>
    <row r="2137" spans="1:6" x14ac:dyDescent="0.25">
      <c r="A2137" s="227" t="str">
        <f>TL[[#This Row],[Société]]&amp;" - "&amp;TL[[#This Row],[Compte]]</f>
        <v>VICTOIRE - 771000</v>
      </c>
      <c r="B2137" s="233" t="s">
        <v>3374</v>
      </c>
      <c r="C2137" s="227" t="s">
        <v>5549</v>
      </c>
      <c r="F2137" s="227" t="s">
        <v>3002</v>
      </c>
    </row>
    <row r="2138" spans="1:6" x14ac:dyDescent="0.25">
      <c r="A2138" s="227" t="str">
        <f>TL[[#This Row],[Société]]&amp;" - "&amp;TL[[#This Row],[Compte]]</f>
        <v>VICTOIRE - 771100</v>
      </c>
      <c r="B2138" s="233" t="s">
        <v>1798</v>
      </c>
      <c r="C2138" s="227" t="s">
        <v>2926</v>
      </c>
      <c r="D2138" s="233" t="s">
        <v>30</v>
      </c>
      <c r="E2138" s="233" t="s">
        <v>2982</v>
      </c>
      <c r="F2138" s="227" t="s">
        <v>3002</v>
      </c>
    </row>
    <row r="2139" spans="1:6" x14ac:dyDescent="0.25">
      <c r="A2139" s="227" t="str">
        <f>TL[[#This Row],[Société]]&amp;" - "&amp;TL[[#This Row],[Compte]]</f>
        <v>VICTOIRE - 771300</v>
      </c>
      <c r="B2139" s="233" t="s">
        <v>3376</v>
      </c>
      <c r="C2139" s="227" t="s">
        <v>5550</v>
      </c>
      <c r="F2139" s="227" t="s">
        <v>3002</v>
      </c>
    </row>
    <row r="2140" spans="1:6" x14ac:dyDescent="0.25">
      <c r="A2140" s="227" t="str">
        <f>TL[[#This Row],[Société]]&amp;" - "&amp;TL[[#This Row],[Compte]]</f>
        <v>VICTOIRE - 771400</v>
      </c>
      <c r="B2140" s="233" t="s">
        <v>5551</v>
      </c>
      <c r="C2140" s="227" t="s">
        <v>5552</v>
      </c>
      <c r="F2140" s="227" t="s">
        <v>3002</v>
      </c>
    </row>
    <row r="2141" spans="1:6" x14ac:dyDescent="0.25">
      <c r="A2141" s="227" t="str">
        <f>TL[[#This Row],[Société]]&amp;" - "&amp;TL[[#This Row],[Compte]]</f>
        <v>VICTOIRE - 771500</v>
      </c>
      <c r="B2141" s="233" t="s">
        <v>5553</v>
      </c>
      <c r="C2141" s="227" t="s">
        <v>4508</v>
      </c>
      <c r="F2141" s="227" t="s">
        <v>3002</v>
      </c>
    </row>
    <row r="2142" spans="1:6" x14ac:dyDescent="0.25">
      <c r="A2142" s="227" t="str">
        <f>TL[[#This Row],[Société]]&amp;" - "&amp;TL[[#This Row],[Compte]]</f>
        <v>VICTOIRE - 771700</v>
      </c>
      <c r="B2142" s="233" t="s">
        <v>5554</v>
      </c>
      <c r="C2142" s="227" t="s">
        <v>5555</v>
      </c>
      <c r="F2142" s="227" t="s">
        <v>3002</v>
      </c>
    </row>
    <row r="2143" spans="1:6" x14ac:dyDescent="0.25">
      <c r="A2143" s="227" t="str">
        <f>TL[[#This Row],[Société]]&amp;" - "&amp;TL[[#This Row],[Compte]]</f>
        <v>VICTOIRE - 771800</v>
      </c>
      <c r="B2143" s="233" t="s">
        <v>2074</v>
      </c>
      <c r="C2143" s="227" t="s">
        <v>5556</v>
      </c>
      <c r="D2143" s="233" t="s">
        <v>50</v>
      </c>
      <c r="E2143" s="233" t="s">
        <v>2995</v>
      </c>
      <c r="F2143" s="227" t="s">
        <v>3002</v>
      </c>
    </row>
    <row r="2144" spans="1:6" x14ac:dyDescent="0.25">
      <c r="A2144" s="227" t="str">
        <f>TL[[#This Row],[Société]]&amp;" - "&amp;TL[[#This Row],[Compte]]</f>
        <v>VICTOIRE - 772000</v>
      </c>
      <c r="B2144" s="233" t="s">
        <v>2075</v>
      </c>
      <c r="C2144" s="227" t="s">
        <v>1064</v>
      </c>
      <c r="F2144" s="227" t="s">
        <v>3002</v>
      </c>
    </row>
    <row r="2145" spans="1:6" x14ac:dyDescent="0.25">
      <c r="A2145" s="227" t="str">
        <f>TL[[#This Row],[Société]]&amp;" - "&amp;TL[[#This Row],[Compte]]</f>
        <v>VICTOIRE - 775000</v>
      </c>
      <c r="B2145" s="233" t="s">
        <v>5557</v>
      </c>
      <c r="C2145" s="227" t="s">
        <v>2133</v>
      </c>
      <c r="F2145" s="227" t="s">
        <v>3002</v>
      </c>
    </row>
    <row r="2146" spans="1:6" x14ac:dyDescent="0.25">
      <c r="A2146" s="227" t="str">
        <f>TL[[#This Row],[Société]]&amp;" - "&amp;TL[[#This Row],[Compte]]</f>
        <v>VICTOIRE - 775100</v>
      </c>
      <c r="B2146" s="233" t="s">
        <v>5558</v>
      </c>
      <c r="C2146" s="227" t="s">
        <v>5559</v>
      </c>
      <c r="F2146" s="227" t="s">
        <v>3002</v>
      </c>
    </row>
    <row r="2147" spans="1:6" x14ac:dyDescent="0.25">
      <c r="A2147" s="227" t="str">
        <f>TL[[#This Row],[Société]]&amp;" - "&amp;TL[[#This Row],[Compte]]</f>
        <v>VICTOIRE - 775200</v>
      </c>
      <c r="B2147" s="233" t="s">
        <v>2132</v>
      </c>
      <c r="C2147" s="227" t="s">
        <v>5560</v>
      </c>
      <c r="D2147" s="233" t="s">
        <v>44</v>
      </c>
      <c r="E2147" s="233" t="s">
        <v>2995</v>
      </c>
      <c r="F2147" s="227" t="s">
        <v>3002</v>
      </c>
    </row>
    <row r="2148" spans="1:6" x14ac:dyDescent="0.25">
      <c r="A2148" s="227" t="str">
        <f>TL[[#This Row],[Société]]&amp;" - "&amp;TL[[#This Row],[Compte]]</f>
        <v>VICTOIRE - 775600</v>
      </c>
      <c r="B2148" s="233" t="s">
        <v>5561</v>
      </c>
      <c r="C2148" s="227" t="s">
        <v>5562</v>
      </c>
      <c r="F2148" s="227" t="s">
        <v>3002</v>
      </c>
    </row>
    <row r="2149" spans="1:6" x14ac:dyDescent="0.25">
      <c r="A2149" s="227" t="str">
        <f>TL[[#This Row],[Société]]&amp;" - "&amp;TL[[#This Row],[Compte]]</f>
        <v>VICTOIRE - 777000</v>
      </c>
      <c r="B2149" s="233" t="s">
        <v>5563</v>
      </c>
      <c r="C2149" s="227" t="s">
        <v>5564</v>
      </c>
      <c r="F2149" s="227" t="s">
        <v>3002</v>
      </c>
    </row>
    <row r="2150" spans="1:6" x14ac:dyDescent="0.25">
      <c r="A2150" s="227" t="str">
        <f>TL[[#This Row],[Société]]&amp;" - "&amp;TL[[#This Row],[Compte]]</f>
        <v>VICTOIRE - 778000</v>
      </c>
      <c r="B2150" s="233" t="s">
        <v>5565</v>
      </c>
      <c r="C2150" s="227" t="s">
        <v>5566</v>
      </c>
      <c r="F2150" s="227" t="s">
        <v>3002</v>
      </c>
    </row>
    <row r="2151" spans="1:6" x14ac:dyDescent="0.25">
      <c r="A2151" s="227" t="str">
        <f>TL[[#This Row],[Société]]&amp;" - "&amp;TL[[#This Row],[Compte]]</f>
        <v>VICTOIRE - 778800</v>
      </c>
      <c r="B2151" s="233" t="s">
        <v>5567</v>
      </c>
      <c r="C2151" s="227" t="s">
        <v>5566</v>
      </c>
      <c r="F2151" s="227" t="s">
        <v>3002</v>
      </c>
    </row>
    <row r="2152" spans="1:6" x14ac:dyDescent="0.25">
      <c r="A2152" s="227" t="str">
        <f>TL[[#This Row],[Société]]&amp;" - "&amp;TL[[#This Row],[Compte]]</f>
        <v>VICTOIRE - 781110</v>
      </c>
      <c r="B2152" s="233" t="s">
        <v>2076</v>
      </c>
      <c r="C2152" s="227" t="s">
        <v>628</v>
      </c>
      <c r="F2152" s="227" t="s">
        <v>3002</v>
      </c>
    </row>
    <row r="2153" spans="1:6" x14ac:dyDescent="0.25">
      <c r="A2153" s="227" t="str">
        <f>TL[[#This Row],[Société]]&amp;" - "&amp;TL[[#This Row],[Compte]]</f>
        <v>VICTOIRE - 781120</v>
      </c>
      <c r="B2153" s="233" t="s">
        <v>2077</v>
      </c>
      <c r="C2153" s="227" t="s">
        <v>264</v>
      </c>
      <c r="F2153" s="227" t="s">
        <v>3002</v>
      </c>
    </row>
    <row r="2154" spans="1:6" x14ac:dyDescent="0.25">
      <c r="A2154" s="227" t="str">
        <f>TL[[#This Row],[Société]]&amp;" - "&amp;TL[[#This Row],[Compte]]</f>
        <v>VICTOIRE - 781500</v>
      </c>
      <c r="B2154" s="233" t="s">
        <v>2078</v>
      </c>
      <c r="C2154" s="227" t="s">
        <v>176</v>
      </c>
      <c r="F2154" s="227" t="s">
        <v>3002</v>
      </c>
    </row>
    <row r="2155" spans="1:6" x14ac:dyDescent="0.25">
      <c r="A2155" s="227" t="str">
        <f>TL[[#This Row],[Société]]&amp;" - "&amp;TL[[#This Row],[Compte]]</f>
        <v>VICTOIRE - 781610</v>
      </c>
      <c r="B2155" s="233" t="s">
        <v>5568</v>
      </c>
      <c r="C2155" s="227" t="s">
        <v>5569</v>
      </c>
      <c r="F2155" s="227" t="s">
        <v>3002</v>
      </c>
    </row>
    <row r="2156" spans="1:6" x14ac:dyDescent="0.25">
      <c r="A2156" s="227" t="str">
        <f>TL[[#This Row],[Société]]&amp;" - "&amp;TL[[#This Row],[Compte]]</f>
        <v>VICTOIRE - 781620</v>
      </c>
      <c r="B2156" s="233" t="s">
        <v>5570</v>
      </c>
      <c r="C2156" s="227" t="s">
        <v>5571</v>
      </c>
      <c r="F2156" s="227" t="s">
        <v>3002</v>
      </c>
    </row>
    <row r="2157" spans="1:6" x14ac:dyDescent="0.25">
      <c r="A2157" s="227" t="str">
        <f>TL[[#This Row],[Société]]&amp;" - "&amp;TL[[#This Row],[Compte]]</f>
        <v>VICTOIRE - 781730</v>
      </c>
      <c r="B2157" s="233" t="s">
        <v>5572</v>
      </c>
      <c r="C2157" s="227" t="s">
        <v>5573</v>
      </c>
      <c r="F2157" s="227" t="s">
        <v>3002</v>
      </c>
    </row>
    <row r="2158" spans="1:6" x14ac:dyDescent="0.25">
      <c r="A2158" s="227" t="str">
        <f>TL[[#This Row],[Société]]&amp;" - "&amp;TL[[#This Row],[Compte]]</f>
        <v>VICTOIRE - 781740</v>
      </c>
      <c r="B2158" s="233" t="s">
        <v>5574</v>
      </c>
      <c r="C2158" s="227" t="s">
        <v>5575</v>
      </c>
      <c r="F2158" s="227" t="s">
        <v>3002</v>
      </c>
    </row>
    <row r="2159" spans="1:6" x14ac:dyDescent="0.25">
      <c r="A2159" s="227" t="str">
        <f>TL[[#This Row],[Société]]&amp;" - "&amp;TL[[#This Row],[Compte]]</f>
        <v>VICTOIRE - 781745</v>
      </c>
      <c r="B2159" s="233" t="s">
        <v>5576</v>
      </c>
      <c r="C2159" s="227" t="s">
        <v>5577</v>
      </c>
      <c r="F2159" s="227" t="s">
        <v>3002</v>
      </c>
    </row>
    <row r="2160" spans="1:6" x14ac:dyDescent="0.25">
      <c r="A2160" s="227" t="str">
        <f>TL[[#This Row],[Société]]&amp;" - "&amp;TL[[#This Row],[Compte]]</f>
        <v>VICTOIRE - 786400</v>
      </c>
      <c r="B2160" s="233" t="s">
        <v>5578</v>
      </c>
      <c r="C2160" s="227" t="s">
        <v>5579</v>
      </c>
      <c r="F2160" s="227" t="s">
        <v>3002</v>
      </c>
    </row>
    <row r="2161" spans="1:6" x14ac:dyDescent="0.25">
      <c r="A2161" s="227" t="str">
        <f>TL[[#This Row],[Société]]&amp;" - "&amp;TL[[#This Row],[Compte]]</f>
        <v>VICTOIRE - 786500</v>
      </c>
      <c r="B2161" s="233" t="s">
        <v>5580</v>
      </c>
      <c r="C2161" s="227" t="s">
        <v>5581</v>
      </c>
      <c r="F2161" s="227" t="s">
        <v>3002</v>
      </c>
    </row>
    <row r="2162" spans="1:6" x14ac:dyDescent="0.25">
      <c r="A2162" s="227" t="str">
        <f>TL[[#This Row],[Société]]&amp;" - "&amp;TL[[#This Row],[Compte]]</f>
        <v>VICTOIRE - 786620</v>
      </c>
      <c r="B2162" s="233" t="s">
        <v>5582</v>
      </c>
      <c r="C2162" s="227" t="s">
        <v>5583</v>
      </c>
      <c r="F2162" s="227" t="s">
        <v>3002</v>
      </c>
    </row>
    <row r="2163" spans="1:6" x14ac:dyDescent="0.25">
      <c r="A2163" s="227" t="str">
        <f>TL[[#This Row],[Société]]&amp;" - "&amp;TL[[#This Row],[Compte]]</f>
        <v>VICTOIRE - 786640</v>
      </c>
      <c r="B2163" s="233" t="s">
        <v>5584</v>
      </c>
      <c r="C2163" s="227" t="s">
        <v>5585</v>
      </c>
      <c r="F2163" s="227" t="s">
        <v>3002</v>
      </c>
    </row>
    <row r="2164" spans="1:6" x14ac:dyDescent="0.25">
      <c r="A2164" s="227" t="str">
        <f>TL[[#This Row],[Société]]&amp;" - "&amp;TL[[#This Row],[Compte]]</f>
        <v>VICTOIRE - 786650</v>
      </c>
      <c r="B2164" s="233" t="s">
        <v>2079</v>
      </c>
      <c r="C2164" s="227" t="s">
        <v>5586</v>
      </c>
      <c r="F2164" s="227" t="s">
        <v>3002</v>
      </c>
    </row>
    <row r="2165" spans="1:6" x14ac:dyDescent="0.25">
      <c r="A2165" s="227" t="str">
        <f>TL[[#This Row],[Société]]&amp;" - "&amp;TL[[#This Row],[Compte]]</f>
        <v>VICTOIRE - 787110</v>
      </c>
      <c r="B2165" s="233" t="s">
        <v>2080</v>
      </c>
      <c r="C2165" s="227" t="s">
        <v>812</v>
      </c>
      <c r="F2165" s="227" t="s">
        <v>3002</v>
      </c>
    </row>
    <row r="2166" spans="1:6" x14ac:dyDescent="0.25">
      <c r="A2166" s="227" t="str">
        <f>TL[[#This Row],[Société]]&amp;" - "&amp;TL[[#This Row],[Compte]]</f>
        <v>VICTOIRE - 787120</v>
      </c>
      <c r="B2166" s="233" t="s">
        <v>2081</v>
      </c>
      <c r="C2166" s="227" t="s">
        <v>813</v>
      </c>
      <c r="F2166" s="227" t="s">
        <v>3002</v>
      </c>
    </row>
    <row r="2167" spans="1:6" x14ac:dyDescent="0.25">
      <c r="A2167" s="227" t="str">
        <f>TL[[#This Row],[Société]]&amp;" - "&amp;TL[[#This Row],[Compte]]</f>
        <v>VICTOIRE - 787200</v>
      </c>
      <c r="B2167" s="233" t="s">
        <v>5587</v>
      </c>
      <c r="C2167" s="227" t="s">
        <v>5588</v>
      </c>
      <c r="F2167" s="227" t="s">
        <v>3002</v>
      </c>
    </row>
    <row r="2168" spans="1:6" x14ac:dyDescent="0.25">
      <c r="A2168" s="227" t="str">
        <f>TL[[#This Row],[Société]]&amp;" - "&amp;TL[[#This Row],[Compte]]</f>
        <v>VICTOIRE - 787250</v>
      </c>
      <c r="B2168" s="233" t="s">
        <v>2082</v>
      </c>
      <c r="C2168" s="227" t="s">
        <v>629</v>
      </c>
      <c r="F2168" s="227" t="s">
        <v>3002</v>
      </c>
    </row>
    <row r="2169" spans="1:6" x14ac:dyDescent="0.25">
      <c r="A2169" s="227" t="str">
        <f>TL[[#This Row],[Société]]&amp;" - "&amp;TL[[#This Row],[Compte]]</f>
        <v>VICTOIRE - 787260</v>
      </c>
      <c r="B2169" s="233" t="s">
        <v>5589</v>
      </c>
      <c r="C2169" s="227" t="s">
        <v>3852</v>
      </c>
      <c r="F2169" s="227" t="s">
        <v>3002</v>
      </c>
    </row>
    <row r="2170" spans="1:6" x14ac:dyDescent="0.25">
      <c r="A2170" s="227" t="str">
        <f>TL[[#This Row],[Société]]&amp;" - "&amp;TL[[#This Row],[Compte]]</f>
        <v>VICTOIRE - 787270</v>
      </c>
      <c r="B2170" s="233" t="s">
        <v>5590</v>
      </c>
      <c r="C2170" s="227" t="s">
        <v>5591</v>
      </c>
      <c r="F2170" s="227" t="s">
        <v>3002</v>
      </c>
    </row>
    <row r="2171" spans="1:6" x14ac:dyDescent="0.25">
      <c r="A2171" s="227" t="str">
        <f>TL[[#This Row],[Société]]&amp;" - "&amp;TL[[#This Row],[Compte]]</f>
        <v>VICTOIRE - 787300</v>
      </c>
      <c r="B2171" s="233" t="s">
        <v>5592</v>
      </c>
      <c r="C2171" s="227" t="s">
        <v>5593</v>
      </c>
      <c r="F2171" s="227" t="s">
        <v>3002</v>
      </c>
    </row>
    <row r="2172" spans="1:6" x14ac:dyDescent="0.25">
      <c r="A2172" s="227" t="str">
        <f>TL[[#This Row],[Société]]&amp;" - "&amp;TL[[#This Row],[Compte]]</f>
        <v>VICTOIRE - 787400</v>
      </c>
      <c r="B2172" s="233" t="s">
        <v>5594</v>
      </c>
      <c r="C2172" s="227" t="s">
        <v>5595</v>
      </c>
      <c r="F2172" s="227" t="s">
        <v>3002</v>
      </c>
    </row>
    <row r="2173" spans="1:6" x14ac:dyDescent="0.25">
      <c r="A2173" s="227" t="str">
        <f>TL[[#This Row],[Société]]&amp;" - "&amp;TL[[#This Row],[Compte]]</f>
        <v>VICTOIRE - 787500</v>
      </c>
      <c r="B2173" s="233" t="s">
        <v>5596</v>
      </c>
      <c r="C2173" s="227" t="s">
        <v>5597</v>
      </c>
      <c r="F2173" s="227" t="s">
        <v>3002</v>
      </c>
    </row>
    <row r="2174" spans="1:6" x14ac:dyDescent="0.25">
      <c r="A2174" s="227" t="str">
        <f>TL[[#This Row],[Société]]&amp;" - "&amp;TL[[#This Row],[Compte]]</f>
        <v>VICTOIRE - 787600</v>
      </c>
      <c r="B2174" s="233" t="s">
        <v>5598</v>
      </c>
      <c r="C2174" s="227" t="s">
        <v>5599</v>
      </c>
      <c r="F2174" s="227" t="s">
        <v>3002</v>
      </c>
    </row>
    <row r="2175" spans="1:6" x14ac:dyDescent="0.25">
      <c r="A2175" s="227" t="str">
        <f>TL[[#This Row],[Société]]&amp;" - "&amp;TL[[#This Row],[Compte]]</f>
        <v>VICTOIRE - 789000</v>
      </c>
      <c r="B2175" s="233" t="s">
        <v>5600</v>
      </c>
      <c r="C2175" s="227" t="s">
        <v>5601</v>
      </c>
      <c r="F2175" s="227" t="s">
        <v>3002</v>
      </c>
    </row>
    <row r="2176" spans="1:6" x14ac:dyDescent="0.25">
      <c r="A2176" s="227" t="str">
        <f>TL[[#This Row],[Société]]&amp;" - "&amp;TL[[#This Row],[Compte]]</f>
        <v>VICTOIRE - 791000</v>
      </c>
      <c r="B2176" s="233" t="s">
        <v>2083</v>
      </c>
      <c r="C2176" s="227" t="s">
        <v>5602</v>
      </c>
      <c r="F2176" s="227" t="s">
        <v>3002</v>
      </c>
    </row>
    <row r="2177" spans="1:6" x14ac:dyDescent="0.25">
      <c r="A2177" s="227" t="str">
        <f>TL[[#This Row],[Société]]&amp;" - "&amp;TL[[#This Row],[Compte]]</f>
        <v>VICTOIRE - 791100</v>
      </c>
      <c r="B2177" s="233" t="s">
        <v>2084</v>
      </c>
      <c r="C2177" s="227" t="s">
        <v>5603</v>
      </c>
      <c r="F2177" s="227" t="s">
        <v>3002</v>
      </c>
    </row>
    <row r="2178" spans="1:6" x14ac:dyDescent="0.25">
      <c r="A2178" s="227" t="str">
        <f>TL[[#This Row],[Société]]&amp;" - "&amp;TL[[#This Row],[Compte]]</f>
        <v>VICTOIRE - 791300</v>
      </c>
      <c r="B2178" s="233" t="s">
        <v>5604</v>
      </c>
      <c r="C2178" s="227" t="s">
        <v>5605</v>
      </c>
      <c r="F2178" s="227" t="s">
        <v>3002</v>
      </c>
    </row>
    <row r="2179" spans="1:6" x14ac:dyDescent="0.25">
      <c r="A2179" s="227" t="str">
        <f>TL[[#This Row],[Société]]&amp;" - "&amp;TL[[#This Row],[Compte]]</f>
        <v>VICTOIRE - 791400</v>
      </c>
      <c r="B2179" s="233" t="s">
        <v>5606</v>
      </c>
      <c r="C2179" s="227" t="s">
        <v>5607</v>
      </c>
      <c r="F2179" s="227" t="s">
        <v>3002</v>
      </c>
    </row>
    <row r="2180" spans="1:6" x14ac:dyDescent="0.25">
      <c r="A2180" s="227" t="str">
        <f>TL[[#This Row],[Société]]&amp;" - "&amp;TL[[#This Row],[Compte]]</f>
        <v>VICTOIRE - 791500</v>
      </c>
      <c r="B2180" s="233" t="s">
        <v>5608</v>
      </c>
      <c r="C2180" s="227" t="s">
        <v>5609</v>
      </c>
      <c r="F2180" s="227" t="s">
        <v>3002</v>
      </c>
    </row>
    <row r="2181" spans="1:6" x14ac:dyDescent="0.25">
      <c r="A2181" s="227" t="str">
        <f>TL[[#This Row],[Société]]&amp;" - "&amp;TL[[#This Row],[Compte]]</f>
        <v>VICTOIRE - 791622</v>
      </c>
      <c r="B2181" s="233" t="s">
        <v>5610</v>
      </c>
      <c r="C2181" s="227" t="s">
        <v>5611</v>
      </c>
      <c r="D2181" s="233" t="s">
        <v>42</v>
      </c>
      <c r="E2181" s="233" t="s">
        <v>25</v>
      </c>
      <c r="F2181" s="227" t="s">
        <v>3002</v>
      </c>
    </row>
    <row r="2182" spans="1:6" x14ac:dyDescent="0.25">
      <c r="A2182" s="227" t="str">
        <f>TL[[#This Row],[Société]]&amp;" - "&amp;TL[[#This Row],[Compte]]</f>
        <v>VICTOIRE - 791640</v>
      </c>
      <c r="B2182" s="233" t="s">
        <v>5612</v>
      </c>
      <c r="C2182" s="227" t="s">
        <v>5613</v>
      </c>
      <c r="F2182" s="227" t="s">
        <v>3002</v>
      </c>
    </row>
    <row r="2183" spans="1:6" x14ac:dyDescent="0.25">
      <c r="A2183" s="227" t="str">
        <f>TL[[#This Row],[Société]]&amp;" - "&amp;TL[[#This Row],[Compte]]</f>
        <v>VICTOIRE - 791641</v>
      </c>
      <c r="B2183" s="233" t="s">
        <v>5614</v>
      </c>
      <c r="C2183" s="227" t="s">
        <v>2943</v>
      </c>
      <c r="D2183" s="233" t="s">
        <v>13</v>
      </c>
      <c r="E2183" s="233" t="s">
        <v>52</v>
      </c>
      <c r="F2183" s="227" t="s">
        <v>3002</v>
      </c>
    </row>
    <row r="2184" spans="1:6" x14ac:dyDescent="0.25">
      <c r="A2184" s="227" t="str">
        <f>TL[[#This Row],[Société]]&amp;" - "&amp;TL[[#This Row],[Compte]]</f>
        <v>VICTOIRE - 796000</v>
      </c>
      <c r="B2184" s="233" t="s">
        <v>5615</v>
      </c>
      <c r="C2184" s="227" t="s">
        <v>5616</v>
      </c>
      <c r="F2184" s="227" t="s">
        <v>3002</v>
      </c>
    </row>
    <row r="2185" spans="1:6" x14ac:dyDescent="0.25">
      <c r="A2185" s="227" t="str">
        <f>TL[[#This Row],[Société]]&amp;" - "&amp;TL[[#This Row],[Compte]]</f>
        <v>VICTOIRE - 797000</v>
      </c>
      <c r="B2185" s="233" t="s">
        <v>2091</v>
      </c>
      <c r="C2185" s="227" t="s">
        <v>947</v>
      </c>
      <c r="F2185" s="227" t="s">
        <v>3002</v>
      </c>
    </row>
    <row r="2186" spans="1:6" x14ac:dyDescent="0.25">
      <c r="A2186" s="227" t="str">
        <f>TL[[#This Row],[Société]]&amp;" - "&amp;TL[[#This Row],[Compte]]</f>
        <v>VICTOIRE - 797440</v>
      </c>
      <c r="B2186" s="233" t="s">
        <v>5617</v>
      </c>
      <c r="C2186" s="227" t="s">
        <v>5618</v>
      </c>
      <c r="F2186" s="227" t="s">
        <v>3002</v>
      </c>
    </row>
    <row r="2187" spans="1:6" x14ac:dyDescent="0.25">
      <c r="A2187" s="227" t="str">
        <f>TL[[#This Row],[Société]]&amp;" - "&amp;TL[[#This Row],[Compte]]</f>
        <v>VICTOIRE - 890000</v>
      </c>
      <c r="B2187" s="233" t="s">
        <v>2092</v>
      </c>
      <c r="C2187" s="227" t="s">
        <v>631</v>
      </c>
      <c r="F2187" s="227" t="s">
        <v>3002</v>
      </c>
    </row>
    <row r="2188" spans="1:6" x14ac:dyDescent="0.25">
      <c r="A2188" s="227" t="str">
        <f>TL[[#This Row],[Société]]&amp;" - "&amp;TL[[#This Row],[Compte]]</f>
        <v>TURVILLA - 101300</v>
      </c>
      <c r="B2188" s="233" t="s">
        <v>1638</v>
      </c>
      <c r="C2188" s="227" t="s">
        <v>540</v>
      </c>
      <c r="F2188" s="227" t="s">
        <v>2156</v>
      </c>
    </row>
    <row r="2189" spans="1:6" x14ac:dyDescent="0.25">
      <c r="A2189" s="227" t="str">
        <f>TL[[#This Row],[Société]]&amp;" - "&amp;TL[[#This Row],[Compte]]</f>
        <v>TURVILLA - 106100</v>
      </c>
      <c r="B2189" s="233" t="s">
        <v>1640</v>
      </c>
      <c r="C2189" s="227" t="s">
        <v>1089</v>
      </c>
      <c r="F2189" s="227" t="s">
        <v>2156</v>
      </c>
    </row>
    <row r="2190" spans="1:6" x14ac:dyDescent="0.25">
      <c r="A2190" s="227" t="str">
        <f>TL[[#This Row],[Société]]&amp;" - "&amp;TL[[#This Row],[Compte]]</f>
        <v>TURVILLA - 106110</v>
      </c>
      <c r="B2190" s="233" t="s">
        <v>3803</v>
      </c>
      <c r="C2190" s="227" t="s">
        <v>642</v>
      </c>
      <c r="F2190" s="227" t="s">
        <v>2156</v>
      </c>
    </row>
    <row r="2191" spans="1:6" x14ac:dyDescent="0.25">
      <c r="A2191" s="227" t="str">
        <f>TL[[#This Row],[Société]]&amp;" - "&amp;TL[[#This Row],[Compte]]</f>
        <v>TURVILLA - 106800</v>
      </c>
      <c r="B2191" s="233" t="s">
        <v>1641</v>
      </c>
      <c r="C2191" s="227" t="s">
        <v>541</v>
      </c>
      <c r="F2191" s="227" t="s">
        <v>2156</v>
      </c>
    </row>
    <row r="2192" spans="1:6" x14ac:dyDescent="0.25">
      <c r="A2192" s="227" t="str">
        <f>TL[[#This Row],[Société]]&amp;" - "&amp;TL[[#This Row],[Compte]]</f>
        <v>TURVILLA - 120000</v>
      </c>
      <c r="B2192" s="233" t="s">
        <v>1643</v>
      </c>
      <c r="C2192" s="227" t="s">
        <v>542</v>
      </c>
      <c r="F2192" s="227" t="s">
        <v>2156</v>
      </c>
    </row>
    <row r="2193" spans="1:6" x14ac:dyDescent="0.25">
      <c r="A2193" s="227" t="str">
        <f>TL[[#This Row],[Société]]&amp;" - "&amp;TL[[#This Row],[Compte]]</f>
        <v>TURVILLA - 129000</v>
      </c>
      <c r="B2193" s="233" t="s">
        <v>1637</v>
      </c>
      <c r="C2193" s="227" t="s">
        <v>543</v>
      </c>
      <c r="F2193" s="227" t="s">
        <v>2156</v>
      </c>
    </row>
    <row r="2194" spans="1:6" x14ac:dyDescent="0.25">
      <c r="A2194" s="227" t="str">
        <f>TL[[#This Row],[Société]]&amp;" - "&amp;TL[[#This Row],[Compte]]</f>
        <v>TURVILLA - 131700</v>
      </c>
      <c r="B2194" s="233" t="s">
        <v>5619</v>
      </c>
      <c r="C2194" s="227" t="s">
        <v>5620</v>
      </c>
      <c r="F2194" s="227" t="s">
        <v>2156</v>
      </c>
    </row>
    <row r="2195" spans="1:6" x14ac:dyDescent="0.25">
      <c r="A2195" s="227" t="str">
        <f>TL[[#This Row],[Société]]&amp;" - "&amp;TL[[#This Row],[Compte]]</f>
        <v>TURVILLA - 139170</v>
      </c>
      <c r="B2195" s="233" t="s">
        <v>5621</v>
      </c>
      <c r="C2195" s="227" t="s">
        <v>5622</v>
      </c>
      <c r="F2195" s="227" t="s">
        <v>2156</v>
      </c>
    </row>
    <row r="2196" spans="1:6" x14ac:dyDescent="0.25">
      <c r="A2196" s="227" t="str">
        <f>TL[[#This Row],[Société]]&amp;" - "&amp;TL[[#This Row],[Compte]]</f>
        <v>TURVILLA - 145000</v>
      </c>
      <c r="B2196" s="233" t="s">
        <v>1805</v>
      </c>
      <c r="C2196" s="227" t="s">
        <v>544</v>
      </c>
      <c r="F2196" s="227" t="s">
        <v>2156</v>
      </c>
    </row>
    <row r="2197" spans="1:6" x14ac:dyDescent="0.25">
      <c r="A2197" s="227" t="str">
        <f>TL[[#This Row],[Société]]&amp;" - "&amp;TL[[#This Row],[Compte]]</f>
        <v>TURVILLA - 151100</v>
      </c>
      <c r="B2197" s="233" t="s">
        <v>3861</v>
      </c>
      <c r="C2197" s="227" t="s">
        <v>5623</v>
      </c>
      <c r="F2197" s="227" t="s">
        <v>2156</v>
      </c>
    </row>
    <row r="2198" spans="1:6" x14ac:dyDescent="0.25">
      <c r="A2198" s="227" t="str">
        <f>TL[[#This Row],[Société]]&amp;" - "&amp;TL[[#This Row],[Compte]]</f>
        <v>TURVILLA - 151200</v>
      </c>
      <c r="B2198" s="233" t="s">
        <v>3863</v>
      </c>
      <c r="C2198" s="227" t="s">
        <v>5624</v>
      </c>
      <c r="F2198" s="227" t="s">
        <v>2156</v>
      </c>
    </row>
    <row r="2199" spans="1:6" x14ac:dyDescent="0.25">
      <c r="A2199" s="227" t="str">
        <f>TL[[#This Row],[Société]]&amp;" - "&amp;TL[[#This Row],[Compte]]</f>
        <v>TURVILLA - 153000</v>
      </c>
      <c r="B2199" s="233" t="s">
        <v>1644</v>
      </c>
      <c r="C2199" s="227" t="s">
        <v>5625</v>
      </c>
      <c r="F2199" s="227" t="s">
        <v>2156</v>
      </c>
    </row>
    <row r="2200" spans="1:6" x14ac:dyDescent="0.25">
      <c r="A2200" s="227" t="str">
        <f>TL[[#This Row],[Société]]&amp;" - "&amp;TL[[#This Row],[Compte]]</f>
        <v>TURVILLA - 158000</v>
      </c>
      <c r="B2200" s="233" t="s">
        <v>1645</v>
      </c>
      <c r="C2200" s="227" t="s">
        <v>547</v>
      </c>
      <c r="F2200" s="227" t="s">
        <v>2156</v>
      </c>
    </row>
    <row r="2201" spans="1:6" x14ac:dyDescent="0.25">
      <c r="A2201" s="227" t="str">
        <f>TL[[#This Row],[Société]]&amp;" - "&amp;TL[[#This Row],[Compte]]</f>
        <v>TURVILLA - 164000</v>
      </c>
      <c r="B2201" s="233" t="s">
        <v>3058</v>
      </c>
      <c r="C2201" s="227" t="s">
        <v>5626</v>
      </c>
      <c r="F2201" s="227" t="s">
        <v>2156</v>
      </c>
    </row>
    <row r="2202" spans="1:6" x14ac:dyDescent="0.25">
      <c r="A2202" s="227" t="str">
        <f>TL[[#This Row],[Société]]&amp;" - "&amp;TL[[#This Row],[Compte]]</f>
        <v>TURVILLA - 164004</v>
      </c>
      <c r="B2202" s="233" t="s">
        <v>5627</v>
      </c>
      <c r="C2202" s="227" t="s">
        <v>5628</v>
      </c>
      <c r="F2202" s="227" t="s">
        <v>2156</v>
      </c>
    </row>
    <row r="2203" spans="1:6" x14ac:dyDescent="0.25">
      <c r="A2203" s="227" t="str">
        <f>TL[[#This Row],[Société]]&amp;" - "&amp;TL[[#This Row],[Compte]]</f>
        <v>TURVILLA - 164005</v>
      </c>
      <c r="B2203" s="233" t="s">
        <v>5629</v>
      </c>
      <c r="C2203" s="227" t="s">
        <v>5630</v>
      </c>
      <c r="F2203" s="227" t="s">
        <v>2156</v>
      </c>
    </row>
    <row r="2204" spans="1:6" x14ac:dyDescent="0.25">
      <c r="A2204" s="227" t="str">
        <f>TL[[#This Row],[Société]]&amp;" - "&amp;TL[[#This Row],[Compte]]</f>
        <v>TURVILLA - 164008</v>
      </c>
      <c r="B2204" s="233" t="s">
        <v>5631</v>
      </c>
      <c r="C2204" s="227" t="s">
        <v>5632</v>
      </c>
      <c r="F2204" s="227" t="s">
        <v>2156</v>
      </c>
    </row>
    <row r="2205" spans="1:6" x14ac:dyDescent="0.25">
      <c r="A2205" s="227" t="str">
        <f>TL[[#This Row],[Société]]&amp;" - "&amp;TL[[#This Row],[Compte]]</f>
        <v>TURVILLA - 164010</v>
      </c>
      <c r="B2205" s="233" t="s">
        <v>5633</v>
      </c>
      <c r="C2205" s="227" t="s">
        <v>5634</v>
      </c>
      <c r="F2205" s="227" t="s">
        <v>2156</v>
      </c>
    </row>
    <row r="2206" spans="1:6" x14ac:dyDescent="0.25">
      <c r="A2206" s="227" t="str">
        <f>TL[[#This Row],[Société]]&amp;" - "&amp;TL[[#This Row],[Compte]]</f>
        <v>TURVILLA - 168100</v>
      </c>
      <c r="B2206" s="233" t="s">
        <v>3959</v>
      </c>
      <c r="C2206" s="227" t="s">
        <v>3960</v>
      </c>
      <c r="F2206" s="227" t="s">
        <v>2156</v>
      </c>
    </row>
    <row r="2207" spans="1:6" x14ac:dyDescent="0.25">
      <c r="A2207" s="227" t="str">
        <f>TL[[#This Row],[Société]]&amp;" - "&amp;TL[[#This Row],[Compte]]</f>
        <v>TURVILLA - 168840</v>
      </c>
      <c r="B2207" s="233" t="s">
        <v>3065</v>
      </c>
      <c r="C2207" s="227" t="s">
        <v>2137</v>
      </c>
      <c r="F2207" s="227" t="s">
        <v>2156</v>
      </c>
    </row>
    <row r="2208" spans="1:6" x14ac:dyDescent="0.25">
      <c r="A2208" s="227" t="str">
        <f>TL[[#This Row],[Société]]&amp;" - "&amp;TL[[#This Row],[Compte]]</f>
        <v>TURVILLA - 205000</v>
      </c>
      <c r="B2208" s="233" t="s">
        <v>1651</v>
      </c>
      <c r="C2208" s="227" t="s">
        <v>5635</v>
      </c>
      <c r="F2208" s="227" t="s">
        <v>2156</v>
      </c>
    </row>
    <row r="2209" spans="1:6" x14ac:dyDescent="0.25">
      <c r="A2209" s="227" t="str">
        <f>TL[[#This Row],[Société]]&amp;" - "&amp;TL[[#This Row],[Compte]]</f>
        <v>TURVILLA - 214100</v>
      </c>
      <c r="B2209" s="233" t="s">
        <v>4064</v>
      </c>
      <c r="C2209" s="227" t="s">
        <v>5636</v>
      </c>
      <c r="F2209" s="227" t="s">
        <v>2156</v>
      </c>
    </row>
    <row r="2210" spans="1:6" x14ac:dyDescent="0.25">
      <c r="A2210" s="227" t="str">
        <f>TL[[#This Row],[Société]]&amp;" - "&amp;TL[[#This Row],[Compte]]</f>
        <v>TURVILLA - 214500</v>
      </c>
      <c r="B2210" s="233" t="s">
        <v>1810</v>
      </c>
      <c r="C2210" s="227" t="s">
        <v>5637</v>
      </c>
      <c r="F2210" s="227" t="s">
        <v>2156</v>
      </c>
    </row>
    <row r="2211" spans="1:6" x14ac:dyDescent="0.25">
      <c r="A2211" s="227" t="str">
        <f>TL[[#This Row],[Société]]&amp;" - "&amp;TL[[#This Row],[Compte]]</f>
        <v>TURVILLA - 215000</v>
      </c>
      <c r="B2211" s="233" t="s">
        <v>1811</v>
      </c>
      <c r="C2211" s="227" t="s">
        <v>5638</v>
      </c>
      <c r="F2211" s="227" t="s">
        <v>2156</v>
      </c>
    </row>
    <row r="2212" spans="1:6" x14ac:dyDescent="0.25">
      <c r="A2212" s="227" t="str">
        <f>TL[[#This Row],[Société]]&amp;" - "&amp;TL[[#This Row],[Compte]]</f>
        <v>TURVILLA - 215100</v>
      </c>
      <c r="B2212" s="233" t="s">
        <v>4067</v>
      </c>
      <c r="C2212" s="227" t="s">
        <v>550</v>
      </c>
      <c r="F2212" s="227" t="s">
        <v>2156</v>
      </c>
    </row>
    <row r="2213" spans="1:6" x14ac:dyDescent="0.25">
      <c r="A2213" s="227" t="str">
        <f>TL[[#This Row],[Société]]&amp;" - "&amp;TL[[#This Row],[Compte]]</f>
        <v>TURVILLA - 215400</v>
      </c>
      <c r="B2213" s="233" t="s">
        <v>1652</v>
      </c>
      <c r="C2213" s="227" t="s">
        <v>5639</v>
      </c>
      <c r="F2213" s="227" t="s">
        <v>2156</v>
      </c>
    </row>
    <row r="2214" spans="1:6" x14ac:dyDescent="0.25">
      <c r="A2214" s="227" t="str">
        <f>TL[[#This Row],[Société]]&amp;" - "&amp;TL[[#This Row],[Compte]]</f>
        <v>TURVILLA - 215410</v>
      </c>
      <c r="B2214" s="233" t="s">
        <v>4072</v>
      </c>
      <c r="C2214" s="227" t="s">
        <v>5640</v>
      </c>
      <c r="F2214" s="227" t="s">
        <v>2156</v>
      </c>
    </row>
    <row r="2215" spans="1:6" x14ac:dyDescent="0.25">
      <c r="A2215" s="227" t="str">
        <f>TL[[#This Row],[Société]]&amp;" - "&amp;TL[[#This Row],[Compte]]</f>
        <v>TURVILLA - 215450</v>
      </c>
      <c r="B2215" s="233" t="s">
        <v>5641</v>
      </c>
      <c r="C2215" s="227" t="s">
        <v>5642</v>
      </c>
      <c r="F2215" s="227" t="s">
        <v>2156</v>
      </c>
    </row>
    <row r="2216" spans="1:6" x14ac:dyDescent="0.25">
      <c r="A2216" s="227" t="str">
        <f>TL[[#This Row],[Société]]&amp;" - "&amp;TL[[#This Row],[Compte]]</f>
        <v>TURVILLA - 218100</v>
      </c>
      <c r="B2216" s="233" t="s">
        <v>1654</v>
      </c>
      <c r="C2216" s="227" t="s">
        <v>552</v>
      </c>
      <c r="F2216" s="227" t="s">
        <v>2156</v>
      </c>
    </row>
    <row r="2217" spans="1:6" x14ac:dyDescent="0.25">
      <c r="A2217" s="227" t="str">
        <f>TL[[#This Row],[Société]]&amp;" - "&amp;TL[[#This Row],[Compte]]</f>
        <v>TURVILLA - 218200</v>
      </c>
      <c r="B2217" s="233" t="s">
        <v>1812</v>
      </c>
      <c r="C2217" s="227" t="s">
        <v>553</v>
      </c>
      <c r="F2217" s="227" t="s">
        <v>2156</v>
      </c>
    </row>
    <row r="2218" spans="1:6" x14ac:dyDescent="0.25">
      <c r="A2218" s="227" t="str">
        <f>TL[[#This Row],[Société]]&amp;" - "&amp;TL[[#This Row],[Compte]]</f>
        <v>TURVILLA - 218300</v>
      </c>
      <c r="B2218" s="233" t="s">
        <v>1655</v>
      </c>
      <c r="C2218" s="227" t="s">
        <v>554</v>
      </c>
      <c r="F2218" s="227" t="s">
        <v>2156</v>
      </c>
    </row>
    <row r="2219" spans="1:6" x14ac:dyDescent="0.25">
      <c r="A2219" s="227" t="str">
        <f>TL[[#This Row],[Société]]&amp;" - "&amp;TL[[#This Row],[Compte]]</f>
        <v>TURVILLA - 218400</v>
      </c>
      <c r="B2219" s="233" t="s">
        <v>1656</v>
      </c>
      <c r="C2219" s="227" t="s">
        <v>3070</v>
      </c>
      <c r="F2219" s="227" t="s">
        <v>2156</v>
      </c>
    </row>
    <row r="2220" spans="1:6" x14ac:dyDescent="0.25">
      <c r="A2220" s="227" t="str">
        <f>TL[[#This Row],[Société]]&amp;" - "&amp;TL[[#This Row],[Compte]]</f>
        <v>TURVILLA - 218402</v>
      </c>
      <c r="B2220" s="233" t="s">
        <v>5643</v>
      </c>
      <c r="C2220" s="227" t="s">
        <v>5644</v>
      </c>
      <c r="F2220" s="227" t="s">
        <v>2156</v>
      </c>
    </row>
    <row r="2221" spans="1:6" x14ac:dyDescent="0.25">
      <c r="A2221" s="227" t="str">
        <f>TL[[#This Row],[Société]]&amp;" - "&amp;TL[[#This Row],[Compte]]</f>
        <v>TURVILLA - 231000</v>
      </c>
      <c r="B2221" s="233" t="s">
        <v>1813</v>
      </c>
      <c r="C2221" s="227" t="s">
        <v>5645</v>
      </c>
      <c r="F2221" s="227" t="s">
        <v>2156</v>
      </c>
    </row>
    <row r="2222" spans="1:6" x14ac:dyDescent="0.25">
      <c r="A2222" s="227" t="str">
        <f>TL[[#This Row],[Société]]&amp;" - "&amp;TL[[#This Row],[Compte]]</f>
        <v>TURVILLA - 271800</v>
      </c>
      <c r="B2222" s="233" t="s">
        <v>4151</v>
      </c>
      <c r="C2222" s="227" t="s">
        <v>5646</v>
      </c>
      <c r="F2222" s="227" t="s">
        <v>2156</v>
      </c>
    </row>
    <row r="2223" spans="1:6" x14ac:dyDescent="0.25">
      <c r="A2223" s="227" t="str">
        <f>TL[[#This Row],[Société]]&amp;" - "&amp;TL[[#This Row],[Compte]]</f>
        <v>TURVILLA - 271810</v>
      </c>
      <c r="B2223" s="233" t="s">
        <v>5647</v>
      </c>
      <c r="C2223" s="227" t="s">
        <v>5648</v>
      </c>
      <c r="F2223" s="227" t="s">
        <v>2156</v>
      </c>
    </row>
    <row r="2224" spans="1:6" x14ac:dyDescent="0.25">
      <c r="A2224" s="227" t="str">
        <f>TL[[#This Row],[Société]]&amp;" - "&amp;TL[[#This Row],[Compte]]</f>
        <v>TURVILLA - 275000</v>
      </c>
      <c r="B2224" s="233" t="s">
        <v>1815</v>
      </c>
      <c r="C2224" s="227" t="s">
        <v>556</v>
      </c>
      <c r="F2224" s="227" t="s">
        <v>2156</v>
      </c>
    </row>
    <row r="2225" spans="1:6" x14ac:dyDescent="0.25">
      <c r="A2225" s="227" t="str">
        <f>TL[[#This Row],[Société]]&amp;" - "&amp;TL[[#This Row],[Compte]]</f>
        <v>TURVILLA - 280500</v>
      </c>
      <c r="B2225" s="233" t="s">
        <v>1657</v>
      </c>
      <c r="C2225" s="227" t="s">
        <v>5649</v>
      </c>
      <c r="F2225" s="227" t="s">
        <v>2156</v>
      </c>
    </row>
    <row r="2226" spans="1:6" x14ac:dyDescent="0.25">
      <c r="A2226" s="227" t="str">
        <f>TL[[#This Row],[Société]]&amp;" - "&amp;TL[[#This Row],[Compte]]</f>
        <v>TURVILLA - 281410</v>
      </c>
      <c r="B2226" s="233" t="s">
        <v>4213</v>
      </c>
      <c r="C2226" s="227" t="s">
        <v>5650</v>
      </c>
      <c r="F2226" s="227" t="s">
        <v>2156</v>
      </c>
    </row>
    <row r="2227" spans="1:6" x14ac:dyDescent="0.25">
      <c r="A2227" s="227" t="str">
        <f>TL[[#This Row],[Société]]&amp;" - "&amp;TL[[#This Row],[Compte]]</f>
        <v>TURVILLA - 281450</v>
      </c>
      <c r="B2227" s="233" t="s">
        <v>1818</v>
      </c>
      <c r="C2227" s="227" t="s">
        <v>5651</v>
      </c>
      <c r="F2227" s="227" t="s">
        <v>2156</v>
      </c>
    </row>
    <row r="2228" spans="1:6" x14ac:dyDescent="0.25">
      <c r="A2228" s="227" t="str">
        <f>TL[[#This Row],[Société]]&amp;" - "&amp;TL[[#This Row],[Compte]]</f>
        <v>TURVILLA - 281510</v>
      </c>
      <c r="B2228" s="233" t="s">
        <v>5652</v>
      </c>
      <c r="C2228" s="227" t="s">
        <v>5653</v>
      </c>
      <c r="F2228" s="227" t="s">
        <v>2156</v>
      </c>
    </row>
    <row r="2229" spans="1:6" x14ac:dyDescent="0.25">
      <c r="A2229" s="227" t="str">
        <f>TL[[#This Row],[Société]]&amp;" - "&amp;TL[[#This Row],[Compte]]</f>
        <v>TURVILLA - 281540</v>
      </c>
      <c r="B2229" s="233" t="s">
        <v>1658</v>
      </c>
      <c r="C2229" s="227" t="s">
        <v>5654</v>
      </c>
      <c r="F2229" s="227" t="s">
        <v>2156</v>
      </c>
    </row>
    <row r="2230" spans="1:6" x14ac:dyDescent="0.25">
      <c r="A2230" s="227" t="str">
        <f>TL[[#This Row],[Société]]&amp;" - "&amp;TL[[#This Row],[Compte]]</f>
        <v>TURVILLA - 281541</v>
      </c>
      <c r="B2230" s="233" t="s">
        <v>4218</v>
      </c>
      <c r="C2230" s="227" t="s">
        <v>5655</v>
      </c>
      <c r="F2230" s="227" t="s">
        <v>2156</v>
      </c>
    </row>
    <row r="2231" spans="1:6" x14ac:dyDescent="0.25">
      <c r="A2231" s="227" t="str">
        <f>TL[[#This Row],[Société]]&amp;" - "&amp;TL[[#This Row],[Compte]]</f>
        <v>TURVILLA - 281545</v>
      </c>
      <c r="B2231" s="233" t="s">
        <v>5656</v>
      </c>
      <c r="C2231" s="227" t="s">
        <v>5657</v>
      </c>
      <c r="F2231" s="227" t="s">
        <v>2156</v>
      </c>
    </row>
    <row r="2232" spans="1:6" x14ac:dyDescent="0.25">
      <c r="A2232" s="227" t="str">
        <f>TL[[#This Row],[Société]]&amp;" - "&amp;TL[[#This Row],[Compte]]</f>
        <v>TURVILLA - 281810</v>
      </c>
      <c r="B2232" s="233" t="s">
        <v>1660</v>
      </c>
      <c r="C2232" s="227" t="s">
        <v>968</v>
      </c>
      <c r="F2232" s="227" t="s">
        <v>2156</v>
      </c>
    </row>
    <row r="2233" spans="1:6" x14ac:dyDescent="0.25">
      <c r="A2233" s="227" t="str">
        <f>TL[[#This Row],[Société]]&amp;" - "&amp;TL[[#This Row],[Compte]]</f>
        <v>TURVILLA - 281830</v>
      </c>
      <c r="B2233" s="233" t="s">
        <v>1661</v>
      </c>
      <c r="C2233" s="227" t="s">
        <v>561</v>
      </c>
      <c r="F2233" s="227" t="s">
        <v>2156</v>
      </c>
    </row>
    <row r="2234" spans="1:6" x14ac:dyDescent="0.25">
      <c r="A2234" s="227" t="str">
        <f>TL[[#This Row],[Société]]&amp;" - "&amp;TL[[#This Row],[Compte]]</f>
        <v>TURVILLA - 281840</v>
      </c>
      <c r="B2234" s="233" t="s">
        <v>1662</v>
      </c>
      <c r="C2234" s="227" t="s">
        <v>659</v>
      </c>
      <c r="F2234" s="227" t="s">
        <v>2156</v>
      </c>
    </row>
    <row r="2235" spans="1:6" x14ac:dyDescent="0.25">
      <c r="A2235" s="227" t="str">
        <f>TL[[#This Row],[Société]]&amp;" - "&amp;TL[[#This Row],[Compte]]</f>
        <v>TURVILLA - 283100</v>
      </c>
      <c r="B2235" s="233" t="s">
        <v>3075</v>
      </c>
      <c r="C2235" s="227" t="s">
        <v>5658</v>
      </c>
      <c r="F2235" s="227" t="s">
        <v>2156</v>
      </c>
    </row>
    <row r="2236" spans="1:6" x14ac:dyDescent="0.25">
      <c r="A2236" s="227" t="str">
        <f>TL[[#This Row],[Société]]&amp;" - "&amp;TL[[#This Row],[Compte]]</f>
        <v>TURVILLA - 310000</v>
      </c>
      <c r="B2236" s="233" t="s">
        <v>1663</v>
      </c>
      <c r="C2236" s="227" t="s">
        <v>1101</v>
      </c>
      <c r="F2236" s="227" t="s">
        <v>2156</v>
      </c>
    </row>
    <row r="2237" spans="1:6" x14ac:dyDescent="0.25">
      <c r="A2237" s="227" t="str">
        <f>TL[[#This Row],[Société]]&amp;" - "&amp;TL[[#This Row],[Compte]]</f>
        <v>TURVILLA - 315000</v>
      </c>
      <c r="B2237" s="233" t="s">
        <v>5659</v>
      </c>
      <c r="C2237" s="227" t="s">
        <v>5660</v>
      </c>
      <c r="F2237" s="227" t="s">
        <v>2156</v>
      </c>
    </row>
    <row r="2238" spans="1:6" x14ac:dyDescent="0.25">
      <c r="A2238" s="227" t="str">
        <f>TL[[#This Row],[Société]]&amp;" - "&amp;TL[[#This Row],[Compte]]</f>
        <v>TURVILLA - 320000</v>
      </c>
      <c r="B2238" s="233" t="s">
        <v>1664</v>
      </c>
      <c r="C2238" s="227" t="s">
        <v>5661</v>
      </c>
      <c r="F2238" s="227" t="s">
        <v>2156</v>
      </c>
    </row>
    <row r="2239" spans="1:6" x14ac:dyDescent="0.25">
      <c r="A2239" s="227" t="str">
        <f>TL[[#This Row],[Société]]&amp;" - "&amp;TL[[#This Row],[Compte]]</f>
        <v>TURVILLA - 321000</v>
      </c>
      <c r="B2239" s="233" t="s">
        <v>1665</v>
      </c>
      <c r="C2239" s="227" t="s">
        <v>5662</v>
      </c>
      <c r="F2239" s="227" t="s">
        <v>2156</v>
      </c>
    </row>
    <row r="2240" spans="1:6" x14ac:dyDescent="0.25">
      <c r="A2240" s="227" t="str">
        <f>TL[[#This Row],[Société]]&amp;" - "&amp;TL[[#This Row],[Compte]]</f>
        <v>TURVILLA - 323000</v>
      </c>
      <c r="B2240" s="233" t="s">
        <v>5663</v>
      </c>
      <c r="C2240" s="227" t="s">
        <v>5664</v>
      </c>
      <c r="F2240" s="227" t="s">
        <v>2156</v>
      </c>
    </row>
    <row r="2241" spans="1:6" x14ac:dyDescent="0.25">
      <c r="A2241" s="227" t="str">
        <f>TL[[#This Row],[Société]]&amp;" - "&amp;TL[[#This Row],[Compte]]</f>
        <v>TURVILLA - 327000</v>
      </c>
      <c r="B2241" s="233" t="s">
        <v>5665</v>
      </c>
      <c r="C2241" s="227" t="s">
        <v>5666</v>
      </c>
      <c r="F2241" s="227" t="s">
        <v>2156</v>
      </c>
    </row>
    <row r="2242" spans="1:6" x14ac:dyDescent="0.25">
      <c r="A2242" s="227" t="str">
        <f>TL[[#This Row],[Société]]&amp;" - "&amp;TL[[#This Row],[Compte]]</f>
        <v>TURVILLA - 401000</v>
      </c>
      <c r="B2242" s="233" t="s">
        <v>1581</v>
      </c>
      <c r="C2242" s="227" t="s">
        <v>564</v>
      </c>
      <c r="F2242" s="227" t="s">
        <v>2156</v>
      </c>
    </row>
    <row r="2243" spans="1:6" x14ac:dyDescent="0.25">
      <c r="A2243" s="227" t="str">
        <f>TL[[#This Row],[Société]]&amp;" - "&amp;TL[[#This Row],[Compte]]</f>
        <v>TURVILLA - 401120</v>
      </c>
      <c r="B2243" s="233" t="s">
        <v>5667</v>
      </c>
      <c r="C2243" s="227" t="s">
        <v>5668</v>
      </c>
      <c r="F2243" s="227" t="s">
        <v>2156</v>
      </c>
    </row>
    <row r="2244" spans="1:6" x14ac:dyDescent="0.25">
      <c r="A2244" s="227" t="str">
        <f>TL[[#This Row],[Société]]&amp;" - "&amp;TL[[#This Row],[Compte]]</f>
        <v>TURVILLA - 401999</v>
      </c>
      <c r="B2244" s="233" t="s">
        <v>5669</v>
      </c>
      <c r="C2244" s="227" t="s">
        <v>663</v>
      </c>
      <c r="F2244" s="227" t="s">
        <v>2156</v>
      </c>
    </row>
    <row r="2245" spans="1:6" x14ac:dyDescent="0.25">
      <c r="A2245" s="227" t="str">
        <f>TL[[#This Row],[Société]]&amp;" - "&amp;TL[[#This Row],[Compte]]</f>
        <v>TURVILLA - 404000</v>
      </c>
      <c r="B2245" s="233" t="s">
        <v>5670</v>
      </c>
      <c r="C2245" s="227" t="s">
        <v>5671</v>
      </c>
      <c r="F2245" s="227" t="s">
        <v>2156</v>
      </c>
    </row>
    <row r="2246" spans="1:6" x14ac:dyDescent="0.25">
      <c r="A2246" s="227" t="str">
        <f>TL[[#This Row],[Société]]&amp;" - "&amp;TL[[#This Row],[Compte]]</f>
        <v>TURVILLA - 408100</v>
      </c>
      <c r="B2246" s="233" t="s">
        <v>1666</v>
      </c>
      <c r="C2246" s="227" t="s">
        <v>975</v>
      </c>
      <c r="F2246" s="227" t="s">
        <v>2156</v>
      </c>
    </row>
    <row r="2247" spans="1:6" x14ac:dyDescent="0.25">
      <c r="A2247" s="227" t="str">
        <f>TL[[#This Row],[Société]]&amp;" - "&amp;TL[[#This Row],[Compte]]</f>
        <v>TURVILLA - 408400</v>
      </c>
      <c r="B2247" s="233" t="s">
        <v>3082</v>
      </c>
      <c r="C2247" s="227" t="s">
        <v>976</v>
      </c>
      <c r="F2247" s="227" t="s">
        <v>2156</v>
      </c>
    </row>
    <row r="2248" spans="1:6" x14ac:dyDescent="0.25">
      <c r="A2248" s="227" t="str">
        <f>TL[[#This Row],[Société]]&amp;" - "&amp;TL[[#This Row],[Compte]]</f>
        <v>TURVILLA - 409100</v>
      </c>
      <c r="B2248" s="233" t="s">
        <v>1667</v>
      </c>
      <c r="C2248" s="227" t="s">
        <v>5672</v>
      </c>
      <c r="F2248" s="227" t="s">
        <v>2156</v>
      </c>
    </row>
    <row r="2249" spans="1:6" x14ac:dyDescent="0.25">
      <c r="A2249" s="227" t="str">
        <f>TL[[#This Row],[Société]]&amp;" - "&amp;TL[[#This Row],[Compte]]</f>
        <v>TURVILLA - 409600</v>
      </c>
      <c r="B2249" s="233" t="s">
        <v>1632</v>
      </c>
      <c r="C2249" s="227" t="s">
        <v>5673</v>
      </c>
      <c r="F2249" s="227" t="s">
        <v>2156</v>
      </c>
    </row>
    <row r="2250" spans="1:6" x14ac:dyDescent="0.25">
      <c r="A2250" s="227" t="str">
        <f>TL[[#This Row],[Société]]&amp;" - "&amp;TL[[#This Row],[Compte]]</f>
        <v>TURVILLA - 409610</v>
      </c>
      <c r="B2250" s="233" t="s">
        <v>4410</v>
      </c>
      <c r="C2250" s="227" t="s">
        <v>5674</v>
      </c>
      <c r="F2250" s="227" t="s">
        <v>2156</v>
      </c>
    </row>
    <row r="2251" spans="1:6" x14ac:dyDescent="0.25">
      <c r="A2251" s="227" t="str">
        <f>TL[[#This Row],[Société]]&amp;" - "&amp;TL[[#This Row],[Compte]]</f>
        <v>TURVILLA - 409700</v>
      </c>
      <c r="B2251" s="233" t="s">
        <v>1825</v>
      </c>
      <c r="C2251" s="227" t="s">
        <v>5675</v>
      </c>
      <c r="F2251" s="227" t="s">
        <v>2156</v>
      </c>
    </row>
    <row r="2252" spans="1:6" x14ac:dyDescent="0.25">
      <c r="A2252" s="227" t="str">
        <f>TL[[#This Row],[Société]]&amp;" - "&amp;TL[[#This Row],[Compte]]</f>
        <v>TURVILLA - 409800</v>
      </c>
      <c r="B2252" s="233" t="s">
        <v>1668</v>
      </c>
      <c r="C2252" s="227" t="s">
        <v>567</v>
      </c>
      <c r="F2252" s="227" t="s">
        <v>2156</v>
      </c>
    </row>
    <row r="2253" spans="1:6" x14ac:dyDescent="0.25">
      <c r="A2253" s="227" t="str">
        <f>TL[[#This Row],[Société]]&amp;" - "&amp;TL[[#This Row],[Compte]]</f>
        <v>TURVILLA - 411000</v>
      </c>
      <c r="B2253" s="233" t="s">
        <v>1708</v>
      </c>
      <c r="C2253" s="227" t="s">
        <v>568</v>
      </c>
      <c r="F2253" s="227" t="s">
        <v>2156</v>
      </c>
    </row>
    <row r="2254" spans="1:6" x14ac:dyDescent="0.25">
      <c r="A2254" s="227" t="str">
        <f>TL[[#This Row],[Société]]&amp;" - "&amp;TL[[#This Row],[Compte]]</f>
        <v>TURVILLA - 411001</v>
      </c>
      <c r="B2254" s="233" t="s">
        <v>1826</v>
      </c>
      <c r="C2254" s="227" t="s">
        <v>1134</v>
      </c>
      <c r="F2254" s="227" t="s">
        <v>2156</v>
      </c>
    </row>
    <row r="2255" spans="1:6" x14ac:dyDescent="0.25">
      <c r="A2255" s="227" t="str">
        <f>TL[[#This Row],[Société]]&amp;" - "&amp;TL[[#This Row],[Compte]]</f>
        <v>TURVILLA - 411002</v>
      </c>
      <c r="B2255" s="233" t="s">
        <v>5676</v>
      </c>
      <c r="C2255" s="227" t="s">
        <v>5677</v>
      </c>
      <c r="F2255" s="227" t="s">
        <v>2156</v>
      </c>
    </row>
    <row r="2256" spans="1:6" x14ac:dyDescent="0.25">
      <c r="A2256" s="227" t="str">
        <f>TL[[#This Row],[Société]]&amp;" - "&amp;TL[[#This Row],[Compte]]</f>
        <v>TURVILLA - 411003</v>
      </c>
      <c r="B2256" s="233" t="s">
        <v>5678</v>
      </c>
      <c r="C2256" s="227" t="s">
        <v>5679</v>
      </c>
      <c r="F2256" s="227" t="s">
        <v>2156</v>
      </c>
    </row>
    <row r="2257" spans="1:6" x14ac:dyDescent="0.25">
      <c r="A2257" s="227" t="str">
        <f>TL[[#This Row],[Société]]&amp;" - "&amp;TL[[#This Row],[Compte]]</f>
        <v>TURVILLA - 411004</v>
      </c>
      <c r="B2257" s="233" t="s">
        <v>5680</v>
      </c>
      <c r="C2257" s="227" t="s">
        <v>5681</v>
      </c>
      <c r="F2257" s="227" t="s">
        <v>2156</v>
      </c>
    </row>
    <row r="2258" spans="1:6" x14ac:dyDescent="0.25">
      <c r="A2258" s="227" t="str">
        <f>TL[[#This Row],[Société]]&amp;" - "&amp;TL[[#This Row],[Compte]]</f>
        <v>TURVILLA - 411005</v>
      </c>
      <c r="B2258" s="233" t="s">
        <v>5682</v>
      </c>
      <c r="C2258" s="227" t="s">
        <v>5683</v>
      </c>
      <c r="F2258" s="227" t="s">
        <v>2156</v>
      </c>
    </row>
    <row r="2259" spans="1:6" x14ac:dyDescent="0.25">
      <c r="A2259" s="227" t="str">
        <f>TL[[#This Row],[Société]]&amp;" - "&amp;TL[[#This Row],[Compte]]</f>
        <v>TURVILLA - 411006</v>
      </c>
      <c r="B2259" s="233" t="s">
        <v>5684</v>
      </c>
      <c r="C2259" s="227" t="s">
        <v>5681</v>
      </c>
      <c r="F2259" s="227" t="s">
        <v>2156</v>
      </c>
    </row>
    <row r="2260" spans="1:6" x14ac:dyDescent="0.25">
      <c r="A2260" s="227" t="str">
        <f>TL[[#This Row],[Société]]&amp;" - "&amp;TL[[#This Row],[Compte]]</f>
        <v>TURVILLA - 411007</v>
      </c>
      <c r="B2260" s="233" t="s">
        <v>5685</v>
      </c>
      <c r="C2260" s="227" t="s">
        <v>5686</v>
      </c>
      <c r="F2260" s="227" t="s">
        <v>2156</v>
      </c>
    </row>
    <row r="2261" spans="1:6" x14ac:dyDescent="0.25">
      <c r="A2261" s="227" t="str">
        <f>TL[[#This Row],[Société]]&amp;" - "&amp;TL[[#This Row],[Compte]]</f>
        <v>TURVILLA - 411008</v>
      </c>
      <c r="B2261" s="233" t="s">
        <v>5687</v>
      </c>
      <c r="C2261" s="227" t="s">
        <v>5688</v>
      </c>
      <c r="F2261" s="227" t="s">
        <v>2156</v>
      </c>
    </row>
    <row r="2262" spans="1:6" x14ac:dyDescent="0.25">
      <c r="A2262" s="227" t="str">
        <f>TL[[#This Row],[Société]]&amp;" - "&amp;TL[[#This Row],[Compte]]</f>
        <v>TURVILLA - 411010</v>
      </c>
      <c r="B2262" s="233" t="s">
        <v>5689</v>
      </c>
      <c r="C2262" s="227" t="s">
        <v>5690</v>
      </c>
      <c r="F2262" s="227" t="s">
        <v>2156</v>
      </c>
    </row>
    <row r="2263" spans="1:6" x14ac:dyDescent="0.25">
      <c r="A2263" s="227" t="str">
        <f>TL[[#This Row],[Société]]&amp;" - "&amp;TL[[#This Row],[Compte]]</f>
        <v>TURVILLA - 411444</v>
      </c>
      <c r="B2263" s="233" t="s">
        <v>5691</v>
      </c>
      <c r="C2263" s="227" t="s">
        <v>568</v>
      </c>
      <c r="F2263" s="227" t="s">
        <v>2156</v>
      </c>
    </row>
    <row r="2264" spans="1:6" x14ac:dyDescent="0.25">
      <c r="A2264" s="227" t="str">
        <f>TL[[#This Row],[Société]]&amp;" - "&amp;TL[[#This Row],[Compte]]</f>
        <v>TURVILLA - 416100</v>
      </c>
      <c r="B2264" s="233" t="s">
        <v>5692</v>
      </c>
      <c r="C2264" s="227" t="s">
        <v>5693</v>
      </c>
      <c r="F2264" s="227" t="s">
        <v>2156</v>
      </c>
    </row>
    <row r="2265" spans="1:6" x14ac:dyDescent="0.25">
      <c r="A2265" s="227" t="str">
        <f>TL[[#This Row],[Société]]&amp;" - "&amp;TL[[#This Row],[Compte]]</f>
        <v>TURVILLA - 418100</v>
      </c>
      <c r="B2265" s="233" t="s">
        <v>1669</v>
      </c>
      <c r="C2265" s="227" t="s">
        <v>5694</v>
      </c>
      <c r="F2265" s="227" t="s">
        <v>2156</v>
      </c>
    </row>
    <row r="2266" spans="1:6" x14ac:dyDescent="0.25">
      <c r="A2266" s="227" t="str">
        <f>TL[[#This Row],[Société]]&amp;" - "&amp;TL[[#This Row],[Compte]]</f>
        <v>TURVILLA - 419100</v>
      </c>
      <c r="B2266" s="233" t="s">
        <v>1830</v>
      </c>
      <c r="C2266" s="227" t="s">
        <v>671</v>
      </c>
      <c r="F2266" s="227" t="s">
        <v>2156</v>
      </c>
    </row>
    <row r="2267" spans="1:6" x14ac:dyDescent="0.25">
      <c r="A2267" s="227" t="str">
        <f>TL[[#This Row],[Société]]&amp;" - "&amp;TL[[#This Row],[Compte]]</f>
        <v>TURVILLA - 419800</v>
      </c>
      <c r="B2267" s="233" t="s">
        <v>1831</v>
      </c>
      <c r="C2267" s="227" t="s">
        <v>5695</v>
      </c>
      <c r="F2267" s="227" t="s">
        <v>2156</v>
      </c>
    </row>
    <row r="2268" spans="1:6" x14ac:dyDescent="0.25">
      <c r="A2268" s="227" t="str">
        <f>TL[[#This Row],[Société]]&amp;" - "&amp;TL[[#This Row],[Compte]]</f>
        <v>TURVILLA - 421000</v>
      </c>
      <c r="B2268" s="233" t="s">
        <v>1670</v>
      </c>
      <c r="C2268" s="227" t="s">
        <v>3090</v>
      </c>
      <c r="F2268" s="227" t="s">
        <v>2156</v>
      </c>
    </row>
    <row r="2269" spans="1:6" x14ac:dyDescent="0.25">
      <c r="A2269" s="227" t="str">
        <f>TL[[#This Row],[Société]]&amp;" - "&amp;TL[[#This Row],[Compte]]</f>
        <v>TURVILLA - 421001</v>
      </c>
      <c r="B2269" s="233" t="s">
        <v>5696</v>
      </c>
      <c r="C2269" s="227" t="s">
        <v>5697</v>
      </c>
      <c r="F2269" s="227" t="s">
        <v>2156</v>
      </c>
    </row>
    <row r="2270" spans="1:6" x14ac:dyDescent="0.25">
      <c r="A2270" s="227" t="str">
        <f>TL[[#This Row],[Société]]&amp;" - "&amp;TL[[#This Row],[Compte]]</f>
        <v>TURVILLA - 421002</v>
      </c>
      <c r="B2270" s="233" t="s">
        <v>5698</v>
      </c>
      <c r="C2270" s="227" t="s">
        <v>5699</v>
      </c>
      <c r="F2270" s="227" t="s">
        <v>2156</v>
      </c>
    </row>
    <row r="2271" spans="1:6" x14ac:dyDescent="0.25">
      <c r="A2271" s="227" t="str">
        <f>TL[[#This Row],[Société]]&amp;" - "&amp;TL[[#This Row],[Compte]]</f>
        <v>TURVILLA - 421003</v>
      </c>
      <c r="B2271" s="233" t="s">
        <v>5700</v>
      </c>
      <c r="C2271" s="227" t="s">
        <v>5701</v>
      </c>
      <c r="F2271" s="227" t="s">
        <v>2156</v>
      </c>
    </row>
    <row r="2272" spans="1:6" x14ac:dyDescent="0.25">
      <c r="A2272" s="227" t="str">
        <f>TL[[#This Row],[Société]]&amp;" - "&amp;TL[[#This Row],[Compte]]</f>
        <v>TURVILLA - 421004</v>
      </c>
      <c r="B2272" s="233" t="s">
        <v>5702</v>
      </c>
      <c r="C2272" s="227" t="s">
        <v>5703</v>
      </c>
      <c r="F2272" s="227" t="s">
        <v>2156</v>
      </c>
    </row>
    <row r="2273" spans="1:6" x14ac:dyDescent="0.25">
      <c r="A2273" s="227" t="str">
        <f>TL[[#This Row],[Société]]&amp;" - "&amp;TL[[#This Row],[Compte]]</f>
        <v>TURVILLA - 421005</v>
      </c>
      <c r="B2273" s="233" t="s">
        <v>5704</v>
      </c>
      <c r="C2273" s="227" t="s">
        <v>5705</v>
      </c>
      <c r="F2273" s="227" t="s">
        <v>2156</v>
      </c>
    </row>
    <row r="2274" spans="1:6" x14ac:dyDescent="0.25">
      <c r="A2274" s="227" t="str">
        <f>TL[[#This Row],[Société]]&amp;" - "&amp;TL[[#This Row],[Compte]]</f>
        <v>TURVILLA - 421006</v>
      </c>
      <c r="B2274" s="233" t="s">
        <v>5706</v>
      </c>
      <c r="C2274" s="227" t="s">
        <v>5707</v>
      </c>
      <c r="F2274" s="227" t="s">
        <v>2156</v>
      </c>
    </row>
    <row r="2275" spans="1:6" x14ac:dyDescent="0.25">
      <c r="A2275" s="227" t="str">
        <f>TL[[#This Row],[Société]]&amp;" - "&amp;TL[[#This Row],[Compte]]</f>
        <v>TURVILLA - 421007</v>
      </c>
      <c r="B2275" s="233" t="s">
        <v>5708</v>
      </c>
      <c r="C2275" s="227" t="s">
        <v>5709</v>
      </c>
      <c r="F2275" s="227" t="s">
        <v>2156</v>
      </c>
    </row>
    <row r="2276" spans="1:6" x14ac:dyDescent="0.25">
      <c r="A2276" s="227" t="str">
        <f>TL[[#This Row],[Société]]&amp;" - "&amp;TL[[#This Row],[Compte]]</f>
        <v>TURVILLA - 421008</v>
      </c>
      <c r="B2276" s="233" t="s">
        <v>5710</v>
      </c>
      <c r="C2276" s="227" t="s">
        <v>5711</v>
      </c>
      <c r="F2276" s="227" t="s">
        <v>2156</v>
      </c>
    </row>
    <row r="2277" spans="1:6" x14ac:dyDescent="0.25">
      <c r="A2277" s="227" t="str">
        <f>TL[[#This Row],[Société]]&amp;" - "&amp;TL[[#This Row],[Compte]]</f>
        <v>TURVILLA - 421009</v>
      </c>
      <c r="B2277" s="233" t="s">
        <v>5712</v>
      </c>
      <c r="C2277" s="227" t="s">
        <v>5713</v>
      </c>
      <c r="F2277" s="227" t="s">
        <v>2156</v>
      </c>
    </row>
    <row r="2278" spans="1:6" x14ac:dyDescent="0.25">
      <c r="A2278" s="227" t="str">
        <f>TL[[#This Row],[Société]]&amp;" - "&amp;TL[[#This Row],[Compte]]</f>
        <v>TURVILLA - 421010</v>
      </c>
      <c r="B2278" s="233" t="s">
        <v>1671</v>
      </c>
      <c r="C2278" s="227" t="s">
        <v>5714</v>
      </c>
      <c r="F2278" s="227" t="s">
        <v>2156</v>
      </c>
    </row>
    <row r="2279" spans="1:6" x14ac:dyDescent="0.25">
      <c r="A2279" s="227" t="str">
        <f>TL[[#This Row],[Société]]&amp;" - "&amp;TL[[#This Row],[Compte]]</f>
        <v>TURVILLA - 421011</v>
      </c>
      <c r="B2279" s="233" t="s">
        <v>5715</v>
      </c>
      <c r="C2279" s="227" t="s">
        <v>5716</v>
      </c>
      <c r="F2279" s="227" t="s">
        <v>2156</v>
      </c>
    </row>
    <row r="2280" spans="1:6" x14ac:dyDescent="0.25">
      <c r="A2280" s="227" t="str">
        <f>TL[[#This Row],[Société]]&amp;" - "&amp;TL[[#This Row],[Compte]]</f>
        <v>TURVILLA - 421012</v>
      </c>
      <c r="B2280" s="233" t="s">
        <v>5717</v>
      </c>
      <c r="C2280" s="227" t="s">
        <v>5718</v>
      </c>
      <c r="F2280" s="227" t="s">
        <v>2156</v>
      </c>
    </row>
    <row r="2281" spans="1:6" x14ac:dyDescent="0.25">
      <c r="A2281" s="227" t="str">
        <f>TL[[#This Row],[Société]]&amp;" - "&amp;TL[[#This Row],[Compte]]</f>
        <v>TURVILLA - 421100</v>
      </c>
      <c r="B2281" s="233" t="s">
        <v>3092</v>
      </c>
      <c r="C2281" s="227" t="s">
        <v>5719</v>
      </c>
      <c r="F2281" s="227" t="s">
        <v>2156</v>
      </c>
    </row>
    <row r="2282" spans="1:6" x14ac:dyDescent="0.25">
      <c r="A2282" s="227" t="str">
        <f>TL[[#This Row],[Société]]&amp;" - "&amp;TL[[#This Row],[Compte]]</f>
        <v>TURVILLA - 421120</v>
      </c>
      <c r="B2282" s="233" t="s">
        <v>5720</v>
      </c>
      <c r="C2282" s="227" t="s">
        <v>5721</v>
      </c>
      <c r="F2282" s="227" t="s">
        <v>2156</v>
      </c>
    </row>
    <row r="2283" spans="1:6" x14ac:dyDescent="0.25">
      <c r="A2283" s="227" t="str">
        <f>TL[[#This Row],[Société]]&amp;" - "&amp;TL[[#This Row],[Compte]]</f>
        <v>TURVILLA - 424800</v>
      </c>
      <c r="B2283" s="233" t="s">
        <v>4446</v>
      </c>
      <c r="C2283" s="227" t="s">
        <v>5722</v>
      </c>
      <c r="F2283" s="227" t="s">
        <v>2156</v>
      </c>
    </row>
    <row r="2284" spans="1:6" x14ac:dyDescent="0.25">
      <c r="A2284" s="227" t="str">
        <f>TL[[#This Row],[Société]]&amp;" - "&amp;TL[[#This Row],[Compte]]</f>
        <v>TURVILLA - 425000</v>
      </c>
      <c r="B2284" s="233" t="s">
        <v>1672</v>
      </c>
      <c r="C2284" s="227" t="s">
        <v>571</v>
      </c>
      <c r="F2284" s="227" t="s">
        <v>2156</v>
      </c>
    </row>
    <row r="2285" spans="1:6" x14ac:dyDescent="0.25">
      <c r="A2285" s="227" t="str">
        <f>TL[[#This Row],[Société]]&amp;" - "&amp;TL[[#This Row],[Compte]]</f>
        <v>TURVILLA - 427000</v>
      </c>
      <c r="B2285" s="233" t="s">
        <v>1710</v>
      </c>
      <c r="C2285" s="227" t="s">
        <v>4451</v>
      </c>
      <c r="F2285" s="227" t="s">
        <v>2156</v>
      </c>
    </row>
    <row r="2286" spans="1:6" x14ac:dyDescent="0.25">
      <c r="A2286" s="227" t="str">
        <f>TL[[#This Row],[Société]]&amp;" - "&amp;TL[[#This Row],[Compte]]</f>
        <v>TURVILLA - 428200</v>
      </c>
      <c r="B2286" s="233" t="s">
        <v>1673</v>
      </c>
      <c r="C2286" s="227" t="s">
        <v>984</v>
      </c>
      <c r="F2286" s="227" t="s">
        <v>2156</v>
      </c>
    </row>
    <row r="2287" spans="1:6" x14ac:dyDescent="0.25">
      <c r="A2287" s="227" t="str">
        <f>TL[[#This Row],[Société]]&amp;" - "&amp;TL[[#This Row],[Compte]]</f>
        <v>TURVILLA - 428220</v>
      </c>
      <c r="B2287" s="233" t="s">
        <v>3094</v>
      </c>
      <c r="C2287" s="227" t="s">
        <v>5723</v>
      </c>
      <c r="F2287" s="227" t="s">
        <v>2156</v>
      </c>
    </row>
    <row r="2288" spans="1:6" x14ac:dyDescent="0.25">
      <c r="A2288" s="227" t="str">
        <f>TL[[#This Row],[Société]]&amp;" - "&amp;TL[[#This Row],[Compte]]</f>
        <v>TURVILLA - 428230</v>
      </c>
      <c r="B2288" s="233" t="s">
        <v>3096</v>
      </c>
      <c r="C2288" s="227" t="s">
        <v>2209</v>
      </c>
      <c r="F2288" s="227" t="s">
        <v>2156</v>
      </c>
    </row>
    <row r="2289" spans="1:6" x14ac:dyDescent="0.25">
      <c r="A2289" s="227" t="str">
        <f>TL[[#This Row],[Société]]&amp;" - "&amp;TL[[#This Row],[Compte]]</f>
        <v>TURVILLA - 428400</v>
      </c>
      <c r="B2289" s="233" t="s">
        <v>4457</v>
      </c>
      <c r="C2289" s="227" t="s">
        <v>5722</v>
      </c>
      <c r="F2289" s="227" t="s">
        <v>2156</v>
      </c>
    </row>
    <row r="2290" spans="1:6" x14ac:dyDescent="0.25">
      <c r="A2290" s="227" t="str">
        <f>TL[[#This Row],[Société]]&amp;" - "&amp;TL[[#This Row],[Compte]]</f>
        <v>TURVILLA - 428600</v>
      </c>
      <c r="B2290" s="233" t="s">
        <v>1834</v>
      </c>
      <c r="C2290" s="227" t="s">
        <v>5724</v>
      </c>
      <c r="F2290" s="227" t="s">
        <v>2156</v>
      </c>
    </row>
    <row r="2291" spans="1:6" x14ac:dyDescent="0.25">
      <c r="A2291" s="227" t="str">
        <f>TL[[#This Row],[Société]]&amp;" - "&amp;TL[[#This Row],[Compte]]</f>
        <v>TURVILLA - 431000</v>
      </c>
      <c r="B2291" s="233" t="s">
        <v>1674</v>
      </c>
      <c r="C2291" s="227" t="s">
        <v>573</v>
      </c>
      <c r="F2291" s="227" t="s">
        <v>2156</v>
      </c>
    </row>
    <row r="2292" spans="1:6" x14ac:dyDescent="0.25">
      <c r="A2292" s="227" t="str">
        <f>TL[[#This Row],[Société]]&amp;" - "&amp;TL[[#This Row],[Compte]]</f>
        <v>TURVILLA - 437000</v>
      </c>
      <c r="B2292" s="233" t="s">
        <v>1835</v>
      </c>
      <c r="C2292" s="227" t="s">
        <v>5725</v>
      </c>
      <c r="F2292" s="227" t="s">
        <v>2156</v>
      </c>
    </row>
    <row r="2293" spans="1:6" x14ac:dyDescent="0.25">
      <c r="A2293" s="227" t="str">
        <f>TL[[#This Row],[Société]]&amp;" - "&amp;TL[[#This Row],[Compte]]</f>
        <v>TURVILLA - 437010</v>
      </c>
      <c r="B2293" s="233" t="s">
        <v>1675</v>
      </c>
      <c r="C2293" s="227" t="s">
        <v>5726</v>
      </c>
      <c r="F2293" s="227" t="s">
        <v>2156</v>
      </c>
    </row>
    <row r="2294" spans="1:6" x14ac:dyDescent="0.25">
      <c r="A2294" s="227" t="str">
        <f>TL[[#This Row],[Société]]&amp;" - "&amp;TL[[#This Row],[Compte]]</f>
        <v>TURVILLA - 437020</v>
      </c>
      <c r="B2294" s="233" t="s">
        <v>1676</v>
      </c>
      <c r="C2294" s="227" t="s">
        <v>575</v>
      </c>
      <c r="F2294" s="227" t="s">
        <v>2156</v>
      </c>
    </row>
    <row r="2295" spans="1:6" x14ac:dyDescent="0.25">
      <c r="A2295" s="227" t="str">
        <f>TL[[#This Row],[Société]]&amp;" - "&amp;TL[[#This Row],[Compte]]</f>
        <v>TURVILLA - 437030</v>
      </c>
      <c r="B2295" s="233" t="s">
        <v>1839</v>
      </c>
      <c r="C2295" s="227" t="s">
        <v>679</v>
      </c>
      <c r="F2295" s="227" t="s">
        <v>2156</v>
      </c>
    </row>
    <row r="2296" spans="1:6" x14ac:dyDescent="0.25">
      <c r="A2296" s="227" t="str">
        <f>TL[[#This Row],[Société]]&amp;" - "&amp;TL[[#This Row],[Compte]]</f>
        <v>TURVILLA - 437070</v>
      </c>
      <c r="B2296" s="233" t="s">
        <v>5727</v>
      </c>
      <c r="C2296" s="227" t="s">
        <v>1461</v>
      </c>
      <c r="F2296" s="227" t="s">
        <v>2156</v>
      </c>
    </row>
    <row r="2297" spans="1:6" x14ac:dyDescent="0.25">
      <c r="A2297" s="227" t="str">
        <f>TL[[#This Row],[Société]]&amp;" - "&amp;TL[[#This Row],[Compte]]</f>
        <v>TURVILLA - 437080</v>
      </c>
      <c r="B2297" s="233" t="s">
        <v>3106</v>
      </c>
      <c r="C2297" s="227" t="s">
        <v>1358</v>
      </c>
      <c r="F2297" s="227" t="s">
        <v>2156</v>
      </c>
    </row>
    <row r="2298" spans="1:6" x14ac:dyDescent="0.25">
      <c r="A2298" s="227" t="str">
        <f>TL[[#This Row],[Société]]&amp;" - "&amp;TL[[#This Row],[Compte]]</f>
        <v>TURVILLA - 437090</v>
      </c>
      <c r="B2298" s="233" t="s">
        <v>3108</v>
      </c>
      <c r="C2298" s="227" t="s">
        <v>5728</v>
      </c>
      <c r="F2298" s="227" t="s">
        <v>2156</v>
      </c>
    </row>
    <row r="2299" spans="1:6" x14ac:dyDescent="0.25">
      <c r="A2299" s="227" t="str">
        <f>TL[[#This Row],[Société]]&amp;" - "&amp;TL[[#This Row],[Compte]]</f>
        <v>TURVILLA - 437091</v>
      </c>
      <c r="B2299" s="233" t="s">
        <v>3110</v>
      </c>
      <c r="C2299" s="227" t="s">
        <v>5729</v>
      </c>
      <c r="F2299" s="227" t="s">
        <v>2156</v>
      </c>
    </row>
    <row r="2300" spans="1:6" x14ac:dyDescent="0.25">
      <c r="A2300" s="227" t="str">
        <f>TL[[#This Row],[Société]]&amp;" - "&amp;TL[[#This Row],[Compte]]</f>
        <v>TURVILLA - 437320</v>
      </c>
      <c r="B2300" s="233" t="s">
        <v>4483</v>
      </c>
      <c r="C2300" s="227" t="s">
        <v>5730</v>
      </c>
      <c r="F2300" s="227" t="s">
        <v>2156</v>
      </c>
    </row>
    <row r="2301" spans="1:6" x14ac:dyDescent="0.25">
      <c r="A2301" s="227" t="str">
        <f>TL[[#This Row],[Société]]&amp;" - "&amp;TL[[#This Row],[Compte]]</f>
        <v>TURVILLA - 437330</v>
      </c>
      <c r="B2301" s="233" t="s">
        <v>4484</v>
      </c>
      <c r="C2301" s="227" t="s">
        <v>5731</v>
      </c>
      <c r="F2301" s="227" t="s">
        <v>2156</v>
      </c>
    </row>
    <row r="2302" spans="1:6" x14ac:dyDescent="0.25">
      <c r="A2302" s="227" t="str">
        <f>TL[[#This Row],[Société]]&amp;" - "&amp;TL[[#This Row],[Compte]]</f>
        <v>TURVILLA - 437350</v>
      </c>
      <c r="B2302" s="233" t="s">
        <v>4486</v>
      </c>
      <c r="C2302" s="227" t="s">
        <v>5732</v>
      </c>
      <c r="F2302" s="227" t="s">
        <v>2156</v>
      </c>
    </row>
    <row r="2303" spans="1:6" x14ac:dyDescent="0.25">
      <c r="A2303" s="227" t="str">
        <f>TL[[#This Row],[Société]]&amp;" - "&amp;TL[[#This Row],[Compte]]</f>
        <v>TURVILLA - 437530</v>
      </c>
      <c r="B2303" s="233" t="s">
        <v>5733</v>
      </c>
      <c r="C2303" s="227" t="s">
        <v>5734</v>
      </c>
      <c r="F2303" s="227" t="s">
        <v>2156</v>
      </c>
    </row>
    <row r="2304" spans="1:6" x14ac:dyDescent="0.25">
      <c r="A2304" s="227" t="str">
        <f>TL[[#This Row],[Société]]&amp;" - "&amp;TL[[#This Row],[Compte]]</f>
        <v>TURVILLA - 437800</v>
      </c>
      <c r="B2304" s="233" t="s">
        <v>4489</v>
      </c>
      <c r="C2304" s="227" t="s">
        <v>676</v>
      </c>
      <c r="F2304" s="227" t="s">
        <v>2156</v>
      </c>
    </row>
    <row r="2305" spans="1:6" x14ac:dyDescent="0.25">
      <c r="A2305" s="227" t="str">
        <f>TL[[#This Row],[Société]]&amp;" - "&amp;TL[[#This Row],[Compte]]</f>
        <v>TURVILLA - 438000</v>
      </c>
      <c r="B2305" s="233" t="s">
        <v>2122</v>
      </c>
      <c r="C2305" s="227" t="s">
        <v>5735</v>
      </c>
      <c r="F2305" s="227" t="s">
        <v>2156</v>
      </c>
    </row>
    <row r="2306" spans="1:6" x14ac:dyDescent="0.25">
      <c r="A2306" s="227" t="str">
        <f>TL[[#This Row],[Société]]&amp;" - "&amp;TL[[#This Row],[Compte]]</f>
        <v>TURVILLA - 438200</v>
      </c>
      <c r="B2306" s="233" t="s">
        <v>2123</v>
      </c>
      <c r="C2306" s="227" t="s">
        <v>858</v>
      </c>
      <c r="F2306" s="227" t="s">
        <v>2156</v>
      </c>
    </row>
    <row r="2307" spans="1:6" x14ac:dyDescent="0.25">
      <c r="A2307" s="227" t="str">
        <f>TL[[#This Row],[Société]]&amp;" - "&amp;TL[[#This Row],[Compte]]</f>
        <v>TURVILLA - 438220</v>
      </c>
      <c r="B2307" s="233" t="s">
        <v>5736</v>
      </c>
      <c r="C2307" s="227" t="s">
        <v>2210</v>
      </c>
      <c r="F2307" s="227" t="s">
        <v>2156</v>
      </c>
    </row>
    <row r="2308" spans="1:6" x14ac:dyDescent="0.25">
      <c r="A2308" s="227" t="str">
        <f>TL[[#This Row],[Société]]&amp;" - "&amp;TL[[#This Row],[Compte]]</f>
        <v>TURVILLA - 438230</v>
      </c>
      <c r="B2308" s="233" t="s">
        <v>5737</v>
      </c>
      <c r="C2308" s="227" t="s">
        <v>5738</v>
      </c>
      <c r="F2308" s="227" t="s">
        <v>2156</v>
      </c>
    </row>
    <row r="2309" spans="1:6" x14ac:dyDescent="0.25">
      <c r="A2309" s="227" t="str">
        <f>TL[[#This Row],[Société]]&amp;" - "&amp;TL[[#This Row],[Compte]]</f>
        <v>TURVILLA - 438600</v>
      </c>
      <c r="B2309" s="233" t="s">
        <v>1678</v>
      </c>
      <c r="C2309" s="227" t="s">
        <v>986</v>
      </c>
      <c r="F2309" s="227" t="s">
        <v>2156</v>
      </c>
    </row>
    <row r="2310" spans="1:6" x14ac:dyDescent="0.25">
      <c r="A2310" s="227" t="str">
        <f>TL[[#This Row],[Société]]&amp;" - "&amp;TL[[#This Row],[Compte]]</f>
        <v>TURVILLA - 438610</v>
      </c>
      <c r="B2310" s="233" t="s">
        <v>2119</v>
      </c>
      <c r="C2310" s="227" t="s">
        <v>5739</v>
      </c>
      <c r="F2310" s="227" t="s">
        <v>2156</v>
      </c>
    </row>
    <row r="2311" spans="1:6" x14ac:dyDescent="0.25">
      <c r="A2311" s="227" t="str">
        <f>TL[[#This Row],[Société]]&amp;" - "&amp;TL[[#This Row],[Compte]]</f>
        <v>TURVILLA - 438611</v>
      </c>
      <c r="B2311" s="233" t="s">
        <v>4492</v>
      </c>
      <c r="C2311" s="227" t="s">
        <v>5740</v>
      </c>
      <c r="F2311" s="227" t="s">
        <v>2156</v>
      </c>
    </row>
    <row r="2312" spans="1:6" x14ac:dyDescent="0.25">
      <c r="A2312" s="227" t="str">
        <f>TL[[#This Row],[Société]]&amp;" - "&amp;TL[[#This Row],[Compte]]</f>
        <v>TURVILLA - 438700</v>
      </c>
      <c r="B2312" s="233" t="s">
        <v>1679</v>
      </c>
      <c r="C2312" s="227" t="s">
        <v>5741</v>
      </c>
      <c r="F2312" s="227" t="s">
        <v>2156</v>
      </c>
    </row>
    <row r="2313" spans="1:6" x14ac:dyDescent="0.25">
      <c r="A2313" s="227" t="str">
        <f>TL[[#This Row],[Société]]&amp;" - "&amp;TL[[#This Row],[Compte]]</f>
        <v>TURVILLA - 442100</v>
      </c>
      <c r="B2313" s="233" t="s">
        <v>1841</v>
      </c>
      <c r="C2313" s="227" t="s">
        <v>5742</v>
      </c>
      <c r="F2313" s="227" t="s">
        <v>2156</v>
      </c>
    </row>
    <row r="2314" spans="1:6" x14ac:dyDescent="0.25">
      <c r="A2314" s="227" t="str">
        <f>TL[[#This Row],[Société]]&amp;" - "&amp;TL[[#This Row],[Compte]]</f>
        <v>TURVILLA - 442500</v>
      </c>
      <c r="B2314" s="233" t="s">
        <v>4517</v>
      </c>
      <c r="C2314" s="227" t="s">
        <v>5743</v>
      </c>
      <c r="F2314" s="227" t="s">
        <v>2156</v>
      </c>
    </row>
    <row r="2315" spans="1:6" x14ac:dyDescent="0.25">
      <c r="A2315" s="227" t="str">
        <f>TL[[#This Row],[Société]]&amp;" - "&amp;TL[[#This Row],[Compte]]</f>
        <v>TURVILLA - 442510</v>
      </c>
      <c r="B2315" s="233" t="s">
        <v>5744</v>
      </c>
      <c r="C2315" s="227" t="s">
        <v>5745</v>
      </c>
      <c r="F2315" s="227" t="s">
        <v>2156</v>
      </c>
    </row>
    <row r="2316" spans="1:6" x14ac:dyDescent="0.25">
      <c r="A2316" s="227" t="str">
        <f>TL[[#This Row],[Société]]&amp;" - "&amp;TL[[#This Row],[Compte]]</f>
        <v>TURVILLA - 442520</v>
      </c>
      <c r="B2316" s="233" t="s">
        <v>5746</v>
      </c>
      <c r="C2316" s="227" t="s">
        <v>5747</v>
      </c>
      <c r="F2316" s="227" t="s">
        <v>2156</v>
      </c>
    </row>
    <row r="2317" spans="1:6" x14ac:dyDescent="0.25">
      <c r="A2317" s="227" t="str">
        <f>TL[[#This Row],[Société]]&amp;" - "&amp;TL[[#This Row],[Compte]]</f>
        <v>TURVILLA - 444000</v>
      </c>
      <c r="B2317" s="233" t="s">
        <v>1682</v>
      </c>
      <c r="C2317" s="227" t="s">
        <v>157</v>
      </c>
      <c r="F2317" s="227" t="s">
        <v>2156</v>
      </c>
    </row>
    <row r="2318" spans="1:6" x14ac:dyDescent="0.25">
      <c r="A2318" s="227" t="str">
        <f>TL[[#This Row],[Société]]&amp;" - "&amp;TL[[#This Row],[Compte]]</f>
        <v>TURVILLA - 445200</v>
      </c>
      <c r="B2318" s="233" t="s">
        <v>1842</v>
      </c>
      <c r="C2318" s="227" t="s">
        <v>580</v>
      </c>
      <c r="F2318" s="227" t="s">
        <v>2156</v>
      </c>
    </row>
    <row r="2319" spans="1:6" x14ac:dyDescent="0.25">
      <c r="A2319" s="227" t="str">
        <f>TL[[#This Row],[Société]]&amp;" - "&amp;TL[[#This Row],[Compte]]</f>
        <v>TURVILLA - 445500</v>
      </c>
      <c r="B2319" s="233" t="s">
        <v>4530</v>
      </c>
      <c r="C2319" s="227" t="s">
        <v>534</v>
      </c>
      <c r="F2319" s="227" t="s">
        <v>2156</v>
      </c>
    </row>
    <row r="2320" spans="1:6" x14ac:dyDescent="0.25">
      <c r="A2320" s="227" t="str">
        <f>TL[[#This Row],[Société]]&amp;" - "&amp;TL[[#This Row],[Compte]]</f>
        <v>TURVILLA - 445510</v>
      </c>
      <c r="B2320" s="233" t="s">
        <v>1683</v>
      </c>
      <c r="C2320" s="227" t="s">
        <v>5748</v>
      </c>
      <c r="F2320" s="227" t="s">
        <v>2156</v>
      </c>
    </row>
    <row r="2321" spans="1:6" x14ac:dyDescent="0.25">
      <c r="A2321" s="227" t="str">
        <f>TL[[#This Row],[Société]]&amp;" - "&amp;TL[[#This Row],[Compte]]</f>
        <v>TURVILLA - 445620</v>
      </c>
      <c r="B2321" s="233" t="s">
        <v>1843</v>
      </c>
      <c r="C2321" s="227" t="s">
        <v>3127</v>
      </c>
      <c r="F2321" s="227" t="s">
        <v>2156</v>
      </c>
    </row>
    <row r="2322" spans="1:6" x14ac:dyDescent="0.25">
      <c r="A2322" s="227" t="str">
        <f>TL[[#This Row],[Société]]&amp;" - "&amp;TL[[#This Row],[Compte]]</f>
        <v>TURVILLA - 445621</v>
      </c>
      <c r="B2322" s="233" t="s">
        <v>1844</v>
      </c>
      <c r="C2322" s="227" t="s">
        <v>5749</v>
      </c>
      <c r="F2322" s="227" t="s">
        <v>2156</v>
      </c>
    </row>
    <row r="2323" spans="1:6" x14ac:dyDescent="0.25">
      <c r="A2323" s="227" t="str">
        <f>TL[[#This Row],[Société]]&amp;" - "&amp;TL[[#This Row],[Compte]]</f>
        <v>TURVILLA - 445660</v>
      </c>
      <c r="B2323" s="233" t="s">
        <v>1580</v>
      </c>
      <c r="C2323" s="227" t="s">
        <v>3128</v>
      </c>
      <c r="F2323" s="227" t="s">
        <v>2156</v>
      </c>
    </row>
    <row r="2324" spans="1:6" x14ac:dyDescent="0.25">
      <c r="A2324" s="227" t="str">
        <f>TL[[#This Row],[Société]]&amp;" - "&amp;TL[[#This Row],[Compte]]</f>
        <v>TURVILLA - 445661</v>
      </c>
      <c r="B2324" s="233" t="s">
        <v>1584</v>
      </c>
      <c r="C2324" s="227" t="s">
        <v>5750</v>
      </c>
      <c r="F2324" s="227" t="s">
        <v>2156</v>
      </c>
    </row>
    <row r="2325" spans="1:6" x14ac:dyDescent="0.25">
      <c r="A2325" s="227" t="str">
        <f>TL[[#This Row],[Société]]&amp;" - "&amp;TL[[#This Row],[Compte]]</f>
        <v>TURVILLA - 445662</v>
      </c>
      <c r="B2325" s="233" t="s">
        <v>1845</v>
      </c>
      <c r="C2325" s="227" t="s">
        <v>582</v>
      </c>
      <c r="F2325" s="227" t="s">
        <v>2156</v>
      </c>
    </row>
    <row r="2326" spans="1:6" x14ac:dyDescent="0.25">
      <c r="A2326" s="227" t="str">
        <f>TL[[#This Row],[Société]]&amp;" - "&amp;TL[[#This Row],[Compte]]</f>
        <v>TURVILLA - 445670</v>
      </c>
      <c r="B2326" s="233" t="s">
        <v>1846</v>
      </c>
      <c r="C2326" s="227" t="s">
        <v>3131</v>
      </c>
      <c r="F2326" s="227" t="s">
        <v>2156</v>
      </c>
    </row>
    <row r="2327" spans="1:6" x14ac:dyDescent="0.25">
      <c r="A2327" s="227" t="str">
        <f>TL[[#This Row],[Société]]&amp;" - "&amp;TL[[#This Row],[Compte]]</f>
        <v>TURVILLA - 445710</v>
      </c>
      <c r="B2327" s="233" t="s">
        <v>1742</v>
      </c>
      <c r="C2327" s="227" t="s">
        <v>5751</v>
      </c>
      <c r="F2327" s="227" t="s">
        <v>2156</v>
      </c>
    </row>
    <row r="2328" spans="1:6" x14ac:dyDescent="0.25">
      <c r="A2328" s="227" t="str">
        <f>TL[[#This Row],[Société]]&amp;" - "&amp;TL[[#This Row],[Compte]]</f>
        <v>TURVILLA - 445712</v>
      </c>
      <c r="B2328" s="233" t="s">
        <v>5752</v>
      </c>
      <c r="C2328" s="227" t="s">
        <v>5753</v>
      </c>
      <c r="F2328" s="227" t="s">
        <v>2156</v>
      </c>
    </row>
    <row r="2329" spans="1:6" x14ac:dyDescent="0.25">
      <c r="A2329" s="227" t="str">
        <f>TL[[#This Row],[Société]]&amp;" - "&amp;TL[[#This Row],[Compte]]</f>
        <v>TURVILLA - 445714</v>
      </c>
      <c r="B2329" s="233" t="s">
        <v>1849</v>
      </c>
      <c r="C2329" s="227" t="s">
        <v>5754</v>
      </c>
      <c r="F2329" s="227" t="s">
        <v>2156</v>
      </c>
    </row>
    <row r="2330" spans="1:6" x14ac:dyDescent="0.25">
      <c r="A2330" s="227" t="str">
        <f>TL[[#This Row],[Société]]&amp;" - "&amp;TL[[#This Row],[Compte]]</f>
        <v>TURVILLA - 445715</v>
      </c>
      <c r="B2330" s="233" t="s">
        <v>1850</v>
      </c>
      <c r="C2330" s="227" t="s">
        <v>5755</v>
      </c>
      <c r="F2330" s="227" t="s">
        <v>2156</v>
      </c>
    </row>
    <row r="2331" spans="1:6" x14ac:dyDescent="0.25">
      <c r="A2331" s="227" t="str">
        <f>TL[[#This Row],[Société]]&amp;" - "&amp;TL[[#This Row],[Compte]]</f>
        <v>TURVILLA - 445716</v>
      </c>
      <c r="B2331" s="233" t="s">
        <v>1684</v>
      </c>
      <c r="C2331" s="227" t="s">
        <v>1118</v>
      </c>
      <c r="F2331" s="227" t="s">
        <v>2156</v>
      </c>
    </row>
    <row r="2332" spans="1:6" x14ac:dyDescent="0.25">
      <c r="A2332" s="227" t="str">
        <f>TL[[#This Row],[Société]]&amp;" - "&amp;TL[[#This Row],[Compte]]</f>
        <v>TURVILLA - 445717</v>
      </c>
      <c r="B2332" s="233" t="s">
        <v>1734</v>
      </c>
      <c r="C2332" s="227" t="s">
        <v>585</v>
      </c>
      <c r="F2332" s="227" t="s">
        <v>2156</v>
      </c>
    </row>
    <row r="2333" spans="1:6" x14ac:dyDescent="0.25">
      <c r="A2333" s="227" t="str">
        <f>TL[[#This Row],[Société]]&amp;" - "&amp;TL[[#This Row],[Compte]]</f>
        <v>TURVILLA - 445720</v>
      </c>
      <c r="B2333" s="233" t="s">
        <v>1685</v>
      </c>
      <c r="C2333" s="227" t="s">
        <v>5756</v>
      </c>
      <c r="F2333" s="227" t="s">
        <v>2156</v>
      </c>
    </row>
    <row r="2334" spans="1:6" x14ac:dyDescent="0.25">
      <c r="A2334" s="227" t="str">
        <f>TL[[#This Row],[Société]]&amp;" - "&amp;TL[[#This Row],[Compte]]</f>
        <v>TURVILLA - 445730</v>
      </c>
      <c r="B2334" s="233" t="s">
        <v>5757</v>
      </c>
      <c r="C2334" s="227" t="s">
        <v>5758</v>
      </c>
      <c r="F2334" s="227" t="s">
        <v>2156</v>
      </c>
    </row>
    <row r="2335" spans="1:6" x14ac:dyDescent="0.25">
      <c r="A2335" s="227" t="str">
        <f>TL[[#This Row],[Société]]&amp;" - "&amp;TL[[#This Row],[Compte]]</f>
        <v>TURVILLA - 445750</v>
      </c>
      <c r="B2335" s="233" t="s">
        <v>3134</v>
      </c>
      <c r="C2335" s="227" t="s">
        <v>5759</v>
      </c>
      <c r="F2335" s="227" t="s">
        <v>2156</v>
      </c>
    </row>
    <row r="2336" spans="1:6" x14ac:dyDescent="0.25">
      <c r="A2336" s="227" t="str">
        <f>TL[[#This Row],[Société]]&amp;" - "&amp;TL[[#This Row],[Compte]]</f>
        <v>TURVILLA - 445760</v>
      </c>
      <c r="B2336" s="233" t="s">
        <v>5760</v>
      </c>
      <c r="C2336" s="227" t="s">
        <v>5761</v>
      </c>
      <c r="F2336" s="227" t="s">
        <v>2156</v>
      </c>
    </row>
    <row r="2337" spans="1:6" x14ac:dyDescent="0.25">
      <c r="A2337" s="227" t="str">
        <f>TL[[#This Row],[Société]]&amp;" - "&amp;TL[[#This Row],[Compte]]</f>
        <v>TURVILLA - 445770</v>
      </c>
      <c r="B2337" s="233" t="s">
        <v>5762</v>
      </c>
      <c r="C2337" s="227" t="s">
        <v>5763</v>
      </c>
      <c r="F2337" s="227" t="s">
        <v>2156</v>
      </c>
    </row>
    <row r="2338" spans="1:6" x14ac:dyDescent="0.25">
      <c r="A2338" s="227" t="str">
        <f>TL[[#This Row],[Société]]&amp;" - "&amp;TL[[#This Row],[Compte]]</f>
        <v>TURVILLA - 445800</v>
      </c>
      <c r="B2338" s="233" t="s">
        <v>4548</v>
      </c>
      <c r="C2338" s="227" t="s">
        <v>5764</v>
      </c>
      <c r="F2338" s="227" t="s">
        <v>2156</v>
      </c>
    </row>
    <row r="2339" spans="1:6" x14ac:dyDescent="0.25">
      <c r="A2339" s="227" t="str">
        <f>TL[[#This Row],[Société]]&amp;" - "&amp;TL[[#This Row],[Compte]]</f>
        <v>TURVILLA - 445830</v>
      </c>
      <c r="B2339" s="233" t="s">
        <v>1851</v>
      </c>
      <c r="C2339" s="227" t="s">
        <v>1001</v>
      </c>
      <c r="F2339" s="227" t="s">
        <v>2156</v>
      </c>
    </row>
    <row r="2340" spans="1:6" x14ac:dyDescent="0.25">
      <c r="A2340" s="227" t="str">
        <f>TL[[#This Row],[Société]]&amp;" - "&amp;TL[[#This Row],[Compte]]</f>
        <v>TURVILLA - 445860</v>
      </c>
      <c r="B2340" s="233" t="s">
        <v>1686</v>
      </c>
      <c r="C2340" s="227" t="s">
        <v>867</v>
      </c>
      <c r="F2340" s="227" t="s">
        <v>2156</v>
      </c>
    </row>
    <row r="2341" spans="1:6" x14ac:dyDescent="0.25">
      <c r="A2341" s="227" t="str">
        <f>TL[[#This Row],[Société]]&amp;" - "&amp;TL[[#This Row],[Compte]]</f>
        <v>TURVILLA - 445861</v>
      </c>
      <c r="B2341" s="233" t="s">
        <v>3137</v>
      </c>
      <c r="C2341" s="227" t="s">
        <v>5765</v>
      </c>
      <c r="F2341" s="227" t="s">
        <v>2156</v>
      </c>
    </row>
    <row r="2342" spans="1:6" x14ac:dyDescent="0.25">
      <c r="A2342" s="227" t="str">
        <f>TL[[#This Row],[Société]]&amp;" - "&amp;TL[[#This Row],[Compte]]</f>
        <v>TURVILLA - 445862</v>
      </c>
      <c r="B2342" s="233" t="s">
        <v>5766</v>
      </c>
      <c r="C2342" s="227" t="s">
        <v>5767</v>
      </c>
      <c r="F2342" s="227" t="s">
        <v>2156</v>
      </c>
    </row>
    <row r="2343" spans="1:6" x14ac:dyDescent="0.25">
      <c r="A2343" s="227" t="str">
        <f>TL[[#This Row],[Société]]&amp;" - "&amp;TL[[#This Row],[Compte]]</f>
        <v>TURVILLA - 445868</v>
      </c>
      <c r="B2343" s="233" t="s">
        <v>5768</v>
      </c>
      <c r="C2343" s="227" t="s">
        <v>5769</v>
      </c>
      <c r="F2343" s="227" t="s">
        <v>2156</v>
      </c>
    </row>
    <row r="2344" spans="1:6" x14ac:dyDescent="0.25">
      <c r="A2344" s="227" t="str">
        <f>TL[[#This Row],[Société]]&amp;" - "&amp;TL[[#This Row],[Compte]]</f>
        <v>TURVILLA - 445870</v>
      </c>
      <c r="B2344" s="233" t="s">
        <v>1688</v>
      </c>
      <c r="C2344" s="227" t="s">
        <v>5770</v>
      </c>
      <c r="F2344" s="227" t="s">
        <v>2156</v>
      </c>
    </row>
    <row r="2345" spans="1:6" x14ac:dyDescent="0.25">
      <c r="A2345" s="227" t="str">
        <f>TL[[#This Row],[Société]]&amp;" - "&amp;TL[[#This Row],[Compte]]</f>
        <v>TURVILLA - 448200</v>
      </c>
      <c r="B2345" s="233" t="s">
        <v>4568</v>
      </c>
      <c r="C2345" s="227" t="s">
        <v>5771</v>
      </c>
      <c r="F2345" s="227" t="s">
        <v>2156</v>
      </c>
    </row>
    <row r="2346" spans="1:6" x14ac:dyDescent="0.25">
      <c r="A2346" s="227" t="str">
        <f>TL[[#This Row],[Société]]&amp;" - "&amp;TL[[#This Row],[Compte]]</f>
        <v>TURVILLA - 448600</v>
      </c>
      <c r="B2346" s="233" t="s">
        <v>1689</v>
      </c>
      <c r="C2346" s="227" t="s">
        <v>1003</v>
      </c>
      <c r="F2346" s="227" t="s">
        <v>2156</v>
      </c>
    </row>
    <row r="2347" spans="1:6" x14ac:dyDescent="0.25">
      <c r="A2347" s="227" t="str">
        <f>TL[[#This Row],[Société]]&amp;" - "&amp;TL[[#This Row],[Compte]]</f>
        <v>TURVILLA - 448620</v>
      </c>
      <c r="B2347" s="233" t="s">
        <v>5772</v>
      </c>
      <c r="C2347" s="227" t="s">
        <v>5773</v>
      </c>
      <c r="F2347" s="227" t="s">
        <v>2156</v>
      </c>
    </row>
    <row r="2348" spans="1:6" x14ac:dyDescent="0.25">
      <c r="A2348" s="227" t="str">
        <f>TL[[#This Row],[Société]]&amp;" - "&amp;TL[[#This Row],[Compte]]</f>
        <v>TURVILLA - 448630</v>
      </c>
      <c r="B2348" s="233" t="s">
        <v>4571</v>
      </c>
      <c r="C2348" s="227" t="s">
        <v>5774</v>
      </c>
      <c r="F2348" s="227" t="s">
        <v>2156</v>
      </c>
    </row>
    <row r="2349" spans="1:6" x14ac:dyDescent="0.25">
      <c r="A2349" s="227" t="str">
        <f>TL[[#This Row],[Société]]&amp;" - "&amp;TL[[#This Row],[Compte]]</f>
        <v>TURVILLA - 448640</v>
      </c>
      <c r="B2349" s="233" t="s">
        <v>4590</v>
      </c>
      <c r="C2349" s="227" t="s">
        <v>5774</v>
      </c>
      <c r="F2349" s="227" t="s">
        <v>2156</v>
      </c>
    </row>
    <row r="2350" spans="1:6" x14ac:dyDescent="0.25">
      <c r="A2350" s="227" t="str">
        <f>TL[[#This Row],[Société]]&amp;" - "&amp;TL[[#This Row],[Compte]]</f>
        <v>TURVILLA - 448700</v>
      </c>
      <c r="B2350" s="233" t="s">
        <v>1853</v>
      </c>
      <c r="C2350" s="227" t="s">
        <v>869</v>
      </c>
      <c r="F2350" s="227" t="s">
        <v>2156</v>
      </c>
    </row>
    <row r="2351" spans="1:6" x14ac:dyDescent="0.25">
      <c r="A2351" s="227" t="str">
        <f>TL[[#This Row],[Société]]&amp;" - "&amp;TL[[#This Row],[Compte]]</f>
        <v>TURVILLA - 451000</v>
      </c>
      <c r="B2351" s="233" t="s">
        <v>4595</v>
      </c>
      <c r="C2351" s="227" t="s">
        <v>5775</v>
      </c>
      <c r="F2351" s="227" t="s">
        <v>2156</v>
      </c>
    </row>
    <row r="2352" spans="1:6" x14ac:dyDescent="0.25">
      <c r="A2352" s="227" t="str">
        <f>TL[[#This Row],[Société]]&amp;" - "&amp;TL[[#This Row],[Compte]]</f>
        <v>TURVILLA - 451100</v>
      </c>
      <c r="B2352" s="233" t="s">
        <v>5776</v>
      </c>
      <c r="C2352" s="227" t="s">
        <v>5777</v>
      </c>
      <c r="F2352" s="227" t="s">
        <v>2156</v>
      </c>
    </row>
    <row r="2353" spans="1:6" x14ac:dyDescent="0.25">
      <c r="A2353" s="227" t="str">
        <f>TL[[#This Row],[Société]]&amp;" - "&amp;TL[[#This Row],[Compte]]</f>
        <v>TURVILLA - 455000</v>
      </c>
      <c r="B2353" s="233" t="s">
        <v>1854</v>
      </c>
      <c r="C2353" s="227" t="s">
        <v>5778</v>
      </c>
      <c r="F2353" s="227" t="s">
        <v>2156</v>
      </c>
    </row>
    <row r="2354" spans="1:6" x14ac:dyDescent="0.25">
      <c r="A2354" s="227" t="str">
        <f>TL[[#This Row],[Société]]&amp;" - "&amp;TL[[#This Row],[Compte]]</f>
        <v>TURVILLA - 455100</v>
      </c>
      <c r="B2354" s="233" t="s">
        <v>1690</v>
      </c>
      <c r="C2354" s="227" t="s">
        <v>5779</v>
      </c>
      <c r="F2354" s="227" t="s">
        <v>2156</v>
      </c>
    </row>
    <row r="2355" spans="1:6" x14ac:dyDescent="0.25">
      <c r="A2355" s="227" t="str">
        <f>TL[[#This Row],[Société]]&amp;" - "&amp;TL[[#This Row],[Compte]]</f>
        <v>TURVILLA - 455200</v>
      </c>
      <c r="B2355" s="233" t="s">
        <v>3141</v>
      </c>
      <c r="C2355" s="227" t="s">
        <v>5780</v>
      </c>
      <c r="F2355" s="227" t="s">
        <v>2156</v>
      </c>
    </row>
    <row r="2356" spans="1:6" x14ac:dyDescent="0.25">
      <c r="A2356" s="227" t="str">
        <f>TL[[#This Row],[Société]]&amp;" - "&amp;TL[[#This Row],[Compte]]</f>
        <v>TURVILLA - 455300</v>
      </c>
      <c r="B2356" s="233" t="s">
        <v>4603</v>
      </c>
      <c r="C2356" s="227" t="s">
        <v>5781</v>
      </c>
      <c r="F2356" s="227" t="s">
        <v>2156</v>
      </c>
    </row>
    <row r="2357" spans="1:6" x14ac:dyDescent="0.25">
      <c r="A2357" s="227" t="str">
        <f>TL[[#This Row],[Société]]&amp;" - "&amp;TL[[#This Row],[Compte]]</f>
        <v>TURVILLA - 455800</v>
      </c>
      <c r="B2357" s="233" t="s">
        <v>1691</v>
      </c>
      <c r="C2357" s="227" t="s">
        <v>5782</v>
      </c>
      <c r="F2357" s="227" t="s">
        <v>2156</v>
      </c>
    </row>
    <row r="2358" spans="1:6" x14ac:dyDescent="0.25">
      <c r="A2358" s="227" t="str">
        <f>TL[[#This Row],[Société]]&amp;" - "&amp;TL[[#This Row],[Compte]]</f>
        <v>TURVILLA - 457000</v>
      </c>
      <c r="B2358" s="233" t="s">
        <v>1856</v>
      </c>
      <c r="C2358" s="227" t="s">
        <v>4613</v>
      </c>
      <c r="F2358" s="227" t="s">
        <v>2156</v>
      </c>
    </row>
    <row r="2359" spans="1:6" x14ac:dyDescent="0.25">
      <c r="A2359" s="227" t="str">
        <f>TL[[#This Row],[Société]]&amp;" - "&amp;TL[[#This Row],[Compte]]</f>
        <v>TURVILLA - 467000</v>
      </c>
      <c r="B2359" s="233" t="s">
        <v>1857</v>
      </c>
      <c r="C2359" s="227" t="s">
        <v>593</v>
      </c>
      <c r="F2359" s="227" t="s">
        <v>2156</v>
      </c>
    </row>
    <row r="2360" spans="1:6" x14ac:dyDescent="0.25">
      <c r="A2360" s="227" t="str">
        <f>TL[[#This Row],[Société]]&amp;" - "&amp;TL[[#This Row],[Compte]]</f>
        <v>TURVILLA - 467100</v>
      </c>
      <c r="B2360" s="233" t="s">
        <v>1858</v>
      </c>
      <c r="C2360" s="227" t="s">
        <v>5783</v>
      </c>
      <c r="F2360" s="227" t="s">
        <v>2156</v>
      </c>
    </row>
    <row r="2361" spans="1:6" x14ac:dyDescent="0.25">
      <c r="A2361" s="227" t="str">
        <f>TL[[#This Row],[Société]]&amp;" - "&amp;TL[[#This Row],[Compte]]</f>
        <v>TURVILLA - 467200</v>
      </c>
      <c r="B2361" s="233" t="s">
        <v>1692</v>
      </c>
      <c r="C2361" s="227" t="s">
        <v>5784</v>
      </c>
      <c r="F2361" s="227" t="s">
        <v>2156</v>
      </c>
    </row>
    <row r="2362" spans="1:6" x14ac:dyDescent="0.25">
      <c r="A2362" s="227" t="str">
        <f>TL[[#This Row],[Société]]&amp;" - "&amp;TL[[#This Row],[Compte]]</f>
        <v>TURVILLA - 467220</v>
      </c>
      <c r="B2362" s="233" t="s">
        <v>1741</v>
      </c>
      <c r="C2362" s="227" t="s">
        <v>2167</v>
      </c>
      <c r="F2362" s="227" t="s">
        <v>2156</v>
      </c>
    </row>
    <row r="2363" spans="1:6" x14ac:dyDescent="0.25">
      <c r="A2363" s="227" t="str">
        <f>TL[[#This Row],[Société]]&amp;" - "&amp;TL[[#This Row],[Compte]]</f>
        <v>TURVILLA - 467230</v>
      </c>
      <c r="B2363" s="233" t="s">
        <v>1740</v>
      </c>
      <c r="C2363" s="227" t="s">
        <v>1080</v>
      </c>
      <c r="F2363" s="227" t="s">
        <v>2156</v>
      </c>
    </row>
    <row r="2364" spans="1:6" x14ac:dyDescent="0.25">
      <c r="A2364" s="227" t="str">
        <f>TL[[#This Row],[Société]]&amp;" - "&amp;TL[[#This Row],[Compte]]</f>
        <v>TURVILLA - 467240</v>
      </c>
      <c r="B2364" s="233" t="s">
        <v>1723</v>
      </c>
      <c r="C2364" s="227" t="s">
        <v>1083</v>
      </c>
      <c r="F2364" s="227" t="s">
        <v>2156</v>
      </c>
    </row>
    <row r="2365" spans="1:6" x14ac:dyDescent="0.25">
      <c r="A2365" s="227" t="str">
        <f>TL[[#This Row],[Société]]&amp;" - "&amp;TL[[#This Row],[Compte]]</f>
        <v>TURVILLA - 467250</v>
      </c>
      <c r="B2365" s="233" t="s">
        <v>1859</v>
      </c>
      <c r="C2365" s="227" t="s">
        <v>1081</v>
      </c>
      <c r="F2365" s="227" t="s">
        <v>2156</v>
      </c>
    </row>
    <row r="2366" spans="1:6" x14ac:dyDescent="0.25">
      <c r="A2366" s="227" t="str">
        <f>TL[[#This Row],[Société]]&amp;" - "&amp;TL[[#This Row],[Compte]]</f>
        <v>TURVILLA - 467260</v>
      </c>
      <c r="B2366" s="233" t="s">
        <v>1860</v>
      </c>
      <c r="C2366" s="227" t="s">
        <v>5785</v>
      </c>
      <c r="F2366" s="227" t="s">
        <v>2156</v>
      </c>
    </row>
    <row r="2367" spans="1:6" x14ac:dyDescent="0.25">
      <c r="A2367" s="227" t="str">
        <f>TL[[#This Row],[Société]]&amp;" - "&amp;TL[[#This Row],[Compte]]</f>
        <v>TURVILLA - 467270</v>
      </c>
      <c r="B2367" s="233" t="s">
        <v>1739</v>
      </c>
      <c r="C2367" s="227" t="s">
        <v>5786</v>
      </c>
      <c r="F2367" s="227" t="s">
        <v>2156</v>
      </c>
    </row>
    <row r="2368" spans="1:6" x14ac:dyDescent="0.25">
      <c r="A2368" s="227" t="str">
        <f>TL[[#This Row],[Société]]&amp;" - "&amp;TL[[#This Row],[Compte]]</f>
        <v>TURVILLA - 467280</v>
      </c>
      <c r="B2368" s="233" t="s">
        <v>3151</v>
      </c>
      <c r="C2368" s="227" t="s">
        <v>5787</v>
      </c>
      <c r="F2368" s="227" t="s">
        <v>2156</v>
      </c>
    </row>
    <row r="2369" spans="1:6" x14ac:dyDescent="0.25">
      <c r="A2369" s="227" t="str">
        <f>TL[[#This Row],[Société]]&amp;" - "&amp;TL[[#This Row],[Compte]]</f>
        <v>TURVILLA - 467300</v>
      </c>
      <c r="B2369" s="233" t="s">
        <v>1861</v>
      </c>
      <c r="C2369" s="227" t="s">
        <v>5788</v>
      </c>
      <c r="F2369" s="227" t="s">
        <v>2156</v>
      </c>
    </row>
    <row r="2370" spans="1:6" x14ac:dyDescent="0.25">
      <c r="A2370" s="227" t="str">
        <f>TL[[#This Row],[Société]]&amp;" - "&amp;TL[[#This Row],[Compte]]</f>
        <v>TURVILLA - 467350</v>
      </c>
      <c r="B2370" s="233" t="s">
        <v>5789</v>
      </c>
      <c r="C2370" s="227" t="s">
        <v>5790</v>
      </c>
      <c r="F2370" s="227" t="s">
        <v>2156</v>
      </c>
    </row>
    <row r="2371" spans="1:6" x14ac:dyDescent="0.25">
      <c r="A2371" s="227" t="str">
        <f>TL[[#This Row],[Société]]&amp;" - "&amp;TL[[#This Row],[Compte]]</f>
        <v>TURVILLA - 467360</v>
      </c>
      <c r="B2371" s="233" t="s">
        <v>5791</v>
      </c>
      <c r="C2371" s="227" t="s">
        <v>5790</v>
      </c>
      <c r="F2371" s="227" t="s">
        <v>2156</v>
      </c>
    </row>
    <row r="2372" spans="1:6" x14ac:dyDescent="0.25">
      <c r="A2372" s="227" t="str">
        <f>TL[[#This Row],[Société]]&amp;" - "&amp;TL[[#This Row],[Compte]]</f>
        <v>TURVILLA - 467370</v>
      </c>
      <c r="B2372" s="233" t="s">
        <v>5792</v>
      </c>
      <c r="C2372" s="227" t="s">
        <v>3140</v>
      </c>
      <c r="F2372" s="227" t="s">
        <v>2156</v>
      </c>
    </row>
    <row r="2373" spans="1:6" x14ac:dyDescent="0.25">
      <c r="A2373" s="227" t="str">
        <f>TL[[#This Row],[Société]]&amp;" - "&amp;TL[[#This Row],[Compte]]</f>
        <v>TURVILLA - 467500</v>
      </c>
      <c r="B2373" s="233" t="s">
        <v>1866</v>
      </c>
      <c r="C2373" s="227" t="s">
        <v>5793</v>
      </c>
      <c r="F2373" s="227" t="s">
        <v>2156</v>
      </c>
    </row>
    <row r="2374" spans="1:6" x14ac:dyDescent="0.25">
      <c r="A2374" s="227" t="str">
        <f>TL[[#This Row],[Société]]&amp;" - "&amp;TL[[#This Row],[Compte]]</f>
        <v>TURVILLA - 468700</v>
      </c>
      <c r="B2374" s="233" t="s">
        <v>1693</v>
      </c>
      <c r="C2374" s="227" t="s">
        <v>1137</v>
      </c>
      <c r="F2374" s="227" t="s">
        <v>2156</v>
      </c>
    </row>
    <row r="2375" spans="1:6" x14ac:dyDescent="0.25">
      <c r="A2375" s="227" t="str">
        <f>TL[[#This Row],[Société]]&amp;" - "&amp;TL[[#This Row],[Compte]]</f>
        <v>TURVILLA - 471000</v>
      </c>
      <c r="B2375" s="233" t="s">
        <v>1722</v>
      </c>
      <c r="C2375" s="227" t="s">
        <v>525</v>
      </c>
      <c r="F2375" s="227" t="s">
        <v>2156</v>
      </c>
    </row>
    <row r="2376" spans="1:6" x14ac:dyDescent="0.25">
      <c r="A2376" s="227" t="str">
        <f>TL[[#This Row],[Société]]&amp;" - "&amp;TL[[#This Row],[Compte]]</f>
        <v>TURVILLA - 486000</v>
      </c>
      <c r="B2376" s="233" t="s">
        <v>1694</v>
      </c>
      <c r="C2376" s="227" t="s">
        <v>1012</v>
      </c>
      <c r="F2376" s="227" t="s">
        <v>2156</v>
      </c>
    </row>
    <row r="2377" spans="1:6" x14ac:dyDescent="0.25">
      <c r="A2377" s="227" t="str">
        <f>TL[[#This Row],[Société]]&amp;" - "&amp;TL[[#This Row],[Compte]]</f>
        <v>TURVILLA - 486015</v>
      </c>
      <c r="B2377" s="233" t="s">
        <v>5794</v>
      </c>
      <c r="C2377" s="227" t="s">
        <v>5795</v>
      </c>
      <c r="F2377" s="227" t="s">
        <v>2156</v>
      </c>
    </row>
    <row r="2378" spans="1:6" x14ac:dyDescent="0.25">
      <c r="A2378" s="227" t="str">
        <f>TL[[#This Row],[Société]]&amp;" - "&amp;TL[[#This Row],[Compte]]</f>
        <v>TURVILLA - 486016</v>
      </c>
      <c r="B2378" s="233" t="s">
        <v>5796</v>
      </c>
      <c r="C2378" s="227" t="s">
        <v>5797</v>
      </c>
      <c r="F2378" s="227" t="s">
        <v>2156</v>
      </c>
    </row>
    <row r="2379" spans="1:6" x14ac:dyDescent="0.25">
      <c r="A2379" s="227" t="str">
        <f>TL[[#This Row],[Société]]&amp;" - "&amp;TL[[#This Row],[Compte]]</f>
        <v>TURVILLA - 486033</v>
      </c>
      <c r="B2379" s="233" t="s">
        <v>5798</v>
      </c>
      <c r="C2379" s="227" t="s">
        <v>5799</v>
      </c>
      <c r="F2379" s="227" t="s">
        <v>2156</v>
      </c>
    </row>
    <row r="2380" spans="1:6" x14ac:dyDescent="0.25">
      <c r="A2380" s="227" t="str">
        <f>TL[[#This Row],[Société]]&amp;" - "&amp;TL[[#This Row],[Compte]]</f>
        <v>TURVILLA - 487000</v>
      </c>
      <c r="B2380" s="233" t="s">
        <v>1871</v>
      </c>
      <c r="C2380" s="227" t="s">
        <v>595</v>
      </c>
      <c r="F2380" s="227" t="s">
        <v>2156</v>
      </c>
    </row>
    <row r="2381" spans="1:6" x14ac:dyDescent="0.25">
      <c r="A2381" s="227" t="str">
        <f>TL[[#This Row],[Société]]&amp;" - "&amp;TL[[#This Row],[Compte]]</f>
        <v>TURVILLA - 488631</v>
      </c>
      <c r="B2381" s="233" t="s">
        <v>4690</v>
      </c>
      <c r="C2381" s="227" t="s">
        <v>5800</v>
      </c>
      <c r="F2381" s="227" t="s">
        <v>2156</v>
      </c>
    </row>
    <row r="2382" spans="1:6" x14ac:dyDescent="0.25">
      <c r="A2382" s="227" t="str">
        <f>TL[[#This Row],[Société]]&amp;" - "&amp;TL[[#This Row],[Compte]]</f>
        <v>TURVILLA - 488635</v>
      </c>
      <c r="B2382" s="233" t="s">
        <v>5801</v>
      </c>
      <c r="C2382" s="227" t="s">
        <v>5802</v>
      </c>
      <c r="F2382" s="227" t="s">
        <v>2156</v>
      </c>
    </row>
    <row r="2383" spans="1:6" x14ac:dyDescent="0.25">
      <c r="A2383" s="227" t="str">
        <f>TL[[#This Row],[Société]]&amp;" - "&amp;TL[[#This Row],[Compte]]</f>
        <v>TURVILLA - 488647</v>
      </c>
      <c r="B2383" s="233" t="s">
        <v>5803</v>
      </c>
      <c r="C2383" s="227" t="s">
        <v>5804</v>
      </c>
      <c r="F2383" s="227" t="s">
        <v>2156</v>
      </c>
    </row>
    <row r="2384" spans="1:6" x14ac:dyDescent="0.25">
      <c r="A2384" s="227" t="str">
        <f>TL[[#This Row],[Société]]&amp;" - "&amp;TL[[#This Row],[Compte]]</f>
        <v>TURVILLA - 488681</v>
      </c>
      <c r="B2384" s="233" t="s">
        <v>4701</v>
      </c>
      <c r="C2384" s="227" t="s">
        <v>5805</v>
      </c>
      <c r="F2384" s="227" t="s">
        <v>2156</v>
      </c>
    </row>
    <row r="2385" spans="1:6" x14ac:dyDescent="0.25">
      <c r="A2385" s="227" t="str">
        <f>TL[[#This Row],[Société]]&amp;" - "&amp;TL[[#This Row],[Compte]]</f>
        <v>TURVILLA - 508000</v>
      </c>
      <c r="B2385" s="233" t="s">
        <v>1873</v>
      </c>
      <c r="C2385" s="227" t="s">
        <v>5806</v>
      </c>
      <c r="F2385" s="227" t="s">
        <v>2156</v>
      </c>
    </row>
    <row r="2386" spans="1:6" x14ac:dyDescent="0.25">
      <c r="A2386" s="227" t="str">
        <f>TL[[#This Row],[Société]]&amp;" - "&amp;TL[[#This Row],[Compte]]</f>
        <v>TURVILLA - 508100</v>
      </c>
      <c r="B2386" s="233" t="s">
        <v>1874</v>
      </c>
      <c r="C2386" s="227" t="s">
        <v>5807</v>
      </c>
      <c r="F2386" s="227" t="s">
        <v>2156</v>
      </c>
    </row>
    <row r="2387" spans="1:6" x14ac:dyDescent="0.25">
      <c r="A2387" s="227" t="str">
        <f>TL[[#This Row],[Société]]&amp;" - "&amp;TL[[#This Row],[Compte]]</f>
        <v>TURVILLA - 511200</v>
      </c>
      <c r="B2387" s="233" t="s">
        <v>3162</v>
      </c>
      <c r="C2387" s="227" t="s">
        <v>638</v>
      </c>
      <c r="F2387" s="227" t="s">
        <v>2156</v>
      </c>
    </row>
    <row r="2388" spans="1:6" x14ac:dyDescent="0.25">
      <c r="A2388" s="227" t="str">
        <f>TL[[#This Row],[Société]]&amp;" - "&amp;TL[[#This Row],[Compte]]</f>
        <v>TURVILLA - 511210</v>
      </c>
      <c r="B2388" s="233" t="s">
        <v>1876</v>
      </c>
      <c r="C2388" s="227" t="s">
        <v>5808</v>
      </c>
      <c r="F2388" s="227" t="s">
        <v>2156</v>
      </c>
    </row>
    <row r="2389" spans="1:6" x14ac:dyDescent="0.25">
      <c r="A2389" s="227" t="str">
        <f>TL[[#This Row],[Société]]&amp;" - "&amp;TL[[#This Row],[Compte]]</f>
        <v>TURVILLA - 511230</v>
      </c>
      <c r="B2389" s="233" t="s">
        <v>1879</v>
      </c>
      <c r="C2389" s="227" t="s">
        <v>5809</v>
      </c>
      <c r="F2389" s="227" t="s">
        <v>2156</v>
      </c>
    </row>
    <row r="2390" spans="1:6" x14ac:dyDescent="0.25">
      <c r="A2390" s="227" t="str">
        <f>TL[[#This Row],[Société]]&amp;" - "&amp;TL[[#This Row],[Compte]]</f>
        <v>TURVILLA - 511250</v>
      </c>
      <c r="B2390" s="233" t="s">
        <v>1881</v>
      </c>
      <c r="C2390" s="227" t="s">
        <v>825</v>
      </c>
      <c r="F2390" s="227" t="s">
        <v>2156</v>
      </c>
    </row>
    <row r="2391" spans="1:6" x14ac:dyDescent="0.25">
      <c r="A2391" s="227" t="str">
        <f>TL[[#This Row],[Société]]&amp;" - "&amp;TL[[#This Row],[Compte]]</f>
        <v>TURVILLA - 511251</v>
      </c>
      <c r="B2391" s="233" t="s">
        <v>1697</v>
      </c>
      <c r="C2391" s="227" t="s">
        <v>1391</v>
      </c>
      <c r="F2391" s="227" t="s">
        <v>2156</v>
      </c>
    </row>
    <row r="2392" spans="1:6" x14ac:dyDescent="0.25">
      <c r="A2392" s="227" t="str">
        <f>TL[[#This Row],[Société]]&amp;" - "&amp;TL[[#This Row],[Compte]]</f>
        <v>TURVILLA - 511252</v>
      </c>
      <c r="B2392" s="233" t="s">
        <v>1882</v>
      </c>
      <c r="C2392" s="227" t="s">
        <v>3169</v>
      </c>
      <c r="F2392" s="227" t="s">
        <v>2156</v>
      </c>
    </row>
    <row r="2393" spans="1:6" x14ac:dyDescent="0.25">
      <c r="A2393" s="227" t="str">
        <f>TL[[#This Row],[Société]]&amp;" - "&amp;TL[[#This Row],[Compte]]</f>
        <v>TURVILLA - 511253</v>
      </c>
      <c r="B2393" s="233" t="s">
        <v>3166</v>
      </c>
      <c r="C2393" s="227" t="s">
        <v>5810</v>
      </c>
      <c r="F2393" s="227" t="s">
        <v>2156</v>
      </c>
    </row>
    <row r="2394" spans="1:6" x14ac:dyDescent="0.25">
      <c r="A2394" s="227" t="str">
        <f>TL[[#This Row],[Société]]&amp;" - "&amp;TL[[#This Row],[Compte]]</f>
        <v>TURVILLA - 511254</v>
      </c>
      <c r="B2394" s="233" t="s">
        <v>3168</v>
      </c>
      <c r="C2394" s="227" t="s">
        <v>5811</v>
      </c>
      <c r="F2394" s="227" t="s">
        <v>2156</v>
      </c>
    </row>
    <row r="2395" spans="1:6" x14ac:dyDescent="0.25">
      <c r="A2395" s="227" t="str">
        <f>TL[[#This Row],[Société]]&amp;" - "&amp;TL[[#This Row],[Compte]]</f>
        <v>TURVILLA - 511260</v>
      </c>
      <c r="B2395" s="233" t="s">
        <v>1883</v>
      </c>
      <c r="C2395" s="227" t="s">
        <v>718</v>
      </c>
      <c r="F2395" s="227" t="s">
        <v>2156</v>
      </c>
    </row>
    <row r="2396" spans="1:6" x14ac:dyDescent="0.25">
      <c r="A2396" s="227" t="str">
        <f>TL[[#This Row],[Société]]&amp;" - "&amp;TL[[#This Row],[Compte]]</f>
        <v>TURVILLA - 511261</v>
      </c>
      <c r="B2396" s="233" t="s">
        <v>1698</v>
      </c>
      <c r="C2396" s="227" t="s">
        <v>5812</v>
      </c>
      <c r="F2396" s="227" t="s">
        <v>2156</v>
      </c>
    </row>
    <row r="2397" spans="1:6" x14ac:dyDescent="0.25">
      <c r="A2397" s="227" t="str">
        <f>TL[[#This Row],[Société]]&amp;" - "&amp;TL[[#This Row],[Compte]]</f>
        <v>TURVILLA - 511701</v>
      </c>
      <c r="B2397" s="233" t="s">
        <v>1700</v>
      </c>
      <c r="C2397" s="227" t="s">
        <v>5813</v>
      </c>
      <c r="F2397" s="227" t="s">
        <v>2156</v>
      </c>
    </row>
    <row r="2398" spans="1:6" x14ac:dyDescent="0.25">
      <c r="A2398" s="227" t="str">
        <f>TL[[#This Row],[Société]]&amp;" - "&amp;TL[[#This Row],[Compte]]</f>
        <v>TURVILLA - 511702</v>
      </c>
      <c r="B2398" s="233" t="s">
        <v>3171</v>
      </c>
      <c r="C2398" s="227" t="s">
        <v>5814</v>
      </c>
      <c r="F2398" s="227" t="s">
        <v>2156</v>
      </c>
    </row>
    <row r="2399" spans="1:6" x14ac:dyDescent="0.25">
      <c r="A2399" s="227" t="str">
        <f>TL[[#This Row],[Société]]&amp;" - "&amp;TL[[#This Row],[Compte]]</f>
        <v>TURVILLA - 512000</v>
      </c>
      <c r="B2399" s="233" t="s">
        <v>1885</v>
      </c>
      <c r="C2399" s="227" t="s">
        <v>5815</v>
      </c>
      <c r="F2399" s="227" t="s">
        <v>2156</v>
      </c>
    </row>
    <row r="2400" spans="1:6" x14ac:dyDescent="0.25">
      <c r="A2400" s="227" t="str">
        <f>TL[[#This Row],[Société]]&amp;" - "&amp;TL[[#This Row],[Compte]]</f>
        <v>TURVILLA - 512001</v>
      </c>
      <c r="B2400" s="233" t="s">
        <v>5816</v>
      </c>
      <c r="C2400" s="227" t="s">
        <v>5817</v>
      </c>
      <c r="F2400" s="227" t="s">
        <v>2156</v>
      </c>
    </row>
    <row r="2401" spans="1:6" x14ac:dyDescent="0.25">
      <c r="A2401" s="227" t="str">
        <f>TL[[#This Row],[Société]]&amp;" - "&amp;TL[[#This Row],[Compte]]</f>
        <v>TURVILLA - 512003</v>
      </c>
      <c r="B2401" s="233" t="s">
        <v>5818</v>
      </c>
      <c r="C2401" s="227" t="s">
        <v>5819</v>
      </c>
      <c r="F2401" s="227" t="s">
        <v>2156</v>
      </c>
    </row>
    <row r="2402" spans="1:6" x14ac:dyDescent="0.25">
      <c r="A2402" s="227" t="str">
        <f>TL[[#This Row],[Société]]&amp;" - "&amp;TL[[#This Row],[Compte]]</f>
        <v>TURVILLA - 512004</v>
      </c>
      <c r="B2402" s="233" t="s">
        <v>5820</v>
      </c>
      <c r="C2402" s="227" t="s">
        <v>5821</v>
      </c>
      <c r="F2402" s="227" t="s">
        <v>2156</v>
      </c>
    </row>
    <row r="2403" spans="1:6" x14ac:dyDescent="0.25">
      <c r="A2403" s="227" t="str">
        <f>TL[[#This Row],[Société]]&amp;" - "&amp;TL[[#This Row],[Compte]]</f>
        <v>TURVILLA - 512040</v>
      </c>
      <c r="B2403" s="233" t="s">
        <v>5822</v>
      </c>
      <c r="C2403" s="227" t="s">
        <v>1560</v>
      </c>
      <c r="F2403" s="227" t="s">
        <v>2156</v>
      </c>
    </row>
    <row r="2404" spans="1:6" x14ac:dyDescent="0.25">
      <c r="A2404" s="227" t="str">
        <f>TL[[#This Row],[Société]]&amp;" - "&amp;TL[[#This Row],[Compte]]</f>
        <v>TURVILLA - 512100</v>
      </c>
      <c r="B2404" s="233" t="s">
        <v>1886</v>
      </c>
      <c r="C2404" s="227" t="s">
        <v>1560</v>
      </c>
      <c r="F2404" s="227" t="s">
        <v>2156</v>
      </c>
    </row>
    <row r="2405" spans="1:6" x14ac:dyDescent="0.25">
      <c r="A2405" s="227" t="str">
        <f>TL[[#This Row],[Société]]&amp;" - "&amp;TL[[#This Row],[Compte]]</f>
        <v>TURVILLA - 512300</v>
      </c>
      <c r="B2405" s="233" t="s">
        <v>1701</v>
      </c>
      <c r="C2405" s="227" t="s">
        <v>5823</v>
      </c>
      <c r="F2405" s="227" t="s">
        <v>2156</v>
      </c>
    </row>
    <row r="2406" spans="1:6" x14ac:dyDescent="0.25">
      <c r="A2406" s="227" t="str">
        <f>TL[[#This Row],[Société]]&amp;" - "&amp;TL[[#This Row],[Compte]]</f>
        <v>TURVILLA - 518600</v>
      </c>
      <c r="B2406" s="233" t="s">
        <v>3182</v>
      </c>
      <c r="C2406" s="227" t="s">
        <v>5824</v>
      </c>
      <c r="F2406" s="227" t="s">
        <v>2156</v>
      </c>
    </row>
    <row r="2407" spans="1:6" x14ac:dyDescent="0.25">
      <c r="A2407" s="227" t="str">
        <f>TL[[#This Row],[Société]]&amp;" - "&amp;TL[[#This Row],[Compte]]</f>
        <v>TURVILLA - 518800</v>
      </c>
      <c r="B2407" s="233" t="s">
        <v>1887</v>
      </c>
      <c r="C2407" s="227" t="s">
        <v>1016</v>
      </c>
      <c r="F2407" s="227" t="s">
        <v>2156</v>
      </c>
    </row>
    <row r="2408" spans="1:6" x14ac:dyDescent="0.25">
      <c r="A2408" s="227" t="str">
        <f>TL[[#This Row],[Société]]&amp;" - "&amp;TL[[#This Row],[Compte]]</f>
        <v>TURVILLA - 530000</v>
      </c>
      <c r="B2408" s="233" t="s">
        <v>3184</v>
      </c>
      <c r="C2408" s="227" t="s">
        <v>532</v>
      </c>
      <c r="F2408" s="227" t="s">
        <v>2156</v>
      </c>
    </row>
    <row r="2409" spans="1:6" x14ac:dyDescent="0.25">
      <c r="A2409" s="227" t="str">
        <f>TL[[#This Row],[Société]]&amp;" - "&amp;TL[[#This Row],[Compte]]</f>
        <v>TURVILLA - 530001</v>
      </c>
      <c r="B2409" s="233" t="s">
        <v>4800</v>
      </c>
      <c r="C2409" s="227" t="s">
        <v>1145</v>
      </c>
      <c r="F2409" s="227" t="s">
        <v>2156</v>
      </c>
    </row>
    <row r="2410" spans="1:6" x14ac:dyDescent="0.25">
      <c r="A2410" s="227" t="str">
        <f>TL[[#This Row],[Société]]&amp;" - "&amp;TL[[#This Row],[Compte]]</f>
        <v>TURVILLA - 530200</v>
      </c>
      <c r="B2410" s="233" t="s">
        <v>1704</v>
      </c>
      <c r="C2410" s="227" t="s">
        <v>725</v>
      </c>
      <c r="F2410" s="227" t="s">
        <v>2156</v>
      </c>
    </row>
    <row r="2411" spans="1:6" x14ac:dyDescent="0.25">
      <c r="A2411" s="227" t="str">
        <f>TL[[#This Row],[Société]]&amp;" - "&amp;TL[[#This Row],[Compte]]</f>
        <v>TURVILLA - 531000</v>
      </c>
      <c r="B2411" s="233" t="s">
        <v>1705</v>
      </c>
      <c r="C2411" s="227" t="s">
        <v>532</v>
      </c>
      <c r="F2411" s="227" t="s">
        <v>2156</v>
      </c>
    </row>
    <row r="2412" spans="1:6" x14ac:dyDescent="0.25">
      <c r="A2412" s="227" t="str">
        <f>TL[[#This Row],[Société]]&amp;" - "&amp;TL[[#This Row],[Compte]]</f>
        <v>TURVILLA - 580000</v>
      </c>
      <c r="B2412" s="233" t="s">
        <v>1889</v>
      </c>
      <c r="C2412" s="227" t="s">
        <v>5825</v>
      </c>
      <c r="F2412" s="227" t="s">
        <v>2156</v>
      </c>
    </row>
    <row r="2413" spans="1:6" x14ac:dyDescent="0.25">
      <c r="A2413" s="227" t="str">
        <f>TL[[#This Row],[Société]]&amp;" - "&amp;TL[[#This Row],[Compte]]</f>
        <v>TURVILLA - 580001</v>
      </c>
      <c r="B2413" s="233" t="s">
        <v>4813</v>
      </c>
      <c r="C2413" s="227" t="s">
        <v>5826</v>
      </c>
      <c r="F2413" s="227" t="s">
        <v>2156</v>
      </c>
    </row>
    <row r="2414" spans="1:6" x14ac:dyDescent="0.25">
      <c r="A2414" s="227" t="str">
        <f>TL[[#This Row],[Société]]&amp;" - "&amp;TL[[#This Row],[Compte]]</f>
        <v>TURVILLA - 580003</v>
      </c>
      <c r="B2414" s="233" t="s">
        <v>5827</v>
      </c>
      <c r="C2414" s="227" t="s">
        <v>5828</v>
      </c>
      <c r="F2414" s="227" t="s">
        <v>2156</v>
      </c>
    </row>
    <row r="2415" spans="1:6" x14ac:dyDescent="0.25">
      <c r="A2415" s="227" t="str">
        <f>TL[[#This Row],[Société]]&amp;" - "&amp;TL[[#This Row],[Compte]]</f>
        <v>TURVILLA - 580100</v>
      </c>
      <c r="B2415" s="233" t="s">
        <v>4817</v>
      </c>
      <c r="C2415" s="227" t="s">
        <v>5829</v>
      </c>
      <c r="F2415" s="227" t="s">
        <v>2156</v>
      </c>
    </row>
    <row r="2416" spans="1:6" x14ac:dyDescent="0.25">
      <c r="A2416" s="227" t="str">
        <f>TL[[#This Row],[Société]]&amp;" - "&amp;TL[[#This Row],[Compte]]</f>
        <v>TURVILLA - 580200</v>
      </c>
      <c r="B2416" s="233" t="s">
        <v>4819</v>
      </c>
      <c r="C2416" s="227" t="s">
        <v>5830</v>
      </c>
      <c r="F2416" s="227" t="s">
        <v>2156</v>
      </c>
    </row>
    <row r="2417" spans="1:6" x14ac:dyDescent="0.25">
      <c r="A2417" s="227" t="str">
        <f>TL[[#This Row],[Société]]&amp;" - "&amp;TL[[#This Row],[Compte]]</f>
        <v>TURVILLA - 580300</v>
      </c>
      <c r="B2417" s="233" t="s">
        <v>5831</v>
      </c>
      <c r="C2417" s="227" t="s">
        <v>5832</v>
      </c>
      <c r="F2417" s="227" t="s">
        <v>2156</v>
      </c>
    </row>
    <row r="2418" spans="1:6" x14ac:dyDescent="0.25">
      <c r="A2418" s="227" t="str">
        <f>TL[[#This Row],[Société]]&amp;" - "&amp;TL[[#This Row],[Compte]]</f>
        <v>TURVILLA - 581000</v>
      </c>
      <c r="B2418" s="233" t="s">
        <v>1890</v>
      </c>
      <c r="C2418" s="227" t="s">
        <v>634</v>
      </c>
      <c r="F2418" s="227" t="s">
        <v>2156</v>
      </c>
    </row>
    <row r="2419" spans="1:6" x14ac:dyDescent="0.25">
      <c r="A2419" s="227" t="str">
        <f>TL[[#This Row],[Société]]&amp;" - "&amp;TL[[#This Row],[Compte]]</f>
        <v>TURVILLA - 581100</v>
      </c>
      <c r="B2419" s="233" t="s">
        <v>1706</v>
      </c>
      <c r="C2419" s="227" t="s">
        <v>726</v>
      </c>
      <c r="F2419" s="227" t="s">
        <v>2156</v>
      </c>
    </row>
    <row r="2420" spans="1:6" x14ac:dyDescent="0.25">
      <c r="A2420" s="227" t="str">
        <f>TL[[#This Row],[Société]]&amp;" - "&amp;TL[[#This Row],[Compte]]</f>
        <v>TURVILLA - 583000</v>
      </c>
      <c r="B2420" s="233" t="s">
        <v>1891</v>
      </c>
      <c r="C2420" s="227" t="s">
        <v>728</v>
      </c>
      <c r="F2420" s="227" t="s">
        <v>2156</v>
      </c>
    </row>
    <row r="2421" spans="1:6" x14ac:dyDescent="0.25">
      <c r="A2421" s="227" t="str">
        <f>TL[[#This Row],[Société]]&amp;" - "&amp;TL[[#This Row],[Compte]]</f>
        <v>TURVILLA - 601100</v>
      </c>
      <c r="B2421" s="233" t="s">
        <v>1607</v>
      </c>
      <c r="C2421" s="227" t="s">
        <v>2211</v>
      </c>
      <c r="D2421" s="233" t="s">
        <v>0</v>
      </c>
      <c r="E2421" s="233" t="s">
        <v>7</v>
      </c>
      <c r="F2421" s="227" t="s">
        <v>2156</v>
      </c>
    </row>
    <row r="2422" spans="1:6" x14ac:dyDescent="0.25">
      <c r="A2422" s="227" t="str">
        <f>TL[[#This Row],[Société]]&amp;" - "&amp;TL[[#This Row],[Compte]]</f>
        <v>TURVILLA - 601102</v>
      </c>
      <c r="B2422" s="233" t="s">
        <v>1790</v>
      </c>
      <c r="C2422" s="227" t="s">
        <v>225</v>
      </c>
      <c r="D2422" s="233" t="s">
        <v>1</v>
      </c>
      <c r="E2422" s="233" t="s">
        <v>11</v>
      </c>
      <c r="F2422" s="227" t="s">
        <v>2156</v>
      </c>
    </row>
    <row r="2423" spans="1:6" x14ac:dyDescent="0.25">
      <c r="A2423" s="227" t="str">
        <f>TL[[#This Row],[Société]]&amp;" - "&amp;TL[[#This Row],[Compte]]</f>
        <v>TURVILLA - 601103</v>
      </c>
      <c r="B2423" s="233" t="s">
        <v>1789</v>
      </c>
      <c r="C2423" s="227" t="s">
        <v>160</v>
      </c>
      <c r="D2423" s="233" t="s">
        <v>3</v>
      </c>
      <c r="E2423" s="233" t="s">
        <v>9</v>
      </c>
      <c r="F2423" s="227" t="s">
        <v>2156</v>
      </c>
    </row>
    <row r="2424" spans="1:6" x14ac:dyDescent="0.25">
      <c r="A2424" s="227" t="str">
        <f>TL[[#This Row],[Société]]&amp;" - "&amp;TL[[#This Row],[Compte]]</f>
        <v>TURVILLA - 602200</v>
      </c>
      <c r="B2424" s="233" t="s">
        <v>4853</v>
      </c>
      <c r="C2424" s="227" t="s">
        <v>5833</v>
      </c>
      <c r="D2424" s="233" t="s">
        <v>7</v>
      </c>
      <c r="E2424" s="233" t="s">
        <v>0</v>
      </c>
      <c r="F2424" s="227" t="s">
        <v>2156</v>
      </c>
    </row>
    <row r="2425" spans="1:6" x14ac:dyDescent="0.25">
      <c r="A2425" s="227" t="str">
        <f>TL[[#This Row],[Société]]&amp;" - "&amp;TL[[#This Row],[Compte]]</f>
        <v>TURVILLA - 602201</v>
      </c>
      <c r="B2425" s="233" t="s">
        <v>1630</v>
      </c>
      <c r="C2425" s="227" t="s">
        <v>2212</v>
      </c>
      <c r="D2425" s="233" t="s">
        <v>7</v>
      </c>
      <c r="E2425" s="233" t="s">
        <v>0</v>
      </c>
      <c r="F2425" s="227" t="s">
        <v>2156</v>
      </c>
    </row>
    <row r="2426" spans="1:6" x14ac:dyDescent="0.25">
      <c r="A2426" s="227" t="str">
        <f>TL[[#This Row],[Société]]&amp;" - "&amp;TL[[#This Row],[Compte]]</f>
        <v>TURVILLA - 602202</v>
      </c>
      <c r="B2426" s="233" t="s">
        <v>1631</v>
      </c>
      <c r="C2426" s="227" t="s">
        <v>2213</v>
      </c>
      <c r="D2426" s="233" t="s">
        <v>150</v>
      </c>
      <c r="E2426" s="233" t="s">
        <v>147</v>
      </c>
      <c r="F2426" s="227" t="s">
        <v>2156</v>
      </c>
    </row>
    <row r="2427" spans="1:6" x14ac:dyDescent="0.25">
      <c r="A2427" s="227" t="str">
        <f>TL[[#This Row],[Société]]&amp;" - "&amp;TL[[#This Row],[Compte]]</f>
        <v>TURVILLA - 602600</v>
      </c>
      <c r="B2427" s="233" t="s">
        <v>3190</v>
      </c>
      <c r="C2427" s="227" t="s">
        <v>5834</v>
      </c>
      <c r="D2427" s="233" t="s">
        <v>23</v>
      </c>
      <c r="E2427" s="233" t="s">
        <v>2978</v>
      </c>
      <c r="F2427" s="227" t="s">
        <v>2156</v>
      </c>
    </row>
    <row r="2428" spans="1:6" x14ac:dyDescent="0.25">
      <c r="A2428" s="227" t="str">
        <f>TL[[#This Row],[Société]]&amp;" - "&amp;TL[[#This Row],[Compte]]</f>
        <v>TURVILLA - 602610</v>
      </c>
      <c r="B2428" s="233" t="s">
        <v>1634</v>
      </c>
      <c r="C2428" s="227" t="s">
        <v>161</v>
      </c>
      <c r="D2428" s="233" t="s">
        <v>23</v>
      </c>
      <c r="E2428" s="233" t="s">
        <v>2978</v>
      </c>
      <c r="F2428" s="227" t="s">
        <v>2156</v>
      </c>
    </row>
    <row r="2429" spans="1:6" x14ac:dyDescent="0.25">
      <c r="A2429" s="227" t="str">
        <f>TL[[#This Row],[Société]]&amp;" - "&amp;TL[[#This Row],[Compte]]</f>
        <v>TURVILLA - 602630</v>
      </c>
      <c r="B2429" s="233" t="s">
        <v>3191</v>
      </c>
      <c r="C2429" s="227" t="s">
        <v>2212</v>
      </c>
      <c r="D2429" s="233" t="s">
        <v>7</v>
      </c>
      <c r="E2429" s="233" t="s">
        <v>0</v>
      </c>
      <c r="F2429" s="227" t="s">
        <v>2156</v>
      </c>
    </row>
    <row r="2430" spans="1:6" x14ac:dyDescent="0.25">
      <c r="A2430" s="227" t="str">
        <f>TL[[#This Row],[Société]]&amp;" - "&amp;TL[[#This Row],[Compte]]</f>
        <v>TURVILLA - 603100</v>
      </c>
      <c r="B2430" s="233" t="s">
        <v>1780</v>
      </c>
      <c r="C2430" s="227" t="s">
        <v>2371</v>
      </c>
      <c r="D2430" s="233" t="s">
        <v>0</v>
      </c>
      <c r="E2430" s="233" t="s">
        <v>7</v>
      </c>
      <c r="F2430" s="227" t="s">
        <v>2156</v>
      </c>
    </row>
    <row r="2431" spans="1:6" x14ac:dyDescent="0.25">
      <c r="A2431" s="227" t="str">
        <f>TL[[#This Row],[Société]]&amp;" - "&amp;TL[[#This Row],[Compte]]</f>
        <v>TURVILLA - 603200</v>
      </c>
      <c r="B2431" s="233" t="s">
        <v>1781</v>
      </c>
      <c r="C2431" s="227" t="s">
        <v>2402</v>
      </c>
      <c r="D2431" s="233" t="s">
        <v>7</v>
      </c>
      <c r="E2431" s="233" t="s">
        <v>0</v>
      </c>
      <c r="F2431" s="227" t="s">
        <v>2156</v>
      </c>
    </row>
    <row r="2432" spans="1:6" x14ac:dyDescent="0.25">
      <c r="A2432" s="227" t="str">
        <f>TL[[#This Row],[Société]]&amp;" - "&amp;TL[[#This Row],[Compte]]</f>
        <v>TURVILLA - 603202</v>
      </c>
      <c r="B2432" s="233" t="s">
        <v>2830</v>
      </c>
      <c r="C2432" s="227" t="s">
        <v>5835</v>
      </c>
      <c r="D2432" s="233" t="s">
        <v>150</v>
      </c>
      <c r="E2432" s="233" t="s">
        <v>147</v>
      </c>
      <c r="F2432" s="227" t="s">
        <v>2156</v>
      </c>
    </row>
    <row r="2433" spans="1:6" x14ac:dyDescent="0.25">
      <c r="A2433" s="227" t="str">
        <f>TL[[#This Row],[Société]]&amp;" - "&amp;TL[[#This Row],[Compte]]</f>
        <v>TURVILLA - 603203</v>
      </c>
      <c r="B2433" s="233" t="s">
        <v>5836</v>
      </c>
      <c r="C2433" s="227" t="s">
        <v>5837</v>
      </c>
      <c r="D2433" s="233" t="s">
        <v>23</v>
      </c>
      <c r="E2433" s="233" t="s">
        <v>2978</v>
      </c>
      <c r="F2433" s="227" t="s">
        <v>2156</v>
      </c>
    </row>
    <row r="2434" spans="1:6" x14ac:dyDescent="0.25">
      <c r="A2434" s="227" t="str">
        <f>TL[[#This Row],[Société]]&amp;" - "&amp;TL[[#This Row],[Compte]]</f>
        <v>TURVILLA - 603210</v>
      </c>
      <c r="B2434" s="233" t="s">
        <v>1894</v>
      </c>
      <c r="C2434" s="227" t="s">
        <v>2216</v>
      </c>
      <c r="D2434" s="233" t="s">
        <v>150</v>
      </c>
      <c r="E2434" s="233" t="s">
        <v>147</v>
      </c>
      <c r="F2434" s="227" t="s">
        <v>2156</v>
      </c>
    </row>
    <row r="2435" spans="1:6" x14ac:dyDescent="0.25">
      <c r="A2435" s="227" t="str">
        <f>TL[[#This Row],[Société]]&amp;" - "&amp;TL[[#This Row],[Compte]]</f>
        <v>TURVILLA - 603227</v>
      </c>
      <c r="B2435" s="233" t="s">
        <v>5838</v>
      </c>
      <c r="C2435" s="227" t="s">
        <v>5666</v>
      </c>
      <c r="D2435" s="233" t="s">
        <v>18</v>
      </c>
      <c r="E2435" s="233" t="s">
        <v>32</v>
      </c>
      <c r="F2435" s="227" t="s">
        <v>2156</v>
      </c>
    </row>
    <row r="2436" spans="1:6" x14ac:dyDescent="0.25">
      <c r="A2436" s="227" t="str">
        <f>TL[[#This Row],[Société]]&amp;" - "&amp;TL[[#This Row],[Compte]]</f>
        <v>TURVILLA - 606110</v>
      </c>
      <c r="B2436" s="233" t="s">
        <v>2573</v>
      </c>
      <c r="C2436" s="227" t="s">
        <v>2217</v>
      </c>
      <c r="D2436" s="233" t="s">
        <v>27</v>
      </c>
      <c r="E2436" s="233" t="s">
        <v>34</v>
      </c>
      <c r="F2436" s="227" t="s">
        <v>2156</v>
      </c>
    </row>
    <row r="2437" spans="1:6" x14ac:dyDescent="0.25">
      <c r="A2437" s="227" t="str">
        <f>TL[[#This Row],[Société]]&amp;" - "&amp;TL[[#This Row],[Compte]]</f>
        <v>TURVILLA - 606120</v>
      </c>
      <c r="B2437" s="233" t="s">
        <v>2574</v>
      </c>
      <c r="C2437" s="227" t="s">
        <v>2434</v>
      </c>
      <c r="D2437" s="233" t="s">
        <v>27</v>
      </c>
      <c r="E2437" s="233" t="s">
        <v>34</v>
      </c>
      <c r="F2437" s="227" t="s">
        <v>2156</v>
      </c>
    </row>
    <row r="2438" spans="1:6" x14ac:dyDescent="0.25">
      <c r="A2438" s="227" t="str">
        <f>TL[[#This Row],[Société]]&amp;" - "&amp;TL[[#This Row],[Compte]]</f>
        <v>TURVILLA - 606130</v>
      </c>
      <c r="B2438" s="233" t="s">
        <v>2826</v>
      </c>
      <c r="C2438" s="227" t="s">
        <v>2219</v>
      </c>
      <c r="D2438" s="233" t="s">
        <v>27</v>
      </c>
      <c r="E2438" s="233" t="s">
        <v>34</v>
      </c>
      <c r="F2438" s="227" t="s">
        <v>2156</v>
      </c>
    </row>
    <row r="2439" spans="1:6" x14ac:dyDescent="0.25">
      <c r="A2439" s="227" t="str">
        <f>TL[[#This Row],[Société]]&amp;" - "&amp;TL[[#This Row],[Compte]]</f>
        <v>TURVILLA - 606140</v>
      </c>
      <c r="B2439" s="233" t="s">
        <v>4891</v>
      </c>
      <c r="C2439" s="227" t="s">
        <v>2217</v>
      </c>
      <c r="D2439" s="233" t="s">
        <v>27</v>
      </c>
      <c r="E2439" s="233" t="s">
        <v>34</v>
      </c>
      <c r="F2439" s="227" t="s">
        <v>2156</v>
      </c>
    </row>
    <row r="2440" spans="1:6" x14ac:dyDescent="0.25">
      <c r="A2440" s="227" t="str">
        <f>TL[[#This Row],[Société]]&amp;" - "&amp;TL[[#This Row],[Compte]]</f>
        <v>TURVILLA - 606150</v>
      </c>
      <c r="B2440" s="233" t="s">
        <v>2575</v>
      </c>
      <c r="C2440" s="227" t="s">
        <v>4895</v>
      </c>
      <c r="D2440" s="233" t="s">
        <v>0</v>
      </c>
      <c r="E2440" s="233" t="s">
        <v>7</v>
      </c>
      <c r="F2440" s="227" t="s">
        <v>2156</v>
      </c>
    </row>
    <row r="2441" spans="1:6" x14ac:dyDescent="0.25">
      <c r="A2441" s="227" t="str">
        <f>TL[[#This Row],[Société]]&amp;" - "&amp;TL[[#This Row],[Compte]]</f>
        <v>TURVILLA - 606300</v>
      </c>
      <c r="B2441" s="233" t="s">
        <v>1586</v>
      </c>
      <c r="C2441" s="227" t="s">
        <v>5839</v>
      </c>
      <c r="D2441" s="233" t="s">
        <v>25</v>
      </c>
      <c r="E2441" s="233" t="s">
        <v>23</v>
      </c>
      <c r="F2441" s="227" t="s">
        <v>2156</v>
      </c>
    </row>
    <row r="2442" spans="1:6" x14ac:dyDescent="0.25">
      <c r="A2442" s="227" t="str">
        <f>TL[[#This Row],[Société]]&amp;" - "&amp;TL[[#This Row],[Compte]]</f>
        <v>TURVILLA - 606301</v>
      </c>
      <c r="B2442" s="233" t="s">
        <v>1895</v>
      </c>
      <c r="C2442" s="227" t="s">
        <v>2427</v>
      </c>
      <c r="D2442" s="233" t="s">
        <v>25</v>
      </c>
      <c r="E2442" s="233" t="s">
        <v>23</v>
      </c>
      <c r="F2442" s="227" t="s">
        <v>2156</v>
      </c>
    </row>
    <row r="2443" spans="1:6" x14ac:dyDescent="0.25">
      <c r="A2443" s="227" t="str">
        <f>TL[[#This Row],[Société]]&amp;" - "&amp;TL[[#This Row],[Compte]]</f>
        <v>TURVILLA - 606302</v>
      </c>
      <c r="B2443" s="233" t="s">
        <v>1616</v>
      </c>
      <c r="C2443" s="227" t="s">
        <v>2430</v>
      </c>
      <c r="D2443" s="233" t="s">
        <v>23</v>
      </c>
      <c r="E2443" s="233" t="s">
        <v>2978</v>
      </c>
      <c r="F2443" s="227" t="s">
        <v>2156</v>
      </c>
    </row>
    <row r="2444" spans="1:6" x14ac:dyDescent="0.25">
      <c r="A2444" s="227" t="str">
        <f>TL[[#This Row],[Société]]&amp;" - "&amp;TL[[#This Row],[Compte]]</f>
        <v>TURVILLA - 606303</v>
      </c>
      <c r="B2444" s="233" t="s">
        <v>1609</v>
      </c>
      <c r="C2444" s="227" t="s">
        <v>5839</v>
      </c>
      <c r="D2444" s="233" t="s">
        <v>21</v>
      </c>
      <c r="E2444" s="233" t="s">
        <v>2982</v>
      </c>
      <c r="F2444" s="227" t="s">
        <v>2156</v>
      </c>
    </row>
    <row r="2445" spans="1:6" x14ac:dyDescent="0.25">
      <c r="A2445" s="227" t="str">
        <f>TL[[#This Row],[Société]]&amp;" - "&amp;TL[[#This Row],[Compte]]</f>
        <v>TURVILLA - 606320</v>
      </c>
      <c r="B2445" s="233" t="s">
        <v>4900</v>
      </c>
      <c r="C2445" s="227" t="s">
        <v>146</v>
      </c>
      <c r="D2445" s="233" t="s">
        <v>21</v>
      </c>
      <c r="E2445" s="233" t="s">
        <v>2982</v>
      </c>
      <c r="F2445" s="227" t="s">
        <v>2156</v>
      </c>
    </row>
    <row r="2446" spans="1:6" x14ac:dyDescent="0.25">
      <c r="A2446" s="227" t="str">
        <f>TL[[#This Row],[Société]]&amp;" - "&amp;TL[[#This Row],[Compte]]</f>
        <v>TURVILLA - 606400</v>
      </c>
      <c r="B2446" s="233" t="s">
        <v>1898</v>
      </c>
      <c r="C2446" s="227" t="s">
        <v>5840</v>
      </c>
      <c r="D2446" s="233" t="s">
        <v>29</v>
      </c>
      <c r="E2446" s="233" t="s">
        <v>2978</v>
      </c>
      <c r="F2446" s="227" t="s">
        <v>2156</v>
      </c>
    </row>
    <row r="2447" spans="1:6" x14ac:dyDescent="0.25">
      <c r="A2447" s="227" t="str">
        <f>TL[[#This Row],[Société]]&amp;" - "&amp;TL[[#This Row],[Compte]]</f>
        <v>TURVILLA - 606401</v>
      </c>
      <c r="B2447" s="233" t="s">
        <v>1612</v>
      </c>
      <c r="C2447" s="227" t="s">
        <v>214</v>
      </c>
      <c r="D2447" s="233" t="s">
        <v>29</v>
      </c>
      <c r="E2447" s="233" t="s">
        <v>2978</v>
      </c>
      <c r="F2447" s="227" t="s">
        <v>2156</v>
      </c>
    </row>
    <row r="2448" spans="1:6" x14ac:dyDescent="0.25">
      <c r="A2448" s="227" t="str">
        <f>TL[[#This Row],[Société]]&amp;" - "&amp;TL[[#This Row],[Compte]]</f>
        <v>TURVILLA - 606600</v>
      </c>
      <c r="B2448" s="233" t="s">
        <v>5841</v>
      </c>
      <c r="C2448" s="227" t="s">
        <v>267</v>
      </c>
      <c r="D2448" s="233" t="s">
        <v>23</v>
      </c>
      <c r="E2448" s="233" t="s">
        <v>2978</v>
      </c>
      <c r="F2448" s="227" t="s">
        <v>2156</v>
      </c>
    </row>
    <row r="2449" spans="1:6" x14ac:dyDescent="0.25">
      <c r="A2449" s="227" t="str">
        <f>TL[[#This Row],[Société]]&amp;" - "&amp;TL[[#This Row],[Compte]]</f>
        <v>TURVILLA - 606613</v>
      </c>
      <c r="B2449" s="233" t="s">
        <v>2595</v>
      </c>
      <c r="C2449" s="227" t="s">
        <v>2221</v>
      </c>
      <c r="D2449" s="233" t="s">
        <v>16</v>
      </c>
      <c r="E2449" s="233" t="s">
        <v>52</v>
      </c>
      <c r="F2449" s="227" t="s">
        <v>2156</v>
      </c>
    </row>
    <row r="2450" spans="1:6" x14ac:dyDescent="0.25">
      <c r="A2450" s="227" t="str">
        <f>TL[[#This Row],[Société]]&amp;" - "&amp;TL[[#This Row],[Compte]]</f>
        <v>TURVILLA - 606614</v>
      </c>
      <c r="B2450" s="233" t="s">
        <v>3200</v>
      </c>
      <c r="C2450" s="227" t="s">
        <v>5842</v>
      </c>
      <c r="D2450" s="233" t="s">
        <v>50</v>
      </c>
      <c r="E2450" s="233" t="s">
        <v>34</v>
      </c>
      <c r="F2450" s="227" t="s">
        <v>2156</v>
      </c>
    </row>
    <row r="2451" spans="1:6" x14ac:dyDescent="0.25">
      <c r="A2451" s="227" t="str">
        <f>TL[[#This Row],[Société]]&amp;" - "&amp;TL[[#This Row],[Compte]]</f>
        <v>TURVILLA - 609000</v>
      </c>
      <c r="B2451" s="233" t="s">
        <v>3203</v>
      </c>
      <c r="C2451" s="227" t="s">
        <v>3204</v>
      </c>
      <c r="F2451" s="227" t="s">
        <v>2156</v>
      </c>
    </row>
    <row r="2452" spans="1:6" x14ac:dyDescent="0.25">
      <c r="A2452" s="227" t="str">
        <f>TL[[#This Row],[Société]]&amp;" - "&amp;TL[[#This Row],[Compte]]</f>
        <v>TURVILLA - 609100</v>
      </c>
      <c r="B2452" s="233" t="s">
        <v>1636</v>
      </c>
      <c r="C2452" s="227" t="s">
        <v>216</v>
      </c>
      <c r="D2452" s="233" t="s">
        <v>0</v>
      </c>
      <c r="E2452" s="233" t="s">
        <v>7</v>
      </c>
      <c r="F2452" s="227" t="s">
        <v>2156</v>
      </c>
    </row>
    <row r="2453" spans="1:6" x14ac:dyDescent="0.25">
      <c r="A2453" s="227" t="str">
        <f>TL[[#This Row],[Société]]&amp;" - "&amp;TL[[#This Row],[Compte]]</f>
        <v>TURVILLA - 611001</v>
      </c>
      <c r="B2453" s="233" t="s">
        <v>1900</v>
      </c>
      <c r="C2453" s="227" t="s">
        <v>5843</v>
      </c>
      <c r="F2453" s="227" t="s">
        <v>2156</v>
      </c>
    </row>
    <row r="2454" spans="1:6" x14ac:dyDescent="0.25">
      <c r="A2454" s="227" t="str">
        <f>TL[[#This Row],[Société]]&amp;" - "&amp;TL[[#This Row],[Compte]]</f>
        <v>TURVILLA - 611002</v>
      </c>
      <c r="B2454" s="233" t="s">
        <v>4944</v>
      </c>
      <c r="C2454" s="227" t="s">
        <v>5844</v>
      </c>
      <c r="D2454" s="233" t="s">
        <v>20</v>
      </c>
      <c r="E2454" s="233" t="s">
        <v>23</v>
      </c>
      <c r="F2454" s="227" t="s">
        <v>2156</v>
      </c>
    </row>
    <row r="2455" spans="1:6" x14ac:dyDescent="0.25">
      <c r="A2455" s="227" t="str">
        <f>TL[[#This Row],[Société]]&amp;" - "&amp;TL[[#This Row],[Compte]]</f>
        <v>TURVILLA - 611003</v>
      </c>
      <c r="B2455" s="233" t="s">
        <v>1901</v>
      </c>
      <c r="C2455" s="227" t="s">
        <v>5845</v>
      </c>
      <c r="D2455" s="233" t="s">
        <v>20</v>
      </c>
      <c r="E2455" s="233" t="s">
        <v>20</v>
      </c>
      <c r="F2455" s="227" t="s">
        <v>2156</v>
      </c>
    </row>
    <row r="2456" spans="1:6" x14ac:dyDescent="0.25">
      <c r="A2456" s="227" t="str">
        <f>TL[[#This Row],[Société]]&amp;" - "&amp;TL[[#This Row],[Compte]]</f>
        <v>TURVILLA - 611004</v>
      </c>
      <c r="B2456" s="233" t="s">
        <v>4945</v>
      </c>
      <c r="C2456" s="227" t="s">
        <v>5846</v>
      </c>
      <c r="D2456" s="233" t="s">
        <v>20</v>
      </c>
      <c r="E2456" s="233" t="s">
        <v>25</v>
      </c>
      <c r="F2456" s="227" t="s">
        <v>2156</v>
      </c>
    </row>
    <row r="2457" spans="1:6" x14ac:dyDescent="0.25">
      <c r="A2457" s="227" t="str">
        <f>TL[[#This Row],[Société]]&amp;" - "&amp;TL[[#This Row],[Compte]]</f>
        <v>TURVILLA - 611005</v>
      </c>
      <c r="B2457" s="233" t="s">
        <v>1902</v>
      </c>
      <c r="C2457" s="227" t="s">
        <v>1158</v>
      </c>
      <c r="D2457" s="233" t="s">
        <v>20</v>
      </c>
      <c r="E2457" s="233" t="s">
        <v>25</v>
      </c>
      <c r="F2457" s="227" t="s">
        <v>2156</v>
      </c>
    </row>
    <row r="2458" spans="1:6" x14ac:dyDescent="0.25">
      <c r="A2458" s="227" t="str">
        <f>TL[[#This Row],[Société]]&amp;" - "&amp;TL[[#This Row],[Compte]]</f>
        <v>TURVILLA - 611006</v>
      </c>
      <c r="B2458" s="233" t="s">
        <v>4946</v>
      </c>
      <c r="C2458" s="227" t="s">
        <v>2435</v>
      </c>
      <c r="D2458" s="233" t="s">
        <v>25</v>
      </c>
      <c r="E2458" s="233" t="s">
        <v>18</v>
      </c>
      <c r="F2458" s="227" t="s">
        <v>2156</v>
      </c>
    </row>
    <row r="2459" spans="1:6" x14ac:dyDescent="0.25">
      <c r="A2459" s="227" t="str">
        <f>TL[[#This Row],[Société]]&amp;" - "&amp;TL[[#This Row],[Compte]]</f>
        <v>TURVILLA - 611007</v>
      </c>
      <c r="B2459" s="233" t="s">
        <v>4948</v>
      </c>
      <c r="C2459" s="227" t="s">
        <v>2436</v>
      </c>
      <c r="D2459" s="233" t="s">
        <v>20</v>
      </c>
      <c r="E2459" s="233" t="s">
        <v>25</v>
      </c>
      <c r="F2459" s="227" t="s">
        <v>2156</v>
      </c>
    </row>
    <row r="2460" spans="1:6" x14ac:dyDescent="0.25">
      <c r="A2460" s="227" t="str">
        <f>TL[[#This Row],[Société]]&amp;" - "&amp;TL[[#This Row],[Compte]]</f>
        <v>TURVILLA - 611008</v>
      </c>
      <c r="B2460" s="233" t="s">
        <v>4949</v>
      </c>
      <c r="C2460" s="227" t="s">
        <v>3251</v>
      </c>
      <c r="F2460" s="227" t="s">
        <v>2156</v>
      </c>
    </row>
    <row r="2461" spans="1:6" x14ac:dyDescent="0.25">
      <c r="A2461" s="227" t="str">
        <f>TL[[#This Row],[Société]]&amp;" - "&amp;TL[[#This Row],[Compte]]</f>
        <v>TURVILLA - 611009</v>
      </c>
      <c r="B2461" s="233" t="s">
        <v>4951</v>
      </c>
      <c r="C2461" s="227" t="s">
        <v>2437</v>
      </c>
      <c r="D2461" s="233" t="s">
        <v>20</v>
      </c>
      <c r="E2461" s="233" t="s">
        <v>20</v>
      </c>
      <c r="F2461" s="227" t="s">
        <v>2156</v>
      </c>
    </row>
    <row r="2462" spans="1:6" x14ac:dyDescent="0.25">
      <c r="A2462" s="227" t="str">
        <f>TL[[#This Row],[Société]]&amp;" - "&amp;TL[[#This Row],[Compte]]</f>
        <v>TURVILLA - 611010</v>
      </c>
      <c r="B2462" s="233" t="s">
        <v>4952</v>
      </c>
      <c r="C2462" s="227" t="s">
        <v>5847</v>
      </c>
      <c r="F2462" s="227" t="s">
        <v>2156</v>
      </c>
    </row>
    <row r="2463" spans="1:6" x14ac:dyDescent="0.25">
      <c r="A2463" s="227" t="str">
        <f>TL[[#This Row],[Société]]&amp;" - "&amp;TL[[#This Row],[Compte]]</f>
        <v>TURVILLA - 611011</v>
      </c>
      <c r="B2463" s="233" t="s">
        <v>4953</v>
      </c>
      <c r="C2463" s="227" t="s">
        <v>5848</v>
      </c>
      <c r="D2463" s="233" t="s">
        <v>20</v>
      </c>
      <c r="E2463" s="233" t="s">
        <v>25</v>
      </c>
      <c r="F2463" s="227" t="s">
        <v>2156</v>
      </c>
    </row>
    <row r="2464" spans="1:6" x14ac:dyDescent="0.25">
      <c r="A2464" s="227" t="str">
        <f>TL[[#This Row],[Société]]&amp;" - "&amp;TL[[#This Row],[Compte]]</f>
        <v>TURVILLA - 611012</v>
      </c>
      <c r="B2464" s="233" t="s">
        <v>2548</v>
      </c>
      <c r="C2464" s="227" t="s">
        <v>2438</v>
      </c>
      <c r="D2464" s="233" t="s">
        <v>39</v>
      </c>
      <c r="E2464" s="233" t="s">
        <v>25</v>
      </c>
      <c r="F2464" s="227" t="s">
        <v>2156</v>
      </c>
    </row>
    <row r="2465" spans="1:6" x14ac:dyDescent="0.25">
      <c r="A2465" s="227" t="str">
        <f>TL[[#This Row],[Société]]&amp;" - "&amp;TL[[#This Row],[Compte]]</f>
        <v>TURVILLA - 611013</v>
      </c>
      <c r="B2465" s="233" t="s">
        <v>2542</v>
      </c>
      <c r="C2465" s="227" t="s">
        <v>5849</v>
      </c>
      <c r="D2465" s="233" t="s">
        <v>20</v>
      </c>
      <c r="E2465" s="233" t="s">
        <v>25</v>
      </c>
      <c r="F2465" s="227" t="s">
        <v>2156</v>
      </c>
    </row>
    <row r="2466" spans="1:6" x14ac:dyDescent="0.25">
      <c r="A2466" s="227" t="str">
        <f>TL[[#This Row],[Société]]&amp;" - "&amp;TL[[#This Row],[Compte]]</f>
        <v>TURVILLA - 611023</v>
      </c>
      <c r="B2466" s="233" t="s">
        <v>5850</v>
      </c>
      <c r="C2466" s="227" t="s">
        <v>5851</v>
      </c>
      <c r="F2466" s="227" t="s">
        <v>2156</v>
      </c>
    </row>
    <row r="2467" spans="1:6" x14ac:dyDescent="0.25">
      <c r="A2467" s="227" t="str">
        <f>TL[[#This Row],[Société]]&amp;" - "&amp;TL[[#This Row],[Compte]]</f>
        <v>TURVILLA - 611024</v>
      </c>
      <c r="B2467" s="233" t="s">
        <v>5852</v>
      </c>
      <c r="C2467" s="227" t="s">
        <v>2439</v>
      </c>
      <c r="D2467" s="233" t="s">
        <v>20</v>
      </c>
      <c r="E2467" s="233" t="s">
        <v>25</v>
      </c>
      <c r="F2467" s="227" t="s">
        <v>2156</v>
      </c>
    </row>
    <row r="2468" spans="1:6" x14ac:dyDescent="0.25">
      <c r="A2468" s="227" t="str">
        <f>TL[[#This Row],[Société]]&amp;" - "&amp;TL[[#This Row],[Compte]]</f>
        <v>TURVILLA - 613000</v>
      </c>
      <c r="B2468" s="233" t="s">
        <v>1904</v>
      </c>
      <c r="C2468" s="227" t="s">
        <v>607</v>
      </c>
      <c r="D2468" s="233" t="s">
        <v>35</v>
      </c>
      <c r="E2468" s="233" t="s">
        <v>40</v>
      </c>
      <c r="F2468" s="227" t="s">
        <v>2156</v>
      </c>
    </row>
    <row r="2469" spans="1:6" x14ac:dyDescent="0.25">
      <c r="A2469" s="227" t="str">
        <f>TL[[#This Row],[Société]]&amp;" - "&amp;TL[[#This Row],[Compte]]</f>
        <v>TURVILLA - 613200</v>
      </c>
      <c r="B2469" s="233" t="s">
        <v>1587</v>
      </c>
      <c r="C2469" s="227" t="s">
        <v>2440</v>
      </c>
      <c r="D2469" s="233" t="s">
        <v>35</v>
      </c>
      <c r="E2469" s="233" t="s">
        <v>2985</v>
      </c>
      <c r="F2469" s="227" t="s">
        <v>2156</v>
      </c>
    </row>
    <row r="2470" spans="1:6" x14ac:dyDescent="0.25">
      <c r="A2470" s="227" t="str">
        <f>TL[[#This Row],[Société]]&amp;" - "&amp;TL[[#This Row],[Compte]]</f>
        <v>TURVILLA - 613201</v>
      </c>
      <c r="B2470" s="233" t="s">
        <v>5853</v>
      </c>
      <c r="C2470" s="227" t="s">
        <v>2441</v>
      </c>
      <c r="D2470" s="233" t="s">
        <v>35</v>
      </c>
      <c r="E2470" s="233" t="s">
        <v>35</v>
      </c>
      <c r="F2470" s="227" t="s">
        <v>2156</v>
      </c>
    </row>
    <row r="2471" spans="1:6" x14ac:dyDescent="0.25">
      <c r="A2471" s="227" t="str">
        <f>TL[[#This Row],[Société]]&amp;" - "&amp;TL[[#This Row],[Compte]]</f>
        <v>TURVILLA - 613202</v>
      </c>
      <c r="B2471" s="233" t="s">
        <v>5854</v>
      </c>
      <c r="C2471" s="227" t="s">
        <v>2812</v>
      </c>
      <c r="D2471" s="233" t="s">
        <v>35</v>
      </c>
      <c r="E2471" s="233" t="s">
        <v>37</v>
      </c>
      <c r="F2471" s="227" t="s">
        <v>2156</v>
      </c>
    </row>
    <row r="2472" spans="1:6" x14ac:dyDescent="0.25">
      <c r="A2472" s="227" t="str">
        <f>TL[[#This Row],[Société]]&amp;" - "&amp;TL[[#This Row],[Compte]]</f>
        <v>TURVILLA - 613250</v>
      </c>
      <c r="B2472" s="233" t="s">
        <v>5855</v>
      </c>
      <c r="C2472" s="227" t="s">
        <v>5856</v>
      </c>
      <c r="F2472" s="227" t="s">
        <v>2156</v>
      </c>
    </row>
    <row r="2473" spans="1:6" x14ac:dyDescent="0.25">
      <c r="A2473" s="227" t="str">
        <f>TL[[#This Row],[Société]]&amp;" - "&amp;TL[[#This Row],[Compte]]</f>
        <v>TURVILLA - 613260</v>
      </c>
      <c r="B2473" s="233" t="s">
        <v>5857</v>
      </c>
      <c r="C2473" s="227" t="s">
        <v>2442</v>
      </c>
      <c r="D2473" s="233" t="s">
        <v>50</v>
      </c>
      <c r="E2473" s="233" t="s">
        <v>52</v>
      </c>
      <c r="F2473" s="227" t="s">
        <v>2156</v>
      </c>
    </row>
    <row r="2474" spans="1:6" x14ac:dyDescent="0.25">
      <c r="A2474" s="227" t="str">
        <f>TL[[#This Row],[Société]]&amp;" - "&amp;TL[[#This Row],[Compte]]</f>
        <v>TURVILLA - 613261</v>
      </c>
      <c r="B2474" s="233" t="s">
        <v>2827</v>
      </c>
      <c r="C2474" s="227" t="s">
        <v>5858</v>
      </c>
      <c r="D2474" s="233" t="s">
        <v>50</v>
      </c>
      <c r="E2474" s="233" t="s">
        <v>52</v>
      </c>
      <c r="F2474" s="227" t="s">
        <v>2156</v>
      </c>
    </row>
    <row r="2475" spans="1:6" x14ac:dyDescent="0.25">
      <c r="A2475" s="227" t="str">
        <f>TL[[#This Row],[Société]]&amp;" - "&amp;TL[[#This Row],[Compte]]</f>
        <v>TURVILLA - 613262</v>
      </c>
      <c r="B2475" s="233" t="s">
        <v>2549</v>
      </c>
      <c r="C2475" s="227" t="s">
        <v>2443</v>
      </c>
      <c r="D2475" s="233" t="s">
        <v>50</v>
      </c>
      <c r="E2475" s="233" t="s">
        <v>52</v>
      </c>
      <c r="F2475" s="227" t="s">
        <v>2156</v>
      </c>
    </row>
    <row r="2476" spans="1:6" x14ac:dyDescent="0.25">
      <c r="A2476" s="227" t="str">
        <f>TL[[#This Row],[Société]]&amp;" - "&amp;TL[[#This Row],[Compte]]</f>
        <v>TURVILLA - 613263</v>
      </c>
      <c r="B2476" s="233" t="s">
        <v>2596</v>
      </c>
      <c r="C2476" s="227" t="s">
        <v>2444</v>
      </c>
      <c r="D2476" s="233" t="s">
        <v>50</v>
      </c>
      <c r="E2476" s="233" t="s">
        <v>52</v>
      </c>
      <c r="F2476" s="227" t="s">
        <v>2156</v>
      </c>
    </row>
    <row r="2477" spans="1:6" x14ac:dyDescent="0.25">
      <c r="A2477" s="227" t="str">
        <f>TL[[#This Row],[Société]]&amp;" - "&amp;TL[[#This Row],[Compte]]</f>
        <v>TURVILLA - 613264</v>
      </c>
      <c r="B2477" s="233" t="s">
        <v>5859</v>
      </c>
      <c r="C2477" s="227" t="s">
        <v>2445</v>
      </c>
      <c r="D2477" s="233" t="s">
        <v>50</v>
      </c>
      <c r="E2477" s="233" t="s">
        <v>52</v>
      </c>
      <c r="F2477" s="227" t="s">
        <v>2156</v>
      </c>
    </row>
    <row r="2478" spans="1:6" x14ac:dyDescent="0.25">
      <c r="A2478" s="227" t="str">
        <f>TL[[#This Row],[Société]]&amp;" - "&amp;TL[[#This Row],[Compte]]</f>
        <v>TURVILLA - 613265</v>
      </c>
      <c r="B2478" s="233" t="s">
        <v>5860</v>
      </c>
      <c r="C2478" s="227" t="s">
        <v>5861</v>
      </c>
      <c r="D2478" s="233" t="s">
        <v>50</v>
      </c>
      <c r="E2478" s="233" t="s">
        <v>52</v>
      </c>
      <c r="F2478" s="227" t="s">
        <v>2156</v>
      </c>
    </row>
    <row r="2479" spans="1:6" x14ac:dyDescent="0.25">
      <c r="A2479" s="227" t="str">
        <f>TL[[#This Row],[Société]]&amp;" - "&amp;TL[[#This Row],[Compte]]</f>
        <v>TURVILLA - 613266</v>
      </c>
      <c r="B2479" s="233" t="s">
        <v>5862</v>
      </c>
      <c r="C2479" s="227" t="s">
        <v>2446</v>
      </c>
      <c r="D2479" s="233" t="s">
        <v>50</v>
      </c>
      <c r="E2479" s="233" t="s">
        <v>52</v>
      </c>
      <c r="F2479" s="227" t="s">
        <v>2156</v>
      </c>
    </row>
    <row r="2480" spans="1:6" x14ac:dyDescent="0.25">
      <c r="A2480" s="227" t="str">
        <f>TL[[#This Row],[Société]]&amp;" - "&amp;TL[[#This Row],[Compte]]</f>
        <v>TURVILLA - 613330</v>
      </c>
      <c r="B2480" s="233" t="s">
        <v>2550</v>
      </c>
      <c r="C2480" s="227" t="s">
        <v>219</v>
      </c>
      <c r="D2480" s="233" t="s">
        <v>20</v>
      </c>
      <c r="E2480" s="233" t="s">
        <v>25</v>
      </c>
      <c r="F2480" s="227" t="s">
        <v>2156</v>
      </c>
    </row>
    <row r="2481" spans="1:6" x14ac:dyDescent="0.25">
      <c r="A2481" s="227" t="str">
        <f>TL[[#This Row],[Société]]&amp;" - "&amp;TL[[#This Row],[Compte]]</f>
        <v>TURVILLA - 613340</v>
      </c>
      <c r="B2481" s="233" t="s">
        <v>5863</v>
      </c>
      <c r="C2481" s="227" t="s">
        <v>2226</v>
      </c>
      <c r="D2481" s="233" t="s">
        <v>20</v>
      </c>
      <c r="E2481" s="233" t="s">
        <v>25</v>
      </c>
      <c r="F2481" s="227" t="s">
        <v>2156</v>
      </c>
    </row>
    <row r="2482" spans="1:6" x14ac:dyDescent="0.25">
      <c r="A2482" s="227" t="str">
        <f>TL[[#This Row],[Société]]&amp;" - "&amp;TL[[#This Row],[Compte]]</f>
        <v>TURVILLA - 613350</v>
      </c>
      <c r="B2482" s="233" t="s">
        <v>2551</v>
      </c>
      <c r="C2482" s="227" t="s">
        <v>2227</v>
      </c>
      <c r="D2482" s="233" t="s">
        <v>20</v>
      </c>
      <c r="E2482" s="233" t="s">
        <v>25</v>
      </c>
      <c r="F2482" s="227" t="s">
        <v>2156</v>
      </c>
    </row>
    <row r="2483" spans="1:6" x14ac:dyDescent="0.25">
      <c r="A2483" s="227" t="str">
        <f>TL[[#This Row],[Société]]&amp;" - "&amp;TL[[#This Row],[Compte]]</f>
        <v>TURVILLA - 613360</v>
      </c>
      <c r="B2483" s="233" t="s">
        <v>2552</v>
      </c>
      <c r="C2483" s="227" t="s">
        <v>1568</v>
      </c>
      <c r="D2483" s="233" t="s">
        <v>20</v>
      </c>
      <c r="E2483" s="233" t="s">
        <v>25</v>
      </c>
      <c r="F2483" s="227" t="s">
        <v>2156</v>
      </c>
    </row>
    <row r="2484" spans="1:6" x14ac:dyDescent="0.25">
      <c r="A2484" s="227" t="str">
        <f>TL[[#This Row],[Société]]&amp;" - "&amp;TL[[#This Row],[Compte]]</f>
        <v>TURVILLA - 613361</v>
      </c>
      <c r="B2484" s="233" t="s">
        <v>5864</v>
      </c>
      <c r="C2484" s="227" t="s">
        <v>2447</v>
      </c>
      <c r="D2484" s="233" t="s">
        <v>20</v>
      </c>
      <c r="E2484" s="233" t="s">
        <v>25</v>
      </c>
      <c r="F2484" s="227" t="s">
        <v>2156</v>
      </c>
    </row>
    <row r="2485" spans="1:6" x14ac:dyDescent="0.25">
      <c r="A2485" s="227" t="str">
        <f>TL[[#This Row],[Société]]&amp;" - "&amp;TL[[#This Row],[Compte]]</f>
        <v>TURVILLA - 613370</v>
      </c>
      <c r="B2485" s="233" t="s">
        <v>5865</v>
      </c>
      <c r="C2485" s="227" t="s">
        <v>2223</v>
      </c>
      <c r="D2485" s="233" t="s">
        <v>20</v>
      </c>
      <c r="E2485" s="233" t="s">
        <v>25</v>
      </c>
      <c r="F2485" s="227" t="s">
        <v>2156</v>
      </c>
    </row>
    <row r="2486" spans="1:6" x14ac:dyDescent="0.25">
      <c r="A2486" s="227" t="str">
        <f>TL[[#This Row],[Société]]&amp;" - "&amp;TL[[#This Row],[Compte]]</f>
        <v>TURVILLA - 613500</v>
      </c>
      <c r="B2486" s="233" t="s">
        <v>1920</v>
      </c>
      <c r="C2486" s="227" t="s">
        <v>1177</v>
      </c>
      <c r="D2486" s="233" t="s">
        <v>50</v>
      </c>
      <c r="E2486" s="233" t="s">
        <v>52</v>
      </c>
      <c r="F2486" s="227" t="s">
        <v>2156</v>
      </c>
    </row>
    <row r="2487" spans="1:6" x14ac:dyDescent="0.25">
      <c r="A2487" s="227" t="str">
        <f>TL[[#This Row],[Société]]&amp;" - "&amp;TL[[#This Row],[Compte]]</f>
        <v>TURVILLA - 614100</v>
      </c>
      <c r="B2487" s="233" t="s">
        <v>1784</v>
      </c>
      <c r="C2487" s="227" t="s">
        <v>2228</v>
      </c>
      <c r="D2487" s="233" t="s">
        <v>42</v>
      </c>
      <c r="E2487" s="233" t="s">
        <v>40</v>
      </c>
      <c r="F2487" s="227" t="s">
        <v>2156</v>
      </c>
    </row>
    <row r="2488" spans="1:6" x14ac:dyDescent="0.25">
      <c r="A2488" s="227" t="str">
        <f>TL[[#This Row],[Société]]&amp;" - "&amp;TL[[#This Row],[Compte]]</f>
        <v>TURVILLA - 615001</v>
      </c>
      <c r="B2488" s="233" t="s">
        <v>1922</v>
      </c>
      <c r="C2488" s="227" t="s">
        <v>2448</v>
      </c>
      <c r="D2488" s="233" t="s">
        <v>25</v>
      </c>
      <c r="E2488" s="233" t="s">
        <v>23</v>
      </c>
      <c r="F2488" s="227" t="s">
        <v>2156</v>
      </c>
    </row>
    <row r="2489" spans="1:6" x14ac:dyDescent="0.25">
      <c r="A2489" s="227" t="str">
        <f>TL[[#This Row],[Société]]&amp;" - "&amp;TL[[#This Row],[Compte]]</f>
        <v>TURVILLA - 615003</v>
      </c>
      <c r="B2489" s="233" t="s">
        <v>1923</v>
      </c>
      <c r="C2489" s="227" t="s">
        <v>5866</v>
      </c>
      <c r="D2489" s="233" t="s">
        <v>20</v>
      </c>
      <c r="E2489" s="233" t="s">
        <v>25</v>
      </c>
      <c r="F2489" s="227" t="s">
        <v>2156</v>
      </c>
    </row>
    <row r="2490" spans="1:6" x14ac:dyDescent="0.25">
      <c r="A2490" s="227" t="str">
        <f>TL[[#This Row],[Société]]&amp;" - "&amp;TL[[#This Row],[Compte]]</f>
        <v>TURVILLA - 615200</v>
      </c>
      <c r="B2490" s="233" t="s">
        <v>1629</v>
      </c>
      <c r="C2490" s="227" t="s">
        <v>4982</v>
      </c>
      <c r="F2490" s="227" t="s">
        <v>2156</v>
      </c>
    </row>
    <row r="2491" spans="1:6" x14ac:dyDescent="0.25">
      <c r="A2491" s="227" t="str">
        <f>TL[[#This Row],[Société]]&amp;" - "&amp;TL[[#This Row],[Compte]]</f>
        <v>TURVILLA - 615500</v>
      </c>
      <c r="B2491" s="233" t="s">
        <v>1589</v>
      </c>
      <c r="C2491" s="227" t="s">
        <v>212</v>
      </c>
      <c r="D2491" s="233" t="s">
        <v>25</v>
      </c>
      <c r="E2491" s="233" t="s">
        <v>23</v>
      </c>
      <c r="F2491" s="227" t="s">
        <v>2156</v>
      </c>
    </row>
    <row r="2492" spans="1:6" x14ac:dyDescent="0.25">
      <c r="A2492" s="227" t="str">
        <f>TL[[#This Row],[Société]]&amp;" - "&amp;TL[[#This Row],[Compte]]</f>
        <v>TURVILLA - 615520</v>
      </c>
      <c r="B2492" s="233" t="s">
        <v>1935</v>
      </c>
      <c r="C2492" s="227" t="s">
        <v>2229</v>
      </c>
      <c r="D2492" s="233" t="s">
        <v>50</v>
      </c>
      <c r="E2492" s="233" t="s">
        <v>23</v>
      </c>
      <c r="F2492" s="227" t="s">
        <v>2156</v>
      </c>
    </row>
    <row r="2493" spans="1:6" x14ac:dyDescent="0.25">
      <c r="A2493" s="227" t="str">
        <f>TL[[#This Row],[Société]]&amp;" - "&amp;TL[[#This Row],[Compte]]</f>
        <v>TURVILLA - 615600</v>
      </c>
      <c r="B2493" s="233" t="s">
        <v>1627</v>
      </c>
      <c r="C2493" s="227" t="s">
        <v>2449</v>
      </c>
      <c r="D2493" s="233" t="s">
        <v>20</v>
      </c>
      <c r="E2493" s="233" t="s">
        <v>25</v>
      </c>
      <c r="F2493" s="227" t="s">
        <v>2156</v>
      </c>
    </row>
    <row r="2494" spans="1:6" x14ac:dyDescent="0.25">
      <c r="A2494" s="227" t="str">
        <f>TL[[#This Row],[Société]]&amp;" - "&amp;TL[[#This Row],[Compte]]</f>
        <v>TURVILLA - 615601</v>
      </c>
      <c r="B2494" s="233" t="s">
        <v>4995</v>
      </c>
      <c r="C2494" s="227" t="s">
        <v>5867</v>
      </c>
      <c r="D2494" s="233" t="s">
        <v>20</v>
      </c>
      <c r="E2494" s="233" t="s">
        <v>25</v>
      </c>
      <c r="F2494" s="227" t="s">
        <v>2156</v>
      </c>
    </row>
    <row r="2495" spans="1:6" x14ac:dyDescent="0.25">
      <c r="A2495" s="227" t="str">
        <f>TL[[#This Row],[Société]]&amp;" - "&amp;TL[[#This Row],[Compte]]</f>
        <v>TURVILLA - 615602</v>
      </c>
      <c r="B2495" s="233" t="s">
        <v>5868</v>
      </c>
      <c r="C2495" s="227" t="s">
        <v>2810</v>
      </c>
      <c r="D2495" s="233" t="s">
        <v>20</v>
      </c>
      <c r="E2495" s="233" t="s">
        <v>25</v>
      </c>
      <c r="F2495" s="227" t="s">
        <v>2156</v>
      </c>
    </row>
    <row r="2496" spans="1:6" x14ac:dyDescent="0.25">
      <c r="A2496" s="227" t="str">
        <f>TL[[#This Row],[Société]]&amp;" - "&amp;TL[[#This Row],[Compte]]</f>
        <v>TURVILLA - 615609</v>
      </c>
      <c r="B2496" s="233" t="s">
        <v>2553</v>
      </c>
      <c r="C2496" s="227" t="s">
        <v>2175</v>
      </c>
      <c r="D2496" s="233" t="s">
        <v>20</v>
      </c>
      <c r="E2496" s="233" t="s">
        <v>25</v>
      </c>
      <c r="F2496" s="227" t="s">
        <v>2156</v>
      </c>
    </row>
    <row r="2497" spans="1:6" x14ac:dyDescent="0.25">
      <c r="A2497" s="227" t="str">
        <f>TL[[#This Row],[Société]]&amp;" - "&amp;TL[[#This Row],[Compte]]</f>
        <v>TURVILLA - 615610</v>
      </c>
      <c r="B2497" s="233" t="s">
        <v>1779</v>
      </c>
      <c r="C2497" s="227" t="s">
        <v>234</v>
      </c>
      <c r="D2497" s="233" t="s">
        <v>20</v>
      </c>
      <c r="E2497" s="233" t="s">
        <v>25</v>
      </c>
      <c r="F2497" s="227" t="s">
        <v>2156</v>
      </c>
    </row>
    <row r="2498" spans="1:6" x14ac:dyDescent="0.25">
      <c r="A2498" s="227" t="str">
        <f>TL[[#This Row],[Société]]&amp;" - "&amp;TL[[#This Row],[Compte]]</f>
        <v>TURVILLA - 615611</v>
      </c>
      <c r="B2498" s="233" t="s">
        <v>1608</v>
      </c>
      <c r="C2498" s="227" t="s">
        <v>5869</v>
      </c>
      <c r="D2498" s="233" t="s">
        <v>20</v>
      </c>
      <c r="E2498" s="233" t="s">
        <v>25</v>
      </c>
      <c r="F2498" s="227" t="s">
        <v>2156</v>
      </c>
    </row>
    <row r="2499" spans="1:6" x14ac:dyDescent="0.25">
      <c r="A2499" s="227" t="str">
        <f>TL[[#This Row],[Société]]&amp;" - "&amp;TL[[#This Row],[Compte]]</f>
        <v>TURVILLA - 615614</v>
      </c>
      <c r="B2499" s="233" t="s">
        <v>1620</v>
      </c>
      <c r="C2499" s="227" t="s">
        <v>3247</v>
      </c>
      <c r="D2499" s="233" t="s">
        <v>20</v>
      </c>
      <c r="E2499" s="233" t="s">
        <v>25</v>
      </c>
      <c r="F2499" s="227" t="s">
        <v>2156</v>
      </c>
    </row>
    <row r="2500" spans="1:6" x14ac:dyDescent="0.25">
      <c r="A2500" s="227" t="str">
        <f>TL[[#This Row],[Société]]&amp;" - "&amp;TL[[#This Row],[Compte]]</f>
        <v>TURVILLA - 615615</v>
      </c>
      <c r="B2500" s="233" t="s">
        <v>1598</v>
      </c>
      <c r="C2500" s="227" t="s">
        <v>240</v>
      </c>
      <c r="D2500" s="233" t="s">
        <v>20</v>
      </c>
      <c r="E2500" s="233" t="s">
        <v>25</v>
      </c>
      <c r="F2500" s="227" t="s">
        <v>2156</v>
      </c>
    </row>
    <row r="2501" spans="1:6" x14ac:dyDescent="0.25">
      <c r="A2501" s="227" t="str">
        <f>TL[[#This Row],[Société]]&amp;" - "&amp;TL[[#This Row],[Compte]]</f>
        <v>TURVILLA - 615616</v>
      </c>
      <c r="B2501" s="233" t="s">
        <v>1625</v>
      </c>
      <c r="C2501" s="227" t="s">
        <v>229</v>
      </c>
      <c r="D2501" s="233" t="s">
        <v>20</v>
      </c>
      <c r="E2501" s="233" t="s">
        <v>25</v>
      </c>
      <c r="F2501" s="227" t="s">
        <v>2156</v>
      </c>
    </row>
    <row r="2502" spans="1:6" x14ac:dyDescent="0.25">
      <c r="A2502" s="227" t="str">
        <f>TL[[#This Row],[Société]]&amp;" - "&amp;TL[[#This Row],[Compte]]</f>
        <v>TURVILLA - 615617</v>
      </c>
      <c r="B2502" s="233" t="s">
        <v>1611</v>
      </c>
      <c r="C2502" s="227" t="s">
        <v>3241</v>
      </c>
      <c r="D2502" s="233" t="s">
        <v>20</v>
      </c>
      <c r="E2502" s="233" t="s">
        <v>25</v>
      </c>
      <c r="F2502" s="227" t="s">
        <v>2156</v>
      </c>
    </row>
    <row r="2503" spans="1:6" x14ac:dyDescent="0.25">
      <c r="A2503" s="227" t="str">
        <f>TL[[#This Row],[Société]]&amp;" - "&amp;TL[[#This Row],[Compte]]</f>
        <v>TURVILLA - 615618</v>
      </c>
      <c r="B2503" s="233" t="s">
        <v>1582</v>
      </c>
      <c r="C2503" s="227" t="s">
        <v>5870</v>
      </c>
      <c r="D2503" s="233" t="s">
        <v>20</v>
      </c>
      <c r="E2503" s="233" t="s">
        <v>25</v>
      </c>
      <c r="F2503" s="227" t="s">
        <v>2156</v>
      </c>
    </row>
    <row r="2504" spans="1:6" x14ac:dyDescent="0.25">
      <c r="A2504" s="227" t="str">
        <f>TL[[#This Row],[Société]]&amp;" - "&amp;TL[[#This Row],[Compte]]</f>
        <v>TURVILLA - 615619</v>
      </c>
      <c r="B2504" s="233" t="s">
        <v>1936</v>
      </c>
      <c r="C2504" s="227" t="s">
        <v>2203</v>
      </c>
      <c r="D2504" s="233" t="s">
        <v>20</v>
      </c>
      <c r="E2504" s="233" t="s">
        <v>18</v>
      </c>
      <c r="F2504" s="227" t="s">
        <v>2156</v>
      </c>
    </row>
    <row r="2505" spans="1:6" x14ac:dyDescent="0.25">
      <c r="A2505" s="227" t="str">
        <f>TL[[#This Row],[Société]]&amp;" - "&amp;TL[[#This Row],[Compte]]</f>
        <v>TURVILLA - 615620</v>
      </c>
      <c r="B2505" s="233" t="s">
        <v>1583</v>
      </c>
      <c r="C2505" s="227" t="s">
        <v>5871</v>
      </c>
      <c r="D2505" s="233" t="s">
        <v>20</v>
      </c>
      <c r="E2505" s="233" t="s">
        <v>18</v>
      </c>
      <c r="F2505" s="227" t="s">
        <v>2156</v>
      </c>
    </row>
    <row r="2506" spans="1:6" x14ac:dyDescent="0.25">
      <c r="A2506" s="227" t="str">
        <f>TL[[#This Row],[Société]]&amp;" - "&amp;TL[[#This Row],[Compte]]</f>
        <v>TURVILLA - 615621</v>
      </c>
      <c r="B2506" s="233" t="s">
        <v>1595</v>
      </c>
      <c r="C2506" s="227" t="s">
        <v>211</v>
      </c>
      <c r="D2506" s="233" t="s">
        <v>20</v>
      </c>
      <c r="E2506" s="233" t="s">
        <v>25</v>
      </c>
      <c r="F2506" s="227" t="s">
        <v>2156</v>
      </c>
    </row>
    <row r="2507" spans="1:6" x14ac:dyDescent="0.25">
      <c r="A2507" s="227" t="str">
        <f>TL[[#This Row],[Société]]&amp;" - "&amp;TL[[#This Row],[Compte]]</f>
        <v>TURVILLA - 615624</v>
      </c>
      <c r="B2507" s="233" t="s">
        <v>1937</v>
      </c>
      <c r="C2507" s="227" t="s">
        <v>2231</v>
      </c>
      <c r="D2507" s="233" t="s">
        <v>20</v>
      </c>
      <c r="E2507" s="233" t="s">
        <v>25</v>
      </c>
      <c r="F2507" s="227" t="s">
        <v>2156</v>
      </c>
    </row>
    <row r="2508" spans="1:6" x14ac:dyDescent="0.25">
      <c r="A2508" s="227" t="str">
        <f>TL[[#This Row],[Société]]&amp;" - "&amp;TL[[#This Row],[Compte]]</f>
        <v>TURVILLA - 615625</v>
      </c>
      <c r="B2508" s="233" t="s">
        <v>1785</v>
      </c>
      <c r="C2508" s="227" t="s">
        <v>5872</v>
      </c>
      <c r="D2508" s="233" t="s">
        <v>20</v>
      </c>
      <c r="E2508" s="233" t="s">
        <v>25</v>
      </c>
      <c r="F2508" s="227" t="s">
        <v>2156</v>
      </c>
    </row>
    <row r="2509" spans="1:6" x14ac:dyDescent="0.25">
      <c r="A2509" s="227" t="str">
        <f>TL[[#This Row],[Société]]&amp;" - "&amp;TL[[#This Row],[Compte]]</f>
        <v>TURVILLA - 615626</v>
      </c>
      <c r="B2509" s="233" t="s">
        <v>1938</v>
      </c>
      <c r="C2509" s="227" t="s">
        <v>1401</v>
      </c>
      <c r="D2509" s="233" t="s">
        <v>20</v>
      </c>
      <c r="E2509" s="233" t="s">
        <v>25</v>
      </c>
      <c r="F2509" s="227" t="s">
        <v>2156</v>
      </c>
    </row>
    <row r="2510" spans="1:6" x14ac:dyDescent="0.25">
      <c r="A2510" s="227" t="str">
        <f>TL[[#This Row],[Société]]&amp;" - "&amp;TL[[#This Row],[Compte]]</f>
        <v>TURVILLA - 615627</v>
      </c>
      <c r="B2510" s="233" t="s">
        <v>1624</v>
      </c>
      <c r="C2510" s="227" t="s">
        <v>1483</v>
      </c>
      <c r="D2510" s="233" t="s">
        <v>20</v>
      </c>
      <c r="E2510" s="233" t="s">
        <v>25</v>
      </c>
      <c r="F2510" s="227" t="s">
        <v>2156</v>
      </c>
    </row>
    <row r="2511" spans="1:6" x14ac:dyDescent="0.25">
      <c r="A2511" s="227" t="str">
        <f>TL[[#This Row],[Société]]&amp;" - "&amp;TL[[#This Row],[Compte]]</f>
        <v>TURVILLA - 615628</v>
      </c>
      <c r="B2511" s="233" t="s">
        <v>1593</v>
      </c>
      <c r="C2511" s="227" t="s">
        <v>3244</v>
      </c>
      <c r="D2511" s="233" t="s">
        <v>20</v>
      </c>
      <c r="E2511" s="233" t="s">
        <v>25</v>
      </c>
      <c r="F2511" s="227" t="s">
        <v>2156</v>
      </c>
    </row>
    <row r="2512" spans="1:6" x14ac:dyDescent="0.25">
      <c r="A2512" s="227" t="str">
        <f>TL[[#This Row],[Société]]&amp;" - "&amp;TL[[#This Row],[Compte]]</f>
        <v>TURVILLA - 615629</v>
      </c>
      <c r="B2512" s="233" t="s">
        <v>1939</v>
      </c>
      <c r="C2512" s="227" t="s">
        <v>2232</v>
      </c>
      <c r="D2512" s="233" t="s">
        <v>20</v>
      </c>
      <c r="E2512" s="233" t="s">
        <v>25</v>
      </c>
      <c r="F2512" s="227" t="s">
        <v>2156</v>
      </c>
    </row>
    <row r="2513" spans="1:6" x14ac:dyDescent="0.25">
      <c r="A2513" s="227" t="str">
        <f>TL[[#This Row],[Société]]&amp;" - "&amp;TL[[#This Row],[Compte]]</f>
        <v>TURVILLA - 615630</v>
      </c>
      <c r="B2513" s="233" t="s">
        <v>1597</v>
      </c>
      <c r="C2513" s="227" t="s">
        <v>5873</v>
      </c>
      <c r="D2513" s="233" t="s">
        <v>20</v>
      </c>
      <c r="E2513" s="233" t="s">
        <v>25</v>
      </c>
      <c r="F2513" s="227" t="s">
        <v>2156</v>
      </c>
    </row>
    <row r="2514" spans="1:6" x14ac:dyDescent="0.25">
      <c r="A2514" s="227" t="str">
        <f>TL[[#This Row],[Société]]&amp;" - "&amp;TL[[#This Row],[Compte]]</f>
        <v>TURVILLA - 615631</v>
      </c>
      <c r="B2514" s="233" t="s">
        <v>1768</v>
      </c>
      <c r="C2514" s="227" t="s">
        <v>5874</v>
      </c>
      <c r="D2514" s="233" t="s">
        <v>20</v>
      </c>
      <c r="E2514" s="233" t="s">
        <v>25</v>
      </c>
      <c r="F2514" s="227" t="s">
        <v>2156</v>
      </c>
    </row>
    <row r="2515" spans="1:6" x14ac:dyDescent="0.25">
      <c r="A2515" s="227" t="str">
        <f>TL[[#This Row],[Société]]&amp;" - "&amp;TL[[#This Row],[Compte]]</f>
        <v>TURVILLA - 615632</v>
      </c>
      <c r="B2515" s="233" t="s">
        <v>1613</v>
      </c>
      <c r="C2515" s="227" t="s">
        <v>2233</v>
      </c>
      <c r="D2515" s="233" t="s">
        <v>20</v>
      </c>
      <c r="E2515" s="233" t="s">
        <v>25</v>
      </c>
      <c r="F2515" s="227" t="s">
        <v>2156</v>
      </c>
    </row>
    <row r="2516" spans="1:6" x14ac:dyDescent="0.25">
      <c r="A2516" s="227" t="str">
        <f>TL[[#This Row],[Société]]&amp;" - "&amp;TL[[#This Row],[Compte]]</f>
        <v>TURVILLA - 615633</v>
      </c>
      <c r="B2516" s="233" t="s">
        <v>1771</v>
      </c>
      <c r="C2516" s="227" t="s">
        <v>2234</v>
      </c>
      <c r="D2516" s="233" t="s">
        <v>20</v>
      </c>
      <c r="E2516" s="233" t="s">
        <v>20</v>
      </c>
      <c r="F2516" s="227" t="s">
        <v>2156</v>
      </c>
    </row>
    <row r="2517" spans="1:6" x14ac:dyDescent="0.25">
      <c r="A2517" s="227" t="str">
        <f>TL[[#This Row],[Société]]&amp;" - "&amp;TL[[#This Row],[Compte]]</f>
        <v>TURVILLA - 615634</v>
      </c>
      <c r="B2517" s="233" t="s">
        <v>1795</v>
      </c>
      <c r="C2517" s="227" t="s">
        <v>233</v>
      </c>
      <c r="D2517" s="233" t="s">
        <v>20</v>
      </c>
      <c r="E2517" s="233" t="s">
        <v>25</v>
      </c>
      <c r="F2517" s="227" t="s">
        <v>2156</v>
      </c>
    </row>
    <row r="2518" spans="1:6" x14ac:dyDescent="0.25">
      <c r="A2518" s="227" t="str">
        <f>TL[[#This Row],[Société]]&amp;" - "&amp;TL[[#This Row],[Compte]]</f>
        <v>TURVILLA - 615636</v>
      </c>
      <c r="B2518" s="233" t="s">
        <v>1772</v>
      </c>
      <c r="C2518" s="227" t="s">
        <v>5875</v>
      </c>
      <c r="D2518" s="233" t="s">
        <v>20</v>
      </c>
      <c r="E2518" s="233" t="s">
        <v>18</v>
      </c>
      <c r="F2518" s="227" t="s">
        <v>2156</v>
      </c>
    </row>
    <row r="2519" spans="1:6" x14ac:dyDescent="0.25">
      <c r="A2519" s="227" t="str">
        <f>TL[[#This Row],[Société]]&amp;" - "&amp;TL[[#This Row],[Compte]]</f>
        <v>TURVILLA - 615637</v>
      </c>
      <c r="B2519" s="233" t="s">
        <v>1628</v>
      </c>
      <c r="C2519" s="227" t="s">
        <v>2236</v>
      </c>
      <c r="D2519" s="233" t="s">
        <v>20</v>
      </c>
      <c r="E2519" s="233" t="s">
        <v>25</v>
      </c>
      <c r="F2519" s="227" t="s">
        <v>2156</v>
      </c>
    </row>
    <row r="2520" spans="1:6" x14ac:dyDescent="0.25">
      <c r="A2520" s="227" t="str">
        <f>TL[[#This Row],[Société]]&amp;" - "&amp;TL[[#This Row],[Compte]]</f>
        <v>TURVILLA - 615638</v>
      </c>
      <c r="B2520" s="233" t="s">
        <v>1941</v>
      </c>
      <c r="C2520" s="227" t="s">
        <v>2450</v>
      </c>
      <c r="D2520" s="233" t="s">
        <v>20</v>
      </c>
      <c r="E2520" s="233" t="s">
        <v>25</v>
      </c>
      <c r="F2520" s="227" t="s">
        <v>2156</v>
      </c>
    </row>
    <row r="2521" spans="1:6" x14ac:dyDescent="0.25">
      <c r="A2521" s="227" t="str">
        <f>TL[[#This Row],[Société]]&amp;" - "&amp;TL[[#This Row],[Compte]]</f>
        <v>TURVILLA - 615641</v>
      </c>
      <c r="B2521" s="233" t="s">
        <v>2096</v>
      </c>
      <c r="C2521" s="227" t="s">
        <v>3247</v>
      </c>
      <c r="D2521" s="233" t="s">
        <v>20</v>
      </c>
      <c r="E2521" s="233" t="s">
        <v>25</v>
      </c>
      <c r="F2521" s="227" t="s">
        <v>2156</v>
      </c>
    </row>
    <row r="2522" spans="1:6" x14ac:dyDescent="0.25">
      <c r="A2522" s="227" t="str">
        <f>TL[[#This Row],[Société]]&amp;" - "&amp;TL[[#This Row],[Compte]]</f>
        <v>TURVILLA - 615642</v>
      </c>
      <c r="B2522" s="233" t="s">
        <v>2097</v>
      </c>
      <c r="C2522" s="227" t="s">
        <v>3248</v>
      </c>
      <c r="D2522" s="233" t="s">
        <v>20</v>
      </c>
      <c r="E2522" s="233" t="s">
        <v>25</v>
      </c>
      <c r="F2522" s="227" t="s">
        <v>2156</v>
      </c>
    </row>
    <row r="2523" spans="1:6" x14ac:dyDescent="0.25">
      <c r="A2523" s="227" t="str">
        <f>TL[[#This Row],[Société]]&amp;" - "&amp;TL[[#This Row],[Compte]]</f>
        <v>TURVILLA - 615645</v>
      </c>
      <c r="B2523" s="233" t="s">
        <v>2554</v>
      </c>
      <c r="C2523" s="227" t="s">
        <v>2451</v>
      </c>
      <c r="D2523" s="233" t="s">
        <v>20</v>
      </c>
      <c r="E2523" s="233" t="s">
        <v>25</v>
      </c>
      <c r="F2523" s="227" t="s">
        <v>2156</v>
      </c>
    </row>
    <row r="2524" spans="1:6" x14ac:dyDescent="0.25">
      <c r="A2524" s="227" t="str">
        <f>TL[[#This Row],[Société]]&amp;" - "&amp;TL[[#This Row],[Compte]]</f>
        <v>TURVILLA - 615647</v>
      </c>
      <c r="B2524" s="233" t="s">
        <v>2555</v>
      </c>
      <c r="C2524" s="227" t="s">
        <v>2204</v>
      </c>
      <c r="D2524" s="233" t="s">
        <v>20</v>
      </c>
      <c r="E2524" s="233" t="s">
        <v>25</v>
      </c>
      <c r="F2524" s="227" t="s">
        <v>2156</v>
      </c>
    </row>
    <row r="2525" spans="1:6" x14ac:dyDescent="0.25">
      <c r="A2525" s="227" t="str">
        <f>TL[[#This Row],[Société]]&amp;" - "&amp;TL[[#This Row],[Compte]]</f>
        <v>TURVILLA - 615650</v>
      </c>
      <c r="B2525" s="233" t="s">
        <v>2750</v>
      </c>
      <c r="C2525" s="227" t="s">
        <v>5876</v>
      </c>
      <c r="D2525" s="233" t="s">
        <v>20</v>
      </c>
      <c r="E2525" s="233" t="s">
        <v>25</v>
      </c>
      <c r="F2525" s="227" t="s">
        <v>2156</v>
      </c>
    </row>
    <row r="2526" spans="1:6" x14ac:dyDescent="0.25">
      <c r="A2526" s="227" t="str">
        <f>TL[[#This Row],[Société]]&amp;" - "&amp;TL[[#This Row],[Compte]]</f>
        <v>TURVILLA - 615651</v>
      </c>
      <c r="B2526" s="233" t="s">
        <v>2556</v>
      </c>
      <c r="C2526" s="227" t="s">
        <v>2237</v>
      </c>
      <c r="D2526" s="233" t="s">
        <v>20</v>
      </c>
      <c r="E2526" s="233" t="s">
        <v>25</v>
      </c>
      <c r="F2526" s="227" t="s">
        <v>2156</v>
      </c>
    </row>
    <row r="2527" spans="1:6" x14ac:dyDescent="0.25">
      <c r="A2527" s="227" t="str">
        <f>TL[[#This Row],[Société]]&amp;" - "&amp;TL[[#This Row],[Compte]]</f>
        <v>TURVILLA - 615652</v>
      </c>
      <c r="B2527" s="233" t="s">
        <v>2557</v>
      </c>
      <c r="C2527" s="227" t="s">
        <v>2238</v>
      </c>
      <c r="D2527" s="233" t="s">
        <v>20</v>
      </c>
      <c r="E2527" s="233" t="s">
        <v>25</v>
      </c>
      <c r="F2527" s="227" t="s">
        <v>2156</v>
      </c>
    </row>
    <row r="2528" spans="1:6" x14ac:dyDescent="0.25">
      <c r="A2528" s="227" t="str">
        <f>TL[[#This Row],[Société]]&amp;" - "&amp;TL[[#This Row],[Compte]]</f>
        <v>TURVILLA - 615653</v>
      </c>
      <c r="B2528" s="233" t="s">
        <v>2558</v>
      </c>
      <c r="C2528" s="227" t="s">
        <v>2239</v>
      </c>
      <c r="D2528" s="233" t="s">
        <v>20</v>
      </c>
      <c r="E2528" s="233" t="s">
        <v>25</v>
      </c>
      <c r="F2528" s="227" t="s">
        <v>2156</v>
      </c>
    </row>
    <row r="2529" spans="1:6" x14ac:dyDescent="0.25">
      <c r="A2529" s="227" t="str">
        <f>TL[[#This Row],[Société]]&amp;" - "&amp;TL[[#This Row],[Compte]]</f>
        <v>TURVILLA - 615654</v>
      </c>
      <c r="B2529" s="233" t="s">
        <v>2559</v>
      </c>
      <c r="C2529" s="227" t="s">
        <v>1486</v>
      </c>
      <c r="D2529" s="233" t="s">
        <v>20</v>
      </c>
      <c r="E2529" s="233" t="s">
        <v>25</v>
      </c>
      <c r="F2529" s="227" t="s">
        <v>2156</v>
      </c>
    </row>
    <row r="2530" spans="1:6" x14ac:dyDescent="0.25">
      <c r="A2530" s="227" t="str">
        <f>TL[[#This Row],[Société]]&amp;" - "&amp;TL[[#This Row],[Compte]]</f>
        <v>TURVILLA - 615655</v>
      </c>
      <c r="B2530" s="233" t="s">
        <v>2560</v>
      </c>
      <c r="C2530" s="227" t="s">
        <v>2240</v>
      </c>
      <c r="D2530" s="233" t="s">
        <v>20</v>
      </c>
      <c r="E2530" s="233" t="s">
        <v>25</v>
      </c>
      <c r="F2530" s="227" t="s">
        <v>2156</v>
      </c>
    </row>
    <row r="2531" spans="1:6" x14ac:dyDescent="0.25">
      <c r="A2531" s="227" t="str">
        <f>TL[[#This Row],[Société]]&amp;" - "&amp;TL[[#This Row],[Compte]]</f>
        <v>TURVILLA - 615656</v>
      </c>
      <c r="B2531" s="233" t="s">
        <v>2561</v>
      </c>
      <c r="C2531" s="227" t="s">
        <v>2241</v>
      </c>
      <c r="D2531" s="233" t="s">
        <v>20</v>
      </c>
      <c r="E2531" s="233" t="s">
        <v>25</v>
      </c>
      <c r="F2531" s="227" t="s">
        <v>2156</v>
      </c>
    </row>
    <row r="2532" spans="1:6" x14ac:dyDescent="0.25">
      <c r="A2532" s="227" t="str">
        <f>TL[[#This Row],[Société]]&amp;" - "&amp;TL[[#This Row],[Compte]]</f>
        <v>TURVILLA - 615657</v>
      </c>
      <c r="B2532" s="233" t="s">
        <v>2562</v>
      </c>
      <c r="C2532" s="227" t="s">
        <v>2242</v>
      </c>
      <c r="D2532" s="233" t="s">
        <v>20</v>
      </c>
      <c r="E2532" s="233" t="s">
        <v>25</v>
      </c>
      <c r="F2532" s="227" t="s">
        <v>2156</v>
      </c>
    </row>
    <row r="2533" spans="1:6" x14ac:dyDescent="0.25">
      <c r="A2533" s="227" t="str">
        <f>TL[[#This Row],[Société]]&amp;" - "&amp;TL[[#This Row],[Compte]]</f>
        <v>TURVILLA - 615658</v>
      </c>
      <c r="B2533" s="233" t="s">
        <v>2563</v>
      </c>
      <c r="C2533" s="227" t="s">
        <v>1482</v>
      </c>
      <c r="D2533" s="233" t="s">
        <v>20</v>
      </c>
      <c r="E2533" s="233" t="s">
        <v>25</v>
      </c>
      <c r="F2533" s="227" t="s">
        <v>2156</v>
      </c>
    </row>
    <row r="2534" spans="1:6" x14ac:dyDescent="0.25">
      <c r="A2534" s="227" t="str">
        <f>TL[[#This Row],[Société]]&amp;" - "&amp;TL[[#This Row],[Compte]]</f>
        <v>TURVILLA - 615659</v>
      </c>
      <c r="B2534" s="233" t="s">
        <v>2564</v>
      </c>
      <c r="C2534" s="227" t="s">
        <v>5877</v>
      </c>
      <c r="D2534" s="233" t="s">
        <v>20</v>
      </c>
      <c r="E2534" s="233" t="s">
        <v>25</v>
      </c>
      <c r="F2534" s="227" t="s">
        <v>2156</v>
      </c>
    </row>
    <row r="2535" spans="1:6" x14ac:dyDescent="0.25">
      <c r="A2535" s="227" t="str">
        <f>TL[[#This Row],[Société]]&amp;" - "&amp;TL[[#This Row],[Compte]]</f>
        <v>TURVILLA - 615660</v>
      </c>
      <c r="B2535" s="233" t="s">
        <v>2565</v>
      </c>
      <c r="C2535" s="227" t="s">
        <v>5878</v>
      </c>
      <c r="F2535" s="227" t="s">
        <v>2156</v>
      </c>
    </row>
    <row r="2536" spans="1:6" x14ac:dyDescent="0.25">
      <c r="A2536" s="227" t="str">
        <f>TL[[#This Row],[Société]]&amp;" - "&amp;TL[[#This Row],[Compte]]</f>
        <v>TURVILLA - 615661</v>
      </c>
      <c r="B2536" s="233" t="s">
        <v>2752</v>
      </c>
      <c r="C2536" s="227" t="s">
        <v>5879</v>
      </c>
      <c r="D2536" s="233" t="s">
        <v>20</v>
      </c>
      <c r="E2536" s="233" t="s">
        <v>25</v>
      </c>
      <c r="F2536" s="227" t="s">
        <v>2156</v>
      </c>
    </row>
    <row r="2537" spans="1:6" x14ac:dyDescent="0.25">
      <c r="A2537" s="227" t="str">
        <f>TL[[#This Row],[Société]]&amp;" - "&amp;TL[[#This Row],[Compte]]</f>
        <v>TURVILLA - 615662</v>
      </c>
      <c r="B2537" s="233" t="s">
        <v>2566</v>
      </c>
      <c r="C2537" s="227" t="s">
        <v>5880</v>
      </c>
      <c r="D2537" s="233" t="s">
        <v>20</v>
      </c>
      <c r="E2537" s="233" t="s">
        <v>25</v>
      </c>
      <c r="F2537" s="227" t="s">
        <v>2156</v>
      </c>
    </row>
    <row r="2538" spans="1:6" x14ac:dyDescent="0.25">
      <c r="A2538" s="227" t="str">
        <f>TL[[#This Row],[Société]]&amp;" - "&amp;TL[[#This Row],[Compte]]</f>
        <v>TURVILLA - 615663</v>
      </c>
      <c r="B2538" s="233" t="s">
        <v>2753</v>
      </c>
      <c r="C2538" s="227" t="s">
        <v>2452</v>
      </c>
      <c r="D2538" s="233" t="s">
        <v>20</v>
      </c>
      <c r="E2538" s="233" t="s">
        <v>25</v>
      </c>
      <c r="F2538" s="227" t="s">
        <v>2156</v>
      </c>
    </row>
    <row r="2539" spans="1:6" x14ac:dyDescent="0.25">
      <c r="A2539" s="227" t="str">
        <f>TL[[#This Row],[Société]]&amp;" - "&amp;TL[[#This Row],[Compte]]</f>
        <v>TURVILLA - 615664</v>
      </c>
      <c r="B2539" s="233" t="s">
        <v>2754</v>
      </c>
      <c r="C2539" s="227" t="s">
        <v>5881</v>
      </c>
      <c r="F2539" s="227" t="s">
        <v>2156</v>
      </c>
    </row>
    <row r="2540" spans="1:6" x14ac:dyDescent="0.25">
      <c r="A2540" s="227" t="str">
        <f>TL[[#This Row],[Société]]&amp;" - "&amp;TL[[#This Row],[Compte]]</f>
        <v>TURVILLA - 616000</v>
      </c>
      <c r="B2540" s="233" t="s">
        <v>3255</v>
      </c>
      <c r="C2540" s="227" t="s">
        <v>3256</v>
      </c>
      <c r="D2540" s="233" t="s">
        <v>40</v>
      </c>
      <c r="E2540" s="233" t="s">
        <v>45</v>
      </c>
      <c r="F2540" s="227" t="s">
        <v>2156</v>
      </c>
    </row>
    <row r="2541" spans="1:6" x14ac:dyDescent="0.25">
      <c r="A2541" s="227" t="str">
        <f>TL[[#This Row],[Société]]&amp;" - "&amp;TL[[#This Row],[Compte]]</f>
        <v>TURVILLA - 616001</v>
      </c>
      <c r="B2541" s="233" t="s">
        <v>1720</v>
      </c>
      <c r="C2541" s="227" t="s">
        <v>2198</v>
      </c>
      <c r="D2541" s="233" t="s">
        <v>40</v>
      </c>
      <c r="E2541" s="233" t="s">
        <v>45</v>
      </c>
      <c r="F2541" s="227" t="s">
        <v>2156</v>
      </c>
    </row>
    <row r="2542" spans="1:6" x14ac:dyDescent="0.25">
      <c r="A2542" s="227" t="str">
        <f>TL[[#This Row],[Société]]&amp;" - "&amp;TL[[#This Row],[Compte]]</f>
        <v>TURVILLA - 616002</v>
      </c>
      <c r="B2542" s="233" t="s">
        <v>1942</v>
      </c>
      <c r="C2542" s="227" t="s">
        <v>2244</v>
      </c>
      <c r="D2542" s="233" t="s">
        <v>40</v>
      </c>
      <c r="E2542" s="233" t="s">
        <v>45</v>
      </c>
      <c r="F2542" s="227" t="s">
        <v>2156</v>
      </c>
    </row>
    <row r="2543" spans="1:6" x14ac:dyDescent="0.25">
      <c r="A2543" s="227" t="str">
        <f>TL[[#This Row],[Société]]&amp;" - "&amp;TL[[#This Row],[Compte]]</f>
        <v>TURVILLA - 616003</v>
      </c>
      <c r="B2543" s="233" t="s">
        <v>1731</v>
      </c>
      <c r="C2543" s="227" t="s">
        <v>217</v>
      </c>
      <c r="D2543" s="233" t="s">
        <v>40</v>
      </c>
      <c r="E2543" s="233" t="s">
        <v>45</v>
      </c>
      <c r="F2543" s="227" t="s">
        <v>2156</v>
      </c>
    </row>
    <row r="2544" spans="1:6" x14ac:dyDescent="0.25">
      <c r="A2544" s="227" t="str">
        <f>TL[[#This Row],[Société]]&amp;" - "&amp;TL[[#This Row],[Compte]]</f>
        <v>TURVILLA - 616004</v>
      </c>
      <c r="B2544" s="233" t="s">
        <v>1719</v>
      </c>
      <c r="C2544" s="227" t="s">
        <v>2199</v>
      </c>
      <c r="D2544" s="233" t="s">
        <v>50</v>
      </c>
      <c r="E2544" s="233" t="s">
        <v>45</v>
      </c>
      <c r="F2544" s="227" t="s">
        <v>2156</v>
      </c>
    </row>
    <row r="2545" spans="1:6" x14ac:dyDescent="0.25">
      <c r="A2545" s="227" t="str">
        <f>TL[[#This Row],[Société]]&amp;" - "&amp;TL[[#This Row],[Compte]]</f>
        <v>TURVILLA - 616006</v>
      </c>
      <c r="B2545" s="233" t="s">
        <v>1770</v>
      </c>
      <c r="C2545" s="227" t="s">
        <v>1199</v>
      </c>
      <c r="D2545" s="233" t="s">
        <v>40</v>
      </c>
      <c r="E2545" s="233" t="s">
        <v>45</v>
      </c>
      <c r="F2545" s="227" t="s">
        <v>2156</v>
      </c>
    </row>
    <row r="2546" spans="1:6" x14ac:dyDescent="0.25">
      <c r="A2546" s="227" t="str">
        <f>TL[[#This Row],[Société]]&amp;" - "&amp;TL[[#This Row],[Compte]]</f>
        <v>TURVILLA - 616100</v>
      </c>
      <c r="B2546" s="233" t="s">
        <v>5005</v>
      </c>
      <c r="C2546" s="227" t="s">
        <v>2453</v>
      </c>
      <c r="D2546" s="233" t="s">
        <v>40</v>
      </c>
      <c r="E2546" s="233" t="s">
        <v>45</v>
      </c>
      <c r="F2546" s="227" t="s">
        <v>2156</v>
      </c>
    </row>
    <row r="2547" spans="1:6" x14ac:dyDescent="0.25">
      <c r="A2547" s="227" t="str">
        <f>TL[[#This Row],[Société]]&amp;" - "&amp;TL[[#This Row],[Compte]]</f>
        <v>TURVILLA - 616300</v>
      </c>
      <c r="B2547" s="233" t="s">
        <v>2763</v>
      </c>
      <c r="C2547" s="227" t="s">
        <v>5882</v>
      </c>
      <c r="D2547" s="233" t="s">
        <v>40</v>
      </c>
      <c r="E2547" s="233" t="s">
        <v>45</v>
      </c>
      <c r="F2547" s="227" t="s">
        <v>2156</v>
      </c>
    </row>
    <row r="2548" spans="1:6" x14ac:dyDescent="0.25">
      <c r="A2548" s="227" t="str">
        <f>TL[[#This Row],[Société]]&amp;" - "&amp;TL[[#This Row],[Compte]]</f>
        <v>TURVILLA - 616310</v>
      </c>
      <c r="B2548" s="233" t="s">
        <v>5883</v>
      </c>
      <c r="C2548" s="227" t="s">
        <v>5884</v>
      </c>
      <c r="F2548" s="227" t="s">
        <v>2156</v>
      </c>
    </row>
    <row r="2549" spans="1:6" x14ac:dyDescent="0.25">
      <c r="A2549" s="227" t="str">
        <f>TL[[#This Row],[Société]]&amp;" - "&amp;TL[[#This Row],[Compte]]</f>
        <v>TURVILLA - 616500</v>
      </c>
      <c r="B2549" s="233" t="s">
        <v>5019</v>
      </c>
      <c r="C2549" s="227" t="s">
        <v>5885</v>
      </c>
      <c r="F2549" s="227" t="s">
        <v>2156</v>
      </c>
    </row>
    <row r="2550" spans="1:6" x14ac:dyDescent="0.25">
      <c r="A2550" s="227" t="str">
        <f>TL[[#This Row],[Société]]&amp;" - "&amp;TL[[#This Row],[Compte]]</f>
        <v>TURVILLA - 618100</v>
      </c>
      <c r="B2550" s="233" t="s">
        <v>1943</v>
      </c>
      <c r="C2550" s="227" t="s">
        <v>5886</v>
      </c>
      <c r="D2550" s="233" t="s">
        <v>20</v>
      </c>
      <c r="E2550" s="233" t="s">
        <v>25</v>
      </c>
      <c r="F2550" s="227" t="s">
        <v>2156</v>
      </c>
    </row>
    <row r="2551" spans="1:6" x14ac:dyDescent="0.25">
      <c r="A2551" s="227" t="str">
        <f>TL[[#This Row],[Société]]&amp;" - "&amp;TL[[#This Row],[Compte]]</f>
        <v>TURVILLA - 618110</v>
      </c>
      <c r="B2551" s="233" t="s">
        <v>5887</v>
      </c>
      <c r="C2551" s="227" t="s">
        <v>5888</v>
      </c>
      <c r="D2551" s="233" t="s">
        <v>32</v>
      </c>
      <c r="E2551" s="233" t="s">
        <v>2982</v>
      </c>
      <c r="F2551" s="227" t="s">
        <v>2156</v>
      </c>
    </row>
    <row r="2552" spans="1:6" x14ac:dyDescent="0.25">
      <c r="A2552" s="227" t="str">
        <f>TL[[#This Row],[Société]]&amp;" - "&amp;TL[[#This Row],[Compte]]</f>
        <v>TURVILLA - 618503</v>
      </c>
      <c r="B2552" s="233" t="s">
        <v>5889</v>
      </c>
      <c r="C2552" s="227" t="s">
        <v>5890</v>
      </c>
      <c r="D2552" s="233" t="s">
        <v>20</v>
      </c>
      <c r="E2552" s="233" t="s">
        <v>25</v>
      </c>
      <c r="F2552" s="227" t="s">
        <v>2156</v>
      </c>
    </row>
    <row r="2553" spans="1:6" x14ac:dyDescent="0.25">
      <c r="A2553" s="227" t="str">
        <f>TL[[#This Row],[Société]]&amp;" - "&amp;TL[[#This Row],[Compte]]</f>
        <v>TURVILLA - 621010</v>
      </c>
      <c r="B2553" s="233" t="s">
        <v>2540</v>
      </c>
      <c r="C2553" s="227" t="s">
        <v>2245</v>
      </c>
      <c r="D2553" s="233" t="s">
        <v>50</v>
      </c>
      <c r="E2553" s="233" t="s">
        <v>16</v>
      </c>
      <c r="F2553" s="227" t="s">
        <v>2156</v>
      </c>
    </row>
    <row r="2554" spans="1:6" x14ac:dyDescent="0.25">
      <c r="A2554" s="227" t="str">
        <f>TL[[#This Row],[Société]]&amp;" - "&amp;TL[[#This Row],[Compte]]</f>
        <v>TURVILLA - 621012</v>
      </c>
      <c r="B2554" s="233" t="s">
        <v>3265</v>
      </c>
      <c r="C2554" s="227" t="s">
        <v>5891</v>
      </c>
      <c r="D2554" s="233" t="s">
        <v>50</v>
      </c>
      <c r="E2554" s="233" t="s">
        <v>16</v>
      </c>
      <c r="F2554" s="227" t="s">
        <v>2156</v>
      </c>
    </row>
    <row r="2555" spans="1:6" x14ac:dyDescent="0.25">
      <c r="A2555" s="227" t="str">
        <f>TL[[#This Row],[Société]]&amp;" - "&amp;TL[[#This Row],[Compte]]</f>
        <v>TURVILLA - 621013</v>
      </c>
      <c r="B2555" s="233" t="s">
        <v>3266</v>
      </c>
      <c r="C2555" s="227" t="s">
        <v>5892</v>
      </c>
      <c r="D2555" s="233" t="s">
        <v>50</v>
      </c>
      <c r="E2555" s="233" t="s">
        <v>16</v>
      </c>
      <c r="F2555" s="227" t="s">
        <v>2156</v>
      </c>
    </row>
    <row r="2556" spans="1:6" x14ac:dyDescent="0.25">
      <c r="A2556" s="227" t="str">
        <f>TL[[#This Row],[Société]]&amp;" - "&amp;TL[[#This Row],[Compte]]</f>
        <v>TURVILLA - 621402</v>
      </c>
      <c r="B2556" s="233" t="s">
        <v>1947</v>
      </c>
      <c r="C2556" s="227" t="s">
        <v>5893</v>
      </c>
      <c r="D2556" s="233" t="s">
        <v>50</v>
      </c>
      <c r="E2556" s="233" t="s">
        <v>16</v>
      </c>
      <c r="F2556" s="227" t="s">
        <v>2156</v>
      </c>
    </row>
    <row r="2557" spans="1:6" x14ac:dyDescent="0.25">
      <c r="A2557" s="227" t="str">
        <f>TL[[#This Row],[Société]]&amp;" - "&amp;TL[[#This Row],[Compte]]</f>
        <v>TURVILLA - 621403</v>
      </c>
      <c r="B2557" s="233" t="s">
        <v>5894</v>
      </c>
      <c r="C2557" s="227" t="s">
        <v>5895</v>
      </c>
      <c r="D2557" s="233" t="s">
        <v>12</v>
      </c>
      <c r="E2557" s="233" t="s">
        <v>16</v>
      </c>
      <c r="F2557" s="227" t="s">
        <v>2156</v>
      </c>
    </row>
    <row r="2558" spans="1:6" x14ac:dyDescent="0.25">
      <c r="A2558" s="227" t="str">
        <f>TL[[#This Row],[Société]]&amp;" - "&amp;TL[[#This Row],[Compte]]</f>
        <v>TURVILLA - 621404</v>
      </c>
      <c r="B2558" s="233" t="s">
        <v>1615</v>
      </c>
      <c r="C2558" s="227" t="s">
        <v>5896</v>
      </c>
      <c r="D2558" s="233" t="s">
        <v>50</v>
      </c>
      <c r="E2558" s="233" t="s">
        <v>16</v>
      </c>
      <c r="F2558" s="227" t="s">
        <v>2156</v>
      </c>
    </row>
    <row r="2559" spans="1:6" x14ac:dyDescent="0.25">
      <c r="A2559" s="227" t="str">
        <f>TL[[#This Row],[Société]]&amp;" - "&amp;TL[[#This Row],[Compte]]</f>
        <v>TURVILLA - 621405</v>
      </c>
      <c r="B2559" s="233" t="s">
        <v>1603</v>
      </c>
      <c r="C2559" s="227" t="s">
        <v>1323</v>
      </c>
      <c r="D2559" s="233" t="s">
        <v>50</v>
      </c>
      <c r="E2559" s="233" t="s">
        <v>16</v>
      </c>
      <c r="F2559" s="227" t="s">
        <v>2156</v>
      </c>
    </row>
    <row r="2560" spans="1:6" x14ac:dyDescent="0.25">
      <c r="A2560" s="227" t="str">
        <f>TL[[#This Row],[Société]]&amp;" - "&amp;TL[[#This Row],[Compte]]</f>
        <v>TURVILLA - 622600</v>
      </c>
      <c r="B2560" s="233" t="s">
        <v>1622</v>
      </c>
      <c r="C2560" s="227" t="s">
        <v>2454</v>
      </c>
      <c r="D2560" s="233" t="s">
        <v>39</v>
      </c>
      <c r="E2560" s="233" t="s">
        <v>44</v>
      </c>
      <c r="F2560" s="227" t="s">
        <v>2156</v>
      </c>
    </row>
    <row r="2561" spans="1:6" x14ac:dyDescent="0.25">
      <c r="A2561" s="227" t="str">
        <f>TL[[#This Row],[Société]]&amp;" - "&amp;TL[[#This Row],[Compte]]</f>
        <v>TURVILLA - 622620</v>
      </c>
      <c r="B2561" s="233" t="s">
        <v>1766</v>
      </c>
      <c r="C2561" s="227" t="s">
        <v>1205</v>
      </c>
      <c r="D2561" s="233" t="s">
        <v>39</v>
      </c>
      <c r="E2561" s="233" t="s">
        <v>44</v>
      </c>
      <c r="F2561" s="227" t="s">
        <v>2156</v>
      </c>
    </row>
    <row r="2562" spans="1:6" x14ac:dyDescent="0.25">
      <c r="A2562" s="227" t="str">
        <f>TL[[#This Row],[Société]]&amp;" - "&amp;TL[[#This Row],[Compte]]</f>
        <v>TURVILLA - 622660</v>
      </c>
      <c r="B2562" s="233" t="s">
        <v>2589</v>
      </c>
      <c r="C2562" s="227" t="s">
        <v>162</v>
      </c>
      <c r="D2562" s="233" t="s">
        <v>39</v>
      </c>
      <c r="E2562" s="233" t="s">
        <v>44</v>
      </c>
      <c r="F2562" s="227" t="s">
        <v>2156</v>
      </c>
    </row>
    <row r="2563" spans="1:6" x14ac:dyDescent="0.25">
      <c r="A2563" s="227" t="str">
        <f>TL[[#This Row],[Société]]&amp;" - "&amp;TL[[#This Row],[Compte]]</f>
        <v>TURVILLA - 622661</v>
      </c>
      <c r="B2563" s="233" t="s">
        <v>2590</v>
      </c>
      <c r="C2563" s="227" t="s">
        <v>227</v>
      </c>
      <c r="D2563" s="233" t="s">
        <v>39</v>
      </c>
      <c r="E2563" s="233" t="s">
        <v>44</v>
      </c>
      <c r="F2563" s="227" t="s">
        <v>2156</v>
      </c>
    </row>
    <row r="2564" spans="1:6" x14ac:dyDescent="0.25">
      <c r="A2564" s="227" t="str">
        <f>TL[[#This Row],[Société]]&amp;" - "&amp;TL[[#This Row],[Compte]]</f>
        <v>TURVILLA - 622700</v>
      </c>
      <c r="B2564" s="233" t="s">
        <v>1952</v>
      </c>
      <c r="C2564" s="227" t="s">
        <v>5897</v>
      </c>
      <c r="D2564" s="233" t="s">
        <v>39</v>
      </c>
      <c r="E2564" s="233" t="s">
        <v>44</v>
      </c>
      <c r="F2564" s="227" t="s">
        <v>2156</v>
      </c>
    </row>
    <row r="2565" spans="1:6" x14ac:dyDescent="0.25">
      <c r="A2565" s="227" t="str">
        <f>TL[[#This Row],[Société]]&amp;" - "&amp;TL[[#This Row],[Compte]]</f>
        <v>TURVILLA - 622800</v>
      </c>
      <c r="B2565" s="233" t="s">
        <v>1738</v>
      </c>
      <c r="C2565" s="227" t="s">
        <v>2455</v>
      </c>
      <c r="D2565" s="233" t="s">
        <v>39</v>
      </c>
      <c r="E2565" s="233" t="s">
        <v>29</v>
      </c>
      <c r="F2565" s="227" t="s">
        <v>2156</v>
      </c>
    </row>
    <row r="2566" spans="1:6" x14ac:dyDescent="0.25">
      <c r="A2566" s="227" t="str">
        <f>TL[[#This Row],[Société]]&amp;" - "&amp;TL[[#This Row],[Compte]]</f>
        <v>TURVILLA - 622810</v>
      </c>
      <c r="B2566" s="233" t="s">
        <v>2760</v>
      </c>
      <c r="C2566" s="227" t="s">
        <v>5898</v>
      </c>
      <c r="D2566" s="233" t="s">
        <v>39</v>
      </c>
      <c r="E2566" s="233" t="s">
        <v>29</v>
      </c>
      <c r="F2566" s="227" t="s">
        <v>2156</v>
      </c>
    </row>
    <row r="2567" spans="1:6" x14ac:dyDescent="0.25">
      <c r="A2567" s="227" t="str">
        <f>TL[[#This Row],[Société]]&amp;" - "&amp;TL[[#This Row],[Compte]]</f>
        <v>TURVILLA - 622820</v>
      </c>
      <c r="B2567" s="233" t="s">
        <v>5899</v>
      </c>
      <c r="C2567" s="227" t="s">
        <v>2429</v>
      </c>
      <c r="D2567" s="233" t="s">
        <v>39</v>
      </c>
      <c r="E2567" s="233" t="s">
        <v>29</v>
      </c>
      <c r="F2567" s="227" t="s">
        <v>2156</v>
      </c>
    </row>
    <row r="2568" spans="1:6" x14ac:dyDescent="0.25">
      <c r="A2568" s="227" t="str">
        <f>TL[[#This Row],[Société]]&amp;" - "&amp;TL[[#This Row],[Compte]]</f>
        <v>TURVILLA - 622850</v>
      </c>
      <c r="B2568" s="233" t="s">
        <v>5900</v>
      </c>
      <c r="C2568" s="227" t="s">
        <v>5901</v>
      </c>
      <c r="F2568" s="227" t="s">
        <v>2156</v>
      </c>
    </row>
    <row r="2569" spans="1:6" x14ac:dyDescent="0.25">
      <c r="A2569" s="227" t="str">
        <f>TL[[#This Row],[Société]]&amp;" - "&amp;TL[[#This Row],[Compte]]</f>
        <v>TURVILLA - 622900</v>
      </c>
      <c r="B2569" s="233" t="s">
        <v>1953</v>
      </c>
      <c r="C2569" s="227" t="s">
        <v>5902</v>
      </c>
      <c r="D2569" s="233" t="s">
        <v>50</v>
      </c>
      <c r="E2569" s="233" t="s">
        <v>52</v>
      </c>
      <c r="F2569" s="227" t="s">
        <v>2156</v>
      </c>
    </row>
    <row r="2570" spans="1:6" x14ac:dyDescent="0.25">
      <c r="A2570" s="227" t="str">
        <f>TL[[#This Row],[Société]]&amp;" - "&amp;TL[[#This Row],[Compte]]</f>
        <v>TURVILLA - 623000</v>
      </c>
      <c r="B2570" s="233" t="s">
        <v>1594</v>
      </c>
      <c r="C2570" s="227" t="s">
        <v>2352</v>
      </c>
      <c r="D2570" s="233" t="s">
        <v>17</v>
      </c>
      <c r="E2570" s="233" t="s">
        <v>30</v>
      </c>
      <c r="F2570" s="227" t="s">
        <v>2156</v>
      </c>
    </row>
    <row r="2571" spans="1:6" x14ac:dyDescent="0.25">
      <c r="A2571" s="227" t="str">
        <f>TL[[#This Row],[Société]]&amp;" - "&amp;TL[[#This Row],[Compte]]</f>
        <v>TURVILLA - 623001</v>
      </c>
      <c r="B2571" s="233" t="s">
        <v>5903</v>
      </c>
      <c r="C2571" s="227" t="s">
        <v>5904</v>
      </c>
      <c r="D2571" s="233" t="s">
        <v>18</v>
      </c>
      <c r="E2571" s="233" t="s">
        <v>32</v>
      </c>
      <c r="F2571" s="227" t="s">
        <v>2156</v>
      </c>
    </row>
    <row r="2572" spans="1:6" x14ac:dyDescent="0.25">
      <c r="A2572" s="227" t="str">
        <f>TL[[#This Row],[Société]]&amp;" - "&amp;TL[[#This Row],[Compte]]</f>
        <v>TURVILLA - 623002</v>
      </c>
      <c r="B2572" s="233" t="s">
        <v>1596</v>
      </c>
      <c r="C2572" s="227" t="s">
        <v>215</v>
      </c>
      <c r="D2572" s="233" t="s">
        <v>18</v>
      </c>
      <c r="E2572" s="233" t="s">
        <v>32</v>
      </c>
      <c r="F2572" s="227" t="s">
        <v>2156</v>
      </c>
    </row>
    <row r="2573" spans="1:6" x14ac:dyDescent="0.25">
      <c r="A2573" s="227" t="str">
        <f>TL[[#This Row],[Société]]&amp;" - "&amp;TL[[#This Row],[Compte]]</f>
        <v>TURVILLA - 623004</v>
      </c>
      <c r="B2573" s="233" t="s">
        <v>5905</v>
      </c>
      <c r="C2573" s="227" t="s">
        <v>5906</v>
      </c>
      <c r="F2573" s="227" t="s">
        <v>2156</v>
      </c>
    </row>
    <row r="2574" spans="1:6" x14ac:dyDescent="0.25">
      <c r="A2574" s="227" t="str">
        <f>TL[[#This Row],[Société]]&amp;" - "&amp;TL[[#This Row],[Compte]]</f>
        <v>TURVILLA - 623050</v>
      </c>
      <c r="B2574" s="233" t="s">
        <v>2570</v>
      </c>
      <c r="C2574" s="227" t="s">
        <v>2248</v>
      </c>
      <c r="D2574" s="233" t="s">
        <v>18</v>
      </c>
      <c r="E2574" s="233" t="s">
        <v>32</v>
      </c>
      <c r="F2574" s="227" t="s">
        <v>2156</v>
      </c>
    </row>
    <row r="2575" spans="1:6" x14ac:dyDescent="0.25">
      <c r="A2575" s="227" t="str">
        <f>TL[[#This Row],[Société]]&amp;" - "&amp;TL[[#This Row],[Compte]]</f>
        <v>TURVILLA - 623110</v>
      </c>
      <c r="B2575" s="233" t="s">
        <v>5907</v>
      </c>
      <c r="C2575" s="227" t="s">
        <v>5908</v>
      </c>
      <c r="D2575" s="233" t="s">
        <v>29</v>
      </c>
      <c r="E2575" s="233" t="s">
        <v>2978</v>
      </c>
      <c r="F2575" s="227" t="s">
        <v>2156</v>
      </c>
    </row>
    <row r="2576" spans="1:6" x14ac:dyDescent="0.25">
      <c r="A2576" s="227" t="str">
        <f>TL[[#This Row],[Société]]&amp;" - "&amp;TL[[#This Row],[Compte]]</f>
        <v>TURVILLA - 623200</v>
      </c>
      <c r="B2576" s="233" t="s">
        <v>1955</v>
      </c>
      <c r="C2576" s="227" t="s">
        <v>699</v>
      </c>
      <c r="F2576" s="227" t="s">
        <v>2156</v>
      </c>
    </row>
    <row r="2577" spans="1:6" x14ac:dyDescent="0.25">
      <c r="A2577" s="227" t="str">
        <f>TL[[#This Row],[Société]]&amp;" - "&amp;TL[[#This Row],[Compte]]</f>
        <v>TURVILLA - 623300</v>
      </c>
      <c r="B2577" s="233" t="s">
        <v>5060</v>
      </c>
      <c r="C2577" s="227" t="s">
        <v>1405</v>
      </c>
      <c r="F2577" s="227" t="s">
        <v>2156</v>
      </c>
    </row>
    <row r="2578" spans="1:6" x14ac:dyDescent="0.25">
      <c r="A2578" s="227" t="str">
        <f>TL[[#This Row],[Société]]&amp;" - "&amp;TL[[#This Row],[Compte]]</f>
        <v>TURVILLA - 623400</v>
      </c>
      <c r="B2578" s="233" t="s">
        <v>1601</v>
      </c>
      <c r="C2578" s="227" t="s">
        <v>2360</v>
      </c>
      <c r="D2578" s="233" t="s">
        <v>18</v>
      </c>
      <c r="E2578" s="233" t="s">
        <v>32</v>
      </c>
      <c r="F2578" s="227" t="s">
        <v>2156</v>
      </c>
    </row>
    <row r="2579" spans="1:6" x14ac:dyDescent="0.25">
      <c r="A2579" s="227" t="str">
        <f>TL[[#This Row],[Société]]&amp;" - "&amp;TL[[#This Row],[Compte]]</f>
        <v>TURVILLA - 623401</v>
      </c>
      <c r="B2579" s="233" t="s">
        <v>1788</v>
      </c>
      <c r="C2579" s="227" t="s">
        <v>226</v>
      </c>
      <c r="D2579" s="233" t="s">
        <v>18</v>
      </c>
      <c r="E2579" s="233" t="s">
        <v>32</v>
      </c>
      <c r="F2579" s="227" t="s">
        <v>2156</v>
      </c>
    </row>
    <row r="2580" spans="1:6" x14ac:dyDescent="0.25">
      <c r="A2580" s="227" t="str">
        <f>TL[[#This Row],[Société]]&amp;" - "&amp;TL[[#This Row],[Compte]]</f>
        <v>TURVILLA - 623415</v>
      </c>
      <c r="B2580" s="233" t="s">
        <v>1633</v>
      </c>
      <c r="C2580" s="227" t="s">
        <v>2249</v>
      </c>
      <c r="D2580" s="233" t="s">
        <v>18</v>
      </c>
      <c r="E2580" s="233" t="s">
        <v>32</v>
      </c>
      <c r="F2580" s="227" t="s">
        <v>2156</v>
      </c>
    </row>
    <row r="2581" spans="1:6" x14ac:dyDescent="0.25">
      <c r="A2581" s="227" t="str">
        <f>TL[[#This Row],[Société]]&amp;" - "&amp;TL[[#This Row],[Compte]]</f>
        <v>TURVILLA - 623800</v>
      </c>
      <c r="B2581" s="233" t="s">
        <v>1956</v>
      </c>
      <c r="C2581" s="227" t="s">
        <v>5909</v>
      </c>
      <c r="D2581" s="233" t="s">
        <v>18</v>
      </c>
      <c r="E2581" s="233" t="s">
        <v>32</v>
      </c>
      <c r="F2581" s="227" t="s">
        <v>2156</v>
      </c>
    </row>
    <row r="2582" spans="1:6" x14ac:dyDescent="0.25">
      <c r="A2582" s="227" t="str">
        <f>TL[[#This Row],[Société]]&amp;" - "&amp;TL[[#This Row],[Compte]]</f>
        <v>TURVILLA - 624100</v>
      </c>
      <c r="B2582" s="233" t="s">
        <v>1957</v>
      </c>
      <c r="C2582" s="227" t="s">
        <v>5910</v>
      </c>
      <c r="D2582" s="233" t="s">
        <v>50</v>
      </c>
      <c r="E2582" s="233" t="s">
        <v>52</v>
      </c>
      <c r="F2582" s="227" t="s">
        <v>2156</v>
      </c>
    </row>
    <row r="2583" spans="1:6" x14ac:dyDescent="0.25">
      <c r="A2583" s="227" t="str">
        <f>TL[[#This Row],[Société]]&amp;" - "&amp;TL[[#This Row],[Compte]]</f>
        <v>TURVILLA - 625101</v>
      </c>
      <c r="B2583" s="233" t="s">
        <v>5077</v>
      </c>
      <c r="C2583" s="227" t="s">
        <v>5911</v>
      </c>
      <c r="F2583" s="227" t="s">
        <v>2156</v>
      </c>
    </row>
    <row r="2584" spans="1:6" x14ac:dyDescent="0.25">
      <c r="A2584" s="227" t="str">
        <f>TL[[#This Row],[Société]]&amp;" - "&amp;TL[[#This Row],[Compte]]</f>
        <v>TURVILLA - 625102</v>
      </c>
      <c r="B2584" s="233" t="s">
        <v>1959</v>
      </c>
      <c r="C2584" s="227" t="s">
        <v>2456</v>
      </c>
      <c r="D2584" s="233" t="s">
        <v>147</v>
      </c>
      <c r="E2584" s="233" t="s">
        <v>2982</v>
      </c>
      <c r="F2584" s="227" t="s">
        <v>2156</v>
      </c>
    </row>
    <row r="2585" spans="1:6" x14ac:dyDescent="0.25">
      <c r="A2585" s="227" t="str">
        <f>TL[[#This Row],[Société]]&amp;" - "&amp;TL[[#This Row],[Compte]]</f>
        <v>TURVILLA - 625103</v>
      </c>
      <c r="B2585" s="233" t="s">
        <v>1960</v>
      </c>
      <c r="C2585" s="227" t="s">
        <v>5912</v>
      </c>
      <c r="D2585" s="233" t="s">
        <v>147</v>
      </c>
      <c r="E2585" s="233" t="s">
        <v>2979</v>
      </c>
      <c r="F2585" s="227" t="s">
        <v>2156</v>
      </c>
    </row>
    <row r="2586" spans="1:6" x14ac:dyDescent="0.25">
      <c r="A2586" s="227" t="str">
        <f>TL[[#This Row],[Société]]&amp;" - "&amp;TL[[#This Row],[Compte]]</f>
        <v>TURVILLA - 625200</v>
      </c>
      <c r="B2586" s="233" t="s">
        <v>2579</v>
      </c>
      <c r="C2586" s="227" t="s">
        <v>5082</v>
      </c>
      <c r="F2586" s="227" t="s">
        <v>2156</v>
      </c>
    </row>
    <row r="2587" spans="1:6" x14ac:dyDescent="0.25">
      <c r="A2587" s="227" t="str">
        <f>TL[[#This Row],[Société]]&amp;" - "&amp;TL[[#This Row],[Compte]]</f>
        <v>TURVILLA - 625210</v>
      </c>
      <c r="B2587" s="233" t="s">
        <v>5913</v>
      </c>
      <c r="C2587" s="227" t="s">
        <v>5914</v>
      </c>
      <c r="D2587" s="233" t="s">
        <v>50</v>
      </c>
      <c r="E2587" s="233" t="s">
        <v>2979</v>
      </c>
      <c r="F2587" s="227" t="s">
        <v>2156</v>
      </c>
    </row>
    <row r="2588" spans="1:6" x14ac:dyDescent="0.25">
      <c r="A2588" s="227" t="str">
        <f>TL[[#This Row],[Société]]&amp;" - "&amp;TL[[#This Row],[Compte]]</f>
        <v>TURVILLA - 625220</v>
      </c>
      <c r="B2588" s="233" t="s">
        <v>5915</v>
      </c>
      <c r="C2588" s="227" t="s">
        <v>2457</v>
      </c>
      <c r="D2588" s="233" t="s">
        <v>50</v>
      </c>
      <c r="E2588" s="233" t="s">
        <v>52</v>
      </c>
      <c r="F2588" s="227" t="s">
        <v>2156</v>
      </c>
    </row>
    <row r="2589" spans="1:6" x14ac:dyDescent="0.25">
      <c r="A2589" s="227" t="str">
        <f>TL[[#This Row],[Société]]&amp;" - "&amp;TL[[#This Row],[Compte]]</f>
        <v>TURVILLA - 625701</v>
      </c>
      <c r="B2589" s="233" t="s">
        <v>1963</v>
      </c>
      <c r="C2589" s="227" t="s">
        <v>5916</v>
      </c>
      <c r="D2589" s="233" t="s">
        <v>16</v>
      </c>
      <c r="E2589" s="233" t="s">
        <v>2979</v>
      </c>
      <c r="F2589" s="227" t="s">
        <v>2156</v>
      </c>
    </row>
    <row r="2590" spans="1:6" x14ac:dyDescent="0.25">
      <c r="A2590" s="227" t="str">
        <f>TL[[#This Row],[Société]]&amp;" - "&amp;TL[[#This Row],[Compte]]</f>
        <v>TURVILLA - 625800</v>
      </c>
      <c r="B2590" s="233" t="s">
        <v>2772</v>
      </c>
      <c r="C2590" s="227" t="s">
        <v>5917</v>
      </c>
      <c r="F2590" s="227" t="s">
        <v>2156</v>
      </c>
    </row>
    <row r="2591" spans="1:6" x14ac:dyDescent="0.25">
      <c r="A2591" s="227" t="str">
        <f>TL[[#This Row],[Société]]&amp;" - "&amp;TL[[#This Row],[Compte]]</f>
        <v>TURVILLA - 626000</v>
      </c>
      <c r="B2591" s="233" t="s">
        <v>3277</v>
      </c>
      <c r="C2591" s="227" t="s">
        <v>5918</v>
      </c>
      <c r="D2591" s="233" t="s">
        <v>27</v>
      </c>
      <c r="E2591" s="233" t="s">
        <v>34</v>
      </c>
      <c r="F2591" s="227" t="s">
        <v>2156</v>
      </c>
    </row>
    <row r="2592" spans="1:6" x14ac:dyDescent="0.25">
      <c r="A2592" s="227" t="str">
        <f>TL[[#This Row],[Société]]&amp;" - "&amp;TL[[#This Row],[Compte]]</f>
        <v>TURVILLA - 626001</v>
      </c>
      <c r="B2592" s="233" t="s">
        <v>1733</v>
      </c>
      <c r="C2592" s="227" t="s">
        <v>5919</v>
      </c>
      <c r="D2592" s="233" t="s">
        <v>29</v>
      </c>
      <c r="E2592" s="233" t="s">
        <v>2978</v>
      </c>
      <c r="F2592" s="227" t="s">
        <v>2156</v>
      </c>
    </row>
    <row r="2593" spans="1:6" x14ac:dyDescent="0.25">
      <c r="A2593" s="227" t="str">
        <f>TL[[#This Row],[Société]]&amp;" - "&amp;TL[[#This Row],[Compte]]</f>
        <v>TURVILLA - 626003</v>
      </c>
      <c r="B2593" s="233" t="s">
        <v>1965</v>
      </c>
      <c r="C2593" s="227" t="s">
        <v>2458</v>
      </c>
      <c r="D2593" s="233" t="s">
        <v>27</v>
      </c>
      <c r="E2593" s="233" t="s">
        <v>34</v>
      </c>
      <c r="F2593" s="227" t="s">
        <v>2156</v>
      </c>
    </row>
    <row r="2594" spans="1:6" x14ac:dyDescent="0.25">
      <c r="A2594" s="227" t="str">
        <f>TL[[#This Row],[Société]]&amp;" - "&amp;TL[[#This Row],[Compte]]</f>
        <v>TURVILLA - 626006</v>
      </c>
      <c r="B2594" s="233" t="s">
        <v>5920</v>
      </c>
      <c r="C2594" s="227" t="s">
        <v>5921</v>
      </c>
      <c r="F2594" s="227" t="s">
        <v>2156</v>
      </c>
    </row>
    <row r="2595" spans="1:6" x14ac:dyDescent="0.25">
      <c r="A2595" s="227" t="str">
        <f>TL[[#This Row],[Société]]&amp;" - "&amp;TL[[#This Row],[Compte]]</f>
        <v>TURVILLA - 626007</v>
      </c>
      <c r="B2595" s="233" t="s">
        <v>5922</v>
      </c>
      <c r="C2595" s="227" t="s">
        <v>5923</v>
      </c>
      <c r="F2595" s="227" t="s">
        <v>2156</v>
      </c>
    </row>
    <row r="2596" spans="1:6" x14ac:dyDescent="0.25">
      <c r="A2596" s="227" t="str">
        <f>TL[[#This Row],[Société]]&amp;" - "&amp;TL[[#This Row],[Compte]]</f>
        <v>TURVILLA - 626200</v>
      </c>
      <c r="B2596" s="233" t="s">
        <v>1590</v>
      </c>
      <c r="C2596" s="227" t="s">
        <v>167</v>
      </c>
      <c r="D2596" s="233" t="s">
        <v>27</v>
      </c>
      <c r="E2596" s="233" t="s">
        <v>34</v>
      </c>
      <c r="F2596" s="227" t="s">
        <v>2156</v>
      </c>
    </row>
    <row r="2597" spans="1:6" x14ac:dyDescent="0.25">
      <c r="A2597" s="227" t="str">
        <f>TL[[#This Row],[Société]]&amp;" - "&amp;TL[[#This Row],[Compte]]</f>
        <v>TURVILLA - 627000</v>
      </c>
      <c r="B2597" s="233" t="s">
        <v>3279</v>
      </c>
      <c r="C2597" s="227" t="s">
        <v>5924</v>
      </c>
      <c r="D2597" s="233" t="s">
        <v>47</v>
      </c>
      <c r="E2597" s="233" t="s">
        <v>21</v>
      </c>
      <c r="F2597" s="227" t="s">
        <v>2156</v>
      </c>
    </row>
    <row r="2598" spans="1:6" x14ac:dyDescent="0.25">
      <c r="A2598" s="227" t="str">
        <f>TL[[#This Row],[Société]]&amp;" - "&amp;TL[[#This Row],[Compte]]</f>
        <v>TURVILLA - 627100</v>
      </c>
      <c r="B2598" s="233" t="s">
        <v>5092</v>
      </c>
      <c r="C2598" s="227" t="s">
        <v>258</v>
      </c>
      <c r="D2598" s="233" t="s">
        <v>47</v>
      </c>
      <c r="E2598" s="233" t="s">
        <v>21</v>
      </c>
      <c r="F2598" s="227" t="s">
        <v>2156</v>
      </c>
    </row>
    <row r="2599" spans="1:6" x14ac:dyDescent="0.25">
      <c r="A2599" s="227" t="str">
        <f>TL[[#This Row],[Société]]&amp;" - "&amp;TL[[#This Row],[Compte]]</f>
        <v>TURVILLA - 627200</v>
      </c>
      <c r="B2599" s="233" t="s">
        <v>2117</v>
      </c>
      <c r="C2599" s="227" t="s">
        <v>5925</v>
      </c>
      <c r="D2599" s="233" t="s">
        <v>47</v>
      </c>
      <c r="E2599" s="233" t="s">
        <v>21</v>
      </c>
      <c r="F2599" s="227" t="s">
        <v>2156</v>
      </c>
    </row>
    <row r="2600" spans="1:6" x14ac:dyDescent="0.25">
      <c r="A2600" s="227" t="str">
        <f>TL[[#This Row],[Société]]&amp;" - "&amp;TL[[#This Row],[Compte]]</f>
        <v>TURVILLA - 627201</v>
      </c>
      <c r="B2600" s="233" t="s">
        <v>5926</v>
      </c>
      <c r="C2600" s="227" t="s">
        <v>2459</v>
      </c>
      <c r="D2600" s="233" t="s">
        <v>47</v>
      </c>
      <c r="E2600" s="233" t="s">
        <v>21</v>
      </c>
      <c r="F2600" s="227" t="s">
        <v>2156</v>
      </c>
    </row>
    <row r="2601" spans="1:6" x14ac:dyDescent="0.25">
      <c r="A2601" s="227" t="str">
        <f>TL[[#This Row],[Société]]&amp;" - "&amp;TL[[#This Row],[Compte]]</f>
        <v>TURVILLA - 627300</v>
      </c>
      <c r="B2601" s="233" t="s">
        <v>5927</v>
      </c>
      <c r="C2601" s="227" t="s">
        <v>5928</v>
      </c>
      <c r="D2601" s="233" t="s">
        <v>47</v>
      </c>
      <c r="E2601" s="233" t="s">
        <v>21</v>
      </c>
      <c r="F2601" s="227" t="s">
        <v>2156</v>
      </c>
    </row>
    <row r="2602" spans="1:6" x14ac:dyDescent="0.25">
      <c r="A2602" s="227" t="str">
        <f>TL[[#This Row],[Société]]&amp;" - "&amp;TL[[#This Row],[Compte]]</f>
        <v>TURVILLA - 627500</v>
      </c>
      <c r="B2602" s="233" t="s">
        <v>5094</v>
      </c>
      <c r="C2602" s="227" t="s">
        <v>5929</v>
      </c>
      <c r="D2602" s="233" t="s">
        <v>47</v>
      </c>
      <c r="E2602" s="233" t="s">
        <v>21</v>
      </c>
      <c r="F2602" s="227" t="s">
        <v>2156</v>
      </c>
    </row>
    <row r="2603" spans="1:6" x14ac:dyDescent="0.25">
      <c r="A2603" s="227" t="str">
        <f>TL[[#This Row],[Société]]&amp;" - "&amp;TL[[#This Row],[Compte]]</f>
        <v>TURVILLA - 627801</v>
      </c>
      <c r="B2603" s="233" t="s">
        <v>1711</v>
      </c>
      <c r="C2603" s="227" t="s">
        <v>2460</v>
      </c>
      <c r="D2603" s="233" t="s">
        <v>47</v>
      </c>
      <c r="E2603" s="233" t="s">
        <v>21</v>
      </c>
      <c r="F2603" s="227" t="s">
        <v>2156</v>
      </c>
    </row>
    <row r="2604" spans="1:6" x14ac:dyDescent="0.25">
      <c r="A2604" s="227" t="str">
        <f>TL[[#This Row],[Société]]&amp;" - "&amp;TL[[#This Row],[Compte]]</f>
        <v>TURVILLA - 627802</v>
      </c>
      <c r="B2604" s="233" t="s">
        <v>1600</v>
      </c>
      <c r="C2604" s="227" t="s">
        <v>238</v>
      </c>
      <c r="D2604" s="233" t="s">
        <v>47</v>
      </c>
      <c r="E2604" s="233" t="s">
        <v>21</v>
      </c>
      <c r="F2604" s="227" t="s">
        <v>2156</v>
      </c>
    </row>
    <row r="2605" spans="1:6" x14ac:dyDescent="0.25">
      <c r="A2605" s="227" t="str">
        <f>TL[[#This Row],[Société]]&amp;" - "&amp;TL[[#This Row],[Compte]]</f>
        <v>TURVILLA - 627803</v>
      </c>
      <c r="B2605" s="233" t="s">
        <v>1716</v>
      </c>
      <c r="C2605" s="227" t="s">
        <v>263</v>
      </c>
      <c r="D2605" s="233" t="s">
        <v>47</v>
      </c>
      <c r="E2605" s="233" t="s">
        <v>21</v>
      </c>
      <c r="F2605" s="227" t="s">
        <v>2156</v>
      </c>
    </row>
    <row r="2606" spans="1:6" x14ac:dyDescent="0.25">
      <c r="A2606" s="227" t="str">
        <f>TL[[#This Row],[Société]]&amp;" - "&amp;TL[[#This Row],[Compte]]</f>
        <v>TURVILLA - 627804</v>
      </c>
      <c r="B2606" s="233" t="s">
        <v>5930</v>
      </c>
      <c r="C2606" s="227" t="s">
        <v>5931</v>
      </c>
      <c r="D2606" s="233" t="s">
        <v>47</v>
      </c>
      <c r="E2606" s="233" t="s">
        <v>21</v>
      </c>
      <c r="F2606" s="227" t="s">
        <v>2156</v>
      </c>
    </row>
    <row r="2607" spans="1:6" x14ac:dyDescent="0.25">
      <c r="A2607" s="227" t="str">
        <f>TL[[#This Row],[Société]]&amp;" - "&amp;TL[[#This Row],[Compte]]</f>
        <v>TURVILLA - 627805</v>
      </c>
      <c r="B2607" s="233" t="s">
        <v>1714</v>
      </c>
      <c r="C2607" s="227" t="s">
        <v>244</v>
      </c>
      <c r="D2607" s="233" t="s">
        <v>47</v>
      </c>
      <c r="E2607" s="233" t="s">
        <v>21</v>
      </c>
      <c r="F2607" s="227" t="s">
        <v>2156</v>
      </c>
    </row>
    <row r="2608" spans="1:6" x14ac:dyDescent="0.25">
      <c r="A2608" s="227" t="str">
        <f>TL[[#This Row],[Société]]&amp;" - "&amp;TL[[#This Row],[Compte]]</f>
        <v>TURVILLA - 627806</v>
      </c>
      <c r="B2608" s="233" t="s">
        <v>5932</v>
      </c>
      <c r="C2608" s="227" t="s">
        <v>1072</v>
      </c>
      <c r="D2608" s="233" t="s">
        <v>47</v>
      </c>
      <c r="E2608" s="233" t="s">
        <v>21</v>
      </c>
      <c r="F2608" s="227" t="s">
        <v>2156</v>
      </c>
    </row>
    <row r="2609" spans="1:6" x14ac:dyDescent="0.25">
      <c r="A2609" s="227" t="str">
        <f>TL[[#This Row],[Société]]&amp;" - "&amp;TL[[#This Row],[Compte]]</f>
        <v>TURVILLA - 628023</v>
      </c>
      <c r="B2609" s="233" t="s">
        <v>1974</v>
      </c>
      <c r="C2609" s="227" t="s">
        <v>2252</v>
      </c>
      <c r="D2609" s="233" t="s">
        <v>32</v>
      </c>
      <c r="E2609" s="233" t="s">
        <v>2982</v>
      </c>
      <c r="F2609" s="227" t="s">
        <v>2156</v>
      </c>
    </row>
    <row r="2610" spans="1:6" x14ac:dyDescent="0.25">
      <c r="A2610" s="227" t="str">
        <f>TL[[#This Row],[Société]]&amp;" - "&amp;TL[[#This Row],[Compte]]</f>
        <v>TURVILLA - 628024</v>
      </c>
      <c r="B2610" s="233" t="s">
        <v>2610</v>
      </c>
      <c r="C2610" s="227" t="s">
        <v>2253</v>
      </c>
      <c r="D2610" s="233" t="s">
        <v>150</v>
      </c>
      <c r="E2610" s="233" t="s">
        <v>52</v>
      </c>
      <c r="F2610" s="227" t="s">
        <v>2156</v>
      </c>
    </row>
    <row r="2611" spans="1:6" x14ac:dyDescent="0.25">
      <c r="A2611" s="227" t="str">
        <f>TL[[#This Row],[Société]]&amp;" - "&amp;TL[[#This Row],[Compte]]</f>
        <v>TURVILLA - 628200</v>
      </c>
      <c r="B2611" s="233" t="s">
        <v>1591</v>
      </c>
      <c r="C2611" s="227" t="s">
        <v>1394</v>
      </c>
      <c r="D2611" s="233" t="s">
        <v>35</v>
      </c>
      <c r="E2611" s="233" t="s">
        <v>2985</v>
      </c>
      <c r="F2611" s="227" t="s">
        <v>2156</v>
      </c>
    </row>
    <row r="2612" spans="1:6" x14ac:dyDescent="0.25">
      <c r="A2612" s="227" t="str">
        <f>TL[[#This Row],[Société]]&amp;" - "&amp;TL[[#This Row],[Compte]]</f>
        <v>TURVILLA - 628210</v>
      </c>
      <c r="B2612" s="233" t="s">
        <v>2773</v>
      </c>
      <c r="C2612" s="227" t="s">
        <v>5933</v>
      </c>
      <c r="D2612" s="233" t="s">
        <v>147</v>
      </c>
      <c r="E2612" s="233" t="s">
        <v>288</v>
      </c>
      <c r="F2612" s="227" t="s">
        <v>2156</v>
      </c>
    </row>
    <row r="2613" spans="1:6" x14ac:dyDescent="0.25">
      <c r="A2613" s="227" t="str">
        <f>TL[[#This Row],[Société]]&amp;" - "&amp;TL[[#This Row],[Compte]]</f>
        <v>TURVILLA - 628220</v>
      </c>
      <c r="B2613" s="233" t="s">
        <v>2605</v>
      </c>
      <c r="C2613" s="227" t="s">
        <v>2200</v>
      </c>
      <c r="D2613" s="233" t="s">
        <v>147</v>
      </c>
      <c r="E2613" s="233" t="s">
        <v>288</v>
      </c>
      <c r="F2613" s="227" t="s">
        <v>2156</v>
      </c>
    </row>
    <row r="2614" spans="1:6" x14ac:dyDescent="0.25">
      <c r="A2614" s="227" t="str">
        <f>TL[[#This Row],[Société]]&amp;" - "&amp;TL[[#This Row],[Compte]]</f>
        <v>TURVILLA - 628300</v>
      </c>
      <c r="B2614" s="233" t="s">
        <v>1619</v>
      </c>
      <c r="C2614" s="227" t="s">
        <v>33</v>
      </c>
      <c r="D2614" s="233" t="s">
        <v>32</v>
      </c>
      <c r="E2614" s="233" t="s">
        <v>2982</v>
      </c>
      <c r="F2614" s="227" t="s">
        <v>2156</v>
      </c>
    </row>
    <row r="2615" spans="1:6" x14ac:dyDescent="0.25">
      <c r="A2615" s="227" t="str">
        <f>TL[[#This Row],[Société]]&amp;" - "&amp;TL[[#This Row],[Compte]]</f>
        <v>TURVILLA - 628400</v>
      </c>
      <c r="B2615" s="233" t="s">
        <v>1623</v>
      </c>
      <c r="C2615" s="227" t="s">
        <v>2254</v>
      </c>
      <c r="D2615" s="233" t="s">
        <v>42</v>
      </c>
      <c r="E2615" s="233" t="s">
        <v>25</v>
      </c>
      <c r="F2615" s="227" t="s">
        <v>2156</v>
      </c>
    </row>
    <row r="2616" spans="1:6" x14ac:dyDescent="0.25">
      <c r="A2616" s="227" t="str">
        <f>TL[[#This Row],[Société]]&amp;" - "&amp;TL[[#This Row],[Compte]]</f>
        <v>TURVILLA - 628500</v>
      </c>
      <c r="B2616" s="233" t="s">
        <v>2606</v>
      </c>
      <c r="C2616" s="227" t="s">
        <v>2154</v>
      </c>
      <c r="D2616" s="233" t="s">
        <v>147</v>
      </c>
      <c r="E2616" s="233" t="s">
        <v>288</v>
      </c>
      <c r="F2616" s="227" t="s">
        <v>2156</v>
      </c>
    </row>
    <row r="2617" spans="1:6" x14ac:dyDescent="0.25">
      <c r="A2617" s="227" t="str">
        <f>TL[[#This Row],[Société]]&amp;" - "&amp;TL[[#This Row],[Compte]]</f>
        <v>TURVILLA - 631200</v>
      </c>
      <c r="B2617" s="233" t="s">
        <v>5117</v>
      </c>
      <c r="C2617" s="227" t="s">
        <v>331</v>
      </c>
      <c r="D2617" s="233" t="s">
        <v>42</v>
      </c>
      <c r="E2617" s="233" t="s">
        <v>47</v>
      </c>
      <c r="F2617" s="227" t="s">
        <v>2156</v>
      </c>
    </row>
    <row r="2618" spans="1:6" x14ac:dyDescent="0.25">
      <c r="A2618" s="227" t="str">
        <f>TL[[#This Row],[Société]]&amp;" - "&amp;TL[[#This Row],[Compte]]</f>
        <v>TURVILLA - 631300</v>
      </c>
      <c r="B2618" s="233" t="s">
        <v>5118</v>
      </c>
      <c r="C2618" s="227" t="s">
        <v>5934</v>
      </c>
      <c r="F2618" s="227" t="s">
        <v>2156</v>
      </c>
    </row>
    <row r="2619" spans="1:6" x14ac:dyDescent="0.25">
      <c r="A2619" s="227" t="str">
        <f>TL[[#This Row],[Société]]&amp;" - "&amp;TL[[#This Row],[Compte]]</f>
        <v>TURVILLA - 631310</v>
      </c>
      <c r="B2619" s="233" t="s">
        <v>5935</v>
      </c>
      <c r="C2619" s="227" t="s">
        <v>2256</v>
      </c>
      <c r="D2619" s="233" t="s">
        <v>42</v>
      </c>
      <c r="E2619" s="233" t="s">
        <v>47</v>
      </c>
      <c r="F2619" s="227" t="s">
        <v>2156</v>
      </c>
    </row>
    <row r="2620" spans="1:6" x14ac:dyDescent="0.25">
      <c r="A2620" s="227" t="str">
        <f>TL[[#This Row],[Société]]&amp;" - "&amp;TL[[#This Row],[Compte]]</f>
        <v>TURVILLA - 631500</v>
      </c>
      <c r="B2620" s="233" t="s">
        <v>5122</v>
      </c>
      <c r="C2620" s="227" t="s">
        <v>5936</v>
      </c>
      <c r="F2620" s="227" t="s">
        <v>2156</v>
      </c>
    </row>
    <row r="2621" spans="1:6" x14ac:dyDescent="0.25">
      <c r="A2621" s="227" t="str">
        <f>TL[[#This Row],[Société]]&amp;" - "&amp;TL[[#This Row],[Compte]]</f>
        <v>TURVILLA - 633300</v>
      </c>
      <c r="B2621" s="233" t="s">
        <v>1730</v>
      </c>
      <c r="C2621" s="227" t="s">
        <v>2257</v>
      </c>
      <c r="D2621" s="233" t="s">
        <v>42</v>
      </c>
      <c r="E2621" s="233" t="s">
        <v>47</v>
      </c>
      <c r="F2621" s="227" t="s">
        <v>2156</v>
      </c>
    </row>
    <row r="2622" spans="1:6" x14ac:dyDescent="0.25">
      <c r="A2622" s="227" t="str">
        <f>TL[[#This Row],[Société]]&amp;" - "&amp;TL[[#This Row],[Compte]]</f>
        <v>TURVILLA - 633400</v>
      </c>
      <c r="B2622" s="233" t="s">
        <v>1976</v>
      </c>
      <c r="C2622" s="227" t="s">
        <v>220</v>
      </c>
      <c r="D2622" s="233" t="s">
        <v>42</v>
      </c>
      <c r="E2622" s="233" t="s">
        <v>47</v>
      </c>
      <c r="F2622" s="227" t="s">
        <v>2156</v>
      </c>
    </row>
    <row r="2623" spans="1:6" x14ac:dyDescent="0.25">
      <c r="A2623" s="227" t="str">
        <f>TL[[#This Row],[Société]]&amp;" - "&amp;TL[[#This Row],[Compte]]</f>
        <v>TURVILLA - 633500</v>
      </c>
      <c r="B2623" s="233" t="s">
        <v>1729</v>
      </c>
      <c r="C2623" s="227" t="s">
        <v>2258</v>
      </c>
      <c r="D2623" s="233" t="s">
        <v>42</v>
      </c>
      <c r="E2623" s="233" t="s">
        <v>47</v>
      </c>
      <c r="F2623" s="227" t="s">
        <v>2156</v>
      </c>
    </row>
    <row r="2624" spans="1:6" x14ac:dyDescent="0.25">
      <c r="A2624" s="227" t="str">
        <f>TL[[#This Row],[Société]]&amp;" - "&amp;TL[[#This Row],[Compte]]</f>
        <v>TURVILLA - 635111</v>
      </c>
      <c r="B2624" s="233" t="s">
        <v>1786</v>
      </c>
      <c r="C2624" s="227" t="s">
        <v>168</v>
      </c>
      <c r="D2624" s="233" t="s">
        <v>42</v>
      </c>
      <c r="E2624" s="233" t="s">
        <v>47</v>
      </c>
      <c r="F2624" s="227" t="s">
        <v>2156</v>
      </c>
    </row>
    <row r="2625" spans="1:6" x14ac:dyDescent="0.25">
      <c r="A2625" s="227" t="str">
        <f>TL[[#This Row],[Société]]&amp;" - "&amp;TL[[#This Row],[Compte]]</f>
        <v>TURVILLA - 635112</v>
      </c>
      <c r="B2625" s="233" t="s">
        <v>1732</v>
      </c>
      <c r="C2625" s="227" t="s">
        <v>165</v>
      </c>
      <c r="D2625" s="233" t="s">
        <v>42</v>
      </c>
      <c r="E2625" s="233" t="s">
        <v>47</v>
      </c>
      <c r="F2625" s="227" t="s">
        <v>2156</v>
      </c>
    </row>
    <row r="2626" spans="1:6" x14ac:dyDescent="0.25">
      <c r="A2626" s="227" t="str">
        <f>TL[[#This Row],[Société]]&amp;" - "&amp;TL[[#This Row],[Compte]]</f>
        <v>TURVILLA - 635120</v>
      </c>
      <c r="B2626" s="233" t="s">
        <v>5135</v>
      </c>
      <c r="C2626" s="227" t="s">
        <v>765</v>
      </c>
      <c r="D2626" s="233" t="s">
        <v>42</v>
      </c>
      <c r="E2626" s="233" t="s">
        <v>47</v>
      </c>
      <c r="F2626" s="227" t="s">
        <v>2156</v>
      </c>
    </row>
    <row r="2627" spans="1:6" x14ac:dyDescent="0.25">
      <c r="A2627" s="227" t="str">
        <f>TL[[#This Row],[Société]]&amp;" - "&amp;TL[[#This Row],[Compte]]</f>
        <v>TURVILLA - 635130</v>
      </c>
      <c r="B2627" s="233" t="s">
        <v>1978</v>
      </c>
      <c r="C2627" s="227" t="s">
        <v>5136</v>
      </c>
      <c r="F2627" s="227" t="s">
        <v>2156</v>
      </c>
    </row>
    <row r="2628" spans="1:6" x14ac:dyDescent="0.25">
      <c r="A2628" s="227" t="str">
        <f>TL[[#This Row],[Société]]&amp;" - "&amp;TL[[#This Row],[Compte]]</f>
        <v>TURVILLA - 635140</v>
      </c>
      <c r="B2628" s="233" t="s">
        <v>1979</v>
      </c>
      <c r="C2628" s="227" t="s">
        <v>230</v>
      </c>
      <c r="D2628" s="233" t="s">
        <v>42</v>
      </c>
      <c r="E2628" s="233" t="s">
        <v>47</v>
      </c>
      <c r="F2628" s="227" t="s">
        <v>2156</v>
      </c>
    </row>
    <row r="2629" spans="1:6" x14ac:dyDescent="0.25">
      <c r="A2629" s="227" t="str">
        <f>TL[[#This Row],[Société]]&amp;" - "&amp;TL[[#This Row],[Compte]]</f>
        <v>TURVILLA - 635200</v>
      </c>
      <c r="B2629" s="233" t="s">
        <v>5137</v>
      </c>
      <c r="C2629" s="227" t="s">
        <v>2461</v>
      </c>
      <c r="D2629" s="233" t="s">
        <v>42</v>
      </c>
      <c r="E2629" s="233" t="s">
        <v>47</v>
      </c>
      <c r="F2629" s="227" t="s">
        <v>2156</v>
      </c>
    </row>
    <row r="2630" spans="1:6" x14ac:dyDescent="0.25">
      <c r="A2630" s="227" t="str">
        <f>TL[[#This Row],[Société]]&amp;" - "&amp;TL[[#This Row],[Compte]]</f>
        <v>TURVILLA - 635210</v>
      </c>
      <c r="B2630" s="233" t="s">
        <v>5937</v>
      </c>
      <c r="C2630" s="227" t="s">
        <v>2462</v>
      </c>
      <c r="D2630" s="233" t="s">
        <v>71</v>
      </c>
      <c r="E2630" s="233" t="s">
        <v>7</v>
      </c>
      <c r="F2630" s="227" t="s">
        <v>2156</v>
      </c>
    </row>
    <row r="2631" spans="1:6" x14ac:dyDescent="0.25">
      <c r="A2631" s="227" t="str">
        <f>TL[[#This Row],[Société]]&amp;" - "&amp;TL[[#This Row],[Compte]]</f>
        <v>TURVILLA - 635500</v>
      </c>
      <c r="B2631" s="233" t="s">
        <v>1981</v>
      </c>
      <c r="C2631" s="227" t="s">
        <v>218</v>
      </c>
      <c r="D2631" s="233" t="s">
        <v>42</v>
      </c>
      <c r="E2631" s="233" t="s">
        <v>47</v>
      </c>
      <c r="F2631" s="227" t="s">
        <v>2156</v>
      </c>
    </row>
    <row r="2632" spans="1:6" x14ac:dyDescent="0.25">
      <c r="A2632" s="227" t="str">
        <f>TL[[#This Row],[Société]]&amp;" - "&amp;TL[[#This Row],[Compte]]</f>
        <v>TURVILLA - 635520</v>
      </c>
      <c r="B2632" s="233" t="s">
        <v>1983</v>
      </c>
      <c r="C2632" s="227" t="s">
        <v>1235</v>
      </c>
      <c r="D2632" s="233" t="s">
        <v>42</v>
      </c>
      <c r="E2632" s="233" t="s">
        <v>47</v>
      </c>
      <c r="F2632" s="227" t="s">
        <v>2156</v>
      </c>
    </row>
    <row r="2633" spans="1:6" x14ac:dyDescent="0.25">
      <c r="A2633" s="227" t="str">
        <f>TL[[#This Row],[Société]]&amp;" - "&amp;TL[[#This Row],[Compte]]</f>
        <v>TURVILLA - 635800</v>
      </c>
      <c r="B2633" s="233" t="s">
        <v>1986</v>
      </c>
      <c r="C2633" s="227" t="s">
        <v>320</v>
      </c>
      <c r="D2633" s="233" t="s">
        <v>42</v>
      </c>
      <c r="E2633" s="233" t="s">
        <v>47</v>
      </c>
      <c r="F2633" s="227" t="s">
        <v>2156</v>
      </c>
    </row>
    <row r="2634" spans="1:6" x14ac:dyDescent="0.25">
      <c r="A2634" s="227" t="str">
        <f>TL[[#This Row],[Société]]&amp;" - "&amp;TL[[#This Row],[Compte]]</f>
        <v>TURVILLA - 637300</v>
      </c>
      <c r="B2634" s="233" t="s">
        <v>1777</v>
      </c>
      <c r="C2634" s="227" t="s">
        <v>5938</v>
      </c>
      <c r="F2634" s="227" t="s">
        <v>2156</v>
      </c>
    </row>
    <row r="2635" spans="1:6" x14ac:dyDescent="0.25">
      <c r="A2635" s="227" t="str">
        <f>TL[[#This Row],[Société]]&amp;" - "&amp;TL[[#This Row],[Compte]]</f>
        <v>TURVILLA - 637400</v>
      </c>
      <c r="B2635" s="233" t="s">
        <v>2515</v>
      </c>
      <c r="C2635" s="227" t="s">
        <v>2176</v>
      </c>
      <c r="D2635" s="233" t="s">
        <v>71</v>
      </c>
      <c r="E2635" s="233" t="s">
        <v>7</v>
      </c>
      <c r="F2635" s="227" t="s">
        <v>2156</v>
      </c>
    </row>
    <row r="2636" spans="1:6" x14ac:dyDescent="0.25">
      <c r="A2636" s="227" t="str">
        <f>TL[[#This Row],[Société]]&amp;" - "&amp;TL[[#This Row],[Compte]]</f>
        <v>TURVILLA - 641020</v>
      </c>
      <c r="B2636" s="233" t="s">
        <v>2530</v>
      </c>
      <c r="C2636" s="227" t="s">
        <v>2463</v>
      </c>
      <c r="D2636" s="233" t="s">
        <v>13</v>
      </c>
      <c r="E2636" s="233" t="s">
        <v>12</v>
      </c>
      <c r="F2636" s="227" t="s">
        <v>2156</v>
      </c>
    </row>
    <row r="2637" spans="1:6" x14ac:dyDescent="0.25">
      <c r="A2637" s="227" t="str">
        <f>TL[[#This Row],[Société]]&amp;" - "&amp;TL[[#This Row],[Compte]]</f>
        <v>TURVILLA - 641030</v>
      </c>
      <c r="B2637" s="233" t="s">
        <v>2520</v>
      </c>
      <c r="C2637" s="227" t="s">
        <v>2190</v>
      </c>
      <c r="D2637" s="233" t="s">
        <v>12</v>
      </c>
      <c r="E2637" s="233" t="s">
        <v>3</v>
      </c>
      <c r="F2637" s="227" t="s">
        <v>2156</v>
      </c>
    </row>
    <row r="2638" spans="1:6" x14ac:dyDescent="0.25">
      <c r="A2638" s="227" t="str">
        <f>TL[[#This Row],[Société]]&amp;" - "&amp;TL[[#This Row],[Compte]]</f>
        <v>TURVILLA - 641040</v>
      </c>
      <c r="B2638" s="233" t="s">
        <v>5939</v>
      </c>
      <c r="C2638" s="227" t="s">
        <v>5940</v>
      </c>
      <c r="F2638" s="227" t="s">
        <v>2156</v>
      </c>
    </row>
    <row r="2639" spans="1:6" x14ac:dyDescent="0.25">
      <c r="A2639" s="227" t="str">
        <f>TL[[#This Row],[Société]]&amp;" - "&amp;TL[[#This Row],[Compte]]</f>
        <v>TURVILLA - 641063</v>
      </c>
      <c r="B2639" s="233" t="s">
        <v>2521</v>
      </c>
      <c r="C2639" s="227" t="s">
        <v>1295</v>
      </c>
      <c r="D2639" s="233" t="s">
        <v>12</v>
      </c>
      <c r="E2639" s="233" t="s">
        <v>3</v>
      </c>
      <c r="F2639" s="227" t="s">
        <v>2156</v>
      </c>
    </row>
    <row r="2640" spans="1:6" x14ac:dyDescent="0.25">
      <c r="A2640" s="227" t="str">
        <f>TL[[#This Row],[Société]]&amp;" - "&amp;TL[[#This Row],[Compte]]</f>
        <v>TURVILLA - 641064</v>
      </c>
      <c r="B2640" s="233" t="s">
        <v>2531</v>
      </c>
      <c r="C2640" s="227" t="s">
        <v>2464</v>
      </c>
      <c r="D2640" s="233" t="s">
        <v>13</v>
      </c>
      <c r="E2640" s="233" t="s">
        <v>12</v>
      </c>
      <c r="F2640" s="227" t="s">
        <v>2156</v>
      </c>
    </row>
    <row r="2641" spans="1:6" x14ac:dyDescent="0.25">
      <c r="A2641" s="227" t="str">
        <f>TL[[#This Row],[Société]]&amp;" - "&amp;TL[[#This Row],[Compte]]</f>
        <v>TURVILLA - 641100</v>
      </c>
      <c r="B2641" s="233" t="s">
        <v>5157</v>
      </c>
      <c r="C2641" s="227" t="s">
        <v>5774</v>
      </c>
      <c r="F2641" s="227" t="s">
        <v>2156</v>
      </c>
    </row>
    <row r="2642" spans="1:6" x14ac:dyDescent="0.25">
      <c r="A2642" s="227" t="str">
        <f>TL[[#This Row],[Société]]&amp;" - "&amp;TL[[#This Row],[Compte]]</f>
        <v>TURVILLA - 641200</v>
      </c>
      <c r="B2642" s="233" t="s">
        <v>1773</v>
      </c>
      <c r="C2642" s="227" t="s">
        <v>5941</v>
      </c>
      <c r="F2642" s="227" t="s">
        <v>2156</v>
      </c>
    </row>
    <row r="2643" spans="1:6" x14ac:dyDescent="0.25">
      <c r="A2643" s="227" t="str">
        <f>TL[[#This Row],[Société]]&amp;" - "&amp;TL[[#This Row],[Compte]]</f>
        <v>TURVILLA - 641204</v>
      </c>
      <c r="B2643" s="233" t="s">
        <v>2819</v>
      </c>
      <c r="C2643" s="227" t="s">
        <v>224</v>
      </c>
      <c r="D2643" s="233" t="s">
        <v>13</v>
      </c>
      <c r="E2643" s="233" t="s">
        <v>12</v>
      </c>
      <c r="F2643" s="227" t="s">
        <v>2156</v>
      </c>
    </row>
    <row r="2644" spans="1:6" x14ac:dyDescent="0.25">
      <c r="A2644" s="227" t="str">
        <f>TL[[#This Row],[Société]]&amp;" - "&amp;TL[[#This Row],[Compte]]</f>
        <v>TURVILLA - 641220</v>
      </c>
      <c r="B2644" s="233" t="s">
        <v>1783</v>
      </c>
      <c r="C2644" s="227" t="s">
        <v>2465</v>
      </c>
      <c r="D2644" s="233" t="s">
        <v>13</v>
      </c>
      <c r="E2644" s="233" t="s">
        <v>12</v>
      </c>
      <c r="F2644" s="227" t="s">
        <v>2156</v>
      </c>
    </row>
    <row r="2645" spans="1:6" x14ac:dyDescent="0.25">
      <c r="A2645" s="227" t="str">
        <f>TL[[#This Row],[Société]]&amp;" - "&amp;TL[[#This Row],[Compte]]</f>
        <v>TURVILLA - 641230</v>
      </c>
      <c r="B2645" s="233" t="s">
        <v>1996</v>
      </c>
      <c r="C2645" s="227" t="s">
        <v>2209</v>
      </c>
      <c r="D2645" s="233" t="s">
        <v>12</v>
      </c>
      <c r="E2645" s="233" t="s">
        <v>3</v>
      </c>
      <c r="F2645" s="227" t="s">
        <v>2156</v>
      </c>
    </row>
    <row r="2646" spans="1:6" x14ac:dyDescent="0.25">
      <c r="A2646" s="227" t="str">
        <f>TL[[#This Row],[Société]]&amp;" - "&amp;TL[[#This Row],[Compte]]</f>
        <v>TURVILLA - 641240</v>
      </c>
      <c r="B2646" s="233" t="s">
        <v>5942</v>
      </c>
      <c r="C2646" s="227" t="s">
        <v>5943</v>
      </c>
      <c r="F2646" s="227" t="s">
        <v>2156</v>
      </c>
    </row>
    <row r="2647" spans="1:6" x14ac:dyDescent="0.25">
      <c r="A2647" s="227" t="str">
        <f>TL[[#This Row],[Société]]&amp;" - "&amp;TL[[#This Row],[Compte]]</f>
        <v>TURVILLA - 641300</v>
      </c>
      <c r="B2647" s="233" t="s">
        <v>1997</v>
      </c>
      <c r="C2647" s="227" t="s">
        <v>5944</v>
      </c>
      <c r="F2647" s="227" t="s">
        <v>2156</v>
      </c>
    </row>
    <row r="2648" spans="1:6" x14ac:dyDescent="0.25">
      <c r="A2648" s="227" t="str">
        <f>TL[[#This Row],[Société]]&amp;" - "&amp;TL[[#This Row],[Compte]]</f>
        <v>TURVILLA - 641301</v>
      </c>
      <c r="B2648" s="233" t="s">
        <v>5945</v>
      </c>
      <c r="C2648" s="227" t="s">
        <v>5946</v>
      </c>
      <c r="F2648" s="227" t="s">
        <v>2156</v>
      </c>
    </row>
    <row r="2649" spans="1:6" x14ac:dyDescent="0.25">
      <c r="A2649" s="227" t="str">
        <f>TL[[#This Row],[Société]]&amp;" - "&amp;TL[[#This Row],[Compte]]</f>
        <v>TURVILLA - 641320</v>
      </c>
      <c r="B2649" s="233" t="s">
        <v>3295</v>
      </c>
      <c r="C2649" s="227" t="s">
        <v>920</v>
      </c>
      <c r="D2649" s="233" t="s">
        <v>13</v>
      </c>
      <c r="E2649" s="233" t="s">
        <v>12</v>
      </c>
      <c r="F2649" s="227" t="s">
        <v>2156</v>
      </c>
    </row>
    <row r="2650" spans="1:6" x14ac:dyDescent="0.25">
      <c r="A2650" s="227" t="str">
        <f>TL[[#This Row],[Société]]&amp;" - "&amp;TL[[#This Row],[Compte]]</f>
        <v>TURVILLA - 641330</v>
      </c>
      <c r="B2650" s="233" t="s">
        <v>3297</v>
      </c>
      <c r="C2650" s="227" t="s">
        <v>5947</v>
      </c>
      <c r="D2650" s="233" t="s">
        <v>13</v>
      </c>
      <c r="E2650" s="233" t="s">
        <v>12</v>
      </c>
      <c r="F2650" s="227" t="s">
        <v>2156</v>
      </c>
    </row>
    <row r="2651" spans="1:6" x14ac:dyDescent="0.25">
      <c r="A2651" s="227" t="str">
        <f>TL[[#This Row],[Société]]&amp;" - "&amp;TL[[#This Row],[Compte]]</f>
        <v>TURVILLA - 641340</v>
      </c>
      <c r="B2651" s="233" t="s">
        <v>5948</v>
      </c>
      <c r="C2651" s="227" t="s">
        <v>5949</v>
      </c>
      <c r="D2651" s="233" t="s">
        <v>13</v>
      </c>
      <c r="E2651" s="233" t="s">
        <v>12</v>
      </c>
      <c r="F2651" s="227" t="s">
        <v>2156</v>
      </c>
    </row>
    <row r="2652" spans="1:6" x14ac:dyDescent="0.25">
      <c r="A2652" s="227" t="str">
        <f>TL[[#This Row],[Société]]&amp;" - "&amp;TL[[#This Row],[Compte]]</f>
        <v>TURVILLA - 641341</v>
      </c>
      <c r="B2652" s="233" t="s">
        <v>5950</v>
      </c>
      <c r="C2652" s="227" t="s">
        <v>5951</v>
      </c>
      <c r="D2652" s="233" t="s">
        <v>13</v>
      </c>
      <c r="E2652" s="233" t="s">
        <v>12</v>
      </c>
      <c r="F2652" s="227" t="s">
        <v>2156</v>
      </c>
    </row>
    <row r="2653" spans="1:6" x14ac:dyDescent="0.25">
      <c r="A2653" s="227" t="str">
        <f>TL[[#This Row],[Société]]&amp;" - "&amp;TL[[#This Row],[Compte]]</f>
        <v>TURVILLA - 641342</v>
      </c>
      <c r="B2653" s="233" t="s">
        <v>5952</v>
      </c>
      <c r="C2653" s="227" t="s">
        <v>5953</v>
      </c>
      <c r="D2653" s="233" t="s">
        <v>50</v>
      </c>
      <c r="E2653" s="233" t="s">
        <v>16</v>
      </c>
      <c r="F2653" s="227" t="s">
        <v>2156</v>
      </c>
    </row>
    <row r="2654" spans="1:6" x14ac:dyDescent="0.25">
      <c r="A2654" s="227" t="str">
        <f>TL[[#This Row],[Société]]&amp;" - "&amp;TL[[#This Row],[Compte]]</f>
        <v>TURVILLA - 641350</v>
      </c>
      <c r="B2654" s="233" t="s">
        <v>5954</v>
      </c>
      <c r="C2654" s="227" t="s">
        <v>5955</v>
      </c>
      <c r="F2654" s="227" t="s">
        <v>2156</v>
      </c>
    </row>
    <row r="2655" spans="1:6" x14ac:dyDescent="0.25">
      <c r="A2655" s="227" t="str">
        <f>TL[[#This Row],[Société]]&amp;" - "&amp;TL[[#This Row],[Compte]]</f>
        <v>TURVILLA - 641400</v>
      </c>
      <c r="B2655" s="233" t="s">
        <v>3299</v>
      </c>
      <c r="C2655" s="227" t="s">
        <v>5774</v>
      </c>
      <c r="F2655" s="227" t="s">
        <v>2156</v>
      </c>
    </row>
    <row r="2656" spans="1:6" x14ac:dyDescent="0.25">
      <c r="A2656" s="227" t="str">
        <f>TL[[#This Row],[Société]]&amp;" - "&amp;TL[[#This Row],[Compte]]</f>
        <v>TURVILLA - 641410</v>
      </c>
      <c r="B2656" s="233" t="s">
        <v>2522</v>
      </c>
      <c r="C2656" s="227" t="s">
        <v>2182</v>
      </c>
      <c r="D2656" s="233" t="s">
        <v>12</v>
      </c>
      <c r="E2656" s="233" t="s">
        <v>3</v>
      </c>
      <c r="F2656" s="227" t="s">
        <v>2156</v>
      </c>
    </row>
    <row r="2657" spans="1:6" x14ac:dyDescent="0.25">
      <c r="A2657" s="227" t="str">
        <f>TL[[#This Row],[Société]]&amp;" - "&amp;TL[[#This Row],[Compte]]</f>
        <v>TURVILLA - 641411</v>
      </c>
      <c r="B2657" s="233" t="s">
        <v>1751</v>
      </c>
      <c r="C2657" s="227" t="s">
        <v>2466</v>
      </c>
      <c r="D2657" s="233" t="s">
        <v>13</v>
      </c>
      <c r="E2657" s="233" t="s">
        <v>12</v>
      </c>
      <c r="F2657" s="227" t="s">
        <v>2156</v>
      </c>
    </row>
    <row r="2658" spans="1:6" x14ac:dyDescent="0.25">
      <c r="A2658" s="227" t="str">
        <f>TL[[#This Row],[Société]]&amp;" - "&amp;TL[[#This Row],[Compte]]</f>
        <v>TURVILLA - 641412</v>
      </c>
      <c r="B2658" s="233" t="s">
        <v>3301</v>
      </c>
      <c r="C2658" s="227" t="s">
        <v>5956</v>
      </c>
      <c r="D2658" s="233" t="s">
        <v>12</v>
      </c>
      <c r="E2658" s="233" t="s">
        <v>3</v>
      </c>
      <c r="F2658" s="227" t="s">
        <v>2156</v>
      </c>
    </row>
    <row r="2659" spans="1:6" x14ac:dyDescent="0.25">
      <c r="A2659" s="227" t="str">
        <f>TL[[#This Row],[Société]]&amp;" - "&amp;TL[[#This Row],[Compte]]</f>
        <v>TURVILLA - 645100</v>
      </c>
      <c r="B2659" s="233" t="s">
        <v>5191</v>
      </c>
      <c r="C2659" s="227" t="s">
        <v>573</v>
      </c>
      <c r="F2659" s="227" t="s">
        <v>2156</v>
      </c>
    </row>
    <row r="2660" spans="1:6" x14ac:dyDescent="0.25">
      <c r="A2660" s="227" t="str">
        <f>TL[[#This Row],[Société]]&amp;" - "&amp;TL[[#This Row],[Compte]]</f>
        <v>TURVILLA - 645110</v>
      </c>
      <c r="B2660" s="233" t="s">
        <v>5957</v>
      </c>
      <c r="C2660" s="227" t="s">
        <v>5740</v>
      </c>
      <c r="D2660" s="233" t="s">
        <v>50</v>
      </c>
      <c r="E2660" s="233" t="s">
        <v>12</v>
      </c>
      <c r="F2660" s="227" t="s">
        <v>2156</v>
      </c>
    </row>
    <row r="2661" spans="1:6" x14ac:dyDescent="0.25">
      <c r="A2661" s="227" t="str">
        <f>TL[[#This Row],[Société]]&amp;" - "&amp;TL[[#This Row],[Compte]]</f>
        <v>TURVILLA - 645120</v>
      </c>
      <c r="B2661" s="233" t="s">
        <v>2534</v>
      </c>
      <c r="C2661" s="227" t="s">
        <v>2467</v>
      </c>
      <c r="D2661" s="233" t="s">
        <v>15</v>
      </c>
      <c r="E2661" s="233" t="s">
        <v>13</v>
      </c>
      <c r="F2661" s="227" t="s">
        <v>2156</v>
      </c>
    </row>
    <row r="2662" spans="1:6" x14ac:dyDescent="0.25">
      <c r="A2662" s="227" t="str">
        <f>TL[[#This Row],[Société]]&amp;" - "&amp;TL[[#This Row],[Compte]]</f>
        <v>TURVILLA - 645130</v>
      </c>
      <c r="B2662" s="233" t="s">
        <v>2524</v>
      </c>
      <c r="C2662" s="227" t="s">
        <v>2194</v>
      </c>
      <c r="D2662" s="233" t="s">
        <v>12</v>
      </c>
      <c r="E2662" s="233" t="s">
        <v>71</v>
      </c>
      <c r="F2662" s="227" t="s">
        <v>2156</v>
      </c>
    </row>
    <row r="2663" spans="1:6" x14ac:dyDescent="0.25">
      <c r="A2663" s="227" t="str">
        <f>TL[[#This Row],[Société]]&amp;" - "&amp;TL[[#This Row],[Compte]]</f>
        <v>TURVILLA - 645200</v>
      </c>
      <c r="B2663" s="233" t="s">
        <v>5195</v>
      </c>
      <c r="C2663" s="227" t="s">
        <v>5774</v>
      </c>
      <c r="F2663" s="227" t="s">
        <v>2156</v>
      </c>
    </row>
    <row r="2664" spans="1:6" x14ac:dyDescent="0.25">
      <c r="A2664" s="227" t="str">
        <f>TL[[#This Row],[Société]]&amp;" - "&amp;TL[[#This Row],[Compte]]</f>
        <v>TURVILLA - 645300</v>
      </c>
      <c r="B2664" s="233" t="s">
        <v>5200</v>
      </c>
      <c r="C2664" s="227" t="s">
        <v>5774</v>
      </c>
      <c r="F2664" s="227" t="s">
        <v>2156</v>
      </c>
    </row>
    <row r="2665" spans="1:6" x14ac:dyDescent="0.25">
      <c r="A2665" s="227" t="str">
        <f>TL[[#This Row],[Société]]&amp;" - "&amp;TL[[#This Row],[Compte]]</f>
        <v>TURVILLA - 645310</v>
      </c>
      <c r="B2665" s="233" t="s">
        <v>5204</v>
      </c>
      <c r="C2665" s="227" t="s">
        <v>5958</v>
      </c>
      <c r="F2665" s="227" t="s">
        <v>2156</v>
      </c>
    </row>
    <row r="2666" spans="1:6" x14ac:dyDescent="0.25">
      <c r="A2666" s="227" t="str">
        <f>TL[[#This Row],[Société]]&amp;" - "&amp;TL[[#This Row],[Compte]]</f>
        <v>TURVILLA - 645313</v>
      </c>
      <c r="B2666" s="233" t="s">
        <v>5209</v>
      </c>
      <c r="C2666" s="227" t="s">
        <v>5959</v>
      </c>
      <c r="F2666" s="227" t="s">
        <v>2156</v>
      </c>
    </row>
    <row r="2667" spans="1:6" x14ac:dyDescent="0.25">
      <c r="A2667" s="227" t="str">
        <f>TL[[#This Row],[Société]]&amp;" - "&amp;TL[[#This Row],[Compte]]</f>
        <v>TURVILLA - 645320</v>
      </c>
      <c r="B2667" s="233" t="s">
        <v>2535</v>
      </c>
      <c r="C2667" s="227" t="s">
        <v>2468</v>
      </c>
      <c r="D2667" s="233" t="s">
        <v>15</v>
      </c>
      <c r="E2667" s="233" t="s">
        <v>13</v>
      </c>
      <c r="F2667" s="227" t="s">
        <v>2156</v>
      </c>
    </row>
    <row r="2668" spans="1:6" x14ac:dyDescent="0.25">
      <c r="A2668" s="227" t="str">
        <f>TL[[#This Row],[Société]]&amp;" - "&amp;TL[[#This Row],[Compte]]</f>
        <v>TURVILLA - 645330</v>
      </c>
      <c r="B2668" s="233" t="s">
        <v>2525</v>
      </c>
      <c r="C2668" s="227" t="s">
        <v>2193</v>
      </c>
      <c r="D2668" s="233" t="s">
        <v>12</v>
      </c>
      <c r="E2668" s="233" t="s">
        <v>71</v>
      </c>
      <c r="F2668" s="227" t="s">
        <v>2156</v>
      </c>
    </row>
    <row r="2669" spans="1:6" x14ac:dyDescent="0.25">
      <c r="A2669" s="227" t="str">
        <f>TL[[#This Row],[Société]]&amp;" - "&amp;TL[[#This Row],[Compte]]</f>
        <v>TURVILLA - 645340</v>
      </c>
      <c r="B2669" s="233" t="s">
        <v>3308</v>
      </c>
      <c r="C2669" s="227" t="s">
        <v>5960</v>
      </c>
      <c r="F2669" s="227" t="s">
        <v>2156</v>
      </c>
    </row>
    <row r="2670" spans="1:6" x14ac:dyDescent="0.25">
      <c r="A2670" s="227" t="str">
        <f>TL[[#This Row],[Société]]&amp;" - "&amp;TL[[#This Row],[Compte]]</f>
        <v>TURVILLA - 645341</v>
      </c>
      <c r="B2670" s="233" t="s">
        <v>5961</v>
      </c>
      <c r="C2670" s="227" t="s">
        <v>5962</v>
      </c>
      <c r="F2670" s="227" t="s">
        <v>2156</v>
      </c>
    </row>
    <row r="2671" spans="1:6" x14ac:dyDescent="0.25">
      <c r="A2671" s="227" t="str">
        <f>TL[[#This Row],[Société]]&amp;" - "&amp;TL[[#This Row],[Compte]]</f>
        <v>TURVILLA - 645345</v>
      </c>
      <c r="B2671" s="233" t="s">
        <v>5963</v>
      </c>
      <c r="C2671" s="227" t="s">
        <v>5964</v>
      </c>
      <c r="F2671" s="227" t="s">
        <v>2156</v>
      </c>
    </row>
    <row r="2672" spans="1:6" x14ac:dyDescent="0.25">
      <c r="A2672" s="227" t="str">
        <f>TL[[#This Row],[Société]]&amp;" - "&amp;TL[[#This Row],[Compte]]</f>
        <v>TURVILLA - 645350</v>
      </c>
      <c r="B2672" s="233" t="s">
        <v>5965</v>
      </c>
      <c r="C2672" s="227" t="s">
        <v>5966</v>
      </c>
      <c r="F2672" s="227" t="s">
        <v>2156</v>
      </c>
    </row>
    <row r="2673" spans="1:6" x14ac:dyDescent="0.25">
      <c r="A2673" s="227" t="str">
        <f>TL[[#This Row],[Société]]&amp;" - "&amp;TL[[#This Row],[Compte]]</f>
        <v>TURVILLA - 645400</v>
      </c>
      <c r="B2673" s="233" t="s">
        <v>5212</v>
      </c>
      <c r="C2673" s="227" t="s">
        <v>5774</v>
      </c>
      <c r="F2673" s="227" t="s">
        <v>2156</v>
      </c>
    </row>
    <row r="2674" spans="1:6" x14ac:dyDescent="0.25">
      <c r="A2674" s="227" t="str">
        <f>TL[[#This Row],[Société]]&amp;" - "&amp;TL[[#This Row],[Compte]]</f>
        <v>TURVILLA - 645420</v>
      </c>
      <c r="B2674" s="233" t="s">
        <v>2536</v>
      </c>
      <c r="C2674" s="227" t="s">
        <v>2469</v>
      </c>
      <c r="D2674" s="233" t="s">
        <v>15</v>
      </c>
      <c r="E2674" s="233" t="s">
        <v>13</v>
      </c>
      <c r="F2674" s="227" t="s">
        <v>2156</v>
      </c>
    </row>
    <row r="2675" spans="1:6" x14ac:dyDescent="0.25">
      <c r="A2675" s="227" t="str">
        <f>TL[[#This Row],[Société]]&amp;" - "&amp;TL[[#This Row],[Compte]]</f>
        <v>TURVILLA - 645430</v>
      </c>
      <c r="B2675" s="233" t="s">
        <v>2526</v>
      </c>
      <c r="C2675" s="227" t="s">
        <v>2188</v>
      </c>
      <c r="D2675" s="233" t="s">
        <v>12</v>
      </c>
      <c r="E2675" s="233" t="s">
        <v>71</v>
      </c>
      <c r="F2675" s="227" t="s">
        <v>2156</v>
      </c>
    </row>
    <row r="2676" spans="1:6" x14ac:dyDescent="0.25">
      <c r="A2676" s="227" t="str">
        <f>TL[[#This Row],[Société]]&amp;" - "&amp;TL[[#This Row],[Compte]]</f>
        <v>TURVILLA - 645520</v>
      </c>
      <c r="B2676" s="233" t="s">
        <v>2537</v>
      </c>
      <c r="C2676" s="227" t="s">
        <v>273</v>
      </c>
      <c r="D2676" s="233" t="s">
        <v>15</v>
      </c>
      <c r="E2676" s="233" t="s">
        <v>13</v>
      </c>
      <c r="F2676" s="227" t="s">
        <v>2156</v>
      </c>
    </row>
    <row r="2677" spans="1:6" x14ac:dyDescent="0.25">
      <c r="A2677" s="227" t="str">
        <f>TL[[#This Row],[Société]]&amp;" - "&amp;TL[[#This Row],[Compte]]</f>
        <v>TURVILLA - 645530</v>
      </c>
      <c r="B2677" s="233" t="s">
        <v>2527</v>
      </c>
      <c r="C2677" s="227" t="s">
        <v>231</v>
      </c>
      <c r="D2677" s="233" t="s">
        <v>12</v>
      </c>
      <c r="E2677" s="233" t="s">
        <v>71</v>
      </c>
      <c r="F2677" s="227" t="s">
        <v>2156</v>
      </c>
    </row>
    <row r="2678" spans="1:6" x14ac:dyDescent="0.25">
      <c r="A2678" s="227" t="str">
        <f>TL[[#This Row],[Société]]&amp;" - "&amp;TL[[#This Row],[Compte]]</f>
        <v>TURVILLA - 645620</v>
      </c>
      <c r="B2678" s="233" t="s">
        <v>3310</v>
      </c>
      <c r="C2678" s="227" t="s">
        <v>5967</v>
      </c>
      <c r="D2678" s="233" t="s">
        <v>15</v>
      </c>
      <c r="E2678" s="233" t="s">
        <v>13</v>
      </c>
      <c r="F2678" s="227" t="s">
        <v>2156</v>
      </c>
    </row>
    <row r="2679" spans="1:6" x14ac:dyDescent="0.25">
      <c r="A2679" s="227" t="str">
        <f>TL[[#This Row],[Société]]&amp;" - "&amp;TL[[#This Row],[Compte]]</f>
        <v>TURVILLA - 645800</v>
      </c>
      <c r="B2679" s="233" t="s">
        <v>1775</v>
      </c>
      <c r="C2679" s="227" t="s">
        <v>5215</v>
      </c>
      <c r="F2679" s="227" t="s">
        <v>2156</v>
      </c>
    </row>
    <row r="2680" spans="1:6" x14ac:dyDescent="0.25">
      <c r="A2680" s="227" t="str">
        <f>TL[[#This Row],[Société]]&amp;" - "&amp;TL[[#This Row],[Compte]]</f>
        <v>TURVILLA - 645810</v>
      </c>
      <c r="B2680" s="233" t="s">
        <v>1776</v>
      </c>
      <c r="C2680" s="227" t="s">
        <v>1253</v>
      </c>
      <c r="D2680" s="233" t="s">
        <v>20</v>
      </c>
      <c r="E2680" s="233" t="s">
        <v>25</v>
      </c>
      <c r="F2680" s="227" t="s">
        <v>2156</v>
      </c>
    </row>
    <row r="2681" spans="1:6" x14ac:dyDescent="0.25">
      <c r="A2681" s="227" t="str">
        <f>TL[[#This Row],[Société]]&amp;" - "&amp;TL[[#This Row],[Compte]]</f>
        <v>TURVILLA - 645820</v>
      </c>
      <c r="B2681" s="233" t="s">
        <v>2008</v>
      </c>
      <c r="C2681" s="227" t="s">
        <v>2470</v>
      </c>
      <c r="D2681" s="233" t="s">
        <v>15</v>
      </c>
      <c r="E2681" s="233" t="s">
        <v>13</v>
      </c>
      <c r="F2681" s="227" t="s">
        <v>2156</v>
      </c>
    </row>
    <row r="2682" spans="1:6" x14ac:dyDescent="0.25">
      <c r="A2682" s="227" t="str">
        <f>TL[[#This Row],[Société]]&amp;" - "&amp;TL[[#This Row],[Compte]]</f>
        <v>TURVILLA - 645830</v>
      </c>
      <c r="B2682" s="233" t="s">
        <v>2009</v>
      </c>
      <c r="C2682" s="227" t="s">
        <v>2262</v>
      </c>
      <c r="D2682" s="233" t="s">
        <v>12</v>
      </c>
      <c r="E2682" s="233" t="s">
        <v>71</v>
      </c>
      <c r="F2682" s="227" t="s">
        <v>2156</v>
      </c>
    </row>
    <row r="2683" spans="1:6" x14ac:dyDescent="0.25">
      <c r="A2683" s="227" t="str">
        <f>TL[[#This Row],[Société]]&amp;" - "&amp;TL[[#This Row],[Compte]]</f>
        <v>TURVILLA - 645840</v>
      </c>
      <c r="B2683" s="233" t="s">
        <v>5217</v>
      </c>
      <c r="C2683" s="227" t="s">
        <v>5968</v>
      </c>
      <c r="D2683" s="233" t="s">
        <v>15</v>
      </c>
      <c r="E2683" s="233" t="s">
        <v>13</v>
      </c>
      <c r="F2683" s="227" t="s">
        <v>2156</v>
      </c>
    </row>
    <row r="2684" spans="1:6" x14ac:dyDescent="0.25">
      <c r="A2684" s="227" t="str">
        <f>TL[[#This Row],[Société]]&amp;" - "&amp;TL[[#This Row],[Compte]]</f>
        <v>TURVILLA - 645920</v>
      </c>
      <c r="B2684" s="233" t="s">
        <v>2538</v>
      </c>
      <c r="C2684" s="227" t="s">
        <v>5969</v>
      </c>
      <c r="D2684" s="233" t="s">
        <v>15</v>
      </c>
      <c r="E2684" s="233" t="s">
        <v>13</v>
      </c>
      <c r="F2684" s="227" t="s">
        <v>2156</v>
      </c>
    </row>
    <row r="2685" spans="1:6" x14ac:dyDescent="0.25">
      <c r="A2685" s="227" t="str">
        <f>TL[[#This Row],[Société]]&amp;" - "&amp;TL[[#This Row],[Compte]]</f>
        <v>TURVILLA - 645930</v>
      </c>
      <c r="B2685" s="233" t="s">
        <v>2528</v>
      </c>
      <c r="C2685" s="227" t="s">
        <v>2185</v>
      </c>
      <c r="D2685" s="233" t="s">
        <v>12</v>
      </c>
      <c r="E2685" s="233" t="s">
        <v>71</v>
      </c>
      <c r="F2685" s="227" t="s">
        <v>2156</v>
      </c>
    </row>
    <row r="2686" spans="1:6" x14ac:dyDescent="0.25">
      <c r="A2686" s="227" t="str">
        <f>TL[[#This Row],[Société]]&amp;" - "&amp;TL[[#This Row],[Compte]]</f>
        <v>TURVILLA - 647200</v>
      </c>
      <c r="B2686" s="233" t="s">
        <v>5238</v>
      </c>
      <c r="C2686" s="227" t="s">
        <v>2471</v>
      </c>
      <c r="D2686" s="233" t="s">
        <v>50</v>
      </c>
      <c r="E2686" s="233" t="s">
        <v>2982</v>
      </c>
      <c r="F2686" s="227" t="s">
        <v>2156</v>
      </c>
    </row>
    <row r="2687" spans="1:6" x14ac:dyDescent="0.25">
      <c r="A2687" s="227" t="str">
        <f>TL[[#This Row],[Société]]&amp;" - "&amp;TL[[#This Row],[Compte]]</f>
        <v>TURVILLA - 647500</v>
      </c>
      <c r="B2687" s="233" t="s">
        <v>1610</v>
      </c>
      <c r="C2687" s="227" t="s">
        <v>5970</v>
      </c>
      <c r="D2687" s="233" t="s">
        <v>20</v>
      </c>
      <c r="E2687" s="233" t="s">
        <v>25</v>
      </c>
      <c r="F2687" s="227" t="s">
        <v>2156</v>
      </c>
    </row>
    <row r="2688" spans="1:6" x14ac:dyDescent="0.25">
      <c r="A2688" s="227" t="str">
        <f>TL[[#This Row],[Société]]&amp;" - "&amp;TL[[#This Row],[Compte]]</f>
        <v>TURVILLA - 647516</v>
      </c>
      <c r="B2688" s="233" t="s">
        <v>2759</v>
      </c>
      <c r="C2688" s="227" t="s">
        <v>1253</v>
      </c>
      <c r="D2688" s="233" t="s">
        <v>20</v>
      </c>
      <c r="E2688" s="233" t="s">
        <v>25</v>
      </c>
      <c r="F2688" s="227" t="s">
        <v>2156</v>
      </c>
    </row>
    <row r="2689" spans="1:6" x14ac:dyDescent="0.25">
      <c r="A2689" s="227" t="str">
        <f>TL[[#This Row],[Société]]&amp;" - "&amp;TL[[#This Row],[Compte]]</f>
        <v>TURVILLA - 648000</v>
      </c>
      <c r="B2689" s="233" t="s">
        <v>5250</v>
      </c>
      <c r="C2689" s="227" t="s">
        <v>5971</v>
      </c>
      <c r="F2689" s="227" t="s">
        <v>2156</v>
      </c>
    </row>
    <row r="2690" spans="1:6" x14ac:dyDescent="0.25">
      <c r="A2690" s="227" t="str">
        <f>TL[[#This Row],[Société]]&amp;" - "&amp;TL[[#This Row],[Compte]]</f>
        <v>TURVILLA - 649000</v>
      </c>
      <c r="B2690" s="233" t="s">
        <v>2012</v>
      </c>
      <c r="C2690" s="227" t="s">
        <v>3323</v>
      </c>
      <c r="D2690" s="233" t="s">
        <v>152</v>
      </c>
      <c r="E2690" s="233" t="s">
        <v>1303</v>
      </c>
      <c r="F2690" s="227" t="s">
        <v>2156</v>
      </c>
    </row>
    <row r="2691" spans="1:6" x14ac:dyDescent="0.25">
      <c r="A2691" s="227" t="str">
        <f>TL[[#This Row],[Société]]&amp;" - "&amp;TL[[#This Row],[Compte]]</f>
        <v>TURVILLA - 651000</v>
      </c>
      <c r="B2691" s="233" t="s">
        <v>2825</v>
      </c>
      <c r="C2691" s="227" t="s">
        <v>2472</v>
      </c>
      <c r="D2691" s="233" t="s">
        <v>37</v>
      </c>
      <c r="E2691" s="233" t="s">
        <v>42</v>
      </c>
      <c r="F2691" s="227" t="s">
        <v>2156</v>
      </c>
    </row>
    <row r="2692" spans="1:6" x14ac:dyDescent="0.25">
      <c r="A2692" s="227" t="str">
        <f>TL[[#This Row],[Société]]&amp;" - "&amp;TL[[#This Row],[Compte]]</f>
        <v>TURVILLA - 651003</v>
      </c>
      <c r="B2692" s="233" t="s">
        <v>1796</v>
      </c>
      <c r="C2692" s="227" t="s">
        <v>5972</v>
      </c>
      <c r="F2692" s="227" t="s">
        <v>2156</v>
      </c>
    </row>
    <row r="2693" spans="1:6" x14ac:dyDescent="0.25">
      <c r="A2693" s="227" t="str">
        <f>TL[[#This Row],[Société]]&amp;" - "&amp;TL[[#This Row],[Compte]]</f>
        <v>TURVILLA - 651110</v>
      </c>
      <c r="B2693" s="233" t="s">
        <v>2587</v>
      </c>
      <c r="C2693" s="227" t="s">
        <v>2205</v>
      </c>
      <c r="D2693" s="233" t="s">
        <v>37</v>
      </c>
      <c r="E2693" s="233" t="s">
        <v>42</v>
      </c>
      <c r="F2693" s="227" t="s">
        <v>2156</v>
      </c>
    </row>
    <row r="2694" spans="1:6" x14ac:dyDescent="0.25">
      <c r="A2694" s="227" t="str">
        <f>TL[[#This Row],[Société]]&amp;" - "&amp;TL[[#This Row],[Compte]]</f>
        <v>TURVILLA - 651200</v>
      </c>
      <c r="B2694" s="233" t="s">
        <v>1604</v>
      </c>
      <c r="C2694" s="227" t="s">
        <v>2473</v>
      </c>
      <c r="D2694" s="233" t="s">
        <v>35</v>
      </c>
      <c r="E2694" s="233" t="s">
        <v>37</v>
      </c>
      <c r="F2694" s="227" t="s">
        <v>2156</v>
      </c>
    </row>
    <row r="2695" spans="1:6" x14ac:dyDescent="0.25">
      <c r="A2695" s="227" t="str">
        <f>TL[[#This Row],[Société]]&amp;" - "&amp;TL[[#This Row],[Compte]]</f>
        <v>TURVILLA - 651210</v>
      </c>
      <c r="B2695" s="233" t="s">
        <v>1606</v>
      </c>
      <c r="C2695" s="227" t="s">
        <v>2201</v>
      </c>
      <c r="D2695" s="233" t="s">
        <v>37</v>
      </c>
      <c r="E2695" s="233" t="s">
        <v>37</v>
      </c>
      <c r="F2695" s="227" t="s">
        <v>2156</v>
      </c>
    </row>
    <row r="2696" spans="1:6" x14ac:dyDescent="0.25">
      <c r="A2696" s="227" t="str">
        <f>TL[[#This Row],[Société]]&amp;" - "&amp;TL[[#This Row],[Compte]]</f>
        <v>TURVILLA - 651300</v>
      </c>
      <c r="B2696" s="233" t="s">
        <v>5257</v>
      </c>
      <c r="C2696" s="227" t="s">
        <v>1502</v>
      </c>
      <c r="D2696" s="233" t="s">
        <v>35</v>
      </c>
      <c r="E2696" s="233" t="s">
        <v>37</v>
      </c>
      <c r="F2696" s="227" t="s">
        <v>2156</v>
      </c>
    </row>
    <row r="2697" spans="1:6" x14ac:dyDescent="0.25">
      <c r="A2697" s="227" t="str">
        <f>TL[[#This Row],[Société]]&amp;" - "&amp;TL[[#This Row],[Compte]]</f>
        <v>TURVILLA - 651310</v>
      </c>
      <c r="B2697" s="233" t="s">
        <v>5973</v>
      </c>
      <c r="C2697" s="227" t="s">
        <v>5974</v>
      </c>
      <c r="D2697" s="233" t="s">
        <v>37</v>
      </c>
      <c r="E2697" s="233" t="s">
        <v>37</v>
      </c>
      <c r="F2697" s="227" t="s">
        <v>2156</v>
      </c>
    </row>
    <row r="2698" spans="1:6" x14ac:dyDescent="0.25">
      <c r="A2698" s="227" t="str">
        <f>TL[[#This Row],[Société]]&amp;" - "&amp;TL[[#This Row],[Compte]]</f>
        <v>TURVILLA - 658000</v>
      </c>
      <c r="B2698" s="233" t="s">
        <v>1743</v>
      </c>
      <c r="C2698" s="227" t="s">
        <v>164</v>
      </c>
      <c r="D2698" s="233" t="s">
        <v>50</v>
      </c>
      <c r="E2698" s="233" t="s">
        <v>2982</v>
      </c>
      <c r="F2698" s="227" t="s">
        <v>2156</v>
      </c>
    </row>
    <row r="2699" spans="1:6" x14ac:dyDescent="0.25">
      <c r="A2699" s="227" t="str">
        <f>TL[[#This Row],[Société]]&amp;" - "&amp;TL[[#This Row],[Compte]]</f>
        <v>TURVILLA - 658100</v>
      </c>
      <c r="B2699" s="233" t="s">
        <v>5274</v>
      </c>
      <c r="C2699" s="227" t="s">
        <v>5975</v>
      </c>
      <c r="D2699" s="233" t="s">
        <v>30</v>
      </c>
      <c r="E2699" s="233" t="s">
        <v>2982</v>
      </c>
      <c r="F2699" s="227" t="s">
        <v>2156</v>
      </c>
    </row>
    <row r="2700" spans="1:6" x14ac:dyDescent="0.25">
      <c r="A2700" s="227" t="str">
        <f>TL[[#This Row],[Société]]&amp;" - "&amp;TL[[#This Row],[Compte]]</f>
        <v>TURVILLA - 661100</v>
      </c>
      <c r="B2700" s="233" t="s">
        <v>1721</v>
      </c>
      <c r="C2700" s="227" t="s">
        <v>2474</v>
      </c>
      <c r="D2700" s="233" t="s">
        <v>47</v>
      </c>
      <c r="E2700" s="233" t="s">
        <v>286</v>
      </c>
      <c r="F2700" s="227" t="s">
        <v>2156</v>
      </c>
    </row>
    <row r="2701" spans="1:6" x14ac:dyDescent="0.25">
      <c r="A2701" s="227" t="str">
        <f>TL[[#This Row],[Société]]&amp;" - "&amp;TL[[#This Row],[Compte]]</f>
        <v>TURVILLA - 661500</v>
      </c>
      <c r="B2701" s="233" t="s">
        <v>3327</v>
      </c>
      <c r="C2701" s="227" t="s">
        <v>5976</v>
      </c>
      <c r="E2701" s="233" t="s">
        <v>286</v>
      </c>
      <c r="F2701" s="227" t="s">
        <v>2156</v>
      </c>
    </row>
    <row r="2702" spans="1:6" x14ac:dyDescent="0.25">
      <c r="A2702" s="227" t="str">
        <f>TL[[#This Row],[Société]]&amp;" - "&amp;TL[[#This Row],[Compte]]</f>
        <v>TURVILLA - 661600</v>
      </c>
      <c r="B2702" s="233" t="s">
        <v>2016</v>
      </c>
      <c r="C2702" s="227" t="s">
        <v>5977</v>
      </c>
      <c r="D2702" s="233" t="s">
        <v>47</v>
      </c>
      <c r="E2702" s="233" t="s">
        <v>286</v>
      </c>
      <c r="F2702" s="227" t="s">
        <v>2156</v>
      </c>
    </row>
    <row r="2703" spans="1:6" x14ac:dyDescent="0.25">
      <c r="A2703" s="227" t="str">
        <f>TL[[#This Row],[Société]]&amp;" - "&amp;TL[[#This Row],[Compte]]</f>
        <v>TURVILLA - 661810</v>
      </c>
      <c r="B2703" s="233" t="s">
        <v>5285</v>
      </c>
      <c r="C2703" s="227" t="s">
        <v>5286</v>
      </c>
      <c r="F2703" s="227" t="s">
        <v>2156</v>
      </c>
    </row>
    <row r="2704" spans="1:6" x14ac:dyDescent="0.25">
      <c r="A2704" s="227" t="str">
        <f>TL[[#This Row],[Société]]&amp;" - "&amp;TL[[#This Row],[Compte]]</f>
        <v>TURVILLA - 671100</v>
      </c>
      <c r="B2704" s="233" t="s">
        <v>1801</v>
      </c>
      <c r="C2704" s="227" t="s">
        <v>31</v>
      </c>
      <c r="D2704" s="233" t="s">
        <v>30</v>
      </c>
      <c r="E2704" s="233" t="s">
        <v>2982</v>
      </c>
      <c r="F2704" s="227" t="s">
        <v>2156</v>
      </c>
    </row>
    <row r="2705" spans="1:6" x14ac:dyDescent="0.25">
      <c r="A2705" s="227" t="str">
        <f>TL[[#This Row],[Société]]&amp;" - "&amp;TL[[#This Row],[Compte]]</f>
        <v>TURVILLA - 671110</v>
      </c>
      <c r="B2705" s="233" t="s">
        <v>5978</v>
      </c>
      <c r="C2705" s="227" t="s">
        <v>5979</v>
      </c>
      <c r="D2705" s="233" t="s">
        <v>50</v>
      </c>
      <c r="E2705" s="233" t="s">
        <v>2995</v>
      </c>
      <c r="F2705" s="227" t="s">
        <v>2156</v>
      </c>
    </row>
    <row r="2706" spans="1:6" x14ac:dyDescent="0.25">
      <c r="A2706" s="227" t="str">
        <f>TL[[#This Row],[Société]]&amp;" - "&amp;TL[[#This Row],[Compte]]</f>
        <v>TURVILLA - 671200</v>
      </c>
      <c r="B2706" s="233" t="s">
        <v>2020</v>
      </c>
      <c r="C2706" s="227" t="s">
        <v>5980</v>
      </c>
      <c r="D2706" s="233" t="s">
        <v>42</v>
      </c>
      <c r="E2706" s="233" t="s">
        <v>2995</v>
      </c>
      <c r="F2706" s="227" t="s">
        <v>2156</v>
      </c>
    </row>
    <row r="2707" spans="1:6" x14ac:dyDescent="0.25">
      <c r="A2707" s="227" t="str">
        <f>TL[[#This Row],[Société]]&amp;" - "&amp;TL[[#This Row],[Compte]]</f>
        <v>TURVILLA - 671310</v>
      </c>
      <c r="B2707" s="233" t="s">
        <v>2021</v>
      </c>
      <c r="C2707" s="227" t="s">
        <v>223</v>
      </c>
      <c r="D2707" s="233" t="s">
        <v>50</v>
      </c>
      <c r="E2707" s="233" t="s">
        <v>2995</v>
      </c>
      <c r="F2707" s="227" t="s">
        <v>2156</v>
      </c>
    </row>
    <row r="2708" spans="1:6" x14ac:dyDescent="0.25">
      <c r="A2708" s="227" t="str">
        <f>TL[[#This Row],[Société]]&amp;" - "&amp;TL[[#This Row],[Compte]]</f>
        <v>TURVILLA - 671320</v>
      </c>
      <c r="B2708" s="233" t="s">
        <v>5981</v>
      </c>
      <c r="C2708" s="227" t="s">
        <v>155</v>
      </c>
      <c r="D2708" s="233" t="s">
        <v>50</v>
      </c>
      <c r="E2708" s="233" t="s">
        <v>2995</v>
      </c>
      <c r="F2708" s="227" t="s">
        <v>2156</v>
      </c>
    </row>
    <row r="2709" spans="1:6" x14ac:dyDescent="0.25">
      <c r="A2709" s="227" t="str">
        <f>TL[[#This Row],[Société]]&amp;" - "&amp;TL[[#This Row],[Compte]]</f>
        <v>TURVILLA - 672000</v>
      </c>
      <c r="B2709" s="233" t="s">
        <v>2023</v>
      </c>
      <c r="C2709" s="227" t="s">
        <v>5982</v>
      </c>
      <c r="D2709" s="233" t="s">
        <v>32</v>
      </c>
      <c r="E2709" s="233" t="s">
        <v>2982</v>
      </c>
      <c r="F2709" s="227" t="s">
        <v>2156</v>
      </c>
    </row>
    <row r="2710" spans="1:6" x14ac:dyDescent="0.25">
      <c r="A2710" s="227" t="str">
        <f>TL[[#This Row],[Société]]&amp;" - "&amp;TL[[#This Row],[Compte]]</f>
        <v>TURVILLA - 675000</v>
      </c>
      <c r="B2710" s="233" t="s">
        <v>3330</v>
      </c>
      <c r="C2710" s="227" t="s">
        <v>618</v>
      </c>
      <c r="D2710" s="233" t="s">
        <v>44</v>
      </c>
      <c r="E2710" s="233" t="s">
        <v>2995</v>
      </c>
      <c r="F2710" s="227" t="s">
        <v>2156</v>
      </c>
    </row>
    <row r="2711" spans="1:6" x14ac:dyDescent="0.25">
      <c r="A2711" s="227" t="str">
        <f>TL[[#This Row],[Société]]&amp;" - "&amp;TL[[#This Row],[Compte]]</f>
        <v>TURVILLA - 675600</v>
      </c>
      <c r="B2711" s="233" t="s">
        <v>3331</v>
      </c>
      <c r="C2711" s="227" t="s">
        <v>5983</v>
      </c>
      <c r="D2711" s="233" t="s">
        <v>47</v>
      </c>
      <c r="E2711" s="233" t="s">
        <v>2995</v>
      </c>
      <c r="F2711" s="227" t="s">
        <v>2156</v>
      </c>
    </row>
    <row r="2712" spans="1:6" x14ac:dyDescent="0.25">
      <c r="A2712" s="227" t="str">
        <f>TL[[#This Row],[Société]]&amp;" - "&amp;TL[[#This Row],[Compte]]</f>
        <v>TURVILLA - 681110</v>
      </c>
      <c r="B2712" s="233" t="s">
        <v>1787</v>
      </c>
      <c r="C2712" s="227" t="s">
        <v>236</v>
      </c>
      <c r="D2712" s="233" t="s">
        <v>45</v>
      </c>
      <c r="E2712" s="233" t="s">
        <v>48</v>
      </c>
      <c r="F2712" s="227" t="s">
        <v>2156</v>
      </c>
    </row>
    <row r="2713" spans="1:6" x14ac:dyDescent="0.25">
      <c r="A2713" s="227" t="str">
        <f>TL[[#This Row],[Société]]&amp;" - "&amp;TL[[#This Row],[Compte]]</f>
        <v>TURVILLA - 681120</v>
      </c>
      <c r="B2713" s="233" t="s">
        <v>2026</v>
      </c>
      <c r="C2713" s="227" t="s">
        <v>173</v>
      </c>
      <c r="D2713" s="233" t="s">
        <v>45</v>
      </c>
      <c r="E2713" s="233" t="s">
        <v>48</v>
      </c>
      <c r="F2713" s="227" t="s">
        <v>2156</v>
      </c>
    </row>
    <row r="2714" spans="1:6" x14ac:dyDescent="0.25">
      <c r="A2714" s="227" t="str">
        <f>TL[[#This Row],[Société]]&amp;" - "&amp;TL[[#This Row],[Compte]]</f>
        <v>TURVILLA - 681500</v>
      </c>
      <c r="B2714" s="233" t="s">
        <v>2027</v>
      </c>
      <c r="C2714" s="227" t="s">
        <v>5984</v>
      </c>
      <c r="D2714" s="233" t="s">
        <v>45</v>
      </c>
      <c r="E2714" s="233" t="s">
        <v>48</v>
      </c>
      <c r="F2714" s="227" t="s">
        <v>2156</v>
      </c>
    </row>
    <row r="2715" spans="1:6" x14ac:dyDescent="0.25">
      <c r="A2715" s="227" t="str">
        <f>TL[[#This Row],[Société]]&amp;" - "&amp;TL[[#This Row],[Compte]]</f>
        <v>TURVILLA - 687110</v>
      </c>
      <c r="B2715" s="233" t="s">
        <v>2033</v>
      </c>
      <c r="C2715" s="227" t="s">
        <v>5658</v>
      </c>
      <c r="F2715" s="227" t="s">
        <v>2156</v>
      </c>
    </row>
    <row r="2716" spans="1:6" x14ac:dyDescent="0.25">
      <c r="A2716" s="227" t="str">
        <f>TL[[#This Row],[Société]]&amp;" - "&amp;TL[[#This Row],[Compte]]</f>
        <v>TURVILLA - 687120</v>
      </c>
      <c r="B2716" s="233" t="s">
        <v>2034</v>
      </c>
      <c r="C2716" s="227" t="s">
        <v>5985</v>
      </c>
      <c r="D2716" s="233" t="s">
        <v>45</v>
      </c>
      <c r="E2716" s="233" t="s">
        <v>48</v>
      </c>
      <c r="F2716" s="227" t="s">
        <v>2156</v>
      </c>
    </row>
    <row r="2717" spans="1:6" x14ac:dyDescent="0.25">
      <c r="A2717" s="227" t="str">
        <f>TL[[#This Row],[Société]]&amp;" - "&amp;TL[[#This Row],[Compte]]</f>
        <v>TURVILLA - 687250</v>
      </c>
      <c r="B2717" s="233" t="s">
        <v>2035</v>
      </c>
      <c r="C2717" s="227" t="s">
        <v>5986</v>
      </c>
      <c r="F2717" s="227" t="s">
        <v>2156</v>
      </c>
    </row>
    <row r="2718" spans="1:6" x14ac:dyDescent="0.25">
      <c r="A2718" s="227" t="str">
        <f>TL[[#This Row],[Société]]&amp;" - "&amp;TL[[#This Row],[Compte]]</f>
        <v>TURVILLA - 687500</v>
      </c>
      <c r="B2718" s="233" t="s">
        <v>5350</v>
      </c>
      <c r="C2718" s="227" t="s">
        <v>5351</v>
      </c>
      <c r="F2718" s="227" t="s">
        <v>2156</v>
      </c>
    </row>
    <row r="2719" spans="1:6" x14ac:dyDescent="0.25">
      <c r="A2719" s="227" t="str">
        <f>TL[[#This Row],[Société]]&amp;" - "&amp;TL[[#This Row],[Compte]]</f>
        <v>TURVILLA - 691000</v>
      </c>
      <c r="B2719" s="233" t="s">
        <v>5356</v>
      </c>
      <c r="C2719" s="227" t="s">
        <v>5722</v>
      </c>
      <c r="D2719" s="233" t="s">
        <v>50</v>
      </c>
      <c r="E2719" s="233" t="s">
        <v>1303</v>
      </c>
      <c r="F2719" s="227" t="s">
        <v>2156</v>
      </c>
    </row>
    <row r="2720" spans="1:6" x14ac:dyDescent="0.25">
      <c r="A2720" s="227" t="str">
        <f>TL[[#This Row],[Société]]&amp;" - "&amp;TL[[#This Row],[Compte]]</f>
        <v>TURVILLA - 695000</v>
      </c>
      <c r="B2720" s="233" t="s">
        <v>2036</v>
      </c>
      <c r="C2720" s="227" t="s">
        <v>157</v>
      </c>
      <c r="D2720" s="233" t="s">
        <v>152</v>
      </c>
      <c r="E2720" s="233" t="s">
        <v>1303</v>
      </c>
      <c r="F2720" s="227" t="s">
        <v>2156</v>
      </c>
    </row>
    <row r="2721" spans="1:6" x14ac:dyDescent="0.25">
      <c r="A2721" s="227" t="str">
        <f>TL[[#This Row],[Société]]&amp;" - "&amp;TL[[#This Row],[Compte]]</f>
        <v>TURVILLA - 695100</v>
      </c>
      <c r="B2721" s="233" t="s">
        <v>2037</v>
      </c>
      <c r="C2721" s="227" t="s">
        <v>1055</v>
      </c>
      <c r="F2721" s="227" t="s">
        <v>2156</v>
      </c>
    </row>
    <row r="2722" spans="1:6" x14ac:dyDescent="0.25">
      <c r="A2722" s="227" t="str">
        <f>TL[[#This Row],[Société]]&amp;" - "&amp;TL[[#This Row],[Compte]]</f>
        <v>TURVILLA - 698100</v>
      </c>
      <c r="B2722" s="233" t="s">
        <v>5362</v>
      </c>
      <c r="C2722" s="227" t="s">
        <v>5987</v>
      </c>
      <c r="F2722" s="227" t="s">
        <v>2156</v>
      </c>
    </row>
    <row r="2723" spans="1:6" x14ac:dyDescent="0.25">
      <c r="A2723" s="227" t="str">
        <f>TL[[#This Row],[Société]]&amp;" - "&amp;TL[[#This Row],[Compte]]</f>
        <v>TURVILLA - 698910</v>
      </c>
      <c r="B2723" s="233" t="s">
        <v>2041</v>
      </c>
      <c r="C2723" s="227" t="s">
        <v>5988</v>
      </c>
      <c r="F2723" s="227" t="s">
        <v>2156</v>
      </c>
    </row>
    <row r="2724" spans="1:6" x14ac:dyDescent="0.25">
      <c r="A2724" s="227" t="str">
        <f>TL[[#This Row],[Société]]&amp;" - "&amp;TL[[#This Row],[Compte]]</f>
        <v>TURVILLA - 699830</v>
      </c>
      <c r="B2724" s="233" t="s">
        <v>5989</v>
      </c>
      <c r="C2724" s="227" t="s">
        <v>5990</v>
      </c>
      <c r="F2724" s="227" t="s">
        <v>2156</v>
      </c>
    </row>
    <row r="2725" spans="1:6" x14ac:dyDescent="0.25">
      <c r="A2725" s="227" t="str">
        <f>TL[[#This Row],[Société]]&amp;" - "&amp;TL[[#This Row],[Compte]]</f>
        <v>TURVILLA - 701001</v>
      </c>
      <c r="B2725" s="233" t="s">
        <v>1793</v>
      </c>
      <c r="C2725" s="227" t="s">
        <v>64</v>
      </c>
      <c r="D2725" s="233" t="s">
        <v>143</v>
      </c>
      <c r="E2725" s="233" t="s">
        <v>5</v>
      </c>
      <c r="F2725" s="227" t="s">
        <v>2156</v>
      </c>
    </row>
    <row r="2726" spans="1:6" x14ac:dyDescent="0.25">
      <c r="A2726" s="227" t="str">
        <f>TL[[#This Row],[Société]]&amp;" - "&amp;TL[[#This Row],[Compte]]</f>
        <v>TURVILLA - 701002</v>
      </c>
      <c r="B2726" s="233" t="s">
        <v>1797</v>
      </c>
      <c r="C2726" s="227" t="s">
        <v>2431</v>
      </c>
      <c r="D2726" s="233" t="s">
        <v>143</v>
      </c>
      <c r="E2726" s="233" t="s">
        <v>5</v>
      </c>
      <c r="F2726" s="227" t="s">
        <v>2156</v>
      </c>
    </row>
    <row r="2727" spans="1:6" x14ac:dyDescent="0.25">
      <c r="A2727" s="227" t="str">
        <f>TL[[#This Row],[Société]]&amp;" - "&amp;TL[[#This Row],[Compte]]</f>
        <v>TURVILLA - 701004</v>
      </c>
      <c r="B2727" s="233" t="s">
        <v>2046</v>
      </c>
      <c r="C2727" s="227" t="s">
        <v>2432</v>
      </c>
      <c r="D2727" s="233" t="s">
        <v>143</v>
      </c>
      <c r="E2727" s="233" t="s">
        <v>5</v>
      </c>
      <c r="F2727" s="227" t="s">
        <v>2156</v>
      </c>
    </row>
    <row r="2728" spans="1:6" x14ac:dyDescent="0.25">
      <c r="A2728" s="227" t="str">
        <f>TL[[#This Row],[Société]]&amp;" - "&amp;TL[[#This Row],[Compte]]</f>
        <v>TURVILLA - 701005</v>
      </c>
      <c r="B2728" s="233" t="s">
        <v>1800</v>
      </c>
      <c r="C2728" s="227" t="s">
        <v>2475</v>
      </c>
      <c r="D2728" s="233" t="s">
        <v>143</v>
      </c>
      <c r="E2728" s="233" t="s">
        <v>5</v>
      </c>
      <c r="F2728" s="227" t="s">
        <v>2156</v>
      </c>
    </row>
    <row r="2729" spans="1:6" x14ac:dyDescent="0.25">
      <c r="A2729" s="227" t="str">
        <f>TL[[#This Row],[Société]]&amp;" - "&amp;TL[[#This Row],[Compte]]</f>
        <v>TURVILLA - 701006</v>
      </c>
      <c r="B2729" s="233" t="s">
        <v>1799</v>
      </c>
      <c r="C2729" s="227" t="s">
        <v>5991</v>
      </c>
      <c r="D2729" s="233" t="s">
        <v>143</v>
      </c>
      <c r="E2729" s="233" t="s">
        <v>5</v>
      </c>
      <c r="F2729" s="227" t="s">
        <v>2156</v>
      </c>
    </row>
    <row r="2730" spans="1:6" x14ac:dyDescent="0.25">
      <c r="A2730" s="227" t="str">
        <f>TL[[#This Row],[Société]]&amp;" - "&amp;TL[[#This Row],[Compte]]</f>
        <v>TURVILLA - 701010</v>
      </c>
      <c r="B2730" s="233" t="s">
        <v>2047</v>
      </c>
      <c r="C2730" s="227" t="s">
        <v>5992</v>
      </c>
      <c r="D2730" s="233" t="s">
        <v>143</v>
      </c>
      <c r="E2730" s="233" t="s">
        <v>5</v>
      </c>
      <c r="F2730" s="227" t="s">
        <v>2156</v>
      </c>
    </row>
    <row r="2731" spans="1:6" x14ac:dyDescent="0.25">
      <c r="A2731" s="227" t="str">
        <f>TL[[#This Row],[Société]]&amp;" - "&amp;TL[[#This Row],[Compte]]</f>
        <v>TURVILLA - 701011</v>
      </c>
      <c r="B2731" s="233" t="s">
        <v>2048</v>
      </c>
      <c r="C2731" s="227" t="s">
        <v>2265</v>
      </c>
      <c r="D2731" s="233" t="s">
        <v>143</v>
      </c>
      <c r="E2731" s="233" t="s">
        <v>5</v>
      </c>
      <c r="F2731" s="227" t="s">
        <v>2156</v>
      </c>
    </row>
    <row r="2732" spans="1:6" x14ac:dyDescent="0.25">
      <c r="A2732" s="227" t="str">
        <f>TL[[#This Row],[Société]]&amp;" - "&amp;TL[[#This Row],[Compte]]</f>
        <v>TURVILLA - 701015</v>
      </c>
      <c r="B2732" s="233" t="s">
        <v>2513</v>
      </c>
      <c r="C2732" s="227" t="s">
        <v>2266</v>
      </c>
      <c r="D2732" s="233" t="s">
        <v>143</v>
      </c>
      <c r="E2732" s="233" t="s">
        <v>5</v>
      </c>
      <c r="F2732" s="227" t="s">
        <v>2156</v>
      </c>
    </row>
    <row r="2733" spans="1:6" x14ac:dyDescent="0.25">
      <c r="A2733" s="227" t="str">
        <f>TL[[#This Row],[Société]]&amp;" - "&amp;TL[[#This Row],[Compte]]</f>
        <v>TURVILLA - 701020</v>
      </c>
      <c r="B2733" s="233" t="s">
        <v>2049</v>
      </c>
      <c r="C2733" s="227" t="s">
        <v>2267</v>
      </c>
      <c r="D2733" s="233" t="s">
        <v>143</v>
      </c>
      <c r="E2733" s="233" t="s">
        <v>5</v>
      </c>
      <c r="F2733" s="227" t="s">
        <v>2156</v>
      </c>
    </row>
    <row r="2734" spans="1:6" x14ac:dyDescent="0.25">
      <c r="A2734" s="227" t="str">
        <f>TL[[#This Row],[Société]]&amp;" - "&amp;TL[[#This Row],[Compte]]</f>
        <v>TURVILLA - 701040</v>
      </c>
      <c r="B2734" s="233" t="s">
        <v>2813</v>
      </c>
      <c r="C2734" s="227" t="s">
        <v>5993</v>
      </c>
      <c r="D2734" s="233" t="s">
        <v>143</v>
      </c>
      <c r="E2734" s="233" t="s">
        <v>5</v>
      </c>
      <c r="F2734" s="227" t="s">
        <v>2156</v>
      </c>
    </row>
    <row r="2735" spans="1:6" x14ac:dyDescent="0.25">
      <c r="A2735" s="227" t="str">
        <f>TL[[#This Row],[Société]]&amp;" - "&amp;TL[[#This Row],[Compte]]</f>
        <v>TURVILLA - 701100</v>
      </c>
      <c r="B2735" s="233" t="s">
        <v>2050</v>
      </c>
      <c r="C2735" s="227" t="s">
        <v>2268</v>
      </c>
      <c r="D2735" s="233" t="s">
        <v>143</v>
      </c>
      <c r="E2735" s="233" t="s">
        <v>5</v>
      </c>
      <c r="F2735" s="227" t="s">
        <v>2156</v>
      </c>
    </row>
    <row r="2736" spans="1:6" x14ac:dyDescent="0.25">
      <c r="A2736" s="227" t="str">
        <f>TL[[#This Row],[Société]]&amp;" - "&amp;TL[[#This Row],[Compte]]</f>
        <v>TURVILLA - 701200</v>
      </c>
      <c r="B2736" s="233" t="s">
        <v>2814</v>
      </c>
      <c r="C2736" s="227" t="s">
        <v>5993</v>
      </c>
      <c r="D2736" s="233" t="s">
        <v>143</v>
      </c>
      <c r="E2736" s="233" t="s">
        <v>5</v>
      </c>
      <c r="F2736" s="227" t="s">
        <v>2156</v>
      </c>
    </row>
    <row r="2737" spans="1:6" x14ac:dyDescent="0.25">
      <c r="A2737" s="227" t="str">
        <f>TL[[#This Row],[Société]]&amp;" - "&amp;TL[[#This Row],[Compte]]</f>
        <v>TURVILLA - 701220</v>
      </c>
      <c r="B2737" s="233" t="s">
        <v>2051</v>
      </c>
      <c r="C2737" s="227" t="s">
        <v>5812</v>
      </c>
      <c r="F2737" s="227" t="s">
        <v>2156</v>
      </c>
    </row>
    <row r="2738" spans="1:6" x14ac:dyDescent="0.25">
      <c r="A2738" s="227" t="str">
        <f>TL[[#This Row],[Société]]&amp;" - "&amp;TL[[#This Row],[Compte]]</f>
        <v>TURVILLA - 702001</v>
      </c>
      <c r="B2738" s="233" t="s">
        <v>5994</v>
      </c>
      <c r="C2738" s="227" t="s">
        <v>5995</v>
      </c>
      <c r="D2738" s="233" t="s">
        <v>143</v>
      </c>
      <c r="E2738" s="233" t="s">
        <v>3004</v>
      </c>
      <c r="F2738" s="227" t="s">
        <v>2156</v>
      </c>
    </row>
    <row r="2739" spans="1:6" x14ac:dyDescent="0.25">
      <c r="A2739" s="227" t="str">
        <f>TL[[#This Row],[Société]]&amp;" - "&amp;TL[[#This Row],[Compte]]</f>
        <v>TURVILLA - 702003</v>
      </c>
      <c r="B2739" s="233" t="s">
        <v>5996</v>
      </c>
      <c r="C2739" s="227" t="s">
        <v>5997</v>
      </c>
      <c r="D2739" s="233" t="s">
        <v>143</v>
      </c>
      <c r="E2739" s="233" t="s">
        <v>3004</v>
      </c>
      <c r="F2739" s="227" t="s">
        <v>2156</v>
      </c>
    </row>
    <row r="2740" spans="1:6" x14ac:dyDescent="0.25">
      <c r="A2740" s="227" t="str">
        <f>TL[[#This Row],[Société]]&amp;" - "&amp;TL[[#This Row],[Compte]]</f>
        <v>TURVILLA - 702004</v>
      </c>
      <c r="B2740" s="233" t="s">
        <v>5998</v>
      </c>
      <c r="C2740" s="227" t="s">
        <v>5999</v>
      </c>
      <c r="D2740" s="233" t="s">
        <v>143</v>
      </c>
      <c r="E2740" s="233" t="s">
        <v>3004</v>
      </c>
      <c r="F2740" s="227" t="s">
        <v>2156</v>
      </c>
    </row>
    <row r="2741" spans="1:6" x14ac:dyDescent="0.25">
      <c r="A2741" s="227" t="str">
        <f>TL[[#This Row],[Société]]&amp;" - "&amp;TL[[#This Row],[Compte]]</f>
        <v>TURVILLA - 702300</v>
      </c>
      <c r="B2741" s="233" t="s">
        <v>1794</v>
      </c>
      <c r="C2741" s="227" t="s">
        <v>64</v>
      </c>
      <c r="D2741" s="233" t="s">
        <v>149</v>
      </c>
      <c r="E2741" s="233" t="s">
        <v>3004</v>
      </c>
      <c r="F2741" s="227" t="s">
        <v>2156</v>
      </c>
    </row>
    <row r="2742" spans="1:6" x14ac:dyDescent="0.25">
      <c r="A2742" s="227" t="str">
        <f>TL[[#This Row],[Société]]&amp;" - "&amp;TL[[#This Row],[Compte]]</f>
        <v>TURVILLA - 703100</v>
      </c>
      <c r="B2742" s="233" t="s">
        <v>3339</v>
      </c>
      <c r="C2742" s="227" t="s">
        <v>3340</v>
      </c>
      <c r="D2742" s="233" t="s">
        <v>0</v>
      </c>
      <c r="E2742" s="233" t="s">
        <v>7</v>
      </c>
      <c r="F2742" s="227" t="s">
        <v>2156</v>
      </c>
    </row>
    <row r="2743" spans="1:6" x14ac:dyDescent="0.25">
      <c r="A2743" s="227" t="str">
        <f>TL[[#This Row],[Société]]&amp;" - "&amp;TL[[#This Row],[Compte]]</f>
        <v>TURVILLA - 706005</v>
      </c>
      <c r="B2743" s="233" t="s">
        <v>2052</v>
      </c>
      <c r="C2743" s="227" t="s">
        <v>6000</v>
      </c>
      <c r="D2743" s="233" t="s">
        <v>50</v>
      </c>
      <c r="E2743" s="233" t="s">
        <v>52</v>
      </c>
      <c r="F2743" s="227" t="s">
        <v>2156</v>
      </c>
    </row>
    <row r="2744" spans="1:6" x14ac:dyDescent="0.25">
      <c r="A2744" s="227" t="str">
        <f>TL[[#This Row],[Société]]&amp;" - "&amp;TL[[#This Row],[Compte]]</f>
        <v>TURVILLA - 708000</v>
      </c>
      <c r="B2744" s="233" t="s">
        <v>1735</v>
      </c>
      <c r="C2744" s="227" t="s">
        <v>2179</v>
      </c>
      <c r="D2744" s="233" t="s">
        <v>0</v>
      </c>
      <c r="E2744" s="233" t="s">
        <v>7</v>
      </c>
      <c r="F2744" s="227" t="s">
        <v>2156</v>
      </c>
    </row>
    <row r="2745" spans="1:6" x14ac:dyDescent="0.25">
      <c r="A2745" s="227" t="str">
        <f>TL[[#This Row],[Société]]&amp;" - "&amp;TL[[#This Row],[Compte]]</f>
        <v>TURVILLA - 708801</v>
      </c>
      <c r="B2745" s="233" t="s">
        <v>5451</v>
      </c>
      <c r="C2745" s="227" t="s">
        <v>6001</v>
      </c>
      <c r="D2745" s="233" t="s">
        <v>152</v>
      </c>
      <c r="E2745" s="233" t="s">
        <v>2982</v>
      </c>
      <c r="F2745" s="227" t="s">
        <v>2156</v>
      </c>
    </row>
    <row r="2746" spans="1:6" x14ac:dyDescent="0.25">
      <c r="A2746" s="227" t="str">
        <f>TL[[#This Row],[Société]]&amp;" - "&amp;TL[[#This Row],[Compte]]</f>
        <v>TURVILLA - 708809</v>
      </c>
      <c r="B2746" s="233" t="s">
        <v>5463</v>
      </c>
      <c r="C2746" s="227" t="s">
        <v>2428</v>
      </c>
      <c r="D2746" s="233" t="s">
        <v>18</v>
      </c>
      <c r="E2746" s="233" t="s">
        <v>32</v>
      </c>
      <c r="F2746" s="227" t="s">
        <v>2156</v>
      </c>
    </row>
    <row r="2747" spans="1:6" x14ac:dyDescent="0.25">
      <c r="A2747" s="227" t="str">
        <f>TL[[#This Row],[Société]]&amp;" - "&amp;TL[[#This Row],[Compte]]</f>
        <v>TURVILLA - 708810</v>
      </c>
      <c r="B2747" s="233" t="s">
        <v>2061</v>
      </c>
      <c r="C2747" s="227" t="s">
        <v>6002</v>
      </c>
      <c r="D2747" s="233" t="s">
        <v>0</v>
      </c>
      <c r="E2747" s="233" t="s">
        <v>7</v>
      </c>
      <c r="F2747" s="227" t="s">
        <v>2156</v>
      </c>
    </row>
    <row r="2748" spans="1:6" x14ac:dyDescent="0.25">
      <c r="A2748" s="227" t="str">
        <f>TL[[#This Row],[Société]]&amp;" - "&amp;TL[[#This Row],[Compte]]</f>
        <v>TURVILLA - 708811</v>
      </c>
      <c r="B2748" s="233" t="s">
        <v>2062</v>
      </c>
      <c r="C2748" s="227" t="s">
        <v>6003</v>
      </c>
      <c r="D2748" s="233" t="s">
        <v>20</v>
      </c>
      <c r="E2748" s="233" t="s">
        <v>25</v>
      </c>
      <c r="F2748" s="227" t="s">
        <v>2156</v>
      </c>
    </row>
    <row r="2749" spans="1:6" x14ac:dyDescent="0.25">
      <c r="A2749" s="227" t="str">
        <f>TL[[#This Row],[Société]]&amp;" - "&amp;TL[[#This Row],[Compte]]</f>
        <v>TURVILLA - 708820</v>
      </c>
      <c r="B2749" s="233" t="s">
        <v>3350</v>
      </c>
      <c r="C2749" s="227" t="s">
        <v>6004</v>
      </c>
      <c r="D2749" s="233" t="s">
        <v>0</v>
      </c>
      <c r="E2749" s="233" t="s">
        <v>7</v>
      </c>
      <c r="F2749" s="227" t="s">
        <v>2156</v>
      </c>
    </row>
    <row r="2750" spans="1:6" x14ac:dyDescent="0.25">
      <c r="A2750" s="227" t="str">
        <f>TL[[#This Row],[Société]]&amp;" - "&amp;TL[[#This Row],[Compte]]</f>
        <v>TURVILLA - 708821</v>
      </c>
      <c r="B2750" s="233" t="s">
        <v>6005</v>
      </c>
      <c r="C2750" s="227" t="s">
        <v>2269</v>
      </c>
      <c r="D2750" s="233" t="s">
        <v>50</v>
      </c>
      <c r="E2750" s="233" t="s">
        <v>3</v>
      </c>
      <c r="F2750" s="227" t="s">
        <v>2156</v>
      </c>
    </row>
    <row r="2751" spans="1:6" x14ac:dyDescent="0.25">
      <c r="A2751" s="227" t="str">
        <f>TL[[#This Row],[Société]]&amp;" - "&amp;TL[[#This Row],[Compte]]</f>
        <v>TURVILLA - 708822</v>
      </c>
      <c r="B2751" s="233" t="s">
        <v>6006</v>
      </c>
      <c r="C2751" s="227" t="s">
        <v>6007</v>
      </c>
      <c r="D2751" s="233" t="s">
        <v>147</v>
      </c>
      <c r="E2751" s="233" t="s">
        <v>2978</v>
      </c>
      <c r="F2751" s="227" t="s">
        <v>2156</v>
      </c>
    </row>
    <row r="2752" spans="1:6" x14ac:dyDescent="0.25">
      <c r="A2752" s="227" t="str">
        <f>TL[[#This Row],[Société]]&amp;" - "&amp;TL[[#This Row],[Compte]]</f>
        <v>TURVILLA - 708823</v>
      </c>
      <c r="B2752" s="233" t="s">
        <v>6008</v>
      </c>
      <c r="C2752" s="227" t="s">
        <v>2808</v>
      </c>
      <c r="D2752" s="233" t="s">
        <v>50</v>
      </c>
      <c r="E2752" s="233" t="s">
        <v>71</v>
      </c>
      <c r="F2752" s="227" t="s">
        <v>2156</v>
      </c>
    </row>
    <row r="2753" spans="1:6" x14ac:dyDescent="0.25">
      <c r="A2753" s="227" t="str">
        <f>TL[[#This Row],[Société]]&amp;" - "&amp;TL[[#This Row],[Compte]]</f>
        <v>TURVILLA - 708830</v>
      </c>
      <c r="B2753" s="233" t="s">
        <v>3352</v>
      </c>
      <c r="C2753" s="227" t="s">
        <v>2270</v>
      </c>
      <c r="D2753" s="233" t="s">
        <v>15</v>
      </c>
      <c r="E2753" s="233" t="s">
        <v>13</v>
      </c>
      <c r="F2753" s="227" t="s">
        <v>2156</v>
      </c>
    </row>
    <row r="2754" spans="1:6" x14ac:dyDescent="0.25">
      <c r="A2754" s="227" t="str">
        <f>TL[[#This Row],[Société]]&amp;" - "&amp;TL[[#This Row],[Compte]]</f>
        <v>TURVILLA - 708831</v>
      </c>
      <c r="B2754" s="233" t="s">
        <v>6009</v>
      </c>
      <c r="C2754" s="227" t="s">
        <v>6010</v>
      </c>
      <c r="D2754" s="233" t="s">
        <v>13</v>
      </c>
      <c r="E2754" s="233" t="s">
        <v>12</v>
      </c>
      <c r="F2754" s="227" t="s">
        <v>2156</v>
      </c>
    </row>
    <row r="2755" spans="1:6" x14ac:dyDescent="0.25">
      <c r="A2755" s="227" t="str">
        <f>TL[[#This Row],[Société]]&amp;" - "&amp;TL[[#This Row],[Compte]]</f>
        <v>TURVILLA - 708840</v>
      </c>
      <c r="B2755" s="233" t="s">
        <v>3354</v>
      </c>
      <c r="C2755" s="227" t="s">
        <v>2271</v>
      </c>
      <c r="D2755" s="233" t="s">
        <v>13</v>
      </c>
      <c r="E2755" s="233" t="s">
        <v>12</v>
      </c>
      <c r="F2755" s="227" t="s">
        <v>2156</v>
      </c>
    </row>
    <row r="2756" spans="1:6" x14ac:dyDescent="0.25">
      <c r="A2756" s="227" t="str">
        <f>TL[[#This Row],[Société]]&amp;" - "&amp;TL[[#This Row],[Compte]]</f>
        <v>TURVILLA - 708841</v>
      </c>
      <c r="B2756" s="233" t="s">
        <v>6011</v>
      </c>
      <c r="C2756" s="227" t="s">
        <v>6012</v>
      </c>
      <c r="D2756" s="233" t="s">
        <v>150</v>
      </c>
      <c r="E2756" s="233" t="s">
        <v>3004</v>
      </c>
      <c r="F2756" s="227" t="s">
        <v>2156</v>
      </c>
    </row>
    <row r="2757" spans="1:6" x14ac:dyDescent="0.25">
      <c r="A2757" s="227" t="str">
        <f>TL[[#This Row],[Société]]&amp;" - "&amp;TL[[#This Row],[Compte]]</f>
        <v>TURVILLA - 708844</v>
      </c>
      <c r="B2757" s="233" t="s">
        <v>6013</v>
      </c>
      <c r="C2757" s="227" t="s">
        <v>6014</v>
      </c>
      <c r="D2757" s="233" t="s">
        <v>32</v>
      </c>
      <c r="E2757" s="233" t="s">
        <v>2982</v>
      </c>
      <c r="F2757" s="227" t="s">
        <v>2156</v>
      </c>
    </row>
    <row r="2758" spans="1:6" x14ac:dyDescent="0.25">
      <c r="A2758" s="227" t="str">
        <f>TL[[#This Row],[Société]]&amp;" - "&amp;TL[[#This Row],[Compte]]</f>
        <v>TURVILLA - 708845</v>
      </c>
      <c r="B2758" s="233" t="s">
        <v>6015</v>
      </c>
      <c r="C2758" s="227" t="s">
        <v>1329</v>
      </c>
      <c r="D2758" s="233" t="s">
        <v>21</v>
      </c>
      <c r="E2758" s="233" t="s">
        <v>2982</v>
      </c>
      <c r="F2758" s="227" t="s">
        <v>2156</v>
      </c>
    </row>
    <row r="2759" spans="1:6" x14ac:dyDescent="0.25">
      <c r="A2759" s="227" t="str">
        <f>TL[[#This Row],[Société]]&amp;" - "&amp;TL[[#This Row],[Compte]]</f>
        <v>TURVILLA - 708846</v>
      </c>
      <c r="B2759" s="233" t="s">
        <v>6016</v>
      </c>
      <c r="C2759" s="227" t="s">
        <v>2809</v>
      </c>
      <c r="D2759" s="239" t="s">
        <v>25</v>
      </c>
      <c r="E2759" s="233" t="s">
        <v>23</v>
      </c>
      <c r="F2759" s="227" t="s">
        <v>2156</v>
      </c>
    </row>
    <row r="2760" spans="1:6" x14ac:dyDescent="0.25">
      <c r="A2760" s="227" t="str">
        <f>TL[[#This Row],[Société]]&amp;" - "&amp;TL[[#This Row],[Compte]]</f>
        <v>TURVILLA - 708850</v>
      </c>
      <c r="B2760" s="233" t="s">
        <v>2745</v>
      </c>
      <c r="C2760" s="227" t="s">
        <v>6017</v>
      </c>
      <c r="D2760" s="233" t="s">
        <v>12</v>
      </c>
      <c r="E2760" s="233" t="s">
        <v>3</v>
      </c>
      <c r="F2760" s="227" t="s">
        <v>2156</v>
      </c>
    </row>
    <row r="2761" spans="1:6" x14ac:dyDescent="0.25">
      <c r="A2761" s="227" t="str">
        <f>TL[[#This Row],[Société]]&amp;" - "&amp;TL[[#This Row],[Compte]]</f>
        <v>TURVILLA - 708852</v>
      </c>
      <c r="B2761" s="233" t="s">
        <v>6018</v>
      </c>
      <c r="C2761" s="227" t="s">
        <v>6019</v>
      </c>
      <c r="D2761" s="233" t="s">
        <v>143</v>
      </c>
      <c r="E2761" s="233" t="s">
        <v>5</v>
      </c>
      <c r="F2761" s="227" t="s">
        <v>2156</v>
      </c>
    </row>
    <row r="2762" spans="1:6" x14ac:dyDescent="0.25">
      <c r="A2762" s="227" t="str">
        <f>TL[[#This Row],[Société]]&amp;" - "&amp;TL[[#This Row],[Compte]]</f>
        <v>TURVILLA - 708855</v>
      </c>
      <c r="B2762" s="233" t="s">
        <v>6020</v>
      </c>
      <c r="C2762" s="227" t="s">
        <v>802</v>
      </c>
      <c r="D2762" s="233" t="s">
        <v>0</v>
      </c>
      <c r="E2762" s="233" t="s">
        <v>7</v>
      </c>
      <c r="F2762" s="227" t="s">
        <v>2156</v>
      </c>
    </row>
    <row r="2763" spans="1:6" x14ac:dyDescent="0.25">
      <c r="A2763" s="227" t="str">
        <f>TL[[#This Row],[Société]]&amp;" - "&amp;TL[[#This Row],[Compte]]</f>
        <v>TURVILLA - 708856</v>
      </c>
      <c r="B2763" s="233" t="s">
        <v>2577</v>
      </c>
      <c r="C2763" s="227" t="s">
        <v>2272</v>
      </c>
      <c r="D2763" s="233" t="s">
        <v>25</v>
      </c>
      <c r="E2763" s="233" t="s">
        <v>2978</v>
      </c>
      <c r="F2763" s="227" t="s">
        <v>2156</v>
      </c>
    </row>
    <row r="2764" spans="1:6" x14ac:dyDescent="0.25">
      <c r="A2764" s="227" t="str">
        <f>TL[[#This Row],[Société]]&amp;" - "&amp;TL[[#This Row],[Compte]]</f>
        <v>TURVILLA - 708857</v>
      </c>
      <c r="B2764" s="233" t="s">
        <v>6021</v>
      </c>
      <c r="C2764" s="227" t="s">
        <v>6022</v>
      </c>
      <c r="D2764" s="233" t="s">
        <v>23</v>
      </c>
      <c r="E2764" s="233" t="s">
        <v>2978</v>
      </c>
      <c r="F2764" s="227" t="s">
        <v>2156</v>
      </c>
    </row>
    <row r="2765" spans="1:6" x14ac:dyDescent="0.25">
      <c r="A2765" s="227" t="str">
        <f>TL[[#This Row],[Société]]&amp;" - "&amp;TL[[#This Row],[Compte]]</f>
        <v>TURVILLA - 708858</v>
      </c>
      <c r="B2765" s="233" t="s">
        <v>6023</v>
      </c>
      <c r="C2765" s="227" t="s">
        <v>6024</v>
      </c>
      <c r="D2765" s="233" t="s">
        <v>7</v>
      </c>
      <c r="E2765" s="233" t="s">
        <v>0</v>
      </c>
      <c r="F2765" s="227" t="s">
        <v>2156</v>
      </c>
    </row>
    <row r="2766" spans="1:6" x14ac:dyDescent="0.25">
      <c r="A2766" s="227" t="str">
        <f>TL[[#This Row],[Société]]&amp;" - "&amp;TL[[#This Row],[Compte]]</f>
        <v>TURVILLA - 708859</v>
      </c>
      <c r="B2766" s="233" t="s">
        <v>6025</v>
      </c>
      <c r="C2766" s="227" t="s">
        <v>6026</v>
      </c>
      <c r="D2766" s="233" t="s">
        <v>50</v>
      </c>
      <c r="E2766" s="233" t="s">
        <v>16</v>
      </c>
      <c r="F2766" s="227" t="s">
        <v>2156</v>
      </c>
    </row>
    <row r="2767" spans="1:6" x14ac:dyDescent="0.25">
      <c r="A2767" s="227" t="str">
        <f>TL[[#This Row],[Société]]&amp;" - "&amp;TL[[#This Row],[Compte]]</f>
        <v>TURVILLA - 708860</v>
      </c>
      <c r="B2767" s="233" t="s">
        <v>2602</v>
      </c>
      <c r="C2767" s="227" t="s">
        <v>2273</v>
      </c>
      <c r="D2767" s="233" t="s">
        <v>50</v>
      </c>
      <c r="E2767" s="233" t="s">
        <v>2979</v>
      </c>
      <c r="F2767" s="227" t="s">
        <v>2156</v>
      </c>
    </row>
    <row r="2768" spans="1:6" x14ac:dyDescent="0.25">
      <c r="A2768" s="227" t="str">
        <f>TL[[#This Row],[Société]]&amp;" - "&amp;TL[[#This Row],[Compte]]</f>
        <v>TURVILLA - 708861</v>
      </c>
      <c r="B2768" s="233" t="s">
        <v>6027</v>
      </c>
      <c r="C2768" s="227" t="s">
        <v>6028</v>
      </c>
      <c r="D2768" s="233" t="s">
        <v>147</v>
      </c>
      <c r="E2768" s="233" t="s">
        <v>2978</v>
      </c>
      <c r="F2768" s="227" t="s">
        <v>2156</v>
      </c>
    </row>
    <row r="2769" spans="1:6" x14ac:dyDescent="0.25">
      <c r="A2769" s="227" t="str">
        <f>TL[[#This Row],[Société]]&amp;" - "&amp;TL[[#This Row],[Compte]]</f>
        <v>TURVILLA - 708862</v>
      </c>
      <c r="B2769" s="233" t="s">
        <v>6029</v>
      </c>
      <c r="C2769" s="227" t="s">
        <v>6030</v>
      </c>
      <c r="D2769" s="233" t="s">
        <v>147</v>
      </c>
      <c r="E2769" s="233" t="s">
        <v>2979</v>
      </c>
      <c r="F2769" s="227" t="s">
        <v>2156</v>
      </c>
    </row>
    <row r="2770" spans="1:6" x14ac:dyDescent="0.25">
      <c r="A2770" s="227" t="str">
        <f>TL[[#This Row],[Société]]&amp;" - "&amp;TL[[#This Row],[Compte]]</f>
        <v>TURVILLA - 708863</v>
      </c>
      <c r="B2770" s="233" t="s">
        <v>6031</v>
      </c>
      <c r="C2770" s="227" t="s">
        <v>6032</v>
      </c>
      <c r="D2770" s="233" t="s">
        <v>27</v>
      </c>
      <c r="E2770" s="233" t="s">
        <v>34</v>
      </c>
      <c r="F2770" s="227" t="s">
        <v>2156</v>
      </c>
    </row>
    <row r="2771" spans="1:6" x14ac:dyDescent="0.25">
      <c r="A2771" s="227" t="str">
        <f>TL[[#This Row],[Société]]&amp;" - "&amp;TL[[#This Row],[Compte]]</f>
        <v>TURVILLA - 708864</v>
      </c>
      <c r="B2771" s="233" t="s">
        <v>6033</v>
      </c>
      <c r="C2771" s="227" t="s">
        <v>6034</v>
      </c>
      <c r="D2771" s="233" t="s">
        <v>25</v>
      </c>
      <c r="E2771" s="233" t="s">
        <v>23</v>
      </c>
      <c r="F2771" s="227" t="s">
        <v>2156</v>
      </c>
    </row>
    <row r="2772" spans="1:6" x14ac:dyDescent="0.25">
      <c r="A2772" s="227" t="str">
        <f>TL[[#This Row],[Société]]&amp;" - "&amp;TL[[#This Row],[Compte]]</f>
        <v>TURVILLA - 708865</v>
      </c>
      <c r="B2772" s="233" t="s">
        <v>6035</v>
      </c>
      <c r="C2772" s="227" t="s">
        <v>6036</v>
      </c>
      <c r="D2772" s="233" t="s">
        <v>39</v>
      </c>
      <c r="E2772" s="233" t="s">
        <v>44</v>
      </c>
      <c r="F2772" s="227" t="s">
        <v>2156</v>
      </c>
    </row>
    <row r="2773" spans="1:6" x14ac:dyDescent="0.25">
      <c r="A2773" s="227" t="str">
        <f>TL[[#This Row],[Société]]&amp;" - "&amp;TL[[#This Row],[Compte]]</f>
        <v>TURVILLA - 708866</v>
      </c>
      <c r="B2773" s="233" t="s">
        <v>6037</v>
      </c>
      <c r="C2773" s="227" t="s">
        <v>6038</v>
      </c>
      <c r="D2773" s="233" t="s">
        <v>32</v>
      </c>
      <c r="E2773" s="233" t="s">
        <v>2982</v>
      </c>
      <c r="F2773" s="227" t="s">
        <v>2156</v>
      </c>
    </row>
    <row r="2774" spans="1:6" x14ac:dyDescent="0.25">
      <c r="A2774" s="227" t="str">
        <f>TL[[#This Row],[Société]]&amp;" - "&amp;TL[[#This Row],[Compte]]</f>
        <v>TURVILLA - 708867</v>
      </c>
      <c r="B2774" s="233" t="s">
        <v>6039</v>
      </c>
      <c r="C2774" s="227" t="s">
        <v>6040</v>
      </c>
      <c r="D2774" s="233" t="s">
        <v>50</v>
      </c>
      <c r="E2774" s="233" t="s">
        <v>25</v>
      </c>
      <c r="F2774" s="227" t="s">
        <v>2156</v>
      </c>
    </row>
    <row r="2775" spans="1:6" x14ac:dyDescent="0.25">
      <c r="A2775" s="227" t="str">
        <f>TL[[#This Row],[Société]]&amp;" - "&amp;TL[[#This Row],[Compte]]</f>
        <v>TURVILLA - 708870</v>
      </c>
      <c r="B2775" s="233" t="s">
        <v>2571</v>
      </c>
      <c r="C2775" s="227" t="s">
        <v>2274</v>
      </c>
      <c r="D2775" s="233" t="s">
        <v>18</v>
      </c>
      <c r="E2775" s="233" t="s">
        <v>30</v>
      </c>
      <c r="F2775" s="227" t="s">
        <v>2156</v>
      </c>
    </row>
    <row r="2776" spans="1:6" x14ac:dyDescent="0.25">
      <c r="A2776" s="227" t="str">
        <f>TL[[#This Row],[Société]]&amp;" - "&amp;TL[[#This Row],[Compte]]</f>
        <v>TURVILLA - 708880</v>
      </c>
      <c r="B2776" s="233" t="s">
        <v>2608</v>
      </c>
      <c r="C2776" s="227" t="s">
        <v>2275</v>
      </c>
      <c r="D2776" s="233" t="s">
        <v>150</v>
      </c>
      <c r="E2776" s="233" t="s">
        <v>3004</v>
      </c>
      <c r="F2776" s="227" t="s">
        <v>2156</v>
      </c>
    </row>
    <row r="2777" spans="1:6" x14ac:dyDescent="0.25">
      <c r="A2777" s="227" t="str">
        <f>TL[[#This Row],[Société]]&amp;" - "&amp;TL[[#This Row],[Compte]]</f>
        <v>TURVILLA - 708881</v>
      </c>
      <c r="B2777" s="233" t="s">
        <v>3358</v>
      </c>
      <c r="C2777" s="227" t="s">
        <v>6041</v>
      </c>
      <c r="D2777" s="233" t="s">
        <v>32</v>
      </c>
      <c r="E2777" s="233" t="s">
        <v>2982</v>
      </c>
      <c r="F2777" s="227" t="s">
        <v>2156</v>
      </c>
    </row>
    <row r="2778" spans="1:6" x14ac:dyDescent="0.25">
      <c r="A2778" s="227" t="str">
        <f>TL[[#This Row],[Société]]&amp;" - "&amp;TL[[#This Row],[Compte]]</f>
        <v>TURVILLA - 708882</v>
      </c>
      <c r="B2778" s="233" t="s">
        <v>2770</v>
      </c>
      <c r="C2778" s="227" t="s">
        <v>6042</v>
      </c>
      <c r="D2778" s="233" t="s">
        <v>50</v>
      </c>
      <c r="E2778" s="233" t="s">
        <v>25</v>
      </c>
      <c r="F2778" s="227" t="s">
        <v>2156</v>
      </c>
    </row>
    <row r="2779" spans="1:6" x14ac:dyDescent="0.25">
      <c r="A2779" s="227" t="str">
        <f>TL[[#This Row],[Société]]&amp;" - "&amp;TL[[#This Row],[Compte]]</f>
        <v>TURVILLA - 708883</v>
      </c>
      <c r="B2779" s="233" t="s">
        <v>6043</v>
      </c>
      <c r="C2779" s="227" t="s">
        <v>6044</v>
      </c>
      <c r="D2779" s="233" t="s">
        <v>21</v>
      </c>
      <c r="E2779" s="233" t="s">
        <v>2978</v>
      </c>
      <c r="F2779" s="227" t="s">
        <v>2156</v>
      </c>
    </row>
    <row r="2780" spans="1:6" x14ac:dyDescent="0.25">
      <c r="A2780" s="227" t="str">
        <f>TL[[#This Row],[Société]]&amp;" - "&amp;TL[[#This Row],[Compte]]</f>
        <v>TURVILLA - 708884</v>
      </c>
      <c r="B2780" s="233" t="s">
        <v>6045</v>
      </c>
      <c r="C2780" s="227" t="s">
        <v>6046</v>
      </c>
      <c r="D2780" s="233" t="s">
        <v>16</v>
      </c>
      <c r="E2780" s="233" t="s">
        <v>2979</v>
      </c>
      <c r="F2780" s="227" t="s">
        <v>2156</v>
      </c>
    </row>
    <row r="2781" spans="1:6" x14ac:dyDescent="0.25">
      <c r="A2781" s="227" t="str">
        <f>TL[[#This Row],[Société]]&amp;" - "&amp;TL[[#This Row],[Compte]]</f>
        <v>TURVILLA - 708885</v>
      </c>
      <c r="B2781" s="233" t="s">
        <v>6047</v>
      </c>
      <c r="C2781" s="227" t="s">
        <v>3359</v>
      </c>
      <c r="D2781" s="233" t="s">
        <v>50</v>
      </c>
      <c r="E2781" s="233" t="s">
        <v>45</v>
      </c>
      <c r="F2781" s="227" t="s">
        <v>2156</v>
      </c>
    </row>
    <row r="2782" spans="1:6" x14ac:dyDescent="0.25">
      <c r="A2782" s="227" t="str">
        <f>TL[[#This Row],[Société]]&amp;" - "&amp;TL[[#This Row],[Compte]]</f>
        <v>TURVILLA - 708890</v>
      </c>
      <c r="B2782" s="233" t="s">
        <v>3360</v>
      </c>
      <c r="C2782" s="227" t="s">
        <v>3361</v>
      </c>
      <c r="D2782" s="233" t="s">
        <v>18</v>
      </c>
      <c r="E2782" s="233" t="s">
        <v>30</v>
      </c>
      <c r="F2782" s="227" t="s">
        <v>2156</v>
      </c>
    </row>
    <row r="2783" spans="1:6" x14ac:dyDescent="0.25">
      <c r="A2783" s="227" t="str">
        <f>TL[[#This Row],[Société]]&amp;" - "&amp;TL[[#This Row],[Compte]]</f>
        <v>TURVILLA - 726100</v>
      </c>
      <c r="B2783" s="233" t="s">
        <v>1746</v>
      </c>
      <c r="C2783" s="227" t="s">
        <v>2476</v>
      </c>
      <c r="D2783" s="233" t="s">
        <v>12</v>
      </c>
      <c r="E2783" s="233" t="s">
        <v>3</v>
      </c>
      <c r="F2783" s="227" t="s">
        <v>2156</v>
      </c>
    </row>
    <row r="2784" spans="1:6" x14ac:dyDescent="0.25">
      <c r="A2784" s="227" t="str">
        <f>TL[[#This Row],[Société]]&amp;" - "&amp;TL[[#This Row],[Compte]]</f>
        <v>TURVILLA - 726110</v>
      </c>
      <c r="B2784" s="233" t="s">
        <v>1748</v>
      </c>
      <c r="C2784" s="227" t="s">
        <v>1066</v>
      </c>
      <c r="D2784" s="233" t="s">
        <v>13</v>
      </c>
      <c r="E2784" s="233" t="s">
        <v>12</v>
      </c>
      <c r="F2784" s="227" t="s">
        <v>2156</v>
      </c>
    </row>
    <row r="2785" spans="1:6" x14ac:dyDescent="0.25">
      <c r="A2785" s="227" t="str">
        <f>TL[[#This Row],[Société]]&amp;" - "&amp;TL[[#This Row],[Compte]]</f>
        <v>TURVILLA - 740100</v>
      </c>
      <c r="B2785" s="233" t="s">
        <v>1712</v>
      </c>
      <c r="C2785" s="227" t="s">
        <v>6048</v>
      </c>
      <c r="D2785" s="233" t="s">
        <v>12</v>
      </c>
      <c r="E2785" s="233" t="s">
        <v>71</v>
      </c>
      <c r="F2785" s="227" t="s">
        <v>2156</v>
      </c>
    </row>
    <row r="2786" spans="1:6" x14ac:dyDescent="0.25">
      <c r="A2786" s="227" t="str">
        <f>TL[[#This Row],[Société]]&amp;" - "&amp;TL[[#This Row],[Compte]]</f>
        <v>TURVILLA - 740200</v>
      </c>
      <c r="B2786" s="233" t="s">
        <v>2065</v>
      </c>
      <c r="C2786" s="227" t="s">
        <v>6049</v>
      </c>
      <c r="D2786" s="233" t="s">
        <v>50</v>
      </c>
      <c r="E2786" s="233" t="s">
        <v>2995</v>
      </c>
      <c r="F2786" s="227" t="s">
        <v>2156</v>
      </c>
    </row>
    <row r="2787" spans="1:6" x14ac:dyDescent="0.25">
      <c r="A2787" s="227" t="str">
        <f>TL[[#This Row],[Société]]&amp;" - "&amp;TL[[#This Row],[Compte]]</f>
        <v>TURVILLA - 758000</v>
      </c>
      <c r="B2787" s="233" t="s">
        <v>1744</v>
      </c>
      <c r="C2787" s="227" t="s">
        <v>163</v>
      </c>
      <c r="D2787" s="233" t="s">
        <v>50</v>
      </c>
      <c r="E2787" s="233" t="s">
        <v>2982</v>
      </c>
      <c r="F2787" s="227" t="s">
        <v>2156</v>
      </c>
    </row>
    <row r="2788" spans="1:6" x14ac:dyDescent="0.25">
      <c r="A2788" s="227" t="str">
        <f>TL[[#This Row],[Société]]&amp;" - "&amp;TL[[#This Row],[Compte]]</f>
        <v>TURVILLA - 758100</v>
      </c>
      <c r="B2788" s="233" t="s">
        <v>5528</v>
      </c>
      <c r="C2788" s="227" t="s">
        <v>6050</v>
      </c>
      <c r="D2788" s="233" t="s">
        <v>30</v>
      </c>
      <c r="E2788" s="233" t="s">
        <v>2982</v>
      </c>
      <c r="F2788" s="227" t="s">
        <v>2156</v>
      </c>
    </row>
    <row r="2789" spans="1:6" x14ac:dyDescent="0.25">
      <c r="A2789" s="227" t="str">
        <f>TL[[#This Row],[Société]]&amp;" - "&amp;TL[[#This Row],[Compte]]</f>
        <v>TURVILLA - 761500</v>
      </c>
      <c r="B2789" s="233" t="s">
        <v>6051</v>
      </c>
      <c r="C2789" s="227" t="s">
        <v>6052</v>
      </c>
      <c r="D2789" s="233" t="s">
        <v>47</v>
      </c>
      <c r="E2789" s="233" t="s">
        <v>286</v>
      </c>
      <c r="F2789" s="227" t="s">
        <v>2156</v>
      </c>
    </row>
    <row r="2790" spans="1:6" x14ac:dyDescent="0.25">
      <c r="A2790" s="227" t="str">
        <f>TL[[#This Row],[Société]]&amp;" - "&amp;TL[[#This Row],[Compte]]</f>
        <v>TURVILLA - 767000</v>
      </c>
      <c r="B2790" s="233" t="s">
        <v>2070</v>
      </c>
      <c r="C2790" s="227" t="s">
        <v>6053</v>
      </c>
      <c r="D2790" s="233" t="s">
        <v>152</v>
      </c>
      <c r="E2790" s="233" t="s">
        <v>286</v>
      </c>
      <c r="F2790" s="227" t="s">
        <v>2156</v>
      </c>
    </row>
    <row r="2791" spans="1:6" x14ac:dyDescent="0.25">
      <c r="A2791" s="227" t="str">
        <f>TL[[#This Row],[Société]]&amp;" - "&amp;TL[[#This Row],[Compte]]</f>
        <v>TURVILLA - 768000</v>
      </c>
      <c r="B2791" s="233" t="s">
        <v>5547</v>
      </c>
      <c r="C2791" s="227" t="s">
        <v>6054</v>
      </c>
      <c r="D2791" s="233" t="s">
        <v>50</v>
      </c>
      <c r="E2791" s="233" t="s">
        <v>286</v>
      </c>
      <c r="F2791" s="227" t="s">
        <v>2156</v>
      </c>
    </row>
    <row r="2792" spans="1:6" x14ac:dyDescent="0.25">
      <c r="A2792" s="227" t="str">
        <f>TL[[#This Row],[Société]]&amp;" - "&amp;TL[[#This Row],[Compte]]</f>
        <v>TURVILLA - 768200</v>
      </c>
      <c r="B2792" s="233" t="s">
        <v>6055</v>
      </c>
      <c r="C2792" s="227" t="s">
        <v>6056</v>
      </c>
      <c r="D2792" s="233" t="s">
        <v>48</v>
      </c>
      <c r="E2792" s="233" t="s">
        <v>286</v>
      </c>
      <c r="F2792" s="227" t="s">
        <v>2156</v>
      </c>
    </row>
    <row r="2793" spans="1:6" x14ac:dyDescent="0.25">
      <c r="A2793" s="227" t="str">
        <f>TL[[#This Row],[Société]]&amp;" - "&amp;TL[[#This Row],[Compte]]</f>
        <v>TURVILLA - 771100</v>
      </c>
      <c r="B2793" s="233" t="s">
        <v>1798</v>
      </c>
      <c r="C2793" s="227" t="s">
        <v>31</v>
      </c>
      <c r="D2793" s="233" t="s">
        <v>30</v>
      </c>
      <c r="E2793" s="233" t="s">
        <v>2982</v>
      </c>
      <c r="F2793" s="227" t="s">
        <v>2156</v>
      </c>
    </row>
    <row r="2794" spans="1:6" x14ac:dyDescent="0.25">
      <c r="A2794" s="227" t="str">
        <f>TL[[#This Row],[Société]]&amp;" - "&amp;TL[[#This Row],[Compte]]</f>
        <v>TURVILLA - 771200</v>
      </c>
      <c r="B2794" s="233" t="s">
        <v>6057</v>
      </c>
      <c r="C2794" s="227" t="s">
        <v>6058</v>
      </c>
      <c r="D2794" s="233" t="s">
        <v>50</v>
      </c>
      <c r="E2794" s="233" t="s">
        <v>2995</v>
      </c>
      <c r="F2794" s="227" t="s">
        <v>2156</v>
      </c>
    </row>
    <row r="2795" spans="1:6" x14ac:dyDescent="0.25">
      <c r="A2795" s="227" t="str">
        <f>TL[[#This Row],[Société]]&amp;" - "&amp;TL[[#This Row],[Compte]]</f>
        <v>TURVILLA - 772000</v>
      </c>
      <c r="B2795" s="233" t="s">
        <v>2075</v>
      </c>
      <c r="C2795" s="227" t="s">
        <v>6059</v>
      </c>
      <c r="F2795" s="227" t="s">
        <v>2156</v>
      </c>
    </row>
    <row r="2796" spans="1:6" x14ac:dyDescent="0.25">
      <c r="A2796" s="227" t="str">
        <f>TL[[#This Row],[Société]]&amp;" - "&amp;TL[[#This Row],[Compte]]</f>
        <v>TURVILLA - 775200</v>
      </c>
      <c r="B2796" s="233" t="s">
        <v>2132</v>
      </c>
      <c r="C2796" s="227" t="s">
        <v>437</v>
      </c>
      <c r="D2796" s="233" t="s">
        <v>152</v>
      </c>
      <c r="E2796" s="233" t="s">
        <v>2995</v>
      </c>
      <c r="F2796" s="227" t="s">
        <v>2156</v>
      </c>
    </row>
    <row r="2797" spans="1:6" x14ac:dyDescent="0.25">
      <c r="A2797" s="227" t="str">
        <f>TL[[#This Row],[Société]]&amp;" - "&amp;TL[[#This Row],[Compte]]</f>
        <v>TURVILLA - 777170</v>
      </c>
      <c r="B2797" s="233" t="s">
        <v>6060</v>
      </c>
      <c r="C2797" s="227" t="s">
        <v>6061</v>
      </c>
      <c r="D2797" s="233" t="s">
        <v>50</v>
      </c>
      <c r="E2797" s="233" t="s">
        <v>16</v>
      </c>
      <c r="F2797" s="227" t="s">
        <v>2156</v>
      </c>
    </row>
    <row r="2798" spans="1:6" x14ac:dyDescent="0.25">
      <c r="A2798" s="227" t="str">
        <f>TL[[#This Row],[Société]]&amp;" - "&amp;TL[[#This Row],[Compte]]</f>
        <v>TURVILLA - 781110</v>
      </c>
      <c r="B2798" s="233" t="s">
        <v>2076</v>
      </c>
      <c r="C2798" s="227" t="s">
        <v>5658</v>
      </c>
      <c r="F2798" s="227" t="s">
        <v>2156</v>
      </c>
    </row>
    <row r="2799" spans="1:6" x14ac:dyDescent="0.25">
      <c r="A2799" s="227" t="str">
        <f>TL[[#This Row],[Société]]&amp;" - "&amp;TL[[#This Row],[Compte]]</f>
        <v>TURVILLA - 781120</v>
      </c>
      <c r="B2799" s="233" t="s">
        <v>2077</v>
      </c>
      <c r="C2799" s="227" t="s">
        <v>6062</v>
      </c>
      <c r="D2799" s="233" t="s">
        <v>45</v>
      </c>
      <c r="E2799" s="233" t="s">
        <v>48</v>
      </c>
      <c r="F2799" s="227" t="s">
        <v>2156</v>
      </c>
    </row>
    <row r="2800" spans="1:6" x14ac:dyDescent="0.25">
      <c r="A2800" s="227" t="str">
        <f>TL[[#This Row],[Société]]&amp;" - "&amp;TL[[#This Row],[Compte]]</f>
        <v>TURVILLA - 787250</v>
      </c>
      <c r="B2800" s="233" t="s">
        <v>2082</v>
      </c>
      <c r="C2800" s="227" t="s">
        <v>6063</v>
      </c>
      <c r="F2800" s="227" t="s">
        <v>2156</v>
      </c>
    </row>
    <row r="2801" spans="1:6" x14ac:dyDescent="0.25">
      <c r="A2801" s="227" t="str">
        <f>TL[[#This Row],[Société]]&amp;" - "&amp;TL[[#This Row],[Compte]]</f>
        <v>TURVILLA - 787500</v>
      </c>
      <c r="B2801" s="233" t="s">
        <v>5596</v>
      </c>
      <c r="C2801" s="227" t="s">
        <v>5597</v>
      </c>
      <c r="D2801" s="233" t="s">
        <v>50</v>
      </c>
      <c r="E2801" s="233" t="s">
        <v>48</v>
      </c>
      <c r="F2801" s="227" t="s">
        <v>2156</v>
      </c>
    </row>
    <row r="2802" spans="1:6" x14ac:dyDescent="0.25">
      <c r="A2802" s="227" t="str">
        <f>TL[[#This Row],[Société]]&amp;" - "&amp;TL[[#This Row],[Compte]]</f>
        <v>TURVILLA - 791000</v>
      </c>
      <c r="B2802" s="233" t="s">
        <v>2083</v>
      </c>
      <c r="C2802" s="227" t="s">
        <v>1291</v>
      </c>
      <c r="D2802" s="233" t="s">
        <v>50</v>
      </c>
      <c r="E2802" s="233" t="s">
        <v>52</v>
      </c>
      <c r="F2802" s="227" t="s">
        <v>2156</v>
      </c>
    </row>
    <row r="2803" spans="1:6" x14ac:dyDescent="0.25">
      <c r="A2803" s="227" t="str">
        <f>TL[[#This Row],[Société]]&amp;" - "&amp;TL[[#This Row],[Compte]]</f>
        <v>TURVILLA - 791001</v>
      </c>
      <c r="B2803" s="233" t="s">
        <v>6064</v>
      </c>
      <c r="C2803" s="227" t="s">
        <v>6065</v>
      </c>
      <c r="F2803" s="227" t="s">
        <v>2156</v>
      </c>
    </row>
    <row r="2804" spans="1:6" x14ac:dyDescent="0.25">
      <c r="A2804" s="227" t="str">
        <f>TL[[#This Row],[Société]]&amp;" - "&amp;TL[[#This Row],[Compte]]</f>
        <v>TURVILLA - 791010</v>
      </c>
      <c r="B2804" s="233" t="s">
        <v>3378</v>
      </c>
      <c r="C2804" s="227" t="s">
        <v>6066</v>
      </c>
      <c r="D2804" s="233" t="s">
        <v>12</v>
      </c>
      <c r="E2804" s="233" t="s">
        <v>3</v>
      </c>
      <c r="F2804" s="227" t="s">
        <v>2156</v>
      </c>
    </row>
    <row r="2805" spans="1:6" x14ac:dyDescent="0.25">
      <c r="A2805" s="227" t="str">
        <f>TL[[#This Row],[Société]]&amp;" - "&amp;TL[[#This Row],[Compte]]</f>
        <v>TURVILLA - 791103</v>
      </c>
      <c r="B2805" s="233" t="s">
        <v>6067</v>
      </c>
      <c r="C2805" s="227" t="s">
        <v>6068</v>
      </c>
      <c r="F2805" s="227" t="s">
        <v>2156</v>
      </c>
    </row>
    <row r="2806" spans="1:6" x14ac:dyDescent="0.25">
      <c r="A2806" s="227" t="str">
        <f>TL[[#This Row],[Société]]&amp;" - "&amp;TL[[#This Row],[Compte]]</f>
        <v>TURVILLA - 791104</v>
      </c>
      <c r="B2806" s="233" t="s">
        <v>2086</v>
      </c>
      <c r="C2806" s="227" t="s">
        <v>224</v>
      </c>
      <c r="D2806" s="233" t="s">
        <v>13</v>
      </c>
      <c r="E2806" s="233" t="s">
        <v>12</v>
      </c>
      <c r="F2806" s="227" t="s">
        <v>2156</v>
      </c>
    </row>
    <row r="2807" spans="1:6" x14ac:dyDescent="0.25">
      <c r="A2807" s="227" t="str">
        <f>TL[[#This Row],[Société]]&amp;" - "&amp;TL[[#This Row],[Compte]]</f>
        <v>TURVILLA - 791401</v>
      </c>
      <c r="B2807" s="233" t="s">
        <v>6069</v>
      </c>
      <c r="C2807" s="227" t="s">
        <v>6070</v>
      </c>
      <c r="F2807" s="227" t="s">
        <v>2156</v>
      </c>
    </row>
    <row r="2808" spans="1:6" x14ac:dyDescent="0.25">
      <c r="A2808" s="227" t="str">
        <f>TL[[#This Row],[Société]]&amp;" - "&amp;TL[[#This Row],[Compte]]</f>
        <v>TURVILLA - 791402</v>
      </c>
      <c r="B2808" s="233" t="s">
        <v>6071</v>
      </c>
      <c r="C2808" s="227" t="s">
        <v>6072</v>
      </c>
      <c r="D2808" s="233" t="s">
        <v>50</v>
      </c>
      <c r="E2808" s="233" t="s">
        <v>52</v>
      </c>
      <c r="F2808" s="227" t="s">
        <v>2156</v>
      </c>
    </row>
    <row r="2809" spans="1:6" x14ac:dyDescent="0.25">
      <c r="A2809" s="227" t="str">
        <f>TL[[#This Row],[Société]]&amp;" - "&amp;TL[[#This Row],[Compte]]</f>
        <v>TURVILLA - 890000</v>
      </c>
      <c r="B2809" s="233" t="s">
        <v>2092</v>
      </c>
      <c r="C2809" s="227" t="s">
        <v>631</v>
      </c>
      <c r="F2809" s="227" t="s">
        <v>2156</v>
      </c>
    </row>
    <row r="2810" spans="1:6" x14ac:dyDescent="0.25">
      <c r="A2810" s="227" t="str">
        <f>TL[[#This Row],[Société]]&amp;" - "&amp;TL[[#This Row],[Compte]]</f>
        <v>R314 - 10130000</v>
      </c>
      <c r="B2810" s="233" t="s">
        <v>3383</v>
      </c>
      <c r="C2810" s="227" t="s">
        <v>540</v>
      </c>
      <c r="F2810" s="227" t="s">
        <v>301</v>
      </c>
    </row>
    <row r="2811" spans="1:6" x14ac:dyDescent="0.25">
      <c r="A2811" s="227" t="str">
        <f>TL[[#This Row],[Société]]&amp;" - "&amp;TL[[#This Row],[Compte]]</f>
        <v>R314 - 10180000</v>
      </c>
      <c r="B2811" s="233" t="s">
        <v>6073</v>
      </c>
      <c r="C2811" s="227" t="s">
        <v>1088</v>
      </c>
      <c r="F2811" s="227" t="s">
        <v>301</v>
      </c>
    </row>
    <row r="2812" spans="1:6" x14ac:dyDescent="0.25">
      <c r="A2812" s="227" t="str">
        <f>TL[[#This Row],[Société]]&amp;" - "&amp;TL[[#This Row],[Compte]]</f>
        <v>R314 - 10610000</v>
      </c>
      <c r="B2812" s="233" t="s">
        <v>3384</v>
      </c>
      <c r="C2812" s="227" t="s">
        <v>1089</v>
      </c>
      <c r="F2812" s="227" t="s">
        <v>301</v>
      </c>
    </row>
    <row r="2813" spans="1:6" x14ac:dyDescent="0.25">
      <c r="A2813" s="227" t="str">
        <f>TL[[#This Row],[Société]]&amp;" - "&amp;TL[[#This Row],[Compte]]</f>
        <v>R314 - 10680000</v>
      </c>
      <c r="B2813" s="233" t="s">
        <v>3386</v>
      </c>
      <c r="C2813" s="227" t="s">
        <v>541</v>
      </c>
      <c r="F2813" s="227" t="s">
        <v>301</v>
      </c>
    </row>
    <row r="2814" spans="1:6" x14ac:dyDescent="0.25">
      <c r="A2814" s="227" t="str">
        <f>TL[[#This Row],[Société]]&amp;" - "&amp;TL[[#This Row],[Compte]]</f>
        <v>R314 - 11900000</v>
      </c>
      <c r="B2814" s="233" t="s">
        <v>3388</v>
      </c>
      <c r="C2814" s="227" t="s">
        <v>1090</v>
      </c>
      <c r="F2814" s="227" t="s">
        <v>301</v>
      </c>
    </row>
    <row r="2815" spans="1:6" x14ac:dyDescent="0.25">
      <c r="A2815" s="227" t="str">
        <f>TL[[#This Row],[Société]]&amp;" - "&amp;TL[[#This Row],[Compte]]</f>
        <v>R314 - 12000000</v>
      </c>
      <c r="B2815" s="233" t="s">
        <v>3389</v>
      </c>
      <c r="C2815" s="227" t="s">
        <v>542</v>
      </c>
      <c r="F2815" s="227" t="s">
        <v>301</v>
      </c>
    </row>
    <row r="2816" spans="1:6" x14ac:dyDescent="0.25">
      <c r="A2816" s="227" t="str">
        <f>TL[[#This Row],[Société]]&amp;" - "&amp;TL[[#This Row],[Compte]]</f>
        <v>R314 - 12900000</v>
      </c>
      <c r="B2816" s="233" t="s">
        <v>3390</v>
      </c>
      <c r="C2816" s="227" t="s">
        <v>543</v>
      </c>
      <c r="F2816" s="227" t="s">
        <v>301</v>
      </c>
    </row>
    <row r="2817" spans="1:6" x14ac:dyDescent="0.25">
      <c r="A2817" s="227" t="str">
        <f>TL[[#This Row],[Société]]&amp;" - "&amp;TL[[#This Row],[Compte]]</f>
        <v>R314 - 14500000</v>
      </c>
      <c r="B2817" s="233" t="s">
        <v>3391</v>
      </c>
      <c r="C2817" s="227" t="s">
        <v>544</v>
      </c>
      <c r="F2817" s="227" t="s">
        <v>301</v>
      </c>
    </row>
    <row r="2818" spans="1:6" x14ac:dyDescent="0.25">
      <c r="A2818" s="227" t="str">
        <f>TL[[#This Row],[Société]]&amp;" - "&amp;TL[[#This Row],[Compte]]</f>
        <v>R314 - 15180000</v>
      </c>
      <c r="B2818" s="233" t="s">
        <v>3392</v>
      </c>
      <c r="C2818" s="227" t="s">
        <v>545</v>
      </c>
      <c r="F2818" s="227" t="s">
        <v>301</v>
      </c>
    </row>
    <row r="2819" spans="1:6" x14ac:dyDescent="0.25">
      <c r="A2819" s="227" t="str">
        <f>TL[[#This Row],[Société]]&amp;" - "&amp;TL[[#This Row],[Compte]]</f>
        <v>R314 - 15300000</v>
      </c>
      <c r="B2819" s="233" t="s">
        <v>3393</v>
      </c>
      <c r="C2819" s="227" t="s">
        <v>546</v>
      </c>
      <c r="F2819" s="227" t="s">
        <v>301</v>
      </c>
    </row>
    <row r="2820" spans="1:6" x14ac:dyDescent="0.25">
      <c r="A2820" s="227" t="str">
        <f>TL[[#This Row],[Société]]&amp;" - "&amp;TL[[#This Row],[Compte]]</f>
        <v>R314 - 15800000</v>
      </c>
      <c r="B2820" s="233" t="s">
        <v>3394</v>
      </c>
      <c r="C2820" s="227" t="s">
        <v>547</v>
      </c>
      <c r="F2820" s="227" t="s">
        <v>301</v>
      </c>
    </row>
    <row r="2821" spans="1:6" x14ac:dyDescent="0.25">
      <c r="A2821" s="227" t="str">
        <f>TL[[#This Row],[Société]]&amp;" - "&amp;TL[[#This Row],[Compte]]</f>
        <v>R314 - 16400000</v>
      </c>
      <c r="B2821" s="233" t="s">
        <v>6074</v>
      </c>
      <c r="C2821" s="227" t="s">
        <v>1091</v>
      </c>
      <c r="F2821" s="227" t="s">
        <v>301</v>
      </c>
    </row>
    <row r="2822" spans="1:6" x14ac:dyDescent="0.25">
      <c r="A2822" s="227" t="str">
        <f>TL[[#This Row],[Société]]&amp;" - "&amp;TL[[#This Row],[Compte]]</f>
        <v>R314 - 16410000</v>
      </c>
      <c r="B2822" s="233" t="s">
        <v>3395</v>
      </c>
      <c r="C2822" s="227" t="s">
        <v>1092</v>
      </c>
      <c r="F2822" s="227" t="s">
        <v>301</v>
      </c>
    </row>
    <row r="2823" spans="1:6" x14ac:dyDescent="0.25">
      <c r="A2823" s="227" t="str">
        <f>TL[[#This Row],[Société]]&amp;" - "&amp;TL[[#This Row],[Compte]]</f>
        <v>R314 - 16420000</v>
      </c>
      <c r="B2823" s="233" t="s">
        <v>3396</v>
      </c>
      <c r="C2823" s="227" t="s">
        <v>1527</v>
      </c>
      <c r="F2823" s="227" t="s">
        <v>301</v>
      </c>
    </row>
    <row r="2824" spans="1:6" x14ac:dyDescent="0.25">
      <c r="A2824" s="227" t="str">
        <f>TL[[#This Row],[Société]]&amp;" - "&amp;TL[[#This Row],[Compte]]</f>
        <v>R314 - 16430000</v>
      </c>
      <c r="B2824" s="233" t="s">
        <v>3397</v>
      </c>
      <c r="C2824" s="227" t="s">
        <v>1528</v>
      </c>
      <c r="F2824" s="227" t="s">
        <v>301</v>
      </c>
    </row>
    <row r="2825" spans="1:6" x14ac:dyDescent="0.25">
      <c r="A2825" s="227" t="str">
        <f>TL[[#This Row],[Société]]&amp;" - "&amp;TL[[#This Row],[Compte]]</f>
        <v>R314 - 16460000</v>
      </c>
      <c r="B2825" s="233" t="s">
        <v>6075</v>
      </c>
      <c r="C2825" s="227" t="s">
        <v>1093</v>
      </c>
      <c r="F2825" s="227" t="s">
        <v>301</v>
      </c>
    </row>
    <row r="2826" spans="1:6" x14ac:dyDescent="0.25">
      <c r="A2826" s="227" t="str">
        <f>TL[[#This Row],[Société]]&amp;" - "&amp;TL[[#This Row],[Compte]]</f>
        <v>R314 - 16880000</v>
      </c>
      <c r="B2826" s="233" t="s">
        <v>3400</v>
      </c>
      <c r="C2826" s="227" t="s">
        <v>548</v>
      </c>
      <c r="F2826" s="227" t="s">
        <v>301</v>
      </c>
    </row>
    <row r="2827" spans="1:6" x14ac:dyDescent="0.25">
      <c r="A2827" s="227" t="str">
        <f>TL[[#This Row],[Société]]&amp;" - "&amp;TL[[#This Row],[Compte]]</f>
        <v>R314 - 20500000</v>
      </c>
      <c r="B2827" s="233" t="s">
        <v>3402</v>
      </c>
      <c r="C2827" s="227" t="s">
        <v>1094</v>
      </c>
      <c r="F2827" s="227" t="s">
        <v>301</v>
      </c>
    </row>
    <row r="2828" spans="1:6" x14ac:dyDescent="0.25">
      <c r="A2828" s="227" t="str">
        <f>TL[[#This Row],[Société]]&amp;" - "&amp;TL[[#This Row],[Compte]]</f>
        <v>R314 - 20510000</v>
      </c>
      <c r="B2828" s="233" t="s">
        <v>6076</v>
      </c>
      <c r="C2828" s="227" t="s">
        <v>1095</v>
      </c>
      <c r="F2828" s="227" t="s">
        <v>301</v>
      </c>
    </row>
    <row r="2829" spans="1:6" x14ac:dyDescent="0.25">
      <c r="A2829" s="227" t="str">
        <f>TL[[#This Row],[Société]]&amp;" - "&amp;TL[[#This Row],[Compte]]</f>
        <v>R314 - 21540000</v>
      </c>
      <c r="B2829" s="233" t="s">
        <v>3403</v>
      </c>
      <c r="C2829" s="227" t="s">
        <v>550</v>
      </c>
      <c r="F2829" s="227" t="s">
        <v>301</v>
      </c>
    </row>
    <row r="2830" spans="1:6" x14ac:dyDescent="0.25">
      <c r="A2830" s="227" t="str">
        <f>TL[[#This Row],[Société]]&amp;" - "&amp;TL[[#This Row],[Compte]]</f>
        <v>R314 - 21550000</v>
      </c>
      <c r="B2830" s="233" t="s">
        <v>3404</v>
      </c>
      <c r="C2830" s="227" t="s">
        <v>551</v>
      </c>
      <c r="F2830" s="227" t="s">
        <v>301</v>
      </c>
    </row>
    <row r="2831" spans="1:6" x14ac:dyDescent="0.25">
      <c r="A2831" s="227" t="str">
        <f>TL[[#This Row],[Société]]&amp;" - "&amp;TL[[#This Row],[Compte]]</f>
        <v>R314 - 21810000</v>
      </c>
      <c r="B2831" s="233" t="s">
        <v>3406</v>
      </c>
      <c r="C2831" s="227" t="s">
        <v>552</v>
      </c>
      <c r="F2831" s="227" t="s">
        <v>301</v>
      </c>
    </row>
    <row r="2832" spans="1:6" x14ac:dyDescent="0.25">
      <c r="A2832" s="227" t="str">
        <f>TL[[#This Row],[Société]]&amp;" - "&amp;TL[[#This Row],[Compte]]</f>
        <v>R314 - 21820000</v>
      </c>
      <c r="B2832" s="233" t="s">
        <v>6077</v>
      </c>
      <c r="C2832" s="227" t="s">
        <v>553</v>
      </c>
      <c r="F2832" s="227" t="s">
        <v>301</v>
      </c>
    </row>
    <row r="2833" spans="1:6" x14ac:dyDescent="0.25">
      <c r="A2833" s="227" t="str">
        <f>TL[[#This Row],[Société]]&amp;" - "&amp;TL[[#This Row],[Compte]]</f>
        <v>R314 - 21830000</v>
      </c>
      <c r="B2833" s="233" t="s">
        <v>3407</v>
      </c>
      <c r="C2833" s="227" t="s">
        <v>554</v>
      </c>
      <c r="F2833" s="227" t="s">
        <v>301</v>
      </c>
    </row>
    <row r="2834" spans="1:6" x14ac:dyDescent="0.25">
      <c r="A2834" s="227" t="str">
        <f>TL[[#This Row],[Société]]&amp;" - "&amp;TL[[#This Row],[Compte]]</f>
        <v>R314 - 21840000</v>
      </c>
      <c r="B2834" s="233" t="s">
        <v>3408</v>
      </c>
      <c r="C2834" s="227" t="s">
        <v>555</v>
      </c>
      <c r="F2834" s="227" t="s">
        <v>301</v>
      </c>
    </row>
    <row r="2835" spans="1:6" x14ac:dyDescent="0.25">
      <c r="A2835" s="227" t="str">
        <f>TL[[#This Row],[Société]]&amp;" - "&amp;TL[[#This Row],[Compte]]</f>
        <v>R314 - 23800000</v>
      </c>
      <c r="B2835" s="233" t="s">
        <v>6078</v>
      </c>
      <c r="C2835" s="227" t="s">
        <v>1096</v>
      </c>
      <c r="F2835" s="227" t="s">
        <v>301</v>
      </c>
    </row>
    <row r="2836" spans="1:6" x14ac:dyDescent="0.25">
      <c r="A2836" s="227" t="str">
        <f>TL[[#This Row],[Société]]&amp;" - "&amp;TL[[#This Row],[Compte]]</f>
        <v>R314 - 27500000</v>
      </c>
      <c r="B2836" s="233" t="s">
        <v>3412</v>
      </c>
      <c r="C2836" s="227" t="s">
        <v>556</v>
      </c>
      <c r="F2836" s="227" t="s">
        <v>301</v>
      </c>
    </row>
    <row r="2837" spans="1:6" x14ac:dyDescent="0.25">
      <c r="A2837" s="227" t="str">
        <f>TL[[#This Row],[Société]]&amp;" - "&amp;TL[[#This Row],[Compte]]</f>
        <v>R314 - 27510000</v>
      </c>
      <c r="B2837" s="233" t="s">
        <v>3413</v>
      </c>
      <c r="C2837" s="227" t="s">
        <v>557</v>
      </c>
      <c r="F2837" s="227" t="s">
        <v>301</v>
      </c>
    </row>
    <row r="2838" spans="1:6" x14ac:dyDescent="0.25">
      <c r="A2838" s="227" t="str">
        <f>TL[[#This Row],[Société]]&amp;" - "&amp;TL[[#This Row],[Compte]]</f>
        <v>R314 - 28050000</v>
      </c>
      <c r="B2838" s="233" t="s">
        <v>3416</v>
      </c>
      <c r="C2838" s="227" t="s">
        <v>1097</v>
      </c>
      <c r="F2838" s="227" t="s">
        <v>301</v>
      </c>
    </row>
    <row r="2839" spans="1:6" x14ac:dyDescent="0.25">
      <c r="A2839" s="227" t="str">
        <f>TL[[#This Row],[Société]]&amp;" - "&amp;TL[[#This Row],[Compte]]</f>
        <v>R314 - 28154000</v>
      </c>
      <c r="B2839" s="233" t="s">
        <v>3417</v>
      </c>
      <c r="C2839" s="227" t="s">
        <v>1098</v>
      </c>
      <c r="F2839" s="227" t="s">
        <v>301</v>
      </c>
    </row>
    <row r="2840" spans="1:6" x14ac:dyDescent="0.25">
      <c r="A2840" s="227" t="str">
        <f>TL[[#This Row],[Société]]&amp;" - "&amp;TL[[#This Row],[Compte]]</f>
        <v>R314 - 28155000</v>
      </c>
      <c r="B2840" s="233" t="s">
        <v>3418</v>
      </c>
      <c r="C2840" s="227" t="s">
        <v>559</v>
      </c>
      <c r="F2840" s="227" t="s">
        <v>301</v>
      </c>
    </row>
    <row r="2841" spans="1:6" x14ac:dyDescent="0.25">
      <c r="A2841" s="227" t="str">
        <f>TL[[#This Row],[Société]]&amp;" - "&amp;TL[[#This Row],[Compte]]</f>
        <v>R314 - 28181000</v>
      </c>
      <c r="B2841" s="233" t="s">
        <v>3420</v>
      </c>
      <c r="C2841" s="227" t="s">
        <v>560</v>
      </c>
      <c r="F2841" s="227" t="s">
        <v>301</v>
      </c>
    </row>
    <row r="2842" spans="1:6" x14ac:dyDescent="0.25">
      <c r="A2842" s="227" t="str">
        <f>TL[[#This Row],[Société]]&amp;" - "&amp;TL[[#This Row],[Compte]]</f>
        <v>R314 - 28182000</v>
      </c>
      <c r="B2842" s="233" t="s">
        <v>6079</v>
      </c>
      <c r="C2842" s="227" t="s">
        <v>1099</v>
      </c>
      <c r="F2842" s="227" t="s">
        <v>301</v>
      </c>
    </row>
    <row r="2843" spans="1:6" x14ac:dyDescent="0.25">
      <c r="A2843" s="227" t="str">
        <f>TL[[#This Row],[Société]]&amp;" - "&amp;TL[[#This Row],[Compte]]</f>
        <v>R314 - 28183000</v>
      </c>
      <c r="B2843" s="233" t="s">
        <v>3421</v>
      </c>
      <c r="C2843" s="227" t="s">
        <v>561</v>
      </c>
      <c r="F2843" s="227" t="s">
        <v>301</v>
      </c>
    </row>
    <row r="2844" spans="1:6" x14ac:dyDescent="0.25">
      <c r="A2844" s="227" t="str">
        <f>TL[[#This Row],[Société]]&amp;" - "&amp;TL[[#This Row],[Compte]]</f>
        <v>R314 - 28184000</v>
      </c>
      <c r="B2844" s="233" t="s">
        <v>3422</v>
      </c>
      <c r="C2844" s="227" t="s">
        <v>1100</v>
      </c>
      <c r="F2844" s="227" t="s">
        <v>301</v>
      </c>
    </row>
    <row r="2845" spans="1:6" x14ac:dyDescent="0.25">
      <c r="A2845" s="227" t="str">
        <f>TL[[#This Row],[Société]]&amp;" - "&amp;TL[[#This Row],[Compte]]</f>
        <v>R314 - 31000000</v>
      </c>
      <c r="B2845" s="233" t="s">
        <v>3423</v>
      </c>
      <c r="C2845" s="227" t="s">
        <v>1101</v>
      </c>
      <c r="F2845" s="227" t="s">
        <v>301</v>
      </c>
    </row>
    <row r="2846" spans="1:6" x14ac:dyDescent="0.25">
      <c r="A2846" s="227" t="str">
        <f>TL[[#This Row],[Société]]&amp;" - "&amp;TL[[#This Row],[Compte]]</f>
        <v>R314 - 32000000</v>
      </c>
      <c r="B2846" s="233" t="s">
        <v>3424</v>
      </c>
      <c r="C2846" s="227" t="s">
        <v>562</v>
      </c>
      <c r="F2846" s="227" t="s">
        <v>301</v>
      </c>
    </row>
    <row r="2847" spans="1:6" x14ac:dyDescent="0.25">
      <c r="A2847" s="227" t="str">
        <f>TL[[#This Row],[Société]]&amp;" - "&amp;TL[[#This Row],[Compte]]</f>
        <v>R314 - 32100000</v>
      </c>
      <c r="B2847" s="233" t="s">
        <v>3425</v>
      </c>
      <c r="C2847" s="227" t="s">
        <v>563</v>
      </c>
      <c r="F2847" s="227" t="s">
        <v>301</v>
      </c>
    </row>
    <row r="2848" spans="1:6" x14ac:dyDescent="0.25">
      <c r="A2848" s="227" t="str">
        <f>TL[[#This Row],[Société]]&amp;" - "&amp;TL[[#This Row],[Compte]]</f>
        <v>R314 - 40100000</v>
      </c>
      <c r="B2848" s="233" t="s">
        <v>3427</v>
      </c>
      <c r="C2848" s="227" t="s">
        <v>564</v>
      </c>
      <c r="F2848" s="227" t="s">
        <v>301</v>
      </c>
    </row>
    <row r="2849" spans="1:6" x14ac:dyDescent="0.25">
      <c r="A2849" s="227" t="str">
        <f>TL[[#This Row],[Société]]&amp;" - "&amp;TL[[#This Row],[Compte]]</f>
        <v>R314 - 40410000</v>
      </c>
      <c r="B2849" s="233" t="s">
        <v>3428</v>
      </c>
      <c r="C2849" s="227" t="s">
        <v>1102</v>
      </c>
      <c r="F2849" s="227" t="s">
        <v>301</v>
      </c>
    </row>
    <row r="2850" spans="1:6" x14ac:dyDescent="0.25">
      <c r="A2850" s="227" t="str">
        <f>TL[[#This Row],[Société]]&amp;" - "&amp;TL[[#This Row],[Compte]]</f>
        <v>R314 - 40810000</v>
      </c>
      <c r="B2850" s="233" t="s">
        <v>3429</v>
      </c>
      <c r="C2850" s="227" t="s">
        <v>537</v>
      </c>
      <c r="F2850" s="227" t="s">
        <v>301</v>
      </c>
    </row>
    <row r="2851" spans="1:6" x14ac:dyDescent="0.25">
      <c r="A2851" s="227" t="str">
        <f>TL[[#This Row],[Société]]&amp;" - "&amp;TL[[#This Row],[Compte]]</f>
        <v>R314 - 40840000</v>
      </c>
      <c r="B2851" s="233" t="s">
        <v>3430</v>
      </c>
      <c r="C2851" s="227" t="s">
        <v>1103</v>
      </c>
      <c r="F2851" s="227" t="s">
        <v>301</v>
      </c>
    </row>
    <row r="2852" spans="1:6" x14ac:dyDescent="0.25">
      <c r="A2852" s="227" t="str">
        <f>TL[[#This Row],[Société]]&amp;" - "&amp;TL[[#This Row],[Compte]]</f>
        <v>R314 - 40910000</v>
      </c>
      <c r="B2852" s="233" t="s">
        <v>3431</v>
      </c>
      <c r="C2852" s="227" t="s">
        <v>1104</v>
      </c>
      <c r="F2852" s="227" t="s">
        <v>301</v>
      </c>
    </row>
    <row r="2853" spans="1:6" x14ac:dyDescent="0.25">
      <c r="A2853" s="227" t="str">
        <f>TL[[#This Row],[Société]]&amp;" - "&amp;TL[[#This Row],[Compte]]</f>
        <v>R314 - 40960000</v>
      </c>
      <c r="B2853" s="233" t="s">
        <v>3432</v>
      </c>
      <c r="C2853" s="227" t="s">
        <v>565</v>
      </c>
      <c r="F2853" s="227" t="s">
        <v>301</v>
      </c>
    </row>
    <row r="2854" spans="1:6" x14ac:dyDescent="0.25">
      <c r="A2854" s="227" t="str">
        <f>TL[[#This Row],[Société]]&amp;" - "&amp;TL[[#This Row],[Compte]]</f>
        <v>R314 - 40971000</v>
      </c>
      <c r="B2854" s="233" t="s">
        <v>6080</v>
      </c>
      <c r="C2854" s="227" t="s">
        <v>566</v>
      </c>
      <c r="F2854" s="227" t="s">
        <v>301</v>
      </c>
    </row>
    <row r="2855" spans="1:6" x14ac:dyDescent="0.25">
      <c r="A2855" s="227" t="str">
        <f>TL[[#This Row],[Société]]&amp;" - "&amp;TL[[#This Row],[Compte]]</f>
        <v>R314 - 40980000</v>
      </c>
      <c r="B2855" s="233" t="s">
        <v>3434</v>
      </c>
      <c r="C2855" s="227" t="s">
        <v>567</v>
      </c>
      <c r="F2855" s="227" t="s">
        <v>301</v>
      </c>
    </row>
    <row r="2856" spans="1:6" x14ac:dyDescent="0.25">
      <c r="A2856" s="227" t="str">
        <f>TL[[#This Row],[Société]]&amp;" - "&amp;TL[[#This Row],[Compte]]</f>
        <v>R314 - 41100000</v>
      </c>
      <c r="B2856" s="233" t="s">
        <v>1575</v>
      </c>
      <c r="C2856" s="227" t="s">
        <v>568</v>
      </c>
      <c r="F2856" s="227" t="s">
        <v>301</v>
      </c>
    </row>
    <row r="2857" spans="1:6" x14ac:dyDescent="0.25">
      <c r="A2857" s="227" t="str">
        <f>TL[[#This Row],[Société]]&amp;" - "&amp;TL[[#This Row],[Compte]]</f>
        <v>R314 - 41600000</v>
      </c>
      <c r="B2857" s="233" t="s">
        <v>3436</v>
      </c>
      <c r="C2857" s="227" t="s">
        <v>569</v>
      </c>
      <c r="F2857" s="227" t="s">
        <v>301</v>
      </c>
    </row>
    <row r="2858" spans="1:6" x14ac:dyDescent="0.25">
      <c r="A2858" s="227" t="str">
        <f>TL[[#This Row],[Société]]&amp;" - "&amp;TL[[#This Row],[Compte]]</f>
        <v>R314 - 41810000</v>
      </c>
      <c r="B2858" s="233" t="s">
        <v>3437</v>
      </c>
      <c r="C2858" s="227" t="s">
        <v>1105</v>
      </c>
      <c r="F2858" s="227" t="s">
        <v>301</v>
      </c>
    </row>
    <row r="2859" spans="1:6" x14ac:dyDescent="0.25">
      <c r="A2859" s="227" t="str">
        <f>TL[[#This Row],[Société]]&amp;" - "&amp;TL[[#This Row],[Compte]]</f>
        <v>R314 - 41980000</v>
      </c>
      <c r="B2859" s="233" t="s">
        <v>6081</v>
      </c>
      <c r="C2859" s="227" t="s">
        <v>1529</v>
      </c>
      <c r="F2859" s="227" t="s">
        <v>301</v>
      </c>
    </row>
    <row r="2860" spans="1:6" x14ac:dyDescent="0.25">
      <c r="A2860" s="227" t="str">
        <f>TL[[#This Row],[Société]]&amp;" - "&amp;TL[[#This Row],[Compte]]</f>
        <v>R314 - 42100000</v>
      </c>
      <c r="B2860" s="233" t="s">
        <v>3438</v>
      </c>
      <c r="C2860" s="227" t="s">
        <v>530</v>
      </c>
      <c r="F2860" s="227" t="s">
        <v>301</v>
      </c>
    </row>
    <row r="2861" spans="1:6" x14ac:dyDescent="0.25">
      <c r="A2861" s="227" t="str">
        <f>TL[[#This Row],[Société]]&amp;" - "&amp;TL[[#This Row],[Compte]]</f>
        <v>R314 - 42101000</v>
      </c>
      <c r="B2861" s="233" t="s">
        <v>3439</v>
      </c>
      <c r="C2861" s="227" t="s">
        <v>1305</v>
      </c>
      <c r="F2861" s="227" t="s">
        <v>301</v>
      </c>
    </row>
    <row r="2862" spans="1:6" x14ac:dyDescent="0.25">
      <c r="A2862" s="227" t="str">
        <f>TL[[#This Row],[Société]]&amp;" - "&amp;TL[[#This Row],[Compte]]</f>
        <v>R314 - 42144400</v>
      </c>
      <c r="B2862" s="233" t="s">
        <v>3440</v>
      </c>
      <c r="C2862" s="227" t="s">
        <v>570</v>
      </c>
      <c r="F2862" s="227" t="s">
        <v>301</v>
      </c>
    </row>
    <row r="2863" spans="1:6" x14ac:dyDescent="0.25">
      <c r="A2863" s="227" t="str">
        <f>TL[[#This Row],[Société]]&amp;" - "&amp;TL[[#This Row],[Compte]]</f>
        <v>R314 - 42500000</v>
      </c>
      <c r="B2863" s="233" t="s">
        <v>3441</v>
      </c>
      <c r="C2863" s="227" t="s">
        <v>571</v>
      </c>
      <c r="F2863" s="227" t="s">
        <v>301</v>
      </c>
    </row>
    <row r="2864" spans="1:6" x14ac:dyDescent="0.25">
      <c r="A2864" s="227" t="str">
        <f>TL[[#This Row],[Société]]&amp;" - "&amp;TL[[#This Row],[Compte]]</f>
        <v>R314 - 42700000</v>
      </c>
      <c r="B2864" s="233" t="s">
        <v>3442</v>
      </c>
      <c r="C2864" s="227" t="s">
        <v>572</v>
      </c>
      <c r="F2864" s="227" t="s">
        <v>301</v>
      </c>
    </row>
    <row r="2865" spans="1:6" x14ac:dyDescent="0.25">
      <c r="A2865" s="227" t="str">
        <f>TL[[#This Row],[Société]]&amp;" - "&amp;TL[[#This Row],[Compte]]</f>
        <v>R314 - 42820000</v>
      </c>
      <c r="B2865" s="233" t="s">
        <v>3443</v>
      </c>
      <c r="C2865" s="227" t="s">
        <v>1106</v>
      </c>
      <c r="F2865" s="227" t="s">
        <v>301</v>
      </c>
    </row>
    <row r="2866" spans="1:6" x14ac:dyDescent="0.25">
      <c r="A2866" s="227" t="str">
        <f>TL[[#This Row],[Société]]&amp;" - "&amp;TL[[#This Row],[Compte]]</f>
        <v>R314 - 42860000</v>
      </c>
      <c r="B2866" s="233" t="s">
        <v>6082</v>
      </c>
      <c r="C2866" s="227" t="s">
        <v>1107</v>
      </c>
      <c r="F2866" s="227" t="s">
        <v>301</v>
      </c>
    </row>
    <row r="2867" spans="1:6" x14ac:dyDescent="0.25">
      <c r="A2867" s="227" t="str">
        <f>TL[[#This Row],[Société]]&amp;" - "&amp;TL[[#This Row],[Compte]]</f>
        <v>R314 - 43100000</v>
      </c>
      <c r="B2867" s="233" t="s">
        <v>3445</v>
      </c>
      <c r="C2867" s="227" t="s">
        <v>573</v>
      </c>
      <c r="F2867" s="227" t="s">
        <v>301</v>
      </c>
    </row>
    <row r="2868" spans="1:6" x14ac:dyDescent="0.25">
      <c r="A2868" s="227" t="str">
        <f>TL[[#This Row],[Société]]&amp;" - "&amp;TL[[#This Row],[Compte]]</f>
        <v>R314 - 43701000</v>
      </c>
      <c r="B2868" s="233" t="s">
        <v>3447</v>
      </c>
      <c r="C2868" s="227" t="s">
        <v>574</v>
      </c>
      <c r="F2868" s="227" t="s">
        <v>301</v>
      </c>
    </row>
    <row r="2869" spans="1:6" x14ac:dyDescent="0.25">
      <c r="A2869" s="227" t="str">
        <f>TL[[#This Row],[Société]]&amp;" - "&amp;TL[[#This Row],[Compte]]</f>
        <v>R314 - 43702000</v>
      </c>
      <c r="B2869" s="233" t="s">
        <v>3449</v>
      </c>
      <c r="C2869" s="227" t="s">
        <v>575</v>
      </c>
      <c r="F2869" s="227" t="s">
        <v>301</v>
      </c>
    </row>
    <row r="2870" spans="1:6" x14ac:dyDescent="0.25">
      <c r="A2870" s="227" t="str">
        <f>TL[[#This Row],[Société]]&amp;" - "&amp;TL[[#This Row],[Compte]]</f>
        <v>R314 - 43703000</v>
      </c>
      <c r="B2870" s="233" t="s">
        <v>3453</v>
      </c>
      <c r="C2870" s="227" t="s">
        <v>576</v>
      </c>
      <c r="F2870" s="227" t="s">
        <v>301</v>
      </c>
    </row>
    <row r="2871" spans="1:6" x14ac:dyDescent="0.25">
      <c r="A2871" s="227" t="str">
        <f>TL[[#This Row],[Société]]&amp;" - "&amp;TL[[#This Row],[Compte]]</f>
        <v>R314 - 43704000</v>
      </c>
      <c r="B2871" s="233" t="s">
        <v>3454</v>
      </c>
      <c r="C2871" s="227" t="s">
        <v>1076</v>
      </c>
      <c r="F2871" s="227" t="s">
        <v>301</v>
      </c>
    </row>
    <row r="2872" spans="1:6" x14ac:dyDescent="0.25">
      <c r="A2872" s="227" t="str">
        <f>TL[[#This Row],[Société]]&amp;" - "&amp;TL[[#This Row],[Compte]]</f>
        <v>R314 - 43705000</v>
      </c>
      <c r="B2872" s="233" t="s">
        <v>3455</v>
      </c>
      <c r="C2872" s="227" t="s">
        <v>574</v>
      </c>
      <c r="F2872" s="227" t="s">
        <v>301</v>
      </c>
    </row>
    <row r="2873" spans="1:6" x14ac:dyDescent="0.25">
      <c r="A2873" s="227" t="str">
        <f>TL[[#This Row],[Société]]&amp;" - "&amp;TL[[#This Row],[Compte]]</f>
        <v>R314 - 43706000</v>
      </c>
      <c r="B2873" s="233" t="s">
        <v>3456</v>
      </c>
      <c r="C2873" s="227" t="s">
        <v>1108</v>
      </c>
      <c r="F2873" s="227" t="s">
        <v>301</v>
      </c>
    </row>
    <row r="2874" spans="1:6" x14ac:dyDescent="0.25">
      <c r="A2874" s="227" t="str">
        <f>TL[[#This Row],[Société]]&amp;" - "&amp;TL[[#This Row],[Compte]]</f>
        <v>R314 - 43707000</v>
      </c>
      <c r="B2874" s="233" t="s">
        <v>6083</v>
      </c>
      <c r="C2874" s="227" t="s">
        <v>577</v>
      </c>
      <c r="F2874" s="227" t="s">
        <v>301</v>
      </c>
    </row>
    <row r="2875" spans="1:6" x14ac:dyDescent="0.25">
      <c r="A2875" s="227" t="str">
        <f>TL[[#This Row],[Société]]&amp;" - "&amp;TL[[#This Row],[Compte]]</f>
        <v>R314 - 43708000</v>
      </c>
      <c r="B2875" s="233" t="s">
        <v>3457</v>
      </c>
      <c r="C2875" s="227" t="s">
        <v>1076</v>
      </c>
      <c r="F2875" s="227" t="s">
        <v>301</v>
      </c>
    </row>
    <row r="2876" spans="1:6" x14ac:dyDescent="0.25">
      <c r="A2876" s="227" t="str">
        <f>TL[[#This Row],[Société]]&amp;" - "&amp;TL[[#This Row],[Compte]]</f>
        <v>R314 - 43709000</v>
      </c>
      <c r="B2876" s="233" t="s">
        <v>6084</v>
      </c>
      <c r="C2876" s="227" t="s">
        <v>1109</v>
      </c>
      <c r="F2876" s="227" t="s">
        <v>301</v>
      </c>
    </row>
    <row r="2877" spans="1:6" x14ac:dyDescent="0.25">
      <c r="A2877" s="227" t="str">
        <f>TL[[#This Row],[Société]]&amp;" - "&amp;TL[[#This Row],[Compte]]</f>
        <v>R314 - 43820000</v>
      </c>
      <c r="B2877" s="233" t="s">
        <v>3459</v>
      </c>
      <c r="C2877" s="227" t="s">
        <v>1110</v>
      </c>
      <c r="F2877" s="227" t="s">
        <v>301</v>
      </c>
    </row>
    <row r="2878" spans="1:6" x14ac:dyDescent="0.25">
      <c r="A2878" s="227" t="str">
        <f>TL[[#This Row],[Société]]&amp;" - "&amp;TL[[#This Row],[Compte]]</f>
        <v>R314 - 43860000</v>
      </c>
      <c r="B2878" s="233" t="s">
        <v>3460</v>
      </c>
      <c r="C2878" s="227" t="s">
        <v>1111</v>
      </c>
      <c r="F2878" s="227" t="s">
        <v>301</v>
      </c>
    </row>
    <row r="2879" spans="1:6" x14ac:dyDescent="0.25">
      <c r="A2879" s="227" t="str">
        <f>TL[[#This Row],[Société]]&amp;" - "&amp;TL[[#This Row],[Compte]]</f>
        <v>R314 - 43861000</v>
      </c>
      <c r="B2879" s="233" t="s">
        <v>6085</v>
      </c>
      <c r="C2879" s="227" t="s">
        <v>2104</v>
      </c>
      <c r="F2879" s="227" t="s">
        <v>301</v>
      </c>
    </row>
    <row r="2880" spans="1:6" x14ac:dyDescent="0.25">
      <c r="A2880" s="227" t="str">
        <f>TL[[#This Row],[Société]]&amp;" - "&amp;TL[[#This Row],[Compte]]</f>
        <v>R314 - 43862000</v>
      </c>
      <c r="B2880" s="233" t="s">
        <v>6086</v>
      </c>
      <c r="C2880" s="227" t="s">
        <v>2105</v>
      </c>
      <c r="F2880" s="227" t="s">
        <v>301</v>
      </c>
    </row>
    <row r="2881" spans="1:6" x14ac:dyDescent="0.25">
      <c r="A2881" s="227" t="str">
        <f>TL[[#This Row],[Société]]&amp;" - "&amp;TL[[#This Row],[Compte]]</f>
        <v>R314 - 44200000</v>
      </c>
      <c r="B2881" s="233" t="s">
        <v>3461</v>
      </c>
      <c r="C2881" s="227" t="s">
        <v>1112</v>
      </c>
      <c r="F2881" s="227" t="s">
        <v>301</v>
      </c>
    </row>
    <row r="2882" spans="1:6" x14ac:dyDescent="0.25">
      <c r="A2882" s="227" t="str">
        <f>TL[[#This Row],[Société]]&amp;" - "&amp;TL[[#This Row],[Compte]]</f>
        <v>R314 - 44210000</v>
      </c>
      <c r="B2882" s="233" t="s">
        <v>3462</v>
      </c>
      <c r="C2882" s="227" t="s">
        <v>579</v>
      </c>
      <c r="F2882" s="227" t="s">
        <v>301</v>
      </c>
    </row>
    <row r="2883" spans="1:6" x14ac:dyDescent="0.25">
      <c r="A2883" s="227" t="str">
        <f>TL[[#This Row],[Société]]&amp;" - "&amp;TL[[#This Row],[Compte]]</f>
        <v>R314 - 44320000</v>
      </c>
      <c r="B2883" s="233" t="s">
        <v>6087</v>
      </c>
      <c r="C2883" s="227" t="s">
        <v>1431</v>
      </c>
      <c r="F2883" s="227" t="s">
        <v>301</v>
      </c>
    </row>
    <row r="2884" spans="1:6" x14ac:dyDescent="0.25">
      <c r="A2884" s="227" t="str">
        <f>TL[[#This Row],[Société]]&amp;" - "&amp;TL[[#This Row],[Compte]]</f>
        <v>R314 - 44400000</v>
      </c>
      <c r="B2884" s="233" t="s">
        <v>3464</v>
      </c>
      <c r="C2884" s="227" t="s">
        <v>157</v>
      </c>
      <c r="F2884" s="227" t="s">
        <v>301</v>
      </c>
    </row>
    <row r="2885" spans="1:6" x14ac:dyDescent="0.25">
      <c r="A2885" s="227" t="str">
        <f>TL[[#This Row],[Société]]&amp;" - "&amp;TL[[#This Row],[Compte]]</f>
        <v>R314 - 44520000</v>
      </c>
      <c r="B2885" s="233" t="s">
        <v>3465</v>
      </c>
      <c r="C2885" s="227" t="s">
        <v>580</v>
      </c>
      <c r="F2885" s="227" t="s">
        <v>301</v>
      </c>
    </row>
    <row r="2886" spans="1:6" x14ac:dyDescent="0.25">
      <c r="A2886" s="227" t="str">
        <f>TL[[#This Row],[Société]]&amp;" - "&amp;TL[[#This Row],[Compte]]</f>
        <v>R314 - 44551000</v>
      </c>
      <c r="B2886" s="233" t="s">
        <v>3466</v>
      </c>
      <c r="C2886" s="227" t="s">
        <v>534</v>
      </c>
      <c r="F2886" s="227" t="s">
        <v>301</v>
      </c>
    </row>
    <row r="2887" spans="1:6" x14ac:dyDescent="0.25">
      <c r="A2887" s="227" t="str">
        <f>TL[[#This Row],[Société]]&amp;" - "&amp;TL[[#This Row],[Compte]]</f>
        <v>R314 - 44562000</v>
      </c>
      <c r="B2887" s="233" t="s">
        <v>3467</v>
      </c>
      <c r="C2887" s="227" t="s">
        <v>581</v>
      </c>
      <c r="F2887" s="227" t="s">
        <v>301</v>
      </c>
    </row>
    <row r="2888" spans="1:6" x14ac:dyDescent="0.25">
      <c r="A2888" s="227" t="str">
        <f>TL[[#This Row],[Société]]&amp;" - "&amp;TL[[#This Row],[Compte]]</f>
        <v>R314 - 44562100</v>
      </c>
      <c r="B2888" s="233" t="s">
        <v>3468</v>
      </c>
      <c r="C2888" s="227" t="s">
        <v>1113</v>
      </c>
      <c r="F2888" s="227" t="s">
        <v>301</v>
      </c>
    </row>
    <row r="2889" spans="1:6" x14ac:dyDescent="0.25">
      <c r="A2889" s="227" t="str">
        <f>TL[[#This Row],[Société]]&amp;" - "&amp;TL[[#This Row],[Compte]]</f>
        <v>R314 - 44566000</v>
      </c>
      <c r="B2889" s="233" t="s">
        <v>3469</v>
      </c>
      <c r="C2889" s="227" t="s">
        <v>1071</v>
      </c>
      <c r="F2889" s="227" t="s">
        <v>301</v>
      </c>
    </row>
    <row r="2890" spans="1:6" x14ac:dyDescent="0.25">
      <c r="A2890" s="227" t="str">
        <f>TL[[#This Row],[Société]]&amp;" - "&amp;TL[[#This Row],[Compte]]</f>
        <v>R314 - 44566100</v>
      </c>
      <c r="B2890" s="233" t="s">
        <v>3470</v>
      </c>
      <c r="C2890" s="227" t="s">
        <v>1114</v>
      </c>
      <c r="F2890" s="227" t="s">
        <v>301</v>
      </c>
    </row>
    <row r="2891" spans="1:6" x14ac:dyDescent="0.25">
      <c r="A2891" s="227" t="str">
        <f>TL[[#This Row],[Société]]&amp;" - "&amp;TL[[#This Row],[Compte]]</f>
        <v>R314 - 44566200</v>
      </c>
      <c r="B2891" s="233" t="s">
        <v>3471</v>
      </c>
      <c r="C2891" s="227" t="s">
        <v>582</v>
      </c>
      <c r="F2891" s="227" t="s">
        <v>301</v>
      </c>
    </row>
    <row r="2892" spans="1:6" x14ac:dyDescent="0.25">
      <c r="A2892" s="227" t="str">
        <f>TL[[#This Row],[Société]]&amp;" - "&amp;TL[[#This Row],[Compte]]</f>
        <v>R314 - 44567000</v>
      </c>
      <c r="B2892" s="233" t="s">
        <v>3472</v>
      </c>
      <c r="C2892" s="227" t="s">
        <v>535</v>
      </c>
      <c r="F2892" s="227" t="s">
        <v>301</v>
      </c>
    </row>
    <row r="2893" spans="1:6" x14ac:dyDescent="0.25">
      <c r="A2893" s="227" t="str">
        <f>TL[[#This Row],[Société]]&amp;" - "&amp;TL[[#This Row],[Compte]]</f>
        <v>R314 - 44571000</v>
      </c>
      <c r="B2893" s="233" t="s">
        <v>3473</v>
      </c>
      <c r="C2893" s="227" t="s">
        <v>1115</v>
      </c>
      <c r="F2893" s="227" t="s">
        <v>301</v>
      </c>
    </row>
    <row r="2894" spans="1:6" x14ac:dyDescent="0.25">
      <c r="A2894" s="227" t="str">
        <f>TL[[#This Row],[Société]]&amp;" - "&amp;TL[[#This Row],[Compte]]</f>
        <v>R314 - 44571100</v>
      </c>
      <c r="B2894" s="233" t="s">
        <v>3474</v>
      </c>
      <c r="C2894" s="227" t="s">
        <v>1116</v>
      </c>
      <c r="F2894" s="227" t="s">
        <v>301</v>
      </c>
    </row>
    <row r="2895" spans="1:6" x14ac:dyDescent="0.25">
      <c r="A2895" s="227" t="str">
        <f>TL[[#This Row],[Société]]&amp;" - "&amp;TL[[#This Row],[Compte]]</f>
        <v>R314 - 44571300</v>
      </c>
      <c r="B2895" s="233" t="s">
        <v>3475</v>
      </c>
      <c r="C2895" s="227" t="s">
        <v>1117</v>
      </c>
      <c r="F2895" s="227" t="s">
        <v>301</v>
      </c>
    </row>
    <row r="2896" spans="1:6" x14ac:dyDescent="0.25">
      <c r="A2896" s="227" t="str">
        <f>TL[[#This Row],[Société]]&amp;" - "&amp;TL[[#This Row],[Compte]]</f>
        <v>R314 - 44571400</v>
      </c>
      <c r="B2896" s="233" t="s">
        <v>3476</v>
      </c>
      <c r="C2896" s="227" t="s">
        <v>583</v>
      </c>
      <c r="F2896" s="227" t="s">
        <v>301</v>
      </c>
    </row>
    <row r="2897" spans="1:6" x14ac:dyDescent="0.25">
      <c r="A2897" s="227" t="str">
        <f>TL[[#This Row],[Société]]&amp;" - "&amp;TL[[#This Row],[Compte]]</f>
        <v>R314 - 44571500</v>
      </c>
      <c r="B2897" s="233" t="s">
        <v>3477</v>
      </c>
      <c r="C2897" s="227" t="s">
        <v>584</v>
      </c>
      <c r="F2897" s="227" t="s">
        <v>301</v>
      </c>
    </row>
    <row r="2898" spans="1:6" x14ac:dyDescent="0.25">
      <c r="A2898" s="227" t="str">
        <f>TL[[#This Row],[Société]]&amp;" - "&amp;TL[[#This Row],[Compte]]</f>
        <v>R314 - 44571600</v>
      </c>
      <c r="B2898" s="233" t="s">
        <v>3478</v>
      </c>
      <c r="C2898" s="227" t="s">
        <v>1118</v>
      </c>
      <c r="F2898" s="227" t="s">
        <v>301</v>
      </c>
    </row>
    <row r="2899" spans="1:6" x14ac:dyDescent="0.25">
      <c r="A2899" s="227" t="str">
        <f>TL[[#This Row],[Société]]&amp;" - "&amp;TL[[#This Row],[Compte]]</f>
        <v>R314 - 44571700</v>
      </c>
      <c r="B2899" s="233" t="s">
        <v>3479</v>
      </c>
      <c r="C2899" s="227" t="s">
        <v>2146</v>
      </c>
      <c r="F2899" s="227" t="s">
        <v>301</v>
      </c>
    </row>
    <row r="2900" spans="1:6" x14ac:dyDescent="0.25">
      <c r="A2900" s="227" t="str">
        <f>TL[[#This Row],[Société]]&amp;" - "&amp;TL[[#This Row],[Compte]]</f>
        <v>R314 - 44572000</v>
      </c>
      <c r="B2900" s="233" t="s">
        <v>3480</v>
      </c>
      <c r="C2900" s="227" t="s">
        <v>1119</v>
      </c>
      <c r="F2900" s="227" t="s">
        <v>301</v>
      </c>
    </row>
    <row r="2901" spans="1:6" x14ac:dyDescent="0.25">
      <c r="A2901" s="227" t="str">
        <f>TL[[#This Row],[Société]]&amp;" - "&amp;TL[[#This Row],[Compte]]</f>
        <v>R314 - 44583000</v>
      </c>
      <c r="B2901" s="233" t="s">
        <v>3482</v>
      </c>
      <c r="C2901" s="227" t="s">
        <v>1082</v>
      </c>
      <c r="F2901" s="227" t="s">
        <v>301</v>
      </c>
    </row>
    <row r="2902" spans="1:6" x14ac:dyDescent="0.25">
      <c r="A2902" s="227" t="str">
        <f>TL[[#This Row],[Société]]&amp;" - "&amp;TL[[#This Row],[Compte]]</f>
        <v>R314 - 44586000</v>
      </c>
      <c r="B2902" s="233" t="s">
        <v>3483</v>
      </c>
      <c r="C2902" s="227" t="s">
        <v>1120</v>
      </c>
      <c r="F2902" s="227" t="s">
        <v>301</v>
      </c>
    </row>
    <row r="2903" spans="1:6" x14ac:dyDescent="0.25">
      <c r="A2903" s="227" t="str">
        <f>TL[[#This Row],[Société]]&amp;" - "&amp;TL[[#This Row],[Compte]]</f>
        <v>R314 - 44586500</v>
      </c>
      <c r="B2903" s="233" t="s">
        <v>6088</v>
      </c>
      <c r="C2903" s="227" t="s">
        <v>1121</v>
      </c>
      <c r="F2903" s="227" t="s">
        <v>301</v>
      </c>
    </row>
    <row r="2904" spans="1:6" x14ac:dyDescent="0.25">
      <c r="A2904" s="227" t="str">
        <f>TL[[#This Row],[Société]]&amp;" - "&amp;TL[[#This Row],[Compte]]</f>
        <v>R314 - 44587000</v>
      </c>
      <c r="B2904" s="233" t="s">
        <v>3485</v>
      </c>
      <c r="C2904" s="227" t="s">
        <v>586</v>
      </c>
      <c r="F2904" s="227" t="s">
        <v>301</v>
      </c>
    </row>
    <row r="2905" spans="1:6" x14ac:dyDescent="0.25">
      <c r="A2905" s="227" t="str">
        <f>TL[[#This Row],[Société]]&amp;" - "&amp;TL[[#This Row],[Compte]]</f>
        <v>R314 - 44587100</v>
      </c>
      <c r="B2905" s="233" t="s">
        <v>6089</v>
      </c>
      <c r="C2905" s="227" t="s">
        <v>1432</v>
      </c>
      <c r="F2905" s="227" t="s">
        <v>301</v>
      </c>
    </row>
    <row r="2906" spans="1:6" x14ac:dyDescent="0.25">
      <c r="A2906" s="227" t="str">
        <f>TL[[#This Row],[Société]]&amp;" - "&amp;TL[[#This Row],[Compte]]</f>
        <v>R314 - 44860000</v>
      </c>
      <c r="B2906" s="233" t="s">
        <v>3486</v>
      </c>
      <c r="C2906" s="227" t="s">
        <v>587</v>
      </c>
      <c r="F2906" s="227" t="s">
        <v>301</v>
      </c>
    </row>
    <row r="2907" spans="1:6" x14ac:dyDescent="0.25">
      <c r="A2907" s="227" t="str">
        <f>TL[[#This Row],[Société]]&amp;" - "&amp;TL[[#This Row],[Compte]]</f>
        <v>R314 - 44863000</v>
      </c>
      <c r="B2907" s="233" t="s">
        <v>6090</v>
      </c>
      <c r="C2907" s="227" t="s">
        <v>6091</v>
      </c>
      <c r="F2907" s="227" t="s">
        <v>301</v>
      </c>
    </row>
    <row r="2908" spans="1:6" x14ac:dyDescent="0.25">
      <c r="A2908" s="227" t="str">
        <f>TL[[#This Row],[Société]]&amp;" - "&amp;TL[[#This Row],[Compte]]</f>
        <v>R314 - 44870000</v>
      </c>
      <c r="B2908" s="233" t="s">
        <v>3487</v>
      </c>
      <c r="C2908" s="227" t="s">
        <v>1122</v>
      </c>
      <c r="F2908" s="227" t="s">
        <v>301</v>
      </c>
    </row>
    <row r="2909" spans="1:6" x14ac:dyDescent="0.25">
      <c r="A2909" s="227" t="str">
        <f>TL[[#This Row],[Société]]&amp;" - "&amp;TL[[#This Row],[Compte]]</f>
        <v>R314 - 45500000</v>
      </c>
      <c r="B2909" s="233" t="s">
        <v>3488</v>
      </c>
      <c r="C2909" s="227" t="s">
        <v>1123</v>
      </c>
      <c r="F2909" s="227" t="s">
        <v>301</v>
      </c>
    </row>
    <row r="2910" spans="1:6" x14ac:dyDescent="0.25">
      <c r="A2910" s="227" t="str">
        <f>TL[[#This Row],[Société]]&amp;" - "&amp;TL[[#This Row],[Compte]]</f>
        <v>R314 - 45501000</v>
      </c>
      <c r="B2910" s="233" t="s">
        <v>6092</v>
      </c>
      <c r="C2910" s="227" t="s">
        <v>1124</v>
      </c>
      <c r="F2910" s="227" t="s">
        <v>301</v>
      </c>
    </row>
    <row r="2911" spans="1:6" x14ac:dyDescent="0.25">
      <c r="A2911" s="227" t="str">
        <f>TL[[#This Row],[Société]]&amp;" - "&amp;TL[[#This Row],[Compte]]</f>
        <v>R314 - 45502000</v>
      </c>
      <c r="B2911" s="233" t="s">
        <v>6093</v>
      </c>
      <c r="C2911" s="227" t="s">
        <v>1125</v>
      </c>
      <c r="F2911" s="227" t="s">
        <v>301</v>
      </c>
    </row>
    <row r="2912" spans="1:6" x14ac:dyDescent="0.25">
      <c r="A2912" s="227" t="str">
        <f>TL[[#This Row],[Société]]&amp;" - "&amp;TL[[#This Row],[Compte]]</f>
        <v>R314 - 45503000</v>
      </c>
      <c r="B2912" s="233" t="s">
        <v>6094</v>
      </c>
      <c r="C2912" s="227" t="s">
        <v>1126</v>
      </c>
      <c r="F2912" s="227" t="s">
        <v>301</v>
      </c>
    </row>
    <row r="2913" spans="1:6" x14ac:dyDescent="0.25">
      <c r="A2913" s="227" t="str">
        <f>TL[[#This Row],[Société]]&amp;" - "&amp;TL[[#This Row],[Compte]]</f>
        <v>R314 - 45504000</v>
      </c>
      <c r="B2913" s="233" t="s">
        <v>6095</v>
      </c>
      <c r="C2913" s="227" t="s">
        <v>1127</v>
      </c>
      <c r="F2913" s="227" t="s">
        <v>301</v>
      </c>
    </row>
    <row r="2914" spans="1:6" x14ac:dyDescent="0.25">
      <c r="A2914" s="227" t="str">
        <f>TL[[#This Row],[Société]]&amp;" - "&amp;TL[[#This Row],[Compte]]</f>
        <v>R314 - 45505000</v>
      </c>
      <c r="B2914" s="233" t="s">
        <v>6096</v>
      </c>
      <c r="C2914" s="227" t="s">
        <v>1128</v>
      </c>
      <c r="F2914" s="227" t="s">
        <v>301</v>
      </c>
    </row>
    <row r="2915" spans="1:6" x14ac:dyDescent="0.25">
      <c r="A2915" s="227" t="str">
        <f>TL[[#This Row],[Société]]&amp;" - "&amp;TL[[#This Row],[Compte]]</f>
        <v>R314 - 45506000</v>
      </c>
      <c r="B2915" s="233" t="s">
        <v>6097</v>
      </c>
      <c r="C2915" s="227" t="s">
        <v>1129</v>
      </c>
      <c r="F2915" s="227" t="s">
        <v>301</v>
      </c>
    </row>
    <row r="2916" spans="1:6" x14ac:dyDescent="0.25">
      <c r="A2916" s="227" t="str">
        <f>TL[[#This Row],[Société]]&amp;" - "&amp;TL[[#This Row],[Compte]]</f>
        <v>R314 - 45507000</v>
      </c>
      <c r="B2916" s="233" t="s">
        <v>6098</v>
      </c>
      <c r="C2916" s="227" t="s">
        <v>1130</v>
      </c>
      <c r="F2916" s="227" t="s">
        <v>301</v>
      </c>
    </row>
    <row r="2917" spans="1:6" x14ac:dyDescent="0.25">
      <c r="A2917" s="227" t="str">
        <f>TL[[#This Row],[Société]]&amp;" - "&amp;TL[[#This Row],[Compte]]</f>
        <v>R314 - 45508000</v>
      </c>
      <c r="B2917" s="233" t="s">
        <v>6099</v>
      </c>
      <c r="C2917" s="227" t="s">
        <v>1131</v>
      </c>
      <c r="F2917" s="227" t="s">
        <v>301</v>
      </c>
    </row>
    <row r="2918" spans="1:6" x14ac:dyDescent="0.25">
      <c r="A2918" s="227" t="str">
        <f>TL[[#This Row],[Société]]&amp;" - "&amp;TL[[#This Row],[Compte]]</f>
        <v>R314 - 45700000</v>
      </c>
      <c r="B2918" s="233" t="s">
        <v>3489</v>
      </c>
      <c r="C2918" s="227" t="s">
        <v>588</v>
      </c>
      <c r="F2918" s="227" t="s">
        <v>301</v>
      </c>
    </row>
    <row r="2919" spans="1:6" x14ac:dyDescent="0.25">
      <c r="A2919" s="227" t="str">
        <f>TL[[#This Row],[Société]]&amp;" - "&amp;TL[[#This Row],[Compte]]</f>
        <v>R314 - 46700000</v>
      </c>
      <c r="B2919" s="233" t="s">
        <v>3490</v>
      </c>
      <c r="C2919" s="227" t="s">
        <v>1132</v>
      </c>
      <c r="F2919" s="227" t="s">
        <v>301</v>
      </c>
    </row>
    <row r="2920" spans="1:6" x14ac:dyDescent="0.25">
      <c r="A2920" s="227" t="str">
        <f>TL[[#This Row],[Société]]&amp;" - "&amp;TL[[#This Row],[Compte]]</f>
        <v>R314 - 46710000</v>
      </c>
      <c r="B2920" s="233" t="s">
        <v>3491</v>
      </c>
      <c r="C2920" s="227" t="s">
        <v>1078</v>
      </c>
      <c r="F2920" s="227" t="s">
        <v>301</v>
      </c>
    </row>
    <row r="2921" spans="1:6" x14ac:dyDescent="0.25">
      <c r="A2921" s="227" t="str">
        <f>TL[[#This Row],[Société]]&amp;" - "&amp;TL[[#This Row],[Compte]]</f>
        <v>R314 - 46720000</v>
      </c>
      <c r="B2921" s="233" t="s">
        <v>3492</v>
      </c>
      <c r="C2921" s="227" t="s">
        <v>589</v>
      </c>
      <c r="F2921" s="227" t="s">
        <v>301</v>
      </c>
    </row>
    <row r="2922" spans="1:6" x14ac:dyDescent="0.25">
      <c r="A2922" s="227" t="str">
        <f>TL[[#This Row],[Société]]&amp;" - "&amp;TL[[#This Row],[Compte]]</f>
        <v>R314 - 46721000</v>
      </c>
      <c r="B2922" s="233" t="s">
        <v>3493</v>
      </c>
      <c r="C2922" s="227" t="s">
        <v>1079</v>
      </c>
      <c r="F2922" s="227" t="s">
        <v>301</v>
      </c>
    </row>
    <row r="2923" spans="1:6" x14ac:dyDescent="0.25">
      <c r="A2923" s="227" t="str">
        <f>TL[[#This Row],[Société]]&amp;" - "&amp;TL[[#This Row],[Compte]]</f>
        <v>R314 - 46723000</v>
      </c>
      <c r="B2923" s="233" t="s">
        <v>3495</v>
      </c>
      <c r="C2923" s="227" t="s">
        <v>1080</v>
      </c>
      <c r="F2923" s="227" t="s">
        <v>301</v>
      </c>
    </row>
    <row r="2924" spans="1:6" x14ac:dyDescent="0.25">
      <c r="A2924" s="227" t="str">
        <f>TL[[#This Row],[Société]]&amp;" - "&amp;TL[[#This Row],[Compte]]</f>
        <v>R314 - 46724000</v>
      </c>
      <c r="B2924" s="233" t="s">
        <v>3496</v>
      </c>
      <c r="C2924" s="227" t="s">
        <v>1083</v>
      </c>
      <c r="F2924" s="227" t="s">
        <v>301</v>
      </c>
    </row>
    <row r="2925" spans="1:6" x14ac:dyDescent="0.25">
      <c r="A2925" s="227" t="str">
        <f>TL[[#This Row],[Société]]&amp;" - "&amp;TL[[#This Row],[Compte]]</f>
        <v>R314 - 46725000</v>
      </c>
      <c r="B2925" s="233" t="s">
        <v>3497</v>
      </c>
      <c r="C2925" s="227" t="s">
        <v>1081</v>
      </c>
      <c r="F2925" s="227" t="s">
        <v>301</v>
      </c>
    </row>
    <row r="2926" spans="1:6" x14ac:dyDescent="0.25">
      <c r="A2926" s="227" t="str">
        <f>TL[[#This Row],[Société]]&amp;" - "&amp;TL[[#This Row],[Compte]]</f>
        <v>R314 - 46726000</v>
      </c>
      <c r="B2926" s="233" t="s">
        <v>3498</v>
      </c>
      <c r="C2926" s="227" t="s">
        <v>1133</v>
      </c>
      <c r="F2926" s="227" t="s">
        <v>301</v>
      </c>
    </row>
    <row r="2927" spans="1:6" x14ac:dyDescent="0.25">
      <c r="A2927" s="227" t="str">
        <f>TL[[#This Row],[Société]]&amp;" - "&amp;TL[[#This Row],[Compte]]</f>
        <v>R314 - 46727000</v>
      </c>
      <c r="B2927" s="233" t="s">
        <v>3499</v>
      </c>
      <c r="C2927" s="227" t="s">
        <v>1525</v>
      </c>
      <c r="F2927" s="227" t="s">
        <v>301</v>
      </c>
    </row>
    <row r="2928" spans="1:6" x14ac:dyDescent="0.25">
      <c r="A2928" s="227" t="str">
        <f>TL[[#This Row],[Société]]&amp;" - "&amp;TL[[#This Row],[Compte]]</f>
        <v>R314 - 46730000</v>
      </c>
      <c r="B2928" s="233" t="s">
        <v>3500</v>
      </c>
      <c r="C2928" s="227" t="s">
        <v>527</v>
      </c>
      <c r="F2928" s="227" t="s">
        <v>301</v>
      </c>
    </row>
    <row r="2929" spans="1:6" x14ac:dyDescent="0.25">
      <c r="A2929" s="227" t="str">
        <f>TL[[#This Row],[Société]]&amp;" - "&amp;TL[[#This Row],[Compte]]</f>
        <v>R314 - 46740000</v>
      </c>
      <c r="B2929" s="233" t="s">
        <v>3501</v>
      </c>
      <c r="C2929" s="227" t="s">
        <v>1307</v>
      </c>
      <c r="F2929" s="227" t="s">
        <v>301</v>
      </c>
    </row>
    <row r="2930" spans="1:6" x14ac:dyDescent="0.25">
      <c r="A2930" s="227" t="str">
        <f>TL[[#This Row],[Société]]&amp;" - "&amp;TL[[#This Row],[Compte]]</f>
        <v>R314 - 46744400</v>
      </c>
      <c r="B2930" s="233" t="s">
        <v>3502</v>
      </c>
      <c r="C2930" s="227" t="s">
        <v>590</v>
      </c>
      <c r="F2930" s="227" t="s">
        <v>301</v>
      </c>
    </row>
    <row r="2931" spans="1:6" x14ac:dyDescent="0.25">
      <c r="A2931" s="227" t="str">
        <f>TL[[#This Row],[Société]]&amp;" - "&amp;TL[[#This Row],[Compte]]</f>
        <v>R314 - 46750000</v>
      </c>
      <c r="B2931" s="233" t="s">
        <v>6100</v>
      </c>
      <c r="C2931" s="227" t="s">
        <v>1134</v>
      </c>
      <c r="F2931" s="227" t="s">
        <v>301</v>
      </c>
    </row>
    <row r="2932" spans="1:6" x14ac:dyDescent="0.25">
      <c r="A2932" s="227" t="str">
        <f>TL[[#This Row],[Société]]&amp;" - "&amp;TL[[#This Row],[Compte]]</f>
        <v>R314 - 46751000</v>
      </c>
      <c r="B2932" s="233" t="s">
        <v>6101</v>
      </c>
      <c r="C2932" s="227" t="s">
        <v>526</v>
      </c>
      <c r="F2932" s="227" t="s">
        <v>301</v>
      </c>
    </row>
    <row r="2933" spans="1:6" x14ac:dyDescent="0.25">
      <c r="A2933" s="227" t="str">
        <f>TL[[#This Row],[Société]]&amp;" - "&amp;TL[[#This Row],[Compte]]</f>
        <v>R314 - 46755000</v>
      </c>
      <c r="B2933" s="233" t="s">
        <v>6102</v>
      </c>
      <c r="C2933" s="227" t="s">
        <v>1135</v>
      </c>
      <c r="F2933" s="227" t="s">
        <v>301</v>
      </c>
    </row>
    <row r="2934" spans="1:6" x14ac:dyDescent="0.25">
      <c r="A2934" s="227" t="str">
        <f>TL[[#This Row],[Société]]&amp;" - "&amp;TL[[#This Row],[Compte]]</f>
        <v>R314 - 46755500</v>
      </c>
      <c r="B2934" s="233" t="s">
        <v>3503</v>
      </c>
      <c r="C2934" s="227" t="s">
        <v>591</v>
      </c>
      <c r="F2934" s="227" t="s">
        <v>301</v>
      </c>
    </row>
    <row r="2935" spans="1:6" x14ac:dyDescent="0.25">
      <c r="A2935" s="227" t="str">
        <f>TL[[#This Row],[Société]]&amp;" - "&amp;TL[[#This Row],[Compte]]</f>
        <v>R314 - 46766600</v>
      </c>
      <c r="B2935" s="233" t="s">
        <v>3504</v>
      </c>
      <c r="C2935" s="227" t="s">
        <v>593</v>
      </c>
      <c r="F2935" s="227" t="s">
        <v>301</v>
      </c>
    </row>
    <row r="2936" spans="1:6" x14ac:dyDescent="0.25">
      <c r="A2936" s="227" t="str">
        <f>TL[[#This Row],[Société]]&amp;" - "&amp;TL[[#This Row],[Compte]]</f>
        <v>R314 - 46860000</v>
      </c>
      <c r="B2936" s="233" t="s">
        <v>3505</v>
      </c>
      <c r="C2936" s="227" t="s">
        <v>1136</v>
      </c>
      <c r="F2936" s="227" t="s">
        <v>301</v>
      </c>
    </row>
    <row r="2937" spans="1:6" x14ac:dyDescent="0.25">
      <c r="A2937" s="227" t="str">
        <f>TL[[#This Row],[Société]]&amp;" - "&amp;TL[[#This Row],[Compte]]</f>
        <v>R314 - 46870000</v>
      </c>
      <c r="B2937" s="233" t="s">
        <v>3506</v>
      </c>
      <c r="C2937" s="227" t="s">
        <v>1137</v>
      </c>
      <c r="F2937" s="227" t="s">
        <v>301</v>
      </c>
    </row>
    <row r="2938" spans="1:6" x14ac:dyDescent="0.25">
      <c r="A2938" s="227" t="str">
        <f>TL[[#This Row],[Société]]&amp;" - "&amp;TL[[#This Row],[Compte]]</f>
        <v>R314 - 47100000</v>
      </c>
      <c r="B2938" s="233" t="s">
        <v>3507</v>
      </c>
      <c r="C2938" s="227" t="s">
        <v>525</v>
      </c>
      <c r="F2938" s="227" t="s">
        <v>301</v>
      </c>
    </row>
    <row r="2939" spans="1:6" x14ac:dyDescent="0.25">
      <c r="A2939" s="227" t="str">
        <f>TL[[#This Row],[Société]]&amp;" - "&amp;TL[[#This Row],[Compte]]</f>
        <v>R314 - 47200000</v>
      </c>
      <c r="B2939" s="233" t="s">
        <v>3508</v>
      </c>
      <c r="C2939" s="227" t="s">
        <v>594</v>
      </c>
      <c r="F2939" s="227" t="s">
        <v>301</v>
      </c>
    </row>
    <row r="2940" spans="1:6" x14ac:dyDescent="0.25">
      <c r="A2940" s="227" t="str">
        <f>TL[[#This Row],[Société]]&amp;" - "&amp;TL[[#This Row],[Compte]]</f>
        <v>R314 - 48600000</v>
      </c>
      <c r="B2940" s="233" t="s">
        <v>3509</v>
      </c>
      <c r="C2940" s="227" t="s">
        <v>1138</v>
      </c>
      <c r="F2940" s="227" t="s">
        <v>301</v>
      </c>
    </row>
    <row r="2941" spans="1:6" x14ac:dyDescent="0.25">
      <c r="A2941" s="227" t="str">
        <f>TL[[#This Row],[Société]]&amp;" - "&amp;TL[[#This Row],[Compte]]</f>
        <v>R314 - 48700000</v>
      </c>
      <c r="B2941" s="233" t="s">
        <v>3510</v>
      </c>
      <c r="C2941" s="227" t="s">
        <v>595</v>
      </c>
      <c r="F2941" s="227" t="s">
        <v>301</v>
      </c>
    </row>
    <row r="2942" spans="1:6" x14ac:dyDescent="0.25">
      <c r="A2942" s="227" t="str">
        <f>TL[[#This Row],[Société]]&amp;" - "&amp;TL[[#This Row],[Compte]]</f>
        <v>R314 - 50310000</v>
      </c>
      <c r="B2942" s="233" t="s">
        <v>6103</v>
      </c>
      <c r="C2942" s="227" t="s">
        <v>596</v>
      </c>
      <c r="F2942" s="227" t="s">
        <v>301</v>
      </c>
    </row>
    <row r="2943" spans="1:6" x14ac:dyDescent="0.25">
      <c r="A2943" s="227" t="str">
        <f>TL[[#This Row],[Société]]&amp;" - "&amp;TL[[#This Row],[Compte]]</f>
        <v>R314 - 50800000</v>
      </c>
      <c r="B2943" s="233" t="s">
        <v>3512</v>
      </c>
      <c r="C2943" s="227" t="s">
        <v>1139</v>
      </c>
      <c r="F2943" s="227" t="s">
        <v>301</v>
      </c>
    </row>
    <row r="2944" spans="1:6" x14ac:dyDescent="0.25">
      <c r="A2944" s="227" t="str">
        <f>TL[[#This Row],[Société]]&amp;" - "&amp;TL[[#This Row],[Compte]]</f>
        <v>R314 - 51121000</v>
      </c>
      <c r="B2944" s="233" t="s">
        <v>3515</v>
      </c>
      <c r="C2944" s="227" t="s">
        <v>597</v>
      </c>
      <c r="F2944" s="227" t="s">
        <v>301</v>
      </c>
    </row>
    <row r="2945" spans="1:6" x14ac:dyDescent="0.25">
      <c r="A2945" s="227" t="str">
        <f>TL[[#This Row],[Société]]&amp;" - "&amp;TL[[#This Row],[Compte]]</f>
        <v>R314 - 51121100</v>
      </c>
      <c r="B2945" s="233" t="s">
        <v>3516</v>
      </c>
      <c r="C2945" s="227" t="s">
        <v>1140</v>
      </c>
      <c r="F2945" s="227" t="s">
        <v>301</v>
      </c>
    </row>
    <row r="2946" spans="1:6" x14ac:dyDescent="0.25">
      <c r="A2946" s="227" t="str">
        <f>TL[[#This Row],[Société]]&amp;" - "&amp;TL[[#This Row],[Compte]]</f>
        <v>R314 - 51122000</v>
      </c>
      <c r="B2946" s="233" t="s">
        <v>3517</v>
      </c>
      <c r="C2946" s="227" t="s">
        <v>1141</v>
      </c>
      <c r="F2946" s="227" t="s">
        <v>301</v>
      </c>
    </row>
    <row r="2947" spans="1:6" x14ac:dyDescent="0.25">
      <c r="A2947" s="227" t="str">
        <f>TL[[#This Row],[Société]]&amp;" - "&amp;TL[[#This Row],[Compte]]</f>
        <v>R314 - 51122100</v>
      </c>
      <c r="B2947" s="233" t="s">
        <v>3518</v>
      </c>
      <c r="C2947" s="227" t="s">
        <v>1142</v>
      </c>
      <c r="F2947" s="227" t="s">
        <v>301</v>
      </c>
    </row>
    <row r="2948" spans="1:6" x14ac:dyDescent="0.25">
      <c r="A2948" s="227" t="str">
        <f>TL[[#This Row],[Société]]&amp;" - "&amp;TL[[#This Row],[Compte]]</f>
        <v>R314 - 51123000</v>
      </c>
      <c r="B2948" s="233" t="s">
        <v>3519</v>
      </c>
      <c r="C2948" s="227" t="s">
        <v>2147</v>
      </c>
      <c r="F2948" s="227" t="s">
        <v>301</v>
      </c>
    </row>
    <row r="2949" spans="1:6" x14ac:dyDescent="0.25">
      <c r="A2949" s="227" t="str">
        <f>TL[[#This Row],[Société]]&amp;" - "&amp;TL[[#This Row],[Compte]]</f>
        <v>R314 - 51123100</v>
      </c>
      <c r="B2949" s="233" t="s">
        <v>3520</v>
      </c>
      <c r="C2949" s="227" t="s">
        <v>533</v>
      </c>
      <c r="F2949" s="227" t="s">
        <v>301</v>
      </c>
    </row>
    <row r="2950" spans="1:6" x14ac:dyDescent="0.25">
      <c r="A2950" s="227" t="str">
        <f>TL[[#This Row],[Société]]&amp;" - "&amp;TL[[#This Row],[Compte]]</f>
        <v>R314 - 51125000</v>
      </c>
      <c r="B2950" s="233" t="s">
        <v>3521</v>
      </c>
      <c r="C2950" s="227" t="s">
        <v>2148</v>
      </c>
      <c r="F2950" s="227" t="s">
        <v>301</v>
      </c>
    </row>
    <row r="2951" spans="1:6" x14ac:dyDescent="0.25">
      <c r="A2951" s="227" t="str">
        <f>TL[[#This Row],[Société]]&amp;" - "&amp;TL[[#This Row],[Compte]]</f>
        <v>R314 - 51125100</v>
      </c>
      <c r="B2951" s="233" t="s">
        <v>3522</v>
      </c>
      <c r="C2951" s="227" t="s">
        <v>598</v>
      </c>
      <c r="F2951" s="227" t="s">
        <v>301</v>
      </c>
    </row>
    <row r="2952" spans="1:6" x14ac:dyDescent="0.25">
      <c r="A2952" s="227" t="str">
        <f>TL[[#This Row],[Société]]&amp;" - "&amp;TL[[#This Row],[Compte]]</f>
        <v>R314 - 51126000</v>
      </c>
      <c r="B2952" s="233" t="s">
        <v>3523</v>
      </c>
      <c r="C2952" s="227" t="s">
        <v>1143</v>
      </c>
      <c r="F2952" s="227" t="s">
        <v>301</v>
      </c>
    </row>
    <row r="2953" spans="1:6" x14ac:dyDescent="0.25">
      <c r="A2953" s="227" t="str">
        <f>TL[[#This Row],[Société]]&amp;" - "&amp;TL[[#This Row],[Compte]]</f>
        <v>R314 - 51126100</v>
      </c>
      <c r="B2953" s="233" t="s">
        <v>3524</v>
      </c>
      <c r="C2953" s="227" t="s">
        <v>720</v>
      </c>
      <c r="F2953" s="227" t="s">
        <v>301</v>
      </c>
    </row>
    <row r="2954" spans="1:6" x14ac:dyDescent="0.25">
      <c r="A2954" s="227" t="str">
        <f>TL[[#This Row],[Société]]&amp;" - "&amp;TL[[#This Row],[Compte]]</f>
        <v>R314 - 51127100</v>
      </c>
      <c r="B2954" s="233" t="s">
        <v>6104</v>
      </c>
      <c r="C2954" s="227" t="s">
        <v>614</v>
      </c>
      <c r="F2954" s="227" t="s">
        <v>301</v>
      </c>
    </row>
    <row r="2955" spans="1:6" x14ac:dyDescent="0.25">
      <c r="A2955" s="227" t="str">
        <f>TL[[#This Row],[Société]]&amp;" - "&amp;TL[[#This Row],[Compte]]</f>
        <v>R314 - 51127200</v>
      </c>
      <c r="B2955" s="233" t="s">
        <v>6105</v>
      </c>
      <c r="C2955" s="227" t="s">
        <v>3165</v>
      </c>
      <c r="F2955" s="227" t="s">
        <v>301</v>
      </c>
    </row>
    <row r="2956" spans="1:6" x14ac:dyDescent="0.25">
      <c r="A2956" s="227" t="str">
        <f>TL[[#This Row],[Société]]&amp;" - "&amp;TL[[#This Row],[Compte]]</f>
        <v>R314 - 51127300</v>
      </c>
      <c r="B2956" s="233" t="s">
        <v>6106</v>
      </c>
      <c r="C2956" s="227" t="s">
        <v>1434</v>
      </c>
      <c r="F2956" s="227" t="s">
        <v>301</v>
      </c>
    </row>
    <row r="2957" spans="1:6" x14ac:dyDescent="0.25">
      <c r="A2957" s="227" t="str">
        <f>TL[[#This Row],[Société]]&amp;" - "&amp;TL[[#This Row],[Compte]]</f>
        <v>R314 - 51170000</v>
      </c>
      <c r="B2957" s="233" t="s">
        <v>3526</v>
      </c>
      <c r="C2957" s="227" t="s">
        <v>2149</v>
      </c>
      <c r="F2957" s="227" t="s">
        <v>301</v>
      </c>
    </row>
    <row r="2958" spans="1:6" x14ac:dyDescent="0.25">
      <c r="A2958" s="227" t="str">
        <f>TL[[#This Row],[Société]]&amp;" - "&amp;TL[[#This Row],[Compte]]</f>
        <v>R314 - 51170100</v>
      </c>
      <c r="B2958" s="233" t="s">
        <v>3527</v>
      </c>
      <c r="C2958" s="227" t="s">
        <v>531</v>
      </c>
      <c r="F2958" s="227" t="s">
        <v>301</v>
      </c>
    </row>
    <row r="2959" spans="1:6" x14ac:dyDescent="0.25">
      <c r="A2959" s="227" t="str">
        <f>TL[[#This Row],[Société]]&amp;" - "&amp;TL[[#This Row],[Compte]]</f>
        <v>R314 - 51200000</v>
      </c>
      <c r="B2959" s="233" t="s">
        <v>3528</v>
      </c>
      <c r="C2959" s="227" t="s">
        <v>1074</v>
      </c>
      <c r="F2959" s="227" t="s">
        <v>301</v>
      </c>
    </row>
    <row r="2960" spans="1:6" x14ac:dyDescent="0.25">
      <c r="A2960" s="227" t="str">
        <f>TL[[#This Row],[Société]]&amp;" - "&amp;TL[[#This Row],[Compte]]</f>
        <v>R314 - 51210000</v>
      </c>
      <c r="B2960" s="233" t="s">
        <v>3529</v>
      </c>
      <c r="C2960" s="227" t="s">
        <v>1144</v>
      </c>
      <c r="F2960" s="227" t="s">
        <v>301</v>
      </c>
    </row>
    <row r="2961" spans="1:6" x14ac:dyDescent="0.25">
      <c r="A2961" s="227" t="str">
        <f>TL[[#This Row],[Société]]&amp;" - "&amp;TL[[#This Row],[Compte]]</f>
        <v>R314 - 51240000</v>
      </c>
      <c r="B2961" s="233" t="s">
        <v>3532</v>
      </c>
      <c r="C2961" s="227" t="s">
        <v>601</v>
      </c>
      <c r="F2961" s="227" t="s">
        <v>301</v>
      </c>
    </row>
    <row r="2962" spans="1:6" x14ac:dyDescent="0.25">
      <c r="A2962" s="227" t="str">
        <f>TL[[#This Row],[Société]]&amp;" - "&amp;TL[[#This Row],[Compte]]</f>
        <v>R314 - 51290000</v>
      </c>
      <c r="B2962" s="233" t="s">
        <v>6107</v>
      </c>
      <c r="C2962" s="227" t="s">
        <v>1571</v>
      </c>
      <c r="F2962" s="227" t="s">
        <v>301</v>
      </c>
    </row>
    <row r="2963" spans="1:6" x14ac:dyDescent="0.25">
      <c r="A2963" s="227" t="str">
        <f>TL[[#This Row],[Société]]&amp;" - "&amp;TL[[#This Row],[Compte]]</f>
        <v>R314 - 51810000</v>
      </c>
      <c r="B2963" s="233" t="s">
        <v>3533</v>
      </c>
      <c r="C2963" s="227" t="s">
        <v>602</v>
      </c>
      <c r="F2963" s="227" t="s">
        <v>301</v>
      </c>
    </row>
    <row r="2964" spans="1:6" x14ac:dyDescent="0.25">
      <c r="A2964" s="227" t="str">
        <f>TL[[#This Row],[Société]]&amp;" - "&amp;TL[[#This Row],[Compte]]</f>
        <v>R314 - 51910000</v>
      </c>
      <c r="B2964" s="233" t="s">
        <v>3536</v>
      </c>
      <c r="C2964" s="227" t="s">
        <v>603</v>
      </c>
      <c r="F2964" s="227" t="s">
        <v>301</v>
      </c>
    </row>
    <row r="2965" spans="1:6" x14ac:dyDescent="0.25">
      <c r="A2965" s="227" t="str">
        <f>TL[[#This Row],[Société]]&amp;" - "&amp;TL[[#This Row],[Compte]]</f>
        <v>R314 - 51920000</v>
      </c>
      <c r="B2965" s="233" t="s">
        <v>3537</v>
      </c>
      <c r="C2965" s="227" t="s">
        <v>724</v>
      </c>
      <c r="F2965" s="227" t="s">
        <v>301</v>
      </c>
    </row>
    <row r="2966" spans="1:6" x14ac:dyDescent="0.25">
      <c r="A2966" s="227" t="str">
        <f>TL[[#This Row],[Société]]&amp;" - "&amp;TL[[#This Row],[Compte]]</f>
        <v>R314 - 53020000</v>
      </c>
      <c r="B2966" s="233" t="s">
        <v>3538</v>
      </c>
      <c r="C2966" s="227" t="s">
        <v>604</v>
      </c>
      <c r="F2966" s="227" t="s">
        <v>301</v>
      </c>
    </row>
    <row r="2967" spans="1:6" x14ac:dyDescent="0.25">
      <c r="A2967" s="227" t="str">
        <f>TL[[#This Row],[Société]]&amp;" - "&amp;TL[[#This Row],[Compte]]</f>
        <v>R314 - 53020100</v>
      </c>
      <c r="B2967" s="233" t="s">
        <v>6108</v>
      </c>
      <c r="C2967" s="227" t="s">
        <v>1145</v>
      </c>
      <c r="F2967" s="227" t="s">
        <v>301</v>
      </c>
    </row>
    <row r="2968" spans="1:6" x14ac:dyDescent="0.25">
      <c r="A2968" s="227" t="str">
        <f>TL[[#This Row],[Société]]&amp;" - "&amp;TL[[#This Row],[Compte]]</f>
        <v>R314 - 53100000</v>
      </c>
      <c r="B2968" s="233" t="s">
        <v>3539</v>
      </c>
      <c r="C2968" s="227" t="s">
        <v>532</v>
      </c>
      <c r="F2968" s="227" t="s">
        <v>301</v>
      </c>
    </row>
    <row r="2969" spans="1:6" x14ac:dyDescent="0.25">
      <c r="A2969" s="227" t="str">
        <f>TL[[#This Row],[Société]]&amp;" - "&amp;TL[[#This Row],[Compte]]</f>
        <v>R314 - 58100000</v>
      </c>
      <c r="B2969" s="233" t="s">
        <v>3542</v>
      </c>
      <c r="C2969" s="227" t="s">
        <v>1146</v>
      </c>
      <c r="F2969" s="227" t="s">
        <v>301</v>
      </c>
    </row>
    <row r="2970" spans="1:6" x14ac:dyDescent="0.25">
      <c r="A2970" s="227" t="str">
        <f>TL[[#This Row],[Société]]&amp;" - "&amp;TL[[#This Row],[Compte]]</f>
        <v>R314 - 58300000</v>
      </c>
      <c r="B2970" s="233" t="s">
        <v>3544</v>
      </c>
      <c r="C2970" s="227" t="s">
        <v>1147</v>
      </c>
      <c r="F2970" s="227" t="s">
        <v>301</v>
      </c>
    </row>
    <row r="2971" spans="1:6" x14ac:dyDescent="0.25">
      <c r="A2971" s="227" t="str">
        <f>TL[[#This Row],[Société]]&amp;" - "&amp;TL[[#This Row],[Compte]]</f>
        <v>R314 - 59030000</v>
      </c>
      <c r="B2971" s="233" t="s">
        <v>6109</v>
      </c>
      <c r="C2971" s="227" t="s">
        <v>605</v>
      </c>
      <c r="F2971" s="227" t="s">
        <v>301</v>
      </c>
    </row>
    <row r="2972" spans="1:6" x14ac:dyDescent="0.25">
      <c r="A2972" s="227" t="str">
        <f>TL[[#This Row],[Société]]&amp;" - "&amp;TL[[#This Row],[Compte]]</f>
        <v>R314 - 60100000</v>
      </c>
      <c r="B2972" s="233" t="s">
        <v>3545</v>
      </c>
      <c r="C2972" s="227" t="s">
        <v>1308</v>
      </c>
      <c r="F2972" s="227" t="s">
        <v>301</v>
      </c>
    </row>
    <row r="2973" spans="1:6" x14ac:dyDescent="0.25">
      <c r="A2973" s="227" t="str">
        <f>TL[[#This Row],[Société]]&amp;" - "&amp;TL[[#This Row],[Compte]]</f>
        <v>R314 - 60110000</v>
      </c>
      <c r="B2973" s="233" t="s">
        <v>2617</v>
      </c>
      <c r="C2973" s="227" t="s">
        <v>171</v>
      </c>
      <c r="D2973" s="233" t="s">
        <v>0</v>
      </c>
      <c r="E2973" s="233" t="s">
        <v>7</v>
      </c>
      <c r="F2973" s="227" t="s">
        <v>301</v>
      </c>
    </row>
    <row r="2974" spans="1:6" x14ac:dyDescent="0.25">
      <c r="A2974" s="227" t="str">
        <f>TL[[#This Row],[Société]]&amp;" - "&amp;TL[[#This Row],[Compte]]</f>
        <v>R314 - 60110200</v>
      </c>
      <c r="B2974" s="233" t="s">
        <v>2622</v>
      </c>
      <c r="C2974" s="227" t="s">
        <v>225</v>
      </c>
      <c r="D2974" s="233" t="s">
        <v>1</v>
      </c>
      <c r="E2974" s="233" t="s">
        <v>11</v>
      </c>
      <c r="F2974" s="227" t="s">
        <v>301</v>
      </c>
    </row>
    <row r="2975" spans="1:6" x14ac:dyDescent="0.25">
      <c r="A2975" s="227" t="str">
        <f>TL[[#This Row],[Société]]&amp;" - "&amp;TL[[#This Row],[Compte]]</f>
        <v>R314 - 60110300</v>
      </c>
      <c r="B2975" s="233" t="s">
        <v>2621</v>
      </c>
      <c r="C2975" s="227" t="s">
        <v>160</v>
      </c>
      <c r="D2975" s="233" t="s">
        <v>3</v>
      </c>
      <c r="E2975" s="233" t="s">
        <v>9</v>
      </c>
      <c r="F2975" s="227" t="s">
        <v>301</v>
      </c>
    </row>
    <row r="2976" spans="1:6" x14ac:dyDescent="0.25">
      <c r="A2976" s="227" t="str">
        <f>TL[[#This Row],[Société]]&amp;" - "&amp;TL[[#This Row],[Compte]]</f>
        <v>R314 - 60111000</v>
      </c>
      <c r="B2976" s="233" t="s">
        <v>6110</v>
      </c>
      <c r="C2976" s="227" t="s">
        <v>1309</v>
      </c>
      <c r="D2976" s="233" t="s">
        <v>0</v>
      </c>
      <c r="E2976" s="233" t="s">
        <v>7</v>
      </c>
      <c r="F2976" s="227" t="s">
        <v>301</v>
      </c>
    </row>
    <row r="2977" spans="1:6" x14ac:dyDescent="0.25">
      <c r="A2977" s="227" t="str">
        <f>TL[[#This Row],[Société]]&amp;" - "&amp;TL[[#This Row],[Compte]]</f>
        <v>R314 - 60220100</v>
      </c>
      <c r="B2977" s="233" t="s">
        <v>2623</v>
      </c>
      <c r="C2977" s="227" t="s">
        <v>265</v>
      </c>
      <c r="D2977" s="233" t="s">
        <v>7</v>
      </c>
      <c r="E2977" s="233" t="s">
        <v>0</v>
      </c>
      <c r="F2977" s="227" t="s">
        <v>301</v>
      </c>
    </row>
    <row r="2978" spans="1:6" x14ac:dyDescent="0.25">
      <c r="A2978" s="227" t="str">
        <f>TL[[#This Row],[Société]]&amp;" - "&amp;TL[[#This Row],[Compte]]</f>
        <v>R314 - 60220200</v>
      </c>
      <c r="B2978" s="233" t="s">
        <v>2741</v>
      </c>
      <c r="C2978" s="227" t="s">
        <v>268</v>
      </c>
      <c r="D2978" s="233" t="s">
        <v>150</v>
      </c>
      <c r="E2978" s="233" t="s">
        <v>147</v>
      </c>
      <c r="F2978" s="227" t="s">
        <v>301</v>
      </c>
    </row>
    <row r="2979" spans="1:6" x14ac:dyDescent="0.25">
      <c r="A2979" s="227" t="str">
        <f>TL[[#This Row],[Société]]&amp;" - "&amp;TL[[#This Row],[Compte]]</f>
        <v>R314 - 60261000</v>
      </c>
      <c r="B2979" s="233" t="s">
        <v>3547</v>
      </c>
      <c r="C2979" s="227" t="s">
        <v>1148</v>
      </c>
      <c r="D2979" s="233" t="s">
        <v>23</v>
      </c>
      <c r="E2979" s="233" t="s">
        <v>2978</v>
      </c>
      <c r="F2979" s="227" t="s">
        <v>301</v>
      </c>
    </row>
    <row r="2980" spans="1:6" x14ac:dyDescent="0.25">
      <c r="A2980" s="227" t="str">
        <f>TL[[#This Row],[Société]]&amp;" - "&amp;TL[[#This Row],[Compte]]</f>
        <v>R314 - 60261200</v>
      </c>
      <c r="B2980" s="233" t="s">
        <v>3548</v>
      </c>
      <c r="C2980" s="227" t="s">
        <v>3549</v>
      </c>
      <c r="D2980" s="235" t="s">
        <v>0</v>
      </c>
      <c r="E2980" s="235" t="s">
        <v>2964</v>
      </c>
      <c r="F2980" s="227" t="s">
        <v>301</v>
      </c>
    </row>
    <row r="2981" spans="1:6" x14ac:dyDescent="0.25">
      <c r="A2981" s="227" t="str">
        <f>TL[[#This Row],[Société]]&amp;" - "&amp;TL[[#This Row],[Compte]]</f>
        <v>R314 - 60310000</v>
      </c>
      <c r="B2981" s="233" t="s">
        <v>2618</v>
      </c>
      <c r="C2981" s="227" t="s">
        <v>310</v>
      </c>
      <c r="D2981" s="233" t="s">
        <v>0</v>
      </c>
      <c r="E2981" s="233" t="s">
        <v>7</v>
      </c>
      <c r="F2981" s="227" t="s">
        <v>301</v>
      </c>
    </row>
    <row r="2982" spans="1:6" x14ac:dyDescent="0.25">
      <c r="A2982" s="227" t="str">
        <f>TL[[#This Row],[Société]]&amp;" - "&amp;TL[[#This Row],[Compte]]</f>
        <v>R314 - 60320000</v>
      </c>
      <c r="B2982" s="233" t="s">
        <v>2624</v>
      </c>
      <c r="C2982" s="227" t="s">
        <v>1149</v>
      </c>
      <c r="D2982" s="233" t="s">
        <v>7</v>
      </c>
      <c r="E2982" s="233" t="s">
        <v>0</v>
      </c>
      <c r="F2982" s="227" t="s">
        <v>301</v>
      </c>
    </row>
    <row r="2983" spans="1:6" x14ac:dyDescent="0.25">
      <c r="A2983" s="227" t="str">
        <f>TL[[#This Row],[Société]]&amp;" - "&amp;TL[[#This Row],[Compte]]</f>
        <v>R314 - 60320100</v>
      </c>
      <c r="B2983" s="233" t="s">
        <v>2742</v>
      </c>
      <c r="C2983" s="227" t="s">
        <v>1150</v>
      </c>
      <c r="D2983" s="233" t="s">
        <v>150</v>
      </c>
      <c r="E2983" s="233" t="s">
        <v>147</v>
      </c>
      <c r="F2983" s="227" t="s">
        <v>301</v>
      </c>
    </row>
    <row r="2984" spans="1:6" x14ac:dyDescent="0.25">
      <c r="A2984" s="227" t="str">
        <f>TL[[#This Row],[Société]]&amp;" - "&amp;TL[[#This Row],[Compte]]</f>
        <v>R314 - 60321000</v>
      </c>
      <c r="B2984" s="233" t="s">
        <v>6111</v>
      </c>
      <c r="C2984" s="227" t="s">
        <v>1151</v>
      </c>
      <c r="D2984" s="233" t="s">
        <v>0</v>
      </c>
      <c r="E2984" s="233" t="s">
        <v>7</v>
      </c>
      <c r="F2984" s="227" t="s">
        <v>301</v>
      </c>
    </row>
    <row r="2985" spans="1:6" x14ac:dyDescent="0.25">
      <c r="A2985" s="227" t="str">
        <f>TL[[#This Row],[Société]]&amp;" - "&amp;TL[[#This Row],[Compte]]</f>
        <v>R314 - 60610100</v>
      </c>
      <c r="B2985" s="233" t="s">
        <v>2700</v>
      </c>
      <c r="C2985" s="227" t="s">
        <v>156</v>
      </c>
      <c r="D2985" s="233" t="s">
        <v>27</v>
      </c>
      <c r="E2985" s="233" t="s">
        <v>34</v>
      </c>
      <c r="F2985" s="227" t="s">
        <v>301</v>
      </c>
    </row>
    <row r="2986" spans="1:6" x14ac:dyDescent="0.25">
      <c r="A2986" s="227" t="str">
        <f>TL[[#This Row],[Société]]&amp;" - "&amp;TL[[#This Row],[Compte]]</f>
        <v>R314 - 60610300</v>
      </c>
      <c r="B2986" s="233" t="s">
        <v>2701</v>
      </c>
      <c r="C2986" s="227" t="s">
        <v>241</v>
      </c>
      <c r="D2986" s="233" t="s">
        <v>27</v>
      </c>
      <c r="E2986" s="233" t="s">
        <v>34</v>
      </c>
      <c r="F2986" s="227" t="s">
        <v>301</v>
      </c>
    </row>
    <row r="2987" spans="1:6" x14ac:dyDescent="0.25">
      <c r="A2987" s="227" t="str">
        <f>TL[[#This Row],[Société]]&amp;" - "&amp;TL[[#This Row],[Compte]]</f>
        <v>R314 - 60610500</v>
      </c>
      <c r="B2987" s="233" t="s">
        <v>3552</v>
      </c>
      <c r="C2987" s="227" t="s">
        <v>1152</v>
      </c>
      <c r="D2987" s="233" t="s">
        <v>27</v>
      </c>
      <c r="E2987" s="233" t="s">
        <v>34</v>
      </c>
      <c r="F2987" s="227" t="s">
        <v>301</v>
      </c>
    </row>
    <row r="2988" spans="1:6" x14ac:dyDescent="0.25">
      <c r="A2988" s="227" t="str">
        <f>TL[[#This Row],[Société]]&amp;" - "&amp;TL[[#This Row],[Compte]]</f>
        <v>R314 - 60630000</v>
      </c>
      <c r="B2988" s="233" t="s">
        <v>2660</v>
      </c>
      <c r="C2988" s="227" t="s">
        <v>1153</v>
      </c>
      <c r="D2988" s="233" t="s">
        <v>25</v>
      </c>
      <c r="E2988" s="233" t="s">
        <v>23</v>
      </c>
      <c r="F2988" s="227" t="s">
        <v>301</v>
      </c>
    </row>
    <row r="2989" spans="1:6" x14ac:dyDescent="0.25">
      <c r="A2989" s="227" t="str">
        <f>TL[[#This Row],[Société]]&amp;" - "&amp;TL[[#This Row],[Compte]]</f>
        <v>R314 - 60630100</v>
      </c>
      <c r="B2989" s="233" t="s">
        <v>3553</v>
      </c>
      <c r="C2989" s="227" t="s">
        <v>24</v>
      </c>
      <c r="D2989" s="233" t="s">
        <v>23</v>
      </c>
      <c r="E2989" s="233" t="s">
        <v>2978</v>
      </c>
      <c r="F2989" s="227" t="s">
        <v>301</v>
      </c>
    </row>
    <row r="2990" spans="1:6" x14ac:dyDescent="0.25">
      <c r="A2990" s="227" t="str">
        <f>TL[[#This Row],[Société]]&amp;" - "&amp;TL[[#This Row],[Compte]]</f>
        <v>R314 - 60630200</v>
      </c>
      <c r="B2990" s="233" t="s">
        <v>2703</v>
      </c>
      <c r="C2990" s="227" t="s">
        <v>1154</v>
      </c>
      <c r="D2990" s="233" t="s">
        <v>23</v>
      </c>
      <c r="E2990" s="233" t="s">
        <v>2978</v>
      </c>
      <c r="F2990" s="227" t="s">
        <v>301</v>
      </c>
    </row>
    <row r="2991" spans="1:6" x14ac:dyDescent="0.25">
      <c r="A2991" s="227" t="str">
        <f>TL[[#This Row],[Société]]&amp;" - "&amp;TL[[#This Row],[Compte]]</f>
        <v>R314 - 60630300</v>
      </c>
      <c r="B2991" s="233" t="s">
        <v>3554</v>
      </c>
      <c r="C2991" s="227" t="s">
        <v>146</v>
      </c>
      <c r="D2991" s="233" t="s">
        <v>21</v>
      </c>
      <c r="E2991" s="233" t="s">
        <v>2982</v>
      </c>
      <c r="F2991" s="227" t="s">
        <v>301</v>
      </c>
    </row>
    <row r="2992" spans="1:6" x14ac:dyDescent="0.25">
      <c r="A2992" s="227" t="str">
        <f>TL[[#This Row],[Société]]&amp;" - "&amp;TL[[#This Row],[Compte]]</f>
        <v>R314 - 60630500</v>
      </c>
      <c r="B2992" s="233" t="s">
        <v>3555</v>
      </c>
      <c r="C2992" s="227" t="s">
        <v>1530</v>
      </c>
      <c r="D2992" s="233" t="s">
        <v>23</v>
      </c>
      <c r="E2992" s="233" t="s">
        <v>2978</v>
      </c>
      <c r="F2992" s="227" t="s">
        <v>301</v>
      </c>
    </row>
    <row r="2993" spans="1:6" x14ac:dyDescent="0.25">
      <c r="A2993" s="227" t="str">
        <f>TL[[#This Row],[Société]]&amp;" - "&amp;TL[[#This Row],[Compte]]</f>
        <v>R314 - 60631300</v>
      </c>
      <c r="B2993" s="233" t="s">
        <v>6112</v>
      </c>
      <c r="C2993" s="227" t="s">
        <v>1155</v>
      </c>
      <c r="D2993" s="233" t="s">
        <v>50</v>
      </c>
      <c r="E2993" s="233" t="s">
        <v>2978</v>
      </c>
      <c r="F2993" s="227" t="s">
        <v>301</v>
      </c>
    </row>
    <row r="2994" spans="1:6" x14ac:dyDescent="0.25">
      <c r="A2994" s="227" t="str">
        <f>TL[[#This Row],[Société]]&amp;" - "&amp;TL[[#This Row],[Compte]]</f>
        <v>R314 - 60640000</v>
      </c>
      <c r="B2994" s="233" t="s">
        <v>6113</v>
      </c>
      <c r="C2994" s="227" t="s">
        <v>1310</v>
      </c>
      <c r="D2994" s="233" t="s">
        <v>147</v>
      </c>
      <c r="E2994" s="233" t="s">
        <v>288</v>
      </c>
      <c r="F2994" s="227" t="s">
        <v>301</v>
      </c>
    </row>
    <row r="2995" spans="1:6" x14ac:dyDescent="0.25">
      <c r="A2995" s="227" t="str">
        <f>TL[[#This Row],[Société]]&amp;" - "&amp;TL[[#This Row],[Compte]]</f>
        <v>R314 - 60640100</v>
      </c>
      <c r="B2995" s="233" t="s">
        <v>2704</v>
      </c>
      <c r="C2995" s="227" t="s">
        <v>1156</v>
      </c>
      <c r="D2995" s="233" t="s">
        <v>29</v>
      </c>
      <c r="E2995" s="233" t="s">
        <v>2978</v>
      </c>
      <c r="F2995" s="227" t="s">
        <v>301</v>
      </c>
    </row>
    <row r="2996" spans="1:6" x14ac:dyDescent="0.25">
      <c r="A2996" s="227" t="str">
        <f>TL[[#This Row],[Société]]&amp;" - "&amp;TL[[#This Row],[Compte]]</f>
        <v>R314 - 60680000</v>
      </c>
      <c r="B2996" s="233" t="s">
        <v>3557</v>
      </c>
      <c r="C2996" s="227" t="s">
        <v>267</v>
      </c>
      <c r="D2996" s="233" t="s">
        <v>16</v>
      </c>
      <c r="E2996" s="233" t="s">
        <v>52</v>
      </c>
      <c r="F2996" s="227" t="s">
        <v>301</v>
      </c>
    </row>
    <row r="2997" spans="1:6" x14ac:dyDescent="0.25">
      <c r="A2997" s="227" t="str">
        <f>TL[[#This Row],[Société]]&amp;" - "&amp;TL[[#This Row],[Compte]]</f>
        <v>R314 - 60910000</v>
      </c>
      <c r="B2997" s="233" t="s">
        <v>3558</v>
      </c>
      <c r="C2997" s="227" t="s">
        <v>1157</v>
      </c>
      <c r="D2997" s="233" t="s">
        <v>0</v>
      </c>
      <c r="E2997" s="233" t="s">
        <v>7</v>
      </c>
      <c r="F2997" s="227" t="s">
        <v>301</v>
      </c>
    </row>
    <row r="2998" spans="1:6" x14ac:dyDescent="0.25">
      <c r="A2998" s="227" t="str">
        <f>TL[[#This Row],[Société]]&amp;" - "&amp;TL[[#This Row],[Compte]]</f>
        <v>R314 - 61100100</v>
      </c>
      <c r="B2998" s="233" t="s">
        <v>3560</v>
      </c>
      <c r="C2998" s="227" t="s">
        <v>606</v>
      </c>
      <c r="D2998" s="233" t="s">
        <v>20</v>
      </c>
      <c r="E2998" s="233" t="s">
        <v>25</v>
      </c>
      <c r="F2998" s="227" t="s">
        <v>301</v>
      </c>
    </row>
    <row r="2999" spans="1:6" x14ac:dyDescent="0.25">
      <c r="A2999" s="227" t="str">
        <f>TL[[#This Row],[Société]]&amp;" - "&amp;TL[[#This Row],[Compte]]</f>
        <v>R314 - 61100500</v>
      </c>
      <c r="B2999" s="233" t="s">
        <v>3562</v>
      </c>
      <c r="C2999" s="227" t="s">
        <v>1158</v>
      </c>
      <c r="D2999" s="233" t="s">
        <v>20</v>
      </c>
      <c r="E2999" s="233" t="s">
        <v>25</v>
      </c>
      <c r="F2999" s="227" t="s">
        <v>301</v>
      </c>
    </row>
    <row r="3000" spans="1:6" x14ac:dyDescent="0.25">
      <c r="A3000" s="227" t="str">
        <f>TL[[#This Row],[Société]]&amp;" - "&amp;TL[[#This Row],[Compte]]</f>
        <v>R314 - 61101200</v>
      </c>
      <c r="B3000" s="233" t="s">
        <v>2661</v>
      </c>
      <c r="C3000" s="227" t="s">
        <v>1572</v>
      </c>
      <c r="D3000" s="233" t="s">
        <v>39</v>
      </c>
      <c r="E3000" s="233" t="s">
        <v>25</v>
      </c>
      <c r="F3000" s="227" t="s">
        <v>301</v>
      </c>
    </row>
    <row r="3001" spans="1:6" x14ac:dyDescent="0.25">
      <c r="A3001" s="227" t="str">
        <f>TL[[#This Row],[Société]]&amp;" - "&amp;TL[[#This Row],[Compte]]</f>
        <v>R314 - 61300000</v>
      </c>
      <c r="B3001" s="233" t="s">
        <v>3564</v>
      </c>
      <c r="C3001" s="227" t="s">
        <v>607</v>
      </c>
      <c r="D3001" s="233" t="s">
        <v>152</v>
      </c>
      <c r="E3001" s="233" t="s">
        <v>40</v>
      </c>
      <c r="F3001" s="227" t="s">
        <v>301</v>
      </c>
    </row>
    <row r="3002" spans="1:6" x14ac:dyDescent="0.25">
      <c r="A3002" s="227" t="str">
        <f>TL[[#This Row],[Société]]&amp;" - "&amp;TL[[#This Row],[Compte]]</f>
        <v>R314 - 61300100</v>
      </c>
      <c r="B3002" s="233" t="s">
        <v>6114</v>
      </c>
      <c r="C3002" s="227" t="s">
        <v>1159</v>
      </c>
      <c r="D3002" s="233" t="s">
        <v>147</v>
      </c>
      <c r="E3002" s="233" t="s">
        <v>288</v>
      </c>
      <c r="F3002" s="227" t="s">
        <v>301</v>
      </c>
    </row>
    <row r="3003" spans="1:6" x14ac:dyDescent="0.25">
      <c r="A3003" s="227" t="str">
        <f>TL[[#This Row],[Société]]&amp;" - "&amp;TL[[#This Row],[Compte]]</f>
        <v>R314 - 61300400</v>
      </c>
      <c r="B3003" s="233" t="s">
        <v>3565</v>
      </c>
      <c r="C3003" s="227" t="s">
        <v>1160</v>
      </c>
      <c r="D3003" s="233" t="s">
        <v>35</v>
      </c>
      <c r="E3003" s="233" t="s">
        <v>42</v>
      </c>
      <c r="F3003" s="227" t="s">
        <v>301</v>
      </c>
    </row>
    <row r="3004" spans="1:6" x14ac:dyDescent="0.25">
      <c r="A3004" s="227" t="str">
        <f>TL[[#This Row],[Société]]&amp;" - "&amp;TL[[#This Row],[Compte]]</f>
        <v>R314 - 61300500</v>
      </c>
      <c r="B3004" s="233" t="s">
        <v>3566</v>
      </c>
      <c r="C3004" s="227" t="s">
        <v>1161</v>
      </c>
      <c r="D3004" s="233" t="s">
        <v>20</v>
      </c>
      <c r="E3004" s="233" t="s">
        <v>25</v>
      </c>
      <c r="F3004" s="227" t="s">
        <v>301</v>
      </c>
    </row>
    <row r="3005" spans="1:6" x14ac:dyDescent="0.25">
      <c r="A3005" s="227" t="str">
        <f>TL[[#This Row],[Société]]&amp;" - "&amp;TL[[#This Row],[Compte]]</f>
        <v>R314 - 61300600</v>
      </c>
      <c r="B3005" s="233" t="s">
        <v>3567</v>
      </c>
      <c r="C3005" s="227" t="s">
        <v>318</v>
      </c>
      <c r="D3005" s="233" t="s">
        <v>20</v>
      </c>
      <c r="E3005" s="233" t="s">
        <v>25</v>
      </c>
      <c r="F3005" s="227" t="s">
        <v>301</v>
      </c>
    </row>
    <row r="3006" spans="1:6" x14ac:dyDescent="0.25">
      <c r="A3006" s="227" t="str">
        <f>TL[[#This Row],[Société]]&amp;" - "&amp;TL[[#This Row],[Compte]]</f>
        <v>R314 - 61300700</v>
      </c>
      <c r="B3006" s="233" t="s">
        <v>3568</v>
      </c>
      <c r="C3006" s="227" t="s">
        <v>1162</v>
      </c>
      <c r="D3006" s="233" t="s">
        <v>16</v>
      </c>
      <c r="E3006" s="233" t="s">
        <v>25</v>
      </c>
      <c r="F3006" s="227" t="s">
        <v>301</v>
      </c>
    </row>
    <row r="3007" spans="1:6" x14ac:dyDescent="0.25">
      <c r="A3007" s="227" t="str">
        <f>TL[[#This Row],[Société]]&amp;" - "&amp;TL[[#This Row],[Compte]]</f>
        <v>R314 - 61320000</v>
      </c>
      <c r="B3007" s="233" t="s">
        <v>2709</v>
      </c>
      <c r="C3007" s="227" t="s">
        <v>1163</v>
      </c>
      <c r="D3007" s="233" t="s">
        <v>35</v>
      </c>
      <c r="E3007" s="233" t="s">
        <v>2985</v>
      </c>
      <c r="F3007" s="227" t="s">
        <v>301</v>
      </c>
    </row>
    <row r="3008" spans="1:6" x14ac:dyDescent="0.25">
      <c r="A3008" s="227" t="str">
        <f>TL[[#This Row],[Société]]&amp;" - "&amp;TL[[#This Row],[Compte]]</f>
        <v>R314 - 61320100</v>
      </c>
      <c r="B3008" s="233" t="s">
        <v>6115</v>
      </c>
      <c r="C3008" s="227" t="s">
        <v>1164</v>
      </c>
      <c r="D3008" s="233" t="s">
        <v>50</v>
      </c>
      <c r="E3008" s="233" t="s">
        <v>25</v>
      </c>
      <c r="F3008" s="227" t="s">
        <v>301</v>
      </c>
    </row>
    <row r="3009" spans="1:6" x14ac:dyDescent="0.25">
      <c r="A3009" s="227" t="str">
        <f>TL[[#This Row],[Société]]&amp;" - "&amp;TL[[#This Row],[Compte]]</f>
        <v>R314 - 61321000</v>
      </c>
      <c r="B3009" s="233" t="s">
        <v>2663</v>
      </c>
      <c r="C3009" s="227" t="s">
        <v>253</v>
      </c>
      <c r="D3009" s="233" t="s">
        <v>20</v>
      </c>
      <c r="E3009" s="233" t="s">
        <v>25</v>
      </c>
      <c r="F3009" s="227" t="s">
        <v>301</v>
      </c>
    </row>
    <row r="3010" spans="1:6" x14ac:dyDescent="0.25">
      <c r="A3010" s="227" t="str">
        <f>TL[[#This Row],[Société]]&amp;" - "&amp;TL[[#This Row],[Compte]]</f>
        <v>R314 - 61321100</v>
      </c>
      <c r="B3010" s="233" t="s">
        <v>6116</v>
      </c>
      <c r="C3010" s="227" t="s">
        <v>1480</v>
      </c>
      <c r="D3010" s="233" t="s">
        <v>20</v>
      </c>
      <c r="E3010" s="233" t="s">
        <v>25</v>
      </c>
      <c r="F3010" s="227" t="s">
        <v>301</v>
      </c>
    </row>
    <row r="3011" spans="1:6" x14ac:dyDescent="0.25">
      <c r="A3011" s="227" t="str">
        <f>TL[[#This Row],[Société]]&amp;" - "&amp;TL[[#This Row],[Compte]]</f>
        <v>R314 - 61351000</v>
      </c>
      <c r="B3011" s="233" t="s">
        <v>3572</v>
      </c>
      <c r="C3011" s="227" t="s">
        <v>1165</v>
      </c>
      <c r="D3011" s="233" t="s">
        <v>20</v>
      </c>
      <c r="E3011" s="233" t="s">
        <v>25</v>
      </c>
      <c r="F3011" s="227" t="s">
        <v>301</v>
      </c>
    </row>
    <row r="3012" spans="1:6" x14ac:dyDescent="0.25">
      <c r="A3012" s="227" t="str">
        <f>TL[[#This Row],[Société]]&amp;" - "&amp;TL[[#This Row],[Compte]]</f>
        <v>R314 - 61351100</v>
      </c>
      <c r="B3012" s="233" t="s">
        <v>6117</v>
      </c>
      <c r="C3012" s="227" t="s">
        <v>1166</v>
      </c>
      <c r="D3012" s="233" t="s">
        <v>50</v>
      </c>
      <c r="E3012" s="233" t="s">
        <v>50</v>
      </c>
      <c r="F3012" s="227" t="s">
        <v>301</v>
      </c>
    </row>
    <row r="3013" spans="1:6" x14ac:dyDescent="0.25">
      <c r="A3013" s="227" t="str">
        <f>TL[[#This Row],[Société]]&amp;" - "&amp;TL[[#This Row],[Compte]]</f>
        <v>R314 - 61351200</v>
      </c>
      <c r="B3013" s="233" t="s">
        <v>6118</v>
      </c>
      <c r="C3013" s="227" t="s">
        <v>1167</v>
      </c>
      <c r="D3013" s="233" t="s">
        <v>50</v>
      </c>
      <c r="E3013" s="233" t="s">
        <v>50</v>
      </c>
      <c r="F3013" s="227" t="s">
        <v>301</v>
      </c>
    </row>
    <row r="3014" spans="1:6" x14ac:dyDescent="0.25">
      <c r="A3014" s="227" t="str">
        <f>TL[[#This Row],[Société]]&amp;" - "&amp;TL[[#This Row],[Compte]]</f>
        <v>R314 - 61351300</v>
      </c>
      <c r="B3014" s="233" t="s">
        <v>6119</v>
      </c>
      <c r="C3014" s="227" t="s">
        <v>1168</v>
      </c>
      <c r="D3014" s="233" t="s">
        <v>50</v>
      </c>
      <c r="E3014" s="233" t="s">
        <v>50</v>
      </c>
      <c r="F3014" s="227" t="s">
        <v>301</v>
      </c>
    </row>
    <row r="3015" spans="1:6" x14ac:dyDescent="0.25">
      <c r="A3015" s="227" t="str">
        <f>TL[[#This Row],[Société]]&amp;" - "&amp;TL[[#This Row],[Compte]]</f>
        <v>R314 - 61351400</v>
      </c>
      <c r="B3015" s="233" t="s">
        <v>6120</v>
      </c>
      <c r="C3015" s="227" t="s">
        <v>1169</v>
      </c>
      <c r="D3015" s="233" t="s">
        <v>50</v>
      </c>
      <c r="E3015" s="233" t="s">
        <v>50</v>
      </c>
      <c r="F3015" s="227" t="s">
        <v>301</v>
      </c>
    </row>
    <row r="3016" spans="1:6" x14ac:dyDescent="0.25">
      <c r="A3016" s="227" t="str">
        <f>TL[[#This Row],[Société]]&amp;" - "&amp;TL[[#This Row],[Compte]]</f>
        <v>R314 - 61351500</v>
      </c>
      <c r="B3016" s="233" t="s">
        <v>6121</v>
      </c>
      <c r="C3016" s="227" t="s">
        <v>1170</v>
      </c>
      <c r="D3016" s="233" t="s">
        <v>50</v>
      </c>
      <c r="E3016" s="233" t="s">
        <v>50</v>
      </c>
      <c r="F3016" s="227" t="s">
        <v>301</v>
      </c>
    </row>
    <row r="3017" spans="1:6" x14ac:dyDescent="0.25">
      <c r="A3017" s="227" t="str">
        <f>TL[[#This Row],[Société]]&amp;" - "&amp;TL[[#This Row],[Compte]]</f>
        <v>R314 - 61351600</v>
      </c>
      <c r="B3017" s="233" t="s">
        <v>6122</v>
      </c>
      <c r="C3017" s="227" t="s">
        <v>1171</v>
      </c>
      <c r="D3017" s="233" t="s">
        <v>50</v>
      </c>
      <c r="E3017" s="233" t="s">
        <v>50</v>
      </c>
      <c r="F3017" s="227" t="s">
        <v>301</v>
      </c>
    </row>
    <row r="3018" spans="1:6" x14ac:dyDescent="0.25">
      <c r="A3018" s="227" t="str">
        <f>TL[[#This Row],[Société]]&amp;" - "&amp;TL[[#This Row],[Compte]]</f>
        <v>R314 - 61351700</v>
      </c>
      <c r="B3018" s="233" t="s">
        <v>6123</v>
      </c>
      <c r="C3018" s="227" t="s">
        <v>1171</v>
      </c>
      <c r="D3018" s="233" t="s">
        <v>50</v>
      </c>
      <c r="E3018" s="233" t="s">
        <v>50</v>
      </c>
      <c r="F3018" s="227" t="s">
        <v>301</v>
      </c>
    </row>
    <row r="3019" spans="1:6" x14ac:dyDescent="0.25">
      <c r="A3019" s="227" t="str">
        <f>TL[[#This Row],[Société]]&amp;" - "&amp;TL[[#This Row],[Compte]]</f>
        <v>R314 - 61351800</v>
      </c>
      <c r="B3019" s="233" t="s">
        <v>6124</v>
      </c>
      <c r="C3019" s="227" t="s">
        <v>1172</v>
      </c>
      <c r="D3019" s="233" t="s">
        <v>50</v>
      </c>
      <c r="E3019" s="233" t="s">
        <v>50</v>
      </c>
      <c r="F3019" s="227" t="s">
        <v>301</v>
      </c>
    </row>
    <row r="3020" spans="1:6" x14ac:dyDescent="0.25">
      <c r="A3020" s="227" t="str">
        <f>TL[[#This Row],[Société]]&amp;" - "&amp;TL[[#This Row],[Compte]]</f>
        <v>R314 - 61351900</v>
      </c>
      <c r="B3020" s="233" t="s">
        <v>6125</v>
      </c>
      <c r="C3020" s="227" t="s">
        <v>1173</v>
      </c>
      <c r="D3020" s="233" t="s">
        <v>50</v>
      </c>
      <c r="E3020" s="233" t="s">
        <v>50</v>
      </c>
      <c r="F3020" s="227" t="s">
        <v>301</v>
      </c>
    </row>
    <row r="3021" spans="1:6" x14ac:dyDescent="0.25">
      <c r="A3021" s="227" t="str">
        <f>TL[[#This Row],[Société]]&amp;" - "&amp;TL[[#This Row],[Compte]]</f>
        <v>R314 - 61352000</v>
      </c>
      <c r="B3021" s="233" t="s">
        <v>3573</v>
      </c>
      <c r="C3021" s="227" t="s">
        <v>1531</v>
      </c>
      <c r="D3021" s="233" t="s">
        <v>20</v>
      </c>
      <c r="E3021" s="233" t="s">
        <v>25</v>
      </c>
      <c r="F3021" s="227" t="s">
        <v>301</v>
      </c>
    </row>
    <row r="3022" spans="1:6" x14ac:dyDescent="0.25">
      <c r="A3022" s="227" t="str">
        <f>TL[[#This Row],[Société]]&amp;" - "&amp;TL[[#This Row],[Compte]]</f>
        <v>R314 - 61352100</v>
      </c>
      <c r="B3022" s="233" t="s">
        <v>3574</v>
      </c>
      <c r="C3022" s="227" t="s">
        <v>1174</v>
      </c>
      <c r="D3022" s="233" t="s">
        <v>50</v>
      </c>
      <c r="E3022" s="233" t="s">
        <v>50</v>
      </c>
      <c r="F3022" s="227" t="s">
        <v>301</v>
      </c>
    </row>
    <row r="3023" spans="1:6" x14ac:dyDescent="0.25">
      <c r="A3023" s="227" t="str">
        <f>TL[[#This Row],[Société]]&amp;" - "&amp;TL[[#This Row],[Compte]]</f>
        <v>R314 - 61352200</v>
      </c>
      <c r="B3023" s="233" t="s">
        <v>3575</v>
      </c>
      <c r="C3023" s="227" t="s">
        <v>1175</v>
      </c>
      <c r="D3023" s="233" t="s">
        <v>50</v>
      </c>
      <c r="E3023" s="233" t="s">
        <v>50</v>
      </c>
      <c r="F3023" s="227" t="s">
        <v>301</v>
      </c>
    </row>
    <row r="3024" spans="1:6" x14ac:dyDescent="0.25">
      <c r="A3024" s="227" t="str">
        <f>TL[[#This Row],[Société]]&amp;" - "&amp;TL[[#This Row],[Compte]]</f>
        <v>R314 - 61352300</v>
      </c>
      <c r="B3024" s="233" t="s">
        <v>3576</v>
      </c>
      <c r="C3024" s="227" t="s">
        <v>1176</v>
      </c>
      <c r="D3024" s="233" t="s">
        <v>50</v>
      </c>
      <c r="E3024" s="233" t="s">
        <v>50</v>
      </c>
      <c r="F3024" s="227" t="s">
        <v>301</v>
      </c>
    </row>
    <row r="3025" spans="1:6" x14ac:dyDescent="0.25">
      <c r="A3025" s="227" t="str">
        <f>TL[[#This Row],[Société]]&amp;" - "&amp;TL[[#This Row],[Compte]]</f>
        <v>R314 - 61352400</v>
      </c>
      <c r="B3025" s="233" t="s">
        <v>3577</v>
      </c>
      <c r="C3025" s="227" t="s">
        <v>614</v>
      </c>
      <c r="D3025" s="233" t="s">
        <v>50</v>
      </c>
      <c r="F3025" s="227" t="s">
        <v>301</v>
      </c>
    </row>
    <row r="3026" spans="1:6" x14ac:dyDescent="0.25">
      <c r="A3026" s="227" t="str">
        <f>TL[[#This Row],[Société]]&amp;" - "&amp;TL[[#This Row],[Compte]]</f>
        <v>R314 - 61352500</v>
      </c>
      <c r="B3026" s="233" t="s">
        <v>3578</v>
      </c>
      <c r="C3026" s="227" t="s">
        <v>1311</v>
      </c>
      <c r="D3026" s="233" t="s">
        <v>50</v>
      </c>
      <c r="E3026" s="233" t="s">
        <v>52</v>
      </c>
      <c r="F3026" s="227" t="s">
        <v>301</v>
      </c>
    </row>
    <row r="3027" spans="1:6" x14ac:dyDescent="0.25">
      <c r="A3027" s="227" t="str">
        <f>TL[[#This Row],[Société]]&amp;" - "&amp;TL[[#This Row],[Compte]]</f>
        <v>R314 - 61352600</v>
      </c>
      <c r="B3027" s="233" t="s">
        <v>3579</v>
      </c>
      <c r="C3027" s="227" t="s">
        <v>1532</v>
      </c>
      <c r="D3027" s="233" t="s">
        <v>50</v>
      </c>
      <c r="E3027" s="233" t="s">
        <v>52</v>
      </c>
      <c r="F3027" s="227" t="s">
        <v>301</v>
      </c>
    </row>
    <row r="3028" spans="1:6" x14ac:dyDescent="0.25">
      <c r="A3028" s="227" t="str">
        <f>TL[[#This Row],[Société]]&amp;" - "&amp;TL[[#This Row],[Compte]]</f>
        <v>R314 - 61352700</v>
      </c>
      <c r="B3028" s="233" t="s">
        <v>3580</v>
      </c>
      <c r="C3028" s="227" t="s">
        <v>1533</v>
      </c>
      <c r="D3028" s="233" t="s">
        <v>50</v>
      </c>
      <c r="E3028" s="233" t="s">
        <v>52</v>
      </c>
      <c r="F3028" s="227" t="s">
        <v>301</v>
      </c>
    </row>
    <row r="3029" spans="1:6" x14ac:dyDescent="0.25">
      <c r="A3029" s="227" t="str">
        <f>TL[[#This Row],[Société]]&amp;" - "&amp;TL[[#This Row],[Compte]]</f>
        <v>R314 - 61352800</v>
      </c>
      <c r="B3029" s="233" t="s">
        <v>3581</v>
      </c>
      <c r="C3029" s="227" t="s">
        <v>1440</v>
      </c>
      <c r="D3029" s="233" t="s">
        <v>20</v>
      </c>
      <c r="E3029" s="233" t="s">
        <v>25</v>
      </c>
      <c r="F3029" s="227" t="s">
        <v>301</v>
      </c>
    </row>
    <row r="3030" spans="1:6" x14ac:dyDescent="0.25">
      <c r="A3030" s="227" t="str">
        <f>TL[[#This Row],[Société]]&amp;" - "&amp;TL[[#This Row],[Compte]]</f>
        <v>R314 - 61352900</v>
      </c>
      <c r="B3030" s="233" t="s">
        <v>6126</v>
      </c>
      <c r="C3030" s="227" t="s">
        <v>1534</v>
      </c>
      <c r="D3030" s="233" t="s">
        <v>50</v>
      </c>
      <c r="E3030" s="233" t="s">
        <v>25</v>
      </c>
      <c r="F3030" s="227" t="s">
        <v>301</v>
      </c>
    </row>
    <row r="3031" spans="1:6" x14ac:dyDescent="0.25">
      <c r="A3031" s="227" t="str">
        <f>TL[[#This Row],[Société]]&amp;" - "&amp;TL[[#This Row],[Compte]]</f>
        <v>R314 - 61353000</v>
      </c>
      <c r="B3031" s="233" t="s">
        <v>3582</v>
      </c>
      <c r="C3031" s="227" t="s">
        <v>1177</v>
      </c>
      <c r="D3031" s="233" t="s">
        <v>50</v>
      </c>
      <c r="E3031" s="233" t="s">
        <v>25</v>
      </c>
      <c r="F3031" s="227" t="s">
        <v>301</v>
      </c>
    </row>
    <row r="3032" spans="1:6" x14ac:dyDescent="0.25">
      <c r="A3032" s="227" t="str">
        <f>TL[[#This Row],[Société]]&amp;" - "&amp;TL[[#This Row],[Compte]]</f>
        <v>R314 - 61353100</v>
      </c>
      <c r="B3032" s="233" t="s">
        <v>6127</v>
      </c>
      <c r="C3032" s="227" t="s">
        <v>1535</v>
      </c>
      <c r="D3032" s="233" t="s">
        <v>50</v>
      </c>
      <c r="E3032" s="233" t="s">
        <v>52</v>
      </c>
      <c r="F3032" s="227" t="s">
        <v>301</v>
      </c>
    </row>
    <row r="3033" spans="1:6" x14ac:dyDescent="0.25">
      <c r="A3033" s="227" t="str">
        <f>TL[[#This Row],[Société]]&amp;" - "&amp;TL[[#This Row],[Compte]]</f>
        <v>R314 - 61353200</v>
      </c>
      <c r="B3033" s="233" t="s">
        <v>6128</v>
      </c>
      <c r="C3033" s="227" t="s">
        <v>1536</v>
      </c>
      <c r="D3033" s="233" t="s">
        <v>50</v>
      </c>
      <c r="E3033" s="233" t="s">
        <v>52</v>
      </c>
      <c r="F3033" s="227" t="s">
        <v>301</v>
      </c>
    </row>
    <row r="3034" spans="1:6" x14ac:dyDescent="0.25">
      <c r="A3034" s="227" t="str">
        <f>TL[[#This Row],[Société]]&amp;" - "&amp;TL[[#This Row],[Compte]]</f>
        <v>R314 - 61353400</v>
      </c>
      <c r="B3034" s="233" t="s">
        <v>6129</v>
      </c>
      <c r="C3034" s="227" t="s">
        <v>1537</v>
      </c>
      <c r="D3034" s="233" t="s">
        <v>50</v>
      </c>
      <c r="E3034" s="233" t="s">
        <v>52</v>
      </c>
      <c r="F3034" s="227" t="s">
        <v>301</v>
      </c>
    </row>
    <row r="3035" spans="1:6" x14ac:dyDescent="0.25">
      <c r="A3035" s="227" t="str">
        <f>TL[[#This Row],[Société]]&amp;" - "&amp;TL[[#This Row],[Compte]]</f>
        <v>R314 - 61353500</v>
      </c>
      <c r="B3035" s="233" t="s">
        <v>6130</v>
      </c>
      <c r="C3035" s="227" t="s">
        <v>1573</v>
      </c>
      <c r="D3035" s="233" t="s">
        <v>50</v>
      </c>
      <c r="E3035" s="233" t="s">
        <v>52</v>
      </c>
      <c r="F3035" s="227" t="s">
        <v>301</v>
      </c>
    </row>
    <row r="3036" spans="1:6" x14ac:dyDescent="0.25">
      <c r="A3036" s="227" t="str">
        <f>TL[[#This Row],[Société]]&amp;" - "&amp;TL[[#This Row],[Compte]]</f>
        <v>R314 - 61353600</v>
      </c>
      <c r="B3036" s="233" t="s">
        <v>6131</v>
      </c>
      <c r="C3036" s="227" t="s">
        <v>221</v>
      </c>
      <c r="D3036" s="233" t="s">
        <v>50</v>
      </c>
      <c r="E3036" s="233" t="s">
        <v>52</v>
      </c>
      <c r="F3036" s="227" t="s">
        <v>301</v>
      </c>
    </row>
    <row r="3037" spans="1:6" x14ac:dyDescent="0.25">
      <c r="A3037" s="227" t="str">
        <f>TL[[#This Row],[Société]]&amp;" - "&amp;TL[[#This Row],[Compte]]</f>
        <v>R314 - 61353700</v>
      </c>
      <c r="B3037" s="233" t="s">
        <v>6132</v>
      </c>
      <c r="C3037" s="227" t="s">
        <v>506</v>
      </c>
      <c r="D3037" s="233" t="s">
        <v>20</v>
      </c>
      <c r="E3037" s="233" t="s">
        <v>25</v>
      </c>
      <c r="F3037" s="227" t="s">
        <v>301</v>
      </c>
    </row>
    <row r="3038" spans="1:6" x14ac:dyDescent="0.25">
      <c r="A3038" s="227" t="str">
        <f>TL[[#This Row],[Société]]&amp;" - "&amp;TL[[#This Row],[Compte]]</f>
        <v>R314 - 61353800</v>
      </c>
      <c r="B3038" s="233" t="s">
        <v>6133</v>
      </c>
      <c r="C3038" s="227" t="s">
        <v>2106</v>
      </c>
      <c r="D3038" s="233" t="s">
        <v>50</v>
      </c>
      <c r="E3038" s="233" t="s">
        <v>52</v>
      </c>
      <c r="F3038" s="227" t="s">
        <v>301</v>
      </c>
    </row>
    <row r="3039" spans="1:6" x14ac:dyDescent="0.25">
      <c r="A3039" s="227" t="str">
        <f>TL[[#This Row],[Société]]&amp;" - "&amp;TL[[#This Row],[Compte]]</f>
        <v>R314 - 61353900</v>
      </c>
      <c r="B3039" s="233" t="s">
        <v>6134</v>
      </c>
      <c r="C3039" s="227" t="s">
        <v>2107</v>
      </c>
      <c r="D3039" s="233" t="s">
        <v>50</v>
      </c>
      <c r="E3039" s="233" t="s">
        <v>52</v>
      </c>
      <c r="F3039" s="227" t="s">
        <v>301</v>
      </c>
    </row>
    <row r="3040" spans="1:6" x14ac:dyDescent="0.25">
      <c r="A3040" s="227" t="str">
        <f>TL[[#This Row],[Société]]&amp;" - "&amp;TL[[#This Row],[Compte]]</f>
        <v>R314 - 61354000</v>
      </c>
      <c r="B3040" s="233" t="s">
        <v>3583</v>
      </c>
      <c r="C3040" s="227" t="s">
        <v>2108</v>
      </c>
      <c r="D3040" s="233" t="s">
        <v>50</v>
      </c>
      <c r="E3040" s="233" t="s">
        <v>52</v>
      </c>
      <c r="F3040" s="227" t="s">
        <v>301</v>
      </c>
    </row>
    <row r="3041" spans="1:6" x14ac:dyDescent="0.25">
      <c r="A3041" s="227" t="str">
        <f>TL[[#This Row],[Société]]&amp;" - "&amp;TL[[#This Row],[Compte]]</f>
        <v>R314 - 61354100</v>
      </c>
      <c r="B3041" s="233" t="s">
        <v>3584</v>
      </c>
      <c r="C3041" s="227" t="s">
        <v>2109</v>
      </c>
      <c r="D3041" s="233" t="s">
        <v>50</v>
      </c>
      <c r="E3041" s="233" t="s">
        <v>52</v>
      </c>
      <c r="F3041" s="227" t="s">
        <v>301</v>
      </c>
    </row>
    <row r="3042" spans="1:6" x14ac:dyDescent="0.25">
      <c r="A3042" s="227" t="str">
        <f>TL[[#This Row],[Société]]&amp;" - "&amp;TL[[#This Row],[Compte]]</f>
        <v>R314 - 61410000</v>
      </c>
      <c r="B3042" s="233" t="s">
        <v>2712</v>
      </c>
      <c r="C3042" s="227" t="s">
        <v>1178</v>
      </c>
      <c r="D3042" s="233" t="s">
        <v>42</v>
      </c>
      <c r="E3042" s="233" t="s">
        <v>40</v>
      </c>
      <c r="F3042" s="227" t="s">
        <v>301</v>
      </c>
    </row>
    <row r="3043" spans="1:6" x14ac:dyDescent="0.25">
      <c r="A3043" s="227" t="str">
        <f>TL[[#This Row],[Société]]&amp;" - "&amp;TL[[#This Row],[Compte]]</f>
        <v>R314 - 61500100</v>
      </c>
      <c r="B3043" s="233" t="s">
        <v>3589</v>
      </c>
      <c r="C3043" s="227" t="s">
        <v>1179</v>
      </c>
      <c r="D3043" s="233" t="s">
        <v>25</v>
      </c>
      <c r="E3043" s="233" t="s">
        <v>23</v>
      </c>
      <c r="F3043" s="227" t="s">
        <v>301</v>
      </c>
    </row>
    <row r="3044" spans="1:6" x14ac:dyDescent="0.25">
      <c r="A3044" s="227" t="str">
        <f>TL[[#This Row],[Société]]&amp;" - "&amp;TL[[#This Row],[Compte]]</f>
        <v>R314 - 61500300</v>
      </c>
      <c r="B3044" s="233" t="s">
        <v>3590</v>
      </c>
      <c r="C3044" s="227" t="s">
        <v>1312</v>
      </c>
      <c r="D3044" s="233" t="s">
        <v>25</v>
      </c>
      <c r="E3044" s="233" t="s">
        <v>23</v>
      </c>
      <c r="F3044" s="227" t="s">
        <v>301</v>
      </c>
    </row>
    <row r="3045" spans="1:6" x14ac:dyDescent="0.25">
      <c r="A3045" s="227" t="str">
        <f>TL[[#This Row],[Société]]&amp;" - "&amp;TL[[#This Row],[Compte]]</f>
        <v>R314 - 61500400</v>
      </c>
      <c r="B3045" s="233" t="s">
        <v>3591</v>
      </c>
      <c r="C3045" s="227" t="s">
        <v>1313</v>
      </c>
      <c r="D3045" s="233" t="s">
        <v>20</v>
      </c>
      <c r="E3045" s="233" t="s">
        <v>20</v>
      </c>
      <c r="F3045" s="227" t="s">
        <v>301</v>
      </c>
    </row>
    <row r="3046" spans="1:6" x14ac:dyDescent="0.25">
      <c r="A3046" s="227" t="str">
        <f>TL[[#This Row],[Société]]&amp;" - "&amp;TL[[#This Row],[Compte]]</f>
        <v>R314 - 61500500</v>
      </c>
      <c r="B3046" s="233" t="s">
        <v>6135</v>
      </c>
      <c r="C3046" s="227" t="s">
        <v>608</v>
      </c>
      <c r="D3046" s="233" t="s">
        <v>20</v>
      </c>
      <c r="E3046" s="233" t="s">
        <v>25</v>
      </c>
      <c r="F3046" s="227" t="s">
        <v>301</v>
      </c>
    </row>
    <row r="3047" spans="1:6" x14ac:dyDescent="0.25">
      <c r="A3047" s="227" t="str">
        <f>TL[[#This Row],[Société]]&amp;" - "&amp;TL[[#This Row],[Compte]]</f>
        <v>R314 - 61500600</v>
      </c>
      <c r="B3047" s="233" t="s">
        <v>3592</v>
      </c>
      <c r="C3047" s="227" t="s">
        <v>1314</v>
      </c>
      <c r="D3047" s="233" t="s">
        <v>20</v>
      </c>
      <c r="E3047" s="233" t="s">
        <v>25</v>
      </c>
      <c r="F3047" s="227" t="s">
        <v>301</v>
      </c>
    </row>
    <row r="3048" spans="1:6" x14ac:dyDescent="0.25">
      <c r="A3048" s="227" t="str">
        <f>TL[[#This Row],[Société]]&amp;" - "&amp;TL[[#This Row],[Compte]]</f>
        <v>R314 - 61500700</v>
      </c>
      <c r="B3048" s="233" t="s">
        <v>6136</v>
      </c>
      <c r="C3048" s="227" t="s">
        <v>1180</v>
      </c>
      <c r="D3048" s="233" t="s">
        <v>147</v>
      </c>
      <c r="E3048" s="233" t="s">
        <v>288</v>
      </c>
      <c r="F3048" s="227" t="s">
        <v>301</v>
      </c>
    </row>
    <row r="3049" spans="1:6" x14ac:dyDescent="0.25">
      <c r="A3049" s="227" t="str">
        <f>TL[[#This Row],[Société]]&amp;" - "&amp;TL[[#This Row],[Compte]]</f>
        <v>R314 - 61500800</v>
      </c>
      <c r="B3049" s="233" t="s">
        <v>6137</v>
      </c>
      <c r="C3049" s="227" t="s">
        <v>1315</v>
      </c>
      <c r="D3049" s="233" t="s">
        <v>147</v>
      </c>
      <c r="E3049" s="233" t="s">
        <v>288</v>
      </c>
      <c r="F3049" s="227" t="s">
        <v>301</v>
      </c>
    </row>
    <row r="3050" spans="1:6" x14ac:dyDescent="0.25">
      <c r="A3050" s="227" t="str">
        <f>TL[[#This Row],[Société]]&amp;" - "&amp;TL[[#This Row],[Compte]]</f>
        <v>R314 - 61501100</v>
      </c>
      <c r="B3050" s="233" t="s">
        <v>3593</v>
      </c>
      <c r="C3050" s="227" t="s">
        <v>609</v>
      </c>
      <c r="D3050" s="233" t="s">
        <v>20</v>
      </c>
      <c r="E3050" s="233" t="s">
        <v>25</v>
      </c>
      <c r="F3050" s="227" t="s">
        <v>301</v>
      </c>
    </row>
    <row r="3051" spans="1:6" x14ac:dyDescent="0.25">
      <c r="A3051" s="227" t="str">
        <f>TL[[#This Row],[Société]]&amp;" - "&amp;TL[[#This Row],[Compte]]</f>
        <v>R314 - 61501200</v>
      </c>
      <c r="B3051" s="233" t="s">
        <v>3594</v>
      </c>
      <c r="C3051" s="227" t="s">
        <v>610</v>
      </c>
      <c r="D3051" s="233" t="s">
        <v>20</v>
      </c>
      <c r="E3051" s="233" t="s">
        <v>25</v>
      </c>
      <c r="F3051" s="227" t="s">
        <v>301</v>
      </c>
    </row>
    <row r="3052" spans="1:6" x14ac:dyDescent="0.25">
      <c r="A3052" s="227" t="str">
        <f>TL[[#This Row],[Société]]&amp;" - "&amp;TL[[#This Row],[Compte]]</f>
        <v>R314 - 61501400</v>
      </c>
      <c r="B3052" s="233" t="s">
        <v>6138</v>
      </c>
      <c r="C3052" s="227" t="s">
        <v>229</v>
      </c>
      <c r="D3052" s="233" t="s">
        <v>25</v>
      </c>
      <c r="E3052" s="233" t="s">
        <v>23</v>
      </c>
      <c r="F3052" s="227" t="s">
        <v>301</v>
      </c>
    </row>
    <row r="3053" spans="1:6" x14ac:dyDescent="0.25">
      <c r="A3053" s="227" t="str">
        <f>TL[[#This Row],[Société]]&amp;" - "&amp;TL[[#This Row],[Compte]]</f>
        <v>R314 - 61501600</v>
      </c>
      <c r="B3053" s="233" t="s">
        <v>3595</v>
      </c>
      <c r="C3053" s="227" t="s">
        <v>1316</v>
      </c>
      <c r="D3053" s="233" t="s">
        <v>20</v>
      </c>
      <c r="E3053" s="233" t="s">
        <v>25</v>
      </c>
      <c r="F3053" s="227" t="s">
        <v>301</v>
      </c>
    </row>
    <row r="3054" spans="1:6" x14ac:dyDescent="0.25">
      <c r="A3054" s="227" t="str">
        <f>TL[[#This Row],[Société]]&amp;" - "&amp;TL[[#This Row],[Compte]]</f>
        <v>R314 - 61501700</v>
      </c>
      <c r="B3054" s="233" t="s">
        <v>3596</v>
      </c>
      <c r="C3054" s="227" t="s">
        <v>1181</v>
      </c>
      <c r="D3054" s="233" t="s">
        <v>20</v>
      </c>
      <c r="E3054" s="233" t="s">
        <v>25</v>
      </c>
      <c r="F3054" s="227" t="s">
        <v>301</v>
      </c>
    </row>
    <row r="3055" spans="1:6" x14ac:dyDescent="0.25">
      <c r="A3055" s="227" t="str">
        <f>TL[[#This Row],[Société]]&amp;" - "&amp;TL[[#This Row],[Compte]]</f>
        <v>R314 - 61520000</v>
      </c>
      <c r="B3055" s="233" t="s">
        <v>3597</v>
      </c>
      <c r="C3055" s="227" t="s">
        <v>154</v>
      </c>
      <c r="D3055" s="233" t="s">
        <v>20</v>
      </c>
      <c r="E3055" s="233" t="s">
        <v>25</v>
      </c>
      <c r="F3055" s="227" t="s">
        <v>301</v>
      </c>
    </row>
    <row r="3056" spans="1:6" x14ac:dyDescent="0.25">
      <c r="A3056" s="227" t="str">
        <f>TL[[#This Row],[Société]]&amp;" - "&amp;TL[[#This Row],[Compte]]</f>
        <v>R314 - 61521000</v>
      </c>
      <c r="B3056" s="233" t="s">
        <v>2651</v>
      </c>
      <c r="C3056" s="227" t="s">
        <v>260</v>
      </c>
      <c r="D3056" s="233" t="s">
        <v>20</v>
      </c>
      <c r="E3056" s="233" t="s">
        <v>18</v>
      </c>
      <c r="F3056" s="227" t="s">
        <v>301</v>
      </c>
    </row>
    <row r="3057" spans="1:6" x14ac:dyDescent="0.25">
      <c r="A3057" s="227" t="str">
        <f>TL[[#This Row],[Société]]&amp;" - "&amp;TL[[#This Row],[Compte]]</f>
        <v>R314 - 61550000</v>
      </c>
      <c r="B3057" s="233" t="s">
        <v>3599</v>
      </c>
      <c r="C3057" s="227" t="s">
        <v>212</v>
      </c>
      <c r="D3057" s="233" t="s">
        <v>25</v>
      </c>
      <c r="E3057" s="233" t="s">
        <v>23</v>
      </c>
      <c r="F3057" s="227" t="s">
        <v>301</v>
      </c>
    </row>
    <row r="3058" spans="1:6" x14ac:dyDescent="0.25">
      <c r="A3058" s="227" t="str">
        <f>TL[[#This Row],[Société]]&amp;" - "&amp;TL[[#This Row],[Compte]]</f>
        <v>R314 - 61552000</v>
      </c>
      <c r="B3058" s="233" t="s">
        <v>3600</v>
      </c>
      <c r="C3058" s="227" t="s">
        <v>308</v>
      </c>
      <c r="D3058" s="233" t="s">
        <v>50</v>
      </c>
      <c r="E3058" s="233" t="s">
        <v>23</v>
      </c>
      <c r="F3058" s="227" t="s">
        <v>301</v>
      </c>
    </row>
    <row r="3059" spans="1:6" x14ac:dyDescent="0.25">
      <c r="A3059" s="227" t="str">
        <f>TL[[#This Row],[Société]]&amp;" - "&amp;TL[[#This Row],[Compte]]</f>
        <v>R314 - 61552100</v>
      </c>
      <c r="B3059" s="233" t="s">
        <v>3601</v>
      </c>
      <c r="C3059" s="227" t="s">
        <v>1182</v>
      </c>
      <c r="D3059" s="233" t="s">
        <v>50</v>
      </c>
      <c r="E3059" s="233" t="s">
        <v>23</v>
      </c>
      <c r="F3059" s="227" t="s">
        <v>301</v>
      </c>
    </row>
    <row r="3060" spans="1:6" x14ac:dyDescent="0.25">
      <c r="A3060" s="227" t="str">
        <f>TL[[#This Row],[Société]]&amp;" - "&amp;TL[[#This Row],[Compte]]</f>
        <v>R314 - 61560000</v>
      </c>
      <c r="B3060" s="233" t="s">
        <v>2666</v>
      </c>
      <c r="C3060" s="227" t="s">
        <v>1183</v>
      </c>
      <c r="D3060" s="233" t="s">
        <v>20</v>
      </c>
      <c r="E3060" s="233" t="s">
        <v>25</v>
      </c>
      <c r="F3060" s="227" t="s">
        <v>301</v>
      </c>
    </row>
    <row r="3061" spans="1:6" x14ac:dyDescent="0.25">
      <c r="A3061" s="227" t="str">
        <f>TL[[#This Row],[Société]]&amp;" - "&amp;TL[[#This Row],[Compte]]</f>
        <v>R314 - 61561000</v>
      </c>
      <c r="B3061" s="233" t="s">
        <v>2667</v>
      </c>
      <c r="C3061" s="227" t="s">
        <v>234</v>
      </c>
      <c r="D3061" s="233" t="s">
        <v>20</v>
      </c>
      <c r="E3061" s="233" t="s">
        <v>25</v>
      </c>
      <c r="F3061" s="227" t="s">
        <v>301</v>
      </c>
    </row>
    <row r="3062" spans="1:6" x14ac:dyDescent="0.25">
      <c r="A3062" s="227" t="str">
        <f>TL[[#This Row],[Société]]&amp;" - "&amp;TL[[#This Row],[Compte]]</f>
        <v>R314 - 61561100</v>
      </c>
      <c r="B3062" s="233" t="s">
        <v>2668</v>
      </c>
      <c r="C3062" s="227" t="s">
        <v>1184</v>
      </c>
      <c r="D3062" s="233" t="s">
        <v>20</v>
      </c>
      <c r="E3062" s="233" t="s">
        <v>25</v>
      </c>
      <c r="F3062" s="227" t="s">
        <v>301</v>
      </c>
    </row>
    <row r="3063" spans="1:6" x14ac:dyDescent="0.25">
      <c r="A3063" s="227" t="str">
        <f>TL[[#This Row],[Société]]&amp;" - "&amp;TL[[#This Row],[Compte]]</f>
        <v>R314 - 61561200</v>
      </c>
      <c r="B3063" s="233" t="s">
        <v>2669</v>
      </c>
      <c r="C3063" s="227" t="s">
        <v>1185</v>
      </c>
      <c r="D3063" s="233" t="s">
        <v>20</v>
      </c>
      <c r="E3063" s="233" t="s">
        <v>25</v>
      </c>
      <c r="F3063" s="227" t="s">
        <v>301</v>
      </c>
    </row>
    <row r="3064" spans="1:6" x14ac:dyDescent="0.25">
      <c r="A3064" s="227" t="str">
        <f>TL[[#This Row],[Société]]&amp;" - "&amp;TL[[#This Row],[Compte]]</f>
        <v>R314 - 61561300</v>
      </c>
      <c r="B3064" s="233" t="s">
        <v>2670</v>
      </c>
      <c r="C3064" s="227" t="s">
        <v>1186</v>
      </c>
      <c r="D3064" s="233" t="s">
        <v>20</v>
      </c>
      <c r="E3064" s="233" t="s">
        <v>25</v>
      </c>
      <c r="F3064" s="227" t="s">
        <v>301</v>
      </c>
    </row>
    <row r="3065" spans="1:6" x14ac:dyDescent="0.25">
      <c r="A3065" s="227" t="str">
        <f>TL[[#This Row],[Société]]&amp;" - "&amp;TL[[#This Row],[Compte]]</f>
        <v>R314 - 61561400</v>
      </c>
      <c r="B3065" s="233" t="s">
        <v>3603</v>
      </c>
      <c r="C3065" s="227" t="s">
        <v>1317</v>
      </c>
      <c r="D3065" s="233" t="s">
        <v>20</v>
      </c>
      <c r="E3065" s="233" t="s">
        <v>25</v>
      </c>
      <c r="F3065" s="227" t="s">
        <v>301</v>
      </c>
    </row>
    <row r="3066" spans="1:6" x14ac:dyDescent="0.25">
      <c r="A3066" s="227" t="str">
        <f>TL[[#This Row],[Société]]&amp;" - "&amp;TL[[#This Row],[Compte]]</f>
        <v>R314 - 61561500</v>
      </c>
      <c r="B3066" s="233" t="s">
        <v>2652</v>
      </c>
      <c r="C3066" s="227" t="s">
        <v>240</v>
      </c>
      <c r="D3066" s="233" t="s">
        <v>20</v>
      </c>
      <c r="E3066" s="233" t="s">
        <v>18</v>
      </c>
      <c r="F3066" s="227" t="s">
        <v>301</v>
      </c>
    </row>
    <row r="3067" spans="1:6" x14ac:dyDescent="0.25">
      <c r="A3067" s="227" t="str">
        <f>TL[[#This Row],[Société]]&amp;" - "&amp;TL[[#This Row],[Compte]]</f>
        <v>R314 - 61561600</v>
      </c>
      <c r="B3067" s="233" t="s">
        <v>2671</v>
      </c>
      <c r="C3067" s="227" t="s">
        <v>229</v>
      </c>
      <c r="D3067" s="233" t="s">
        <v>20</v>
      </c>
      <c r="E3067" s="233" t="s">
        <v>25</v>
      </c>
      <c r="F3067" s="227" t="s">
        <v>301</v>
      </c>
    </row>
    <row r="3068" spans="1:6" x14ac:dyDescent="0.25">
      <c r="A3068" s="227" t="str">
        <f>TL[[#This Row],[Société]]&amp;" - "&amp;TL[[#This Row],[Compte]]</f>
        <v>R314 - 61561700</v>
      </c>
      <c r="B3068" s="233" t="s">
        <v>3604</v>
      </c>
      <c r="C3068" s="227" t="s">
        <v>285</v>
      </c>
      <c r="D3068" s="233" t="s">
        <v>20</v>
      </c>
      <c r="E3068" s="233" t="s">
        <v>25</v>
      </c>
      <c r="F3068" s="227" t="s">
        <v>301</v>
      </c>
    </row>
    <row r="3069" spans="1:6" x14ac:dyDescent="0.25">
      <c r="A3069" s="227" t="str">
        <f>TL[[#This Row],[Société]]&amp;" - "&amp;TL[[#This Row],[Compte]]</f>
        <v>R314 - 61561800</v>
      </c>
      <c r="B3069" s="233" t="s">
        <v>2672</v>
      </c>
      <c r="C3069" s="227" t="s">
        <v>233</v>
      </c>
      <c r="D3069" s="233" t="s">
        <v>20</v>
      </c>
      <c r="E3069" s="233" t="s">
        <v>25</v>
      </c>
      <c r="F3069" s="227" t="s">
        <v>301</v>
      </c>
    </row>
    <row r="3070" spans="1:6" x14ac:dyDescent="0.25">
      <c r="A3070" s="227" t="str">
        <f>TL[[#This Row],[Société]]&amp;" - "&amp;TL[[#This Row],[Compte]]</f>
        <v>R314 - 61561900</v>
      </c>
      <c r="B3070" s="233" t="s">
        <v>3605</v>
      </c>
      <c r="C3070" s="227" t="s">
        <v>1318</v>
      </c>
      <c r="D3070" s="233" t="s">
        <v>20</v>
      </c>
      <c r="E3070" s="233" t="s">
        <v>18</v>
      </c>
      <c r="F3070" s="227" t="s">
        <v>301</v>
      </c>
    </row>
    <row r="3071" spans="1:6" x14ac:dyDescent="0.25">
      <c r="A3071" s="227" t="str">
        <f>TL[[#This Row],[Société]]&amp;" - "&amp;TL[[#This Row],[Compte]]</f>
        <v>R314 - 61562000</v>
      </c>
      <c r="B3071" s="233" t="s">
        <v>2653</v>
      </c>
      <c r="C3071" s="227" t="s">
        <v>266</v>
      </c>
      <c r="D3071" s="233" t="s">
        <v>20</v>
      </c>
      <c r="E3071" s="233" t="s">
        <v>20</v>
      </c>
      <c r="F3071" s="227" t="s">
        <v>301</v>
      </c>
    </row>
    <row r="3072" spans="1:6" x14ac:dyDescent="0.25">
      <c r="A3072" s="227" t="str">
        <f>TL[[#This Row],[Société]]&amp;" - "&amp;TL[[#This Row],[Compte]]</f>
        <v>R314 - 61562100</v>
      </c>
      <c r="B3072" s="233" t="s">
        <v>2673</v>
      </c>
      <c r="C3072" s="227" t="s">
        <v>1187</v>
      </c>
      <c r="D3072" s="233" t="s">
        <v>20</v>
      </c>
      <c r="E3072" s="233" t="s">
        <v>25</v>
      </c>
      <c r="F3072" s="227" t="s">
        <v>301</v>
      </c>
    </row>
    <row r="3073" spans="1:6" x14ac:dyDescent="0.25">
      <c r="A3073" s="227" t="str">
        <f>TL[[#This Row],[Société]]&amp;" - "&amp;TL[[#This Row],[Compte]]</f>
        <v>R314 - 61562200</v>
      </c>
      <c r="B3073" s="233" t="s">
        <v>3606</v>
      </c>
      <c r="C3073" s="227" t="s">
        <v>280</v>
      </c>
      <c r="D3073" s="233" t="s">
        <v>20</v>
      </c>
      <c r="E3073" s="233" t="s">
        <v>25</v>
      </c>
      <c r="F3073" s="227" t="s">
        <v>301</v>
      </c>
    </row>
    <row r="3074" spans="1:6" x14ac:dyDescent="0.25">
      <c r="A3074" s="227" t="str">
        <f>TL[[#This Row],[Société]]&amp;" - "&amp;TL[[#This Row],[Compte]]</f>
        <v>R314 - 61562300</v>
      </c>
      <c r="B3074" s="233" t="s">
        <v>2674</v>
      </c>
      <c r="C3074" s="227" t="s">
        <v>2959</v>
      </c>
      <c r="D3074" s="233" t="s">
        <v>20</v>
      </c>
      <c r="E3074" s="233" t="s">
        <v>25</v>
      </c>
      <c r="F3074" s="227" t="s">
        <v>301</v>
      </c>
    </row>
    <row r="3075" spans="1:6" x14ac:dyDescent="0.25">
      <c r="A3075" s="227" t="str">
        <f>TL[[#This Row],[Société]]&amp;" - "&amp;TL[[#This Row],[Compte]]</f>
        <v>R314 - 61562400</v>
      </c>
      <c r="B3075" s="233" t="s">
        <v>2654</v>
      </c>
      <c r="C3075" s="227" t="s">
        <v>1188</v>
      </c>
      <c r="D3075" s="233" t="s">
        <v>20</v>
      </c>
      <c r="E3075" s="233" t="s">
        <v>25</v>
      </c>
      <c r="F3075" s="227" t="s">
        <v>301</v>
      </c>
    </row>
    <row r="3076" spans="1:6" x14ac:dyDescent="0.25">
      <c r="A3076" s="227" t="str">
        <f>TL[[#This Row],[Société]]&amp;" - "&amp;TL[[#This Row],[Compte]]</f>
        <v>R314 - 61562600</v>
      </c>
      <c r="B3076" s="233" t="s">
        <v>3607</v>
      </c>
      <c r="C3076" s="227" t="s">
        <v>316</v>
      </c>
      <c r="D3076" s="233" t="s">
        <v>20</v>
      </c>
      <c r="E3076" s="233" t="s">
        <v>25</v>
      </c>
      <c r="F3076" s="227" t="s">
        <v>301</v>
      </c>
    </row>
    <row r="3077" spans="1:6" x14ac:dyDescent="0.25">
      <c r="A3077" s="227" t="str">
        <f>TL[[#This Row],[Société]]&amp;" - "&amp;TL[[#This Row],[Compte]]</f>
        <v>R314 - 61562700</v>
      </c>
      <c r="B3077" s="233" t="s">
        <v>3608</v>
      </c>
      <c r="C3077" s="227" t="s">
        <v>1189</v>
      </c>
      <c r="D3077" s="233" t="s">
        <v>20</v>
      </c>
      <c r="E3077" s="233" t="s">
        <v>25</v>
      </c>
      <c r="F3077" s="227" t="s">
        <v>301</v>
      </c>
    </row>
    <row r="3078" spans="1:6" x14ac:dyDescent="0.25">
      <c r="A3078" s="227" t="str">
        <f>TL[[#This Row],[Société]]&amp;" - "&amp;TL[[#This Row],[Compte]]</f>
        <v>R314 - 61562800</v>
      </c>
      <c r="B3078" s="233" t="s">
        <v>2677</v>
      </c>
      <c r="C3078" s="227" t="s">
        <v>1190</v>
      </c>
      <c r="D3078" s="233" t="s">
        <v>20</v>
      </c>
      <c r="E3078" s="233" t="s">
        <v>25</v>
      </c>
      <c r="F3078" s="227" t="s">
        <v>301</v>
      </c>
    </row>
    <row r="3079" spans="1:6" x14ac:dyDescent="0.25">
      <c r="A3079" s="227" t="str">
        <f>TL[[#This Row],[Société]]&amp;" - "&amp;TL[[#This Row],[Compte]]</f>
        <v>R314 - 61562900</v>
      </c>
      <c r="B3079" s="233" t="s">
        <v>3609</v>
      </c>
      <c r="C3079" s="227" t="s">
        <v>1031</v>
      </c>
      <c r="D3079" s="233" t="s">
        <v>20</v>
      </c>
      <c r="E3079" s="233" t="s">
        <v>25</v>
      </c>
      <c r="F3079" s="227" t="s">
        <v>301</v>
      </c>
    </row>
    <row r="3080" spans="1:6" x14ac:dyDescent="0.25">
      <c r="A3080" s="227" t="str">
        <f>TL[[#This Row],[Société]]&amp;" - "&amp;TL[[#This Row],[Compte]]</f>
        <v>R314 - 61563000</v>
      </c>
      <c r="B3080" s="233" t="s">
        <v>2678</v>
      </c>
      <c r="C3080" s="227" t="s">
        <v>1319</v>
      </c>
      <c r="D3080" s="233" t="s">
        <v>20</v>
      </c>
      <c r="E3080" s="233" t="s">
        <v>25</v>
      </c>
      <c r="F3080" s="227" t="s">
        <v>301</v>
      </c>
    </row>
    <row r="3081" spans="1:6" x14ac:dyDescent="0.25">
      <c r="A3081" s="227" t="str">
        <f>TL[[#This Row],[Société]]&amp;" - "&amp;TL[[#This Row],[Compte]]</f>
        <v>R314 - 61563300</v>
      </c>
      <c r="B3081" s="233" t="s">
        <v>3612</v>
      </c>
      <c r="C3081" s="227" t="s">
        <v>1192</v>
      </c>
      <c r="D3081" s="233" t="s">
        <v>20</v>
      </c>
      <c r="E3081" s="233" t="s">
        <v>25</v>
      </c>
      <c r="F3081" s="227" t="s">
        <v>301</v>
      </c>
    </row>
    <row r="3082" spans="1:6" x14ac:dyDescent="0.25">
      <c r="A3082" s="227" t="str">
        <f>TL[[#This Row],[Société]]&amp;" - "&amp;TL[[#This Row],[Compte]]</f>
        <v>R314 - 61564000</v>
      </c>
      <c r="B3082" s="233" t="s">
        <v>3615</v>
      </c>
      <c r="C3082" s="227" t="s">
        <v>1193</v>
      </c>
      <c r="D3082" s="233" t="s">
        <v>20</v>
      </c>
      <c r="E3082" s="233" t="s">
        <v>25</v>
      </c>
      <c r="F3082" s="227" t="s">
        <v>301</v>
      </c>
    </row>
    <row r="3083" spans="1:6" x14ac:dyDescent="0.25">
      <c r="A3083" s="227" t="str">
        <f>TL[[#This Row],[Société]]&amp;" - "&amp;TL[[#This Row],[Compte]]</f>
        <v>R314 - 61564100</v>
      </c>
      <c r="B3083" s="233" t="s">
        <v>2684</v>
      </c>
      <c r="C3083" s="227" t="s">
        <v>314</v>
      </c>
      <c r="D3083" s="233" t="s">
        <v>20</v>
      </c>
      <c r="E3083" s="233" t="s">
        <v>25</v>
      </c>
      <c r="F3083" s="227" t="s">
        <v>301</v>
      </c>
    </row>
    <row r="3084" spans="1:6" x14ac:dyDescent="0.25">
      <c r="A3084" s="227" t="str">
        <f>TL[[#This Row],[Société]]&amp;" - "&amp;TL[[#This Row],[Compte]]</f>
        <v>R314 - 61565000</v>
      </c>
      <c r="B3084" s="233" t="s">
        <v>6139</v>
      </c>
      <c r="C3084" s="227" t="s">
        <v>235</v>
      </c>
      <c r="D3084" s="233" t="s">
        <v>20</v>
      </c>
      <c r="E3084" s="233" t="s">
        <v>25</v>
      </c>
      <c r="F3084" s="227" t="s">
        <v>301</v>
      </c>
    </row>
    <row r="3085" spans="1:6" x14ac:dyDescent="0.25">
      <c r="A3085" s="227" t="str">
        <f>TL[[#This Row],[Société]]&amp;" - "&amp;TL[[#This Row],[Compte]]</f>
        <v>R314 - 61565100</v>
      </c>
      <c r="B3085" s="233" t="s">
        <v>6140</v>
      </c>
      <c r="C3085" s="227" t="s">
        <v>1194</v>
      </c>
      <c r="D3085" s="233" t="s">
        <v>20</v>
      </c>
      <c r="E3085" s="233" t="s">
        <v>25</v>
      </c>
      <c r="F3085" s="227" t="s">
        <v>301</v>
      </c>
    </row>
    <row r="3086" spans="1:6" x14ac:dyDescent="0.25">
      <c r="A3086" s="227" t="str">
        <f>TL[[#This Row],[Société]]&amp;" - "&amp;TL[[#This Row],[Compte]]</f>
        <v>R314 - 61565200</v>
      </c>
      <c r="B3086" s="233" t="s">
        <v>6141</v>
      </c>
      <c r="C3086" s="227" t="s">
        <v>249</v>
      </c>
      <c r="D3086" s="233" t="s">
        <v>20</v>
      </c>
      <c r="E3086" s="233" t="s">
        <v>25</v>
      </c>
      <c r="F3086" s="227" t="s">
        <v>301</v>
      </c>
    </row>
    <row r="3087" spans="1:6" x14ac:dyDescent="0.25">
      <c r="A3087" s="227" t="str">
        <f>TL[[#This Row],[Société]]&amp;" - "&amp;TL[[#This Row],[Compte]]</f>
        <v>R314 - 61565300</v>
      </c>
      <c r="B3087" s="233" t="s">
        <v>6142</v>
      </c>
      <c r="C3087" s="227" t="s">
        <v>1195</v>
      </c>
      <c r="D3087" s="233" t="s">
        <v>20</v>
      </c>
      <c r="E3087" s="233" t="s">
        <v>25</v>
      </c>
      <c r="F3087" s="227" t="s">
        <v>301</v>
      </c>
    </row>
    <row r="3088" spans="1:6" x14ac:dyDescent="0.25">
      <c r="A3088" s="227" t="str">
        <f>TL[[#This Row],[Société]]&amp;" - "&amp;TL[[#This Row],[Compte]]</f>
        <v>R314 - 61565400</v>
      </c>
      <c r="B3088" s="233" t="s">
        <v>6143</v>
      </c>
      <c r="C3088" s="227" t="s">
        <v>1196</v>
      </c>
      <c r="D3088" s="233" t="s">
        <v>20</v>
      </c>
      <c r="E3088" s="233" t="s">
        <v>25</v>
      </c>
      <c r="F3088" s="227" t="s">
        <v>301</v>
      </c>
    </row>
    <row r="3089" spans="1:6" x14ac:dyDescent="0.25">
      <c r="A3089" s="227" t="str">
        <f>TL[[#This Row],[Société]]&amp;" - "&amp;TL[[#This Row],[Compte]]</f>
        <v>R314 - 61565500</v>
      </c>
      <c r="B3089" s="233" t="s">
        <v>6144</v>
      </c>
      <c r="C3089" s="227" t="s">
        <v>1320</v>
      </c>
      <c r="D3089" s="233" t="s">
        <v>20</v>
      </c>
      <c r="E3089" s="233" t="s">
        <v>25</v>
      </c>
      <c r="F3089" s="227" t="s">
        <v>301</v>
      </c>
    </row>
    <row r="3090" spans="1:6" x14ac:dyDescent="0.25">
      <c r="A3090" s="227" t="str">
        <f>TL[[#This Row],[Société]]&amp;" - "&amp;TL[[#This Row],[Compte]]</f>
        <v>R314 - 61565600</v>
      </c>
      <c r="B3090" s="233" t="s">
        <v>6145</v>
      </c>
      <c r="C3090" s="227" t="s">
        <v>1321</v>
      </c>
      <c r="D3090" s="233" t="s">
        <v>20</v>
      </c>
      <c r="E3090" s="233" t="s">
        <v>25</v>
      </c>
      <c r="F3090" s="227" t="s">
        <v>301</v>
      </c>
    </row>
    <row r="3091" spans="1:6" x14ac:dyDescent="0.25">
      <c r="A3091" s="227" t="str">
        <f>TL[[#This Row],[Société]]&amp;" - "&amp;TL[[#This Row],[Compte]]</f>
        <v>R314 - 61566000</v>
      </c>
      <c r="B3091" s="233" t="s">
        <v>6146</v>
      </c>
      <c r="C3091" s="227" t="s">
        <v>1322</v>
      </c>
      <c r="D3091" s="233" t="s">
        <v>20</v>
      </c>
      <c r="E3091" s="233" t="s">
        <v>25</v>
      </c>
      <c r="F3091" s="227" t="s">
        <v>301</v>
      </c>
    </row>
    <row r="3092" spans="1:6" x14ac:dyDescent="0.25">
      <c r="A3092" s="227" t="str">
        <f>TL[[#This Row],[Société]]&amp;" - "&amp;TL[[#This Row],[Compte]]</f>
        <v>R314 - 61566100</v>
      </c>
      <c r="B3092" s="233" t="s">
        <v>6147</v>
      </c>
      <c r="C3092" s="227" t="s">
        <v>1442</v>
      </c>
      <c r="D3092" s="233" t="s">
        <v>20</v>
      </c>
      <c r="E3092" s="233" t="s">
        <v>25</v>
      </c>
      <c r="F3092" s="227" t="s">
        <v>301</v>
      </c>
    </row>
    <row r="3093" spans="1:6" x14ac:dyDescent="0.25">
      <c r="A3093" s="227" t="str">
        <f>TL[[#This Row],[Société]]&amp;" - "&amp;TL[[#This Row],[Compte]]</f>
        <v>R314 - 61566200</v>
      </c>
      <c r="B3093" s="233" t="s">
        <v>6148</v>
      </c>
      <c r="C3093" s="227" t="s">
        <v>1443</v>
      </c>
      <c r="D3093" s="233" t="s">
        <v>20</v>
      </c>
      <c r="E3093" s="233" t="s">
        <v>25</v>
      </c>
      <c r="F3093" s="227" t="s">
        <v>301</v>
      </c>
    </row>
    <row r="3094" spans="1:6" x14ac:dyDescent="0.25">
      <c r="A3094" s="227" t="str">
        <f>TL[[#This Row],[Société]]&amp;" - "&amp;TL[[#This Row],[Compte]]</f>
        <v>R314 - 61566300</v>
      </c>
      <c r="B3094" s="233" t="s">
        <v>6149</v>
      </c>
      <c r="C3094" s="227" t="s">
        <v>1547</v>
      </c>
      <c r="D3094" s="233" t="s">
        <v>20</v>
      </c>
      <c r="E3094" s="233" t="s">
        <v>25</v>
      </c>
      <c r="F3094" s="227" t="s">
        <v>301</v>
      </c>
    </row>
    <row r="3095" spans="1:6" x14ac:dyDescent="0.25">
      <c r="A3095" s="227" t="str">
        <f>TL[[#This Row],[Société]]&amp;" - "&amp;TL[[#This Row],[Compte]]</f>
        <v>R314 - 61566400</v>
      </c>
      <c r="B3095" s="233" t="s">
        <v>6150</v>
      </c>
      <c r="C3095" s="227" t="s">
        <v>2095</v>
      </c>
      <c r="D3095" s="233" t="s">
        <v>20</v>
      </c>
      <c r="E3095" s="233" t="s">
        <v>25</v>
      </c>
      <c r="F3095" s="227" t="s">
        <v>301</v>
      </c>
    </row>
    <row r="3096" spans="1:6" x14ac:dyDescent="0.25">
      <c r="A3096" s="227" t="str">
        <f>TL[[#This Row],[Société]]&amp;" - "&amp;TL[[#This Row],[Compte]]</f>
        <v>R314 - 61600100</v>
      </c>
      <c r="B3096" s="233" t="s">
        <v>2716</v>
      </c>
      <c r="C3096" s="227" t="s">
        <v>1197</v>
      </c>
      <c r="D3096" s="233" t="s">
        <v>40</v>
      </c>
      <c r="E3096" s="233" t="s">
        <v>45</v>
      </c>
      <c r="F3096" s="227" t="s">
        <v>301</v>
      </c>
    </row>
    <row r="3097" spans="1:6" x14ac:dyDescent="0.25">
      <c r="A3097" s="227" t="str">
        <f>TL[[#This Row],[Société]]&amp;" - "&amp;TL[[#This Row],[Compte]]</f>
        <v>R314 - 61600200</v>
      </c>
      <c r="B3097" s="233" t="s">
        <v>2731</v>
      </c>
      <c r="C3097" s="227" t="s">
        <v>1538</v>
      </c>
      <c r="D3097" s="233" t="s">
        <v>40</v>
      </c>
      <c r="E3097" s="233" t="s">
        <v>45</v>
      </c>
      <c r="F3097" s="227" t="s">
        <v>301</v>
      </c>
    </row>
    <row r="3098" spans="1:6" x14ac:dyDescent="0.25">
      <c r="A3098" s="227" t="str">
        <f>TL[[#This Row],[Société]]&amp;" - "&amp;TL[[#This Row],[Compte]]</f>
        <v>R314 - 61600300</v>
      </c>
      <c r="B3098" s="233" t="s">
        <v>3618</v>
      </c>
      <c r="C3098" s="227" t="s">
        <v>217</v>
      </c>
      <c r="D3098" s="233" t="s">
        <v>40</v>
      </c>
      <c r="E3098" s="233" t="s">
        <v>45</v>
      </c>
      <c r="F3098" s="227" t="s">
        <v>301</v>
      </c>
    </row>
    <row r="3099" spans="1:6" x14ac:dyDescent="0.25">
      <c r="A3099" s="227" t="str">
        <f>TL[[#This Row],[Société]]&amp;" - "&amp;TL[[#This Row],[Compte]]</f>
        <v>R314 - 61600500</v>
      </c>
      <c r="B3099" s="233" t="s">
        <v>3620</v>
      </c>
      <c r="C3099" s="227" t="s">
        <v>257</v>
      </c>
      <c r="D3099" s="233" t="s">
        <v>50</v>
      </c>
      <c r="E3099" s="233" t="s">
        <v>52</v>
      </c>
      <c r="F3099" s="227" t="s">
        <v>301</v>
      </c>
    </row>
    <row r="3100" spans="1:6" x14ac:dyDescent="0.25">
      <c r="A3100" s="227" t="str">
        <f>TL[[#This Row],[Société]]&amp;" - "&amp;TL[[#This Row],[Compte]]</f>
        <v>R314 - 61600600</v>
      </c>
      <c r="B3100" s="233" t="s">
        <v>3621</v>
      </c>
      <c r="C3100" s="227" t="s">
        <v>1199</v>
      </c>
      <c r="D3100" s="233" t="s">
        <v>40</v>
      </c>
      <c r="E3100" s="233" t="s">
        <v>45</v>
      </c>
      <c r="F3100" s="227" t="s">
        <v>301</v>
      </c>
    </row>
    <row r="3101" spans="1:6" x14ac:dyDescent="0.25">
      <c r="A3101" s="227" t="str">
        <f>TL[[#This Row],[Société]]&amp;" - "&amp;TL[[#This Row],[Compte]]</f>
        <v>R314 - 61600700</v>
      </c>
      <c r="B3101" s="233" t="s">
        <v>6151</v>
      </c>
      <c r="C3101" s="227" t="s">
        <v>1524</v>
      </c>
      <c r="D3101" s="233" t="s">
        <v>40</v>
      </c>
      <c r="E3101" s="233" t="s">
        <v>45</v>
      </c>
      <c r="F3101" s="227" t="s">
        <v>301</v>
      </c>
    </row>
    <row r="3102" spans="1:6" x14ac:dyDescent="0.25">
      <c r="A3102" s="227" t="str">
        <f>TL[[#This Row],[Société]]&amp;" - "&amp;TL[[#This Row],[Compte]]</f>
        <v>R314 - 61600800</v>
      </c>
      <c r="B3102" s="233" t="s">
        <v>3622</v>
      </c>
      <c r="C3102" s="227" t="s">
        <v>1444</v>
      </c>
      <c r="D3102" s="233" t="s">
        <v>40</v>
      </c>
      <c r="E3102" s="233" t="s">
        <v>45</v>
      </c>
      <c r="F3102" s="227" t="s">
        <v>301</v>
      </c>
    </row>
    <row r="3103" spans="1:6" x14ac:dyDescent="0.25">
      <c r="A3103" s="227" t="str">
        <f>TL[[#This Row],[Société]]&amp;" - "&amp;TL[[#This Row],[Compte]]</f>
        <v>R314 - 61810000</v>
      </c>
      <c r="B3103" s="233" t="s">
        <v>3623</v>
      </c>
      <c r="C3103" s="227" t="s">
        <v>305</v>
      </c>
      <c r="D3103" s="233" t="s">
        <v>20</v>
      </c>
      <c r="E3103" s="233" t="s">
        <v>25</v>
      </c>
      <c r="F3103" s="227" t="s">
        <v>301</v>
      </c>
    </row>
    <row r="3104" spans="1:6" x14ac:dyDescent="0.25">
      <c r="A3104" s="227" t="str">
        <f>TL[[#This Row],[Société]]&amp;" - "&amp;TL[[#This Row],[Compte]]</f>
        <v>R314 - 62100000</v>
      </c>
      <c r="B3104" s="233" t="s">
        <v>6152</v>
      </c>
      <c r="C3104" s="227" t="s">
        <v>6153</v>
      </c>
      <c r="E3104" s="233" t="s">
        <v>16</v>
      </c>
      <c r="F3104" s="227" t="s">
        <v>301</v>
      </c>
    </row>
    <row r="3105" spans="1:6" x14ac:dyDescent="0.25">
      <c r="A3105" s="227" t="str">
        <f>TL[[#This Row],[Société]]&amp;" - "&amp;TL[[#This Row],[Compte]]</f>
        <v>R314 - 62140100</v>
      </c>
      <c r="B3105" s="233" t="s">
        <v>3625</v>
      </c>
      <c r="C3105" s="227" t="s">
        <v>1200</v>
      </c>
      <c r="D3105" s="233" t="s">
        <v>12</v>
      </c>
      <c r="E3105" s="233" t="s">
        <v>71</v>
      </c>
      <c r="F3105" s="227" t="s">
        <v>301</v>
      </c>
    </row>
    <row r="3106" spans="1:6" x14ac:dyDescent="0.25">
      <c r="A3106" s="227" t="str">
        <f>TL[[#This Row],[Société]]&amp;" - "&amp;TL[[#This Row],[Compte]]</f>
        <v>R314 - 62140200</v>
      </c>
      <c r="B3106" s="233" t="s">
        <v>2635</v>
      </c>
      <c r="C3106" s="227" t="s">
        <v>1201</v>
      </c>
      <c r="D3106" s="233" t="s">
        <v>13</v>
      </c>
      <c r="E3106" s="233" t="s">
        <v>12</v>
      </c>
      <c r="F3106" s="227" t="s">
        <v>301</v>
      </c>
    </row>
    <row r="3107" spans="1:6" x14ac:dyDescent="0.25">
      <c r="A3107" s="227" t="str">
        <f>TL[[#This Row],[Société]]&amp;" - "&amp;TL[[#This Row],[Compte]]</f>
        <v>R314 - 62140300</v>
      </c>
      <c r="B3107" s="233" t="s">
        <v>6154</v>
      </c>
      <c r="C3107" s="227" t="s">
        <v>1202</v>
      </c>
      <c r="D3107" s="233" t="s">
        <v>50</v>
      </c>
      <c r="E3107" s="233" t="s">
        <v>16</v>
      </c>
      <c r="F3107" s="227" t="s">
        <v>301</v>
      </c>
    </row>
    <row r="3108" spans="1:6" x14ac:dyDescent="0.25">
      <c r="A3108" s="227" t="str">
        <f>TL[[#This Row],[Société]]&amp;" - "&amp;TL[[#This Row],[Compte]]</f>
        <v>R314 - 62140400</v>
      </c>
      <c r="B3108" s="233" t="s">
        <v>3626</v>
      </c>
      <c r="C3108" s="227" t="s">
        <v>1323</v>
      </c>
      <c r="D3108" s="233" t="s">
        <v>50</v>
      </c>
      <c r="E3108" s="233" t="s">
        <v>16</v>
      </c>
      <c r="F3108" s="227" t="s">
        <v>301</v>
      </c>
    </row>
    <row r="3109" spans="1:6" x14ac:dyDescent="0.25">
      <c r="A3109" s="227" t="str">
        <f>TL[[#This Row],[Société]]&amp;" - "&amp;TL[[#This Row],[Compte]]</f>
        <v>R314 - 62140500</v>
      </c>
      <c r="B3109" s="233" t="s">
        <v>2649</v>
      </c>
      <c r="C3109" s="227" t="s">
        <v>2416</v>
      </c>
      <c r="D3109" s="239" t="s">
        <v>50</v>
      </c>
      <c r="E3109" s="233" t="s">
        <v>16</v>
      </c>
      <c r="F3109" s="227" t="s">
        <v>301</v>
      </c>
    </row>
    <row r="3110" spans="1:6" x14ac:dyDescent="0.25">
      <c r="A3110" s="227" t="str">
        <f>TL[[#This Row],[Société]]&amp;" - "&amp;TL[[#This Row],[Compte]]</f>
        <v>R314 - 62140600</v>
      </c>
      <c r="B3110" s="233" t="s">
        <v>2650</v>
      </c>
      <c r="C3110" s="227" t="s">
        <v>2958</v>
      </c>
      <c r="D3110" s="239" t="s">
        <v>50</v>
      </c>
      <c r="E3110" s="233" t="s">
        <v>13</v>
      </c>
      <c r="F3110" s="227" t="s">
        <v>301</v>
      </c>
    </row>
    <row r="3111" spans="1:6" x14ac:dyDescent="0.25">
      <c r="A3111" s="227" t="str">
        <f>TL[[#This Row],[Société]]&amp;" - "&amp;TL[[#This Row],[Compte]]</f>
        <v>R314 - 62200000</v>
      </c>
      <c r="B3111" s="233" t="s">
        <v>3630</v>
      </c>
      <c r="C3111" s="227" t="s">
        <v>399</v>
      </c>
      <c r="D3111" s="233" t="s">
        <v>20</v>
      </c>
      <c r="E3111" s="233" t="s">
        <v>44</v>
      </c>
      <c r="F3111" s="227" t="s">
        <v>301</v>
      </c>
    </row>
    <row r="3112" spans="1:6" x14ac:dyDescent="0.25">
      <c r="A3112" s="227" t="str">
        <f>TL[[#This Row],[Société]]&amp;" - "&amp;TL[[#This Row],[Compte]]</f>
        <v>R314 - 62260000</v>
      </c>
      <c r="B3112" s="233" t="s">
        <v>2714</v>
      </c>
      <c r="C3112" s="227" t="s">
        <v>1203</v>
      </c>
      <c r="D3112" s="233" t="s">
        <v>39</v>
      </c>
      <c r="E3112" s="233" t="s">
        <v>44</v>
      </c>
      <c r="F3112" s="227" t="s">
        <v>301</v>
      </c>
    </row>
    <row r="3113" spans="1:6" x14ac:dyDescent="0.25">
      <c r="A3113" s="227" t="str">
        <f>TL[[#This Row],[Société]]&amp;" - "&amp;TL[[#This Row],[Compte]]</f>
        <v>R314 - 62261000</v>
      </c>
      <c r="B3113" s="233" t="s">
        <v>2715</v>
      </c>
      <c r="C3113" s="227" t="s">
        <v>162</v>
      </c>
      <c r="D3113" s="233" t="s">
        <v>39</v>
      </c>
      <c r="E3113" s="233" t="s">
        <v>44</v>
      </c>
      <c r="F3113" s="227" t="s">
        <v>301</v>
      </c>
    </row>
    <row r="3114" spans="1:6" x14ac:dyDescent="0.25">
      <c r="A3114" s="227" t="str">
        <f>TL[[#This Row],[Société]]&amp;" - "&amp;TL[[#This Row],[Compte]]</f>
        <v>R314 - 62265000</v>
      </c>
      <c r="B3114" s="233" t="s">
        <v>6155</v>
      </c>
      <c r="C3114" s="227" t="s">
        <v>1204</v>
      </c>
      <c r="D3114" s="233" t="s">
        <v>39</v>
      </c>
      <c r="E3114" s="233" t="s">
        <v>44</v>
      </c>
      <c r="F3114" s="227" t="s">
        <v>301</v>
      </c>
    </row>
    <row r="3115" spans="1:6" x14ac:dyDescent="0.25">
      <c r="A3115" s="227" t="str">
        <f>TL[[#This Row],[Société]]&amp;" - "&amp;TL[[#This Row],[Compte]]</f>
        <v>R314 - 62266000</v>
      </c>
      <c r="B3115" s="233" t="s">
        <v>6156</v>
      </c>
      <c r="C3115" s="227" t="s">
        <v>1205</v>
      </c>
      <c r="D3115" s="233" t="s">
        <v>39</v>
      </c>
      <c r="E3115" s="233" t="s">
        <v>44</v>
      </c>
      <c r="F3115" s="227" t="s">
        <v>301</v>
      </c>
    </row>
    <row r="3116" spans="1:6" x14ac:dyDescent="0.25">
      <c r="A3116" s="227" t="str">
        <f>TL[[#This Row],[Société]]&amp;" - "&amp;TL[[#This Row],[Compte]]</f>
        <v>R314 - 62267000</v>
      </c>
      <c r="B3116" s="233" t="s">
        <v>6157</v>
      </c>
      <c r="C3116" s="227" t="s">
        <v>1526</v>
      </c>
      <c r="D3116" s="233" t="s">
        <v>39</v>
      </c>
      <c r="E3116" s="233" t="s">
        <v>29</v>
      </c>
      <c r="F3116" s="227" t="s">
        <v>301</v>
      </c>
    </row>
    <row r="3117" spans="1:6" x14ac:dyDescent="0.25">
      <c r="A3117" s="227" t="str">
        <f>TL[[#This Row],[Société]]&amp;" - "&amp;TL[[#This Row],[Compte]]</f>
        <v>R314 - 62268000</v>
      </c>
      <c r="B3117" s="233" t="s">
        <v>6158</v>
      </c>
      <c r="C3117" s="227" t="s">
        <v>1548</v>
      </c>
      <c r="D3117" s="233" t="s">
        <v>39</v>
      </c>
      <c r="E3117" s="233" t="s">
        <v>29</v>
      </c>
      <c r="F3117" s="227" t="s">
        <v>301</v>
      </c>
    </row>
    <row r="3118" spans="1:6" x14ac:dyDescent="0.25">
      <c r="A3118" s="227" t="str">
        <f>TL[[#This Row],[Société]]&amp;" - "&amp;TL[[#This Row],[Compte]]</f>
        <v>R314 - 62269000</v>
      </c>
      <c r="B3118" s="233" t="s">
        <v>6159</v>
      </c>
      <c r="C3118" s="227" t="s">
        <v>1578</v>
      </c>
      <c r="D3118" s="233" t="s">
        <v>12</v>
      </c>
      <c r="E3118" s="233" t="s">
        <v>44</v>
      </c>
      <c r="F3118" s="227" t="s">
        <v>301</v>
      </c>
    </row>
    <row r="3119" spans="1:6" x14ac:dyDescent="0.25">
      <c r="A3119" s="227" t="str">
        <f>TL[[#This Row],[Société]]&amp;" - "&amp;TL[[#This Row],[Compte]]</f>
        <v>R314 - 62270000</v>
      </c>
      <c r="B3119" s="233" t="s">
        <v>3634</v>
      </c>
      <c r="C3119" s="227" t="s">
        <v>317</v>
      </c>
      <c r="D3119" s="233" t="s">
        <v>39</v>
      </c>
      <c r="E3119" s="233" t="s">
        <v>44</v>
      </c>
      <c r="F3119" s="227" t="s">
        <v>301</v>
      </c>
    </row>
    <row r="3120" spans="1:6" x14ac:dyDescent="0.25">
      <c r="A3120" s="227" t="str">
        <f>TL[[#This Row],[Société]]&amp;" - "&amp;TL[[#This Row],[Compte]]</f>
        <v>R314 - 62300000</v>
      </c>
      <c r="B3120" s="233" t="s">
        <v>2695</v>
      </c>
      <c r="C3120" s="227" t="s">
        <v>153</v>
      </c>
      <c r="D3120" s="233" t="s">
        <v>17</v>
      </c>
      <c r="E3120" s="233" t="s">
        <v>30</v>
      </c>
      <c r="F3120" s="227" t="s">
        <v>301</v>
      </c>
    </row>
    <row r="3121" spans="1:6" x14ac:dyDescent="0.25">
      <c r="A3121" s="227" t="str">
        <f>TL[[#This Row],[Société]]&amp;" - "&amp;TL[[#This Row],[Compte]]</f>
        <v>R314 - 62300200</v>
      </c>
      <c r="B3121" s="233" t="s">
        <v>2696</v>
      </c>
      <c r="C3121" s="227" t="s">
        <v>215</v>
      </c>
      <c r="D3121" s="233" t="s">
        <v>18</v>
      </c>
      <c r="E3121" s="233" t="s">
        <v>32</v>
      </c>
      <c r="F3121" s="227" t="s">
        <v>301</v>
      </c>
    </row>
    <row r="3122" spans="1:6" x14ac:dyDescent="0.25">
      <c r="A3122" s="227" t="str">
        <f>TL[[#This Row],[Société]]&amp;" - "&amp;TL[[#This Row],[Compte]]</f>
        <v>R314 - 62310000</v>
      </c>
      <c r="B3122" s="233" t="s">
        <v>3636</v>
      </c>
      <c r="C3122" s="227" t="s">
        <v>1206</v>
      </c>
      <c r="D3122" s="233" t="s">
        <v>18</v>
      </c>
      <c r="E3122" s="233" t="s">
        <v>32</v>
      </c>
      <c r="F3122" s="227" t="s">
        <v>301</v>
      </c>
    </row>
    <row r="3123" spans="1:6" x14ac:dyDescent="0.25">
      <c r="A3123" s="227" t="str">
        <f>TL[[#This Row],[Société]]&amp;" - "&amp;TL[[#This Row],[Compte]]</f>
        <v>R314 - 62320000</v>
      </c>
      <c r="B3123" s="233" t="s">
        <v>3637</v>
      </c>
      <c r="C3123" s="227" t="s">
        <v>754</v>
      </c>
      <c r="D3123" s="233" t="s">
        <v>18</v>
      </c>
      <c r="E3123" s="233" t="s">
        <v>32</v>
      </c>
      <c r="F3123" s="227" t="s">
        <v>301</v>
      </c>
    </row>
    <row r="3124" spans="1:6" x14ac:dyDescent="0.25">
      <c r="A3124" s="227" t="str">
        <f>TL[[#This Row],[Société]]&amp;" - "&amp;TL[[#This Row],[Compte]]</f>
        <v>R314 - 62340000</v>
      </c>
      <c r="B3124" s="233" t="s">
        <v>2697</v>
      </c>
      <c r="C3124" s="227" t="s">
        <v>228</v>
      </c>
      <c r="D3124" s="233" t="s">
        <v>18</v>
      </c>
      <c r="E3124" s="233" t="s">
        <v>32</v>
      </c>
      <c r="F3124" s="227" t="s">
        <v>301</v>
      </c>
    </row>
    <row r="3125" spans="1:6" x14ac:dyDescent="0.25">
      <c r="A3125" s="227" t="str">
        <f>TL[[#This Row],[Société]]&amp;" - "&amp;TL[[#This Row],[Compte]]</f>
        <v>R314 - 62340100</v>
      </c>
      <c r="B3125" s="233" t="s">
        <v>2698</v>
      </c>
      <c r="C3125" s="227" t="s">
        <v>226</v>
      </c>
      <c r="D3125" s="233" t="s">
        <v>18</v>
      </c>
      <c r="E3125" s="233" t="s">
        <v>32</v>
      </c>
      <c r="F3125" s="227" t="s">
        <v>301</v>
      </c>
    </row>
    <row r="3126" spans="1:6" x14ac:dyDescent="0.25">
      <c r="A3126" s="227" t="str">
        <f>TL[[#This Row],[Société]]&amp;" - "&amp;TL[[#This Row],[Compte]]</f>
        <v>R314 - 62341500</v>
      </c>
      <c r="B3126" s="233" t="s">
        <v>2699</v>
      </c>
      <c r="C3126" s="227" t="s">
        <v>254</v>
      </c>
      <c r="D3126" s="233" t="s">
        <v>18</v>
      </c>
      <c r="E3126" s="233" t="s">
        <v>32</v>
      </c>
      <c r="F3126" s="227" t="s">
        <v>301</v>
      </c>
    </row>
    <row r="3127" spans="1:6" x14ac:dyDescent="0.25">
      <c r="A3127" s="227" t="str">
        <f>TL[[#This Row],[Société]]&amp;" - "&amp;TL[[#This Row],[Compte]]</f>
        <v>R314 - 62380000</v>
      </c>
      <c r="B3127" s="233" t="s">
        <v>3641</v>
      </c>
      <c r="C3127" s="227" t="s">
        <v>1207</v>
      </c>
      <c r="D3127" s="233" t="s">
        <v>18</v>
      </c>
      <c r="E3127" s="233" t="s">
        <v>32</v>
      </c>
      <c r="F3127" s="227" t="s">
        <v>301</v>
      </c>
    </row>
    <row r="3128" spans="1:6" x14ac:dyDescent="0.25">
      <c r="A3128" s="227" t="str">
        <f>TL[[#This Row],[Société]]&amp;" - "&amp;TL[[#This Row],[Compte]]</f>
        <v>R314 - 62410000</v>
      </c>
      <c r="B3128" s="233" t="s">
        <v>3642</v>
      </c>
      <c r="C3128" s="227" t="s">
        <v>261</v>
      </c>
      <c r="D3128" s="233" t="s">
        <v>0</v>
      </c>
      <c r="E3128" s="233" t="s">
        <v>7</v>
      </c>
      <c r="F3128" s="227" t="s">
        <v>301</v>
      </c>
    </row>
    <row r="3129" spans="1:6" x14ac:dyDescent="0.25">
      <c r="A3129" s="227" t="str">
        <f>TL[[#This Row],[Société]]&amp;" - "&amp;TL[[#This Row],[Compte]]</f>
        <v>R314 - 62510000</v>
      </c>
      <c r="B3129" s="233" t="s">
        <v>2705</v>
      </c>
      <c r="C3129" s="227" t="s">
        <v>2960</v>
      </c>
      <c r="D3129" s="239" t="s">
        <v>16</v>
      </c>
      <c r="E3129" s="233" t="s">
        <v>2982</v>
      </c>
      <c r="F3129" s="227" t="s">
        <v>301</v>
      </c>
    </row>
    <row r="3130" spans="1:6" x14ac:dyDescent="0.25">
      <c r="A3130" s="227" t="str">
        <f>TL[[#This Row],[Société]]&amp;" - "&amp;TL[[#This Row],[Compte]]</f>
        <v>R314 - 62510200</v>
      </c>
      <c r="B3130" s="233" t="s">
        <v>6160</v>
      </c>
      <c r="C3130" s="227" t="s">
        <v>1208</v>
      </c>
      <c r="D3130" s="233" t="s">
        <v>16</v>
      </c>
      <c r="E3130" s="233" t="s">
        <v>2979</v>
      </c>
      <c r="F3130" s="227" t="s">
        <v>301</v>
      </c>
    </row>
    <row r="3131" spans="1:6" x14ac:dyDescent="0.25">
      <c r="A3131" s="227" t="str">
        <f>TL[[#This Row],[Société]]&amp;" - "&amp;TL[[#This Row],[Compte]]</f>
        <v>R314 - 62510300</v>
      </c>
      <c r="B3131" s="233" t="s">
        <v>3644</v>
      </c>
      <c r="C3131" s="227" t="s">
        <v>1209</v>
      </c>
      <c r="D3131" s="233" t="s">
        <v>289</v>
      </c>
      <c r="E3131" s="233" t="s">
        <v>288</v>
      </c>
      <c r="F3131" s="227" t="s">
        <v>301</v>
      </c>
    </row>
    <row r="3132" spans="1:6" x14ac:dyDescent="0.25">
      <c r="A3132" s="227" t="str">
        <f>TL[[#This Row],[Société]]&amp;" - "&amp;TL[[#This Row],[Compte]]</f>
        <v>R314 - 62510400</v>
      </c>
      <c r="B3132" s="233" t="s">
        <v>3645</v>
      </c>
      <c r="C3132" s="227" t="s">
        <v>1210</v>
      </c>
      <c r="D3132" s="233" t="s">
        <v>147</v>
      </c>
      <c r="E3132" s="233" t="s">
        <v>288</v>
      </c>
      <c r="F3132" s="227" t="s">
        <v>301</v>
      </c>
    </row>
    <row r="3133" spans="1:6" x14ac:dyDescent="0.25">
      <c r="A3133" s="227" t="str">
        <f>TL[[#This Row],[Société]]&amp;" - "&amp;TL[[#This Row],[Compte]]</f>
        <v>R314 - 62520100</v>
      </c>
      <c r="B3133" s="233" t="s">
        <v>3646</v>
      </c>
      <c r="C3133" s="227" t="s">
        <v>279</v>
      </c>
      <c r="D3133" s="233" t="s">
        <v>16</v>
      </c>
      <c r="E3133" s="233" t="s">
        <v>2979</v>
      </c>
      <c r="F3133" s="227" t="s">
        <v>301</v>
      </c>
    </row>
    <row r="3134" spans="1:6" x14ac:dyDescent="0.25">
      <c r="A3134" s="227" t="str">
        <f>TL[[#This Row],[Société]]&amp;" - "&amp;TL[[#This Row],[Compte]]</f>
        <v>R314 - 62520400</v>
      </c>
      <c r="B3134" s="233" t="s">
        <v>3647</v>
      </c>
      <c r="C3134" s="227" t="s">
        <v>1211</v>
      </c>
      <c r="D3134" s="233" t="s">
        <v>16</v>
      </c>
      <c r="E3134" s="233" t="s">
        <v>2979</v>
      </c>
      <c r="F3134" s="227" t="s">
        <v>301</v>
      </c>
    </row>
    <row r="3135" spans="1:6" x14ac:dyDescent="0.25">
      <c r="A3135" s="227" t="str">
        <f>TL[[#This Row],[Société]]&amp;" - "&amp;TL[[#This Row],[Compte]]</f>
        <v>R314 - 62521100</v>
      </c>
      <c r="B3135" s="233" t="s">
        <v>6161</v>
      </c>
      <c r="C3135" s="227" t="s">
        <v>1212</v>
      </c>
      <c r="D3135" s="233" t="s">
        <v>50</v>
      </c>
      <c r="E3135" s="233" t="s">
        <v>2979</v>
      </c>
      <c r="F3135" s="227" t="s">
        <v>301</v>
      </c>
    </row>
    <row r="3136" spans="1:6" x14ac:dyDescent="0.25">
      <c r="A3136" s="227" t="str">
        <f>TL[[#This Row],[Société]]&amp;" - "&amp;TL[[#This Row],[Compte]]</f>
        <v>R314 - 62570100</v>
      </c>
      <c r="B3136" s="233" t="s">
        <v>3648</v>
      </c>
      <c r="C3136" s="227" t="s">
        <v>1213</v>
      </c>
      <c r="D3136" s="233" t="s">
        <v>32</v>
      </c>
      <c r="E3136" s="233" t="s">
        <v>2982</v>
      </c>
      <c r="F3136" s="227" t="s">
        <v>301</v>
      </c>
    </row>
    <row r="3137" spans="1:6" x14ac:dyDescent="0.25">
      <c r="A3137" s="227" t="str">
        <f>TL[[#This Row],[Société]]&amp;" - "&amp;TL[[#This Row],[Compte]]</f>
        <v>R314 - 62600100</v>
      </c>
      <c r="B3137" s="233" t="s">
        <v>3649</v>
      </c>
      <c r="C3137" s="227" t="s">
        <v>611</v>
      </c>
      <c r="D3137" s="233" t="s">
        <v>27</v>
      </c>
      <c r="E3137" s="233" t="s">
        <v>34</v>
      </c>
      <c r="F3137" s="227" t="s">
        <v>301</v>
      </c>
    </row>
    <row r="3138" spans="1:6" x14ac:dyDescent="0.25">
      <c r="A3138" s="227" t="str">
        <f>TL[[#This Row],[Société]]&amp;" - "&amp;TL[[#This Row],[Compte]]</f>
        <v>R314 - 62600200</v>
      </c>
      <c r="B3138" s="233" t="s">
        <v>6162</v>
      </c>
      <c r="C3138" s="227" t="s">
        <v>1214</v>
      </c>
      <c r="D3138" s="233" t="s">
        <v>147</v>
      </c>
      <c r="E3138" s="233" t="s">
        <v>288</v>
      </c>
      <c r="F3138" s="227" t="s">
        <v>301</v>
      </c>
    </row>
    <row r="3139" spans="1:6" x14ac:dyDescent="0.25">
      <c r="A3139" s="227" t="str">
        <f>TL[[#This Row],[Société]]&amp;" - "&amp;TL[[#This Row],[Compte]]</f>
        <v>R314 - 62600300</v>
      </c>
      <c r="B3139" s="233" t="s">
        <v>3650</v>
      </c>
      <c r="C3139" s="227" t="s">
        <v>1215</v>
      </c>
      <c r="D3139" s="233" t="s">
        <v>27</v>
      </c>
      <c r="E3139" s="233" t="s">
        <v>34</v>
      </c>
      <c r="F3139" s="227" t="s">
        <v>301</v>
      </c>
    </row>
    <row r="3140" spans="1:6" x14ac:dyDescent="0.25">
      <c r="A3140" s="227" t="str">
        <f>TL[[#This Row],[Société]]&amp;" - "&amp;TL[[#This Row],[Compte]]</f>
        <v>R314 - 62600400</v>
      </c>
      <c r="B3140" s="233" t="s">
        <v>6163</v>
      </c>
      <c r="C3140" s="227" t="s">
        <v>1216</v>
      </c>
      <c r="F3140" s="227" t="s">
        <v>301</v>
      </c>
    </row>
    <row r="3141" spans="1:6" x14ac:dyDescent="0.25">
      <c r="A3141" s="227" t="str">
        <f>TL[[#This Row],[Société]]&amp;" - "&amp;TL[[#This Row],[Compte]]</f>
        <v>R314 - 62610000</v>
      </c>
      <c r="B3141" s="233" t="s">
        <v>3651</v>
      </c>
      <c r="C3141" s="227" t="s">
        <v>170</v>
      </c>
      <c r="D3141" s="233" t="s">
        <v>27</v>
      </c>
      <c r="E3141" s="233" t="s">
        <v>34</v>
      </c>
      <c r="F3141" s="227" t="s">
        <v>301</v>
      </c>
    </row>
    <row r="3142" spans="1:6" x14ac:dyDescent="0.25">
      <c r="A3142" s="227" t="str">
        <f>TL[[#This Row],[Société]]&amp;" - "&amp;TL[[#This Row],[Compte]]</f>
        <v>R314 - 62611000</v>
      </c>
      <c r="B3142" s="233" t="s">
        <v>6164</v>
      </c>
      <c r="C3142" s="227" t="s">
        <v>1217</v>
      </c>
      <c r="D3142" s="233" t="s">
        <v>152</v>
      </c>
      <c r="E3142" s="233" t="s">
        <v>34</v>
      </c>
      <c r="F3142" s="227" t="s">
        <v>301</v>
      </c>
    </row>
    <row r="3143" spans="1:6" x14ac:dyDescent="0.25">
      <c r="A3143" s="227" t="str">
        <f>TL[[#This Row],[Société]]&amp;" - "&amp;TL[[#This Row],[Compte]]</f>
        <v>R314 - 62620000</v>
      </c>
      <c r="B3143" s="233" t="s">
        <v>2702</v>
      </c>
      <c r="C3143" s="227" t="s">
        <v>1218</v>
      </c>
      <c r="D3143" s="233" t="s">
        <v>27</v>
      </c>
      <c r="E3143" s="233" t="s">
        <v>34</v>
      </c>
      <c r="F3143" s="227" t="s">
        <v>301</v>
      </c>
    </row>
    <row r="3144" spans="1:6" x14ac:dyDescent="0.25">
      <c r="A3144" s="227" t="str">
        <f>TL[[#This Row],[Société]]&amp;" - "&amp;TL[[#This Row],[Compte]]</f>
        <v>R314 - 62700100</v>
      </c>
      <c r="B3144" s="233" t="s">
        <v>3652</v>
      </c>
      <c r="C3144" s="227" t="s">
        <v>1219</v>
      </c>
      <c r="D3144" s="233" t="s">
        <v>47</v>
      </c>
      <c r="E3144" s="233" t="s">
        <v>21</v>
      </c>
      <c r="F3144" s="227" t="s">
        <v>301</v>
      </c>
    </row>
    <row r="3145" spans="1:6" x14ac:dyDescent="0.25">
      <c r="A3145" s="227" t="str">
        <f>TL[[#This Row],[Société]]&amp;" - "&amp;TL[[#This Row],[Compte]]</f>
        <v>R314 - 62700200</v>
      </c>
      <c r="B3145" s="233" t="s">
        <v>3653</v>
      </c>
      <c r="C3145" s="227" t="s">
        <v>1220</v>
      </c>
      <c r="D3145" s="233" t="s">
        <v>47</v>
      </c>
      <c r="E3145" s="233" t="s">
        <v>21</v>
      </c>
      <c r="F3145" s="227" t="s">
        <v>301</v>
      </c>
    </row>
    <row r="3146" spans="1:6" x14ac:dyDescent="0.25">
      <c r="A3146" s="227" t="str">
        <f>TL[[#This Row],[Société]]&amp;" - "&amp;TL[[#This Row],[Compte]]</f>
        <v>R314 - 62700300</v>
      </c>
      <c r="B3146" s="233" t="s">
        <v>3654</v>
      </c>
      <c r="C3146" s="227" t="s">
        <v>1221</v>
      </c>
      <c r="D3146" s="233" t="s">
        <v>47</v>
      </c>
      <c r="E3146" s="233" t="s">
        <v>21</v>
      </c>
      <c r="F3146" s="227" t="s">
        <v>301</v>
      </c>
    </row>
    <row r="3147" spans="1:6" x14ac:dyDescent="0.25">
      <c r="A3147" s="227" t="str">
        <f>TL[[#This Row],[Société]]&amp;" - "&amp;TL[[#This Row],[Compte]]</f>
        <v>R314 - 62700500</v>
      </c>
      <c r="B3147" s="233" t="s">
        <v>3655</v>
      </c>
      <c r="C3147" s="227" t="s">
        <v>1222</v>
      </c>
      <c r="D3147" s="233" t="s">
        <v>47</v>
      </c>
      <c r="E3147" s="233" t="s">
        <v>21</v>
      </c>
      <c r="F3147" s="227" t="s">
        <v>301</v>
      </c>
    </row>
    <row r="3148" spans="1:6" x14ac:dyDescent="0.25">
      <c r="A3148" s="227" t="str">
        <f>TL[[#This Row],[Société]]&amp;" - "&amp;TL[[#This Row],[Compte]]</f>
        <v>R314 - 62700600</v>
      </c>
      <c r="B3148" s="233" t="s">
        <v>6165</v>
      </c>
      <c r="C3148" s="227" t="s">
        <v>1223</v>
      </c>
      <c r="D3148" s="233" t="s">
        <v>47</v>
      </c>
      <c r="E3148" s="233" t="s">
        <v>21</v>
      </c>
      <c r="F3148" s="227" t="s">
        <v>301</v>
      </c>
    </row>
    <row r="3149" spans="1:6" x14ac:dyDescent="0.25">
      <c r="A3149" s="227" t="str">
        <f>TL[[#This Row],[Société]]&amp;" - "&amp;TL[[#This Row],[Compte]]</f>
        <v>R314 - 62700700</v>
      </c>
      <c r="B3149" s="233" t="s">
        <v>6166</v>
      </c>
      <c r="C3149" s="227" t="s">
        <v>1224</v>
      </c>
      <c r="D3149" s="233" t="s">
        <v>47</v>
      </c>
      <c r="E3149" s="233" t="s">
        <v>21</v>
      </c>
      <c r="F3149" s="227" t="s">
        <v>301</v>
      </c>
    </row>
    <row r="3150" spans="1:6" x14ac:dyDescent="0.25">
      <c r="A3150" s="227" t="str">
        <f>TL[[#This Row],[Société]]&amp;" - "&amp;TL[[#This Row],[Compte]]</f>
        <v>R314 - 62720000</v>
      </c>
      <c r="B3150" s="233" t="s">
        <v>2655</v>
      </c>
      <c r="C3150" s="227" t="s">
        <v>1574</v>
      </c>
      <c r="D3150" s="233" t="s">
        <v>47</v>
      </c>
      <c r="E3150" s="233" t="s">
        <v>21</v>
      </c>
      <c r="F3150" s="227" t="s">
        <v>301</v>
      </c>
    </row>
    <row r="3151" spans="1:6" x14ac:dyDescent="0.25">
      <c r="A3151" s="227" t="str">
        <f>TL[[#This Row],[Société]]&amp;" - "&amp;TL[[#This Row],[Compte]]</f>
        <v>R314 - 62780100</v>
      </c>
      <c r="B3151" s="233" t="s">
        <v>2656</v>
      </c>
      <c r="C3151" s="227" t="s">
        <v>258</v>
      </c>
      <c r="D3151" s="233" t="s">
        <v>47</v>
      </c>
      <c r="E3151" s="233" t="s">
        <v>21</v>
      </c>
      <c r="F3151" s="227" t="s">
        <v>301</v>
      </c>
    </row>
    <row r="3152" spans="1:6" x14ac:dyDescent="0.25">
      <c r="A3152" s="227" t="str">
        <f>TL[[#This Row],[Société]]&amp;" - "&amp;TL[[#This Row],[Compte]]</f>
        <v>R314 - 62780200</v>
      </c>
      <c r="B3152" s="233" t="s">
        <v>2657</v>
      </c>
      <c r="C3152" s="227" t="s">
        <v>6167</v>
      </c>
      <c r="D3152" s="233" t="s">
        <v>47</v>
      </c>
      <c r="E3152" s="233" t="s">
        <v>21</v>
      </c>
      <c r="F3152" s="227" t="s">
        <v>301</v>
      </c>
    </row>
    <row r="3153" spans="1:6" x14ac:dyDescent="0.25">
      <c r="A3153" s="227" t="str">
        <f>TL[[#This Row],[Société]]&amp;" - "&amp;TL[[#This Row],[Compte]]</f>
        <v>R314 - 62780300</v>
      </c>
      <c r="B3153" s="233" t="s">
        <v>2658</v>
      </c>
      <c r="C3153" s="227" t="s">
        <v>6168</v>
      </c>
      <c r="D3153" s="233" t="s">
        <v>47</v>
      </c>
      <c r="E3153" s="233" t="s">
        <v>21</v>
      </c>
      <c r="F3153" s="227" t="s">
        <v>301</v>
      </c>
    </row>
    <row r="3154" spans="1:6" x14ac:dyDescent="0.25">
      <c r="A3154" s="227" t="str">
        <f>TL[[#This Row],[Société]]&amp;" - "&amp;TL[[#This Row],[Compte]]</f>
        <v>R314 - 62780500</v>
      </c>
      <c r="B3154" s="233" t="s">
        <v>3656</v>
      </c>
      <c r="C3154" s="227" t="s">
        <v>6169</v>
      </c>
      <c r="D3154" s="233" t="s">
        <v>47</v>
      </c>
      <c r="E3154" s="233" t="s">
        <v>21</v>
      </c>
      <c r="F3154" s="227" t="s">
        <v>301</v>
      </c>
    </row>
    <row r="3155" spans="1:6" x14ac:dyDescent="0.25">
      <c r="A3155" s="227" t="str">
        <f>TL[[#This Row],[Société]]&amp;" - "&amp;TL[[#This Row],[Compte]]</f>
        <v>R314 - 62780600</v>
      </c>
      <c r="B3155" s="233" t="s">
        <v>3657</v>
      </c>
      <c r="C3155" s="227" t="s">
        <v>1075</v>
      </c>
      <c r="D3155" s="233" t="s">
        <v>47</v>
      </c>
      <c r="E3155" s="233" t="s">
        <v>21</v>
      </c>
      <c r="F3155" s="227" t="s">
        <v>301</v>
      </c>
    </row>
    <row r="3156" spans="1:6" x14ac:dyDescent="0.25">
      <c r="A3156" s="227" t="str">
        <f>TL[[#This Row],[Société]]&amp;" - "&amp;TL[[#This Row],[Compte]]</f>
        <v>R314 - 62780700</v>
      </c>
      <c r="B3156" s="233" t="s">
        <v>6170</v>
      </c>
      <c r="C3156" s="227" t="s">
        <v>1072</v>
      </c>
      <c r="D3156" s="233" t="s">
        <v>47</v>
      </c>
      <c r="E3156" s="233" t="s">
        <v>21</v>
      </c>
      <c r="F3156" s="227" t="s">
        <v>301</v>
      </c>
    </row>
    <row r="3157" spans="1:6" x14ac:dyDescent="0.25">
      <c r="A3157" s="227" t="str">
        <f>TL[[#This Row],[Société]]&amp;" - "&amp;TL[[#This Row],[Compte]]</f>
        <v>R314 - 62802300</v>
      </c>
      <c r="B3157" s="233" t="s">
        <v>2706</v>
      </c>
      <c r="C3157" s="227" t="s">
        <v>303</v>
      </c>
      <c r="D3157" s="233" t="s">
        <v>32</v>
      </c>
      <c r="E3157" s="233" t="s">
        <v>2982</v>
      </c>
      <c r="F3157" s="227" t="s">
        <v>301</v>
      </c>
    </row>
    <row r="3158" spans="1:6" x14ac:dyDescent="0.25">
      <c r="A3158" s="227" t="str">
        <f>TL[[#This Row],[Société]]&amp;" - "&amp;TL[[#This Row],[Compte]]</f>
        <v>R314 - 62820000</v>
      </c>
      <c r="B3158" s="233" t="s">
        <v>3658</v>
      </c>
      <c r="C3158" s="227" t="s">
        <v>304</v>
      </c>
      <c r="D3158" s="233" t="s">
        <v>32</v>
      </c>
      <c r="E3158" s="233" t="s">
        <v>2982</v>
      </c>
      <c r="F3158" s="227" t="s">
        <v>301</v>
      </c>
    </row>
    <row r="3159" spans="1:6" x14ac:dyDescent="0.25">
      <c r="A3159" s="227" t="str">
        <f>TL[[#This Row],[Société]]&amp;" - "&amp;TL[[#This Row],[Compte]]</f>
        <v>R314 - 62830000</v>
      </c>
      <c r="B3159" s="233" t="s">
        <v>3659</v>
      </c>
      <c r="C3159" s="227" t="s">
        <v>1225</v>
      </c>
      <c r="D3159" s="233" t="s">
        <v>147</v>
      </c>
      <c r="E3159" s="233" t="s">
        <v>288</v>
      </c>
      <c r="F3159" s="227" t="s">
        <v>301</v>
      </c>
    </row>
    <row r="3160" spans="1:6" x14ac:dyDescent="0.25">
      <c r="A3160" s="227" t="str">
        <f>TL[[#This Row],[Société]]&amp;" - "&amp;TL[[#This Row],[Compte]]</f>
        <v>R314 - 62840000</v>
      </c>
      <c r="B3160" s="233" t="s">
        <v>2691</v>
      </c>
      <c r="C3160" s="227" t="s">
        <v>166</v>
      </c>
      <c r="D3160" s="233" t="s">
        <v>42</v>
      </c>
      <c r="E3160" s="233" t="s">
        <v>25</v>
      </c>
      <c r="F3160" s="227" t="s">
        <v>301</v>
      </c>
    </row>
    <row r="3161" spans="1:6" x14ac:dyDescent="0.25">
      <c r="A3161" s="227" t="str">
        <f>TL[[#This Row],[Société]]&amp;" - "&amp;TL[[#This Row],[Compte]]</f>
        <v>R314 - 62850000</v>
      </c>
      <c r="B3161" s="233" t="s">
        <v>2739</v>
      </c>
      <c r="C3161" s="227" t="s">
        <v>2110</v>
      </c>
      <c r="D3161" s="233" t="s">
        <v>147</v>
      </c>
      <c r="E3161" s="233" t="s">
        <v>288</v>
      </c>
      <c r="F3161" s="227" t="s">
        <v>301</v>
      </c>
    </row>
    <row r="3162" spans="1:6" x14ac:dyDescent="0.25">
      <c r="A3162" s="227" t="str">
        <f>TL[[#This Row],[Société]]&amp;" - "&amp;TL[[#This Row],[Compte]]</f>
        <v>R314 - 63300000</v>
      </c>
      <c r="B3162" s="233" t="s">
        <v>6171</v>
      </c>
      <c r="C3162" s="227" t="s">
        <v>1226</v>
      </c>
      <c r="D3162" s="233" t="s">
        <v>42</v>
      </c>
      <c r="E3162" s="233" t="s">
        <v>47</v>
      </c>
      <c r="F3162" s="227" t="s">
        <v>301</v>
      </c>
    </row>
    <row r="3163" spans="1:6" x14ac:dyDescent="0.25">
      <c r="A3163" s="227" t="str">
        <f>TL[[#This Row],[Société]]&amp;" - "&amp;TL[[#This Row],[Compte]]</f>
        <v>R314 - 63330000</v>
      </c>
      <c r="B3163" s="233" t="s">
        <v>2717</v>
      </c>
      <c r="C3163" s="227" t="s">
        <v>1227</v>
      </c>
      <c r="D3163" s="233" t="s">
        <v>42</v>
      </c>
      <c r="E3163" s="233" t="s">
        <v>47</v>
      </c>
      <c r="F3163" s="227" t="s">
        <v>301</v>
      </c>
    </row>
    <row r="3164" spans="1:6" x14ac:dyDescent="0.25">
      <c r="A3164" s="227" t="str">
        <f>TL[[#This Row],[Société]]&amp;" - "&amp;TL[[#This Row],[Compte]]</f>
        <v>R314 - 63340000</v>
      </c>
      <c r="B3164" s="233" t="s">
        <v>3662</v>
      </c>
      <c r="C3164" s="227" t="s">
        <v>1228</v>
      </c>
      <c r="D3164" s="233" t="s">
        <v>42</v>
      </c>
      <c r="E3164" s="233" t="s">
        <v>47</v>
      </c>
      <c r="F3164" s="227" t="s">
        <v>301</v>
      </c>
    </row>
    <row r="3165" spans="1:6" x14ac:dyDescent="0.25">
      <c r="A3165" s="227" t="str">
        <f>TL[[#This Row],[Société]]&amp;" - "&amp;TL[[#This Row],[Compte]]</f>
        <v>R314 - 63350000</v>
      </c>
      <c r="B3165" s="233" t="s">
        <v>2718</v>
      </c>
      <c r="C3165" s="227" t="s">
        <v>307</v>
      </c>
      <c r="D3165" s="233" t="s">
        <v>42</v>
      </c>
      <c r="E3165" s="233" t="s">
        <v>47</v>
      </c>
      <c r="F3165" s="227" t="s">
        <v>301</v>
      </c>
    </row>
    <row r="3166" spans="1:6" x14ac:dyDescent="0.25">
      <c r="A3166" s="227" t="str">
        <f>TL[[#This Row],[Société]]&amp;" - "&amp;TL[[#This Row],[Compte]]</f>
        <v>R314 - 63511000</v>
      </c>
      <c r="B3166" s="233" t="s">
        <v>3663</v>
      </c>
      <c r="C3166" s="227" t="s">
        <v>612</v>
      </c>
      <c r="D3166" s="233" t="s">
        <v>42</v>
      </c>
      <c r="E3166" s="233" t="s">
        <v>47</v>
      </c>
      <c r="F3166" s="227" t="s">
        <v>301</v>
      </c>
    </row>
    <row r="3167" spans="1:6" x14ac:dyDescent="0.25">
      <c r="A3167" s="227" t="str">
        <f>TL[[#This Row],[Société]]&amp;" - "&amp;TL[[#This Row],[Compte]]</f>
        <v>R314 - 63511100</v>
      </c>
      <c r="B3167" s="233" t="s">
        <v>2719</v>
      </c>
      <c r="C3167" s="227" t="s">
        <v>1229</v>
      </c>
      <c r="D3167" s="233" t="s">
        <v>42</v>
      </c>
      <c r="E3167" s="233" t="s">
        <v>47</v>
      </c>
      <c r="F3167" s="227" t="s">
        <v>301</v>
      </c>
    </row>
    <row r="3168" spans="1:6" x14ac:dyDescent="0.25">
      <c r="A3168" s="227" t="str">
        <f>TL[[#This Row],[Société]]&amp;" - "&amp;TL[[#This Row],[Compte]]</f>
        <v>R314 - 63511200</v>
      </c>
      <c r="B3168" s="233" t="s">
        <v>2720</v>
      </c>
      <c r="C3168" s="227" t="s">
        <v>1230</v>
      </c>
      <c r="D3168" s="233" t="s">
        <v>42</v>
      </c>
      <c r="E3168" s="233" t="s">
        <v>47</v>
      </c>
      <c r="F3168" s="227" t="s">
        <v>301</v>
      </c>
    </row>
    <row r="3169" spans="1:6" x14ac:dyDescent="0.25">
      <c r="A3169" s="227" t="str">
        <f>TL[[#This Row],[Société]]&amp;" - "&amp;TL[[#This Row],[Compte]]</f>
        <v>R314 - 63512000</v>
      </c>
      <c r="B3169" s="233" t="s">
        <v>3664</v>
      </c>
      <c r="C3169" s="227" t="s">
        <v>1231</v>
      </c>
      <c r="D3169" s="233" t="s">
        <v>42</v>
      </c>
      <c r="E3169" s="233" t="s">
        <v>47</v>
      </c>
      <c r="F3169" s="227" t="s">
        <v>301</v>
      </c>
    </row>
    <row r="3170" spans="1:6" x14ac:dyDescent="0.25">
      <c r="A3170" s="227" t="str">
        <f>TL[[#This Row],[Société]]&amp;" - "&amp;TL[[#This Row],[Compte]]</f>
        <v>R314 - 63513000</v>
      </c>
      <c r="B3170" s="233" t="s">
        <v>3665</v>
      </c>
      <c r="C3170" s="227" t="s">
        <v>1232</v>
      </c>
      <c r="D3170" s="233" t="s">
        <v>42</v>
      </c>
      <c r="E3170" s="233" t="s">
        <v>47</v>
      </c>
      <c r="F3170" s="227" t="s">
        <v>301</v>
      </c>
    </row>
    <row r="3171" spans="1:6" x14ac:dyDescent="0.25">
      <c r="A3171" s="227" t="str">
        <f>TL[[#This Row],[Société]]&amp;" - "&amp;TL[[#This Row],[Compte]]</f>
        <v>R314 - 63514000</v>
      </c>
      <c r="B3171" s="233" t="s">
        <v>2721</v>
      </c>
      <c r="C3171" s="227" t="s">
        <v>1073</v>
      </c>
      <c r="D3171" s="233" t="s">
        <v>42</v>
      </c>
      <c r="E3171" s="233" t="s">
        <v>52</v>
      </c>
      <c r="F3171" s="227" t="s">
        <v>301</v>
      </c>
    </row>
    <row r="3172" spans="1:6" x14ac:dyDescent="0.25">
      <c r="A3172" s="227" t="str">
        <f>TL[[#This Row],[Société]]&amp;" - "&amp;TL[[#This Row],[Compte]]</f>
        <v>R314 - 63543000</v>
      </c>
      <c r="B3172" s="233" t="s">
        <v>6172</v>
      </c>
      <c r="C3172" s="227" t="s">
        <v>1233</v>
      </c>
      <c r="D3172" s="233" t="s">
        <v>42</v>
      </c>
      <c r="E3172" s="233" t="s">
        <v>47</v>
      </c>
      <c r="F3172" s="227" t="s">
        <v>301</v>
      </c>
    </row>
    <row r="3173" spans="1:6" x14ac:dyDescent="0.25">
      <c r="A3173" s="227" t="str">
        <f>TL[[#This Row],[Société]]&amp;" - "&amp;TL[[#This Row],[Compte]]</f>
        <v>R314 - 63544000</v>
      </c>
      <c r="B3173" s="233" t="s">
        <v>6173</v>
      </c>
      <c r="C3173" s="227" t="s">
        <v>1539</v>
      </c>
      <c r="D3173" s="233" t="s">
        <v>42</v>
      </c>
      <c r="E3173" s="233" t="s">
        <v>47</v>
      </c>
      <c r="F3173" s="227" t="s">
        <v>301</v>
      </c>
    </row>
    <row r="3174" spans="1:6" x14ac:dyDescent="0.25">
      <c r="A3174" s="227" t="str">
        <f>TL[[#This Row],[Société]]&amp;" - "&amp;TL[[#This Row],[Compte]]</f>
        <v>R314 - 63550000</v>
      </c>
      <c r="B3174" s="233" t="s">
        <v>3666</v>
      </c>
      <c r="C3174" s="227" t="s">
        <v>218</v>
      </c>
      <c r="D3174" s="233" t="s">
        <v>42</v>
      </c>
      <c r="E3174" s="233" t="s">
        <v>47</v>
      </c>
      <c r="F3174" s="227" t="s">
        <v>301</v>
      </c>
    </row>
    <row r="3175" spans="1:6" x14ac:dyDescent="0.25">
      <c r="A3175" s="227" t="str">
        <f>TL[[#This Row],[Société]]&amp;" - "&amp;TL[[#This Row],[Compte]]</f>
        <v>R314 - 63551000</v>
      </c>
      <c r="B3175" s="233" t="s">
        <v>3667</v>
      </c>
      <c r="C3175" s="227" t="s">
        <v>1234</v>
      </c>
      <c r="D3175" s="233" t="s">
        <v>42</v>
      </c>
      <c r="E3175" s="233" t="s">
        <v>47</v>
      </c>
      <c r="F3175" s="227" t="s">
        <v>301</v>
      </c>
    </row>
    <row r="3176" spans="1:6" x14ac:dyDescent="0.25">
      <c r="A3176" s="227" t="str">
        <f>TL[[#This Row],[Société]]&amp;" - "&amp;TL[[#This Row],[Compte]]</f>
        <v>R314 - 63551100</v>
      </c>
      <c r="B3176" s="233" t="s">
        <v>2619</v>
      </c>
      <c r="C3176" s="227" t="s">
        <v>269</v>
      </c>
      <c r="D3176" s="233" t="s">
        <v>71</v>
      </c>
      <c r="E3176" s="233" t="s">
        <v>7</v>
      </c>
      <c r="F3176" s="227" t="s">
        <v>301</v>
      </c>
    </row>
    <row r="3177" spans="1:6" x14ac:dyDescent="0.25">
      <c r="A3177" s="227" t="str">
        <f>TL[[#This Row],[Société]]&amp;" - "&amp;TL[[#This Row],[Compte]]</f>
        <v>R314 - 63552000</v>
      </c>
      <c r="B3177" s="233" t="s">
        <v>3668</v>
      </c>
      <c r="C3177" s="227" t="s">
        <v>1235</v>
      </c>
      <c r="D3177" s="233" t="s">
        <v>42</v>
      </c>
      <c r="E3177" s="233" t="s">
        <v>47</v>
      </c>
      <c r="F3177" s="227" t="s">
        <v>301</v>
      </c>
    </row>
    <row r="3178" spans="1:6" x14ac:dyDescent="0.25">
      <c r="A3178" s="227" t="str">
        <f>TL[[#This Row],[Société]]&amp;" - "&amp;TL[[#This Row],[Compte]]</f>
        <v>R314 - 63553000</v>
      </c>
      <c r="B3178" s="233" t="s">
        <v>2722</v>
      </c>
      <c r="C3178" s="227" t="s">
        <v>1077</v>
      </c>
      <c r="D3178" s="233" t="s">
        <v>42</v>
      </c>
      <c r="E3178" s="233" t="s">
        <v>47</v>
      </c>
      <c r="F3178" s="227" t="s">
        <v>301</v>
      </c>
    </row>
    <row r="3179" spans="1:6" x14ac:dyDescent="0.25">
      <c r="A3179" s="227" t="str">
        <f>TL[[#This Row],[Société]]&amp;" - "&amp;TL[[#This Row],[Compte]]</f>
        <v>R314 - 63554000</v>
      </c>
      <c r="B3179" s="233" t="s">
        <v>3669</v>
      </c>
      <c r="C3179" s="227" t="s">
        <v>1236</v>
      </c>
      <c r="D3179" s="233" t="s">
        <v>42</v>
      </c>
      <c r="E3179" s="233" t="s">
        <v>47</v>
      </c>
      <c r="F3179" s="227" t="s">
        <v>301</v>
      </c>
    </row>
    <row r="3180" spans="1:6" x14ac:dyDescent="0.25">
      <c r="A3180" s="227" t="str">
        <f>TL[[#This Row],[Société]]&amp;" - "&amp;TL[[#This Row],[Compte]]</f>
        <v>R314 - 63580000</v>
      </c>
      <c r="B3180" s="233" t="s">
        <v>6174</v>
      </c>
      <c r="C3180" s="227" t="s">
        <v>320</v>
      </c>
      <c r="D3180" s="233" t="s">
        <v>42</v>
      </c>
      <c r="E3180" s="233" t="s">
        <v>47</v>
      </c>
      <c r="F3180" s="227" t="s">
        <v>301</v>
      </c>
    </row>
    <row r="3181" spans="1:6" x14ac:dyDescent="0.25">
      <c r="A3181" s="227" t="str">
        <f>TL[[#This Row],[Société]]&amp;" - "&amp;TL[[#This Row],[Compte]]</f>
        <v>R314 - 63581000</v>
      </c>
      <c r="B3181" s="233" t="s">
        <v>6175</v>
      </c>
      <c r="C3181" s="227" t="s">
        <v>1237</v>
      </c>
      <c r="D3181" s="233" t="s">
        <v>42</v>
      </c>
      <c r="E3181" s="233" t="s">
        <v>47</v>
      </c>
      <c r="F3181" s="227" t="s">
        <v>301</v>
      </c>
    </row>
    <row r="3182" spans="1:6" x14ac:dyDescent="0.25">
      <c r="A3182" s="227" t="str">
        <f>TL[[#This Row],[Société]]&amp;" - "&amp;TL[[#This Row],[Compte]]</f>
        <v>R314 - 63710000</v>
      </c>
      <c r="B3182" s="233" t="s">
        <v>3672</v>
      </c>
      <c r="C3182" s="227" t="s">
        <v>613</v>
      </c>
      <c r="D3182" s="233" t="s">
        <v>42</v>
      </c>
      <c r="E3182" s="233" t="s">
        <v>47</v>
      </c>
      <c r="F3182" s="227" t="s">
        <v>301</v>
      </c>
    </row>
    <row r="3183" spans="1:6" x14ac:dyDescent="0.25">
      <c r="A3183" s="227" t="str">
        <f>TL[[#This Row],[Société]]&amp;" - "&amp;TL[[#This Row],[Compte]]</f>
        <v>R314 - 63730000</v>
      </c>
      <c r="B3183" s="233" t="s">
        <v>2723</v>
      </c>
      <c r="C3183" s="227" t="s">
        <v>1238</v>
      </c>
      <c r="D3183" s="233" t="s">
        <v>42</v>
      </c>
      <c r="E3183" s="233" t="s">
        <v>47</v>
      </c>
      <c r="F3183" s="227" t="s">
        <v>301</v>
      </c>
    </row>
    <row r="3184" spans="1:6" x14ac:dyDescent="0.25">
      <c r="A3184" s="227" t="str">
        <f>TL[[#This Row],[Société]]&amp;" - "&amp;TL[[#This Row],[Compte]]</f>
        <v>R314 - 64110100</v>
      </c>
      <c r="B3184" s="233" t="s">
        <v>2625</v>
      </c>
      <c r="C3184" s="227" t="s">
        <v>1239</v>
      </c>
      <c r="D3184" s="233" t="s">
        <v>12</v>
      </c>
      <c r="E3184" s="233" t="s">
        <v>3</v>
      </c>
      <c r="F3184" s="227" t="s">
        <v>301</v>
      </c>
    </row>
    <row r="3185" spans="1:6" x14ac:dyDescent="0.25">
      <c r="A3185" s="227" t="str">
        <f>TL[[#This Row],[Société]]&amp;" - "&amp;TL[[#This Row],[Compte]]</f>
        <v>R314 - 64110400</v>
      </c>
      <c r="B3185" s="233" t="s">
        <v>2636</v>
      </c>
      <c r="C3185" s="227" t="s">
        <v>144</v>
      </c>
      <c r="D3185" s="233" t="s">
        <v>13</v>
      </c>
      <c r="E3185" s="233" t="s">
        <v>12</v>
      </c>
      <c r="F3185" s="227" t="s">
        <v>301</v>
      </c>
    </row>
    <row r="3186" spans="1:6" x14ac:dyDescent="0.25">
      <c r="A3186" s="227" t="str">
        <f>TL[[#This Row],[Société]]&amp;" - "&amp;TL[[#This Row],[Compte]]</f>
        <v>R314 - 64111000</v>
      </c>
      <c r="B3186" s="233" t="s">
        <v>3675</v>
      </c>
      <c r="C3186" s="227" t="s">
        <v>1240</v>
      </c>
      <c r="D3186" s="233" t="s">
        <v>50</v>
      </c>
      <c r="E3186" s="233" t="s">
        <v>3</v>
      </c>
      <c r="F3186" s="227" t="s">
        <v>301</v>
      </c>
    </row>
    <row r="3187" spans="1:6" x14ac:dyDescent="0.25">
      <c r="A3187" s="227" t="str">
        <f>TL[[#This Row],[Société]]&amp;" - "&amp;TL[[#This Row],[Compte]]</f>
        <v>R314 - 64112000</v>
      </c>
      <c r="B3187" s="233" t="s">
        <v>3676</v>
      </c>
      <c r="C3187" s="227" t="s">
        <v>1241</v>
      </c>
      <c r="D3187" s="233" t="s">
        <v>50</v>
      </c>
      <c r="E3187" s="233" t="s">
        <v>3</v>
      </c>
      <c r="F3187" s="227" t="s">
        <v>301</v>
      </c>
    </row>
    <row r="3188" spans="1:6" x14ac:dyDescent="0.25">
      <c r="A3188" s="227" t="str">
        <f>TL[[#This Row],[Société]]&amp;" - "&amp;TL[[#This Row],[Compte]]</f>
        <v>R314 - 64113000</v>
      </c>
      <c r="B3188" s="233" t="s">
        <v>3677</v>
      </c>
      <c r="C3188" s="227" t="s">
        <v>1549</v>
      </c>
      <c r="D3188" s="233" t="s">
        <v>13</v>
      </c>
      <c r="E3188" s="233" t="s">
        <v>12</v>
      </c>
      <c r="F3188" s="227" t="s">
        <v>301</v>
      </c>
    </row>
    <row r="3189" spans="1:6" x14ac:dyDescent="0.25">
      <c r="A3189" s="227" t="str">
        <f>TL[[#This Row],[Société]]&amp;" - "&amp;TL[[#This Row],[Compte]]</f>
        <v>R314 - 64114000</v>
      </c>
      <c r="B3189" s="233" t="s">
        <v>3678</v>
      </c>
      <c r="C3189" s="227" t="s">
        <v>1242</v>
      </c>
      <c r="D3189" s="233" t="s">
        <v>50</v>
      </c>
      <c r="E3189" s="233" t="s">
        <v>12</v>
      </c>
      <c r="F3189" s="227" t="s">
        <v>301</v>
      </c>
    </row>
    <row r="3190" spans="1:6" x14ac:dyDescent="0.25">
      <c r="A3190" s="227" t="str">
        <f>TL[[#This Row],[Société]]&amp;" - "&amp;TL[[#This Row],[Compte]]</f>
        <v>R314 - 64120000</v>
      </c>
      <c r="B3190" s="233" t="s">
        <v>2626</v>
      </c>
      <c r="C3190" s="227" t="s">
        <v>1084</v>
      </c>
      <c r="D3190" s="233" t="s">
        <v>12</v>
      </c>
      <c r="E3190" s="233" t="s">
        <v>3</v>
      </c>
      <c r="F3190" s="227" t="s">
        <v>301</v>
      </c>
    </row>
    <row r="3191" spans="1:6" x14ac:dyDescent="0.25">
      <c r="A3191" s="227" t="str">
        <f>TL[[#This Row],[Société]]&amp;" - "&amp;TL[[#This Row],[Compte]]</f>
        <v>R314 - 64121000</v>
      </c>
      <c r="B3191" s="233" t="s">
        <v>2637</v>
      </c>
      <c r="C3191" s="227" t="s">
        <v>1085</v>
      </c>
      <c r="D3191" s="233" t="s">
        <v>13</v>
      </c>
      <c r="E3191" s="233" t="s">
        <v>12</v>
      </c>
      <c r="F3191" s="227" t="s">
        <v>301</v>
      </c>
    </row>
    <row r="3192" spans="1:6" x14ac:dyDescent="0.25">
      <c r="A3192" s="227" t="str">
        <f>TL[[#This Row],[Société]]&amp;" - "&amp;TL[[#This Row],[Compte]]</f>
        <v>R314 - 64122000</v>
      </c>
      <c r="B3192" s="233" t="s">
        <v>3679</v>
      </c>
      <c r="C3192" s="227" t="s">
        <v>614</v>
      </c>
      <c r="D3192" s="233" t="s">
        <v>13</v>
      </c>
      <c r="E3192" s="233" t="s">
        <v>12</v>
      </c>
      <c r="F3192" s="227" t="s">
        <v>301</v>
      </c>
    </row>
    <row r="3193" spans="1:6" x14ac:dyDescent="0.25">
      <c r="A3193" s="227" t="str">
        <f>TL[[#This Row],[Société]]&amp;" - "&amp;TL[[#This Row],[Compte]]</f>
        <v>R314 - 64130000</v>
      </c>
      <c r="B3193" s="233" t="s">
        <v>3681</v>
      </c>
      <c r="C3193" s="227" t="s">
        <v>615</v>
      </c>
      <c r="D3193" s="233" t="s">
        <v>13</v>
      </c>
      <c r="E3193" s="233" t="s">
        <v>12</v>
      </c>
      <c r="F3193" s="227" t="s">
        <v>301</v>
      </c>
    </row>
    <row r="3194" spans="1:6" x14ac:dyDescent="0.25">
      <c r="A3194" s="227" t="str">
        <f>TL[[#This Row],[Société]]&amp;" - "&amp;TL[[#This Row],[Compte]]</f>
        <v>R314 - 64140000</v>
      </c>
      <c r="B3194" s="233" t="s">
        <v>3683</v>
      </c>
      <c r="C3194" s="227" t="s">
        <v>1243</v>
      </c>
      <c r="D3194" s="233" t="s">
        <v>12</v>
      </c>
      <c r="E3194" s="233" t="s">
        <v>3</v>
      </c>
      <c r="F3194" s="227" t="s">
        <v>301</v>
      </c>
    </row>
    <row r="3195" spans="1:6" x14ac:dyDescent="0.25">
      <c r="A3195" s="227" t="str">
        <f>TL[[#This Row],[Société]]&amp;" - "&amp;TL[[#This Row],[Compte]]</f>
        <v>R314 - 64140100</v>
      </c>
      <c r="B3195" s="233" t="s">
        <v>2627</v>
      </c>
      <c r="C3195" s="227" t="s">
        <v>284</v>
      </c>
      <c r="D3195" s="233" t="s">
        <v>12</v>
      </c>
      <c r="E3195" s="233" t="s">
        <v>3</v>
      </c>
      <c r="F3195" s="227" t="s">
        <v>301</v>
      </c>
    </row>
    <row r="3196" spans="1:6" x14ac:dyDescent="0.25">
      <c r="A3196" s="227" t="str">
        <f>TL[[#This Row],[Société]]&amp;" - "&amp;TL[[#This Row],[Compte]]</f>
        <v>R314 - 64140200</v>
      </c>
      <c r="B3196" s="233" t="s">
        <v>6176</v>
      </c>
      <c r="C3196" s="227" t="s">
        <v>1446</v>
      </c>
      <c r="D3196" s="233" t="s">
        <v>12</v>
      </c>
      <c r="E3196" s="233" t="s">
        <v>3</v>
      </c>
      <c r="F3196" s="227" t="s">
        <v>301</v>
      </c>
    </row>
    <row r="3197" spans="1:6" x14ac:dyDescent="0.25">
      <c r="A3197" s="227" t="str">
        <f>TL[[#This Row],[Société]]&amp;" - "&amp;TL[[#This Row],[Compte]]</f>
        <v>R314 - 64140300</v>
      </c>
      <c r="B3197" s="233" t="s">
        <v>6177</v>
      </c>
      <c r="C3197" s="227" t="s">
        <v>1540</v>
      </c>
      <c r="D3197" s="233" t="s">
        <v>13</v>
      </c>
      <c r="E3197" s="233" t="s">
        <v>12</v>
      </c>
      <c r="F3197" s="227" t="s">
        <v>301</v>
      </c>
    </row>
    <row r="3198" spans="1:6" x14ac:dyDescent="0.25">
      <c r="A3198" s="227" t="str">
        <f>TL[[#This Row],[Société]]&amp;" - "&amp;TL[[#This Row],[Compte]]</f>
        <v>R314 - 64140400</v>
      </c>
      <c r="B3198" s="233" t="s">
        <v>2638</v>
      </c>
      <c r="C3198" s="227" t="s">
        <v>272</v>
      </c>
      <c r="D3198" s="233" t="s">
        <v>13</v>
      </c>
      <c r="E3198" s="233" t="s">
        <v>12</v>
      </c>
      <c r="F3198" s="227" t="s">
        <v>301</v>
      </c>
    </row>
    <row r="3199" spans="1:6" x14ac:dyDescent="0.25">
      <c r="A3199" s="227" t="str">
        <f>TL[[#This Row],[Société]]&amp;" - "&amp;TL[[#This Row],[Compte]]</f>
        <v>R314 - 64140500</v>
      </c>
      <c r="B3199" s="233" t="s">
        <v>6178</v>
      </c>
      <c r="C3199" s="227" t="s">
        <v>1244</v>
      </c>
      <c r="D3199" s="233" t="s">
        <v>12</v>
      </c>
      <c r="E3199" s="233" t="s">
        <v>3</v>
      </c>
      <c r="F3199" s="227" t="s">
        <v>301</v>
      </c>
    </row>
    <row r="3200" spans="1:6" x14ac:dyDescent="0.25">
      <c r="A3200" s="227" t="str">
        <f>TL[[#This Row],[Société]]&amp;" - "&amp;TL[[#This Row],[Compte]]</f>
        <v>R314 - 64140600</v>
      </c>
      <c r="B3200" s="233" t="s">
        <v>6179</v>
      </c>
      <c r="C3200" s="227" t="s">
        <v>2111</v>
      </c>
      <c r="D3200" s="233" t="s">
        <v>13</v>
      </c>
      <c r="E3200" s="233" t="s">
        <v>12</v>
      </c>
      <c r="F3200" s="227" t="s">
        <v>301</v>
      </c>
    </row>
    <row r="3201" spans="1:6" x14ac:dyDescent="0.25">
      <c r="A3201" s="227" t="str">
        <f>TL[[#This Row],[Société]]&amp;" - "&amp;TL[[#This Row],[Compte]]</f>
        <v>R314 - 64141100</v>
      </c>
      <c r="B3201" s="233" t="s">
        <v>2628</v>
      </c>
      <c r="C3201" s="227" t="s">
        <v>1245</v>
      </c>
      <c r="D3201" s="233" t="s">
        <v>12</v>
      </c>
      <c r="E3201" s="233" t="s">
        <v>3</v>
      </c>
      <c r="F3201" s="227" t="s">
        <v>301</v>
      </c>
    </row>
    <row r="3202" spans="1:6" x14ac:dyDescent="0.25">
      <c r="A3202" s="227" t="str">
        <f>TL[[#This Row],[Société]]&amp;" - "&amp;TL[[#This Row],[Compte]]</f>
        <v>R314 - 64141400</v>
      </c>
      <c r="B3202" s="233" t="s">
        <v>2639</v>
      </c>
      <c r="C3202" s="227" t="s">
        <v>1246</v>
      </c>
      <c r="D3202" s="233" t="s">
        <v>13</v>
      </c>
      <c r="E3202" s="233" t="s">
        <v>12</v>
      </c>
      <c r="F3202" s="227" t="s">
        <v>301</v>
      </c>
    </row>
    <row r="3203" spans="1:6" x14ac:dyDescent="0.25">
      <c r="A3203" s="227" t="str">
        <f>TL[[#This Row],[Société]]&amp;" - "&amp;TL[[#This Row],[Compte]]</f>
        <v>R314 - 64143000</v>
      </c>
      <c r="B3203" s="233" t="s">
        <v>6180</v>
      </c>
      <c r="C3203" s="227" t="s">
        <v>2145</v>
      </c>
      <c r="F3203" s="227" t="s">
        <v>301</v>
      </c>
    </row>
    <row r="3204" spans="1:6" x14ac:dyDescent="0.25">
      <c r="A3204" s="227" t="str">
        <f>TL[[#This Row],[Société]]&amp;" - "&amp;TL[[#This Row],[Compte]]</f>
        <v>R314 - 64400000</v>
      </c>
      <c r="B3204" s="233" t="s">
        <v>6181</v>
      </c>
      <c r="C3204" s="227" t="s">
        <v>616</v>
      </c>
      <c r="F3204" s="227" t="s">
        <v>301</v>
      </c>
    </row>
    <row r="3205" spans="1:6" x14ac:dyDescent="0.25">
      <c r="A3205" s="227" t="str">
        <f>TL[[#This Row],[Société]]&amp;" - "&amp;TL[[#This Row],[Compte]]</f>
        <v>R314 - 64504100</v>
      </c>
      <c r="B3205" s="233" t="s">
        <v>3684</v>
      </c>
      <c r="C3205" s="227" t="s">
        <v>271</v>
      </c>
      <c r="D3205" s="233" t="s">
        <v>12</v>
      </c>
      <c r="E3205" s="233" t="s">
        <v>71</v>
      </c>
      <c r="F3205" s="227" t="s">
        <v>301</v>
      </c>
    </row>
    <row r="3206" spans="1:6" x14ac:dyDescent="0.25">
      <c r="A3206" s="227" t="str">
        <f>TL[[#This Row],[Société]]&amp;" - "&amp;TL[[#This Row],[Compte]]</f>
        <v>R314 - 64504400</v>
      </c>
      <c r="B3206" s="233" t="s">
        <v>3685</v>
      </c>
      <c r="C3206" s="227" t="s">
        <v>273</v>
      </c>
      <c r="D3206" s="233" t="s">
        <v>15</v>
      </c>
      <c r="E3206" s="233" t="s">
        <v>13</v>
      </c>
      <c r="F3206" s="227" t="s">
        <v>301</v>
      </c>
    </row>
    <row r="3207" spans="1:6" x14ac:dyDescent="0.25">
      <c r="A3207" s="227" t="str">
        <f>TL[[#This Row],[Société]]&amp;" - "&amp;TL[[#This Row],[Compte]]</f>
        <v>R314 - 64510100</v>
      </c>
      <c r="B3207" s="233" t="s">
        <v>2630</v>
      </c>
      <c r="C3207" s="227" t="s">
        <v>158</v>
      </c>
      <c r="D3207" s="233" t="s">
        <v>12</v>
      </c>
      <c r="E3207" s="233" t="s">
        <v>71</v>
      </c>
      <c r="F3207" s="227" t="s">
        <v>301</v>
      </c>
    </row>
    <row r="3208" spans="1:6" x14ac:dyDescent="0.25">
      <c r="A3208" s="227" t="str">
        <f>TL[[#This Row],[Société]]&amp;" - "&amp;TL[[#This Row],[Compte]]</f>
        <v>R314 - 64510400</v>
      </c>
      <c r="B3208" s="233" t="s">
        <v>2644</v>
      </c>
      <c r="C3208" s="227" t="s">
        <v>1247</v>
      </c>
      <c r="D3208" s="233" t="s">
        <v>15</v>
      </c>
      <c r="E3208" s="233" t="s">
        <v>13</v>
      </c>
      <c r="F3208" s="227" t="s">
        <v>301</v>
      </c>
    </row>
    <row r="3209" spans="1:6" x14ac:dyDescent="0.25">
      <c r="A3209" s="227" t="str">
        <f>TL[[#This Row],[Société]]&amp;" - "&amp;TL[[#This Row],[Compte]]</f>
        <v>R314 - 64520100</v>
      </c>
      <c r="B3209" s="233" t="s">
        <v>2631</v>
      </c>
      <c r="C3209" s="227" t="s">
        <v>271</v>
      </c>
      <c r="D3209" s="233" t="s">
        <v>12</v>
      </c>
      <c r="E3209" s="233" t="s">
        <v>71</v>
      </c>
      <c r="F3209" s="227" t="s">
        <v>301</v>
      </c>
    </row>
    <row r="3210" spans="1:6" x14ac:dyDescent="0.25">
      <c r="A3210" s="227" t="str">
        <f>TL[[#This Row],[Société]]&amp;" - "&amp;TL[[#This Row],[Compte]]</f>
        <v>R314 - 64520400</v>
      </c>
      <c r="B3210" s="233" t="s">
        <v>2645</v>
      </c>
      <c r="C3210" s="227" t="s">
        <v>273</v>
      </c>
      <c r="D3210" s="233" t="s">
        <v>15</v>
      </c>
      <c r="E3210" s="233" t="s">
        <v>13</v>
      </c>
      <c r="F3210" s="227" t="s">
        <v>301</v>
      </c>
    </row>
    <row r="3211" spans="1:6" x14ac:dyDescent="0.25">
      <c r="A3211" s="227" t="str">
        <f>TL[[#This Row],[Société]]&amp;" - "&amp;TL[[#This Row],[Compte]]</f>
        <v>R314 - 64530100</v>
      </c>
      <c r="B3211" s="233" t="s">
        <v>2632</v>
      </c>
      <c r="C3211" s="227" t="s">
        <v>281</v>
      </c>
      <c r="D3211" s="233" t="s">
        <v>12</v>
      </c>
      <c r="E3211" s="233" t="s">
        <v>71</v>
      </c>
      <c r="F3211" s="227" t="s">
        <v>301</v>
      </c>
    </row>
    <row r="3212" spans="1:6" x14ac:dyDescent="0.25">
      <c r="A3212" s="227" t="str">
        <f>TL[[#This Row],[Société]]&amp;" - "&amp;TL[[#This Row],[Compte]]</f>
        <v>R314 - 64530400</v>
      </c>
      <c r="B3212" s="233" t="s">
        <v>2646</v>
      </c>
      <c r="C3212" s="227" t="s">
        <v>275</v>
      </c>
      <c r="D3212" s="233" t="s">
        <v>15</v>
      </c>
      <c r="E3212" s="233" t="s">
        <v>13</v>
      </c>
      <c r="F3212" s="227" t="s">
        <v>301</v>
      </c>
    </row>
    <row r="3213" spans="1:6" x14ac:dyDescent="0.25">
      <c r="A3213" s="227" t="str">
        <f>TL[[#This Row],[Société]]&amp;" - "&amp;TL[[#This Row],[Compte]]</f>
        <v>R314 - 64530500</v>
      </c>
      <c r="B3213" s="233" t="s">
        <v>6182</v>
      </c>
      <c r="C3213" s="227" t="s">
        <v>1324</v>
      </c>
      <c r="D3213" s="233" t="s">
        <v>15</v>
      </c>
      <c r="E3213" s="233" t="s">
        <v>13</v>
      </c>
      <c r="F3213" s="227" t="s">
        <v>301</v>
      </c>
    </row>
    <row r="3214" spans="1:6" x14ac:dyDescent="0.25">
      <c r="A3214" s="227" t="str">
        <f>TL[[#This Row],[Société]]&amp;" - "&amp;TL[[#This Row],[Compte]]</f>
        <v>R314 - 64540100</v>
      </c>
      <c r="B3214" s="233" t="s">
        <v>2633</v>
      </c>
      <c r="C3214" s="227" t="s">
        <v>270</v>
      </c>
      <c r="D3214" s="233" t="s">
        <v>12</v>
      </c>
      <c r="E3214" s="233" t="s">
        <v>71</v>
      </c>
      <c r="F3214" s="227" t="s">
        <v>301</v>
      </c>
    </row>
    <row r="3215" spans="1:6" x14ac:dyDescent="0.25">
      <c r="A3215" s="227" t="str">
        <f>TL[[#This Row],[Société]]&amp;" - "&amp;TL[[#This Row],[Compte]]</f>
        <v>R314 - 64540400</v>
      </c>
      <c r="B3215" s="233" t="s">
        <v>2647</v>
      </c>
      <c r="C3215" s="227" t="s">
        <v>1248</v>
      </c>
      <c r="D3215" s="233" t="s">
        <v>15</v>
      </c>
      <c r="E3215" s="233" t="s">
        <v>13</v>
      </c>
      <c r="F3215" s="227" t="s">
        <v>301</v>
      </c>
    </row>
    <row r="3216" spans="1:6" x14ac:dyDescent="0.25">
      <c r="A3216" s="227" t="str">
        <f>TL[[#This Row],[Société]]&amp;" - "&amp;TL[[#This Row],[Compte]]</f>
        <v>R314 - 64550400</v>
      </c>
      <c r="B3216" s="233" t="s">
        <v>3686</v>
      </c>
      <c r="C3216" s="227" t="s">
        <v>1249</v>
      </c>
      <c r="D3216" s="233" t="s">
        <v>15</v>
      </c>
      <c r="E3216" s="233" t="s">
        <v>13</v>
      </c>
      <c r="F3216" s="227" t="s">
        <v>301</v>
      </c>
    </row>
    <row r="3217" spans="1:6" x14ac:dyDescent="0.25">
      <c r="A3217" s="227" t="str">
        <f>TL[[#This Row],[Société]]&amp;" - "&amp;TL[[#This Row],[Compte]]</f>
        <v>R314 - 64560400</v>
      </c>
      <c r="B3217" s="233" t="s">
        <v>6183</v>
      </c>
      <c r="C3217" s="227" t="s">
        <v>1250</v>
      </c>
      <c r="D3217" s="233" t="s">
        <v>15</v>
      </c>
      <c r="E3217" s="233" t="s">
        <v>13</v>
      </c>
      <c r="F3217" s="227" t="s">
        <v>301</v>
      </c>
    </row>
    <row r="3218" spans="1:6" x14ac:dyDescent="0.25">
      <c r="A3218" s="227" t="str">
        <f>TL[[#This Row],[Société]]&amp;" - "&amp;TL[[#This Row],[Compte]]</f>
        <v>R314 - 64580000</v>
      </c>
      <c r="B3218" s="233" t="s">
        <v>2634</v>
      </c>
      <c r="C3218" s="227" t="s">
        <v>1086</v>
      </c>
      <c r="D3218" s="233" t="s">
        <v>12</v>
      </c>
      <c r="E3218" s="233" t="s">
        <v>71</v>
      </c>
      <c r="F3218" s="227" t="s">
        <v>301</v>
      </c>
    </row>
    <row r="3219" spans="1:6" x14ac:dyDescent="0.25">
      <c r="A3219" s="227" t="str">
        <f>TL[[#This Row],[Société]]&amp;" - "&amp;TL[[#This Row],[Compte]]</f>
        <v>R314 - 64581000</v>
      </c>
      <c r="B3219" s="233" t="s">
        <v>2648</v>
      </c>
      <c r="C3219" s="227" t="s">
        <v>1087</v>
      </c>
      <c r="D3219" s="233" t="s">
        <v>15</v>
      </c>
      <c r="E3219" s="233" t="s">
        <v>13</v>
      </c>
      <c r="F3219" s="227" t="s">
        <v>301</v>
      </c>
    </row>
    <row r="3220" spans="1:6" x14ac:dyDescent="0.25">
      <c r="A3220" s="227" t="str">
        <f>TL[[#This Row],[Société]]&amp;" - "&amp;TL[[#This Row],[Compte]]</f>
        <v>R314 - 64582000</v>
      </c>
      <c r="B3220" s="233" t="s">
        <v>3687</v>
      </c>
      <c r="C3220" s="227" t="s">
        <v>1251</v>
      </c>
      <c r="D3220" s="233" t="s">
        <v>12</v>
      </c>
      <c r="E3220" s="233" t="s">
        <v>71</v>
      </c>
      <c r="F3220" s="227" t="s">
        <v>301</v>
      </c>
    </row>
    <row r="3221" spans="1:6" x14ac:dyDescent="0.25">
      <c r="A3221" s="227" t="str">
        <f>TL[[#This Row],[Société]]&amp;" - "&amp;TL[[#This Row],[Compte]]</f>
        <v>R314 - 64583000</v>
      </c>
      <c r="B3221" s="233" t="s">
        <v>6184</v>
      </c>
      <c r="C3221" s="227" t="s">
        <v>1325</v>
      </c>
      <c r="D3221" s="233" t="s">
        <v>15</v>
      </c>
      <c r="E3221" s="233" t="s">
        <v>13</v>
      </c>
      <c r="F3221" s="227" t="s">
        <v>301</v>
      </c>
    </row>
    <row r="3222" spans="1:6" x14ac:dyDescent="0.25">
      <c r="A3222" s="227" t="str">
        <f>TL[[#This Row],[Société]]&amp;" - "&amp;TL[[#This Row],[Compte]]</f>
        <v>R314 - 64610000</v>
      </c>
      <c r="B3222" s="233" t="s">
        <v>3688</v>
      </c>
      <c r="C3222" s="227" t="s">
        <v>1252</v>
      </c>
      <c r="F3222" s="227" t="s">
        <v>301</v>
      </c>
    </row>
    <row r="3223" spans="1:6" x14ac:dyDescent="0.25">
      <c r="A3223" s="227" t="str">
        <f>TL[[#This Row],[Société]]&amp;" - "&amp;TL[[#This Row],[Compte]]</f>
        <v>R314 - 64750000</v>
      </c>
      <c r="B3223" s="233" t="s">
        <v>2692</v>
      </c>
      <c r="C3223" s="227" t="s">
        <v>1253</v>
      </c>
      <c r="D3223" s="233" t="s">
        <v>20</v>
      </c>
      <c r="E3223" s="233" t="s">
        <v>25</v>
      </c>
      <c r="F3223" s="227" t="s">
        <v>301</v>
      </c>
    </row>
    <row r="3224" spans="1:6" x14ac:dyDescent="0.25">
      <c r="A3224" s="227" t="str">
        <f>TL[[#This Row],[Société]]&amp;" - "&amp;TL[[#This Row],[Compte]]</f>
        <v>R314 - 64900000</v>
      </c>
      <c r="B3224" s="233" t="s">
        <v>6185</v>
      </c>
      <c r="C3224" s="227" t="s">
        <v>1254</v>
      </c>
      <c r="D3224" s="233" t="s">
        <v>152</v>
      </c>
      <c r="E3224" s="233" t="s">
        <v>1303</v>
      </c>
      <c r="F3224" s="227" t="s">
        <v>301</v>
      </c>
    </row>
    <row r="3225" spans="1:6" x14ac:dyDescent="0.25">
      <c r="A3225" s="227" t="str">
        <f>TL[[#This Row],[Société]]&amp;" - "&amp;TL[[#This Row],[Compte]]</f>
        <v>R314 - 65100100</v>
      </c>
      <c r="B3225" s="233" t="s">
        <v>2713</v>
      </c>
      <c r="C3225" s="227" t="s">
        <v>276</v>
      </c>
      <c r="D3225" s="233" t="s">
        <v>37</v>
      </c>
      <c r="E3225" s="233" t="s">
        <v>42</v>
      </c>
      <c r="F3225" s="227" t="s">
        <v>301</v>
      </c>
    </row>
    <row r="3226" spans="1:6" x14ac:dyDescent="0.25">
      <c r="A3226" s="227" t="str">
        <f>TL[[#This Row],[Société]]&amp;" - "&amp;TL[[#This Row],[Compte]]</f>
        <v>R314 - 65100300</v>
      </c>
      <c r="B3226" s="233" t="s">
        <v>3690</v>
      </c>
      <c r="C3226" s="227" t="s">
        <v>282</v>
      </c>
      <c r="D3226" s="233" t="s">
        <v>20</v>
      </c>
      <c r="E3226" s="233" t="s">
        <v>25</v>
      </c>
      <c r="F3226" s="227" t="s">
        <v>301</v>
      </c>
    </row>
    <row r="3227" spans="1:6" x14ac:dyDescent="0.25">
      <c r="A3227" s="227" t="str">
        <f>TL[[#This Row],[Société]]&amp;" - "&amp;TL[[#This Row],[Compte]]</f>
        <v>R314 - 65120000</v>
      </c>
      <c r="B3227" s="233" t="s">
        <v>2710</v>
      </c>
      <c r="C3227" s="227" t="s">
        <v>1255</v>
      </c>
      <c r="D3227" s="233" t="s">
        <v>35</v>
      </c>
      <c r="E3227" s="233" t="s">
        <v>37</v>
      </c>
      <c r="F3227" s="227" t="s">
        <v>301</v>
      </c>
    </row>
    <row r="3228" spans="1:6" x14ac:dyDescent="0.25">
      <c r="A3228" s="227" t="str">
        <f>TL[[#This Row],[Société]]&amp;" - "&amp;TL[[#This Row],[Compte]]</f>
        <v>R314 - 65121000</v>
      </c>
      <c r="B3228" s="233" t="s">
        <v>2711</v>
      </c>
      <c r="C3228" s="227" t="s">
        <v>277</v>
      </c>
      <c r="D3228" s="233" t="s">
        <v>37</v>
      </c>
      <c r="E3228" s="233" t="s">
        <v>37</v>
      </c>
      <c r="F3228" s="227" t="s">
        <v>301</v>
      </c>
    </row>
    <row r="3229" spans="1:6" x14ac:dyDescent="0.25">
      <c r="A3229" s="227" t="str">
        <f>TL[[#This Row],[Société]]&amp;" - "&amp;TL[[#This Row],[Compte]]</f>
        <v>R314 - 65500000</v>
      </c>
      <c r="B3229" s="233" t="s">
        <v>3694</v>
      </c>
      <c r="C3229" s="227" t="s">
        <v>617</v>
      </c>
      <c r="D3229" s="233" t="s">
        <v>152</v>
      </c>
      <c r="E3229" s="233" t="s">
        <v>52</v>
      </c>
      <c r="F3229" s="227" t="s">
        <v>301</v>
      </c>
    </row>
    <row r="3230" spans="1:6" x14ac:dyDescent="0.25">
      <c r="A3230" s="227" t="str">
        <f>TL[[#This Row],[Société]]&amp;" - "&amp;TL[[#This Row],[Compte]]</f>
        <v>R314 - 65800000</v>
      </c>
      <c r="B3230" s="233" t="s">
        <v>3695</v>
      </c>
      <c r="C3230" s="227" t="s">
        <v>306</v>
      </c>
      <c r="D3230" s="233" t="s">
        <v>50</v>
      </c>
      <c r="E3230" s="233" t="s">
        <v>52</v>
      </c>
      <c r="F3230" s="227" t="s">
        <v>301</v>
      </c>
    </row>
    <row r="3231" spans="1:6" x14ac:dyDescent="0.25">
      <c r="A3231" s="227" t="str">
        <f>TL[[#This Row],[Société]]&amp;" - "&amp;TL[[#This Row],[Compte]]</f>
        <v>R314 - 66110000</v>
      </c>
      <c r="B3231" s="233" t="s">
        <v>2737</v>
      </c>
      <c r="C3231" s="227" t="s">
        <v>1256</v>
      </c>
      <c r="D3231" s="233" t="s">
        <v>47</v>
      </c>
      <c r="E3231" s="233" t="s">
        <v>286</v>
      </c>
      <c r="F3231" s="227" t="s">
        <v>301</v>
      </c>
    </row>
    <row r="3232" spans="1:6" x14ac:dyDescent="0.25">
      <c r="A3232" s="227" t="str">
        <f>TL[[#This Row],[Société]]&amp;" - "&amp;TL[[#This Row],[Compte]]</f>
        <v>R314 - 66111000</v>
      </c>
      <c r="B3232" s="233" t="s">
        <v>6186</v>
      </c>
      <c r="C3232" s="227" t="s">
        <v>1257</v>
      </c>
      <c r="D3232" s="233" t="s">
        <v>47</v>
      </c>
      <c r="E3232" s="233" t="s">
        <v>286</v>
      </c>
      <c r="F3232" s="227" t="s">
        <v>301</v>
      </c>
    </row>
    <row r="3233" spans="1:6" x14ac:dyDescent="0.25">
      <c r="A3233" s="227" t="str">
        <f>TL[[#This Row],[Société]]&amp;" - "&amp;TL[[#This Row],[Compte]]</f>
        <v>R314 - 66130000</v>
      </c>
      <c r="B3233" s="233" t="s">
        <v>6187</v>
      </c>
      <c r="C3233" s="227" t="s">
        <v>1258</v>
      </c>
      <c r="D3233" s="233" t="s">
        <v>47</v>
      </c>
      <c r="E3233" s="233" t="s">
        <v>286</v>
      </c>
      <c r="F3233" s="227" t="s">
        <v>301</v>
      </c>
    </row>
    <row r="3234" spans="1:6" x14ac:dyDescent="0.25">
      <c r="A3234" s="227" t="str">
        <f>TL[[#This Row],[Société]]&amp;" - "&amp;TL[[#This Row],[Compte]]</f>
        <v>R314 - 66160000</v>
      </c>
      <c r="B3234" s="233" t="s">
        <v>3700</v>
      </c>
      <c r="C3234" s="227" t="s">
        <v>1259</v>
      </c>
      <c r="D3234" s="233" t="s">
        <v>47</v>
      </c>
      <c r="E3234" s="233" t="s">
        <v>21</v>
      </c>
      <c r="F3234" s="227" t="s">
        <v>301</v>
      </c>
    </row>
    <row r="3235" spans="1:6" x14ac:dyDescent="0.25">
      <c r="A3235" s="227" t="str">
        <f>TL[[#This Row],[Société]]&amp;" - "&amp;TL[[#This Row],[Compte]]</f>
        <v>R314 - 66600000</v>
      </c>
      <c r="B3235" s="233" t="s">
        <v>6188</v>
      </c>
      <c r="C3235" s="227" t="s">
        <v>1260</v>
      </c>
      <c r="D3235" s="233" t="s">
        <v>47</v>
      </c>
      <c r="E3235" s="233" t="s">
        <v>21</v>
      </c>
      <c r="F3235" s="227" t="s">
        <v>301</v>
      </c>
    </row>
    <row r="3236" spans="1:6" x14ac:dyDescent="0.25">
      <c r="A3236" s="227" t="str">
        <f>TL[[#This Row],[Société]]&amp;" - "&amp;TL[[#This Row],[Compte]]</f>
        <v>R314 - 66710000</v>
      </c>
      <c r="B3236" s="233" t="s">
        <v>6189</v>
      </c>
      <c r="C3236" s="227" t="s">
        <v>1261</v>
      </c>
      <c r="D3236" s="233" t="s">
        <v>47</v>
      </c>
      <c r="E3236" s="233" t="s">
        <v>21</v>
      </c>
      <c r="F3236" s="227" t="s">
        <v>301</v>
      </c>
    </row>
    <row r="3237" spans="1:6" x14ac:dyDescent="0.25">
      <c r="A3237" s="227" t="str">
        <f>TL[[#This Row],[Société]]&amp;" - "&amp;TL[[#This Row],[Compte]]</f>
        <v>R314 - 66880000</v>
      </c>
      <c r="B3237" s="233" t="s">
        <v>6190</v>
      </c>
      <c r="C3237" s="227" t="s">
        <v>1262</v>
      </c>
      <c r="D3237" s="233" t="s">
        <v>47</v>
      </c>
      <c r="E3237" s="233" t="s">
        <v>21</v>
      </c>
      <c r="F3237" s="227" t="s">
        <v>301</v>
      </c>
    </row>
    <row r="3238" spans="1:6" x14ac:dyDescent="0.25">
      <c r="A3238" s="227" t="str">
        <f>TL[[#This Row],[Société]]&amp;" - "&amp;TL[[#This Row],[Compte]]</f>
        <v>R314 - 67110000</v>
      </c>
      <c r="B3238" s="233" t="s">
        <v>2707</v>
      </c>
      <c r="C3238" s="227" t="s">
        <v>1263</v>
      </c>
      <c r="D3238" s="233" t="s">
        <v>30</v>
      </c>
      <c r="E3238" s="233" t="s">
        <v>2982</v>
      </c>
      <c r="F3238" s="227" t="s">
        <v>301</v>
      </c>
    </row>
    <row r="3239" spans="1:6" x14ac:dyDescent="0.25">
      <c r="A3239" s="227" t="str">
        <f>TL[[#This Row],[Société]]&amp;" - "&amp;TL[[#This Row],[Compte]]</f>
        <v>R314 - 67120000</v>
      </c>
      <c r="B3239" s="233" t="s">
        <v>3702</v>
      </c>
      <c r="C3239" s="227" t="s">
        <v>1264</v>
      </c>
      <c r="D3239" s="233" t="s">
        <v>50</v>
      </c>
      <c r="E3239" s="233" t="s">
        <v>2995</v>
      </c>
      <c r="F3239" s="227" t="s">
        <v>301</v>
      </c>
    </row>
    <row r="3240" spans="1:6" x14ac:dyDescent="0.25">
      <c r="A3240" s="227" t="str">
        <f>TL[[#This Row],[Société]]&amp;" - "&amp;TL[[#This Row],[Compte]]</f>
        <v>R314 - 67121000</v>
      </c>
      <c r="B3240" s="233" t="s">
        <v>6191</v>
      </c>
      <c r="C3240" s="227" t="s">
        <v>1265</v>
      </c>
      <c r="D3240" s="233" t="s">
        <v>50</v>
      </c>
      <c r="E3240" s="233" t="s">
        <v>2995</v>
      </c>
      <c r="F3240" s="227" t="s">
        <v>301</v>
      </c>
    </row>
    <row r="3241" spans="1:6" x14ac:dyDescent="0.25">
      <c r="A3241" s="227" t="str">
        <f>TL[[#This Row],[Société]]&amp;" - "&amp;TL[[#This Row],[Compte]]</f>
        <v>R314 - 67130000</v>
      </c>
      <c r="B3241" s="233" t="s">
        <v>3703</v>
      </c>
      <c r="C3241" s="227" t="s">
        <v>155</v>
      </c>
      <c r="D3241" s="233" t="s">
        <v>50</v>
      </c>
      <c r="E3241" s="233" t="s">
        <v>2995</v>
      </c>
      <c r="F3241" s="227" t="s">
        <v>301</v>
      </c>
    </row>
    <row r="3242" spans="1:6" x14ac:dyDescent="0.25">
      <c r="A3242" s="227" t="str">
        <f>TL[[#This Row],[Société]]&amp;" - "&amp;TL[[#This Row],[Compte]]</f>
        <v>R314 - 67500000</v>
      </c>
      <c r="B3242" s="233" t="s">
        <v>3707</v>
      </c>
      <c r="C3242" s="227" t="s">
        <v>618</v>
      </c>
      <c r="F3242" s="227" t="s">
        <v>301</v>
      </c>
    </row>
    <row r="3243" spans="1:6" x14ac:dyDescent="0.25">
      <c r="A3243" s="227" t="str">
        <f>TL[[#This Row],[Société]]&amp;" - "&amp;TL[[#This Row],[Compte]]</f>
        <v>R314 - 67510000</v>
      </c>
      <c r="B3243" s="233" t="s">
        <v>3708</v>
      </c>
      <c r="C3243" s="227" t="s">
        <v>1266</v>
      </c>
      <c r="D3243" s="233" t="s">
        <v>44</v>
      </c>
      <c r="E3243" s="233" t="s">
        <v>2995</v>
      </c>
      <c r="F3243" s="227" t="s">
        <v>301</v>
      </c>
    </row>
    <row r="3244" spans="1:6" x14ac:dyDescent="0.25">
      <c r="A3244" s="227" t="str">
        <f>TL[[#This Row],[Société]]&amp;" - "&amp;TL[[#This Row],[Compte]]</f>
        <v>R314 - 67520000</v>
      </c>
      <c r="B3244" s="233" t="s">
        <v>3709</v>
      </c>
      <c r="C3244" s="227" t="s">
        <v>1267</v>
      </c>
      <c r="D3244" s="233" t="s">
        <v>44</v>
      </c>
      <c r="E3244" s="233" t="s">
        <v>2995</v>
      </c>
      <c r="F3244" s="227" t="s">
        <v>301</v>
      </c>
    </row>
    <row r="3245" spans="1:6" x14ac:dyDescent="0.25">
      <c r="A3245" s="227" t="str">
        <f>TL[[#This Row],[Société]]&amp;" - "&amp;TL[[#This Row],[Compte]]</f>
        <v>R314 - 68111000</v>
      </c>
      <c r="B3245" s="233" t="s">
        <v>2724</v>
      </c>
      <c r="C3245" s="227" t="s">
        <v>236</v>
      </c>
      <c r="D3245" s="233" t="s">
        <v>45</v>
      </c>
      <c r="E3245" s="233" t="s">
        <v>48</v>
      </c>
      <c r="F3245" s="227" t="s">
        <v>301</v>
      </c>
    </row>
    <row r="3246" spans="1:6" x14ac:dyDescent="0.25">
      <c r="A3246" s="227" t="str">
        <f>TL[[#This Row],[Société]]&amp;" - "&amp;TL[[#This Row],[Compte]]</f>
        <v>R314 - 68112000</v>
      </c>
      <c r="B3246" s="233" t="s">
        <v>3710</v>
      </c>
      <c r="C3246" s="227" t="s">
        <v>312</v>
      </c>
      <c r="D3246" s="233" t="s">
        <v>45</v>
      </c>
      <c r="E3246" s="233" t="s">
        <v>48</v>
      </c>
      <c r="F3246" s="227" t="s">
        <v>301</v>
      </c>
    </row>
    <row r="3247" spans="1:6" x14ac:dyDescent="0.25">
      <c r="A3247" s="227" t="str">
        <f>TL[[#This Row],[Société]]&amp;" - "&amp;TL[[#This Row],[Compte]]</f>
        <v>R314 - 68150000</v>
      </c>
      <c r="B3247" s="233" t="s">
        <v>3711</v>
      </c>
      <c r="C3247" s="227" t="s">
        <v>319</v>
      </c>
      <c r="D3247" s="233" t="s">
        <v>45</v>
      </c>
      <c r="E3247" s="233" t="s">
        <v>48</v>
      </c>
      <c r="F3247" s="227" t="s">
        <v>301</v>
      </c>
    </row>
    <row r="3248" spans="1:6" x14ac:dyDescent="0.25">
      <c r="A3248" s="227" t="str">
        <f>TL[[#This Row],[Société]]&amp;" - "&amp;TL[[#This Row],[Compte]]</f>
        <v>R314 - 68665000</v>
      </c>
      <c r="B3248" s="233" t="s">
        <v>6192</v>
      </c>
      <c r="C3248" s="227" t="s">
        <v>619</v>
      </c>
      <c r="D3248" s="233" t="s">
        <v>45</v>
      </c>
      <c r="E3248" s="233" t="s">
        <v>48</v>
      </c>
      <c r="F3248" s="227" t="s">
        <v>301</v>
      </c>
    </row>
    <row r="3249" spans="1:6" x14ac:dyDescent="0.25">
      <c r="A3249" s="227" t="str">
        <f>TL[[#This Row],[Société]]&amp;" - "&amp;TL[[#This Row],[Compte]]</f>
        <v>R314 - 68710000</v>
      </c>
      <c r="B3249" s="233" t="s">
        <v>3712</v>
      </c>
      <c r="C3249" s="227" t="s">
        <v>620</v>
      </c>
      <c r="D3249" s="233" t="s">
        <v>45</v>
      </c>
      <c r="E3249" s="233" t="s">
        <v>48</v>
      </c>
      <c r="F3249" s="227" t="s">
        <v>301</v>
      </c>
    </row>
    <row r="3250" spans="1:6" x14ac:dyDescent="0.25">
      <c r="A3250" s="227" t="str">
        <f>TL[[#This Row],[Société]]&amp;" - "&amp;TL[[#This Row],[Compte]]</f>
        <v>R314 - 68711000</v>
      </c>
      <c r="B3250" s="233" t="s">
        <v>3713</v>
      </c>
      <c r="C3250" s="227" t="s">
        <v>621</v>
      </c>
      <c r="D3250" s="233" t="s">
        <v>45</v>
      </c>
      <c r="E3250" s="233" t="s">
        <v>48</v>
      </c>
      <c r="F3250" s="227" t="s">
        <v>301</v>
      </c>
    </row>
    <row r="3251" spans="1:6" x14ac:dyDescent="0.25">
      <c r="A3251" s="227" t="str">
        <f>TL[[#This Row],[Société]]&amp;" - "&amp;TL[[#This Row],[Compte]]</f>
        <v>R314 - 68712000</v>
      </c>
      <c r="B3251" s="233" t="s">
        <v>3714</v>
      </c>
      <c r="C3251" s="227" t="s">
        <v>313</v>
      </c>
      <c r="D3251" s="233" t="s">
        <v>45</v>
      </c>
      <c r="E3251" s="233" t="s">
        <v>48</v>
      </c>
      <c r="F3251" s="227" t="s">
        <v>301</v>
      </c>
    </row>
    <row r="3252" spans="1:6" x14ac:dyDescent="0.25">
      <c r="A3252" s="227" t="str">
        <f>TL[[#This Row],[Société]]&amp;" - "&amp;TL[[#This Row],[Compte]]</f>
        <v>R314 - 68725000</v>
      </c>
      <c r="B3252" s="233" t="s">
        <v>3715</v>
      </c>
      <c r="C3252" s="227" t="s">
        <v>622</v>
      </c>
      <c r="F3252" s="227" t="s">
        <v>301</v>
      </c>
    </row>
    <row r="3253" spans="1:6" x14ac:dyDescent="0.25">
      <c r="A3253" s="227" t="str">
        <f>TL[[#This Row],[Société]]&amp;" - "&amp;TL[[#This Row],[Compte]]</f>
        <v>R314 - 69510000</v>
      </c>
      <c r="B3253" s="233" t="s">
        <v>3717</v>
      </c>
      <c r="C3253" s="227" t="s">
        <v>1268</v>
      </c>
      <c r="D3253" s="233" t="s">
        <v>152</v>
      </c>
      <c r="E3253" s="233" t="s">
        <v>1303</v>
      </c>
      <c r="F3253" s="227" t="s">
        <v>301</v>
      </c>
    </row>
    <row r="3254" spans="1:6" x14ac:dyDescent="0.25">
      <c r="A3254" s="227" t="str">
        <f>TL[[#This Row],[Société]]&amp;" - "&amp;TL[[#This Row],[Compte]]</f>
        <v>R314 - 69511000</v>
      </c>
      <c r="B3254" s="233" t="s">
        <v>3718</v>
      </c>
      <c r="C3254" s="227" t="s">
        <v>1269</v>
      </c>
      <c r="D3254" s="233" t="s">
        <v>148</v>
      </c>
      <c r="E3254" s="233" t="s">
        <v>1303</v>
      </c>
      <c r="F3254" s="227" t="s">
        <v>301</v>
      </c>
    </row>
    <row r="3255" spans="1:6" x14ac:dyDescent="0.25">
      <c r="A3255" s="227" t="str">
        <f>TL[[#This Row],[Société]]&amp;" - "&amp;TL[[#This Row],[Compte]]</f>
        <v>R314 - 69810000</v>
      </c>
      <c r="B3255" s="233" t="s">
        <v>6193</v>
      </c>
      <c r="C3255" s="227" t="s">
        <v>1270</v>
      </c>
      <c r="D3255" s="233" t="s">
        <v>152</v>
      </c>
      <c r="F3255" s="227" t="s">
        <v>301</v>
      </c>
    </row>
    <row r="3256" spans="1:6" x14ac:dyDescent="0.25">
      <c r="A3256" s="227" t="str">
        <f>TL[[#This Row],[Société]]&amp;" - "&amp;TL[[#This Row],[Compte]]</f>
        <v>R314 - 69891000</v>
      </c>
      <c r="B3256" s="233" t="s">
        <v>3720</v>
      </c>
      <c r="C3256" s="227" t="s">
        <v>1271</v>
      </c>
      <c r="F3256" s="227" t="s">
        <v>301</v>
      </c>
    </row>
    <row r="3257" spans="1:6" x14ac:dyDescent="0.25">
      <c r="A3257" s="227" t="str">
        <f>TL[[#This Row],[Société]]&amp;" - "&amp;TL[[#This Row],[Compte]]</f>
        <v>R314 - 69892000</v>
      </c>
      <c r="B3257" s="233" t="s">
        <v>3721</v>
      </c>
      <c r="C3257" s="227" t="s">
        <v>237</v>
      </c>
      <c r="F3257" s="227" t="s">
        <v>301</v>
      </c>
    </row>
    <row r="3258" spans="1:6" x14ac:dyDescent="0.25">
      <c r="A3258" s="227" t="str">
        <f>TL[[#This Row],[Société]]&amp;" - "&amp;TL[[#This Row],[Compte]]</f>
        <v>R314 - 69910000</v>
      </c>
      <c r="B3258" s="233" t="s">
        <v>3723</v>
      </c>
      <c r="C3258" s="227" t="s">
        <v>1272</v>
      </c>
      <c r="D3258" s="233" t="s">
        <v>152</v>
      </c>
      <c r="E3258" s="233" t="s">
        <v>1303</v>
      </c>
      <c r="F3258" s="227" t="s">
        <v>301</v>
      </c>
    </row>
    <row r="3259" spans="1:6" x14ac:dyDescent="0.25">
      <c r="A3259" s="227" t="str">
        <f>TL[[#This Row],[Société]]&amp;" - "&amp;TL[[#This Row],[Compte]]</f>
        <v>R314 - 70100100</v>
      </c>
      <c r="B3259" s="233" t="s">
        <v>2613</v>
      </c>
      <c r="C3259" s="227" t="s">
        <v>283</v>
      </c>
      <c r="D3259" s="233" t="s">
        <v>143</v>
      </c>
      <c r="E3259" s="233" t="s">
        <v>5</v>
      </c>
      <c r="F3259" s="227" t="s">
        <v>301</v>
      </c>
    </row>
    <row r="3260" spans="1:6" x14ac:dyDescent="0.25">
      <c r="A3260" s="227" t="str">
        <f>TL[[#This Row],[Société]]&amp;" - "&amp;TL[[#This Row],[Compte]]</f>
        <v>R314 - 70100200</v>
      </c>
      <c r="B3260" s="233" t="s">
        <v>2614</v>
      </c>
      <c r="C3260" s="227" t="s">
        <v>245</v>
      </c>
      <c r="D3260" s="233" t="s">
        <v>143</v>
      </c>
      <c r="E3260" s="233" t="s">
        <v>5</v>
      </c>
      <c r="F3260" s="227" t="s">
        <v>301</v>
      </c>
    </row>
    <row r="3261" spans="1:6" x14ac:dyDescent="0.25">
      <c r="A3261" s="227" t="str">
        <f>TL[[#This Row],[Société]]&amp;" - "&amp;TL[[#This Row],[Compte]]</f>
        <v>R314 - 70100300</v>
      </c>
      <c r="B3261" s="233" t="s">
        <v>3724</v>
      </c>
      <c r="C3261" s="227" t="s">
        <v>623</v>
      </c>
      <c r="D3261" s="233" t="s">
        <v>143</v>
      </c>
      <c r="E3261" s="233" t="s">
        <v>5</v>
      </c>
      <c r="F3261" s="227" t="s">
        <v>301</v>
      </c>
    </row>
    <row r="3262" spans="1:6" x14ac:dyDescent="0.25">
      <c r="A3262" s="227" t="str">
        <f>TL[[#This Row],[Société]]&amp;" - "&amp;TL[[#This Row],[Compte]]</f>
        <v>R314 - 70100400</v>
      </c>
      <c r="B3262" s="233" t="s">
        <v>3725</v>
      </c>
      <c r="C3262" s="227" t="s">
        <v>624</v>
      </c>
      <c r="D3262" s="233" t="s">
        <v>143</v>
      </c>
      <c r="E3262" s="233" t="s">
        <v>5</v>
      </c>
      <c r="F3262" s="227" t="s">
        <v>301</v>
      </c>
    </row>
    <row r="3263" spans="1:6" x14ac:dyDescent="0.25">
      <c r="A3263" s="227" t="str">
        <f>TL[[#This Row],[Société]]&amp;" - "&amp;TL[[#This Row],[Compte]]</f>
        <v>R314 - 70101000</v>
      </c>
      <c r="B3263" s="233" t="s">
        <v>2615</v>
      </c>
      <c r="C3263" s="227" t="s">
        <v>246</v>
      </c>
      <c r="D3263" s="233" t="s">
        <v>143</v>
      </c>
      <c r="E3263" s="233" t="s">
        <v>5</v>
      </c>
      <c r="F3263" s="227" t="s">
        <v>301</v>
      </c>
    </row>
    <row r="3264" spans="1:6" x14ac:dyDescent="0.25">
      <c r="A3264" s="227" t="str">
        <f>TL[[#This Row],[Société]]&amp;" - "&amp;TL[[#This Row],[Compte]]</f>
        <v>R314 - 70102000</v>
      </c>
      <c r="B3264" s="233" t="s">
        <v>2616</v>
      </c>
      <c r="C3264" s="227" t="s">
        <v>251</v>
      </c>
      <c r="D3264" s="233" t="s">
        <v>143</v>
      </c>
      <c r="E3264" s="233" t="s">
        <v>5</v>
      </c>
      <c r="F3264" s="227" t="s">
        <v>301</v>
      </c>
    </row>
    <row r="3265" spans="1:6" x14ac:dyDescent="0.25">
      <c r="A3265" s="227" t="str">
        <f>TL[[#This Row],[Société]]&amp;" - "&amp;TL[[#This Row],[Compte]]</f>
        <v>R314 - 70230000</v>
      </c>
      <c r="B3265" s="233" t="s">
        <v>2740</v>
      </c>
      <c r="C3265" s="227" t="s">
        <v>256</v>
      </c>
      <c r="D3265" s="233" t="s">
        <v>149</v>
      </c>
      <c r="E3265" s="233" t="s">
        <v>3004</v>
      </c>
      <c r="F3265" s="227" t="s">
        <v>301</v>
      </c>
    </row>
    <row r="3266" spans="1:6" x14ac:dyDescent="0.25">
      <c r="A3266" s="227" t="str">
        <f>TL[[#This Row],[Société]]&amp;" - "&amp;TL[[#This Row],[Compte]]</f>
        <v>R314 - 70800000</v>
      </c>
      <c r="B3266" s="233" t="s">
        <v>2620</v>
      </c>
      <c r="C3266" s="227" t="s">
        <v>1509</v>
      </c>
      <c r="D3266" s="233" t="s">
        <v>0</v>
      </c>
      <c r="E3266" s="233" t="s">
        <v>7</v>
      </c>
      <c r="F3266" s="227" t="s">
        <v>301</v>
      </c>
    </row>
    <row r="3267" spans="1:6" x14ac:dyDescent="0.25">
      <c r="A3267" s="227" t="str">
        <f>TL[[#This Row],[Société]]&amp;" - "&amp;TL[[#This Row],[Compte]]</f>
        <v>R314 - 70810000</v>
      </c>
      <c r="B3267" s="233" t="s">
        <v>3729</v>
      </c>
      <c r="C3267" s="227" t="s">
        <v>1273</v>
      </c>
      <c r="D3267" s="233" t="s">
        <v>13</v>
      </c>
      <c r="E3267" s="233" t="s">
        <v>16</v>
      </c>
      <c r="F3267" s="227" t="s">
        <v>301</v>
      </c>
    </row>
    <row r="3268" spans="1:6" x14ac:dyDescent="0.25">
      <c r="A3268" s="227" t="str">
        <f>TL[[#This Row],[Société]]&amp;" - "&amp;TL[[#This Row],[Compte]]</f>
        <v>R314 - 70810100</v>
      </c>
      <c r="B3268" s="233" t="s">
        <v>6194</v>
      </c>
      <c r="C3268" s="227" t="s">
        <v>1274</v>
      </c>
      <c r="D3268" s="233" t="s">
        <v>12</v>
      </c>
      <c r="E3268" s="233" t="s">
        <v>3</v>
      </c>
      <c r="F3268" s="227" t="s">
        <v>301</v>
      </c>
    </row>
    <row r="3269" spans="1:6" x14ac:dyDescent="0.25">
      <c r="A3269" s="227" t="str">
        <f>TL[[#This Row],[Société]]&amp;" - "&amp;TL[[#This Row],[Compte]]</f>
        <v>R314 - 70810200</v>
      </c>
      <c r="B3269" s="233" t="s">
        <v>6195</v>
      </c>
      <c r="C3269" s="227" t="s">
        <v>2957</v>
      </c>
      <c r="D3269" s="239" t="s">
        <v>12</v>
      </c>
      <c r="E3269" s="233" t="s">
        <v>71</v>
      </c>
      <c r="F3269" s="227" t="s">
        <v>301</v>
      </c>
    </row>
    <row r="3270" spans="1:6" x14ac:dyDescent="0.25">
      <c r="A3270" s="227" t="str">
        <f>TL[[#This Row],[Société]]&amp;" - "&amp;TL[[#This Row],[Compte]]</f>
        <v>R314 - 70810400</v>
      </c>
      <c r="B3270" s="233" t="s">
        <v>2640</v>
      </c>
      <c r="C3270" s="227" t="s">
        <v>625</v>
      </c>
      <c r="D3270" s="233" t="s">
        <v>13</v>
      </c>
      <c r="E3270" s="233" t="s">
        <v>12</v>
      </c>
      <c r="F3270" s="227" t="s">
        <v>301</v>
      </c>
    </row>
    <row r="3271" spans="1:6" x14ac:dyDescent="0.25">
      <c r="A3271" s="227" t="str">
        <f>TL[[#This Row],[Société]]&amp;" - "&amp;TL[[#This Row],[Compte]]</f>
        <v>R314 - 70811100</v>
      </c>
      <c r="B3271" s="233" t="s">
        <v>6196</v>
      </c>
      <c r="C3271" s="227" t="s">
        <v>1275</v>
      </c>
      <c r="D3271" s="233" t="s">
        <v>50</v>
      </c>
      <c r="E3271" s="233" t="s">
        <v>2982</v>
      </c>
      <c r="F3271" s="227" t="s">
        <v>301</v>
      </c>
    </row>
    <row r="3272" spans="1:6" x14ac:dyDescent="0.25">
      <c r="A3272" s="227" t="str">
        <f>TL[[#This Row],[Société]]&amp;" - "&amp;TL[[#This Row],[Compte]]</f>
        <v>R314 - 70820000</v>
      </c>
      <c r="B3272" s="233" t="s">
        <v>3730</v>
      </c>
      <c r="C3272" s="227" t="s">
        <v>1276</v>
      </c>
      <c r="D3272" s="233" t="s">
        <v>0</v>
      </c>
      <c r="E3272" s="233" t="s">
        <v>7</v>
      </c>
      <c r="F3272" s="227" t="s">
        <v>301</v>
      </c>
    </row>
    <row r="3273" spans="1:6" x14ac:dyDescent="0.25">
      <c r="A3273" s="227" t="str">
        <f>TL[[#This Row],[Société]]&amp;" - "&amp;TL[[#This Row],[Compte]]</f>
        <v>R314 - 70830000</v>
      </c>
      <c r="B3273" s="233" t="s">
        <v>3731</v>
      </c>
      <c r="C3273" s="227" t="s">
        <v>1277</v>
      </c>
      <c r="D3273" s="233" t="s">
        <v>7</v>
      </c>
      <c r="E3273" s="233" t="s">
        <v>0</v>
      </c>
      <c r="F3273" s="227" t="s">
        <v>301</v>
      </c>
    </row>
    <row r="3274" spans="1:6" x14ac:dyDescent="0.25">
      <c r="A3274" s="227" t="str">
        <f>TL[[#This Row],[Société]]&amp;" - "&amp;TL[[#This Row],[Compte]]</f>
        <v>R314 - 70840000</v>
      </c>
      <c r="B3274" s="233" t="s">
        <v>3732</v>
      </c>
      <c r="C3274" s="227" t="s">
        <v>1278</v>
      </c>
      <c r="D3274" s="233" t="s">
        <v>23</v>
      </c>
      <c r="E3274" s="233" t="s">
        <v>2978</v>
      </c>
      <c r="F3274" s="227" t="s">
        <v>301</v>
      </c>
    </row>
    <row r="3275" spans="1:6" x14ac:dyDescent="0.25">
      <c r="A3275" s="227" t="str">
        <f>TL[[#This Row],[Société]]&amp;" - "&amp;TL[[#This Row],[Compte]]</f>
        <v>R314 - 70850000</v>
      </c>
      <c r="B3275" s="233" t="s">
        <v>3733</v>
      </c>
      <c r="C3275" s="227" t="s">
        <v>1326</v>
      </c>
      <c r="D3275" s="233" t="s">
        <v>150</v>
      </c>
      <c r="E3275" s="233" t="s">
        <v>286</v>
      </c>
      <c r="F3275" s="227" t="s">
        <v>301</v>
      </c>
    </row>
    <row r="3276" spans="1:6" x14ac:dyDescent="0.25">
      <c r="A3276" s="227" t="str">
        <f>TL[[#This Row],[Société]]&amp;" - "&amp;TL[[#This Row],[Compte]]</f>
        <v>R314 - 70851000</v>
      </c>
      <c r="B3276" s="233" t="s">
        <v>6197</v>
      </c>
      <c r="C3276" s="227" t="s">
        <v>1279</v>
      </c>
      <c r="D3276" s="233" t="s">
        <v>18</v>
      </c>
      <c r="E3276" s="233" t="s">
        <v>32</v>
      </c>
      <c r="F3276" s="227" t="s">
        <v>301</v>
      </c>
    </row>
    <row r="3277" spans="1:6" x14ac:dyDescent="0.25">
      <c r="A3277" s="227" t="str">
        <f>TL[[#This Row],[Société]]&amp;" - "&amp;TL[[#This Row],[Compte]]</f>
        <v>R314 - 70860000</v>
      </c>
      <c r="B3277" s="233" t="s">
        <v>3734</v>
      </c>
      <c r="C3277" s="227" t="s">
        <v>1327</v>
      </c>
      <c r="D3277" s="233" t="s">
        <v>18</v>
      </c>
      <c r="E3277" s="233" t="s">
        <v>30</v>
      </c>
      <c r="F3277" s="227" t="s">
        <v>301</v>
      </c>
    </row>
    <row r="3278" spans="1:6" x14ac:dyDescent="0.25">
      <c r="A3278" s="227" t="str">
        <f>TL[[#This Row],[Société]]&amp;" - "&amp;TL[[#This Row],[Compte]]</f>
        <v>R314 - 70870000</v>
      </c>
      <c r="B3278" s="233" t="s">
        <v>3735</v>
      </c>
      <c r="C3278" s="227" t="s">
        <v>1328</v>
      </c>
      <c r="D3278" s="233" t="s">
        <v>50</v>
      </c>
      <c r="E3278" s="233" t="s">
        <v>2979</v>
      </c>
      <c r="F3278" s="227" t="s">
        <v>301</v>
      </c>
    </row>
    <row r="3279" spans="1:6" x14ac:dyDescent="0.25">
      <c r="A3279" s="227" t="str">
        <f>TL[[#This Row],[Société]]&amp;" - "&amp;TL[[#This Row],[Compte]]</f>
        <v>R314 - 70875000</v>
      </c>
      <c r="B3279" s="233" t="s">
        <v>6198</v>
      </c>
      <c r="C3279" s="227" t="s">
        <v>1329</v>
      </c>
      <c r="D3279" s="233" t="s">
        <v>21</v>
      </c>
      <c r="E3279" s="233" t="s">
        <v>2978</v>
      </c>
      <c r="F3279" s="227" t="s">
        <v>301</v>
      </c>
    </row>
    <row r="3280" spans="1:6" x14ac:dyDescent="0.25">
      <c r="A3280" s="227" t="str">
        <f>TL[[#This Row],[Société]]&amp;" - "&amp;TL[[#This Row],[Compte]]</f>
        <v>R314 - 70880000</v>
      </c>
      <c r="B3280" s="233" t="s">
        <v>3736</v>
      </c>
      <c r="C3280" s="227" t="s">
        <v>1280</v>
      </c>
      <c r="D3280" s="233" t="s">
        <v>0</v>
      </c>
      <c r="E3280" s="233" t="s">
        <v>25</v>
      </c>
      <c r="F3280" s="227" t="s">
        <v>301</v>
      </c>
    </row>
    <row r="3281" spans="1:6" x14ac:dyDescent="0.25">
      <c r="A3281" s="227" t="str">
        <f>TL[[#This Row],[Société]]&amp;" - "&amp;TL[[#This Row],[Compte]]</f>
        <v>R314 - 70881000</v>
      </c>
      <c r="B3281" s="233" t="s">
        <v>3737</v>
      </c>
      <c r="C3281" s="227" t="s">
        <v>1281</v>
      </c>
      <c r="D3281" s="233" t="s">
        <v>13</v>
      </c>
      <c r="E3281" s="233" t="s">
        <v>12</v>
      </c>
      <c r="F3281" s="227" t="s">
        <v>301</v>
      </c>
    </row>
    <row r="3282" spans="1:6" x14ac:dyDescent="0.25">
      <c r="A3282" s="227" t="str">
        <f>TL[[#This Row],[Société]]&amp;" - "&amp;TL[[#This Row],[Compte]]</f>
        <v>R314 - 70883000</v>
      </c>
      <c r="B3282" s="233" t="s">
        <v>6199</v>
      </c>
      <c r="C3282" s="227" t="s">
        <v>1282</v>
      </c>
      <c r="D3282" s="233" t="s">
        <v>50</v>
      </c>
      <c r="E3282" s="233" t="s">
        <v>52</v>
      </c>
      <c r="F3282" s="227" t="s">
        <v>301</v>
      </c>
    </row>
    <row r="3283" spans="1:6" x14ac:dyDescent="0.25">
      <c r="A3283" s="227" t="str">
        <f>TL[[#This Row],[Société]]&amp;" - "&amp;TL[[#This Row],[Compte]]</f>
        <v>R314 - 70888200</v>
      </c>
      <c r="B3283" s="233" t="s">
        <v>6200</v>
      </c>
      <c r="C3283" s="227" t="s">
        <v>1330</v>
      </c>
      <c r="D3283" s="233" t="s">
        <v>12</v>
      </c>
      <c r="E3283" s="233" t="s">
        <v>3</v>
      </c>
      <c r="F3283" s="227" t="s">
        <v>301</v>
      </c>
    </row>
    <row r="3284" spans="1:6" x14ac:dyDescent="0.25">
      <c r="A3284" s="227" t="str">
        <f>TL[[#This Row],[Société]]&amp;" - "&amp;TL[[#This Row],[Compte]]</f>
        <v>R314 - 70890000</v>
      </c>
      <c r="B3284" s="233" t="s">
        <v>6201</v>
      </c>
      <c r="C3284" s="227" t="s">
        <v>1331</v>
      </c>
      <c r="D3284" s="233" t="s">
        <v>18</v>
      </c>
      <c r="E3284" s="233" t="s">
        <v>32</v>
      </c>
      <c r="F3284" s="227" t="s">
        <v>301</v>
      </c>
    </row>
    <row r="3285" spans="1:6" x14ac:dyDescent="0.25">
      <c r="A3285" s="227" t="str">
        <f>TL[[#This Row],[Société]]&amp;" - "&amp;TL[[#This Row],[Compte]]</f>
        <v>R314 - 70891000</v>
      </c>
      <c r="B3285" s="233" t="s">
        <v>6202</v>
      </c>
      <c r="C3285" s="227" t="s">
        <v>1283</v>
      </c>
      <c r="D3285" s="233" t="s">
        <v>18</v>
      </c>
      <c r="E3285" s="233" t="s">
        <v>30</v>
      </c>
      <c r="F3285" s="227" t="s">
        <v>301</v>
      </c>
    </row>
    <row r="3286" spans="1:6" x14ac:dyDescent="0.25">
      <c r="A3286" s="227" t="str">
        <f>TL[[#This Row],[Société]]&amp;" - "&amp;TL[[#This Row],[Compte]]</f>
        <v>R314 - 72610000</v>
      </c>
      <c r="B3286" s="233" t="s">
        <v>2629</v>
      </c>
      <c r="C3286" s="227" t="s">
        <v>1332</v>
      </c>
      <c r="D3286" s="233" t="s">
        <v>12</v>
      </c>
      <c r="E3286" s="233" t="s">
        <v>3</v>
      </c>
      <c r="F3286" s="227" t="s">
        <v>301</v>
      </c>
    </row>
    <row r="3287" spans="1:6" x14ac:dyDescent="0.25">
      <c r="A3287" s="227" t="str">
        <f>TL[[#This Row],[Société]]&amp;" - "&amp;TL[[#This Row],[Compte]]</f>
        <v>R314 - 72611000</v>
      </c>
      <c r="B3287" s="233" t="s">
        <v>2641</v>
      </c>
      <c r="C3287" s="227" t="s">
        <v>1333</v>
      </c>
      <c r="D3287" s="233" t="s">
        <v>13</v>
      </c>
      <c r="E3287" s="233" t="s">
        <v>12</v>
      </c>
      <c r="F3287" s="227" t="s">
        <v>301</v>
      </c>
    </row>
    <row r="3288" spans="1:6" x14ac:dyDescent="0.25">
      <c r="A3288" s="227" t="str">
        <f>TL[[#This Row],[Société]]&amp;" - "&amp;TL[[#This Row],[Compte]]</f>
        <v>R314 - 74010000</v>
      </c>
      <c r="B3288" s="233" t="s">
        <v>3740</v>
      </c>
      <c r="C3288" s="227" t="s">
        <v>1284</v>
      </c>
      <c r="D3288" s="233" t="s">
        <v>50</v>
      </c>
      <c r="E3288" s="233" t="s">
        <v>71</v>
      </c>
      <c r="F3288" s="227" t="s">
        <v>301</v>
      </c>
    </row>
    <row r="3289" spans="1:6" x14ac:dyDescent="0.25">
      <c r="A3289" s="227" t="str">
        <f>TL[[#This Row],[Société]]&amp;" - "&amp;TL[[#This Row],[Compte]]</f>
        <v>R314 - 74020000</v>
      </c>
      <c r="B3289" s="233" t="s">
        <v>3741</v>
      </c>
      <c r="C3289" s="227" t="s">
        <v>626</v>
      </c>
      <c r="D3289" s="236" t="s">
        <v>12</v>
      </c>
      <c r="E3289" s="233" t="s">
        <v>2995</v>
      </c>
      <c r="F3289" s="227" t="s">
        <v>301</v>
      </c>
    </row>
    <row r="3290" spans="1:6" x14ac:dyDescent="0.25">
      <c r="A3290" s="227" t="str">
        <f>TL[[#This Row],[Société]]&amp;" - "&amp;TL[[#This Row],[Compte]]</f>
        <v>R314 - 74041000</v>
      </c>
      <c r="B3290" s="233" t="s">
        <v>3744</v>
      </c>
      <c r="C3290" s="227" t="s">
        <v>1541</v>
      </c>
      <c r="D3290" s="233" t="s">
        <v>50</v>
      </c>
      <c r="E3290" s="233" t="s">
        <v>2995</v>
      </c>
      <c r="F3290" s="227" t="s">
        <v>301</v>
      </c>
    </row>
    <row r="3291" spans="1:6" x14ac:dyDescent="0.25">
      <c r="A3291" s="227" t="str">
        <f>TL[[#This Row],[Société]]&amp;" - "&amp;TL[[#This Row],[Compte]]</f>
        <v>R314 - 75800000</v>
      </c>
      <c r="B3291" s="233" t="s">
        <v>3745</v>
      </c>
      <c r="C3291" s="227" t="s">
        <v>311</v>
      </c>
      <c r="D3291" s="233" t="s">
        <v>50</v>
      </c>
      <c r="E3291" s="233" t="s">
        <v>2982</v>
      </c>
      <c r="F3291" s="227" t="s">
        <v>301</v>
      </c>
    </row>
    <row r="3292" spans="1:6" x14ac:dyDescent="0.25">
      <c r="A3292" s="227" t="str">
        <f>TL[[#This Row],[Société]]&amp;" - "&amp;TL[[#This Row],[Compte]]</f>
        <v>R314 - 76400000</v>
      </c>
      <c r="B3292" s="233" t="s">
        <v>3746</v>
      </c>
      <c r="C3292" s="227" t="s">
        <v>627</v>
      </c>
      <c r="D3292" s="233" t="s">
        <v>47</v>
      </c>
      <c r="E3292" s="233" t="s">
        <v>286</v>
      </c>
      <c r="F3292" s="227" t="s">
        <v>301</v>
      </c>
    </row>
    <row r="3293" spans="1:6" x14ac:dyDescent="0.25">
      <c r="A3293" s="227" t="str">
        <f>TL[[#This Row],[Société]]&amp;" - "&amp;TL[[#This Row],[Compte]]</f>
        <v>R314 - 76700000</v>
      </c>
      <c r="B3293" s="233" t="s">
        <v>3748</v>
      </c>
      <c r="C3293" s="227" t="s">
        <v>315</v>
      </c>
      <c r="D3293" s="233" t="s">
        <v>48</v>
      </c>
      <c r="E3293" s="233" t="s">
        <v>286</v>
      </c>
      <c r="F3293" s="227" t="s">
        <v>301</v>
      </c>
    </row>
    <row r="3294" spans="1:6" x14ac:dyDescent="0.25">
      <c r="A3294" s="227" t="str">
        <f>TL[[#This Row],[Société]]&amp;" - "&amp;TL[[#This Row],[Compte]]</f>
        <v>R314 - 76810000</v>
      </c>
      <c r="B3294" s="233" t="s">
        <v>3751</v>
      </c>
      <c r="C3294" s="227" t="s">
        <v>1285</v>
      </c>
      <c r="D3294" s="233" t="s">
        <v>48</v>
      </c>
      <c r="E3294" s="233" t="s">
        <v>286</v>
      </c>
      <c r="F3294" s="227" t="s">
        <v>301</v>
      </c>
    </row>
    <row r="3295" spans="1:6" x14ac:dyDescent="0.25">
      <c r="A3295" s="227" t="str">
        <f>TL[[#This Row],[Société]]&amp;" - "&amp;TL[[#This Row],[Compte]]</f>
        <v>R314 - 77110000</v>
      </c>
      <c r="B3295" s="233" t="s">
        <v>2708</v>
      </c>
      <c r="C3295" s="227" t="s">
        <v>31</v>
      </c>
      <c r="D3295" s="233" t="s">
        <v>30</v>
      </c>
      <c r="E3295" s="233" t="s">
        <v>2982</v>
      </c>
      <c r="F3295" s="227" t="s">
        <v>301</v>
      </c>
    </row>
    <row r="3296" spans="1:6" x14ac:dyDescent="0.25">
      <c r="A3296" s="227" t="str">
        <f>TL[[#This Row],[Société]]&amp;" - "&amp;TL[[#This Row],[Compte]]</f>
        <v>R314 - 77120000</v>
      </c>
      <c r="B3296" s="233" t="s">
        <v>6203</v>
      </c>
      <c r="C3296" s="227" t="s">
        <v>1286</v>
      </c>
      <c r="D3296" s="233" t="s">
        <v>50</v>
      </c>
      <c r="E3296" s="233" t="s">
        <v>2995</v>
      </c>
      <c r="F3296" s="227" t="s">
        <v>301</v>
      </c>
    </row>
    <row r="3297" spans="1:6" x14ac:dyDescent="0.25">
      <c r="A3297" s="227" t="str">
        <f>TL[[#This Row],[Société]]&amp;" - "&amp;TL[[#This Row],[Compte]]</f>
        <v>R314 - 77200000</v>
      </c>
      <c r="B3297" s="233" t="s">
        <v>3753</v>
      </c>
      <c r="C3297" s="227" t="s">
        <v>1287</v>
      </c>
      <c r="D3297" s="233" t="s">
        <v>50</v>
      </c>
      <c r="E3297" s="233" t="s">
        <v>2995</v>
      </c>
      <c r="F3297" s="227" t="s">
        <v>301</v>
      </c>
    </row>
    <row r="3298" spans="1:6" x14ac:dyDescent="0.25">
      <c r="A3298" s="227" t="str">
        <f>TL[[#This Row],[Société]]&amp;" - "&amp;TL[[#This Row],[Compte]]</f>
        <v>R314 - 77500000</v>
      </c>
      <c r="B3298" s="233" t="s">
        <v>6204</v>
      </c>
      <c r="C3298" s="227" t="s">
        <v>1288</v>
      </c>
      <c r="D3298" s="233" t="s">
        <v>50</v>
      </c>
      <c r="E3298" s="233" t="s">
        <v>2995</v>
      </c>
      <c r="F3298" s="227" t="s">
        <v>301</v>
      </c>
    </row>
    <row r="3299" spans="1:6" x14ac:dyDescent="0.25">
      <c r="A3299" s="227" t="str">
        <f>TL[[#This Row],[Société]]&amp;" - "&amp;TL[[#This Row],[Compte]]</f>
        <v>R314 - 77520000</v>
      </c>
      <c r="B3299" s="233" t="s">
        <v>3754</v>
      </c>
      <c r="C3299" s="227" t="s">
        <v>2150</v>
      </c>
      <c r="F3299" s="227" t="s">
        <v>301</v>
      </c>
    </row>
    <row r="3300" spans="1:6" x14ac:dyDescent="0.25">
      <c r="A3300" s="227" t="str">
        <f>TL[[#This Row],[Société]]&amp;" - "&amp;TL[[#This Row],[Compte]]</f>
        <v>R314 - 78111000</v>
      </c>
      <c r="B3300" s="233" t="s">
        <v>3755</v>
      </c>
      <c r="C3300" s="227" t="s">
        <v>628</v>
      </c>
      <c r="D3300" s="233" t="s">
        <v>45</v>
      </c>
      <c r="E3300" s="233" t="s">
        <v>48</v>
      </c>
      <c r="F3300" s="227" t="s">
        <v>301</v>
      </c>
    </row>
    <row r="3301" spans="1:6" x14ac:dyDescent="0.25">
      <c r="A3301" s="227" t="str">
        <f>TL[[#This Row],[Société]]&amp;" - "&amp;TL[[#This Row],[Compte]]</f>
        <v>R314 - 78112000</v>
      </c>
      <c r="B3301" s="233" t="s">
        <v>3756</v>
      </c>
      <c r="C3301" s="227" t="s">
        <v>264</v>
      </c>
      <c r="D3301" s="233" t="s">
        <v>45</v>
      </c>
      <c r="E3301" s="233" t="s">
        <v>48</v>
      </c>
      <c r="F3301" s="227" t="s">
        <v>301</v>
      </c>
    </row>
    <row r="3302" spans="1:6" x14ac:dyDescent="0.25">
      <c r="A3302" s="227" t="str">
        <f>TL[[#This Row],[Société]]&amp;" - "&amp;TL[[#This Row],[Compte]]</f>
        <v>R314 - 78150000</v>
      </c>
      <c r="B3302" s="233" t="s">
        <v>3757</v>
      </c>
      <c r="C3302" s="227" t="s">
        <v>1289</v>
      </c>
      <c r="D3302" s="233" t="s">
        <v>152</v>
      </c>
      <c r="E3302" s="233" t="s">
        <v>48</v>
      </c>
      <c r="F3302" s="227" t="s">
        <v>301</v>
      </c>
    </row>
    <row r="3303" spans="1:6" x14ac:dyDescent="0.25">
      <c r="A3303" s="227" t="str">
        <f>TL[[#This Row],[Société]]&amp;" - "&amp;TL[[#This Row],[Compte]]</f>
        <v>R314 - 78665000</v>
      </c>
      <c r="B3303" s="233" t="s">
        <v>6205</v>
      </c>
      <c r="C3303" s="227" t="s">
        <v>1290</v>
      </c>
      <c r="D3303" s="233" t="s">
        <v>152</v>
      </c>
      <c r="E3303" s="233" t="s">
        <v>48</v>
      </c>
      <c r="F3303" s="227" t="s">
        <v>301</v>
      </c>
    </row>
    <row r="3304" spans="1:6" x14ac:dyDescent="0.25">
      <c r="A3304" s="227" t="str">
        <f>TL[[#This Row],[Société]]&amp;" - "&amp;TL[[#This Row],[Compte]]</f>
        <v>R314 - 78725000</v>
      </c>
      <c r="B3304" s="233" t="s">
        <v>3760</v>
      </c>
      <c r="C3304" s="227" t="s">
        <v>629</v>
      </c>
      <c r="D3304" s="233" t="s">
        <v>45</v>
      </c>
      <c r="E3304" s="233" t="s">
        <v>48</v>
      </c>
      <c r="F3304" s="227" t="s">
        <v>301</v>
      </c>
    </row>
    <row r="3305" spans="1:6" x14ac:dyDescent="0.25">
      <c r="A3305" s="227" t="str">
        <f>TL[[#This Row],[Société]]&amp;" - "&amp;TL[[#This Row],[Compte]]</f>
        <v>R314 - 79100000</v>
      </c>
      <c r="B3305" s="233" t="s">
        <v>3761</v>
      </c>
      <c r="C3305" s="227" t="s">
        <v>1291</v>
      </c>
      <c r="D3305" s="233" t="s">
        <v>50</v>
      </c>
      <c r="E3305" s="233" t="s">
        <v>52</v>
      </c>
      <c r="F3305" s="227" t="s">
        <v>301</v>
      </c>
    </row>
    <row r="3306" spans="1:6" x14ac:dyDescent="0.25">
      <c r="A3306" s="227" t="str">
        <f>TL[[#This Row],[Société]]&amp;" - "&amp;TL[[#This Row],[Compte]]</f>
        <v>R314 - 79110000</v>
      </c>
      <c r="B3306" s="233" t="s">
        <v>3762</v>
      </c>
      <c r="C3306" s="227" t="s">
        <v>630</v>
      </c>
      <c r="D3306" s="233" t="s">
        <v>13</v>
      </c>
      <c r="E3306" s="233" t="s">
        <v>12</v>
      </c>
      <c r="F3306" s="227" t="s">
        <v>301</v>
      </c>
    </row>
    <row r="3307" spans="1:6" x14ac:dyDescent="0.25">
      <c r="A3307" s="227" t="str">
        <f>TL[[#This Row],[Société]]&amp;" - "&amp;TL[[#This Row],[Compte]]</f>
        <v>R314 - 79110100</v>
      </c>
      <c r="B3307" s="233" t="s">
        <v>3763</v>
      </c>
      <c r="C3307" s="227" t="s">
        <v>1292</v>
      </c>
      <c r="D3307" s="233" t="s">
        <v>12</v>
      </c>
      <c r="E3307" s="233" t="s">
        <v>3</v>
      </c>
      <c r="F3307" s="227" t="s">
        <v>301</v>
      </c>
    </row>
    <row r="3308" spans="1:6" x14ac:dyDescent="0.25">
      <c r="A3308" s="227" t="str">
        <f>TL[[#This Row],[Société]]&amp;" - "&amp;TL[[#This Row],[Compte]]</f>
        <v>R314 - 79110400</v>
      </c>
      <c r="B3308" s="233" t="s">
        <v>3764</v>
      </c>
      <c r="C3308" s="227" t="s">
        <v>1293</v>
      </c>
      <c r="D3308" s="233" t="s">
        <v>13</v>
      </c>
      <c r="E3308" s="233" t="s">
        <v>12</v>
      </c>
      <c r="F3308" s="227" t="s">
        <v>301</v>
      </c>
    </row>
    <row r="3309" spans="1:6" x14ac:dyDescent="0.25">
      <c r="A3309" s="227" t="str">
        <f>TL[[#This Row],[Société]]&amp;" - "&amp;TL[[#This Row],[Compte]]</f>
        <v>R314 - 79110500</v>
      </c>
      <c r="B3309" s="233" t="s">
        <v>3765</v>
      </c>
      <c r="C3309" s="227" t="s">
        <v>1294</v>
      </c>
      <c r="D3309" s="233" t="s">
        <v>12</v>
      </c>
      <c r="E3309" s="233" t="s">
        <v>3</v>
      </c>
      <c r="F3309" s="227" t="s">
        <v>301</v>
      </c>
    </row>
    <row r="3310" spans="1:6" x14ac:dyDescent="0.25">
      <c r="A3310" s="227" t="str">
        <f>TL[[#This Row],[Société]]&amp;" - "&amp;TL[[#This Row],[Compte]]</f>
        <v>R314 - 79110600</v>
      </c>
      <c r="B3310" s="233" t="s">
        <v>6206</v>
      </c>
      <c r="C3310" s="227" t="s">
        <v>2112</v>
      </c>
      <c r="D3310" s="233" t="s">
        <v>13</v>
      </c>
      <c r="E3310" s="233" t="s">
        <v>12</v>
      </c>
      <c r="F3310" s="227" t="s">
        <v>301</v>
      </c>
    </row>
    <row r="3311" spans="1:6" x14ac:dyDescent="0.25">
      <c r="A3311" s="227" t="str">
        <f>TL[[#This Row],[Société]]&amp;" - "&amp;TL[[#This Row],[Compte]]</f>
        <v>R314 - 79111000</v>
      </c>
      <c r="B3311" s="233" t="s">
        <v>3766</v>
      </c>
      <c r="C3311" s="227" t="s">
        <v>1295</v>
      </c>
      <c r="D3311" s="233" t="s">
        <v>12</v>
      </c>
      <c r="E3311" s="233" t="s">
        <v>3</v>
      </c>
      <c r="F3311" s="227" t="s">
        <v>301</v>
      </c>
    </row>
    <row r="3312" spans="1:6" x14ac:dyDescent="0.25">
      <c r="A3312" s="227" t="str">
        <f>TL[[#This Row],[Société]]&amp;" - "&amp;TL[[#This Row],[Compte]]</f>
        <v>R314 - 79120000</v>
      </c>
      <c r="B3312" s="233" t="s">
        <v>3767</v>
      </c>
      <c r="C3312" s="227" t="s">
        <v>1296</v>
      </c>
      <c r="D3312" s="233" t="s">
        <v>152</v>
      </c>
      <c r="E3312" s="233" t="s">
        <v>52</v>
      </c>
      <c r="F3312" s="227" t="s">
        <v>301</v>
      </c>
    </row>
    <row r="3313" spans="1:6" x14ac:dyDescent="0.25">
      <c r="A3313" s="227" t="str">
        <f>TL[[#This Row],[Société]]&amp;" - "&amp;TL[[#This Row],[Compte]]</f>
        <v>R314 - 89000000</v>
      </c>
      <c r="B3313" s="233" t="s">
        <v>3772</v>
      </c>
      <c r="C3313" s="227" t="s">
        <v>631</v>
      </c>
      <c r="F3313" s="227" t="s">
        <v>301</v>
      </c>
    </row>
    <row r="3314" spans="1:6" x14ac:dyDescent="0.25">
      <c r="A3314" s="227" t="str">
        <f>TL[[#This Row],[Société]]&amp;" - "&amp;TL[[#This Row],[Compte]]</f>
        <v>R314 - 90604100</v>
      </c>
      <c r="B3314" s="233" t="s">
        <v>6207</v>
      </c>
      <c r="C3314" s="227" t="s">
        <v>1297</v>
      </c>
      <c r="F3314" s="227" t="s">
        <v>301</v>
      </c>
    </row>
    <row r="3315" spans="1:6" x14ac:dyDescent="0.25">
      <c r="A3315" s="227" t="str">
        <f>TL[[#This Row],[Société]]&amp;" - "&amp;TL[[#This Row],[Compte]]</f>
        <v>R314 - 92208750</v>
      </c>
      <c r="B3315" s="233" t="s">
        <v>6208</v>
      </c>
      <c r="C3315" s="227" t="s">
        <v>1298</v>
      </c>
      <c r="F3315" s="227" t="s">
        <v>301</v>
      </c>
    </row>
    <row r="3316" spans="1:6" x14ac:dyDescent="0.25">
      <c r="A3316" s="227" t="str">
        <f>TL[[#This Row],[Société]]&amp;" - "&amp;TL[[#This Row],[Compte]]</f>
        <v>TIRR - 101100</v>
      </c>
      <c r="B3316" s="233" t="s">
        <v>1803</v>
      </c>
      <c r="C3316" s="227" t="s">
        <v>640</v>
      </c>
      <c r="F3316" s="227" t="s">
        <v>210</v>
      </c>
    </row>
    <row r="3317" spans="1:6" x14ac:dyDescent="0.25">
      <c r="A3317" s="227" t="str">
        <f>TL[[#This Row],[Société]]&amp;" - "&amp;TL[[#This Row],[Compte]]</f>
        <v>TIRR - 101300</v>
      </c>
      <c r="B3317" s="233" t="s">
        <v>1638</v>
      </c>
      <c r="C3317" s="227" t="s">
        <v>540</v>
      </c>
      <c r="F3317" s="227" t="s">
        <v>210</v>
      </c>
    </row>
    <row r="3318" spans="1:6" x14ac:dyDescent="0.25">
      <c r="A3318" s="227" t="str">
        <f>TL[[#This Row],[Société]]&amp;" - "&amp;TL[[#This Row],[Compte]]</f>
        <v>TIRR - 106100</v>
      </c>
      <c r="B3318" s="233" t="s">
        <v>1640</v>
      </c>
      <c r="C3318" s="227" t="s">
        <v>6209</v>
      </c>
      <c r="F3318" s="227" t="s">
        <v>210</v>
      </c>
    </row>
    <row r="3319" spans="1:6" x14ac:dyDescent="0.25">
      <c r="A3319" s="227" t="str">
        <f>TL[[#This Row],[Société]]&amp;" - "&amp;TL[[#This Row],[Compte]]</f>
        <v>TIRR - 106300</v>
      </c>
      <c r="B3319" s="233" t="s">
        <v>3052</v>
      </c>
      <c r="C3319" s="227" t="s">
        <v>3053</v>
      </c>
      <c r="F3319" s="227" t="s">
        <v>210</v>
      </c>
    </row>
    <row r="3320" spans="1:6" x14ac:dyDescent="0.25">
      <c r="A3320" s="227" t="str">
        <f>TL[[#This Row],[Société]]&amp;" - "&amp;TL[[#This Row],[Compte]]</f>
        <v>TIRR - 106800</v>
      </c>
      <c r="B3320" s="233" t="s">
        <v>1641</v>
      </c>
      <c r="C3320" s="227" t="s">
        <v>541</v>
      </c>
      <c r="F3320" s="227" t="s">
        <v>210</v>
      </c>
    </row>
    <row r="3321" spans="1:6" x14ac:dyDescent="0.25">
      <c r="A3321" s="227" t="str">
        <f>TL[[#This Row],[Société]]&amp;" - "&amp;TL[[#This Row],[Compte]]</f>
        <v>TIRR - 110000</v>
      </c>
      <c r="B3321" s="233" t="s">
        <v>3824</v>
      </c>
      <c r="C3321" s="227" t="s">
        <v>1418</v>
      </c>
      <c r="F3321" s="227" t="s">
        <v>210</v>
      </c>
    </row>
    <row r="3322" spans="1:6" x14ac:dyDescent="0.25">
      <c r="A3322" s="227" t="str">
        <f>TL[[#This Row],[Société]]&amp;" - "&amp;TL[[#This Row],[Compte]]</f>
        <v>TIRR - 120000</v>
      </c>
      <c r="B3322" s="233" t="s">
        <v>1643</v>
      </c>
      <c r="C3322" s="227" t="s">
        <v>542</v>
      </c>
      <c r="F3322" s="227" t="s">
        <v>210</v>
      </c>
    </row>
    <row r="3323" spans="1:6" x14ac:dyDescent="0.25">
      <c r="A3323" s="227" t="str">
        <f>TL[[#This Row],[Société]]&amp;" - "&amp;TL[[#This Row],[Compte]]</f>
        <v>TIRR - 12200;</v>
      </c>
      <c r="B3323" s="233" t="s">
        <v>6210</v>
      </c>
      <c r="C3323" s="227" t="s">
        <v>6211</v>
      </c>
      <c r="F3323" s="227" t="s">
        <v>210</v>
      </c>
    </row>
    <row r="3324" spans="1:6" x14ac:dyDescent="0.25">
      <c r="A3324" s="227" t="str">
        <f>TL[[#This Row],[Société]]&amp;" - "&amp;TL[[#This Row],[Compte]]</f>
        <v>TIRR - 128000</v>
      </c>
      <c r="B3324" s="233" t="s">
        <v>3054</v>
      </c>
      <c r="C3324" s="227" t="s">
        <v>3055</v>
      </c>
      <c r="F3324" s="227" t="s">
        <v>210</v>
      </c>
    </row>
    <row r="3325" spans="1:6" x14ac:dyDescent="0.25">
      <c r="A3325" s="227" t="str">
        <f>TL[[#This Row],[Société]]&amp;" - "&amp;TL[[#This Row],[Compte]]</f>
        <v>TIRR - 129000</v>
      </c>
      <c r="B3325" s="233" t="s">
        <v>1637</v>
      </c>
      <c r="C3325" s="227" t="s">
        <v>543</v>
      </c>
      <c r="F3325" s="227" t="s">
        <v>210</v>
      </c>
    </row>
    <row r="3326" spans="1:6" x14ac:dyDescent="0.25">
      <c r="A3326" s="227" t="str">
        <f>TL[[#This Row],[Société]]&amp;" - "&amp;TL[[#This Row],[Compte]]</f>
        <v>TIRR - 145000</v>
      </c>
      <c r="B3326" s="233" t="s">
        <v>1805</v>
      </c>
      <c r="C3326" s="227" t="s">
        <v>544</v>
      </c>
      <c r="F3326" s="227" t="s">
        <v>210</v>
      </c>
    </row>
    <row r="3327" spans="1:6" x14ac:dyDescent="0.25">
      <c r="A3327" s="227" t="str">
        <f>TL[[#This Row],[Société]]&amp;" - "&amp;TL[[#This Row],[Compte]]</f>
        <v>TIRR - 151800</v>
      </c>
      <c r="B3327" s="233" t="s">
        <v>1806</v>
      </c>
      <c r="C3327" s="227" t="s">
        <v>6212</v>
      </c>
      <c r="F3327" s="227" t="s">
        <v>210</v>
      </c>
    </row>
    <row r="3328" spans="1:6" x14ac:dyDescent="0.25">
      <c r="A3328" s="227" t="str">
        <f>TL[[#This Row],[Société]]&amp;" - "&amp;TL[[#This Row],[Compte]]</f>
        <v>TIRR - 153000</v>
      </c>
      <c r="B3328" s="233" t="s">
        <v>1644</v>
      </c>
      <c r="C3328" s="227" t="s">
        <v>546</v>
      </c>
      <c r="F3328" s="227" t="s">
        <v>210</v>
      </c>
    </row>
    <row r="3329" spans="1:6" x14ac:dyDescent="0.25">
      <c r="A3329" s="227" t="str">
        <f>TL[[#This Row],[Société]]&amp;" - "&amp;TL[[#This Row],[Compte]]</f>
        <v>TIRR - 158000</v>
      </c>
      <c r="B3329" s="233" t="s">
        <v>1645</v>
      </c>
      <c r="C3329" s="227" t="s">
        <v>547</v>
      </c>
      <c r="F3329" s="227" t="s">
        <v>210</v>
      </c>
    </row>
    <row r="3330" spans="1:6" x14ac:dyDescent="0.25">
      <c r="A3330" s="227" t="str">
        <f>TL[[#This Row],[Société]]&amp;" - "&amp;TL[[#This Row],[Compte]]</f>
        <v>TIRR - 164200</v>
      </c>
      <c r="B3330" s="233" t="s">
        <v>1808</v>
      </c>
      <c r="C3330" s="227" t="s">
        <v>6213</v>
      </c>
      <c r="F3330" s="227" t="s">
        <v>210</v>
      </c>
    </row>
    <row r="3331" spans="1:6" x14ac:dyDescent="0.25">
      <c r="A3331" s="227" t="str">
        <f>TL[[#This Row],[Société]]&amp;" - "&amp;TL[[#This Row],[Compte]]</f>
        <v>TIRR - 164300</v>
      </c>
      <c r="B3331" s="233" t="s">
        <v>1646</v>
      </c>
      <c r="C3331" s="227" t="s">
        <v>6214</v>
      </c>
      <c r="F3331" s="227" t="s">
        <v>210</v>
      </c>
    </row>
    <row r="3332" spans="1:6" x14ac:dyDescent="0.25">
      <c r="A3332" s="227" t="str">
        <f>TL[[#This Row],[Société]]&amp;" - "&amp;TL[[#This Row],[Compte]]</f>
        <v>TIRR - 164400</v>
      </c>
      <c r="B3332" s="233" t="s">
        <v>1647</v>
      </c>
      <c r="C3332" s="227" t="s">
        <v>6215</v>
      </c>
      <c r="F3332" s="227" t="s">
        <v>210</v>
      </c>
    </row>
    <row r="3333" spans="1:6" x14ac:dyDescent="0.25">
      <c r="A3333" s="227" t="str">
        <f>TL[[#This Row],[Société]]&amp;" - "&amp;TL[[#This Row],[Compte]]</f>
        <v>TIRR - 164500</v>
      </c>
      <c r="B3333" s="233" t="s">
        <v>1648</v>
      </c>
      <c r="C3333" s="227" t="s">
        <v>6216</v>
      </c>
      <c r="F3333" s="227" t="s">
        <v>210</v>
      </c>
    </row>
    <row r="3334" spans="1:6" x14ac:dyDescent="0.25">
      <c r="A3334" s="227" t="str">
        <f>TL[[#This Row],[Société]]&amp;" - "&amp;TL[[#This Row],[Compte]]</f>
        <v>TIRR - 168400</v>
      </c>
      <c r="B3334" s="233" t="s">
        <v>6217</v>
      </c>
      <c r="C3334" s="227" t="s">
        <v>6218</v>
      </c>
      <c r="F3334" s="227" t="s">
        <v>210</v>
      </c>
    </row>
    <row r="3335" spans="1:6" x14ac:dyDescent="0.25">
      <c r="A3335" s="227" t="str">
        <f>TL[[#This Row],[Société]]&amp;" - "&amp;TL[[#This Row],[Compte]]</f>
        <v>TIRR - 205000</v>
      </c>
      <c r="B3335" s="233" t="s">
        <v>1651</v>
      </c>
      <c r="C3335" s="227" t="s">
        <v>958</v>
      </c>
      <c r="F3335" s="227" t="s">
        <v>210</v>
      </c>
    </row>
    <row r="3336" spans="1:6" x14ac:dyDescent="0.25">
      <c r="A3336" s="227" t="str">
        <f>TL[[#This Row],[Société]]&amp;" - "&amp;TL[[#This Row],[Compte]]</f>
        <v>TIRR - 215400</v>
      </c>
      <c r="B3336" s="233" t="s">
        <v>1652</v>
      </c>
      <c r="C3336" s="227" t="s">
        <v>3067</v>
      </c>
      <c r="F3336" s="227" t="s">
        <v>210</v>
      </c>
    </row>
    <row r="3337" spans="1:6" x14ac:dyDescent="0.25">
      <c r="A3337" s="227" t="str">
        <f>TL[[#This Row],[Société]]&amp;" - "&amp;TL[[#This Row],[Compte]]</f>
        <v>TIRR - 215500</v>
      </c>
      <c r="B3337" s="233" t="s">
        <v>1653</v>
      </c>
      <c r="C3337" s="227" t="s">
        <v>551</v>
      </c>
      <c r="F3337" s="227" t="s">
        <v>210</v>
      </c>
    </row>
    <row r="3338" spans="1:6" x14ac:dyDescent="0.25">
      <c r="A3338" s="227" t="str">
        <f>TL[[#This Row],[Société]]&amp;" - "&amp;TL[[#This Row],[Compte]]</f>
        <v>TIRR - 218100</v>
      </c>
      <c r="B3338" s="233" t="s">
        <v>1654</v>
      </c>
      <c r="C3338" s="227" t="s">
        <v>3068</v>
      </c>
      <c r="F3338" s="227" t="s">
        <v>210</v>
      </c>
    </row>
    <row r="3339" spans="1:6" x14ac:dyDescent="0.25">
      <c r="A3339" s="227" t="str">
        <f>TL[[#This Row],[Société]]&amp;" - "&amp;TL[[#This Row],[Compte]]</f>
        <v>TIRR - 218200</v>
      </c>
      <c r="B3339" s="233" t="s">
        <v>1812</v>
      </c>
      <c r="C3339" s="227" t="s">
        <v>553</v>
      </c>
      <c r="F3339" s="227" t="s">
        <v>210</v>
      </c>
    </row>
    <row r="3340" spans="1:6" x14ac:dyDescent="0.25">
      <c r="A3340" s="227" t="str">
        <f>TL[[#This Row],[Société]]&amp;" - "&amp;TL[[#This Row],[Compte]]</f>
        <v>TIRR - 218300</v>
      </c>
      <c r="B3340" s="233" t="s">
        <v>1655</v>
      </c>
      <c r="C3340" s="227" t="s">
        <v>6219</v>
      </c>
      <c r="F3340" s="227" t="s">
        <v>210</v>
      </c>
    </row>
    <row r="3341" spans="1:6" x14ac:dyDescent="0.25">
      <c r="A3341" s="227" t="str">
        <f>TL[[#This Row],[Société]]&amp;" - "&amp;TL[[#This Row],[Compte]]</f>
        <v>TIRR - 218400</v>
      </c>
      <c r="B3341" s="233" t="s">
        <v>1656</v>
      </c>
      <c r="C3341" s="227" t="s">
        <v>3070</v>
      </c>
      <c r="F3341" s="227" t="s">
        <v>210</v>
      </c>
    </row>
    <row r="3342" spans="1:6" x14ac:dyDescent="0.25">
      <c r="A3342" s="227" t="str">
        <f>TL[[#This Row],[Société]]&amp;" - "&amp;TL[[#This Row],[Compte]]</f>
        <v>TIRR - 231000</v>
      </c>
      <c r="B3342" s="233" t="s">
        <v>1813</v>
      </c>
      <c r="C3342" s="227" t="s">
        <v>5839</v>
      </c>
      <c r="F3342" s="227" t="s">
        <v>210</v>
      </c>
    </row>
    <row r="3343" spans="1:6" x14ac:dyDescent="0.25">
      <c r="A3343" s="227" t="str">
        <f>TL[[#This Row],[Société]]&amp;" - "&amp;TL[[#This Row],[Compte]]</f>
        <v>TIRR - 275000</v>
      </c>
      <c r="B3343" s="233" t="s">
        <v>1815</v>
      </c>
      <c r="C3343" s="227" t="s">
        <v>556</v>
      </c>
      <c r="F3343" s="227" t="s">
        <v>210</v>
      </c>
    </row>
    <row r="3344" spans="1:6" x14ac:dyDescent="0.25">
      <c r="A3344" s="227" t="str">
        <f>TL[[#This Row],[Société]]&amp;" - "&amp;TL[[#This Row],[Compte]]</f>
        <v>TIRR - 280500</v>
      </c>
      <c r="B3344" s="233" t="s">
        <v>1657</v>
      </c>
      <c r="C3344" s="227" t="s">
        <v>964</v>
      </c>
      <c r="F3344" s="227" t="s">
        <v>210</v>
      </c>
    </row>
    <row r="3345" spans="1:6" x14ac:dyDescent="0.25">
      <c r="A3345" s="227" t="str">
        <f>TL[[#This Row],[Société]]&amp;" - "&amp;TL[[#This Row],[Compte]]</f>
        <v>TIRR - 281540</v>
      </c>
      <c r="B3345" s="233" t="s">
        <v>1658</v>
      </c>
      <c r="C3345" s="227" t="s">
        <v>1098</v>
      </c>
      <c r="F3345" s="227" t="s">
        <v>210</v>
      </c>
    </row>
    <row r="3346" spans="1:6" x14ac:dyDescent="0.25">
      <c r="A3346" s="227" t="str">
        <f>TL[[#This Row],[Société]]&amp;" - "&amp;TL[[#This Row],[Compte]]</f>
        <v>TIRR - 281550</v>
      </c>
      <c r="B3346" s="233" t="s">
        <v>1659</v>
      </c>
      <c r="C3346" s="227" t="s">
        <v>559</v>
      </c>
      <c r="F3346" s="227" t="s">
        <v>210</v>
      </c>
    </row>
    <row r="3347" spans="1:6" x14ac:dyDescent="0.25">
      <c r="A3347" s="227" t="str">
        <f>TL[[#This Row],[Société]]&amp;" - "&amp;TL[[#This Row],[Compte]]</f>
        <v>TIRR - 281810</v>
      </c>
      <c r="B3347" s="233" t="s">
        <v>1660</v>
      </c>
      <c r="C3347" s="227" t="s">
        <v>968</v>
      </c>
      <c r="F3347" s="227" t="s">
        <v>210</v>
      </c>
    </row>
    <row r="3348" spans="1:6" x14ac:dyDescent="0.25">
      <c r="A3348" s="227" t="str">
        <f>TL[[#This Row],[Société]]&amp;" - "&amp;TL[[#This Row],[Compte]]</f>
        <v>TIRR - 281830</v>
      </c>
      <c r="B3348" s="233" t="s">
        <v>1661</v>
      </c>
      <c r="C3348" s="227" t="s">
        <v>969</v>
      </c>
      <c r="F3348" s="227" t="s">
        <v>210</v>
      </c>
    </row>
    <row r="3349" spans="1:6" x14ac:dyDescent="0.25">
      <c r="A3349" s="227" t="str">
        <f>TL[[#This Row],[Société]]&amp;" - "&amp;TL[[#This Row],[Compte]]</f>
        <v>TIRR - 281840</v>
      </c>
      <c r="B3349" s="233" t="s">
        <v>1662</v>
      </c>
      <c r="C3349" s="227" t="s">
        <v>970</v>
      </c>
      <c r="F3349" s="227" t="s">
        <v>210</v>
      </c>
    </row>
    <row r="3350" spans="1:6" x14ac:dyDescent="0.25">
      <c r="A3350" s="227" t="str">
        <f>TL[[#This Row],[Société]]&amp;" - "&amp;TL[[#This Row],[Compte]]</f>
        <v>TIRR - 310000</v>
      </c>
      <c r="B3350" s="233" t="s">
        <v>1663</v>
      </c>
      <c r="C3350" s="227" t="s">
        <v>4282</v>
      </c>
      <c r="F3350" s="227" t="s">
        <v>210</v>
      </c>
    </row>
    <row r="3351" spans="1:6" x14ac:dyDescent="0.25">
      <c r="A3351" s="227" t="str">
        <f>TL[[#This Row],[Société]]&amp;" - "&amp;TL[[#This Row],[Compte]]</f>
        <v>TIRR - 320000</v>
      </c>
      <c r="B3351" s="233" t="s">
        <v>1664</v>
      </c>
      <c r="C3351" s="227" t="s">
        <v>562</v>
      </c>
      <c r="F3351" s="227" t="s">
        <v>210</v>
      </c>
    </row>
    <row r="3352" spans="1:6" x14ac:dyDescent="0.25">
      <c r="A3352" s="227" t="str">
        <f>TL[[#This Row],[Société]]&amp;" - "&amp;TL[[#This Row],[Compte]]</f>
        <v>TIRR - 321000</v>
      </c>
      <c r="B3352" s="233" t="s">
        <v>1665</v>
      </c>
      <c r="C3352" s="227" t="s">
        <v>6220</v>
      </c>
      <c r="F3352" s="227" t="s">
        <v>210</v>
      </c>
    </row>
    <row r="3353" spans="1:6" x14ac:dyDescent="0.25">
      <c r="A3353" s="227" t="str">
        <f>TL[[#This Row],[Société]]&amp;" - "&amp;TL[[#This Row],[Compte]]</f>
        <v>TIRR - 401000</v>
      </c>
      <c r="B3353" s="233" t="s">
        <v>1581</v>
      </c>
      <c r="C3353" s="227" t="s">
        <v>564</v>
      </c>
      <c r="F3353" s="227" t="s">
        <v>210</v>
      </c>
    </row>
    <row r="3354" spans="1:6" x14ac:dyDescent="0.25">
      <c r="A3354" s="227" t="str">
        <f>TL[[#This Row],[Société]]&amp;" - "&amp;TL[[#This Row],[Compte]]</f>
        <v>TIRR - 401999</v>
      </c>
      <c r="B3354" s="233" t="s">
        <v>5669</v>
      </c>
      <c r="C3354" s="227" t="s">
        <v>6221</v>
      </c>
      <c r="F3354" s="227" t="s">
        <v>210</v>
      </c>
    </row>
    <row r="3355" spans="1:6" x14ac:dyDescent="0.25">
      <c r="A3355" s="227" t="str">
        <f>TL[[#This Row],[Société]]&amp;" - "&amp;TL[[#This Row],[Compte]]</f>
        <v>TIRR - 404110</v>
      </c>
      <c r="B3355" s="233" t="s">
        <v>1824</v>
      </c>
      <c r="C3355" s="227" t="s">
        <v>664</v>
      </c>
      <c r="F3355" s="227" t="s">
        <v>210</v>
      </c>
    </row>
    <row r="3356" spans="1:6" x14ac:dyDescent="0.25">
      <c r="A3356" s="227" t="str">
        <f>TL[[#This Row],[Société]]&amp;" - "&amp;TL[[#This Row],[Compte]]</f>
        <v>TIRR - 408100</v>
      </c>
      <c r="B3356" s="233" t="s">
        <v>1666</v>
      </c>
      <c r="C3356" s="227" t="s">
        <v>975</v>
      </c>
      <c r="F3356" s="227" t="s">
        <v>210</v>
      </c>
    </row>
    <row r="3357" spans="1:6" x14ac:dyDescent="0.25">
      <c r="A3357" s="227" t="str">
        <f>TL[[#This Row],[Société]]&amp;" - "&amp;TL[[#This Row],[Compte]]</f>
        <v>TIRR - 409100</v>
      </c>
      <c r="B3357" s="233" t="s">
        <v>1667</v>
      </c>
      <c r="C3357" s="227" t="s">
        <v>6222</v>
      </c>
      <c r="F3357" s="227" t="s">
        <v>210</v>
      </c>
    </row>
    <row r="3358" spans="1:6" x14ac:dyDescent="0.25">
      <c r="A3358" s="227" t="str">
        <f>TL[[#This Row],[Société]]&amp;" - "&amp;TL[[#This Row],[Compte]]</f>
        <v>TIRR - 409600</v>
      </c>
      <c r="B3358" s="233" t="s">
        <v>1632</v>
      </c>
      <c r="C3358" s="227" t="s">
        <v>6223</v>
      </c>
      <c r="F3358" s="227" t="s">
        <v>210</v>
      </c>
    </row>
    <row r="3359" spans="1:6" x14ac:dyDescent="0.25">
      <c r="A3359" s="227" t="str">
        <f>TL[[#This Row],[Société]]&amp;" - "&amp;TL[[#This Row],[Compte]]</f>
        <v>TIRR - 409700</v>
      </c>
      <c r="B3359" s="233" t="s">
        <v>1825</v>
      </c>
      <c r="C3359" s="227" t="s">
        <v>979</v>
      </c>
      <c r="F3359" s="227" t="s">
        <v>210</v>
      </c>
    </row>
    <row r="3360" spans="1:6" x14ac:dyDescent="0.25">
      <c r="A3360" s="227" t="str">
        <f>TL[[#This Row],[Société]]&amp;" - "&amp;TL[[#This Row],[Compte]]</f>
        <v>TIRR - 409800</v>
      </c>
      <c r="B3360" s="233" t="s">
        <v>1668</v>
      </c>
      <c r="C3360" s="227" t="s">
        <v>980</v>
      </c>
      <c r="F3360" s="227" t="s">
        <v>210</v>
      </c>
    </row>
    <row r="3361" spans="1:6" x14ac:dyDescent="0.25">
      <c r="A3361" s="227" t="str">
        <f>TL[[#This Row],[Société]]&amp;" - "&amp;TL[[#This Row],[Compte]]</f>
        <v>TIRR - 411000</v>
      </c>
      <c r="B3361" s="233" t="s">
        <v>1708</v>
      </c>
      <c r="C3361" s="227" t="s">
        <v>568</v>
      </c>
      <c r="F3361" s="227" t="s">
        <v>210</v>
      </c>
    </row>
    <row r="3362" spans="1:6" x14ac:dyDescent="0.25">
      <c r="A3362" s="227" t="str">
        <f>TL[[#This Row],[Société]]&amp;" - "&amp;TL[[#This Row],[Compte]]</f>
        <v>TIRR - 411001</v>
      </c>
      <c r="B3362" s="233" t="s">
        <v>1826</v>
      </c>
      <c r="C3362" s="227" t="s">
        <v>6224</v>
      </c>
      <c r="F3362" s="227" t="s">
        <v>210</v>
      </c>
    </row>
    <row r="3363" spans="1:6" x14ac:dyDescent="0.25">
      <c r="A3363" s="227" t="str">
        <f>TL[[#This Row],[Société]]&amp;" - "&amp;TL[[#This Row],[Compte]]</f>
        <v>TIRR - 411006</v>
      </c>
      <c r="B3363" s="233" t="s">
        <v>5684</v>
      </c>
      <c r="C3363" s="227" t="s">
        <v>6225</v>
      </c>
      <c r="F3363" s="227" t="s">
        <v>210</v>
      </c>
    </row>
    <row r="3364" spans="1:6" x14ac:dyDescent="0.25">
      <c r="A3364" s="227" t="str">
        <f>TL[[#This Row],[Société]]&amp;" - "&amp;TL[[#This Row],[Compte]]</f>
        <v>TIRR - 413000</v>
      </c>
      <c r="B3364" s="233" t="s">
        <v>3088</v>
      </c>
      <c r="C3364" s="227" t="s">
        <v>3089</v>
      </c>
      <c r="F3364" s="227" t="s">
        <v>210</v>
      </c>
    </row>
    <row r="3365" spans="1:6" x14ac:dyDescent="0.25">
      <c r="A3365" s="227" t="str">
        <f>TL[[#This Row],[Société]]&amp;" - "&amp;TL[[#This Row],[Compte]]</f>
        <v>TIRR - 416000</v>
      </c>
      <c r="B3365" s="233" t="s">
        <v>1829</v>
      </c>
      <c r="C3365" s="227" t="s">
        <v>6226</v>
      </c>
      <c r="F3365" s="227" t="s">
        <v>210</v>
      </c>
    </row>
    <row r="3366" spans="1:6" x14ac:dyDescent="0.25">
      <c r="A3366" s="227" t="str">
        <f>TL[[#This Row],[Société]]&amp;" - "&amp;TL[[#This Row],[Compte]]</f>
        <v>TIRR - 418100</v>
      </c>
      <c r="B3366" s="233" t="s">
        <v>1669</v>
      </c>
      <c r="C3366" s="227" t="s">
        <v>982</v>
      </c>
      <c r="F3366" s="227" t="s">
        <v>210</v>
      </c>
    </row>
    <row r="3367" spans="1:6" x14ac:dyDescent="0.25">
      <c r="A3367" s="227" t="str">
        <f>TL[[#This Row],[Société]]&amp;" - "&amp;TL[[#This Row],[Compte]]</f>
        <v>TIRR - 421000</v>
      </c>
      <c r="B3367" s="233" t="s">
        <v>1670</v>
      </c>
      <c r="C3367" s="227" t="s">
        <v>3090</v>
      </c>
      <c r="F3367" s="227" t="s">
        <v>210</v>
      </c>
    </row>
    <row r="3368" spans="1:6" x14ac:dyDescent="0.25">
      <c r="A3368" s="227" t="str">
        <f>TL[[#This Row],[Société]]&amp;" - "&amp;TL[[#This Row],[Compte]]</f>
        <v>TIRR - 421001</v>
      </c>
      <c r="B3368" s="233" t="s">
        <v>5696</v>
      </c>
      <c r="C3368" s="227" t="s">
        <v>6227</v>
      </c>
      <c r="F3368" s="227" t="s">
        <v>210</v>
      </c>
    </row>
    <row r="3369" spans="1:6" x14ac:dyDescent="0.25">
      <c r="A3369" s="227" t="str">
        <f>TL[[#This Row],[Société]]&amp;" - "&amp;TL[[#This Row],[Compte]]</f>
        <v>TIRR - 421444</v>
      </c>
      <c r="B3369" s="233" t="s">
        <v>1832</v>
      </c>
      <c r="C3369" s="227" t="s">
        <v>570</v>
      </c>
      <c r="F3369" s="227" t="s">
        <v>210</v>
      </c>
    </row>
    <row r="3370" spans="1:6" x14ac:dyDescent="0.25">
      <c r="A3370" s="227" t="str">
        <f>TL[[#This Row],[Société]]&amp;" - "&amp;TL[[#This Row],[Compte]]</f>
        <v>TIRR - 425000</v>
      </c>
      <c r="B3370" s="233" t="s">
        <v>1672</v>
      </c>
      <c r="C3370" s="227" t="s">
        <v>3093</v>
      </c>
      <c r="F3370" s="227" t="s">
        <v>210</v>
      </c>
    </row>
    <row r="3371" spans="1:6" x14ac:dyDescent="0.25">
      <c r="A3371" s="227" t="str">
        <f>TL[[#This Row],[Société]]&amp;" - "&amp;TL[[#This Row],[Compte]]</f>
        <v>TIRR - 427000</v>
      </c>
      <c r="B3371" s="233" t="s">
        <v>1710</v>
      </c>
      <c r="C3371" s="227" t="s">
        <v>4451</v>
      </c>
      <c r="F3371" s="227" t="s">
        <v>210</v>
      </c>
    </row>
    <row r="3372" spans="1:6" x14ac:dyDescent="0.25">
      <c r="A3372" s="227" t="str">
        <f>TL[[#This Row],[Société]]&amp;" - "&amp;TL[[#This Row],[Compte]]</f>
        <v>TIRR - 428220</v>
      </c>
      <c r="B3372" s="233" t="s">
        <v>3094</v>
      </c>
      <c r="C3372" s="227" t="s">
        <v>6228</v>
      </c>
      <c r="F3372" s="227" t="s">
        <v>210</v>
      </c>
    </row>
    <row r="3373" spans="1:6" x14ac:dyDescent="0.25">
      <c r="A3373" s="227" t="str">
        <f>TL[[#This Row],[Société]]&amp;" - "&amp;TL[[#This Row],[Compte]]</f>
        <v>TIRR - 428230</v>
      </c>
      <c r="B3373" s="233" t="s">
        <v>3096</v>
      </c>
      <c r="C3373" s="227" t="s">
        <v>6229</v>
      </c>
      <c r="F3373" s="227" t="s">
        <v>210</v>
      </c>
    </row>
    <row r="3374" spans="1:6" x14ac:dyDescent="0.25">
      <c r="A3374" s="227" t="str">
        <f>TL[[#This Row],[Société]]&amp;" - "&amp;TL[[#This Row],[Compte]]</f>
        <v>TIRR - 428300</v>
      </c>
      <c r="B3374" s="233" t="s">
        <v>6230</v>
      </c>
      <c r="C3374" s="227" t="s">
        <v>6231</v>
      </c>
      <c r="F3374" s="227" t="s">
        <v>210</v>
      </c>
    </row>
    <row r="3375" spans="1:6" x14ac:dyDescent="0.25">
      <c r="A3375" s="227" t="str">
        <f>TL[[#This Row],[Société]]&amp;" - "&amp;TL[[#This Row],[Compte]]</f>
        <v>TIRR - 428600</v>
      </c>
      <c r="B3375" s="233" t="s">
        <v>1834</v>
      </c>
      <c r="C3375" s="227" t="s">
        <v>5724</v>
      </c>
      <c r="F3375" s="227" t="s">
        <v>210</v>
      </c>
    </row>
    <row r="3376" spans="1:6" x14ac:dyDescent="0.25">
      <c r="A3376" s="227" t="str">
        <f>TL[[#This Row],[Société]]&amp;" - "&amp;TL[[#This Row],[Compte]]</f>
        <v>TIRR - 431000</v>
      </c>
      <c r="B3376" s="233" t="s">
        <v>1674</v>
      </c>
      <c r="C3376" s="227" t="s">
        <v>3101</v>
      </c>
      <c r="F3376" s="227" t="s">
        <v>210</v>
      </c>
    </row>
    <row r="3377" spans="1:6" x14ac:dyDescent="0.25">
      <c r="A3377" s="227" t="str">
        <f>TL[[#This Row],[Société]]&amp;" - "&amp;TL[[#This Row],[Compte]]</f>
        <v>TIRR - 437010</v>
      </c>
      <c r="B3377" s="233" t="s">
        <v>1675</v>
      </c>
      <c r="C3377" s="227" t="s">
        <v>6232</v>
      </c>
      <c r="F3377" s="227" t="s">
        <v>210</v>
      </c>
    </row>
    <row r="3378" spans="1:6" x14ac:dyDescent="0.25">
      <c r="A3378" s="227" t="str">
        <f>TL[[#This Row],[Société]]&amp;" - "&amp;TL[[#This Row],[Compte]]</f>
        <v>TIRR - 437020</v>
      </c>
      <c r="B3378" s="233" t="s">
        <v>1676</v>
      </c>
      <c r="C3378" s="227" t="s">
        <v>6233</v>
      </c>
      <c r="F3378" s="227" t="s">
        <v>210</v>
      </c>
    </row>
    <row r="3379" spans="1:6" x14ac:dyDescent="0.25">
      <c r="A3379" s="227" t="str">
        <f>TL[[#This Row],[Société]]&amp;" - "&amp;TL[[#This Row],[Compte]]</f>
        <v>TIRR - 437030</v>
      </c>
      <c r="B3379" s="233" t="s">
        <v>1839</v>
      </c>
      <c r="C3379" s="227" t="s">
        <v>6234</v>
      </c>
      <c r="F3379" s="227" t="s">
        <v>210</v>
      </c>
    </row>
    <row r="3380" spans="1:6" x14ac:dyDescent="0.25">
      <c r="A3380" s="227" t="str">
        <f>TL[[#This Row],[Société]]&amp;" - "&amp;TL[[#This Row],[Compte]]</f>
        <v>TIRR - 437060</v>
      </c>
      <c r="B3380" s="233" t="s">
        <v>1840</v>
      </c>
      <c r="C3380" s="227" t="s">
        <v>6235</v>
      </c>
      <c r="F3380" s="227" t="s">
        <v>210</v>
      </c>
    </row>
    <row r="3381" spans="1:6" x14ac:dyDescent="0.25">
      <c r="A3381" s="227" t="str">
        <f>TL[[#This Row],[Société]]&amp;" - "&amp;TL[[#This Row],[Compte]]</f>
        <v>TIRR - 437070</v>
      </c>
      <c r="B3381" s="233" t="s">
        <v>5727</v>
      </c>
      <c r="C3381" s="227" t="s">
        <v>6236</v>
      </c>
      <c r="F3381" s="227" t="s">
        <v>210</v>
      </c>
    </row>
    <row r="3382" spans="1:6" x14ac:dyDescent="0.25">
      <c r="A3382" s="227" t="str">
        <f>TL[[#This Row],[Société]]&amp;" - "&amp;TL[[#This Row],[Compte]]</f>
        <v>TIRR - 437080</v>
      </c>
      <c r="B3382" s="233" t="s">
        <v>3106</v>
      </c>
      <c r="C3382" s="227" t="s">
        <v>3113</v>
      </c>
      <c r="F3382" s="227" t="s">
        <v>210</v>
      </c>
    </row>
    <row r="3383" spans="1:6" x14ac:dyDescent="0.25">
      <c r="A3383" s="227" t="str">
        <f>TL[[#This Row],[Société]]&amp;" - "&amp;TL[[#This Row],[Compte]]</f>
        <v>TIRR - 437090</v>
      </c>
      <c r="B3383" s="233" t="s">
        <v>3108</v>
      </c>
      <c r="C3383" s="227" t="s">
        <v>1461</v>
      </c>
      <c r="F3383" s="227" t="s">
        <v>210</v>
      </c>
    </row>
    <row r="3384" spans="1:6" x14ac:dyDescent="0.25">
      <c r="A3384" s="227" t="str">
        <f>TL[[#This Row],[Société]]&amp;" - "&amp;TL[[#This Row],[Compte]]</f>
        <v>TIRR - 438000</v>
      </c>
      <c r="B3384" s="233" t="s">
        <v>2122</v>
      </c>
      <c r="C3384" s="227" t="s">
        <v>6237</v>
      </c>
      <c r="F3384" s="227" t="s">
        <v>210</v>
      </c>
    </row>
    <row r="3385" spans="1:6" x14ac:dyDescent="0.25">
      <c r="A3385" s="227" t="str">
        <f>TL[[#This Row],[Société]]&amp;" - "&amp;TL[[#This Row],[Compte]]</f>
        <v>TIRR - 438600</v>
      </c>
      <c r="B3385" s="233" t="s">
        <v>1678</v>
      </c>
      <c r="C3385" s="227" t="s">
        <v>6238</v>
      </c>
      <c r="F3385" s="227" t="s">
        <v>210</v>
      </c>
    </row>
    <row r="3386" spans="1:6" x14ac:dyDescent="0.25">
      <c r="A3386" s="227" t="str">
        <f>TL[[#This Row],[Société]]&amp;" - "&amp;TL[[#This Row],[Compte]]</f>
        <v>TIRR - 438610</v>
      </c>
      <c r="B3386" s="233" t="s">
        <v>2119</v>
      </c>
      <c r="C3386" s="227" t="s">
        <v>6237</v>
      </c>
      <c r="F3386" s="227" t="s">
        <v>210</v>
      </c>
    </row>
    <row r="3387" spans="1:6" x14ac:dyDescent="0.25">
      <c r="A3387" s="227" t="str">
        <f>TL[[#This Row],[Société]]&amp;" - "&amp;TL[[#This Row],[Compte]]</f>
        <v>TIRR - 438620</v>
      </c>
      <c r="B3387" s="233" t="s">
        <v>2118</v>
      </c>
      <c r="C3387" s="227" t="s">
        <v>6239</v>
      </c>
      <c r="F3387" s="227" t="s">
        <v>210</v>
      </c>
    </row>
    <row r="3388" spans="1:6" x14ac:dyDescent="0.25">
      <c r="A3388" s="227" t="str">
        <f>TL[[#This Row],[Société]]&amp;" - "&amp;TL[[#This Row],[Compte]]</f>
        <v>TIRR - 442000</v>
      </c>
      <c r="B3388" s="233" t="s">
        <v>1680</v>
      </c>
      <c r="C3388" s="227" t="s">
        <v>6240</v>
      </c>
      <c r="F3388" s="227" t="s">
        <v>210</v>
      </c>
    </row>
    <row r="3389" spans="1:6" x14ac:dyDescent="0.25">
      <c r="A3389" s="227" t="str">
        <f>TL[[#This Row],[Société]]&amp;" - "&amp;TL[[#This Row],[Compte]]</f>
        <v>TIRR - 444000</v>
      </c>
      <c r="B3389" s="233" t="s">
        <v>1682</v>
      </c>
      <c r="C3389" s="227" t="s">
        <v>988</v>
      </c>
      <c r="F3389" s="227" t="s">
        <v>210</v>
      </c>
    </row>
    <row r="3390" spans="1:6" x14ac:dyDescent="0.25">
      <c r="A3390" s="227" t="str">
        <f>TL[[#This Row],[Société]]&amp;" - "&amp;TL[[#This Row],[Compte]]</f>
        <v>TIRR - 445200</v>
      </c>
      <c r="B3390" s="233" t="s">
        <v>1842</v>
      </c>
      <c r="C3390" s="227" t="s">
        <v>580</v>
      </c>
      <c r="F3390" s="227" t="s">
        <v>210</v>
      </c>
    </row>
    <row r="3391" spans="1:6" x14ac:dyDescent="0.25">
      <c r="A3391" s="227" t="str">
        <f>TL[[#This Row],[Société]]&amp;" - "&amp;TL[[#This Row],[Compte]]</f>
        <v>TIRR - 445510</v>
      </c>
      <c r="B3391" s="233" t="s">
        <v>1683</v>
      </c>
      <c r="C3391" s="227" t="s">
        <v>949</v>
      </c>
      <c r="F3391" s="227" t="s">
        <v>210</v>
      </c>
    </row>
    <row r="3392" spans="1:6" x14ac:dyDescent="0.25">
      <c r="A3392" s="227" t="str">
        <f>TL[[#This Row],[Société]]&amp;" - "&amp;TL[[#This Row],[Compte]]</f>
        <v>TIRR - 445620</v>
      </c>
      <c r="B3392" s="233" t="s">
        <v>1843</v>
      </c>
      <c r="C3392" s="227" t="s">
        <v>3127</v>
      </c>
      <c r="F3392" s="227" t="s">
        <v>210</v>
      </c>
    </row>
    <row r="3393" spans="1:6" x14ac:dyDescent="0.25">
      <c r="A3393" s="227" t="str">
        <f>TL[[#This Row],[Société]]&amp;" - "&amp;TL[[#This Row],[Compte]]</f>
        <v>TIRR - 445621</v>
      </c>
      <c r="B3393" s="233" t="s">
        <v>1844</v>
      </c>
      <c r="C3393" s="227" t="s">
        <v>1113</v>
      </c>
      <c r="F3393" s="227" t="s">
        <v>210</v>
      </c>
    </row>
    <row r="3394" spans="1:6" x14ac:dyDescent="0.25">
      <c r="A3394" s="227" t="str">
        <f>TL[[#This Row],[Société]]&amp;" - "&amp;TL[[#This Row],[Compte]]</f>
        <v>TIRR - 445660</v>
      </c>
      <c r="B3394" s="233" t="s">
        <v>1580</v>
      </c>
      <c r="C3394" s="227" t="s">
        <v>3128</v>
      </c>
      <c r="F3394" s="227" t="s">
        <v>210</v>
      </c>
    </row>
    <row r="3395" spans="1:6" x14ac:dyDescent="0.25">
      <c r="A3395" s="227" t="str">
        <f>TL[[#This Row],[Société]]&amp;" - "&amp;TL[[#This Row],[Compte]]</f>
        <v>TIRR - 445661</v>
      </c>
      <c r="B3395" s="233" t="s">
        <v>1584</v>
      </c>
      <c r="C3395" s="227" t="s">
        <v>6241</v>
      </c>
      <c r="F3395" s="227" t="s">
        <v>210</v>
      </c>
    </row>
    <row r="3396" spans="1:6" x14ac:dyDescent="0.25">
      <c r="A3396" s="227" t="str">
        <f>TL[[#This Row],[Société]]&amp;" - "&amp;TL[[#This Row],[Compte]]</f>
        <v>TIRR - 445662</v>
      </c>
      <c r="B3396" s="233" t="s">
        <v>1845</v>
      </c>
      <c r="C3396" s="227" t="s">
        <v>582</v>
      </c>
      <c r="F3396" s="227" t="s">
        <v>210</v>
      </c>
    </row>
    <row r="3397" spans="1:6" x14ac:dyDescent="0.25">
      <c r="A3397" s="227" t="str">
        <f>TL[[#This Row],[Société]]&amp;" - "&amp;TL[[#This Row],[Compte]]</f>
        <v>TIRR - 445670</v>
      </c>
      <c r="B3397" s="233" t="s">
        <v>1846</v>
      </c>
      <c r="C3397" s="227" t="s">
        <v>3131</v>
      </c>
      <c r="F3397" s="227" t="s">
        <v>210</v>
      </c>
    </row>
    <row r="3398" spans="1:6" x14ac:dyDescent="0.25">
      <c r="A3398" s="227" t="str">
        <f>TL[[#This Row],[Société]]&amp;" - "&amp;TL[[#This Row],[Compte]]</f>
        <v>TIRR - 445710</v>
      </c>
      <c r="B3398" s="233" t="s">
        <v>1742</v>
      </c>
      <c r="C3398" s="227" t="s">
        <v>3132</v>
      </c>
      <c r="F3398" s="227" t="s">
        <v>210</v>
      </c>
    </row>
    <row r="3399" spans="1:6" x14ac:dyDescent="0.25">
      <c r="A3399" s="227" t="str">
        <f>TL[[#This Row],[Société]]&amp;" - "&amp;TL[[#This Row],[Compte]]</f>
        <v>TIRR - 445711</v>
      </c>
      <c r="B3399" s="233" t="s">
        <v>1847</v>
      </c>
      <c r="C3399" s="227" t="s">
        <v>6242</v>
      </c>
      <c r="F3399" s="227" t="s">
        <v>210</v>
      </c>
    </row>
    <row r="3400" spans="1:6" x14ac:dyDescent="0.25">
      <c r="A3400" s="227" t="str">
        <f>TL[[#This Row],[Société]]&amp;" - "&amp;TL[[#This Row],[Compte]]</f>
        <v>TIRR - 445714</v>
      </c>
      <c r="B3400" s="233" t="s">
        <v>1849</v>
      </c>
      <c r="C3400" s="227" t="s">
        <v>6243</v>
      </c>
      <c r="F3400" s="227" t="s">
        <v>210</v>
      </c>
    </row>
    <row r="3401" spans="1:6" x14ac:dyDescent="0.25">
      <c r="A3401" s="227" t="str">
        <f>TL[[#This Row],[Société]]&amp;" - "&amp;TL[[#This Row],[Compte]]</f>
        <v>TIRR - 445715</v>
      </c>
      <c r="B3401" s="233" t="s">
        <v>1850</v>
      </c>
      <c r="C3401" s="227" t="s">
        <v>6244</v>
      </c>
      <c r="F3401" s="227" t="s">
        <v>210</v>
      </c>
    </row>
    <row r="3402" spans="1:6" x14ac:dyDescent="0.25">
      <c r="A3402" s="227" t="str">
        <f>TL[[#This Row],[Société]]&amp;" - "&amp;TL[[#This Row],[Compte]]</f>
        <v>TIRR - 445716</v>
      </c>
      <c r="B3402" s="233" t="s">
        <v>1684</v>
      </c>
      <c r="C3402" s="227" t="s">
        <v>1118</v>
      </c>
      <c r="F3402" s="227" t="s">
        <v>210</v>
      </c>
    </row>
    <row r="3403" spans="1:6" x14ac:dyDescent="0.25">
      <c r="A3403" s="227" t="str">
        <f>TL[[#This Row],[Société]]&amp;" - "&amp;TL[[#This Row],[Compte]]</f>
        <v>TIRR - 445717</v>
      </c>
      <c r="B3403" s="233" t="s">
        <v>1734</v>
      </c>
      <c r="C3403" s="227" t="s">
        <v>6245</v>
      </c>
      <c r="F3403" s="227" t="s">
        <v>210</v>
      </c>
    </row>
    <row r="3404" spans="1:6" x14ac:dyDescent="0.25">
      <c r="A3404" s="227" t="str">
        <f>TL[[#This Row],[Société]]&amp;" - "&amp;TL[[#This Row],[Compte]]</f>
        <v>TIRR - 445720</v>
      </c>
      <c r="B3404" s="233" t="s">
        <v>1685</v>
      </c>
      <c r="C3404" s="227" t="s">
        <v>1337</v>
      </c>
      <c r="F3404" s="227" t="s">
        <v>210</v>
      </c>
    </row>
    <row r="3405" spans="1:6" x14ac:dyDescent="0.25">
      <c r="A3405" s="227" t="str">
        <f>TL[[#This Row],[Société]]&amp;" - "&amp;TL[[#This Row],[Compte]]</f>
        <v>TIRR - 445750</v>
      </c>
      <c r="B3405" s="233" t="s">
        <v>3134</v>
      </c>
      <c r="C3405" s="227" t="s">
        <v>6246</v>
      </c>
      <c r="F3405" s="227" t="s">
        <v>210</v>
      </c>
    </row>
    <row r="3406" spans="1:6" x14ac:dyDescent="0.25">
      <c r="A3406" s="227" t="str">
        <f>TL[[#This Row],[Société]]&amp;" - "&amp;TL[[#This Row],[Compte]]</f>
        <v>TIRR - 445770</v>
      </c>
      <c r="B3406" s="233" t="s">
        <v>5762</v>
      </c>
      <c r="C3406" s="227" t="s">
        <v>6247</v>
      </c>
      <c r="F3406" s="227" t="s">
        <v>210</v>
      </c>
    </row>
    <row r="3407" spans="1:6" x14ac:dyDescent="0.25">
      <c r="A3407" s="227" t="str">
        <f>TL[[#This Row],[Société]]&amp;" - "&amp;TL[[#This Row],[Compte]]</f>
        <v>TIRR - 445830</v>
      </c>
      <c r="B3407" s="233" t="s">
        <v>1851</v>
      </c>
      <c r="C3407" s="227" t="s">
        <v>1001</v>
      </c>
      <c r="F3407" s="227" t="s">
        <v>210</v>
      </c>
    </row>
    <row r="3408" spans="1:6" x14ac:dyDescent="0.25">
      <c r="A3408" s="227" t="str">
        <f>TL[[#This Row],[Société]]&amp;" - "&amp;TL[[#This Row],[Compte]]</f>
        <v>TIRR - 445860</v>
      </c>
      <c r="B3408" s="233" t="s">
        <v>1686</v>
      </c>
      <c r="C3408" s="227" t="s">
        <v>3136</v>
      </c>
      <c r="F3408" s="227" t="s">
        <v>210</v>
      </c>
    </row>
    <row r="3409" spans="1:6" x14ac:dyDescent="0.25">
      <c r="A3409" s="227" t="str">
        <f>TL[[#This Row],[Société]]&amp;" - "&amp;TL[[#This Row],[Compte]]</f>
        <v>TIRR - 445861</v>
      </c>
      <c r="B3409" s="233" t="s">
        <v>3137</v>
      </c>
      <c r="C3409" s="227" t="s">
        <v>6248</v>
      </c>
      <c r="F3409" s="227" t="s">
        <v>210</v>
      </c>
    </row>
    <row r="3410" spans="1:6" x14ac:dyDescent="0.25">
      <c r="A3410" s="227" t="str">
        <f>TL[[#This Row],[Société]]&amp;" - "&amp;TL[[#This Row],[Compte]]</f>
        <v>TIRR - 445870</v>
      </c>
      <c r="B3410" s="233" t="s">
        <v>1688</v>
      </c>
      <c r="C3410" s="227" t="s">
        <v>586</v>
      </c>
      <c r="F3410" s="227" t="s">
        <v>210</v>
      </c>
    </row>
    <row r="3411" spans="1:6" x14ac:dyDescent="0.25">
      <c r="A3411" s="227" t="str">
        <f>TL[[#This Row],[Société]]&amp;" - "&amp;TL[[#This Row],[Compte]]</f>
        <v>TIRR - 445880</v>
      </c>
      <c r="B3411" s="233" t="s">
        <v>6249</v>
      </c>
      <c r="C3411" s="227" t="s">
        <v>586</v>
      </c>
      <c r="F3411" s="227" t="s">
        <v>210</v>
      </c>
    </row>
    <row r="3412" spans="1:6" x14ac:dyDescent="0.25">
      <c r="A3412" s="227" t="str">
        <f>TL[[#This Row],[Société]]&amp;" - "&amp;TL[[#This Row],[Compte]]</f>
        <v>TIRR - 448600</v>
      </c>
      <c r="B3412" s="233" t="s">
        <v>1689</v>
      </c>
      <c r="C3412" s="227" t="s">
        <v>1003</v>
      </c>
      <c r="F3412" s="227" t="s">
        <v>210</v>
      </c>
    </row>
    <row r="3413" spans="1:6" x14ac:dyDescent="0.25">
      <c r="A3413" s="227" t="str">
        <f>TL[[#This Row],[Société]]&amp;" - "&amp;TL[[#This Row],[Compte]]</f>
        <v>TIRR - 448700</v>
      </c>
      <c r="B3413" s="233" t="s">
        <v>1853</v>
      </c>
      <c r="C3413" s="227" t="s">
        <v>869</v>
      </c>
      <c r="F3413" s="227" t="s">
        <v>210</v>
      </c>
    </row>
    <row r="3414" spans="1:6" x14ac:dyDescent="0.25">
      <c r="A3414" s="227" t="str">
        <f>TL[[#This Row],[Société]]&amp;" - "&amp;TL[[#This Row],[Compte]]</f>
        <v>TIRR - 455100</v>
      </c>
      <c r="B3414" s="233" t="s">
        <v>1690</v>
      </c>
      <c r="C3414" s="227" t="s">
        <v>6250</v>
      </c>
      <c r="F3414" s="227" t="s">
        <v>210</v>
      </c>
    </row>
    <row r="3415" spans="1:6" x14ac:dyDescent="0.25">
      <c r="A3415" s="227" t="str">
        <f>TL[[#This Row],[Société]]&amp;" - "&amp;TL[[#This Row],[Compte]]</f>
        <v>TIRR - 455200</v>
      </c>
      <c r="B3415" s="233" t="s">
        <v>3141</v>
      </c>
      <c r="C3415" s="227" t="s">
        <v>3142</v>
      </c>
      <c r="F3415" s="227" t="s">
        <v>210</v>
      </c>
    </row>
    <row r="3416" spans="1:6" x14ac:dyDescent="0.25">
      <c r="A3416" s="227" t="str">
        <f>TL[[#This Row],[Société]]&amp;" - "&amp;TL[[#This Row],[Compte]]</f>
        <v>TIRR - 455300</v>
      </c>
      <c r="B3416" s="233" t="s">
        <v>4603</v>
      </c>
      <c r="C3416" s="227" t="s">
        <v>6251</v>
      </c>
      <c r="F3416" s="227" t="s">
        <v>210</v>
      </c>
    </row>
    <row r="3417" spans="1:6" x14ac:dyDescent="0.25">
      <c r="A3417" s="227" t="str">
        <f>TL[[#This Row],[Société]]&amp;" - "&amp;TL[[#This Row],[Compte]]</f>
        <v>TIRR - 455400</v>
      </c>
      <c r="B3417" s="233" t="s">
        <v>6252</v>
      </c>
      <c r="C3417" s="227" t="s">
        <v>6253</v>
      </c>
      <c r="F3417" s="227" t="s">
        <v>210</v>
      </c>
    </row>
    <row r="3418" spans="1:6" x14ac:dyDescent="0.25">
      <c r="A3418" s="227" t="str">
        <f>TL[[#This Row],[Société]]&amp;" - "&amp;TL[[#This Row],[Compte]]</f>
        <v>TIRR - 455800</v>
      </c>
      <c r="B3418" s="233" t="s">
        <v>1691</v>
      </c>
      <c r="C3418" s="227" t="s">
        <v>697</v>
      </c>
      <c r="F3418" s="227" t="s">
        <v>210</v>
      </c>
    </row>
    <row r="3419" spans="1:6" x14ac:dyDescent="0.25">
      <c r="A3419" s="227" t="str">
        <f>TL[[#This Row],[Société]]&amp;" - "&amp;TL[[#This Row],[Compte]]</f>
        <v>TIRR - 457000</v>
      </c>
      <c r="B3419" s="233" t="s">
        <v>1856</v>
      </c>
      <c r="C3419" s="227" t="s">
        <v>4613</v>
      </c>
      <c r="F3419" s="227" t="s">
        <v>210</v>
      </c>
    </row>
    <row r="3420" spans="1:6" x14ac:dyDescent="0.25">
      <c r="A3420" s="227" t="str">
        <f>TL[[#This Row],[Société]]&amp;" - "&amp;TL[[#This Row],[Compte]]</f>
        <v>TIRR - 467100</v>
      </c>
      <c r="B3420" s="233" t="s">
        <v>1858</v>
      </c>
      <c r="C3420" s="227" t="s">
        <v>6254</v>
      </c>
      <c r="F3420" s="227" t="s">
        <v>210</v>
      </c>
    </row>
    <row r="3421" spans="1:6" x14ac:dyDescent="0.25">
      <c r="A3421" s="227" t="str">
        <f>TL[[#This Row],[Société]]&amp;" - "&amp;TL[[#This Row],[Compte]]</f>
        <v>TIRR - 467110</v>
      </c>
      <c r="B3421" s="233" t="s">
        <v>3146</v>
      </c>
      <c r="C3421" s="227" t="s">
        <v>3003</v>
      </c>
      <c r="F3421" s="227" t="s">
        <v>210</v>
      </c>
    </row>
    <row r="3422" spans="1:6" x14ac:dyDescent="0.25">
      <c r="A3422" s="227" t="str">
        <f>TL[[#This Row],[Société]]&amp;" - "&amp;TL[[#This Row],[Compte]]</f>
        <v>TIRR - 467120</v>
      </c>
      <c r="B3422" s="233" t="s">
        <v>6255</v>
      </c>
      <c r="C3422" s="227" t="s">
        <v>2999</v>
      </c>
      <c r="F3422" s="227" t="s">
        <v>210</v>
      </c>
    </row>
    <row r="3423" spans="1:6" x14ac:dyDescent="0.25">
      <c r="A3423" s="227" t="str">
        <f>TL[[#This Row],[Société]]&amp;" - "&amp;TL[[#This Row],[Compte]]</f>
        <v>TIRR - 467200</v>
      </c>
      <c r="B3423" s="233" t="s">
        <v>1692</v>
      </c>
      <c r="C3423" s="227" t="s">
        <v>6256</v>
      </c>
      <c r="F3423" s="227" t="s">
        <v>210</v>
      </c>
    </row>
    <row r="3424" spans="1:6" x14ac:dyDescent="0.25">
      <c r="A3424" s="227" t="str">
        <f>TL[[#This Row],[Société]]&amp;" - "&amp;TL[[#This Row],[Compte]]</f>
        <v>TIRR - 467210</v>
      </c>
      <c r="B3424" s="233" t="s">
        <v>1709</v>
      </c>
      <c r="C3424" s="227" t="s">
        <v>6257</v>
      </c>
      <c r="F3424" s="227" t="s">
        <v>210</v>
      </c>
    </row>
    <row r="3425" spans="1:6" x14ac:dyDescent="0.25">
      <c r="A3425" s="227" t="str">
        <f>TL[[#This Row],[Société]]&amp;" - "&amp;TL[[#This Row],[Compte]]</f>
        <v>TIRR - 467230</v>
      </c>
      <c r="B3425" s="233" t="s">
        <v>1740</v>
      </c>
      <c r="C3425" s="227" t="s">
        <v>1080</v>
      </c>
      <c r="F3425" s="227" t="s">
        <v>210</v>
      </c>
    </row>
    <row r="3426" spans="1:6" x14ac:dyDescent="0.25">
      <c r="A3426" s="227" t="str">
        <f>TL[[#This Row],[Société]]&amp;" - "&amp;TL[[#This Row],[Compte]]</f>
        <v>TIRR - 467240</v>
      </c>
      <c r="B3426" s="233" t="s">
        <v>1723</v>
      </c>
      <c r="C3426" s="227" t="s">
        <v>1083</v>
      </c>
      <c r="F3426" s="227" t="s">
        <v>210</v>
      </c>
    </row>
    <row r="3427" spans="1:6" x14ac:dyDescent="0.25">
      <c r="A3427" s="227" t="str">
        <f>TL[[#This Row],[Société]]&amp;" - "&amp;TL[[#This Row],[Compte]]</f>
        <v>TIRR - 467250</v>
      </c>
      <c r="B3427" s="233" t="s">
        <v>1859</v>
      </c>
      <c r="C3427" s="227" t="s">
        <v>1081</v>
      </c>
      <c r="F3427" s="227" t="s">
        <v>210</v>
      </c>
    </row>
    <row r="3428" spans="1:6" x14ac:dyDescent="0.25">
      <c r="A3428" s="227" t="str">
        <f>TL[[#This Row],[Société]]&amp;" - "&amp;TL[[#This Row],[Compte]]</f>
        <v>TIRR - 467260</v>
      </c>
      <c r="B3428" s="233" t="s">
        <v>1860</v>
      </c>
      <c r="C3428" s="227" t="s">
        <v>1079</v>
      </c>
      <c r="F3428" s="227" t="s">
        <v>210</v>
      </c>
    </row>
    <row r="3429" spans="1:6" x14ac:dyDescent="0.25">
      <c r="A3429" s="227" t="str">
        <f>TL[[#This Row],[Société]]&amp;" - "&amp;TL[[#This Row],[Compte]]</f>
        <v>TIRR - 467270</v>
      </c>
      <c r="B3429" s="233" t="s">
        <v>1739</v>
      </c>
      <c r="C3429" s="227" t="s">
        <v>706</v>
      </c>
      <c r="F3429" s="227" t="s">
        <v>210</v>
      </c>
    </row>
    <row r="3430" spans="1:6" x14ac:dyDescent="0.25">
      <c r="A3430" s="227" t="str">
        <f>TL[[#This Row],[Société]]&amp;" - "&amp;TL[[#This Row],[Compte]]</f>
        <v>TIRR - 467280</v>
      </c>
      <c r="B3430" s="233" t="s">
        <v>3151</v>
      </c>
      <c r="C3430" s="227" t="s">
        <v>6258</v>
      </c>
      <c r="F3430" s="227" t="s">
        <v>210</v>
      </c>
    </row>
    <row r="3431" spans="1:6" x14ac:dyDescent="0.25">
      <c r="A3431" s="227" t="str">
        <f>TL[[#This Row],[Société]]&amp;" - "&amp;TL[[#This Row],[Compte]]</f>
        <v>TIRR - 467300</v>
      </c>
      <c r="B3431" s="233" t="s">
        <v>1861</v>
      </c>
      <c r="C3431" s="227" t="s">
        <v>6259</v>
      </c>
      <c r="F3431" s="227" t="s">
        <v>210</v>
      </c>
    </row>
    <row r="3432" spans="1:6" x14ac:dyDescent="0.25">
      <c r="A3432" s="227" t="str">
        <f>TL[[#This Row],[Société]]&amp;" - "&amp;TL[[#This Row],[Compte]]</f>
        <v>TIRR - 467400</v>
      </c>
      <c r="B3432" s="233" t="s">
        <v>1863</v>
      </c>
      <c r="C3432" s="227" t="s">
        <v>707</v>
      </c>
      <c r="F3432" s="227" t="s">
        <v>210</v>
      </c>
    </row>
    <row r="3433" spans="1:6" x14ac:dyDescent="0.25">
      <c r="A3433" s="227" t="str">
        <f>TL[[#This Row],[Société]]&amp;" - "&amp;TL[[#This Row],[Compte]]</f>
        <v>TIRR - 468600</v>
      </c>
      <c r="B3433" s="233" t="s">
        <v>1869</v>
      </c>
      <c r="C3433" s="227" t="s">
        <v>1010</v>
      </c>
      <c r="F3433" s="227" t="s">
        <v>210</v>
      </c>
    </row>
    <row r="3434" spans="1:6" x14ac:dyDescent="0.25">
      <c r="A3434" s="227" t="str">
        <f>TL[[#This Row],[Société]]&amp;" - "&amp;TL[[#This Row],[Compte]]</f>
        <v>TIRR - 468700</v>
      </c>
      <c r="B3434" s="233" t="s">
        <v>1693</v>
      </c>
      <c r="C3434" s="227" t="s">
        <v>1011</v>
      </c>
      <c r="F3434" s="227" t="s">
        <v>210</v>
      </c>
    </row>
    <row r="3435" spans="1:6" x14ac:dyDescent="0.25">
      <c r="A3435" s="227" t="str">
        <f>TL[[#This Row],[Société]]&amp;" - "&amp;TL[[#This Row],[Compte]]</f>
        <v>TIRR - 471000</v>
      </c>
      <c r="B3435" s="233" t="s">
        <v>1722</v>
      </c>
      <c r="C3435" s="227" t="s">
        <v>6260</v>
      </c>
      <c r="F3435" s="227" t="s">
        <v>210</v>
      </c>
    </row>
    <row r="3436" spans="1:6" x14ac:dyDescent="0.25">
      <c r="A3436" s="227" t="str">
        <f>TL[[#This Row],[Société]]&amp;" - "&amp;TL[[#This Row],[Compte]]</f>
        <v>TIRR - 472000</v>
      </c>
      <c r="B3436" s="233" t="s">
        <v>1870</v>
      </c>
      <c r="C3436" s="227" t="s">
        <v>4633</v>
      </c>
      <c r="F3436" s="227" t="s">
        <v>210</v>
      </c>
    </row>
    <row r="3437" spans="1:6" x14ac:dyDescent="0.25">
      <c r="A3437" s="227" t="str">
        <f>TL[[#This Row],[Société]]&amp;" - "&amp;TL[[#This Row],[Compte]]</f>
        <v>TIRR - 486000</v>
      </c>
      <c r="B3437" s="233" t="s">
        <v>1694</v>
      </c>
      <c r="C3437" s="227" t="s">
        <v>1012</v>
      </c>
      <c r="F3437" s="227" t="s">
        <v>210</v>
      </c>
    </row>
    <row r="3438" spans="1:6" x14ac:dyDescent="0.25">
      <c r="A3438" s="227" t="str">
        <f>TL[[#This Row],[Société]]&amp;" - "&amp;TL[[#This Row],[Compte]]</f>
        <v>TIRR - 487000</v>
      </c>
      <c r="B3438" s="233" t="s">
        <v>1871</v>
      </c>
      <c r="C3438" s="227" t="s">
        <v>595</v>
      </c>
      <c r="F3438" s="227" t="s">
        <v>210</v>
      </c>
    </row>
    <row r="3439" spans="1:6" x14ac:dyDescent="0.25">
      <c r="A3439" s="227" t="str">
        <f>TL[[#This Row],[Société]]&amp;" - "&amp;TL[[#This Row],[Compte]]</f>
        <v>TIRR - 508100</v>
      </c>
      <c r="B3439" s="233" t="s">
        <v>1874</v>
      </c>
      <c r="C3439" s="227" t="s">
        <v>4747</v>
      </c>
      <c r="F3439" s="227" t="s">
        <v>210</v>
      </c>
    </row>
    <row r="3440" spans="1:6" x14ac:dyDescent="0.25">
      <c r="A3440" s="227" t="str">
        <f>TL[[#This Row],[Société]]&amp;" - "&amp;TL[[#This Row],[Compte]]</f>
        <v>TIRR - 511200</v>
      </c>
      <c r="B3440" s="233" t="s">
        <v>3162</v>
      </c>
      <c r="C3440" s="227" t="s">
        <v>638</v>
      </c>
      <c r="F3440" s="227" t="s">
        <v>210</v>
      </c>
    </row>
    <row r="3441" spans="1:6" x14ac:dyDescent="0.25">
      <c r="A3441" s="227" t="str">
        <f>TL[[#This Row],[Société]]&amp;" - "&amp;TL[[#This Row],[Compte]]</f>
        <v>TIRR - 511211</v>
      </c>
      <c r="B3441" s="233" t="s">
        <v>1877</v>
      </c>
      <c r="C3441" s="227" t="s">
        <v>6261</v>
      </c>
      <c r="F3441" s="227" t="s">
        <v>210</v>
      </c>
    </row>
    <row r="3442" spans="1:6" x14ac:dyDescent="0.25">
      <c r="A3442" s="227" t="str">
        <f>TL[[#This Row],[Société]]&amp;" - "&amp;TL[[#This Row],[Compte]]</f>
        <v>TIRR - 511221</v>
      </c>
      <c r="B3442" s="233" t="s">
        <v>1695</v>
      </c>
      <c r="C3442" s="227" t="s">
        <v>6262</v>
      </c>
      <c r="F3442" s="227" t="s">
        <v>210</v>
      </c>
    </row>
    <row r="3443" spans="1:6" x14ac:dyDescent="0.25">
      <c r="A3443" s="227" t="str">
        <f>TL[[#This Row],[Société]]&amp;" - "&amp;TL[[#This Row],[Compte]]</f>
        <v>TIRR - 511230</v>
      </c>
      <c r="B3443" s="233" t="s">
        <v>1879</v>
      </c>
      <c r="C3443" s="227" t="s">
        <v>6263</v>
      </c>
      <c r="F3443" s="227" t="s">
        <v>210</v>
      </c>
    </row>
    <row r="3444" spans="1:6" x14ac:dyDescent="0.25">
      <c r="A3444" s="227" t="str">
        <f>TL[[#This Row],[Société]]&amp;" - "&amp;TL[[#This Row],[Compte]]</f>
        <v>TIRR - 511231</v>
      </c>
      <c r="B3444" s="233" t="s">
        <v>1696</v>
      </c>
      <c r="C3444" s="227" t="s">
        <v>6264</v>
      </c>
      <c r="F3444" s="227" t="s">
        <v>210</v>
      </c>
    </row>
    <row r="3445" spans="1:6" x14ac:dyDescent="0.25">
      <c r="A3445" s="227" t="str">
        <f>TL[[#This Row],[Société]]&amp;" - "&amp;TL[[#This Row],[Compte]]</f>
        <v>TIRR - 511250</v>
      </c>
      <c r="B3445" s="233" t="s">
        <v>1881</v>
      </c>
      <c r="C3445" s="227" t="s">
        <v>6265</v>
      </c>
      <c r="F3445" s="227" t="s">
        <v>210</v>
      </c>
    </row>
    <row r="3446" spans="1:6" x14ac:dyDescent="0.25">
      <c r="A3446" s="227" t="str">
        <f>TL[[#This Row],[Société]]&amp;" - "&amp;TL[[#This Row],[Compte]]</f>
        <v>TIRR - 511251</v>
      </c>
      <c r="B3446" s="233" t="s">
        <v>1697</v>
      </c>
      <c r="C3446" s="227" t="s">
        <v>1142</v>
      </c>
      <c r="F3446" s="227" t="s">
        <v>210</v>
      </c>
    </row>
    <row r="3447" spans="1:6" x14ac:dyDescent="0.25">
      <c r="A3447" s="227" t="str">
        <f>TL[[#This Row],[Société]]&amp;" - "&amp;TL[[#This Row],[Compte]]</f>
        <v>TIRR - 511252</v>
      </c>
      <c r="B3447" s="233" t="s">
        <v>1882</v>
      </c>
      <c r="C3447" s="227" t="s">
        <v>6266</v>
      </c>
      <c r="F3447" s="227" t="s">
        <v>210</v>
      </c>
    </row>
    <row r="3448" spans="1:6" x14ac:dyDescent="0.25">
      <c r="A3448" s="227" t="str">
        <f>TL[[#This Row],[Société]]&amp;" - "&amp;TL[[#This Row],[Compte]]</f>
        <v>TIRR - 511253</v>
      </c>
      <c r="B3448" s="233" t="s">
        <v>3166</v>
      </c>
      <c r="C3448" s="227" t="s">
        <v>6267</v>
      </c>
      <c r="F3448" s="227" t="s">
        <v>210</v>
      </c>
    </row>
    <row r="3449" spans="1:6" x14ac:dyDescent="0.25">
      <c r="A3449" s="227" t="str">
        <f>TL[[#This Row],[Société]]&amp;" - "&amp;TL[[#This Row],[Compte]]</f>
        <v>TIRR - 511254</v>
      </c>
      <c r="B3449" s="233" t="s">
        <v>3168</v>
      </c>
      <c r="C3449" s="227" t="s">
        <v>6268</v>
      </c>
      <c r="F3449" s="227" t="s">
        <v>210</v>
      </c>
    </row>
    <row r="3450" spans="1:6" x14ac:dyDescent="0.25">
      <c r="A3450" s="227" t="str">
        <f>TL[[#This Row],[Société]]&amp;" - "&amp;TL[[#This Row],[Compte]]</f>
        <v>TIRR - 511255</v>
      </c>
      <c r="B3450" s="233" t="s">
        <v>6269</v>
      </c>
      <c r="C3450" s="227" t="s">
        <v>6270</v>
      </c>
      <c r="F3450" s="227" t="s">
        <v>210</v>
      </c>
    </row>
    <row r="3451" spans="1:6" x14ac:dyDescent="0.25">
      <c r="A3451" s="227" t="str">
        <f>TL[[#This Row],[Société]]&amp;" - "&amp;TL[[#This Row],[Compte]]</f>
        <v>TIRR - 511260</v>
      </c>
      <c r="B3451" s="233" t="s">
        <v>1883</v>
      </c>
      <c r="C3451" s="227" t="s">
        <v>6265</v>
      </c>
      <c r="F3451" s="227" t="s">
        <v>210</v>
      </c>
    </row>
    <row r="3452" spans="1:6" x14ac:dyDescent="0.25">
      <c r="A3452" s="227" t="str">
        <f>TL[[#This Row],[Société]]&amp;" - "&amp;TL[[#This Row],[Compte]]</f>
        <v>TIRR - 511261</v>
      </c>
      <c r="B3452" s="233" t="s">
        <v>1698</v>
      </c>
      <c r="C3452" s="227" t="s">
        <v>598</v>
      </c>
      <c r="F3452" s="227" t="s">
        <v>210</v>
      </c>
    </row>
    <row r="3453" spans="1:6" x14ac:dyDescent="0.25">
      <c r="A3453" s="227" t="str">
        <f>TL[[#This Row],[Société]]&amp;" - "&amp;TL[[#This Row],[Compte]]</f>
        <v>TIRR - 511701</v>
      </c>
      <c r="B3453" s="233" t="s">
        <v>1700</v>
      </c>
      <c r="C3453" s="227" t="s">
        <v>3170</v>
      </c>
      <c r="F3453" s="227" t="s">
        <v>210</v>
      </c>
    </row>
    <row r="3454" spans="1:6" x14ac:dyDescent="0.25">
      <c r="A3454" s="227" t="str">
        <f>TL[[#This Row],[Société]]&amp;" - "&amp;TL[[#This Row],[Compte]]</f>
        <v>TIRR - 511702</v>
      </c>
      <c r="B3454" s="233" t="s">
        <v>3171</v>
      </c>
      <c r="C3454" s="227" t="s">
        <v>6271</v>
      </c>
      <c r="F3454" s="227" t="s">
        <v>210</v>
      </c>
    </row>
    <row r="3455" spans="1:6" x14ac:dyDescent="0.25">
      <c r="A3455" s="227" t="str">
        <f>TL[[#This Row],[Société]]&amp;" - "&amp;TL[[#This Row],[Compte]]</f>
        <v>TIRR - 511703</v>
      </c>
      <c r="B3455" s="233" t="s">
        <v>3173</v>
      </c>
      <c r="C3455" s="227" t="s">
        <v>3174</v>
      </c>
      <c r="F3455" s="227" t="s">
        <v>210</v>
      </c>
    </row>
    <row r="3456" spans="1:6" x14ac:dyDescent="0.25">
      <c r="A3456" s="227" t="str">
        <f>TL[[#This Row],[Société]]&amp;" - "&amp;TL[[#This Row],[Compte]]</f>
        <v>TIRR - 512100</v>
      </c>
      <c r="B3456" s="233" t="s">
        <v>1886</v>
      </c>
      <c r="C3456" s="227" t="s">
        <v>6272</v>
      </c>
      <c r="F3456" s="227" t="s">
        <v>210</v>
      </c>
    </row>
    <row r="3457" spans="1:6" x14ac:dyDescent="0.25">
      <c r="A3457" s="227" t="str">
        <f>TL[[#This Row],[Société]]&amp;" - "&amp;TL[[#This Row],[Compte]]</f>
        <v>TIRR - 512200</v>
      </c>
      <c r="B3457" s="233" t="s">
        <v>6273</v>
      </c>
      <c r="C3457" s="227" t="s">
        <v>600</v>
      </c>
      <c r="F3457" s="227" t="s">
        <v>210</v>
      </c>
    </row>
    <row r="3458" spans="1:6" x14ac:dyDescent="0.25">
      <c r="A3458" s="227" t="str">
        <f>TL[[#This Row],[Société]]&amp;" - "&amp;TL[[#This Row],[Compte]]</f>
        <v>TIRR - 512400</v>
      </c>
      <c r="B3458" s="233" t="s">
        <v>1702</v>
      </c>
      <c r="C3458" s="227" t="s">
        <v>4775</v>
      </c>
      <c r="F3458" s="227" t="s">
        <v>210</v>
      </c>
    </row>
    <row r="3459" spans="1:6" x14ac:dyDescent="0.25">
      <c r="A3459" s="227" t="str">
        <f>TL[[#This Row],[Société]]&amp;" - "&amp;TL[[#This Row],[Compte]]</f>
        <v>TIRR - 512600</v>
      </c>
      <c r="B3459" s="233" t="s">
        <v>3177</v>
      </c>
      <c r="C3459" s="227" t="s">
        <v>3178</v>
      </c>
      <c r="F3459" s="227" t="s">
        <v>210</v>
      </c>
    </row>
    <row r="3460" spans="1:6" x14ac:dyDescent="0.25">
      <c r="A3460" s="227" t="str">
        <f>TL[[#This Row],[Société]]&amp;" - "&amp;TL[[#This Row],[Compte]]</f>
        <v>TIRR - 512700</v>
      </c>
      <c r="B3460" s="233" t="s">
        <v>3179</v>
      </c>
      <c r="C3460" s="227" t="s">
        <v>3180</v>
      </c>
      <c r="F3460" s="227" t="s">
        <v>210</v>
      </c>
    </row>
    <row r="3461" spans="1:6" x14ac:dyDescent="0.25">
      <c r="A3461" s="227" t="str">
        <f>TL[[#This Row],[Société]]&amp;" - "&amp;TL[[#This Row],[Compte]]</f>
        <v>TIRR - 518100</v>
      </c>
      <c r="B3461" s="233" t="s">
        <v>4785</v>
      </c>
      <c r="C3461" s="227" t="s">
        <v>602</v>
      </c>
      <c r="F3461" s="227" t="s">
        <v>210</v>
      </c>
    </row>
    <row r="3462" spans="1:6" x14ac:dyDescent="0.25">
      <c r="A3462" s="227" t="str">
        <f>TL[[#This Row],[Société]]&amp;" - "&amp;TL[[#This Row],[Compte]]</f>
        <v>TIRR - 519100</v>
      </c>
      <c r="B3462" s="233" t="s">
        <v>1888</v>
      </c>
      <c r="C3462" s="227" t="s">
        <v>6274</v>
      </c>
      <c r="F3462" s="227" t="s">
        <v>210</v>
      </c>
    </row>
    <row r="3463" spans="1:6" x14ac:dyDescent="0.25">
      <c r="A3463" s="227" t="str">
        <f>TL[[#This Row],[Société]]&amp;" - "&amp;TL[[#This Row],[Compte]]</f>
        <v>TIRR - 530201</v>
      </c>
      <c r="B3463" s="233" t="s">
        <v>6275</v>
      </c>
      <c r="C3463" s="227" t="s">
        <v>604</v>
      </c>
      <c r="F3463" s="227" t="s">
        <v>210</v>
      </c>
    </row>
    <row r="3464" spans="1:6" x14ac:dyDescent="0.25">
      <c r="A3464" s="227" t="str">
        <f>TL[[#This Row],[Société]]&amp;" - "&amp;TL[[#This Row],[Compte]]</f>
        <v>TIRR - 531000</v>
      </c>
      <c r="B3464" s="233" t="s">
        <v>1705</v>
      </c>
      <c r="C3464" s="227" t="s">
        <v>532</v>
      </c>
      <c r="F3464" s="227" t="s">
        <v>210</v>
      </c>
    </row>
    <row r="3465" spans="1:6" x14ac:dyDescent="0.25">
      <c r="A3465" s="227" t="str">
        <f>TL[[#This Row],[Société]]&amp;" - "&amp;TL[[#This Row],[Compte]]</f>
        <v>TIRR - 581000</v>
      </c>
      <c r="B3465" s="233" t="s">
        <v>1890</v>
      </c>
      <c r="C3465" s="227" t="s">
        <v>6276</v>
      </c>
      <c r="F3465" s="227" t="s">
        <v>210</v>
      </c>
    </row>
    <row r="3466" spans="1:6" x14ac:dyDescent="0.25">
      <c r="A3466" s="227" t="str">
        <f>TL[[#This Row],[Société]]&amp;" - "&amp;TL[[#This Row],[Compte]]</f>
        <v>TIRR - 581100</v>
      </c>
      <c r="B3466" s="233" t="s">
        <v>1706</v>
      </c>
      <c r="C3466" s="227" t="s">
        <v>726</v>
      </c>
      <c r="F3466" s="227" t="s">
        <v>210</v>
      </c>
    </row>
    <row r="3467" spans="1:6" x14ac:dyDescent="0.25">
      <c r="A3467" s="227" t="str">
        <f>TL[[#This Row],[Société]]&amp;" - "&amp;TL[[#This Row],[Compte]]</f>
        <v>TIRR - 583000</v>
      </c>
      <c r="B3467" s="233" t="s">
        <v>1891</v>
      </c>
      <c r="C3467" s="227" t="s">
        <v>1147</v>
      </c>
      <c r="F3467" s="227" t="s">
        <v>210</v>
      </c>
    </row>
    <row r="3468" spans="1:6" x14ac:dyDescent="0.25">
      <c r="A3468" s="227" t="str">
        <f>TL[[#This Row],[Société]]&amp;" - "&amp;TL[[#This Row],[Compte]]</f>
        <v>TIRR - 601100</v>
      </c>
      <c r="B3468" s="233" t="s">
        <v>1607</v>
      </c>
      <c r="C3468" s="227" t="s">
        <v>171</v>
      </c>
      <c r="D3468" s="233" t="s">
        <v>0</v>
      </c>
      <c r="E3468" s="233" t="s">
        <v>7</v>
      </c>
      <c r="F3468" s="227" t="s">
        <v>210</v>
      </c>
    </row>
    <row r="3469" spans="1:6" x14ac:dyDescent="0.25">
      <c r="A3469" s="227" t="str">
        <f>TL[[#This Row],[Société]]&amp;" - "&amp;TL[[#This Row],[Compte]]</f>
        <v>TIRR - 601102</v>
      </c>
      <c r="B3469" s="233" t="s">
        <v>1790</v>
      </c>
      <c r="C3469" s="227" t="s">
        <v>225</v>
      </c>
      <c r="D3469" s="233" t="s">
        <v>1</v>
      </c>
      <c r="E3469" s="233" t="s">
        <v>11</v>
      </c>
      <c r="F3469" s="227" t="s">
        <v>210</v>
      </c>
    </row>
    <row r="3470" spans="1:6" x14ac:dyDescent="0.25">
      <c r="A3470" s="227" t="str">
        <f>TL[[#This Row],[Société]]&amp;" - "&amp;TL[[#This Row],[Compte]]</f>
        <v>TIRR - 601103</v>
      </c>
      <c r="B3470" s="233" t="s">
        <v>1789</v>
      </c>
      <c r="C3470" s="227" t="s">
        <v>160</v>
      </c>
      <c r="D3470" s="233" t="s">
        <v>3</v>
      </c>
      <c r="E3470" s="233" t="s">
        <v>9</v>
      </c>
      <c r="F3470" s="227" t="s">
        <v>210</v>
      </c>
    </row>
    <row r="3471" spans="1:6" x14ac:dyDescent="0.25">
      <c r="A3471" s="227" t="str">
        <f>TL[[#This Row],[Société]]&amp;" - "&amp;TL[[#This Row],[Compte]]</f>
        <v>TIRR - 602155</v>
      </c>
      <c r="B3471" s="233" t="s">
        <v>3188</v>
      </c>
      <c r="C3471" s="227" t="s">
        <v>6277</v>
      </c>
      <c r="D3471" s="233" t="s">
        <v>150</v>
      </c>
      <c r="E3471" s="233" t="s">
        <v>54</v>
      </c>
      <c r="F3471" s="227" t="s">
        <v>210</v>
      </c>
    </row>
    <row r="3472" spans="1:6" x14ac:dyDescent="0.25">
      <c r="A3472" s="227" t="str">
        <f>TL[[#This Row],[Société]]&amp;" - "&amp;TL[[#This Row],[Compte]]</f>
        <v>TIRR - 602201</v>
      </c>
      <c r="B3472" s="233" t="s">
        <v>1630</v>
      </c>
      <c r="C3472" s="227" t="s">
        <v>2370</v>
      </c>
      <c r="D3472" s="233" t="s">
        <v>7</v>
      </c>
      <c r="E3472" s="233" t="s">
        <v>0</v>
      </c>
      <c r="F3472" s="227" t="s">
        <v>210</v>
      </c>
    </row>
    <row r="3473" spans="1:6" x14ac:dyDescent="0.25">
      <c r="A3473" s="227" t="str">
        <f>TL[[#This Row],[Société]]&amp;" - "&amp;TL[[#This Row],[Compte]]</f>
        <v>TIRR - 602202</v>
      </c>
      <c r="B3473" s="233" t="s">
        <v>1631</v>
      </c>
      <c r="C3473" s="227" t="s">
        <v>2213</v>
      </c>
      <c r="D3473" s="233" t="s">
        <v>150</v>
      </c>
      <c r="E3473" s="233" t="s">
        <v>147</v>
      </c>
      <c r="F3473" s="227" t="s">
        <v>210</v>
      </c>
    </row>
    <row r="3474" spans="1:6" x14ac:dyDescent="0.25">
      <c r="A3474" s="227" t="str">
        <f>TL[[#This Row],[Société]]&amp;" - "&amp;TL[[#This Row],[Compte]]</f>
        <v>TIRR - 602600</v>
      </c>
      <c r="B3474" s="233" t="s">
        <v>3190</v>
      </c>
      <c r="C3474" s="227" t="s">
        <v>6278</v>
      </c>
      <c r="D3474" s="233" t="s">
        <v>7</v>
      </c>
      <c r="E3474" s="233" t="s">
        <v>0</v>
      </c>
      <c r="F3474" s="227" t="s">
        <v>210</v>
      </c>
    </row>
    <row r="3475" spans="1:6" x14ac:dyDescent="0.25">
      <c r="A3475" s="227" t="str">
        <f>TL[[#This Row],[Société]]&amp;" - "&amp;TL[[#This Row],[Compte]]</f>
        <v>TIRR - 602610</v>
      </c>
      <c r="B3475" s="233" t="s">
        <v>1634</v>
      </c>
      <c r="C3475" s="227" t="s">
        <v>161</v>
      </c>
      <c r="D3475" s="233" t="s">
        <v>23</v>
      </c>
      <c r="E3475" s="233" t="s">
        <v>2978</v>
      </c>
      <c r="F3475" s="227" t="s">
        <v>210</v>
      </c>
    </row>
    <row r="3476" spans="1:6" x14ac:dyDescent="0.25">
      <c r="A3476" s="227" t="str">
        <f>TL[[#This Row],[Société]]&amp;" - "&amp;TL[[#This Row],[Compte]]</f>
        <v>TIRR - 602612</v>
      </c>
      <c r="B3476" s="233" t="s">
        <v>6279</v>
      </c>
      <c r="C3476" s="227" t="s">
        <v>3549</v>
      </c>
      <c r="D3476" s="235" t="s">
        <v>0</v>
      </c>
      <c r="E3476" s="233" t="s">
        <v>2964</v>
      </c>
      <c r="F3476" s="227" t="s">
        <v>210</v>
      </c>
    </row>
    <row r="3477" spans="1:6" x14ac:dyDescent="0.25">
      <c r="A3477" s="227" t="str">
        <f>TL[[#This Row],[Société]]&amp;" - "&amp;TL[[#This Row],[Compte]]</f>
        <v>TIRR - 602630</v>
      </c>
      <c r="B3477" s="233" t="s">
        <v>3191</v>
      </c>
      <c r="C3477" s="227" t="s">
        <v>6280</v>
      </c>
      <c r="D3477" s="233" t="s">
        <v>7</v>
      </c>
      <c r="E3477" s="233" t="s">
        <v>0</v>
      </c>
      <c r="F3477" s="227" t="s">
        <v>210</v>
      </c>
    </row>
    <row r="3478" spans="1:6" x14ac:dyDescent="0.25">
      <c r="A3478" s="227" t="str">
        <f>TL[[#This Row],[Société]]&amp;" - "&amp;TL[[#This Row],[Compte]]</f>
        <v>TIRR - 603100</v>
      </c>
      <c r="B3478" s="233" t="s">
        <v>1780</v>
      </c>
      <c r="C3478" s="227" t="s">
        <v>2371</v>
      </c>
      <c r="D3478" s="233" t="s">
        <v>0</v>
      </c>
      <c r="E3478" s="233" t="s">
        <v>7</v>
      </c>
      <c r="F3478" s="227" t="s">
        <v>210</v>
      </c>
    </row>
    <row r="3479" spans="1:6" x14ac:dyDescent="0.25">
      <c r="A3479" s="227" t="str">
        <f>TL[[#This Row],[Société]]&amp;" - "&amp;TL[[#This Row],[Compte]]</f>
        <v>TIRR - 603200</v>
      </c>
      <c r="B3479" s="233" t="s">
        <v>1781</v>
      </c>
      <c r="C3479" s="227" t="s">
        <v>2296</v>
      </c>
      <c r="D3479" s="233" t="s">
        <v>7</v>
      </c>
      <c r="E3479" s="233" t="s">
        <v>0</v>
      </c>
      <c r="F3479" s="227" t="s">
        <v>210</v>
      </c>
    </row>
    <row r="3480" spans="1:6" x14ac:dyDescent="0.25">
      <c r="A3480" s="227" t="str">
        <f>TL[[#This Row],[Société]]&amp;" - "&amp;TL[[#This Row],[Compte]]</f>
        <v>TIRR - 603210</v>
      </c>
      <c r="B3480" s="233" t="s">
        <v>1894</v>
      </c>
      <c r="C3480" s="227" t="s">
        <v>1151</v>
      </c>
      <c r="D3480" s="233" t="s">
        <v>150</v>
      </c>
      <c r="E3480" s="233" t="s">
        <v>147</v>
      </c>
      <c r="F3480" s="227" t="s">
        <v>210</v>
      </c>
    </row>
    <row r="3481" spans="1:6" x14ac:dyDescent="0.25">
      <c r="A3481" s="227" t="str">
        <f>TL[[#This Row],[Société]]&amp;" - "&amp;TL[[#This Row],[Compte]]</f>
        <v>TIRR - 606101</v>
      </c>
      <c r="B3481" s="233" t="s">
        <v>1765</v>
      </c>
      <c r="C3481" s="227" t="s">
        <v>6281</v>
      </c>
      <c r="F3481" s="227" t="s">
        <v>210</v>
      </c>
    </row>
    <row r="3482" spans="1:6" x14ac:dyDescent="0.25">
      <c r="A3482" s="227" t="str">
        <f>TL[[#This Row],[Société]]&amp;" - "&amp;TL[[#This Row],[Compte]]</f>
        <v>TIRR - 606103</v>
      </c>
      <c r="B3482" s="233" t="s">
        <v>1621</v>
      </c>
      <c r="C3482" s="227" t="s">
        <v>6282</v>
      </c>
      <c r="D3482" s="233" t="s">
        <v>27</v>
      </c>
      <c r="F3482" s="227" t="s">
        <v>210</v>
      </c>
    </row>
    <row r="3483" spans="1:6" x14ac:dyDescent="0.25">
      <c r="A3483" s="227" t="str">
        <f>TL[[#This Row],[Société]]&amp;" - "&amp;TL[[#This Row],[Compte]]</f>
        <v>TIRR - 606110</v>
      </c>
      <c r="B3483" s="233" t="s">
        <v>2573</v>
      </c>
      <c r="C3483" s="227" t="s">
        <v>2293</v>
      </c>
      <c r="D3483" s="233" t="s">
        <v>27</v>
      </c>
      <c r="E3483" s="233" t="s">
        <v>34</v>
      </c>
      <c r="F3483" s="227" t="s">
        <v>210</v>
      </c>
    </row>
    <row r="3484" spans="1:6" x14ac:dyDescent="0.25">
      <c r="A3484" s="227" t="str">
        <f>TL[[#This Row],[Société]]&amp;" - "&amp;TL[[#This Row],[Compte]]</f>
        <v>TIRR - 606120</v>
      </c>
      <c r="B3484" s="233" t="s">
        <v>2574</v>
      </c>
      <c r="C3484" s="227" t="s">
        <v>2372</v>
      </c>
      <c r="D3484" s="233" t="s">
        <v>27</v>
      </c>
      <c r="E3484" s="233" t="s">
        <v>34</v>
      </c>
      <c r="F3484" s="227" t="s">
        <v>210</v>
      </c>
    </row>
    <row r="3485" spans="1:6" x14ac:dyDescent="0.25">
      <c r="A3485" s="227" t="str">
        <f>TL[[#This Row],[Société]]&amp;" - "&amp;TL[[#This Row],[Compte]]</f>
        <v>TIRR - 606130</v>
      </c>
      <c r="B3485" s="233" t="s">
        <v>2826</v>
      </c>
      <c r="C3485" s="227" t="s">
        <v>322</v>
      </c>
      <c r="D3485" s="233" t="s">
        <v>27</v>
      </c>
      <c r="E3485" s="233" t="s">
        <v>34</v>
      </c>
      <c r="F3485" s="227" t="s">
        <v>210</v>
      </c>
    </row>
    <row r="3486" spans="1:6" x14ac:dyDescent="0.25">
      <c r="A3486" s="227" t="str">
        <f>TL[[#This Row],[Société]]&amp;" - "&amp;TL[[#This Row],[Compte]]</f>
        <v>TIRR - 606300</v>
      </c>
      <c r="B3486" s="233" t="s">
        <v>1586</v>
      </c>
      <c r="C3486" s="227" t="s">
        <v>2373</v>
      </c>
      <c r="D3486" s="233" t="s">
        <v>25</v>
      </c>
      <c r="E3486" s="233" t="s">
        <v>23</v>
      </c>
      <c r="F3486" s="227" t="s">
        <v>210</v>
      </c>
    </row>
    <row r="3487" spans="1:6" x14ac:dyDescent="0.25">
      <c r="A3487" s="227" t="str">
        <f>TL[[#This Row],[Société]]&amp;" - "&amp;TL[[#This Row],[Compte]]</f>
        <v>TIRR - 606301</v>
      </c>
      <c r="B3487" s="233" t="s">
        <v>1895</v>
      </c>
      <c r="C3487" s="227" t="s">
        <v>24</v>
      </c>
      <c r="D3487" s="233" t="s">
        <v>23</v>
      </c>
      <c r="E3487" s="233" t="s">
        <v>2978</v>
      </c>
      <c r="F3487" s="227" t="s">
        <v>210</v>
      </c>
    </row>
    <row r="3488" spans="1:6" x14ac:dyDescent="0.25">
      <c r="A3488" s="227" t="str">
        <f>TL[[#This Row],[Société]]&amp;" - "&amp;TL[[#This Row],[Compte]]</f>
        <v>TIRR - 606302</v>
      </c>
      <c r="B3488" s="233" t="s">
        <v>1616</v>
      </c>
      <c r="C3488" s="227" t="s">
        <v>24</v>
      </c>
      <c r="D3488" s="233" t="s">
        <v>23</v>
      </c>
      <c r="E3488" s="233" t="s">
        <v>2978</v>
      </c>
      <c r="F3488" s="227" t="s">
        <v>210</v>
      </c>
    </row>
    <row r="3489" spans="1:6" x14ac:dyDescent="0.25">
      <c r="A3489" s="227" t="str">
        <f>TL[[#This Row],[Société]]&amp;" - "&amp;TL[[#This Row],[Compte]]</f>
        <v>TIRR - 606303</v>
      </c>
      <c r="B3489" s="233" t="s">
        <v>1609</v>
      </c>
      <c r="C3489" s="227" t="s">
        <v>146</v>
      </c>
      <c r="D3489" s="233" t="s">
        <v>21</v>
      </c>
      <c r="E3489" s="233" t="s">
        <v>2982</v>
      </c>
      <c r="F3489" s="227" t="s">
        <v>210</v>
      </c>
    </row>
    <row r="3490" spans="1:6" x14ac:dyDescent="0.25">
      <c r="A3490" s="227" t="str">
        <f>TL[[#This Row],[Société]]&amp;" - "&amp;TL[[#This Row],[Compte]]</f>
        <v>TIRR - 606305</v>
      </c>
      <c r="B3490" s="233" t="s">
        <v>1897</v>
      </c>
      <c r="C3490" s="227" t="s">
        <v>6283</v>
      </c>
      <c r="D3490" s="233" t="s">
        <v>23</v>
      </c>
      <c r="E3490" s="233" t="s">
        <v>2978</v>
      </c>
      <c r="F3490" s="227" t="s">
        <v>210</v>
      </c>
    </row>
    <row r="3491" spans="1:6" x14ac:dyDescent="0.25">
      <c r="A3491" s="227" t="str">
        <f>TL[[#This Row],[Société]]&amp;" - "&amp;TL[[#This Row],[Compte]]</f>
        <v>TIRR - 606400</v>
      </c>
      <c r="B3491" s="233" t="s">
        <v>1898</v>
      </c>
      <c r="C3491" s="227" t="s">
        <v>6284</v>
      </c>
      <c r="D3491" s="233" t="s">
        <v>29</v>
      </c>
      <c r="E3491" s="233" t="s">
        <v>2978</v>
      </c>
      <c r="F3491" s="227" t="s">
        <v>210</v>
      </c>
    </row>
    <row r="3492" spans="1:6" x14ac:dyDescent="0.25">
      <c r="A3492" s="227" t="str">
        <f>TL[[#This Row],[Société]]&amp;" - "&amp;TL[[#This Row],[Compte]]</f>
        <v>TIRR - 606401</v>
      </c>
      <c r="B3492" s="233" t="s">
        <v>1612</v>
      </c>
      <c r="C3492" s="227" t="s">
        <v>2374</v>
      </c>
      <c r="D3492" s="233" t="s">
        <v>29</v>
      </c>
      <c r="E3492" s="233" t="s">
        <v>2978</v>
      </c>
      <c r="F3492" s="227" t="s">
        <v>210</v>
      </c>
    </row>
    <row r="3493" spans="1:6" x14ac:dyDescent="0.25">
      <c r="A3493" s="227" t="str">
        <f>TL[[#This Row],[Société]]&amp;" - "&amp;TL[[#This Row],[Compte]]</f>
        <v>TIRR - 606613</v>
      </c>
      <c r="B3493" s="233" t="s">
        <v>2595</v>
      </c>
      <c r="C3493" s="227" t="s">
        <v>267</v>
      </c>
      <c r="D3493" s="233" t="s">
        <v>16</v>
      </c>
      <c r="E3493" s="233" t="s">
        <v>52</v>
      </c>
      <c r="F3493" s="227" t="s">
        <v>210</v>
      </c>
    </row>
    <row r="3494" spans="1:6" x14ac:dyDescent="0.25">
      <c r="A3494" s="227" t="str">
        <f>TL[[#This Row],[Société]]&amp;" - "&amp;TL[[#This Row],[Compte]]</f>
        <v>TIRR - 609000</v>
      </c>
      <c r="B3494" s="233" t="s">
        <v>3203</v>
      </c>
      <c r="C3494" s="227" t="s">
        <v>3204</v>
      </c>
      <c r="D3494" s="233" t="s">
        <v>0</v>
      </c>
      <c r="E3494" s="233" t="s">
        <v>7</v>
      </c>
      <c r="F3494" s="227" t="s">
        <v>210</v>
      </c>
    </row>
    <row r="3495" spans="1:6" x14ac:dyDescent="0.25">
      <c r="A3495" s="227" t="str">
        <f>TL[[#This Row],[Société]]&amp;" - "&amp;TL[[#This Row],[Compte]]</f>
        <v>TIRR - 611100</v>
      </c>
      <c r="B3495" s="233" t="s">
        <v>2746</v>
      </c>
      <c r="C3495" s="227" t="s">
        <v>2375</v>
      </c>
      <c r="D3495" s="233" t="s">
        <v>39</v>
      </c>
      <c r="E3495" s="233" t="s">
        <v>25</v>
      </c>
      <c r="F3495" s="227" t="s">
        <v>210</v>
      </c>
    </row>
    <row r="3496" spans="1:6" x14ac:dyDescent="0.25">
      <c r="A3496" s="227" t="str">
        <f>TL[[#This Row],[Société]]&amp;" - "&amp;TL[[#This Row],[Compte]]</f>
        <v>TIRR - 613000</v>
      </c>
      <c r="B3496" s="233" t="s">
        <v>1904</v>
      </c>
      <c r="C3496" s="227" t="s">
        <v>2376</v>
      </c>
      <c r="D3496" s="233" t="s">
        <v>35</v>
      </c>
      <c r="E3496" s="233" t="s">
        <v>2985</v>
      </c>
      <c r="F3496" s="227" t="s">
        <v>210</v>
      </c>
    </row>
    <row r="3497" spans="1:6" x14ac:dyDescent="0.25">
      <c r="A3497" s="227" t="str">
        <f>TL[[#This Row],[Société]]&amp;" - "&amp;TL[[#This Row],[Compte]]</f>
        <v>TIRR - 613100</v>
      </c>
      <c r="B3497" s="233" t="s">
        <v>1918</v>
      </c>
      <c r="C3497" s="227" t="s">
        <v>1177</v>
      </c>
      <c r="D3497" s="233" t="s">
        <v>20</v>
      </c>
      <c r="E3497" s="233" t="s">
        <v>25</v>
      </c>
      <c r="F3497" s="227" t="s">
        <v>210</v>
      </c>
    </row>
    <row r="3498" spans="1:6" x14ac:dyDescent="0.25">
      <c r="A3498" s="227" t="str">
        <f>TL[[#This Row],[Société]]&amp;" - "&amp;TL[[#This Row],[Compte]]</f>
        <v>TIRR - 613101</v>
      </c>
      <c r="B3498" s="233" t="s">
        <v>6285</v>
      </c>
      <c r="C3498" s="227" t="s">
        <v>6286</v>
      </c>
      <c r="D3498" s="233" t="s">
        <v>20</v>
      </c>
      <c r="E3498" s="233" t="s">
        <v>25</v>
      </c>
      <c r="F3498" s="227" t="s">
        <v>210</v>
      </c>
    </row>
    <row r="3499" spans="1:6" x14ac:dyDescent="0.25">
      <c r="A3499" s="227" t="str">
        <f>TL[[#This Row],[Société]]&amp;" - "&amp;TL[[#This Row],[Compte]]</f>
        <v>TIRR - 613102</v>
      </c>
      <c r="B3499" s="233" t="s">
        <v>6287</v>
      </c>
      <c r="C3499" s="227" t="s">
        <v>232</v>
      </c>
      <c r="D3499" s="233" t="s">
        <v>50</v>
      </c>
      <c r="E3499" s="233" t="s">
        <v>50</v>
      </c>
      <c r="F3499" s="227" t="s">
        <v>210</v>
      </c>
    </row>
    <row r="3500" spans="1:6" x14ac:dyDescent="0.25">
      <c r="A3500" s="227" t="str">
        <f>TL[[#This Row],[Société]]&amp;" - "&amp;TL[[#This Row],[Compte]]</f>
        <v>TIRR - 613200</v>
      </c>
      <c r="B3500" s="233" t="s">
        <v>1587</v>
      </c>
      <c r="C3500" s="227" t="s">
        <v>253</v>
      </c>
      <c r="D3500" s="233" t="s">
        <v>20</v>
      </c>
      <c r="E3500" s="233" t="s">
        <v>25</v>
      </c>
      <c r="F3500" s="227" t="s">
        <v>210</v>
      </c>
    </row>
    <row r="3501" spans="1:6" x14ac:dyDescent="0.25">
      <c r="A3501" s="227" t="str">
        <f>TL[[#This Row],[Société]]&amp;" - "&amp;TL[[#This Row],[Compte]]</f>
        <v>TIRR - 613300</v>
      </c>
      <c r="B3501" s="233" t="s">
        <v>3209</v>
      </c>
      <c r="C3501" s="227" t="s">
        <v>6288</v>
      </c>
      <c r="D3501" s="233" t="s">
        <v>50</v>
      </c>
      <c r="E3501" s="233" t="s">
        <v>50</v>
      </c>
      <c r="F3501" s="227" t="s">
        <v>210</v>
      </c>
    </row>
    <row r="3502" spans="1:6" x14ac:dyDescent="0.25">
      <c r="A3502" s="227" t="str">
        <f>TL[[#This Row],[Société]]&amp;" - "&amp;TL[[#This Row],[Compte]]</f>
        <v>TIRR - 613310</v>
      </c>
      <c r="B3502" s="233" t="s">
        <v>3211</v>
      </c>
      <c r="C3502" s="227" t="s">
        <v>6289</v>
      </c>
      <c r="D3502" s="233" t="s">
        <v>50</v>
      </c>
      <c r="E3502" s="233" t="s">
        <v>50</v>
      </c>
      <c r="F3502" s="227" t="s">
        <v>210</v>
      </c>
    </row>
    <row r="3503" spans="1:6" x14ac:dyDescent="0.25">
      <c r="A3503" s="227" t="str">
        <f>TL[[#This Row],[Société]]&amp;" - "&amp;TL[[#This Row],[Compte]]</f>
        <v>TIRR - 613500</v>
      </c>
      <c r="B3503" s="233" t="s">
        <v>1920</v>
      </c>
      <c r="C3503" s="227" t="s">
        <v>6290</v>
      </c>
      <c r="D3503" s="233" t="s">
        <v>50</v>
      </c>
      <c r="E3503" s="233" t="s">
        <v>50</v>
      </c>
      <c r="F3503" s="227" t="s">
        <v>210</v>
      </c>
    </row>
    <row r="3504" spans="1:6" x14ac:dyDescent="0.25">
      <c r="A3504" s="227" t="str">
        <f>TL[[#This Row],[Société]]&amp;" - "&amp;TL[[#This Row],[Compte]]</f>
        <v>TIRR - 613501</v>
      </c>
      <c r="B3504" s="233" t="s">
        <v>1727</v>
      </c>
      <c r="C3504" s="227" t="s">
        <v>6291</v>
      </c>
      <c r="D3504" s="233" t="s">
        <v>50</v>
      </c>
      <c r="E3504" s="233" t="s">
        <v>50</v>
      </c>
      <c r="F3504" s="227" t="s">
        <v>210</v>
      </c>
    </row>
    <row r="3505" spans="1:6" x14ac:dyDescent="0.25">
      <c r="A3505" s="227" t="str">
        <f>TL[[#This Row],[Société]]&amp;" - "&amp;TL[[#This Row],[Compte]]</f>
        <v>TIRR - 613510</v>
      </c>
      <c r="B3505" s="233" t="s">
        <v>1579</v>
      </c>
      <c r="C3505" s="227" t="s">
        <v>6292</v>
      </c>
      <c r="D3505" s="233" t="s">
        <v>50</v>
      </c>
      <c r="E3505" s="233" t="s">
        <v>52</v>
      </c>
      <c r="F3505" s="227" t="s">
        <v>210</v>
      </c>
    </row>
    <row r="3506" spans="1:6" x14ac:dyDescent="0.25">
      <c r="A3506" s="227" t="str">
        <f>TL[[#This Row],[Société]]&amp;" - "&amp;TL[[#This Row],[Compte]]</f>
        <v>TIRR - 613511</v>
      </c>
      <c r="B3506" s="233" t="s">
        <v>6293</v>
      </c>
      <c r="C3506" s="227" t="s">
        <v>6294</v>
      </c>
      <c r="D3506" s="233" t="s">
        <v>50</v>
      </c>
      <c r="E3506" s="233" t="s">
        <v>50</v>
      </c>
      <c r="F3506" s="227" t="s">
        <v>210</v>
      </c>
    </row>
    <row r="3507" spans="1:6" x14ac:dyDescent="0.25">
      <c r="A3507" s="227" t="str">
        <f>TL[[#This Row],[Société]]&amp;" - "&amp;TL[[#This Row],[Compte]]</f>
        <v>TIRR - 613512</v>
      </c>
      <c r="B3507" s="233" t="s">
        <v>6295</v>
      </c>
      <c r="C3507" s="227" t="s">
        <v>2222</v>
      </c>
      <c r="D3507" s="233" t="s">
        <v>50</v>
      </c>
      <c r="E3507" s="233" t="s">
        <v>50</v>
      </c>
      <c r="F3507" s="227" t="s">
        <v>210</v>
      </c>
    </row>
    <row r="3508" spans="1:6" x14ac:dyDescent="0.25">
      <c r="A3508" s="227" t="str">
        <f>TL[[#This Row],[Société]]&amp;" - "&amp;TL[[#This Row],[Compte]]</f>
        <v>TIRR - 613513</v>
      </c>
      <c r="B3508" s="233" t="s">
        <v>2765</v>
      </c>
      <c r="C3508" s="227" t="s">
        <v>2377</v>
      </c>
      <c r="D3508" s="233" t="s">
        <v>50</v>
      </c>
      <c r="E3508" s="233" t="s">
        <v>52</v>
      </c>
      <c r="F3508" s="227" t="s">
        <v>210</v>
      </c>
    </row>
    <row r="3509" spans="1:6" x14ac:dyDescent="0.25">
      <c r="A3509" s="227" t="str">
        <f>TL[[#This Row],[Société]]&amp;" - "&amp;TL[[#This Row],[Compte]]</f>
        <v>TIRR - 613514</v>
      </c>
      <c r="B3509" s="233" t="s">
        <v>2747</v>
      </c>
      <c r="C3509" s="227" t="s">
        <v>2354</v>
      </c>
      <c r="D3509" s="233" t="s">
        <v>20</v>
      </c>
      <c r="E3509" s="233" t="s">
        <v>25</v>
      </c>
      <c r="F3509" s="227" t="s">
        <v>210</v>
      </c>
    </row>
    <row r="3510" spans="1:6" x14ac:dyDescent="0.25">
      <c r="A3510" s="227" t="str">
        <f>TL[[#This Row],[Société]]&amp;" - "&amp;TL[[#This Row],[Compte]]</f>
        <v>TIRR - 613515</v>
      </c>
      <c r="B3510" s="233" t="s">
        <v>6296</v>
      </c>
      <c r="C3510" s="227" t="s">
        <v>6297</v>
      </c>
      <c r="D3510" s="233" t="s">
        <v>50</v>
      </c>
      <c r="E3510" s="233" t="s">
        <v>52</v>
      </c>
      <c r="F3510" s="227" t="s">
        <v>210</v>
      </c>
    </row>
    <row r="3511" spans="1:6" x14ac:dyDescent="0.25">
      <c r="A3511" s="227" t="str">
        <f>TL[[#This Row],[Société]]&amp;" - "&amp;TL[[#This Row],[Compte]]</f>
        <v>TIRR - 613516</v>
      </c>
      <c r="B3511" s="233" t="s">
        <v>6298</v>
      </c>
      <c r="C3511" s="227" t="s">
        <v>6299</v>
      </c>
      <c r="D3511" s="233" t="s">
        <v>50</v>
      </c>
      <c r="E3511" s="233" t="s">
        <v>50</v>
      </c>
      <c r="F3511" s="227" t="s">
        <v>210</v>
      </c>
    </row>
    <row r="3512" spans="1:6" x14ac:dyDescent="0.25">
      <c r="A3512" s="227" t="str">
        <f>TL[[#This Row],[Société]]&amp;" - "&amp;TL[[#This Row],[Compte]]</f>
        <v>TIRR - 613517</v>
      </c>
      <c r="B3512" s="233" t="s">
        <v>6300</v>
      </c>
      <c r="C3512" s="227" t="s">
        <v>6301</v>
      </c>
      <c r="D3512" s="233" t="s">
        <v>50</v>
      </c>
      <c r="E3512" s="233" t="s">
        <v>50</v>
      </c>
      <c r="F3512" s="227" t="s">
        <v>210</v>
      </c>
    </row>
    <row r="3513" spans="1:6" x14ac:dyDescent="0.25">
      <c r="A3513" s="227" t="str">
        <f>TL[[#This Row],[Société]]&amp;" - "&amp;TL[[#This Row],[Compte]]</f>
        <v>TIRR - 613518</v>
      </c>
      <c r="B3513" s="233" t="s">
        <v>2766</v>
      </c>
      <c r="C3513" s="227" t="s">
        <v>2378</v>
      </c>
      <c r="D3513" s="233" t="s">
        <v>50</v>
      </c>
      <c r="E3513" s="233" t="s">
        <v>52</v>
      </c>
      <c r="F3513" s="227" t="s">
        <v>210</v>
      </c>
    </row>
    <row r="3514" spans="1:6" x14ac:dyDescent="0.25">
      <c r="A3514" s="227" t="str">
        <f>TL[[#This Row],[Société]]&amp;" - "&amp;TL[[#This Row],[Compte]]</f>
        <v>TIRR - 613519</v>
      </c>
      <c r="B3514" s="233" t="s">
        <v>2748</v>
      </c>
      <c r="C3514" s="227" t="s">
        <v>1568</v>
      </c>
      <c r="D3514" s="233" t="s">
        <v>20</v>
      </c>
      <c r="E3514" s="233" t="s">
        <v>25</v>
      </c>
      <c r="F3514" s="227" t="s">
        <v>210</v>
      </c>
    </row>
    <row r="3515" spans="1:6" x14ac:dyDescent="0.25">
      <c r="A3515" s="227" t="str">
        <f>TL[[#This Row],[Société]]&amp;" - "&amp;TL[[#This Row],[Compte]]</f>
        <v>TIRR - 613520</v>
      </c>
      <c r="B3515" s="233" t="s">
        <v>1599</v>
      </c>
      <c r="C3515" s="227" t="s">
        <v>4975</v>
      </c>
      <c r="D3515" s="233" t="s">
        <v>20</v>
      </c>
      <c r="E3515" s="233" t="s">
        <v>25</v>
      </c>
      <c r="F3515" s="227" t="s">
        <v>210</v>
      </c>
    </row>
    <row r="3516" spans="1:6" x14ac:dyDescent="0.25">
      <c r="A3516" s="227" t="str">
        <f>TL[[#This Row],[Société]]&amp;" - "&amp;TL[[#This Row],[Compte]]</f>
        <v>TIRR - 613521</v>
      </c>
      <c r="B3516" s="233" t="s">
        <v>6302</v>
      </c>
      <c r="C3516" s="227" t="s">
        <v>6303</v>
      </c>
      <c r="D3516" s="233" t="s">
        <v>50</v>
      </c>
      <c r="E3516" s="233" t="s">
        <v>50</v>
      </c>
      <c r="F3516" s="227" t="s">
        <v>210</v>
      </c>
    </row>
    <row r="3517" spans="1:6" x14ac:dyDescent="0.25">
      <c r="A3517" s="227" t="str">
        <f>TL[[#This Row],[Société]]&amp;" - "&amp;TL[[#This Row],[Compte]]</f>
        <v>TIRR - 613522</v>
      </c>
      <c r="B3517" s="233" t="s">
        <v>6304</v>
      </c>
      <c r="C3517" s="227" t="s">
        <v>6305</v>
      </c>
      <c r="D3517" s="233" t="s">
        <v>50</v>
      </c>
      <c r="E3517" s="233" t="s">
        <v>52</v>
      </c>
      <c r="F3517" s="227" t="s">
        <v>210</v>
      </c>
    </row>
    <row r="3518" spans="1:6" x14ac:dyDescent="0.25">
      <c r="A3518" s="227" t="str">
        <f>TL[[#This Row],[Société]]&amp;" - "&amp;TL[[#This Row],[Compte]]</f>
        <v>TIRR - 613523</v>
      </c>
      <c r="B3518" s="233" t="s">
        <v>6306</v>
      </c>
      <c r="C3518" s="227" t="s">
        <v>6307</v>
      </c>
      <c r="D3518" s="233" t="s">
        <v>50</v>
      </c>
      <c r="E3518" s="233" t="s">
        <v>52</v>
      </c>
      <c r="F3518" s="227" t="s">
        <v>210</v>
      </c>
    </row>
    <row r="3519" spans="1:6" x14ac:dyDescent="0.25">
      <c r="A3519" s="227" t="str">
        <f>TL[[#This Row],[Société]]&amp;" - "&amp;TL[[#This Row],[Compte]]</f>
        <v>TIRR - 613524</v>
      </c>
      <c r="B3519" s="233" t="s">
        <v>2767</v>
      </c>
      <c r="C3519" s="227" t="s">
        <v>2379</v>
      </c>
      <c r="D3519" s="233" t="s">
        <v>50</v>
      </c>
      <c r="E3519" s="233" t="s">
        <v>52</v>
      </c>
      <c r="F3519" s="227" t="s">
        <v>210</v>
      </c>
    </row>
    <row r="3520" spans="1:6" x14ac:dyDescent="0.25">
      <c r="A3520" s="227" t="str">
        <f>TL[[#This Row],[Société]]&amp;" - "&amp;TL[[#This Row],[Compte]]</f>
        <v>TIRR - 613526</v>
      </c>
      <c r="B3520" s="233" t="s">
        <v>6308</v>
      </c>
      <c r="C3520" s="227" t="s">
        <v>2128</v>
      </c>
      <c r="D3520" s="233" t="s">
        <v>50</v>
      </c>
      <c r="E3520" s="233" t="s">
        <v>52</v>
      </c>
      <c r="F3520" s="227" t="s">
        <v>210</v>
      </c>
    </row>
    <row r="3521" spans="1:6" x14ac:dyDescent="0.25">
      <c r="A3521" s="227" t="str">
        <f>TL[[#This Row],[Société]]&amp;" - "&amp;TL[[#This Row],[Compte]]</f>
        <v>TIRR - 613529</v>
      </c>
      <c r="B3521" s="233" t="s">
        <v>2768</v>
      </c>
      <c r="C3521" s="227" t="s">
        <v>2109</v>
      </c>
      <c r="D3521" s="233" t="s">
        <v>50</v>
      </c>
      <c r="E3521" s="233" t="s">
        <v>52</v>
      </c>
      <c r="F3521" s="227" t="s">
        <v>210</v>
      </c>
    </row>
    <row r="3522" spans="1:6" x14ac:dyDescent="0.25">
      <c r="A3522" s="227" t="str">
        <f>TL[[#This Row],[Société]]&amp;" - "&amp;TL[[#This Row],[Compte]]</f>
        <v>TIRR - 614000</v>
      </c>
      <c r="B3522" s="233" t="s">
        <v>1921</v>
      </c>
      <c r="C3522" s="227" t="s">
        <v>4978</v>
      </c>
      <c r="D3522" s="233" t="s">
        <v>42</v>
      </c>
      <c r="E3522" s="233" t="s">
        <v>40</v>
      </c>
      <c r="F3522" s="227" t="s">
        <v>210</v>
      </c>
    </row>
    <row r="3523" spans="1:6" x14ac:dyDescent="0.25">
      <c r="A3523" s="227" t="str">
        <f>TL[[#This Row],[Société]]&amp;" - "&amp;TL[[#This Row],[Compte]]</f>
        <v>TIRR - 614100</v>
      </c>
      <c r="B3523" s="233" t="s">
        <v>1784</v>
      </c>
      <c r="C3523" s="227" t="s">
        <v>1178</v>
      </c>
      <c r="D3523" s="233" t="s">
        <v>42</v>
      </c>
      <c r="E3523" s="233" t="s">
        <v>40</v>
      </c>
      <c r="F3523" s="227" t="s">
        <v>210</v>
      </c>
    </row>
    <row r="3524" spans="1:6" x14ac:dyDescent="0.25">
      <c r="A3524" s="227" t="str">
        <f>TL[[#This Row],[Société]]&amp;" - "&amp;TL[[#This Row],[Compte]]</f>
        <v>TIRR - 615210</v>
      </c>
      <c r="B3524" s="233" t="s">
        <v>1602</v>
      </c>
      <c r="C3524" s="227" t="s">
        <v>260</v>
      </c>
      <c r="D3524" s="233" t="s">
        <v>20</v>
      </c>
      <c r="E3524" s="233" t="s">
        <v>18</v>
      </c>
      <c r="F3524" s="227" t="s">
        <v>210</v>
      </c>
    </row>
    <row r="3525" spans="1:6" x14ac:dyDescent="0.25">
      <c r="A3525" s="227" t="str">
        <f>TL[[#This Row],[Société]]&amp;" - "&amp;TL[[#This Row],[Compte]]</f>
        <v>TIRR - 615500</v>
      </c>
      <c r="B3525" s="233" t="s">
        <v>1589</v>
      </c>
      <c r="C3525" s="227" t="s">
        <v>2305</v>
      </c>
      <c r="D3525" s="233" t="s">
        <v>25</v>
      </c>
      <c r="E3525" s="233" t="s">
        <v>23</v>
      </c>
      <c r="F3525" s="227" t="s">
        <v>210</v>
      </c>
    </row>
    <row r="3526" spans="1:6" x14ac:dyDescent="0.25">
      <c r="A3526" s="227" t="str">
        <f>TL[[#This Row],[Société]]&amp;" - "&amp;TL[[#This Row],[Compte]]</f>
        <v>TIRR - 615511</v>
      </c>
      <c r="B3526" s="233" t="s">
        <v>4985</v>
      </c>
      <c r="C3526" s="227" t="s">
        <v>6309</v>
      </c>
      <c r="D3526" s="233" t="s">
        <v>50</v>
      </c>
      <c r="E3526" s="233" t="s">
        <v>23</v>
      </c>
      <c r="F3526" s="227" t="s">
        <v>210</v>
      </c>
    </row>
    <row r="3527" spans="1:6" x14ac:dyDescent="0.25">
      <c r="A3527" s="227" t="str">
        <f>TL[[#This Row],[Société]]&amp;" - "&amp;TL[[#This Row],[Compte]]</f>
        <v>TIRR - 615600</v>
      </c>
      <c r="B3527" s="233" t="s">
        <v>1627</v>
      </c>
      <c r="C3527" s="227" t="s">
        <v>6310</v>
      </c>
      <c r="D3527" s="233" t="s">
        <v>20</v>
      </c>
      <c r="E3527" s="233" t="s">
        <v>25</v>
      </c>
      <c r="F3527" s="227" t="s">
        <v>210</v>
      </c>
    </row>
    <row r="3528" spans="1:6" x14ac:dyDescent="0.25">
      <c r="A3528" s="227" t="str">
        <f>TL[[#This Row],[Société]]&amp;" - "&amp;TL[[#This Row],[Compte]]</f>
        <v>TIRR - 615610</v>
      </c>
      <c r="B3528" s="233" t="s">
        <v>1779</v>
      </c>
      <c r="C3528" s="227" t="s">
        <v>6311</v>
      </c>
      <c r="D3528" s="233" t="s">
        <v>20</v>
      </c>
      <c r="E3528" s="233" t="s">
        <v>25</v>
      </c>
      <c r="F3528" s="227" t="s">
        <v>210</v>
      </c>
    </row>
    <row r="3529" spans="1:6" x14ac:dyDescent="0.25">
      <c r="A3529" s="227" t="str">
        <f>TL[[#This Row],[Société]]&amp;" - "&amp;TL[[#This Row],[Compte]]</f>
        <v>TIRR - 615611</v>
      </c>
      <c r="B3529" s="233" t="s">
        <v>1608</v>
      </c>
      <c r="C3529" s="227" t="s">
        <v>211</v>
      </c>
      <c r="D3529" s="233" t="s">
        <v>20</v>
      </c>
      <c r="E3529" s="233" t="s">
        <v>25</v>
      </c>
      <c r="F3529" s="227" t="s">
        <v>210</v>
      </c>
    </row>
    <row r="3530" spans="1:6" x14ac:dyDescent="0.25">
      <c r="A3530" s="227" t="str">
        <f>TL[[#This Row],[Société]]&amp;" - "&amp;TL[[#This Row],[Compte]]</f>
        <v>TIRR - 615612</v>
      </c>
      <c r="B3530" s="233" t="s">
        <v>1635</v>
      </c>
      <c r="C3530" s="227" t="s">
        <v>1185</v>
      </c>
      <c r="D3530" s="233" t="s">
        <v>20</v>
      </c>
      <c r="E3530" s="233" t="s">
        <v>25</v>
      </c>
      <c r="F3530" s="227" t="s">
        <v>210</v>
      </c>
    </row>
    <row r="3531" spans="1:6" x14ac:dyDescent="0.25">
      <c r="A3531" s="227" t="str">
        <f>TL[[#This Row],[Société]]&amp;" - "&amp;TL[[#This Row],[Compte]]</f>
        <v>TIRR - 615613</v>
      </c>
      <c r="B3531" s="233" t="s">
        <v>1617</v>
      </c>
      <c r="C3531" s="227" t="s">
        <v>1186</v>
      </c>
      <c r="D3531" s="233" t="s">
        <v>20</v>
      </c>
      <c r="E3531" s="233" t="s">
        <v>25</v>
      </c>
      <c r="F3531" s="227" t="s">
        <v>210</v>
      </c>
    </row>
    <row r="3532" spans="1:6" x14ac:dyDescent="0.25">
      <c r="A3532" s="227" t="str">
        <f>TL[[#This Row],[Société]]&amp;" - "&amp;TL[[#This Row],[Compte]]</f>
        <v>TIRR - 615614</v>
      </c>
      <c r="B3532" s="233" t="s">
        <v>1620</v>
      </c>
      <c r="C3532" s="227" t="s">
        <v>2380</v>
      </c>
      <c r="D3532" s="233" t="s">
        <v>20</v>
      </c>
      <c r="E3532" s="233" t="s">
        <v>25</v>
      </c>
      <c r="F3532" s="227" t="s">
        <v>210</v>
      </c>
    </row>
    <row r="3533" spans="1:6" x14ac:dyDescent="0.25">
      <c r="A3533" s="227" t="str">
        <f>TL[[#This Row],[Société]]&amp;" - "&amp;TL[[#This Row],[Compte]]</f>
        <v>TIRR - 615615</v>
      </c>
      <c r="B3533" s="233" t="s">
        <v>1598</v>
      </c>
      <c r="C3533" s="227" t="s">
        <v>240</v>
      </c>
      <c r="D3533" s="233" t="s">
        <v>20</v>
      </c>
      <c r="E3533" s="233" t="s">
        <v>18</v>
      </c>
      <c r="F3533" s="227" t="s">
        <v>210</v>
      </c>
    </row>
    <row r="3534" spans="1:6" x14ac:dyDescent="0.25">
      <c r="A3534" s="227" t="str">
        <f>TL[[#This Row],[Société]]&amp;" - "&amp;TL[[#This Row],[Compte]]</f>
        <v>TIRR - 615616</v>
      </c>
      <c r="B3534" s="233" t="s">
        <v>1625</v>
      </c>
      <c r="C3534" s="227" t="s">
        <v>2234</v>
      </c>
      <c r="D3534" s="233" t="s">
        <v>20</v>
      </c>
      <c r="E3534" s="233" t="s">
        <v>20</v>
      </c>
      <c r="F3534" s="227" t="s">
        <v>210</v>
      </c>
    </row>
    <row r="3535" spans="1:6" x14ac:dyDescent="0.25">
      <c r="A3535" s="227" t="str">
        <f>TL[[#This Row],[Société]]&amp;" - "&amp;TL[[#This Row],[Compte]]</f>
        <v>TIRR - 615617</v>
      </c>
      <c r="B3535" s="233" t="s">
        <v>1611</v>
      </c>
      <c r="C3535" s="227" t="s">
        <v>285</v>
      </c>
      <c r="D3535" s="233" t="s">
        <v>20</v>
      </c>
      <c r="E3535" s="233" t="s">
        <v>25</v>
      </c>
      <c r="F3535" s="227" t="s">
        <v>210</v>
      </c>
    </row>
    <row r="3536" spans="1:6" x14ac:dyDescent="0.25">
      <c r="A3536" s="227" t="str">
        <f>TL[[#This Row],[Société]]&amp;" - "&amp;TL[[#This Row],[Compte]]</f>
        <v>TIRR - 615618</v>
      </c>
      <c r="B3536" s="233" t="s">
        <v>1582</v>
      </c>
      <c r="C3536" s="227" t="s">
        <v>6312</v>
      </c>
      <c r="D3536" s="233" t="s">
        <v>20</v>
      </c>
      <c r="E3536" s="233" t="s">
        <v>25</v>
      </c>
      <c r="F3536" s="227" t="s">
        <v>210</v>
      </c>
    </row>
    <row r="3537" spans="1:6" x14ac:dyDescent="0.25">
      <c r="A3537" s="227" t="str">
        <f>TL[[#This Row],[Société]]&amp;" - "&amp;TL[[#This Row],[Compte]]</f>
        <v>TIRR - 615619</v>
      </c>
      <c r="B3537" s="233" t="s">
        <v>1936</v>
      </c>
      <c r="C3537" s="227" t="s">
        <v>2358</v>
      </c>
      <c r="D3537" s="233" t="s">
        <v>20</v>
      </c>
      <c r="E3537" s="233" t="s">
        <v>25</v>
      </c>
      <c r="F3537" s="227" t="s">
        <v>210</v>
      </c>
    </row>
    <row r="3538" spans="1:6" x14ac:dyDescent="0.25">
      <c r="A3538" s="227" t="str">
        <f>TL[[#This Row],[Société]]&amp;" - "&amp;TL[[#This Row],[Compte]]</f>
        <v>TIRR - 615620</v>
      </c>
      <c r="B3538" s="233" t="s">
        <v>1583</v>
      </c>
      <c r="C3538" s="227" t="s">
        <v>2309</v>
      </c>
      <c r="D3538" s="233" t="s">
        <v>20</v>
      </c>
      <c r="E3538" s="233" t="s">
        <v>25</v>
      </c>
      <c r="F3538" s="227" t="s">
        <v>210</v>
      </c>
    </row>
    <row r="3539" spans="1:6" x14ac:dyDescent="0.25">
      <c r="A3539" s="227" t="str">
        <f>TL[[#This Row],[Société]]&amp;" - "&amp;TL[[#This Row],[Compte]]</f>
        <v>TIRR - 615621</v>
      </c>
      <c r="B3539" s="233" t="s">
        <v>1595</v>
      </c>
      <c r="C3539" s="227" t="s">
        <v>2381</v>
      </c>
      <c r="D3539" s="233" t="s">
        <v>20</v>
      </c>
      <c r="E3539" s="233" t="s">
        <v>25</v>
      </c>
      <c r="F3539" s="227" t="s">
        <v>210</v>
      </c>
    </row>
    <row r="3540" spans="1:6" x14ac:dyDescent="0.25">
      <c r="A3540" s="227" t="str">
        <f>TL[[#This Row],[Société]]&amp;" - "&amp;TL[[#This Row],[Compte]]</f>
        <v>TIRR - 615622</v>
      </c>
      <c r="B3540" s="233" t="s">
        <v>1614</v>
      </c>
      <c r="C3540" s="227" t="s">
        <v>3244</v>
      </c>
      <c r="D3540" s="233" t="s">
        <v>20</v>
      </c>
      <c r="E3540" s="233" t="s">
        <v>25</v>
      </c>
      <c r="F3540" s="227" t="s">
        <v>210</v>
      </c>
    </row>
    <row r="3541" spans="1:6" x14ac:dyDescent="0.25">
      <c r="A3541" s="227" t="str">
        <f>TL[[#This Row],[Société]]&amp;" - "&amp;TL[[#This Row],[Compte]]</f>
        <v>TIRR - 615623</v>
      </c>
      <c r="B3541" s="233" t="s">
        <v>1626</v>
      </c>
      <c r="C3541" s="227" t="s">
        <v>900</v>
      </c>
      <c r="D3541" s="233" t="s">
        <v>20</v>
      </c>
      <c r="E3541" s="233" t="s">
        <v>25</v>
      </c>
      <c r="F3541" s="227" t="s">
        <v>210</v>
      </c>
    </row>
    <row r="3542" spans="1:6" x14ac:dyDescent="0.25">
      <c r="A3542" s="227" t="str">
        <f>TL[[#This Row],[Société]]&amp;" - "&amp;TL[[#This Row],[Compte]]</f>
        <v>TIRR - 615624</v>
      </c>
      <c r="B3542" s="233" t="s">
        <v>1937</v>
      </c>
      <c r="C3542" s="227" t="s">
        <v>6313</v>
      </c>
      <c r="D3542" s="233" t="s">
        <v>20</v>
      </c>
      <c r="E3542" s="233" t="s">
        <v>25</v>
      </c>
      <c r="F3542" s="227" t="s">
        <v>210</v>
      </c>
    </row>
    <row r="3543" spans="1:6" x14ac:dyDescent="0.25">
      <c r="A3543" s="227" t="str">
        <f>TL[[#This Row],[Société]]&amp;" - "&amp;TL[[#This Row],[Compte]]</f>
        <v>TIRR - 615625</v>
      </c>
      <c r="B3543" s="233" t="s">
        <v>1785</v>
      </c>
      <c r="C3543" s="227" t="s">
        <v>3241</v>
      </c>
      <c r="D3543" s="233" t="s">
        <v>20</v>
      </c>
      <c r="E3543" s="233" t="s">
        <v>25</v>
      </c>
      <c r="F3543" s="227" t="s">
        <v>210</v>
      </c>
    </row>
    <row r="3544" spans="1:6" x14ac:dyDescent="0.25">
      <c r="A3544" s="227" t="str">
        <f>TL[[#This Row],[Société]]&amp;" - "&amp;TL[[#This Row],[Compte]]</f>
        <v>TIRR - 615626</v>
      </c>
      <c r="B3544" s="233" t="s">
        <v>1938</v>
      </c>
      <c r="C3544" s="227" t="s">
        <v>2231</v>
      </c>
      <c r="D3544" s="233" t="s">
        <v>20</v>
      </c>
      <c r="E3544" s="233" t="s">
        <v>25</v>
      </c>
      <c r="F3544" s="227" t="s">
        <v>210</v>
      </c>
    </row>
    <row r="3545" spans="1:6" x14ac:dyDescent="0.25">
      <c r="A3545" s="227" t="str">
        <f>TL[[#This Row],[Société]]&amp;" - "&amp;TL[[#This Row],[Compte]]</f>
        <v>TIRR - 615627</v>
      </c>
      <c r="B3545" s="233" t="s">
        <v>1624</v>
      </c>
      <c r="C3545" s="227" t="s">
        <v>1189</v>
      </c>
      <c r="D3545" s="233" t="s">
        <v>20</v>
      </c>
      <c r="E3545" s="233" t="s">
        <v>23</v>
      </c>
      <c r="F3545" s="227" t="s">
        <v>210</v>
      </c>
    </row>
    <row r="3546" spans="1:6" x14ac:dyDescent="0.25">
      <c r="A3546" s="227" t="str">
        <f>TL[[#This Row],[Société]]&amp;" - "&amp;TL[[#This Row],[Compte]]</f>
        <v>TIRR - 615628</v>
      </c>
      <c r="B3546" s="233" t="s">
        <v>1593</v>
      </c>
      <c r="C3546" s="227" t="s">
        <v>6314</v>
      </c>
      <c r="D3546" s="233" t="s">
        <v>20</v>
      </c>
      <c r="E3546" s="233" t="s">
        <v>25</v>
      </c>
      <c r="F3546" s="227" t="s">
        <v>210</v>
      </c>
    </row>
    <row r="3547" spans="1:6" x14ac:dyDescent="0.25">
      <c r="A3547" s="227" t="str">
        <f>TL[[#This Row],[Société]]&amp;" - "&amp;TL[[#This Row],[Compte]]</f>
        <v>TIRR - 615630</v>
      </c>
      <c r="B3547" s="233" t="s">
        <v>1597</v>
      </c>
      <c r="C3547" s="227" t="s">
        <v>259</v>
      </c>
      <c r="D3547" s="233" t="s">
        <v>20</v>
      </c>
      <c r="E3547" s="233" t="s">
        <v>25</v>
      </c>
      <c r="F3547" s="227" t="s">
        <v>210</v>
      </c>
    </row>
    <row r="3548" spans="1:6" x14ac:dyDescent="0.25">
      <c r="A3548" s="227" t="str">
        <f>TL[[#This Row],[Société]]&amp;" - "&amp;TL[[#This Row],[Compte]]</f>
        <v>TIRR - 615632</v>
      </c>
      <c r="B3548" s="233" t="s">
        <v>1613</v>
      </c>
      <c r="C3548" s="227" t="s">
        <v>2382</v>
      </c>
      <c r="D3548" s="233" t="s">
        <v>20</v>
      </c>
      <c r="E3548" s="233" t="s">
        <v>25</v>
      </c>
      <c r="F3548" s="227" t="s">
        <v>210</v>
      </c>
    </row>
    <row r="3549" spans="1:6" x14ac:dyDescent="0.25">
      <c r="A3549" s="227" t="str">
        <f>TL[[#This Row],[Société]]&amp;" - "&amp;TL[[#This Row],[Compte]]</f>
        <v>TIRR - 615633</v>
      </c>
      <c r="B3549" s="233" t="s">
        <v>1771</v>
      </c>
      <c r="C3549" s="227" t="s">
        <v>6315</v>
      </c>
      <c r="D3549" s="233" t="s">
        <v>20</v>
      </c>
      <c r="E3549" s="233" t="s">
        <v>25</v>
      </c>
      <c r="F3549" s="227" t="s">
        <v>210</v>
      </c>
    </row>
    <row r="3550" spans="1:6" x14ac:dyDescent="0.25">
      <c r="A3550" s="227" t="str">
        <f>TL[[#This Row],[Société]]&amp;" - "&amp;TL[[#This Row],[Compte]]</f>
        <v>TIRR - 615634</v>
      </c>
      <c r="B3550" s="233" t="s">
        <v>1795</v>
      </c>
      <c r="C3550" s="227" t="s">
        <v>233</v>
      </c>
      <c r="D3550" s="233" t="s">
        <v>20</v>
      </c>
      <c r="E3550" s="233" t="s">
        <v>25</v>
      </c>
      <c r="F3550" s="227" t="s">
        <v>210</v>
      </c>
    </row>
    <row r="3551" spans="1:6" x14ac:dyDescent="0.25">
      <c r="A3551" s="227" t="str">
        <f>TL[[#This Row],[Société]]&amp;" - "&amp;TL[[#This Row],[Compte]]</f>
        <v>TIRR - 615636</v>
      </c>
      <c r="B3551" s="233" t="s">
        <v>1772</v>
      </c>
      <c r="C3551" s="227" t="s">
        <v>3247</v>
      </c>
      <c r="D3551" s="233" t="s">
        <v>20</v>
      </c>
      <c r="E3551" s="233" t="s">
        <v>25</v>
      </c>
      <c r="F3551" s="227" t="s">
        <v>210</v>
      </c>
    </row>
    <row r="3552" spans="1:6" x14ac:dyDescent="0.25">
      <c r="A3552" s="227" t="str">
        <f>TL[[#This Row],[Société]]&amp;" - "&amp;TL[[#This Row],[Compte]]</f>
        <v>TIRR - 615639</v>
      </c>
      <c r="B3552" s="233" t="s">
        <v>1592</v>
      </c>
      <c r="C3552" s="227" t="s">
        <v>2353</v>
      </c>
      <c r="D3552" s="233" t="s">
        <v>20</v>
      </c>
      <c r="E3552" s="233" t="s">
        <v>25</v>
      </c>
      <c r="F3552" s="227" t="s">
        <v>210</v>
      </c>
    </row>
    <row r="3553" spans="1:6" x14ac:dyDescent="0.25">
      <c r="A3553" s="227" t="str">
        <f>TL[[#This Row],[Société]]&amp;" - "&amp;TL[[#This Row],[Compte]]</f>
        <v>TIRR - 615646</v>
      </c>
      <c r="B3553" s="233" t="s">
        <v>6316</v>
      </c>
      <c r="C3553" s="227" t="s">
        <v>6317</v>
      </c>
      <c r="D3553" s="233" t="s">
        <v>20</v>
      </c>
      <c r="E3553" s="233" t="s">
        <v>25</v>
      </c>
      <c r="F3553" s="227" t="s">
        <v>210</v>
      </c>
    </row>
    <row r="3554" spans="1:6" x14ac:dyDescent="0.25">
      <c r="A3554" s="227" t="str">
        <f>TL[[#This Row],[Société]]&amp;" - "&amp;TL[[#This Row],[Compte]]</f>
        <v>TIRR - 615649</v>
      </c>
      <c r="B3554" s="233" t="s">
        <v>2749</v>
      </c>
      <c r="C3554" s="227" t="s">
        <v>2348</v>
      </c>
      <c r="D3554" s="233" t="s">
        <v>20</v>
      </c>
      <c r="E3554" s="233" t="s">
        <v>25</v>
      </c>
      <c r="F3554" s="227" t="s">
        <v>210</v>
      </c>
    </row>
    <row r="3555" spans="1:6" x14ac:dyDescent="0.25">
      <c r="A3555" s="227" t="str">
        <f>TL[[#This Row],[Société]]&amp;" - "&amp;TL[[#This Row],[Compte]]</f>
        <v>TIRR - 615650</v>
      </c>
      <c r="B3555" s="233" t="s">
        <v>2750</v>
      </c>
      <c r="C3555" s="227" t="s">
        <v>229</v>
      </c>
      <c r="D3555" s="233" t="s">
        <v>20</v>
      </c>
      <c r="E3555" s="233" t="s">
        <v>25</v>
      </c>
      <c r="F3555" s="227" t="s">
        <v>210</v>
      </c>
    </row>
    <row r="3556" spans="1:6" x14ac:dyDescent="0.25">
      <c r="A3556" s="227" t="str">
        <f>TL[[#This Row],[Société]]&amp;" - "&amp;TL[[#This Row],[Compte]]</f>
        <v>TIRR - 615651</v>
      </c>
      <c r="B3556" s="233" t="s">
        <v>2556</v>
      </c>
      <c r="C3556" s="227" t="s">
        <v>2240</v>
      </c>
      <c r="D3556" s="233" t="s">
        <v>20</v>
      </c>
      <c r="E3556" s="233" t="s">
        <v>25</v>
      </c>
      <c r="F3556" s="227" t="s">
        <v>210</v>
      </c>
    </row>
    <row r="3557" spans="1:6" x14ac:dyDescent="0.25">
      <c r="A3557" s="227" t="str">
        <f>TL[[#This Row],[Société]]&amp;" - "&amp;TL[[#This Row],[Compte]]</f>
        <v>TIRR - 615652</v>
      </c>
      <c r="B3557" s="233" t="s">
        <v>2557</v>
      </c>
      <c r="C3557" s="227" t="s">
        <v>2308</v>
      </c>
      <c r="D3557" s="233" t="s">
        <v>20</v>
      </c>
      <c r="E3557" s="233" t="s">
        <v>20</v>
      </c>
      <c r="F3557" s="227" t="s">
        <v>210</v>
      </c>
    </row>
    <row r="3558" spans="1:6" x14ac:dyDescent="0.25">
      <c r="A3558" s="227" t="str">
        <f>TL[[#This Row],[Société]]&amp;" - "&amp;TL[[#This Row],[Compte]]</f>
        <v>TIRR - 615653</v>
      </c>
      <c r="B3558" s="233" t="s">
        <v>2558</v>
      </c>
      <c r="C3558" s="227" t="s">
        <v>3248</v>
      </c>
      <c r="D3558" s="233" t="s">
        <v>20</v>
      </c>
      <c r="E3558" s="233" t="s">
        <v>25</v>
      </c>
      <c r="F3558" s="227" t="s">
        <v>210</v>
      </c>
    </row>
    <row r="3559" spans="1:6" x14ac:dyDescent="0.25">
      <c r="A3559" s="227" t="str">
        <f>TL[[#This Row],[Société]]&amp;" - "&amp;TL[[#This Row],[Compte]]</f>
        <v>TIRR - 615654</v>
      </c>
      <c r="B3559" s="233" t="s">
        <v>2559</v>
      </c>
      <c r="C3559" s="227" t="s">
        <v>6318</v>
      </c>
      <c r="D3559" s="233" t="s">
        <v>20</v>
      </c>
      <c r="E3559" s="233" t="s">
        <v>25</v>
      </c>
      <c r="F3559" s="227" t="s">
        <v>210</v>
      </c>
    </row>
    <row r="3560" spans="1:6" x14ac:dyDescent="0.25">
      <c r="A3560" s="227" t="str">
        <f>TL[[#This Row],[Société]]&amp;" - "&amp;TL[[#This Row],[Compte]]</f>
        <v>TIRR - 615655</v>
      </c>
      <c r="B3560" s="233" t="s">
        <v>2560</v>
      </c>
      <c r="C3560" s="227" t="s">
        <v>2241</v>
      </c>
      <c r="D3560" s="233" t="s">
        <v>20</v>
      </c>
      <c r="E3560" s="233" t="s">
        <v>25</v>
      </c>
      <c r="F3560" s="227" t="s">
        <v>210</v>
      </c>
    </row>
    <row r="3561" spans="1:6" x14ac:dyDescent="0.25">
      <c r="A3561" s="227" t="str">
        <f>TL[[#This Row],[Société]]&amp;" - "&amp;TL[[#This Row],[Compte]]</f>
        <v>TIRR - 615656</v>
      </c>
      <c r="B3561" s="233" t="s">
        <v>2561</v>
      </c>
      <c r="C3561" s="227" t="s">
        <v>2751</v>
      </c>
      <c r="D3561" s="233" t="s">
        <v>20</v>
      </c>
      <c r="E3561" s="233" t="s">
        <v>25</v>
      </c>
      <c r="F3561" s="227" t="s">
        <v>210</v>
      </c>
    </row>
    <row r="3562" spans="1:6" x14ac:dyDescent="0.25">
      <c r="A3562" s="227" t="str">
        <f>TL[[#This Row],[Société]]&amp;" - "&amp;TL[[#This Row],[Compte]]</f>
        <v>TIRR - 615658</v>
      </c>
      <c r="B3562" s="233" t="s">
        <v>2563</v>
      </c>
      <c r="C3562" s="227" t="s">
        <v>6319</v>
      </c>
      <c r="D3562" s="233" t="s">
        <v>20</v>
      </c>
      <c r="E3562" s="233" t="s">
        <v>25</v>
      </c>
      <c r="F3562" s="227" t="s">
        <v>210</v>
      </c>
    </row>
    <row r="3563" spans="1:6" x14ac:dyDescent="0.25">
      <c r="A3563" s="227" t="str">
        <f>TL[[#This Row],[Société]]&amp;" - "&amp;TL[[#This Row],[Compte]]</f>
        <v>TIRR - 615659</v>
      </c>
      <c r="B3563" s="233" t="s">
        <v>2564</v>
      </c>
      <c r="C3563" s="227" t="s">
        <v>6320</v>
      </c>
      <c r="D3563" s="233" t="s">
        <v>20</v>
      </c>
      <c r="E3563" s="233" t="s">
        <v>25</v>
      </c>
      <c r="F3563" s="227" t="s">
        <v>210</v>
      </c>
    </row>
    <row r="3564" spans="1:6" x14ac:dyDescent="0.25">
      <c r="A3564" s="227" t="str">
        <f>TL[[#This Row],[Société]]&amp;" - "&amp;TL[[#This Row],[Compte]]</f>
        <v>TIRR - 615660</v>
      </c>
      <c r="B3564" s="233" t="s">
        <v>2565</v>
      </c>
      <c r="C3564" s="227" t="s">
        <v>1486</v>
      </c>
      <c r="D3564" s="233" t="s">
        <v>20</v>
      </c>
      <c r="E3564" s="233" t="s">
        <v>25</v>
      </c>
      <c r="F3564" s="227" t="s">
        <v>210</v>
      </c>
    </row>
    <row r="3565" spans="1:6" x14ac:dyDescent="0.25">
      <c r="A3565" s="227" t="str">
        <f>TL[[#This Row],[Société]]&amp;" - "&amp;TL[[#This Row],[Compte]]</f>
        <v>TIRR - 615661</v>
      </c>
      <c r="B3565" s="233" t="s">
        <v>2752</v>
      </c>
      <c r="C3565" s="227" t="s">
        <v>1482</v>
      </c>
      <c r="D3565" s="233" t="s">
        <v>20</v>
      </c>
      <c r="E3565" s="233" t="s">
        <v>25</v>
      </c>
      <c r="F3565" s="227" t="s">
        <v>210</v>
      </c>
    </row>
    <row r="3566" spans="1:6" x14ac:dyDescent="0.25">
      <c r="A3566" s="227" t="str">
        <f>TL[[#This Row],[Société]]&amp;" - "&amp;TL[[#This Row],[Compte]]</f>
        <v>TIRR - 615662</v>
      </c>
      <c r="B3566" s="233" t="s">
        <v>2566</v>
      </c>
      <c r="C3566" s="227" t="s">
        <v>2242</v>
      </c>
      <c r="D3566" s="233" t="s">
        <v>20</v>
      </c>
      <c r="E3566" s="233" t="s">
        <v>25</v>
      </c>
      <c r="F3566" s="227" t="s">
        <v>210</v>
      </c>
    </row>
    <row r="3567" spans="1:6" x14ac:dyDescent="0.25">
      <c r="A3567" s="227" t="str">
        <f>TL[[#This Row],[Société]]&amp;" - "&amp;TL[[#This Row],[Compte]]</f>
        <v>TIRR - 615663</v>
      </c>
      <c r="B3567" s="233" t="s">
        <v>2753</v>
      </c>
      <c r="C3567" s="227" t="s">
        <v>2355</v>
      </c>
      <c r="D3567" s="233" t="s">
        <v>20</v>
      </c>
      <c r="E3567" s="233" t="s">
        <v>25</v>
      </c>
      <c r="F3567" s="227" t="s">
        <v>210</v>
      </c>
    </row>
    <row r="3568" spans="1:6" x14ac:dyDescent="0.25">
      <c r="A3568" s="227" t="str">
        <f>TL[[#This Row],[Société]]&amp;" - "&amp;TL[[#This Row],[Compte]]</f>
        <v>TIRR - 615664</v>
      </c>
      <c r="B3568" s="233" t="s">
        <v>2754</v>
      </c>
      <c r="C3568" s="227" t="s">
        <v>1547</v>
      </c>
      <c r="D3568" s="233" t="s">
        <v>20</v>
      </c>
      <c r="E3568" s="233" t="s">
        <v>25</v>
      </c>
      <c r="F3568" s="227" t="s">
        <v>210</v>
      </c>
    </row>
    <row r="3569" spans="1:6" x14ac:dyDescent="0.25">
      <c r="A3569" s="227" t="str">
        <f>TL[[#This Row],[Société]]&amp;" - "&amp;TL[[#This Row],[Compte]]</f>
        <v>TIRR - 615665</v>
      </c>
      <c r="B3569" s="233" t="s">
        <v>2755</v>
      </c>
      <c r="C3569" s="227" t="s">
        <v>2756</v>
      </c>
      <c r="D3569" s="233" t="s">
        <v>20</v>
      </c>
      <c r="E3569" s="233" t="s">
        <v>25</v>
      </c>
      <c r="F3569" s="227" t="s">
        <v>210</v>
      </c>
    </row>
    <row r="3570" spans="1:6" x14ac:dyDescent="0.25">
      <c r="A3570" s="227" t="str">
        <f>TL[[#This Row],[Société]]&amp;" - "&amp;TL[[#This Row],[Compte]]</f>
        <v>TIRR - 615666</v>
      </c>
      <c r="B3570" s="233" t="s">
        <v>2757</v>
      </c>
      <c r="C3570" s="227" t="s">
        <v>2758</v>
      </c>
      <c r="D3570" s="233" t="s">
        <v>20</v>
      </c>
      <c r="E3570" s="233" t="s">
        <v>25</v>
      </c>
      <c r="F3570" s="227" t="s">
        <v>210</v>
      </c>
    </row>
    <row r="3571" spans="1:6" x14ac:dyDescent="0.25">
      <c r="A3571" s="227" t="str">
        <f>TL[[#This Row],[Société]]&amp;" - "&amp;TL[[#This Row],[Compte]]</f>
        <v>TIRR - 616001</v>
      </c>
      <c r="B3571" s="233" t="s">
        <v>1720</v>
      </c>
      <c r="C3571" s="227" t="s">
        <v>6321</v>
      </c>
      <c r="F3571" s="227" t="s">
        <v>210</v>
      </c>
    </row>
    <row r="3572" spans="1:6" x14ac:dyDescent="0.25">
      <c r="A3572" s="227" t="str">
        <f>TL[[#This Row],[Société]]&amp;" - "&amp;TL[[#This Row],[Compte]]</f>
        <v>TIRR - 616002</v>
      </c>
      <c r="B3572" s="233" t="s">
        <v>1942</v>
      </c>
      <c r="C3572" s="227" t="s">
        <v>1198</v>
      </c>
      <c r="D3572" s="233" t="s">
        <v>40</v>
      </c>
      <c r="E3572" s="233" t="s">
        <v>45</v>
      </c>
      <c r="F3572" s="227" t="s">
        <v>210</v>
      </c>
    </row>
    <row r="3573" spans="1:6" x14ac:dyDescent="0.25">
      <c r="A3573" s="227" t="str">
        <f>TL[[#This Row],[Société]]&amp;" - "&amp;TL[[#This Row],[Compte]]</f>
        <v>TIRR - 616200</v>
      </c>
      <c r="B3573" s="233" t="s">
        <v>2762</v>
      </c>
      <c r="C3573" s="227" t="s">
        <v>2164</v>
      </c>
      <c r="D3573" s="233" t="s">
        <v>40</v>
      </c>
      <c r="E3573" s="233" t="s">
        <v>45</v>
      </c>
      <c r="F3573" s="227" t="s">
        <v>210</v>
      </c>
    </row>
    <row r="3574" spans="1:6" x14ac:dyDescent="0.25">
      <c r="A3574" s="227" t="str">
        <f>TL[[#This Row],[Société]]&amp;" - "&amp;TL[[#This Row],[Compte]]</f>
        <v>TIRR - 616210</v>
      </c>
      <c r="B3574" s="233" t="s">
        <v>2769</v>
      </c>
      <c r="C3574" s="227" t="s">
        <v>257</v>
      </c>
      <c r="D3574" s="233" t="s">
        <v>50</v>
      </c>
      <c r="E3574" s="233" t="s">
        <v>52</v>
      </c>
      <c r="F3574" s="227" t="s">
        <v>210</v>
      </c>
    </row>
    <row r="3575" spans="1:6" x14ac:dyDescent="0.25">
      <c r="A3575" s="227" t="str">
        <f>TL[[#This Row],[Société]]&amp;" - "&amp;TL[[#This Row],[Compte]]</f>
        <v>TIRR - 616300</v>
      </c>
      <c r="B3575" s="233" t="s">
        <v>2763</v>
      </c>
      <c r="C3575" s="227" t="s">
        <v>2244</v>
      </c>
      <c r="D3575" s="233" t="s">
        <v>40</v>
      </c>
      <c r="E3575" s="233" t="s">
        <v>45</v>
      </c>
      <c r="F3575" s="227" t="s">
        <v>210</v>
      </c>
    </row>
    <row r="3576" spans="1:6" x14ac:dyDescent="0.25">
      <c r="A3576" s="227" t="str">
        <f>TL[[#This Row],[Société]]&amp;" - "&amp;TL[[#This Row],[Compte]]</f>
        <v>TIRR - 618000</v>
      </c>
      <c r="B3576" s="233" t="s">
        <v>6322</v>
      </c>
      <c r="C3576" s="227" t="s">
        <v>6323</v>
      </c>
      <c r="D3576" s="233" t="s">
        <v>32</v>
      </c>
      <c r="E3576" s="233" t="s">
        <v>2982</v>
      </c>
      <c r="F3576" s="227" t="s">
        <v>210</v>
      </c>
    </row>
    <row r="3577" spans="1:6" x14ac:dyDescent="0.25">
      <c r="A3577" s="227" t="str">
        <f>TL[[#This Row],[Société]]&amp;" - "&amp;TL[[#This Row],[Compte]]</f>
        <v>TIRR - 621010</v>
      </c>
      <c r="B3577" s="233" t="s">
        <v>2540</v>
      </c>
      <c r="C3577" s="227" t="s">
        <v>2383</v>
      </c>
      <c r="D3577" s="233" t="s">
        <v>50</v>
      </c>
      <c r="E3577" s="233" t="s">
        <v>16</v>
      </c>
      <c r="F3577" s="227" t="s">
        <v>210</v>
      </c>
    </row>
    <row r="3578" spans="1:6" x14ac:dyDescent="0.25">
      <c r="A3578" s="227" t="str">
        <f>TL[[#This Row],[Société]]&amp;" - "&amp;TL[[#This Row],[Compte]]</f>
        <v>TIRR - 621011</v>
      </c>
      <c r="B3578" s="233" t="s">
        <v>3263</v>
      </c>
      <c r="C3578" s="227" t="s">
        <v>6324</v>
      </c>
      <c r="D3578" s="233" t="s">
        <v>147</v>
      </c>
      <c r="E3578" s="233" t="s">
        <v>288</v>
      </c>
      <c r="F3578" s="227" t="s">
        <v>210</v>
      </c>
    </row>
    <row r="3579" spans="1:6" x14ac:dyDescent="0.25">
      <c r="A3579" s="227" t="str">
        <f>TL[[#This Row],[Société]]&amp;" - "&amp;TL[[#This Row],[Compte]]</f>
        <v>TIRR - 621012</v>
      </c>
      <c r="B3579" s="233" t="s">
        <v>3265</v>
      </c>
      <c r="C3579" s="227" t="s">
        <v>6325</v>
      </c>
      <c r="D3579" s="233" t="s">
        <v>50</v>
      </c>
      <c r="E3579" s="233" t="s">
        <v>16</v>
      </c>
      <c r="F3579" s="227" t="s">
        <v>210</v>
      </c>
    </row>
    <row r="3580" spans="1:6" x14ac:dyDescent="0.25">
      <c r="A3580" s="227" t="str">
        <f>TL[[#This Row],[Société]]&amp;" - "&amp;TL[[#This Row],[Compte]]</f>
        <v>TIRR - 621013</v>
      </c>
      <c r="B3580" s="233" t="s">
        <v>3266</v>
      </c>
      <c r="C3580" s="227" t="s">
        <v>6326</v>
      </c>
      <c r="D3580" s="233" t="s">
        <v>50</v>
      </c>
      <c r="E3580" s="233" t="s">
        <v>16</v>
      </c>
      <c r="F3580" s="227" t="s">
        <v>210</v>
      </c>
    </row>
    <row r="3581" spans="1:6" x14ac:dyDescent="0.25">
      <c r="A3581" s="227" t="str">
        <f>TL[[#This Row],[Société]]&amp;" - "&amp;TL[[#This Row],[Compte]]</f>
        <v>TIRR - 621020</v>
      </c>
      <c r="B3581" s="233" t="s">
        <v>6327</v>
      </c>
      <c r="C3581" s="227" t="s">
        <v>6328</v>
      </c>
      <c r="D3581" s="233" t="s">
        <v>12</v>
      </c>
      <c r="E3581" s="233" t="s">
        <v>16</v>
      </c>
      <c r="F3581" s="227" t="s">
        <v>210</v>
      </c>
    </row>
    <row r="3582" spans="1:6" x14ac:dyDescent="0.25">
      <c r="A3582" s="227" t="str">
        <f>TL[[#This Row],[Société]]&amp;" - "&amp;TL[[#This Row],[Compte]]</f>
        <v>TIRR - 621402</v>
      </c>
      <c r="B3582" s="233" t="s">
        <v>1947</v>
      </c>
      <c r="C3582" s="227" t="s">
        <v>2357</v>
      </c>
      <c r="D3582" s="233" t="s">
        <v>13</v>
      </c>
      <c r="E3582" s="233" t="s">
        <v>12</v>
      </c>
      <c r="F3582" s="227" t="s">
        <v>210</v>
      </c>
    </row>
    <row r="3583" spans="1:6" x14ac:dyDescent="0.25">
      <c r="A3583" s="227" t="str">
        <f>TL[[#This Row],[Société]]&amp;" - "&amp;TL[[#This Row],[Compte]]</f>
        <v>TIRR - 621403</v>
      </c>
      <c r="B3583" s="233" t="s">
        <v>5894</v>
      </c>
      <c r="C3583" s="227" t="s">
        <v>6329</v>
      </c>
      <c r="D3583" s="233" t="s">
        <v>50</v>
      </c>
      <c r="E3583" s="233" t="s">
        <v>16</v>
      </c>
      <c r="F3583" s="227" t="s">
        <v>210</v>
      </c>
    </row>
    <row r="3584" spans="1:6" x14ac:dyDescent="0.25">
      <c r="A3584" s="227" t="str">
        <f>TL[[#This Row],[Société]]&amp;" - "&amp;TL[[#This Row],[Compte]]</f>
        <v>TIRR - 621404</v>
      </c>
      <c r="B3584" s="233" t="s">
        <v>1615</v>
      </c>
      <c r="C3584" s="227" t="s">
        <v>6330</v>
      </c>
      <c r="D3584" s="233" t="s">
        <v>50</v>
      </c>
      <c r="E3584" s="233" t="s">
        <v>16</v>
      </c>
      <c r="F3584" s="227" t="s">
        <v>210</v>
      </c>
    </row>
    <row r="3585" spans="1:6" x14ac:dyDescent="0.25">
      <c r="A3585" s="227" t="str">
        <f>TL[[#This Row],[Société]]&amp;" - "&amp;TL[[#This Row],[Compte]]</f>
        <v>TIRR - 622600</v>
      </c>
      <c r="B3585" s="233" t="s">
        <v>1622</v>
      </c>
      <c r="C3585" s="227" t="s">
        <v>1203</v>
      </c>
      <c r="D3585" s="233" t="s">
        <v>39</v>
      </c>
      <c r="E3585" s="233" t="s">
        <v>44</v>
      </c>
      <c r="F3585" s="227" t="s">
        <v>210</v>
      </c>
    </row>
    <row r="3586" spans="1:6" x14ac:dyDescent="0.25">
      <c r="A3586" s="227" t="str">
        <f>TL[[#This Row],[Société]]&amp;" - "&amp;TL[[#This Row],[Compte]]</f>
        <v>TIRR - 622610</v>
      </c>
      <c r="B3586" s="233" t="s">
        <v>1764</v>
      </c>
      <c r="C3586" s="227" t="s">
        <v>1205</v>
      </c>
      <c r="D3586" s="233" t="s">
        <v>39</v>
      </c>
      <c r="E3586" s="233" t="s">
        <v>44</v>
      </c>
      <c r="F3586" s="227" t="s">
        <v>210</v>
      </c>
    </row>
    <row r="3587" spans="1:6" x14ac:dyDescent="0.25">
      <c r="A3587" s="227" t="str">
        <f>TL[[#This Row],[Société]]&amp;" - "&amp;TL[[#This Row],[Compte]]</f>
        <v>TIRR - 622620</v>
      </c>
      <c r="B3587" s="233" t="s">
        <v>1766</v>
      </c>
      <c r="C3587" s="227" t="s">
        <v>162</v>
      </c>
      <c r="D3587" s="233" t="s">
        <v>39</v>
      </c>
      <c r="E3587" s="233" t="s">
        <v>44</v>
      </c>
      <c r="F3587" s="227" t="s">
        <v>210</v>
      </c>
    </row>
    <row r="3588" spans="1:6" x14ac:dyDescent="0.25">
      <c r="A3588" s="227" t="str">
        <f>TL[[#This Row],[Société]]&amp;" - "&amp;TL[[#This Row],[Compte]]</f>
        <v>TIRR - 622630</v>
      </c>
      <c r="B3588" s="233" t="s">
        <v>1951</v>
      </c>
      <c r="C3588" s="227" t="s">
        <v>6331</v>
      </c>
      <c r="D3588" s="233" t="s">
        <v>39</v>
      </c>
      <c r="E3588" s="233" t="s">
        <v>44</v>
      </c>
      <c r="F3588" s="227" t="s">
        <v>210</v>
      </c>
    </row>
    <row r="3589" spans="1:6" x14ac:dyDescent="0.25">
      <c r="A3589" s="227" t="str">
        <f>TL[[#This Row],[Société]]&amp;" - "&amp;TL[[#This Row],[Compte]]</f>
        <v>TIRR - 622700</v>
      </c>
      <c r="B3589" s="233" t="s">
        <v>1952</v>
      </c>
      <c r="C3589" s="227" t="s">
        <v>159</v>
      </c>
      <c r="D3589" s="233" t="s">
        <v>39</v>
      </c>
      <c r="E3589" s="233" t="s">
        <v>44</v>
      </c>
      <c r="F3589" s="227" t="s">
        <v>210</v>
      </c>
    </row>
    <row r="3590" spans="1:6" x14ac:dyDescent="0.25">
      <c r="A3590" s="227" t="str">
        <f>TL[[#This Row],[Société]]&amp;" - "&amp;TL[[#This Row],[Compte]]</f>
        <v>TIRR - 622800</v>
      </c>
      <c r="B3590" s="233" t="s">
        <v>1738</v>
      </c>
      <c r="C3590" s="227" t="s">
        <v>2364</v>
      </c>
      <c r="D3590" s="233" t="s">
        <v>50</v>
      </c>
      <c r="E3590" s="233" t="s">
        <v>29</v>
      </c>
      <c r="F3590" s="227" t="s">
        <v>210</v>
      </c>
    </row>
    <row r="3591" spans="1:6" x14ac:dyDescent="0.25">
      <c r="A3591" s="227" t="str">
        <f>TL[[#This Row],[Société]]&amp;" - "&amp;TL[[#This Row],[Compte]]</f>
        <v>TIRR - 622810</v>
      </c>
      <c r="B3591" s="233" t="s">
        <v>2760</v>
      </c>
      <c r="C3591" s="227" t="s">
        <v>2363</v>
      </c>
      <c r="D3591" s="233" t="s">
        <v>50</v>
      </c>
      <c r="E3591" s="233" t="s">
        <v>29</v>
      </c>
      <c r="F3591" s="227" t="s">
        <v>210</v>
      </c>
    </row>
    <row r="3592" spans="1:6" x14ac:dyDescent="0.25">
      <c r="A3592" s="227" t="str">
        <f>TL[[#This Row],[Société]]&amp;" - "&amp;TL[[#This Row],[Compte]]</f>
        <v>TIRR - 622900</v>
      </c>
      <c r="B3592" s="233" t="s">
        <v>1953</v>
      </c>
      <c r="C3592" s="227" t="s">
        <v>1349</v>
      </c>
      <c r="D3592" s="233" t="s">
        <v>50</v>
      </c>
      <c r="E3592" s="233" t="s">
        <v>52</v>
      </c>
      <c r="F3592" s="227" t="s">
        <v>210</v>
      </c>
    </row>
    <row r="3593" spans="1:6" x14ac:dyDescent="0.25">
      <c r="A3593" s="227" t="str">
        <f>TL[[#This Row],[Société]]&amp;" - "&amp;TL[[#This Row],[Compte]]</f>
        <v>TIRR - 623000</v>
      </c>
      <c r="B3593" s="233" t="s">
        <v>1594</v>
      </c>
      <c r="C3593" s="227" t="s">
        <v>2352</v>
      </c>
      <c r="D3593" s="233" t="s">
        <v>17</v>
      </c>
      <c r="E3593" s="233" t="s">
        <v>30</v>
      </c>
      <c r="F3593" s="227" t="s">
        <v>210</v>
      </c>
    </row>
    <row r="3594" spans="1:6" x14ac:dyDescent="0.25">
      <c r="A3594" s="227" t="str">
        <f>TL[[#This Row],[Société]]&amp;" - "&amp;TL[[#This Row],[Compte]]</f>
        <v>TIRR - 623002</v>
      </c>
      <c r="B3594" s="233" t="s">
        <v>1596</v>
      </c>
      <c r="C3594" s="227" t="s">
        <v>215</v>
      </c>
      <c r="D3594" s="233" t="s">
        <v>18</v>
      </c>
      <c r="E3594" s="233" t="s">
        <v>32</v>
      </c>
      <c r="F3594" s="227" t="s">
        <v>210</v>
      </c>
    </row>
    <row r="3595" spans="1:6" x14ac:dyDescent="0.25">
      <c r="A3595" s="227" t="str">
        <f>TL[[#This Row],[Société]]&amp;" - "&amp;TL[[#This Row],[Compte]]</f>
        <v>TIRR - 623050</v>
      </c>
      <c r="B3595" s="233" t="s">
        <v>2570</v>
      </c>
      <c r="C3595" s="227" t="s">
        <v>6332</v>
      </c>
      <c r="F3595" s="227" t="s">
        <v>210</v>
      </c>
    </row>
    <row r="3596" spans="1:6" x14ac:dyDescent="0.25">
      <c r="A3596" s="227" t="str">
        <f>TL[[#This Row],[Société]]&amp;" - "&amp;TL[[#This Row],[Compte]]</f>
        <v>TIRR - 623400</v>
      </c>
      <c r="B3596" s="233" t="s">
        <v>1601</v>
      </c>
      <c r="C3596" s="227" t="s">
        <v>2360</v>
      </c>
      <c r="D3596" s="233" t="s">
        <v>32</v>
      </c>
      <c r="E3596" s="233" t="s">
        <v>32</v>
      </c>
      <c r="F3596" s="227" t="s">
        <v>210</v>
      </c>
    </row>
    <row r="3597" spans="1:6" x14ac:dyDescent="0.25">
      <c r="A3597" s="227" t="str">
        <f>TL[[#This Row],[Société]]&amp;" - "&amp;TL[[#This Row],[Compte]]</f>
        <v>TIRR - 623401</v>
      </c>
      <c r="B3597" s="233" t="s">
        <v>1788</v>
      </c>
      <c r="C3597" s="227" t="s">
        <v>226</v>
      </c>
      <c r="D3597" s="233" t="s">
        <v>18</v>
      </c>
      <c r="E3597" s="233" t="s">
        <v>32</v>
      </c>
      <c r="F3597" s="227" t="s">
        <v>210</v>
      </c>
    </row>
    <row r="3598" spans="1:6" x14ac:dyDescent="0.25">
      <c r="A3598" s="227" t="str">
        <f>TL[[#This Row],[Société]]&amp;" - "&amp;TL[[#This Row],[Compte]]</f>
        <v>TIRR - 623415</v>
      </c>
      <c r="B3598" s="233" t="s">
        <v>1633</v>
      </c>
      <c r="C3598" s="227" t="s">
        <v>254</v>
      </c>
      <c r="D3598" s="233" t="s">
        <v>18</v>
      </c>
      <c r="E3598" s="233" t="s">
        <v>32</v>
      </c>
      <c r="F3598" s="227" t="s">
        <v>210</v>
      </c>
    </row>
    <row r="3599" spans="1:6" x14ac:dyDescent="0.25">
      <c r="A3599" s="227" t="str">
        <f>TL[[#This Row],[Société]]&amp;" - "&amp;TL[[#This Row],[Compte]]</f>
        <v>TIRR - 623800</v>
      </c>
      <c r="B3599" s="233" t="s">
        <v>1956</v>
      </c>
      <c r="C3599" s="227" t="s">
        <v>6333</v>
      </c>
      <c r="D3599" s="233" t="s">
        <v>18</v>
      </c>
      <c r="E3599" s="233" t="s">
        <v>32</v>
      </c>
      <c r="F3599" s="227" t="s">
        <v>210</v>
      </c>
    </row>
    <row r="3600" spans="1:6" x14ac:dyDescent="0.25">
      <c r="A3600" s="227" t="str">
        <f>TL[[#This Row],[Société]]&amp;" - "&amp;TL[[#This Row],[Compte]]</f>
        <v>TIRR - 624100</v>
      </c>
      <c r="B3600" s="233" t="s">
        <v>1957</v>
      </c>
      <c r="C3600" s="227" t="s">
        <v>261</v>
      </c>
      <c r="D3600" s="233" t="s">
        <v>50</v>
      </c>
      <c r="E3600" s="233" t="s">
        <v>52</v>
      </c>
      <c r="F3600" s="227" t="s">
        <v>210</v>
      </c>
    </row>
    <row r="3601" spans="1:6" x14ac:dyDescent="0.25">
      <c r="A3601" s="227" t="str">
        <f>TL[[#This Row],[Société]]&amp;" - "&amp;TL[[#This Row],[Compte]]</f>
        <v>TIRR - 625100</v>
      </c>
      <c r="B3601" s="233" t="s">
        <v>1958</v>
      </c>
      <c r="C3601" s="227" t="s">
        <v>6334</v>
      </c>
      <c r="F3601" s="227" t="s">
        <v>210</v>
      </c>
    </row>
    <row r="3602" spans="1:6" x14ac:dyDescent="0.25">
      <c r="A3602" s="227" t="str">
        <f>TL[[#This Row],[Société]]&amp;" - "&amp;TL[[#This Row],[Compte]]</f>
        <v>TIRR - 625200</v>
      </c>
      <c r="B3602" s="233" t="s">
        <v>2579</v>
      </c>
      <c r="C3602" s="227" t="s">
        <v>2384</v>
      </c>
      <c r="D3602" s="233" t="s">
        <v>16</v>
      </c>
      <c r="E3602" s="233" t="s">
        <v>2982</v>
      </c>
      <c r="F3602" s="227" t="s">
        <v>210</v>
      </c>
    </row>
    <row r="3603" spans="1:6" x14ac:dyDescent="0.25">
      <c r="A3603" s="227" t="str">
        <f>TL[[#This Row],[Société]]&amp;" - "&amp;TL[[#This Row],[Compte]]</f>
        <v>TIRR - 625201</v>
      </c>
      <c r="B3603" s="233" t="s">
        <v>1717</v>
      </c>
      <c r="C3603" s="227" t="s">
        <v>6335</v>
      </c>
      <c r="D3603" s="233" t="s">
        <v>50</v>
      </c>
      <c r="E3603" s="233" t="s">
        <v>52</v>
      </c>
      <c r="F3603" s="227" t="s">
        <v>210</v>
      </c>
    </row>
    <row r="3604" spans="1:6" x14ac:dyDescent="0.25">
      <c r="A3604" s="227" t="str">
        <f>TL[[#This Row],[Société]]&amp;" - "&amp;TL[[#This Row],[Compte]]</f>
        <v>TIRR - 625400</v>
      </c>
      <c r="B3604" s="233" t="s">
        <v>3273</v>
      </c>
      <c r="C3604" s="227" t="s">
        <v>6336</v>
      </c>
      <c r="D3604" s="233" t="s">
        <v>16</v>
      </c>
      <c r="E3604" s="233" t="s">
        <v>2979</v>
      </c>
      <c r="F3604" s="227" t="s">
        <v>210</v>
      </c>
    </row>
    <row r="3605" spans="1:6" x14ac:dyDescent="0.25">
      <c r="A3605" s="227" t="str">
        <f>TL[[#This Row],[Société]]&amp;" - "&amp;TL[[#This Row],[Compte]]</f>
        <v>TIRR - 625800</v>
      </c>
      <c r="B3605" s="233" t="s">
        <v>2772</v>
      </c>
      <c r="C3605" s="227" t="s">
        <v>2110</v>
      </c>
      <c r="D3605" s="233" t="s">
        <v>147</v>
      </c>
      <c r="E3605" s="233" t="s">
        <v>288</v>
      </c>
      <c r="F3605" s="227" t="s">
        <v>210</v>
      </c>
    </row>
    <row r="3606" spans="1:6" x14ac:dyDescent="0.25">
      <c r="A3606" s="227" t="str">
        <f>TL[[#This Row],[Société]]&amp;" - "&amp;TL[[#This Row],[Compte]]</f>
        <v>TIRR - 626100</v>
      </c>
      <c r="B3606" s="233" t="s">
        <v>1967</v>
      </c>
      <c r="C3606" s="227" t="s">
        <v>170</v>
      </c>
      <c r="D3606" s="233" t="s">
        <v>27</v>
      </c>
      <c r="E3606" s="233" t="s">
        <v>34</v>
      </c>
      <c r="F3606" s="227" t="s">
        <v>210</v>
      </c>
    </row>
    <row r="3607" spans="1:6" x14ac:dyDescent="0.25">
      <c r="A3607" s="227" t="str">
        <f>TL[[#This Row],[Société]]&amp;" - "&amp;TL[[#This Row],[Compte]]</f>
        <v>TIRR - 626200</v>
      </c>
      <c r="B3607" s="233" t="s">
        <v>1590</v>
      </c>
      <c r="C3607" s="227" t="s">
        <v>2356</v>
      </c>
      <c r="D3607" s="233" t="s">
        <v>27</v>
      </c>
      <c r="E3607" s="233" t="s">
        <v>34</v>
      </c>
      <c r="F3607" s="227" t="s">
        <v>210</v>
      </c>
    </row>
    <row r="3608" spans="1:6" x14ac:dyDescent="0.25">
      <c r="A3608" s="227" t="str">
        <f>TL[[#This Row],[Société]]&amp;" - "&amp;TL[[#This Row],[Compte]]</f>
        <v>TIRR - 626210</v>
      </c>
      <c r="B3608" s="233" t="s">
        <v>6337</v>
      </c>
      <c r="C3608" s="227" t="s">
        <v>6338</v>
      </c>
      <c r="D3608" s="233" t="s">
        <v>50</v>
      </c>
      <c r="E3608" s="233" t="s">
        <v>34</v>
      </c>
      <c r="F3608" s="227" t="s">
        <v>210</v>
      </c>
    </row>
    <row r="3609" spans="1:6" x14ac:dyDescent="0.25">
      <c r="A3609" s="227" t="str">
        <f>TL[[#This Row],[Société]]&amp;" - "&amp;TL[[#This Row],[Compte]]</f>
        <v>TIRR - 627001</v>
      </c>
      <c r="B3609" s="233" t="s">
        <v>1968</v>
      </c>
      <c r="C3609" s="227" t="s">
        <v>6339</v>
      </c>
      <c r="D3609" s="233" t="s">
        <v>47</v>
      </c>
      <c r="E3609" s="233" t="s">
        <v>21</v>
      </c>
      <c r="F3609" s="227" t="s">
        <v>210</v>
      </c>
    </row>
    <row r="3610" spans="1:6" x14ac:dyDescent="0.25">
      <c r="A3610" s="227" t="str">
        <f>TL[[#This Row],[Société]]&amp;" - "&amp;TL[[#This Row],[Compte]]</f>
        <v>TIRR - 627002</v>
      </c>
      <c r="B3610" s="233" t="s">
        <v>1969</v>
      </c>
      <c r="C3610" s="227" t="s">
        <v>6340</v>
      </c>
      <c r="D3610" s="233" t="s">
        <v>47</v>
      </c>
      <c r="E3610" s="233" t="s">
        <v>21</v>
      </c>
      <c r="F3610" s="227" t="s">
        <v>210</v>
      </c>
    </row>
    <row r="3611" spans="1:6" x14ac:dyDescent="0.25">
      <c r="A3611" s="227" t="str">
        <f>TL[[#This Row],[Société]]&amp;" - "&amp;TL[[#This Row],[Compte]]</f>
        <v>TIRR - 627003</v>
      </c>
      <c r="B3611" s="233" t="s">
        <v>1970</v>
      </c>
      <c r="C3611" s="227" t="s">
        <v>6341</v>
      </c>
      <c r="D3611" s="233" t="s">
        <v>47</v>
      </c>
      <c r="E3611" s="233" t="s">
        <v>21</v>
      </c>
      <c r="F3611" s="227" t="s">
        <v>210</v>
      </c>
    </row>
    <row r="3612" spans="1:6" x14ac:dyDescent="0.25">
      <c r="A3612" s="227" t="str">
        <f>TL[[#This Row],[Société]]&amp;" - "&amp;TL[[#This Row],[Compte]]</f>
        <v>TIRR - 627005</v>
      </c>
      <c r="B3612" s="233" t="s">
        <v>1972</v>
      </c>
      <c r="C3612" s="227" t="s">
        <v>6342</v>
      </c>
      <c r="D3612" s="233" t="s">
        <v>47</v>
      </c>
      <c r="E3612" s="233" t="s">
        <v>21</v>
      </c>
      <c r="F3612" s="227" t="s">
        <v>210</v>
      </c>
    </row>
    <row r="3613" spans="1:6" x14ac:dyDescent="0.25">
      <c r="A3613" s="227" t="str">
        <f>TL[[#This Row],[Société]]&amp;" - "&amp;TL[[#This Row],[Compte]]</f>
        <v>TIRR - 627801</v>
      </c>
      <c r="B3613" s="233" t="s">
        <v>1711</v>
      </c>
      <c r="C3613" s="227" t="s">
        <v>258</v>
      </c>
      <c r="D3613" s="233" t="s">
        <v>47</v>
      </c>
      <c r="E3613" s="233" t="s">
        <v>21</v>
      </c>
      <c r="F3613" s="227" t="s">
        <v>210</v>
      </c>
    </row>
    <row r="3614" spans="1:6" x14ac:dyDescent="0.25">
      <c r="A3614" s="227" t="str">
        <f>TL[[#This Row],[Société]]&amp;" - "&amp;TL[[#This Row],[Compte]]</f>
        <v>TIRR - 627802</v>
      </c>
      <c r="B3614" s="233" t="s">
        <v>1600</v>
      </c>
      <c r="C3614" s="227" t="s">
        <v>6167</v>
      </c>
      <c r="D3614" s="233" t="s">
        <v>47</v>
      </c>
      <c r="E3614" s="233" t="s">
        <v>21</v>
      </c>
      <c r="F3614" s="227" t="s">
        <v>210</v>
      </c>
    </row>
    <row r="3615" spans="1:6" x14ac:dyDescent="0.25">
      <c r="A3615" s="227" t="str">
        <f>TL[[#This Row],[Société]]&amp;" - "&amp;TL[[#This Row],[Compte]]</f>
        <v>TIRR - 627803</v>
      </c>
      <c r="B3615" s="233" t="s">
        <v>1716</v>
      </c>
      <c r="C3615" s="227" t="s">
        <v>6168</v>
      </c>
      <c r="D3615" s="233" t="s">
        <v>47</v>
      </c>
      <c r="E3615" s="233" t="s">
        <v>21</v>
      </c>
      <c r="F3615" s="227" t="s">
        <v>210</v>
      </c>
    </row>
    <row r="3616" spans="1:6" x14ac:dyDescent="0.25">
      <c r="A3616" s="227" t="str">
        <f>TL[[#This Row],[Société]]&amp;" - "&amp;TL[[#This Row],[Compte]]</f>
        <v>TIRR - 627805</v>
      </c>
      <c r="B3616" s="233" t="s">
        <v>1714</v>
      </c>
      <c r="C3616" s="227" t="s">
        <v>6169</v>
      </c>
      <c r="D3616" s="233" t="s">
        <v>47</v>
      </c>
      <c r="E3616" s="233" t="s">
        <v>21</v>
      </c>
      <c r="F3616" s="227" t="s">
        <v>210</v>
      </c>
    </row>
    <row r="3617" spans="1:6" x14ac:dyDescent="0.25">
      <c r="A3617" s="227" t="str">
        <f>TL[[#This Row],[Société]]&amp;" - "&amp;TL[[#This Row],[Compte]]</f>
        <v>TIRR - 628023</v>
      </c>
      <c r="B3617" s="233" t="s">
        <v>1974</v>
      </c>
      <c r="C3617" s="227" t="s">
        <v>33</v>
      </c>
      <c r="D3617" s="233" t="s">
        <v>32</v>
      </c>
      <c r="E3617" s="233" t="s">
        <v>2982</v>
      </c>
      <c r="F3617" s="227" t="s">
        <v>210</v>
      </c>
    </row>
    <row r="3618" spans="1:6" x14ac:dyDescent="0.25">
      <c r="A3618" s="227" t="str">
        <f>TL[[#This Row],[Société]]&amp;" - "&amp;TL[[#This Row],[Compte]]</f>
        <v>TIRR - 628024</v>
      </c>
      <c r="B3618" s="233" t="s">
        <v>2610</v>
      </c>
      <c r="C3618" s="227" t="s">
        <v>2327</v>
      </c>
      <c r="D3618" s="233" t="s">
        <v>150</v>
      </c>
      <c r="E3618" s="233" t="s">
        <v>147</v>
      </c>
      <c r="F3618" s="227" t="s">
        <v>210</v>
      </c>
    </row>
    <row r="3619" spans="1:6" x14ac:dyDescent="0.25">
      <c r="A3619" s="227" t="str">
        <f>TL[[#This Row],[Société]]&amp;" - "&amp;TL[[#This Row],[Compte]]</f>
        <v>TIRR - 628210</v>
      </c>
      <c r="B3619" s="233" t="s">
        <v>2773</v>
      </c>
      <c r="C3619" s="227" t="s">
        <v>2328</v>
      </c>
      <c r="D3619" s="233" t="s">
        <v>147</v>
      </c>
      <c r="E3619" s="233" t="s">
        <v>288</v>
      </c>
      <c r="F3619" s="227" t="s">
        <v>210</v>
      </c>
    </row>
    <row r="3620" spans="1:6" x14ac:dyDescent="0.25">
      <c r="A3620" s="227" t="str">
        <f>TL[[#This Row],[Société]]&amp;" - "&amp;TL[[#This Row],[Compte]]</f>
        <v>TIRR - 628220</v>
      </c>
      <c r="B3620" s="233" t="s">
        <v>2605</v>
      </c>
      <c r="C3620" s="227" t="s">
        <v>255</v>
      </c>
      <c r="D3620" s="233" t="s">
        <v>147</v>
      </c>
      <c r="E3620" s="233" t="s">
        <v>288</v>
      </c>
      <c r="F3620" s="227" t="s">
        <v>210</v>
      </c>
    </row>
    <row r="3621" spans="1:6" x14ac:dyDescent="0.25">
      <c r="A3621" s="227" t="str">
        <f>TL[[#This Row],[Société]]&amp;" - "&amp;TL[[#This Row],[Compte]]</f>
        <v>TIRR - 628230</v>
      </c>
      <c r="B3621" s="233" t="s">
        <v>6343</v>
      </c>
      <c r="C3621" s="227" t="s">
        <v>6344</v>
      </c>
      <c r="D3621" s="233" t="s">
        <v>147</v>
      </c>
      <c r="E3621" s="233" t="s">
        <v>288</v>
      </c>
      <c r="F3621" s="227" t="s">
        <v>210</v>
      </c>
    </row>
    <row r="3622" spans="1:6" x14ac:dyDescent="0.25">
      <c r="A3622" s="227" t="str">
        <f>TL[[#This Row],[Société]]&amp;" - "&amp;TL[[#This Row],[Compte]]</f>
        <v>TIRR - 628400</v>
      </c>
      <c r="B3622" s="233" t="s">
        <v>1623</v>
      </c>
      <c r="C3622" s="227" t="s">
        <v>2254</v>
      </c>
      <c r="D3622" s="233" t="s">
        <v>42</v>
      </c>
      <c r="E3622" s="233" t="s">
        <v>47</v>
      </c>
      <c r="F3622" s="227" t="s">
        <v>210</v>
      </c>
    </row>
    <row r="3623" spans="1:6" x14ac:dyDescent="0.25">
      <c r="A3623" s="227" t="str">
        <f>TL[[#This Row],[Société]]&amp;" - "&amp;TL[[#This Row],[Compte]]</f>
        <v>TIRR - 631310</v>
      </c>
      <c r="B3623" s="233" t="s">
        <v>5935</v>
      </c>
      <c r="C3623" s="227" t="s">
        <v>6345</v>
      </c>
      <c r="D3623" s="233" t="s">
        <v>42</v>
      </c>
      <c r="E3623" s="233" t="s">
        <v>47</v>
      </c>
      <c r="F3623" s="227" t="s">
        <v>210</v>
      </c>
    </row>
    <row r="3624" spans="1:6" x14ac:dyDescent="0.25">
      <c r="A3624" s="227" t="str">
        <f>TL[[#This Row],[Société]]&amp;" - "&amp;TL[[#This Row],[Compte]]</f>
        <v>TIRR - 633300</v>
      </c>
      <c r="B3624" s="233" t="s">
        <v>1730</v>
      </c>
      <c r="C3624" s="227" t="s">
        <v>2257</v>
      </c>
      <c r="D3624" s="233" t="s">
        <v>42</v>
      </c>
      <c r="E3624" s="233" t="s">
        <v>47</v>
      </c>
      <c r="F3624" s="227" t="s">
        <v>210</v>
      </c>
    </row>
    <row r="3625" spans="1:6" x14ac:dyDescent="0.25">
      <c r="A3625" s="227" t="str">
        <f>TL[[#This Row],[Société]]&amp;" - "&amp;TL[[#This Row],[Compte]]</f>
        <v>TIRR - 633400</v>
      </c>
      <c r="B3625" s="233" t="s">
        <v>1976</v>
      </c>
      <c r="C3625" s="227" t="s">
        <v>243</v>
      </c>
      <c r="D3625" s="233" t="s">
        <v>42</v>
      </c>
      <c r="E3625" s="233" t="s">
        <v>47</v>
      </c>
      <c r="F3625" s="227" t="s">
        <v>210</v>
      </c>
    </row>
    <row r="3626" spans="1:6" x14ac:dyDescent="0.25">
      <c r="A3626" s="227" t="str">
        <f>TL[[#This Row],[Société]]&amp;" - "&amp;TL[[#This Row],[Compte]]</f>
        <v>TIRR - 633500</v>
      </c>
      <c r="B3626" s="233" t="s">
        <v>1729</v>
      </c>
      <c r="C3626" s="227" t="s">
        <v>2258</v>
      </c>
      <c r="D3626" s="233" t="s">
        <v>42</v>
      </c>
      <c r="E3626" s="233" t="s">
        <v>47</v>
      </c>
      <c r="F3626" s="227" t="s">
        <v>210</v>
      </c>
    </row>
    <row r="3627" spans="1:6" x14ac:dyDescent="0.25">
      <c r="A3627" s="227" t="str">
        <f>TL[[#This Row],[Société]]&amp;" - "&amp;TL[[#This Row],[Compte]]</f>
        <v>TIRR - 635110</v>
      </c>
      <c r="B3627" s="233" t="s">
        <v>1977</v>
      </c>
      <c r="C3627" s="227" t="s">
        <v>5134</v>
      </c>
      <c r="D3627" s="233" t="s">
        <v>42</v>
      </c>
      <c r="E3627" s="233" t="s">
        <v>47</v>
      </c>
      <c r="F3627" s="227" t="s">
        <v>210</v>
      </c>
    </row>
    <row r="3628" spans="1:6" x14ac:dyDescent="0.25">
      <c r="A3628" s="227" t="str">
        <f>TL[[#This Row],[Société]]&amp;" - "&amp;TL[[#This Row],[Compte]]</f>
        <v>TIRR - 635111</v>
      </c>
      <c r="B3628" s="233" t="s">
        <v>1786</v>
      </c>
      <c r="C3628" s="227" t="s">
        <v>1229</v>
      </c>
      <c r="D3628" s="233" t="s">
        <v>42</v>
      </c>
      <c r="E3628" s="233" t="s">
        <v>47</v>
      </c>
      <c r="F3628" s="227" t="s">
        <v>210</v>
      </c>
    </row>
    <row r="3629" spans="1:6" x14ac:dyDescent="0.25">
      <c r="A3629" s="227" t="str">
        <f>TL[[#This Row],[Société]]&amp;" - "&amp;TL[[#This Row],[Compte]]</f>
        <v>TIRR - 635112</v>
      </c>
      <c r="B3629" s="233" t="s">
        <v>1732</v>
      </c>
      <c r="C3629" s="227" t="s">
        <v>1230</v>
      </c>
      <c r="D3629" s="233" t="s">
        <v>42</v>
      </c>
      <c r="E3629" s="233" t="s">
        <v>47</v>
      </c>
      <c r="F3629" s="227" t="s">
        <v>210</v>
      </c>
    </row>
    <row r="3630" spans="1:6" x14ac:dyDescent="0.25">
      <c r="A3630" s="227" t="str">
        <f>TL[[#This Row],[Société]]&amp;" - "&amp;TL[[#This Row],[Compte]]</f>
        <v>TIRR - 635140</v>
      </c>
      <c r="B3630" s="233" t="s">
        <v>1979</v>
      </c>
      <c r="C3630" s="227" t="s">
        <v>2385</v>
      </c>
      <c r="D3630" s="233" t="s">
        <v>42</v>
      </c>
      <c r="E3630" s="233" t="s">
        <v>47</v>
      </c>
      <c r="F3630" s="227" t="s">
        <v>210</v>
      </c>
    </row>
    <row r="3631" spans="1:6" x14ac:dyDescent="0.25">
      <c r="A3631" s="227" t="str">
        <f>TL[[#This Row],[Société]]&amp;" - "&amp;TL[[#This Row],[Compte]]</f>
        <v>TIRR - 635400</v>
      </c>
      <c r="B3631" s="233" t="s">
        <v>5140</v>
      </c>
      <c r="C3631" s="227" t="s">
        <v>767</v>
      </c>
      <c r="D3631" s="233" t="s">
        <v>50</v>
      </c>
      <c r="E3631" s="233" t="s">
        <v>47</v>
      </c>
      <c r="F3631" s="227" t="s">
        <v>210</v>
      </c>
    </row>
    <row r="3632" spans="1:6" x14ac:dyDescent="0.25">
      <c r="A3632" s="227" t="str">
        <f>TL[[#This Row],[Société]]&amp;" - "&amp;TL[[#This Row],[Compte]]</f>
        <v>TIRR - 635511</v>
      </c>
      <c r="B3632" s="233" t="s">
        <v>1724</v>
      </c>
      <c r="C3632" s="227" t="s">
        <v>6346</v>
      </c>
      <c r="D3632" s="233" t="s">
        <v>42</v>
      </c>
      <c r="E3632" s="233" t="s">
        <v>47</v>
      </c>
      <c r="F3632" s="227" t="s">
        <v>210</v>
      </c>
    </row>
    <row r="3633" spans="1:6" x14ac:dyDescent="0.25">
      <c r="A3633" s="227" t="str">
        <f>TL[[#This Row],[Société]]&amp;" - "&amp;TL[[#This Row],[Compte]]</f>
        <v>TIRR - 635810</v>
      </c>
      <c r="B3633" s="233" t="s">
        <v>1987</v>
      </c>
      <c r="C3633" s="227" t="s">
        <v>773</v>
      </c>
      <c r="D3633" s="233" t="s">
        <v>42</v>
      </c>
      <c r="E3633" s="233" t="s">
        <v>47</v>
      </c>
      <c r="F3633" s="227" t="s">
        <v>210</v>
      </c>
    </row>
    <row r="3634" spans="1:6" x14ac:dyDescent="0.25">
      <c r="A3634" s="227" t="str">
        <f>TL[[#This Row],[Société]]&amp;" - "&amp;TL[[#This Row],[Compte]]</f>
        <v>TIRR - 635820</v>
      </c>
      <c r="B3634" s="233" t="s">
        <v>2764</v>
      </c>
      <c r="C3634" s="227" t="s">
        <v>430</v>
      </c>
      <c r="D3634" s="233" t="s">
        <v>42</v>
      </c>
      <c r="E3634" s="233" t="s">
        <v>47</v>
      </c>
      <c r="F3634" s="227" t="s">
        <v>210</v>
      </c>
    </row>
    <row r="3635" spans="1:6" x14ac:dyDescent="0.25">
      <c r="A3635" s="227" t="str">
        <f>TL[[#This Row],[Société]]&amp;" - "&amp;TL[[#This Row],[Compte]]</f>
        <v>TIRR - 637100</v>
      </c>
      <c r="B3635" s="233" t="s">
        <v>1988</v>
      </c>
      <c r="C3635" s="227" t="s">
        <v>1042</v>
      </c>
      <c r="D3635" s="233" t="s">
        <v>42</v>
      </c>
      <c r="E3635" s="233" t="s">
        <v>47</v>
      </c>
      <c r="F3635" s="227" t="s">
        <v>210</v>
      </c>
    </row>
    <row r="3636" spans="1:6" x14ac:dyDescent="0.25">
      <c r="A3636" s="227" t="str">
        <f>TL[[#This Row],[Société]]&amp;" - "&amp;TL[[#This Row],[Compte]]</f>
        <v>TIRR - 637110</v>
      </c>
      <c r="B3636" s="233" t="s">
        <v>6347</v>
      </c>
      <c r="C3636" s="227" t="s">
        <v>6348</v>
      </c>
      <c r="D3636" s="233" t="s">
        <v>42</v>
      </c>
      <c r="E3636" s="233" t="s">
        <v>47</v>
      </c>
      <c r="F3636" s="227" t="s">
        <v>210</v>
      </c>
    </row>
    <row r="3637" spans="1:6" x14ac:dyDescent="0.25">
      <c r="A3637" s="227" t="str">
        <f>TL[[#This Row],[Société]]&amp;" - "&amp;TL[[#This Row],[Compte]]</f>
        <v>TIRR - 637800</v>
      </c>
      <c r="B3637" s="233" t="s">
        <v>1989</v>
      </c>
      <c r="C3637" s="227" t="s">
        <v>2134</v>
      </c>
      <c r="D3637" s="233" t="s">
        <v>42</v>
      </c>
      <c r="E3637" s="233" t="s">
        <v>47</v>
      </c>
      <c r="F3637" s="227" t="s">
        <v>210</v>
      </c>
    </row>
    <row r="3638" spans="1:6" x14ac:dyDescent="0.25">
      <c r="A3638" s="227" t="str">
        <f>TL[[#This Row],[Société]]&amp;" - "&amp;TL[[#This Row],[Compte]]</f>
        <v>TIRR - 637810</v>
      </c>
      <c r="B3638" s="233" t="s">
        <v>2744</v>
      </c>
      <c r="C3638" s="227" t="s">
        <v>2361</v>
      </c>
      <c r="D3638" s="233" t="s">
        <v>71</v>
      </c>
      <c r="E3638" s="233" t="s">
        <v>7</v>
      </c>
      <c r="F3638" s="227" t="s">
        <v>210</v>
      </c>
    </row>
    <row r="3639" spans="1:6" x14ac:dyDescent="0.25">
      <c r="A3639" s="227" t="str">
        <f>TL[[#This Row],[Société]]&amp;" - "&amp;TL[[#This Row],[Compte]]</f>
        <v>TIRR - 641101</v>
      </c>
      <c r="B3639" s="233" t="s">
        <v>1749</v>
      </c>
      <c r="C3639" s="227" t="s">
        <v>2365</v>
      </c>
      <c r="D3639" s="233" t="s">
        <v>12</v>
      </c>
      <c r="E3639" s="233" t="s">
        <v>3</v>
      </c>
      <c r="F3639" s="227" t="s">
        <v>210</v>
      </c>
    </row>
    <row r="3640" spans="1:6" x14ac:dyDescent="0.25">
      <c r="A3640" s="227" t="str">
        <f>TL[[#This Row],[Société]]&amp;" - "&amp;TL[[#This Row],[Compte]]</f>
        <v>TIRR - 641104</v>
      </c>
      <c r="B3640" s="233" t="s">
        <v>1750</v>
      </c>
      <c r="C3640" s="227" t="s">
        <v>2386</v>
      </c>
      <c r="D3640" s="233" t="s">
        <v>13</v>
      </c>
      <c r="E3640" s="233" t="s">
        <v>12</v>
      </c>
      <c r="F3640" s="227" t="s">
        <v>210</v>
      </c>
    </row>
    <row r="3641" spans="1:6" x14ac:dyDescent="0.25">
      <c r="A3641" s="227" t="str">
        <f>TL[[#This Row],[Société]]&amp;" - "&amp;TL[[#This Row],[Compte]]</f>
        <v>TIRR - 641204</v>
      </c>
      <c r="B3641" s="233" t="s">
        <v>2819</v>
      </c>
      <c r="C3641" s="227" t="s">
        <v>6349</v>
      </c>
      <c r="D3641" s="233" t="s">
        <v>13</v>
      </c>
      <c r="E3641" s="233" t="s">
        <v>12</v>
      </c>
      <c r="F3641" s="227" t="s">
        <v>210</v>
      </c>
    </row>
    <row r="3642" spans="1:6" x14ac:dyDescent="0.25">
      <c r="A3642" s="227" t="str">
        <f>TL[[#This Row],[Société]]&amp;" - "&amp;TL[[#This Row],[Compte]]</f>
        <v>TIRR - 641220</v>
      </c>
      <c r="B3642" s="233" t="s">
        <v>1783</v>
      </c>
      <c r="C3642" s="227" t="s">
        <v>2387</v>
      </c>
      <c r="D3642" s="233" t="s">
        <v>13</v>
      </c>
      <c r="E3642" s="233" t="s">
        <v>12</v>
      </c>
      <c r="F3642" s="227" t="s">
        <v>210</v>
      </c>
    </row>
    <row r="3643" spans="1:6" x14ac:dyDescent="0.25">
      <c r="A3643" s="227" t="str">
        <f>TL[[#This Row],[Société]]&amp;" - "&amp;TL[[#This Row],[Compte]]</f>
        <v>TIRR - 641230</v>
      </c>
      <c r="B3643" s="233" t="s">
        <v>1996</v>
      </c>
      <c r="C3643" s="227" t="s">
        <v>2350</v>
      </c>
      <c r="D3643" s="233" t="s">
        <v>12</v>
      </c>
      <c r="E3643" s="233" t="s">
        <v>3</v>
      </c>
      <c r="F3643" s="227" t="s">
        <v>210</v>
      </c>
    </row>
    <row r="3644" spans="1:6" x14ac:dyDescent="0.25">
      <c r="A3644" s="227" t="str">
        <f>TL[[#This Row],[Société]]&amp;" - "&amp;TL[[#This Row],[Compte]]</f>
        <v>TIRR - 641340</v>
      </c>
      <c r="B3644" s="233" t="s">
        <v>5948</v>
      </c>
      <c r="C3644" s="227" t="s">
        <v>2094</v>
      </c>
      <c r="D3644" s="233" t="s">
        <v>13</v>
      </c>
      <c r="E3644" s="233" t="s">
        <v>12</v>
      </c>
      <c r="F3644" s="227" t="s">
        <v>210</v>
      </c>
    </row>
    <row r="3645" spans="1:6" x14ac:dyDescent="0.25">
      <c r="A3645" s="227" t="str">
        <f>TL[[#This Row],[Société]]&amp;" - "&amp;TL[[#This Row],[Compte]]</f>
        <v>TIRR - 641341</v>
      </c>
      <c r="B3645" s="233" t="s">
        <v>5950</v>
      </c>
      <c r="C3645" s="227" t="s">
        <v>6350</v>
      </c>
      <c r="D3645" s="233" t="s">
        <v>12</v>
      </c>
      <c r="E3645" s="233" t="s">
        <v>3</v>
      </c>
      <c r="F3645" s="227" t="s">
        <v>210</v>
      </c>
    </row>
    <row r="3646" spans="1:6" x14ac:dyDescent="0.25">
      <c r="A3646" s="227" t="str">
        <f>TL[[#This Row],[Société]]&amp;" - "&amp;TL[[#This Row],[Compte]]</f>
        <v>TIRR - 641401</v>
      </c>
      <c r="B3646" s="233" t="s">
        <v>1745</v>
      </c>
      <c r="C3646" s="227" t="s">
        <v>2285</v>
      </c>
      <c r="D3646" s="233" t="s">
        <v>12</v>
      </c>
      <c r="E3646" s="233" t="s">
        <v>3</v>
      </c>
      <c r="F3646" s="227" t="s">
        <v>210</v>
      </c>
    </row>
    <row r="3647" spans="1:6" x14ac:dyDescent="0.25">
      <c r="A3647" s="227" t="str">
        <f>TL[[#This Row],[Société]]&amp;" - "&amp;TL[[#This Row],[Compte]]</f>
        <v>TIRR - 641402</v>
      </c>
      <c r="B3647" s="233" t="s">
        <v>1999</v>
      </c>
      <c r="C3647" s="227" t="s">
        <v>6351</v>
      </c>
      <c r="D3647" s="233" t="s">
        <v>13</v>
      </c>
      <c r="E3647" s="233" t="s">
        <v>12</v>
      </c>
      <c r="F3647" s="227" t="s">
        <v>210</v>
      </c>
    </row>
    <row r="3648" spans="1:6" x14ac:dyDescent="0.25">
      <c r="A3648" s="227" t="str">
        <f>TL[[#This Row],[Société]]&amp;" - "&amp;TL[[#This Row],[Compte]]</f>
        <v>TIRR - 641404</v>
      </c>
      <c r="B3648" s="233" t="s">
        <v>1747</v>
      </c>
      <c r="C3648" s="227" t="s">
        <v>2287</v>
      </c>
      <c r="D3648" s="233" t="s">
        <v>13</v>
      </c>
      <c r="E3648" s="233" t="s">
        <v>12</v>
      </c>
      <c r="F3648" s="227" t="s">
        <v>210</v>
      </c>
    </row>
    <row r="3649" spans="1:6" x14ac:dyDescent="0.25">
      <c r="A3649" s="227" t="str">
        <f>TL[[#This Row],[Société]]&amp;" - "&amp;TL[[#This Row],[Compte]]</f>
        <v>TIRR - 641410</v>
      </c>
      <c r="B3649" s="233" t="s">
        <v>2522</v>
      </c>
      <c r="C3649" s="227" t="s">
        <v>2332</v>
      </c>
      <c r="D3649" s="233" t="s">
        <v>12</v>
      </c>
      <c r="E3649" s="233" t="s">
        <v>3</v>
      </c>
      <c r="F3649" s="227" t="s">
        <v>210</v>
      </c>
    </row>
    <row r="3650" spans="1:6" x14ac:dyDescent="0.25">
      <c r="A3650" s="227" t="str">
        <f>TL[[#This Row],[Société]]&amp;" - "&amp;TL[[#This Row],[Compte]]</f>
        <v>TIRR - 641411</v>
      </c>
      <c r="B3650" s="233" t="s">
        <v>1751</v>
      </c>
      <c r="C3650" s="227" t="s">
        <v>6352</v>
      </c>
      <c r="D3650" s="233" t="s">
        <v>13</v>
      </c>
      <c r="E3650" s="233" t="s">
        <v>12</v>
      </c>
      <c r="F3650" s="227" t="s">
        <v>210</v>
      </c>
    </row>
    <row r="3651" spans="1:6" x14ac:dyDescent="0.25">
      <c r="A3651" s="227" t="str">
        <f>TL[[#This Row],[Société]]&amp;" - "&amp;TL[[#This Row],[Compte]]</f>
        <v>TIRR - 641412</v>
      </c>
      <c r="B3651" s="233" t="s">
        <v>3301</v>
      </c>
      <c r="C3651" s="227" t="s">
        <v>6353</v>
      </c>
      <c r="D3651" s="233" t="s">
        <v>12</v>
      </c>
      <c r="E3651" s="233" t="s">
        <v>3</v>
      </c>
      <c r="F3651" s="227" t="s">
        <v>210</v>
      </c>
    </row>
    <row r="3652" spans="1:6" x14ac:dyDescent="0.25">
      <c r="A3652" s="227" t="str">
        <f>TL[[#This Row],[Société]]&amp;" - "&amp;TL[[#This Row],[Compte]]</f>
        <v>TIRR - 641413</v>
      </c>
      <c r="B3652" s="233" t="s">
        <v>5174</v>
      </c>
      <c r="C3652" s="227" t="s">
        <v>6354</v>
      </c>
      <c r="D3652" s="233" t="s">
        <v>13</v>
      </c>
      <c r="E3652" s="233" t="s">
        <v>12</v>
      </c>
      <c r="F3652" s="227" t="s">
        <v>210</v>
      </c>
    </row>
    <row r="3653" spans="1:6" x14ac:dyDescent="0.25">
      <c r="A3653" s="227" t="str">
        <f>TL[[#This Row],[Société]]&amp;" - "&amp;TL[[#This Row],[Compte]]</f>
        <v>TIRR - 641414</v>
      </c>
      <c r="B3653" s="233" t="s">
        <v>1752</v>
      </c>
      <c r="C3653" s="227" t="s">
        <v>2388</v>
      </c>
      <c r="D3653" s="233" t="s">
        <v>13</v>
      </c>
      <c r="E3653" s="233" t="s">
        <v>12</v>
      </c>
      <c r="F3653" s="227" t="s">
        <v>210</v>
      </c>
    </row>
    <row r="3654" spans="1:6" x14ac:dyDescent="0.25">
      <c r="A3654" s="227" t="str">
        <f>TL[[#This Row],[Société]]&amp;" - "&amp;TL[[#This Row],[Compte]]</f>
        <v>TIRR - 641415</v>
      </c>
      <c r="B3654" s="233" t="s">
        <v>6355</v>
      </c>
      <c r="C3654" s="227" t="s">
        <v>6356</v>
      </c>
      <c r="D3654" s="233" t="s">
        <v>12</v>
      </c>
      <c r="E3654" s="233" t="s">
        <v>3</v>
      </c>
      <c r="F3654" s="227" t="s">
        <v>210</v>
      </c>
    </row>
    <row r="3655" spans="1:6" x14ac:dyDescent="0.25">
      <c r="A3655" s="227" t="str">
        <f>TL[[#This Row],[Société]]&amp;" - "&amp;TL[[#This Row],[Compte]]</f>
        <v>TIRR - 641416</v>
      </c>
      <c r="B3655" s="233" t="s">
        <v>6357</v>
      </c>
      <c r="C3655" s="227" t="s">
        <v>5951</v>
      </c>
      <c r="D3655" s="233" t="s">
        <v>50</v>
      </c>
      <c r="E3655" s="233" t="s">
        <v>12</v>
      </c>
      <c r="F3655" s="227" t="s">
        <v>210</v>
      </c>
    </row>
    <row r="3656" spans="1:6" x14ac:dyDescent="0.25">
      <c r="A3656" s="227" t="str">
        <f>TL[[#This Row],[Société]]&amp;" - "&amp;TL[[#This Row],[Compte]]</f>
        <v>TIRR - 645101</v>
      </c>
      <c r="B3656" s="233" t="s">
        <v>1755</v>
      </c>
      <c r="C3656" s="227" t="s">
        <v>175</v>
      </c>
      <c r="D3656" s="233" t="s">
        <v>12</v>
      </c>
      <c r="E3656" s="233" t="s">
        <v>71</v>
      </c>
      <c r="F3656" s="227" t="s">
        <v>210</v>
      </c>
    </row>
    <row r="3657" spans="1:6" x14ac:dyDescent="0.25">
      <c r="A3657" s="227" t="str">
        <f>TL[[#This Row],[Société]]&amp;" - "&amp;TL[[#This Row],[Compte]]</f>
        <v>TIRR - 645104</v>
      </c>
      <c r="B3657" s="233" t="s">
        <v>1756</v>
      </c>
      <c r="C3657" s="227" t="s">
        <v>2334</v>
      </c>
      <c r="D3657" s="233" t="s">
        <v>15</v>
      </c>
      <c r="E3657" s="233" t="s">
        <v>13</v>
      </c>
      <c r="F3657" s="227" t="s">
        <v>210</v>
      </c>
    </row>
    <row r="3658" spans="1:6" x14ac:dyDescent="0.25">
      <c r="A3658" s="227" t="str">
        <f>TL[[#This Row],[Société]]&amp;" - "&amp;TL[[#This Row],[Compte]]</f>
        <v>TIRR - 645301</v>
      </c>
      <c r="B3658" s="233" t="s">
        <v>1757</v>
      </c>
      <c r="C3658" s="227" t="s">
        <v>2193</v>
      </c>
      <c r="D3658" s="233" t="s">
        <v>12</v>
      </c>
      <c r="E3658" s="233" t="s">
        <v>71</v>
      </c>
      <c r="F3658" s="227" t="s">
        <v>210</v>
      </c>
    </row>
    <row r="3659" spans="1:6" x14ac:dyDescent="0.25">
      <c r="A3659" s="227" t="str">
        <f>TL[[#This Row],[Société]]&amp;" - "&amp;TL[[#This Row],[Compte]]</f>
        <v>TIRR - 645304</v>
      </c>
      <c r="B3659" s="233" t="s">
        <v>1758</v>
      </c>
      <c r="C3659" s="227" t="s">
        <v>2335</v>
      </c>
      <c r="D3659" s="233" t="s">
        <v>15</v>
      </c>
      <c r="E3659" s="233" t="s">
        <v>13</v>
      </c>
      <c r="F3659" s="227" t="s">
        <v>210</v>
      </c>
    </row>
    <row r="3660" spans="1:6" x14ac:dyDescent="0.25">
      <c r="A3660" s="227" t="str">
        <f>TL[[#This Row],[Société]]&amp;" - "&amp;TL[[#This Row],[Compte]]</f>
        <v>TIRR - 645305</v>
      </c>
      <c r="B3660" s="233" t="s">
        <v>2006</v>
      </c>
      <c r="C3660" s="227" t="s">
        <v>6358</v>
      </c>
      <c r="D3660" s="233" t="s">
        <v>15</v>
      </c>
      <c r="E3660" s="233" t="s">
        <v>13</v>
      </c>
      <c r="F3660" s="227" t="s">
        <v>210</v>
      </c>
    </row>
    <row r="3661" spans="1:6" x14ac:dyDescent="0.25">
      <c r="A3661" s="227" t="str">
        <f>TL[[#This Row],[Société]]&amp;" - "&amp;TL[[#This Row],[Compte]]</f>
        <v>TIRR - 645320</v>
      </c>
      <c r="B3661" s="233" t="s">
        <v>2535</v>
      </c>
      <c r="C3661" s="227" t="s">
        <v>6359</v>
      </c>
      <c r="D3661" s="233" t="s">
        <v>15</v>
      </c>
      <c r="E3661" s="233" t="s">
        <v>13</v>
      </c>
      <c r="F3661" s="227" t="s">
        <v>210</v>
      </c>
    </row>
    <row r="3662" spans="1:6" x14ac:dyDescent="0.25">
      <c r="A3662" s="227" t="str">
        <f>TL[[#This Row],[Société]]&amp;" - "&amp;TL[[#This Row],[Compte]]</f>
        <v>TIRR - 645401</v>
      </c>
      <c r="B3662" s="233" t="s">
        <v>1753</v>
      </c>
      <c r="C3662" s="227" t="s">
        <v>169</v>
      </c>
      <c r="D3662" s="233" t="s">
        <v>12</v>
      </c>
      <c r="E3662" s="233" t="s">
        <v>71</v>
      </c>
      <c r="F3662" s="227" t="s">
        <v>210</v>
      </c>
    </row>
    <row r="3663" spans="1:6" x14ac:dyDescent="0.25">
      <c r="A3663" s="227" t="str">
        <f>TL[[#This Row],[Société]]&amp;" - "&amp;TL[[#This Row],[Compte]]</f>
        <v>TIRR - 645404</v>
      </c>
      <c r="B3663" s="233" t="s">
        <v>1754</v>
      </c>
      <c r="C3663" s="227" t="s">
        <v>2336</v>
      </c>
      <c r="D3663" s="233" t="s">
        <v>15</v>
      </c>
      <c r="E3663" s="233" t="s">
        <v>13</v>
      </c>
      <c r="F3663" s="227" t="s">
        <v>210</v>
      </c>
    </row>
    <row r="3664" spans="1:6" x14ac:dyDescent="0.25">
      <c r="A3664" s="227" t="str">
        <f>TL[[#This Row],[Société]]&amp;" - "&amp;TL[[#This Row],[Compte]]</f>
        <v>TIRR - 645520</v>
      </c>
      <c r="B3664" s="233" t="s">
        <v>2537</v>
      </c>
      <c r="C3664" s="227" t="s">
        <v>2192</v>
      </c>
      <c r="D3664" s="233" t="s">
        <v>15</v>
      </c>
      <c r="E3664" s="233" t="s">
        <v>13</v>
      </c>
      <c r="F3664" s="227" t="s">
        <v>210</v>
      </c>
    </row>
    <row r="3665" spans="1:6" x14ac:dyDescent="0.25">
      <c r="A3665" s="227" t="str">
        <f>TL[[#This Row],[Société]]&amp;" - "&amp;TL[[#This Row],[Compte]]</f>
        <v>TIRR - 645530</v>
      </c>
      <c r="B3665" s="233" t="s">
        <v>2527</v>
      </c>
      <c r="C3665" s="227" t="s">
        <v>231</v>
      </c>
      <c r="D3665" s="233" t="s">
        <v>12</v>
      </c>
      <c r="E3665" s="233" t="s">
        <v>71</v>
      </c>
      <c r="F3665" s="227" t="s">
        <v>210</v>
      </c>
    </row>
    <row r="3666" spans="1:6" x14ac:dyDescent="0.25">
      <c r="A3666" s="227" t="str">
        <f>TL[[#This Row],[Société]]&amp;" - "&amp;TL[[#This Row],[Compte]]</f>
        <v>TIRR - 645800</v>
      </c>
      <c r="B3666" s="233" t="s">
        <v>1775</v>
      </c>
      <c r="C3666" s="227" t="s">
        <v>2349</v>
      </c>
      <c r="D3666" s="233" t="s">
        <v>15</v>
      </c>
      <c r="E3666" s="233" t="s">
        <v>13</v>
      </c>
      <c r="F3666" s="227" t="s">
        <v>210</v>
      </c>
    </row>
    <row r="3667" spans="1:6" x14ac:dyDescent="0.25">
      <c r="A3667" s="227" t="str">
        <f>TL[[#This Row],[Société]]&amp;" - "&amp;TL[[#This Row],[Compte]]</f>
        <v>TIRR - 645810</v>
      </c>
      <c r="B3667" s="233" t="s">
        <v>1776</v>
      </c>
      <c r="C3667" s="227" t="s">
        <v>2351</v>
      </c>
      <c r="D3667" s="233" t="s">
        <v>12</v>
      </c>
      <c r="E3667" s="233" t="s">
        <v>71</v>
      </c>
      <c r="F3667" s="227" t="s">
        <v>210</v>
      </c>
    </row>
    <row r="3668" spans="1:6" x14ac:dyDescent="0.25">
      <c r="A3668" s="227" t="str">
        <f>TL[[#This Row],[Société]]&amp;" - "&amp;TL[[#This Row],[Compte]]</f>
        <v>TIRR - 645820</v>
      </c>
      <c r="B3668" s="233" t="s">
        <v>2008</v>
      </c>
      <c r="C3668" s="227" t="s">
        <v>6239</v>
      </c>
      <c r="D3668" s="233" t="s">
        <v>15</v>
      </c>
      <c r="E3668" s="233" t="s">
        <v>13</v>
      </c>
      <c r="F3668" s="227" t="s">
        <v>210</v>
      </c>
    </row>
    <row r="3669" spans="1:6" x14ac:dyDescent="0.25">
      <c r="A3669" s="227" t="str">
        <f>TL[[#This Row],[Société]]&amp;" - "&amp;TL[[#This Row],[Compte]]</f>
        <v>TIRR - 645830</v>
      </c>
      <c r="B3669" s="233" t="s">
        <v>2009</v>
      </c>
      <c r="C3669" s="227" t="s">
        <v>6360</v>
      </c>
      <c r="D3669" s="233" t="s">
        <v>12</v>
      </c>
      <c r="E3669" s="233" t="s">
        <v>71</v>
      </c>
      <c r="F3669" s="227" t="s">
        <v>210</v>
      </c>
    </row>
    <row r="3670" spans="1:6" x14ac:dyDescent="0.25">
      <c r="A3670" s="227" t="str">
        <f>TL[[#This Row],[Société]]&amp;" - "&amp;TL[[#This Row],[Compte]]</f>
        <v>TIRR - 645863</v>
      </c>
      <c r="B3670" s="233" t="s">
        <v>6361</v>
      </c>
      <c r="C3670" s="227" t="s">
        <v>6362</v>
      </c>
      <c r="D3670" s="233" t="s">
        <v>15</v>
      </c>
      <c r="E3670" s="233" t="s">
        <v>13</v>
      </c>
      <c r="F3670" s="227" t="s">
        <v>210</v>
      </c>
    </row>
    <row r="3671" spans="1:6" x14ac:dyDescent="0.25">
      <c r="A3671" s="227" t="str">
        <f>TL[[#This Row],[Société]]&amp;" - "&amp;TL[[#This Row],[Compte]]</f>
        <v>TIRR - 645920</v>
      </c>
      <c r="B3671" s="233" t="s">
        <v>2538</v>
      </c>
      <c r="C3671" s="227" t="s">
        <v>2338</v>
      </c>
      <c r="D3671" s="233" t="s">
        <v>15</v>
      </c>
      <c r="E3671" s="233" t="s">
        <v>13</v>
      </c>
      <c r="F3671" s="227" t="s">
        <v>210</v>
      </c>
    </row>
    <row r="3672" spans="1:6" x14ac:dyDescent="0.25">
      <c r="A3672" s="227" t="str">
        <f>TL[[#This Row],[Société]]&amp;" - "&amp;TL[[#This Row],[Compte]]</f>
        <v>TIRR - 645930</v>
      </c>
      <c r="B3672" s="233" t="s">
        <v>2528</v>
      </c>
      <c r="C3672" s="227" t="s">
        <v>2339</v>
      </c>
      <c r="D3672" s="233" t="s">
        <v>12</v>
      </c>
      <c r="E3672" s="233" t="s">
        <v>71</v>
      </c>
      <c r="F3672" s="227" t="s">
        <v>210</v>
      </c>
    </row>
    <row r="3673" spans="1:6" x14ac:dyDescent="0.25">
      <c r="A3673" s="227" t="str">
        <f>TL[[#This Row],[Société]]&amp;" - "&amp;TL[[#This Row],[Compte]]</f>
        <v>TIRR - 647516</v>
      </c>
      <c r="B3673" s="233" t="s">
        <v>2759</v>
      </c>
      <c r="C3673" s="227" t="s">
        <v>2359</v>
      </c>
      <c r="D3673" s="233" t="s">
        <v>20</v>
      </c>
      <c r="E3673" s="233" t="s">
        <v>25</v>
      </c>
      <c r="F3673" s="227" t="s">
        <v>210</v>
      </c>
    </row>
    <row r="3674" spans="1:6" x14ac:dyDescent="0.25">
      <c r="A3674" s="227" t="str">
        <f>TL[[#This Row],[Société]]&amp;" - "&amp;TL[[#This Row],[Compte]]</f>
        <v>TIRR - 649000</v>
      </c>
      <c r="B3674" s="233" t="s">
        <v>2012</v>
      </c>
      <c r="C3674" s="227" t="s">
        <v>3323</v>
      </c>
      <c r="F3674" s="227" t="s">
        <v>210</v>
      </c>
    </row>
    <row r="3675" spans="1:6" x14ac:dyDescent="0.25">
      <c r="A3675" s="227" t="str">
        <f>TL[[#This Row],[Société]]&amp;" - "&amp;TL[[#This Row],[Compte]]</f>
        <v>TIRR - 651001</v>
      </c>
      <c r="B3675" s="233" t="s">
        <v>1605</v>
      </c>
      <c r="C3675" s="227" t="s">
        <v>6363</v>
      </c>
      <c r="F3675" s="227" t="s">
        <v>210</v>
      </c>
    </row>
    <row r="3676" spans="1:6" x14ac:dyDescent="0.25">
      <c r="A3676" s="227" t="str">
        <f>TL[[#This Row],[Société]]&amp;" - "&amp;TL[[#This Row],[Compte]]</f>
        <v>TIRR - 651003</v>
      </c>
      <c r="B3676" s="233" t="s">
        <v>1796</v>
      </c>
      <c r="C3676" s="227" t="s">
        <v>6364</v>
      </c>
      <c r="D3676" s="233" t="s">
        <v>20</v>
      </c>
      <c r="E3676" s="233" t="s">
        <v>25</v>
      </c>
      <c r="F3676" s="227" t="s">
        <v>210</v>
      </c>
    </row>
    <row r="3677" spans="1:6" x14ac:dyDescent="0.25">
      <c r="A3677" s="227" t="str">
        <f>TL[[#This Row],[Société]]&amp;" - "&amp;TL[[#This Row],[Compte]]</f>
        <v>TIRR - 651031</v>
      </c>
      <c r="B3677" s="233" t="s">
        <v>2761</v>
      </c>
      <c r="C3677" s="227" t="s">
        <v>2340</v>
      </c>
      <c r="D3677" s="233" t="s">
        <v>37</v>
      </c>
      <c r="E3677" s="233" t="s">
        <v>42</v>
      </c>
      <c r="F3677" s="227" t="s">
        <v>210</v>
      </c>
    </row>
    <row r="3678" spans="1:6" x14ac:dyDescent="0.25">
      <c r="A3678" s="227" t="str">
        <f>TL[[#This Row],[Société]]&amp;" - "&amp;TL[[#This Row],[Compte]]</f>
        <v>TIRR - 651200</v>
      </c>
      <c r="B3678" s="233" t="s">
        <v>1604</v>
      </c>
      <c r="C3678" s="227" t="s">
        <v>2389</v>
      </c>
      <c r="D3678" s="233" t="s">
        <v>35</v>
      </c>
      <c r="E3678" s="233" t="s">
        <v>37</v>
      </c>
      <c r="F3678" s="227" t="s">
        <v>210</v>
      </c>
    </row>
    <row r="3679" spans="1:6" x14ac:dyDescent="0.25">
      <c r="A3679" s="227" t="str">
        <f>TL[[#This Row],[Société]]&amp;" - "&amp;TL[[#This Row],[Compte]]</f>
        <v>TIRR - 651210</v>
      </c>
      <c r="B3679" s="233" t="s">
        <v>1606</v>
      </c>
      <c r="C3679" s="227" t="s">
        <v>2201</v>
      </c>
      <c r="D3679" s="233" t="s">
        <v>37</v>
      </c>
      <c r="E3679" s="233" t="s">
        <v>37</v>
      </c>
      <c r="F3679" s="227" t="s">
        <v>210</v>
      </c>
    </row>
    <row r="3680" spans="1:6" x14ac:dyDescent="0.25">
      <c r="A3680" s="227" t="str">
        <f>TL[[#This Row],[Société]]&amp;" - "&amp;TL[[#This Row],[Compte]]</f>
        <v>TIRR - 651300</v>
      </c>
      <c r="B3680" s="233" t="s">
        <v>5257</v>
      </c>
      <c r="C3680" s="227" t="s">
        <v>6365</v>
      </c>
      <c r="D3680" s="233" t="s">
        <v>35</v>
      </c>
      <c r="E3680" s="233" t="s">
        <v>37</v>
      </c>
      <c r="F3680" s="227" t="s">
        <v>210</v>
      </c>
    </row>
    <row r="3681" spans="1:6" x14ac:dyDescent="0.25">
      <c r="A3681" s="227" t="str">
        <f>TL[[#This Row],[Société]]&amp;" - "&amp;TL[[#This Row],[Compte]]</f>
        <v>TIRR - 658000</v>
      </c>
      <c r="B3681" s="233" t="s">
        <v>1743</v>
      </c>
      <c r="C3681" s="227" t="s">
        <v>164</v>
      </c>
      <c r="D3681" s="233" t="s">
        <v>50</v>
      </c>
      <c r="E3681" s="233" t="s">
        <v>52</v>
      </c>
      <c r="F3681" s="227" t="s">
        <v>210</v>
      </c>
    </row>
    <row r="3682" spans="1:6" x14ac:dyDescent="0.25">
      <c r="A3682" s="227" t="str">
        <f>TL[[#This Row],[Société]]&amp;" - "&amp;TL[[#This Row],[Compte]]</f>
        <v>TIRR - 661100</v>
      </c>
      <c r="B3682" s="233" t="s">
        <v>1721</v>
      </c>
      <c r="C3682" s="227" t="s">
        <v>2390</v>
      </c>
      <c r="D3682" s="233" t="s">
        <v>47</v>
      </c>
      <c r="E3682" s="233" t="s">
        <v>286</v>
      </c>
      <c r="F3682" s="227" t="s">
        <v>210</v>
      </c>
    </row>
    <row r="3683" spans="1:6" x14ac:dyDescent="0.25">
      <c r="A3683" s="227" t="str">
        <f>TL[[#This Row],[Société]]&amp;" - "&amp;TL[[#This Row],[Compte]]</f>
        <v>TIRR - 661500</v>
      </c>
      <c r="B3683" s="233" t="s">
        <v>3327</v>
      </c>
      <c r="C3683" s="227" t="s">
        <v>6366</v>
      </c>
      <c r="D3683" s="233" t="s">
        <v>47</v>
      </c>
      <c r="E3683" s="233" t="s">
        <v>21</v>
      </c>
      <c r="F3683" s="227" t="s">
        <v>210</v>
      </c>
    </row>
    <row r="3684" spans="1:6" x14ac:dyDescent="0.25">
      <c r="A3684" s="227" t="str">
        <f>TL[[#This Row],[Société]]&amp;" - "&amp;TL[[#This Row],[Compte]]</f>
        <v>TIRR - 661600</v>
      </c>
      <c r="B3684" s="233" t="s">
        <v>2016</v>
      </c>
      <c r="C3684" s="227" t="s">
        <v>6367</v>
      </c>
      <c r="D3684" s="233" t="s">
        <v>47</v>
      </c>
      <c r="E3684" s="233" t="s">
        <v>21</v>
      </c>
      <c r="F3684" s="227" t="s">
        <v>210</v>
      </c>
    </row>
    <row r="3685" spans="1:6" x14ac:dyDescent="0.25">
      <c r="A3685" s="227" t="str">
        <f>TL[[#This Row],[Société]]&amp;" - "&amp;TL[[#This Row],[Compte]]</f>
        <v>TIRR - 661800</v>
      </c>
      <c r="B3685" s="233" t="s">
        <v>5283</v>
      </c>
      <c r="C3685" s="227" t="s">
        <v>5284</v>
      </c>
      <c r="D3685" s="233" t="s">
        <v>47</v>
      </c>
      <c r="E3685" s="233" t="s">
        <v>286</v>
      </c>
      <c r="F3685" s="227" t="s">
        <v>210</v>
      </c>
    </row>
    <row r="3686" spans="1:6" x14ac:dyDescent="0.25">
      <c r="A3686" s="227" t="str">
        <f>TL[[#This Row],[Société]]&amp;" - "&amp;TL[[#This Row],[Compte]]</f>
        <v>TIRR - 661900</v>
      </c>
      <c r="B3686" s="233" t="s">
        <v>2771</v>
      </c>
      <c r="C3686" s="227" t="s">
        <v>2391</v>
      </c>
      <c r="D3686" s="233" t="s">
        <v>47</v>
      </c>
      <c r="E3686" s="233" t="s">
        <v>286</v>
      </c>
      <c r="F3686" s="227" t="s">
        <v>210</v>
      </c>
    </row>
    <row r="3687" spans="1:6" x14ac:dyDescent="0.25">
      <c r="A3687" s="227" t="str">
        <f>TL[[#This Row],[Société]]&amp;" - "&amp;TL[[#This Row],[Compte]]</f>
        <v>TIRR - 671100</v>
      </c>
      <c r="B3687" s="233" t="s">
        <v>1801</v>
      </c>
      <c r="C3687" s="227" t="s">
        <v>31</v>
      </c>
      <c r="D3687" s="233" t="s">
        <v>30</v>
      </c>
      <c r="E3687" s="233" t="s">
        <v>2982</v>
      </c>
      <c r="F3687" s="227" t="s">
        <v>210</v>
      </c>
    </row>
    <row r="3688" spans="1:6" x14ac:dyDescent="0.25">
      <c r="A3688" s="227" t="str">
        <f>TL[[#This Row],[Société]]&amp;" - "&amp;TL[[#This Row],[Compte]]</f>
        <v>TIRR - 671300</v>
      </c>
      <c r="B3688" s="233" t="s">
        <v>1725</v>
      </c>
      <c r="C3688" s="227" t="s">
        <v>5301</v>
      </c>
      <c r="D3688" s="233" t="s">
        <v>50</v>
      </c>
      <c r="E3688" s="233" t="s">
        <v>2995</v>
      </c>
      <c r="F3688" s="227" t="s">
        <v>210</v>
      </c>
    </row>
    <row r="3689" spans="1:6" x14ac:dyDescent="0.25">
      <c r="A3689" s="227" t="str">
        <f>TL[[#This Row],[Société]]&amp;" - "&amp;TL[[#This Row],[Compte]]</f>
        <v>TIRR - 671310</v>
      </c>
      <c r="B3689" s="233" t="s">
        <v>2021</v>
      </c>
      <c r="C3689" s="227" t="s">
        <v>6368</v>
      </c>
      <c r="D3689" s="233" t="s">
        <v>50</v>
      </c>
      <c r="E3689" s="233" t="s">
        <v>2995</v>
      </c>
      <c r="F3689" s="227" t="s">
        <v>210</v>
      </c>
    </row>
    <row r="3690" spans="1:6" x14ac:dyDescent="0.25">
      <c r="A3690" s="227" t="str">
        <f>TL[[#This Row],[Société]]&amp;" - "&amp;TL[[#This Row],[Compte]]</f>
        <v>TIRR - 671320</v>
      </c>
      <c r="B3690" s="233" t="s">
        <v>5981</v>
      </c>
      <c r="C3690" s="227" t="s">
        <v>6369</v>
      </c>
      <c r="D3690" s="233" t="s">
        <v>50</v>
      </c>
      <c r="E3690" s="233" t="s">
        <v>2995</v>
      </c>
      <c r="F3690" s="227" t="s">
        <v>210</v>
      </c>
    </row>
    <row r="3691" spans="1:6" x14ac:dyDescent="0.25">
      <c r="A3691" s="227" t="str">
        <f>TL[[#This Row],[Société]]&amp;" - "&amp;TL[[#This Row],[Compte]]</f>
        <v>TIRR - 675100</v>
      </c>
      <c r="B3691" s="233" t="s">
        <v>2024</v>
      </c>
      <c r="C3691" s="227" t="s">
        <v>5316</v>
      </c>
      <c r="F3691" s="227" t="s">
        <v>210</v>
      </c>
    </row>
    <row r="3692" spans="1:6" x14ac:dyDescent="0.25">
      <c r="A3692" s="227" t="str">
        <f>TL[[#This Row],[Société]]&amp;" - "&amp;TL[[#This Row],[Compte]]</f>
        <v>TIRR - 675200</v>
      </c>
      <c r="B3692" s="233" t="s">
        <v>2025</v>
      </c>
      <c r="C3692" s="227" t="s">
        <v>6370</v>
      </c>
      <c r="F3692" s="227" t="s">
        <v>210</v>
      </c>
    </row>
    <row r="3693" spans="1:6" x14ac:dyDescent="0.25">
      <c r="A3693" s="227" t="str">
        <f>TL[[#This Row],[Société]]&amp;" - "&amp;TL[[#This Row],[Compte]]</f>
        <v>TIRR - 675600</v>
      </c>
      <c r="B3693" s="233" t="s">
        <v>3331</v>
      </c>
      <c r="C3693" s="227" t="s">
        <v>5318</v>
      </c>
      <c r="D3693" s="233" t="s">
        <v>44</v>
      </c>
      <c r="E3693" s="233" t="s">
        <v>2995</v>
      </c>
      <c r="F3693" s="227" t="s">
        <v>210</v>
      </c>
    </row>
    <row r="3694" spans="1:6" x14ac:dyDescent="0.25">
      <c r="A3694" s="227" t="str">
        <f>TL[[#This Row],[Société]]&amp;" - "&amp;TL[[#This Row],[Compte]]</f>
        <v>TIRR - 681110</v>
      </c>
      <c r="B3694" s="233" t="s">
        <v>1787</v>
      </c>
      <c r="C3694" s="227" t="s">
        <v>247</v>
      </c>
      <c r="D3694" s="233" t="s">
        <v>45</v>
      </c>
      <c r="E3694" s="233" t="s">
        <v>48</v>
      </c>
      <c r="F3694" s="227" t="s">
        <v>210</v>
      </c>
    </row>
    <row r="3695" spans="1:6" x14ac:dyDescent="0.25">
      <c r="A3695" s="227" t="str">
        <f>TL[[#This Row],[Société]]&amp;" - "&amp;TL[[#This Row],[Compte]]</f>
        <v>TIRR - 681120</v>
      </c>
      <c r="B3695" s="233" t="s">
        <v>2026</v>
      </c>
      <c r="C3695" s="227" t="s">
        <v>6371</v>
      </c>
      <c r="D3695" s="233" t="s">
        <v>45</v>
      </c>
      <c r="E3695" s="233" t="s">
        <v>48</v>
      </c>
      <c r="F3695" s="227" t="s">
        <v>210</v>
      </c>
    </row>
    <row r="3696" spans="1:6" x14ac:dyDescent="0.25">
      <c r="A3696" s="227" t="str">
        <f>TL[[#This Row],[Société]]&amp;" - "&amp;TL[[#This Row],[Compte]]</f>
        <v>TIRR - 681500</v>
      </c>
      <c r="B3696" s="233" t="s">
        <v>2027</v>
      </c>
      <c r="C3696" s="227" t="s">
        <v>6372</v>
      </c>
      <c r="D3696" s="233" t="s">
        <v>45</v>
      </c>
      <c r="E3696" s="233" t="s">
        <v>48</v>
      </c>
      <c r="F3696" s="227" t="s">
        <v>210</v>
      </c>
    </row>
    <row r="3697" spans="1:6" x14ac:dyDescent="0.25">
      <c r="A3697" s="227" t="str">
        <f>TL[[#This Row],[Société]]&amp;" - "&amp;TL[[#This Row],[Compte]]</f>
        <v>TIRR - 681520</v>
      </c>
      <c r="B3697" s="233" t="s">
        <v>2028</v>
      </c>
      <c r="C3697" s="227" t="s">
        <v>6373</v>
      </c>
      <c r="D3697" s="233" t="s">
        <v>13</v>
      </c>
      <c r="E3697" s="233" t="s">
        <v>12</v>
      </c>
      <c r="F3697" s="227" t="s">
        <v>210</v>
      </c>
    </row>
    <row r="3698" spans="1:6" x14ac:dyDescent="0.25">
      <c r="A3698" s="227" t="str">
        <f>TL[[#This Row],[Société]]&amp;" - "&amp;TL[[#This Row],[Compte]]</f>
        <v>TIRR - 681530</v>
      </c>
      <c r="B3698" s="233" t="s">
        <v>2029</v>
      </c>
      <c r="C3698" s="227" t="s">
        <v>6374</v>
      </c>
      <c r="D3698" s="233" t="s">
        <v>12</v>
      </c>
      <c r="E3698" s="233" t="s">
        <v>71</v>
      </c>
      <c r="F3698" s="227" t="s">
        <v>210</v>
      </c>
    </row>
    <row r="3699" spans="1:6" x14ac:dyDescent="0.25">
      <c r="A3699" s="227" t="str">
        <f>TL[[#This Row],[Société]]&amp;" - "&amp;TL[[#This Row],[Compte]]</f>
        <v>TIRR - 687110</v>
      </c>
      <c r="B3699" s="233" t="s">
        <v>2033</v>
      </c>
      <c r="C3699" s="227" t="s">
        <v>621</v>
      </c>
      <c r="D3699" s="233" t="s">
        <v>45</v>
      </c>
      <c r="E3699" s="233" t="s">
        <v>48</v>
      </c>
      <c r="F3699" s="227" t="s">
        <v>210</v>
      </c>
    </row>
    <row r="3700" spans="1:6" x14ac:dyDescent="0.25">
      <c r="A3700" s="227" t="str">
        <f>TL[[#This Row],[Société]]&amp;" - "&amp;TL[[#This Row],[Compte]]</f>
        <v>TIRR - 687120</v>
      </c>
      <c r="B3700" s="233" t="s">
        <v>2034</v>
      </c>
      <c r="C3700" s="227" t="s">
        <v>6371</v>
      </c>
      <c r="D3700" s="233" t="s">
        <v>45</v>
      </c>
      <c r="E3700" s="233" t="s">
        <v>48</v>
      </c>
      <c r="F3700" s="227" t="s">
        <v>210</v>
      </c>
    </row>
    <row r="3701" spans="1:6" x14ac:dyDescent="0.25">
      <c r="A3701" s="227" t="str">
        <f>TL[[#This Row],[Société]]&amp;" - "&amp;TL[[#This Row],[Compte]]</f>
        <v>TIRR - 687250</v>
      </c>
      <c r="B3701" s="233" t="s">
        <v>2035</v>
      </c>
      <c r="C3701" s="227" t="s">
        <v>622</v>
      </c>
      <c r="F3701" s="227" t="s">
        <v>210</v>
      </c>
    </row>
    <row r="3702" spans="1:6" x14ac:dyDescent="0.25">
      <c r="A3702" s="227" t="str">
        <f>TL[[#This Row],[Société]]&amp;" - "&amp;TL[[#This Row],[Compte]]</f>
        <v>TIRR - 695000</v>
      </c>
      <c r="B3702" s="233" t="s">
        <v>2036</v>
      </c>
      <c r="C3702" s="227" t="s">
        <v>3335</v>
      </c>
      <c r="F3702" s="227" t="s">
        <v>210</v>
      </c>
    </row>
    <row r="3703" spans="1:6" x14ac:dyDescent="0.25">
      <c r="A3703" s="227" t="str">
        <f>TL[[#This Row],[Société]]&amp;" - "&amp;TL[[#This Row],[Compte]]</f>
        <v>TIRR - 695100</v>
      </c>
      <c r="B3703" s="233" t="s">
        <v>2037</v>
      </c>
      <c r="C3703" s="227" t="s">
        <v>1055</v>
      </c>
      <c r="F3703" s="227" t="s">
        <v>210</v>
      </c>
    </row>
    <row r="3704" spans="1:6" x14ac:dyDescent="0.25">
      <c r="A3704" s="227" t="str">
        <f>TL[[#This Row],[Société]]&amp;" - "&amp;TL[[#This Row],[Compte]]</f>
        <v>TIRR - 701001</v>
      </c>
      <c r="B3704" s="233" t="s">
        <v>1793</v>
      </c>
      <c r="C3704" s="227" t="s">
        <v>64</v>
      </c>
      <c r="D3704" s="233" t="s">
        <v>143</v>
      </c>
      <c r="E3704" s="233" t="s">
        <v>5</v>
      </c>
      <c r="F3704" s="227" t="s">
        <v>210</v>
      </c>
    </row>
    <row r="3705" spans="1:6" x14ac:dyDescent="0.25">
      <c r="A3705" s="227" t="str">
        <f>TL[[#This Row],[Société]]&amp;" - "&amp;TL[[#This Row],[Compte]]</f>
        <v>TIRR - 701002</v>
      </c>
      <c r="B3705" s="233" t="s">
        <v>1797</v>
      </c>
      <c r="C3705" s="227" t="s">
        <v>6375</v>
      </c>
      <c r="E3705" s="233" t="s">
        <v>5</v>
      </c>
      <c r="F3705" s="227" t="s">
        <v>210</v>
      </c>
    </row>
    <row r="3706" spans="1:6" x14ac:dyDescent="0.25">
      <c r="A3706" s="227" t="str">
        <f>TL[[#This Row],[Société]]&amp;" - "&amp;TL[[#This Row],[Compte]]</f>
        <v>TIRR - 701003</v>
      </c>
      <c r="B3706" s="233" t="s">
        <v>2045</v>
      </c>
      <c r="C3706" s="227" t="s">
        <v>6376</v>
      </c>
      <c r="F3706" s="227" t="s">
        <v>210</v>
      </c>
    </row>
    <row r="3707" spans="1:6" x14ac:dyDescent="0.25">
      <c r="A3707" s="227" t="str">
        <f>TL[[#This Row],[Société]]&amp;" - "&amp;TL[[#This Row],[Compte]]</f>
        <v>TIRR - 701004</v>
      </c>
      <c r="B3707" s="233" t="s">
        <v>2046</v>
      </c>
      <c r="C3707" s="227" t="s">
        <v>6377</v>
      </c>
      <c r="F3707" s="227" t="s">
        <v>210</v>
      </c>
    </row>
    <row r="3708" spans="1:6" x14ac:dyDescent="0.25">
      <c r="A3708" s="227" t="str">
        <f>TL[[#This Row],[Société]]&amp;" - "&amp;TL[[#This Row],[Compte]]</f>
        <v>TIRR - 701010</v>
      </c>
      <c r="B3708" s="233" t="s">
        <v>2047</v>
      </c>
      <c r="C3708" s="227" t="s">
        <v>2369</v>
      </c>
      <c r="D3708" s="233" t="s">
        <v>143</v>
      </c>
      <c r="E3708" s="233" t="s">
        <v>5</v>
      </c>
      <c r="F3708" s="227" t="s">
        <v>210</v>
      </c>
    </row>
    <row r="3709" spans="1:6" x14ac:dyDescent="0.25">
      <c r="A3709" s="227" t="str">
        <f>TL[[#This Row],[Société]]&amp;" - "&amp;TL[[#This Row],[Compte]]</f>
        <v>TIRR - 701011</v>
      </c>
      <c r="B3709" s="233" t="s">
        <v>2048</v>
      </c>
      <c r="C3709" s="227" t="s">
        <v>2366</v>
      </c>
      <c r="D3709" s="233" t="s">
        <v>143</v>
      </c>
      <c r="E3709" s="233" t="s">
        <v>5</v>
      </c>
      <c r="F3709" s="227" t="s">
        <v>210</v>
      </c>
    </row>
    <row r="3710" spans="1:6" x14ac:dyDescent="0.25">
      <c r="A3710" s="227" t="str">
        <f>TL[[#This Row],[Société]]&amp;" - "&amp;TL[[#This Row],[Compte]]</f>
        <v>TIRR - 701040</v>
      </c>
      <c r="B3710" s="233" t="s">
        <v>2813</v>
      </c>
      <c r="C3710" s="227" t="s">
        <v>6378</v>
      </c>
      <c r="D3710" s="233" t="s">
        <v>143</v>
      </c>
      <c r="E3710" s="233" t="s">
        <v>5</v>
      </c>
      <c r="F3710" s="227" t="s">
        <v>210</v>
      </c>
    </row>
    <row r="3711" spans="1:6" x14ac:dyDescent="0.25">
      <c r="A3711" s="227" t="str">
        <f>TL[[#This Row],[Société]]&amp;" - "&amp;TL[[#This Row],[Compte]]</f>
        <v>TIRR - 701100</v>
      </c>
      <c r="B3711" s="233" t="s">
        <v>2050</v>
      </c>
      <c r="C3711" s="227" t="s">
        <v>2368</v>
      </c>
      <c r="D3711" s="233" t="s">
        <v>143</v>
      </c>
      <c r="E3711" s="233" t="s">
        <v>5</v>
      </c>
      <c r="F3711" s="227" t="s">
        <v>210</v>
      </c>
    </row>
    <row r="3712" spans="1:6" x14ac:dyDescent="0.25">
      <c r="A3712" s="227" t="str">
        <f>TL[[#This Row],[Société]]&amp;" - "&amp;TL[[#This Row],[Compte]]</f>
        <v>TIRR - 701220</v>
      </c>
      <c r="B3712" s="233" t="s">
        <v>2051</v>
      </c>
      <c r="C3712" s="227" t="s">
        <v>2367</v>
      </c>
      <c r="D3712" s="233" t="s">
        <v>143</v>
      </c>
      <c r="E3712" s="233" t="s">
        <v>5</v>
      </c>
      <c r="F3712" s="227" t="s">
        <v>210</v>
      </c>
    </row>
    <row r="3713" spans="1:6" x14ac:dyDescent="0.25">
      <c r="A3713" s="227" t="str">
        <f>TL[[#This Row],[Société]]&amp;" - "&amp;TL[[#This Row],[Compte]]</f>
        <v>TIRR - 702300</v>
      </c>
      <c r="B3713" s="233" t="s">
        <v>1794</v>
      </c>
      <c r="C3713" s="227" t="s">
        <v>256</v>
      </c>
      <c r="D3713" s="233" t="s">
        <v>149</v>
      </c>
      <c r="E3713" s="233" t="s">
        <v>3004</v>
      </c>
      <c r="F3713" s="227" t="s">
        <v>210</v>
      </c>
    </row>
    <row r="3714" spans="1:6" x14ac:dyDescent="0.25">
      <c r="A3714" s="227" t="str">
        <f>TL[[#This Row],[Société]]&amp;" - "&amp;TL[[#This Row],[Compte]]</f>
        <v>TIRR - 703100</v>
      </c>
      <c r="B3714" s="233" t="s">
        <v>3339</v>
      </c>
      <c r="C3714" s="227" t="s">
        <v>3340</v>
      </c>
      <c r="D3714" s="233" t="s">
        <v>0</v>
      </c>
      <c r="E3714" s="233" t="s">
        <v>7</v>
      </c>
      <c r="F3714" s="227" t="s">
        <v>210</v>
      </c>
    </row>
    <row r="3715" spans="1:6" x14ac:dyDescent="0.25">
      <c r="A3715" s="227" t="str">
        <f>TL[[#This Row],[Société]]&amp;" - "&amp;TL[[#This Row],[Compte]]</f>
        <v>TIRR - 706005</v>
      </c>
      <c r="B3715" s="233" t="s">
        <v>2052</v>
      </c>
      <c r="C3715" s="227" t="s">
        <v>6000</v>
      </c>
      <c r="D3715" s="233" t="s">
        <v>50</v>
      </c>
      <c r="E3715" s="233" t="s">
        <v>44</v>
      </c>
      <c r="F3715" s="227" t="s">
        <v>210</v>
      </c>
    </row>
    <row r="3716" spans="1:6" x14ac:dyDescent="0.25">
      <c r="A3716" s="227" t="str">
        <f>TL[[#This Row],[Société]]&amp;" - "&amp;TL[[#This Row],[Compte]]</f>
        <v>TIRR - 708000</v>
      </c>
      <c r="B3716" s="233" t="s">
        <v>1735</v>
      </c>
      <c r="C3716" s="227" t="s">
        <v>2362</v>
      </c>
      <c r="D3716" s="233" t="s">
        <v>0</v>
      </c>
      <c r="E3716" s="233" t="s">
        <v>7</v>
      </c>
      <c r="F3716" s="227" t="s">
        <v>210</v>
      </c>
    </row>
    <row r="3717" spans="1:6" x14ac:dyDescent="0.25">
      <c r="A3717" s="227" t="str">
        <f>TL[[#This Row],[Société]]&amp;" - "&amp;TL[[#This Row],[Compte]]</f>
        <v>TIRR - 708101</v>
      </c>
      <c r="B3717" s="233" t="s">
        <v>2054</v>
      </c>
      <c r="C3717" s="227" t="s">
        <v>2392</v>
      </c>
      <c r="D3717" s="233" t="s">
        <v>15</v>
      </c>
      <c r="E3717" s="233" t="s">
        <v>13</v>
      </c>
      <c r="F3717" s="227" t="s">
        <v>210</v>
      </c>
    </row>
    <row r="3718" spans="1:6" x14ac:dyDescent="0.25">
      <c r="A3718" s="227" t="str">
        <f>TL[[#This Row],[Société]]&amp;" - "&amp;TL[[#This Row],[Compte]]</f>
        <v>TIRR - 708600</v>
      </c>
      <c r="B3718" s="233" t="s">
        <v>1736</v>
      </c>
      <c r="C3718" s="227" t="s">
        <v>1327</v>
      </c>
      <c r="D3718" s="233" t="s">
        <v>18</v>
      </c>
      <c r="E3718" s="233" t="s">
        <v>30</v>
      </c>
      <c r="F3718" s="227" t="s">
        <v>210</v>
      </c>
    </row>
    <row r="3719" spans="1:6" x14ac:dyDescent="0.25">
      <c r="A3719" s="227" t="str">
        <f>TL[[#This Row],[Société]]&amp;" - "&amp;TL[[#This Row],[Compte]]</f>
        <v>TIRR - 708810</v>
      </c>
      <c r="B3719" s="233" t="s">
        <v>2061</v>
      </c>
      <c r="C3719" s="227" t="s">
        <v>6379</v>
      </c>
      <c r="D3719" s="233" t="s">
        <v>50</v>
      </c>
      <c r="E3719" s="233" t="s">
        <v>52</v>
      </c>
      <c r="F3719" s="227" t="s">
        <v>210</v>
      </c>
    </row>
    <row r="3720" spans="1:6" x14ac:dyDescent="0.25">
      <c r="A3720" s="227" t="str">
        <f>TL[[#This Row],[Société]]&amp;" - "&amp;TL[[#This Row],[Compte]]</f>
        <v>TIRR - 708820</v>
      </c>
      <c r="B3720" s="233" t="s">
        <v>3350</v>
      </c>
      <c r="C3720" s="227" t="s">
        <v>6380</v>
      </c>
      <c r="D3720" s="233" t="s">
        <v>0</v>
      </c>
      <c r="E3720" s="233" t="s">
        <v>7</v>
      </c>
      <c r="F3720" s="227" t="s">
        <v>210</v>
      </c>
    </row>
    <row r="3721" spans="1:6" x14ac:dyDescent="0.25">
      <c r="A3721" s="227" t="str">
        <f>TL[[#This Row],[Société]]&amp;" - "&amp;TL[[#This Row],[Compte]]</f>
        <v>TIRR - 708830</v>
      </c>
      <c r="B3721" s="233" t="s">
        <v>3352</v>
      </c>
      <c r="C3721" s="227" t="s">
        <v>6381</v>
      </c>
      <c r="D3721" s="233" t="s">
        <v>50</v>
      </c>
      <c r="E3721" s="233" t="s">
        <v>12</v>
      </c>
      <c r="F3721" s="227" t="s">
        <v>210</v>
      </c>
    </row>
    <row r="3722" spans="1:6" x14ac:dyDescent="0.25">
      <c r="A3722" s="227" t="str">
        <f>TL[[#This Row],[Société]]&amp;" - "&amp;TL[[#This Row],[Compte]]</f>
        <v>TIRR - 708840</v>
      </c>
      <c r="B3722" s="233" t="s">
        <v>3354</v>
      </c>
      <c r="C3722" s="227" t="s">
        <v>6382</v>
      </c>
      <c r="D3722" s="233" t="s">
        <v>12</v>
      </c>
      <c r="E3722" s="233" t="s">
        <v>3</v>
      </c>
      <c r="F3722" s="227" t="s">
        <v>210</v>
      </c>
    </row>
    <row r="3723" spans="1:6" x14ac:dyDescent="0.25">
      <c r="A3723" s="227" t="str">
        <f>TL[[#This Row],[Société]]&amp;" - "&amp;TL[[#This Row],[Compte]]</f>
        <v>TIRR - 708850</v>
      </c>
      <c r="B3723" s="233" t="s">
        <v>2745</v>
      </c>
      <c r="C3723" s="227" t="s">
        <v>2392</v>
      </c>
      <c r="D3723" s="233" t="s">
        <v>15</v>
      </c>
      <c r="E3723" s="233" t="s">
        <v>13</v>
      </c>
      <c r="F3723" s="227" t="s">
        <v>210</v>
      </c>
    </row>
    <row r="3724" spans="1:6" x14ac:dyDescent="0.25">
      <c r="A3724" s="227" t="str">
        <f>TL[[#This Row],[Société]]&amp;" - "&amp;TL[[#This Row],[Compte]]</f>
        <v>TIRR - 708860</v>
      </c>
      <c r="B3724" s="233" t="s">
        <v>2602</v>
      </c>
      <c r="C3724" s="227" t="s">
        <v>2393</v>
      </c>
      <c r="D3724" s="233" t="s">
        <v>13</v>
      </c>
      <c r="E3724" s="233" t="s">
        <v>12</v>
      </c>
      <c r="F3724" s="227" t="s">
        <v>210</v>
      </c>
    </row>
    <row r="3725" spans="1:6" x14ac:dyDescent="0.25">
      <c r="A3725" s="227" t="str">
        <f>TL[[#This Row],[Société]]&amp;" - "&amp;TL[[#This Row],[Compte]]</f>
        <v>TIRR - 708861</v>
      </c>
      <c r="B3725" s="233" t="s">
        <v>6027</v>
      </c>
      <c r="C3725" s="227" t="s">
        <v>6383</v>
      </c>
      <c r="D3725" s="236" t="s">
        <v>13</v>
      </c>
      <c r="E3725" s="233" t="s">
        <v>12</v>
      </c>
      <c r="F3725" s="227" t="s">
        <v>210</v>
      </c>
    </row>
    <row r="3726" spans="1:6" x14ac:dyDescent="0.25">
      <c r="A3726" s="227" t="str">
        <f>TL[[#This Row],[Société]]&amp;" - "&amp;TL[[#This Row],[Compte]]</f>
        <v>TIRR - 708862</v>
      </c>
      <c r="B3726" s="233" t="s">
        <v>6029</v>
      </c>
      <c r="C3726" s="227" t="s">
        <v>6384</v>
      </c>
      <c r="D3726" s="236" t="s">
        <v>15</v>
      </c>
      <c r="E3726" s="233" t="s">
        <v>13</v>
      </c>
      <c r="F3726" s="227" t="s">
        <v>210</v>
      </c>
    </row>
    <row r="3727" spans="1:6" x14ac:dyDescent="0.25">
      <c r="A3727" s="227" t="str">
        <f>TL[[#This Row],[Société]]&amp;" - "&amp;TL[[#This Row],[Compte]]</f>
        <v>TIRR - 708870</v>
      </c>
      <c r="B3727" s="233" t="s">
        <v>2571</v>
      </c>
      <c r="C3727" s="227" t="s">
        <v>6385</v>
      </c>
      <c r="D3727" s="233" t="s">
        <v>0</v>
      </c>
      <c r="E3727" s="233" t="s">
        <v>7</v>
      </c>
      <c r="F3727" s="227" t="s">
        <v>210</v>
      </c>
    </row>
    <row r="3728" spans="1:6" x14ac:dyDescent="0.25">
      <c r="A3728" s="227" t="str">
        <f>TL[[#This Row],[Société]]&amp;" - "&amp;TL[[#This Row],[Compte]]</f>
        <v>TIRR - 708871</v>
      </c>
      <c r="B3728" s="233" t="s">
        <v>6386</v>
      </c>
      <c r="C3728" s="227" t="s">
        <v>803</v>
      </c>
      <c r="D3728" s="233" t="s">
        <v>7</v>
      </c>
      <c r="E3728" s="233" t="s">
        <v>0</v>
      </c>
      <c r="F3728" s="227" t="s">
        <v>210</v>
      </c>
    </row>
    <row r="3729" spans="1:6" x14ac:dyDescent="0.25">
      <c r="A3729" s="227" t="str">
        <f>TL[[#This Row],[Société]]&amp;" - "&amp;TL[[#This Row],[Compte]]</f>
        <v>TIRR - 708872</v>
      </c>
      <c r="B3729" s="233" t="s">
        <v>6387</v>
      </c>
      <c r="C3729" s="227" t="s">
        <v>6388</v>
      </c>
      <c r="D3729" s="233" t="s">
        <v>23</v>
      </c>
      <c r="E3729" s="233" t="s">
        <v>23</v>
      </c>
      <c r="F3729" s="227" t="s">
        <v>210</v>
      </c>
    </row>
    <row r="3730" spans="1:6" x14ac:dyDescent="0.25">
      <c r="A3730" s="227" t="str">
        <f>TL[[#This Row],[Société]]&amp;" - "&amp;TL[[#This Row],[Compte]]</f>
        <v>TIRR - 708873</v>
      </c>
      <c r="B3730" s="233" t="s">
        <v>2774</v>
      </c>
      <c r="C3730" s="227" t="s">
        <v>2394</v>
      </c>
      <c r="D3730" s="233" t="s">
        <v>150</v>
      </c>
      <c r="E3730" s="233" t="s">
        <v>147</v>
      </c>
      <c r="F3730" s="227" t="s">
        <v>210</v>
      </c>
    </row>
    <row r="3731" spans="1:6" x14ac:dyDescent="0.25">
      <c r="A3731" s="227" t="str">
        <f>TL[[#This Row],[Société]]&amp;" - "&amp;TL[[#This Row],[Compte]]</f>
        <v>TIRR - 708874</v>
      </c>
      <c r="B3731" s="233" t="s">
        <v>6389</v>
      </c>
      <c r="C3731" s="227" t="s">
        <v>6028</v>
      </c>
      <c r="D3731" s="233" t="s">
        <v>29</v>
      </c>
      <c r="E3731" s="233" t="s">
        <v>2978</v>
      </c>
      <c r="F3731" s="227" t="s">
        <v>210</v>
      </c>
    </row>
    <row r="3732" spans="1:6" x14ac:dyDescent="0.25">
      <c r="A3732" s="227" t="str">
        <f>TL[[#This Row],[Société]]&amp;" - "&amp;TL[[#This Row],[Compte]]</f>
        <v>TIRR - 708875</v>
      </c>
      <c r="B3732" s="233" t="s">
        <v>6390</v>
      </c>
      <c r="C3732" s="227" t="s">
        <v>6391</v>
      </c>
      <c r="D3732" s="233" t="s">
        <v>50</v>
      </c>
      <c r="E3732" s="233" t="s">
        <v>2979</v>
      </c>
      <c r="F3732" s="227" t="s">
        <v>210</v>
      </c>
    </row>
    <row r="3733" spans="1:6" x14ac:dyDescent="0.25">
      <c r="A3733" s="227" t="str">
        <f>TL[[#This Row],[Société]]&amp;" - "&amp;TL[[#This Row],[Compte]]</f>
        <v>TIRR - 708876</v>
      </c>
      <c r="B3733" s="233" t="s">
        <v>6392</v>
      </c>
      <c r="C3733" s="227" t="s">
        <v>6393</v>
      </c>
      <c r="D3733" s="233" t="s">
        <v>50</v>
      </c>
      <c r="E3733" s="233" t="s">
        <v>2979</v>
      </c>
      <c r="F3733" s="227" t="s">
        <v>210</v>
      </c>
    </row>
    <row r="3734" spans="1:6" x14ac:dyDescent="0.25">
      <c r="A3734" s="227" t="str">
        <f>TL[[#This Row],[Société]]&amp;" - "&amp;TL[[#This Row],[Compte]]</f>
        <v>TIRR - 708877</v>
      </c>
      <c r="B3734" s="233" t="s">
        <v>6394</v>
      </c>
      <c r="C3734" s="227" t="s">
        <v>6395</v>
      </c>
      <c r="D3734" s="233" t="s">
        <v>32</v>
      </c>
      <c r="E3734" s="233" t="s">
        <v>2982</v>
      </c>
      <c r="F3734" s="227" t="s">
        <v>210</v>
      </c>
    </row>
    <row r="3735" spans="1:6" x14ac:dyDescent="0.25">
      <c r="A3735" s="227" t="str">
        <f>TL[[#This Row],[Société]]&amp;" - "&amp;TL[[#This Row],[Compte]]</f>
        <v>TIRR - 708878</v>
      </c>
      <c r="B3735" s="233" t="s">
        <v>6396</v>
      </c>
      <c r="C3735" s="227" t="s">
        <v>6397</v>
      </c>
      <c r="D3735" s="233" t="s">
        <v>150</v>
      </c>
      <c r="E3735" s="233" t="s">
        <v>54</v>
      </c>
      <c r="F3735" s="227" t="s">
        <v>210</v>
      </c>
    </row>
    <row r="3736" spans="1:6" x14ac:dyDescent="0.25">
      <c r="A3736" s="227" t="str">
        <f>TL[[#This Row],[Société]]&amp;" - "&amp;TL[[#This Row],[Compte]]</f>
        <v>TIRR - 708879</v>
      </c>
      <c r="B3736" s="233" t="s">
        <v>6398</v>
      </c>
      <c r="C3736" s="227" t="s">
        <v>6399</v>
      </c>
      <c r="D3736" s="233" t="s">
        <v>16</v>
      </c>
      <c r="E3736" s="233" t="s">
        <v>2979</v>
      </c>
      <c r="F3736" s="227" t="s">
        <v>210</v>
      </c>
    </row>
    <row r="3737" spans="1:6" x14ac:dyDescent="0.25">
      <c r="A3737" s="227" t="str">
        <f>TL[[#This Row],[Société]]&amp;" - "&amp;TL[[#This Row],[Compte]]</f>
        <v>TIRR - 708880</v>
      </c>
      <c r="B3737" s="233" t="s">
        <v>2608</v>
      </c>
      <c r="C3737" s="227" t="s">
        <v>2395</v>
      </c>
      <c r="D3737" s="233" t="s">
        <v>50</v>
      </c>
      <c r="E3737" s="233" t="s">
        <v>30</v>
      </c>
      <c r="F3737" s="227" t="s">
        <v>210</v>
      </c>
    </row>
    <row r="3738" spans="1:6" x14ac:dyDescent="0.25">
      <c r="A3738" s="227" t="str">
        <f>TL[[#This Row],[Société]]&amp;" - "&amp;TL[[#This Row],[Compte]]</f>
        <v>TIRR - 708881</v>
      </c>
      <c r="B3738" s="233" t="s">
        <v>3358</v>
      </c>
      <c r="C3738" s="227" t="s">
        <v>3357</v>
      </c>
      <c r="D3738" s="233" t="s">
        <v>25</v>
      </c>
      <c r="E3738" s="233" t="s">
        <v>2978</v>
      </c>
      <c r="F3738" s="227" t="s">
        <v>210</v>
      </c>
    </row>
    <row r="3739" spans="1:6" x14ac:dyDescent="0.25">
      <c r="A3739" s="227" t="str">
        <f>TL[[#This Row],[Société]]&amp;" - "&amp;TL[[#This Row],[Compte]]</f>
        <v>TIRR - 708882</v>
      </c>
      <c r="B3739" s="233" t="s">
        <v>2770</v>
      </c>
      <c r="C3739" s="227" t="s">
        <v>2396</v>
      </c>
      <c r="D3739" s="233" t="s">
        <v>50</v>
      </c>
      <c r="E3739" s="233" t="s">
        <v>52</v>
      </c>
      <c r="F3739" s="227" t="s">
        <v>210</v>
      </c>
    </row>
    <row r="3740" spans="1:6" x14ac:dyDescent="0.25">
      <c r="A3740" s="227" t="str">
        <f>TL[[#This Row],[Société]]&amp;" - "&amp;TL[[#This Row],[Compte]]</f>
        <v>TIRR - 708883</v>
      </c>
      <c r="B3740" s="233" t="s">
        <v>6043</v>
      </c>
      <c r="C3740" s="227" t="s">
        <v>6400</v>
      </c>
      <c r="D3740" s="233" t="s">
        <v>25</v>
      </c>
      <c r="E3740" s="233" t="s">
        <v>23</v>
      </c>
      <c r="F3740" s="227" t="s">
        <v>210</v>
      </c>
    </row>
    <row r="3741" spans="1:6" x14ac:dyDescent="0.25">
      <c r="A3741" s="227" t="str">
        <f>TL[[#This Row],[Société]]&amp;" - "&amp;TL[[#This Row],[Compte]]</f>
        <v>TIRR - 708884</v>
      </c>
      <c r="B3741" s="233" t="s">
        <v>6045</v>
      </c>
      <c r="C3741" s="227" t="s">
        <v>6401</v>
      </c>
      <c r="D3741" s="233" t="s">
        <v>50</v>
      </c>
      <c r="E3741" s="233" t="s">
        <v>23</v>
      </c>
      <c r="F3741" s="227" t="s">
        <v>210</v>
      </c>
    </row>
    <row r="3742" spans="1:6" x14ac:dyDescent="0.25">
      <c r="A3742" s="227" t="str">
        <f>TL[[#This Row],[Société]]&amp;" - "&amp;TL[[#This Row],[Compte]]</f>
        <v>TIRR - 708885</v>
      </c>
      <c r="B3742" s="233" t="s">
        <v>6047</v>
      </c>
      <c r="C3742" s="227" t="s">
        <v>6402</v>
      </c>
      <c r="D3742" s="233" t="s">
        <v>50</v>
      </c>
      <c r="E3742" s="233" t="s">
        <v>45</v>
      </c>
      <c r="F3742" s="227" t="s">
        <v>210</v>
      </c>
    </row>
    <row r="3743" spans="1:6" x14ac:dyDescent="0.25">
      <c r="A3743" s="227" t="str">
        <f>TL[[#This Row],[Société]]&amp;" - "&amp;TL[[#This Row],[Compte]]</f>
        <v>TIRR - 708886</v>
      </c>
      <c r="B3743" s="233" t="s">
        <v>6403</v>
      </c>
      <c r="C3743" s="227" t="s">
        <v>6404</v>
      </c>
      <c r="D3743" s="233" t="s">
        <v>20</v>
      </c>
      <c r="E3743" s="233" t="s">
        <v>23</v>
      </c>
      <c r="F3743" s="227" t="s">
        <v>210</v>
      </c>
    </row>
    <row r="3744" spans="1:6" x14ac:dyDescent="0.25">
      <c r="A3744" s="227" t="str">
        <f>TL[[#This Row],[Société]]&amp;" - "&amp;TL[[#This Row],[Compte]]</f>
        <v>TIRR - 71000;</v>
      </c>
      <c r="B3744" s="233" t="s">
        <v>6405</v>
      </c>
      <c r="C3744" s="227" t="s">
        <v>6211</v>
      </c>
      <c r="F3744" s="227" t="s">
        <v>210</v>
      </c>
    </row>
    <row r="3745" spans="1:6" x14ac:dyDescent="0.25">
      <c r="A3745" s="227" t="str">
        <f>TL[[#This Row],[Société]]&amp;" - "&amp;TL[[#This Row],[Compte]]</f>
        <v>TIRR - 726100</v>
      </c>
      <c r="B3745" s="233" t="s">
        <v>1746</v>
      </c>
      <c r="C3745" s="227" t="s">
        <v>1332</v>
      </c>
      <c r="D3745" s="233" t="s">
        <v>12</v>
      </c>
      <c r="E3745" s="233" t="s">
        <v>3</v>
      </c>
      <c r="F3745" s="227" t="s">
        <v>210</v>
      </c>
    </row>
    <row r="3746" spans="1:6" x14ac:dyDescent="0.25">
      <c r="A3746" s="227" t="str">
        <f>TL[[#This Row],[Société]]&amp;" - "&amp;TL[[#This Row],[Compte]]</f>
        <v>TIRR - 726110</v>
      </c>
      <c r="B3746" s="233" t="s">
        <v>1748</v>
      </c>
      <c r="C3746" s="227" t="s">
        <v>1333</v>
      </c>
      <c r="D3746" s="233" t="s">
        <v>13</v>
      </c>
      <c r="E3746" s="233" t="s">
        <v>12</v>
      </c>
      <c r="F3746" s="227" t="s">
        <v>210</v>
      </c>
    </row>
    <row r="3747" spans="1:6" x14ac:dyDescent="0.25">
      <c r="A3747" s="227" t="str">
        <f>TL[[#This Row],[Société]]&amp;" - "&amp;TL[[#This Row],[Compte]]</f>
        <v>TIRR - 740100</v>
      </c>
      <c r="B3747" s="233" t="s">
        <v>1712</v>
      </c>
      <c r="C3747" s="227" t="s">
        <v>6406</v>
      </c>
      <c r="D3747" s="233" t="s">
        <v>50</v>
      </c>
      <c r="E3747" s="240" t="s">
        <v>71</v>
      </c>
      <c r="F3747" s="227" t="s">
        <v>210</v>
      </c>
    </row>
    <row r="3748" spans="1:6" x14ac:dyDescent="0.25">
      <c r="A3748" s="227" t="str">
        <f>TL[[#This Row],[Société]]&amp;" - "&amp;TL[[#This Row],[Compte]]</f>
        <v>TIRR - 740200</v>
      </c>
      <c r="B3748" s="233" t="s">
        <v>2065</v>
      </c>
      <c r="C3748" s="227" t="s">
        <v>6407</v>
      </c>
      <c r="D3748" s="233" t="s">
        <v>50</v>
      </c>
      <c r="E3748" s="233" t="s">
        <v>2995</v>
      </c>
      <c r="F3748" s="227" t="s">
        <v>210</v>
      </c>
    </row>
    <row r="3749" spans="1:6" x14ac:dyDescent="0.25">
      <c r="A3749" s="227" t="str">
        <f>TL[[#This Row],[Société]]&amp;" - "&amp;TL[[#This Row],[Compte]]</f>
        <v>TIRR - 740300</v>
      </c>
      <c r="B3749" s="233" t="s">
        <v>2066</v>
      </c>
      <c r="C3749" s="227" t="s">
        <v>6408</v>
      </c>
      <c r="D3749" s="233" t="s">
        <v>50</v>
      </c>
      <c r="E3749" s="233" t="s">
        <v>2995</v>
      </c>
      <c r="F3749" s="227" t="s">
        <v>210</v>
      </c>
    </row>
    <row r="3750" spans="1:6" x14ac:dyDescent="0.25">
      <c r="A3750" s="227" t="str">
        <f>TL[[#This Row],[Société]]&amp;" - "&amp;TL[[#This Row],[Compte]]</f>
        <v>TIRR - 758000</v>
      </c>
      <c r="B3750" s="233" t="s">
        <v>1744</v>
      </c>
      <c r="C3750" s="227" t="s">
        <v>163</v>
      </c>
      <c r="D3750" s="233" t="s">
        <v>50</v>
      </c>
      <c r="E3750" s="233" t="s">
        <v>2982</v>
      </c>
      <c r="F3750" s="227" t="s">
        <v>210</v>
      </c>
    </row>
    <row r="3751" spans="1:6" x14ac:dyDescent="0.25">
      <c r="A3751" s="227" t="str">
        <f>TL[[#This Row],[Société]]&amp;" - "&amp;TL[[#This Row],[Compte]]</f>
        <v>TIRR - 763800</v>
      </c>
      <c r="B3751" s="233" t="s">
        <v>1763</v>
      </c>
      <c r="C3751" s="227" t="s">
        <v>6409</v>
      </c>
      <c r="D3751" s="233" t="s">
        <v>48</v>
      </c>
      <c r="E3751" s="233" t="s">
        <v>286</v>
      </c>
      <c r="F3751" s="227" t="s">
        <v>210</v>
      </c>
    </row>
    <row r="3752" spans="1:6" x14ac:dyDescent="0.25">
      <c r="A3752" s="227" t="str">
        <f>TL[[#This Row],[Société]]&amp;" - "&amp;TL[[#This Row],[Compte]]</f>
        <v>TIRR - 767000</v>
      </c>
      <c r="B3752" s="233" t="s">
        <v>2070</v>
      </c>
      <c r="C3752" s="227" t="s">
        <v>6410</v>
      </c>
      <c r="F3752" s="227" t="s">
        <v>210</v>
      </c>
    </row>
    <row r="3753" spans="1:6" x14ac:dyDescent="0.25">
      <c r="A3753" s="227" t="str">
        <f>TL[[#This Row],[Société]]&amp;" - "&amp;TL[[#This Row],[Compte]]</f>
        <v>TIRR - 771100</v>
      </c>
      <c r="B3753" s="233" t="s">
        <v>1798</v>
      </c>
      <c r="C3753" s="227" t="s">
        <v>31</v>
      </c>
      <c r="D3753" s="233" t="s">
        <v>30</v>
      </c>
      <c r="E3753" s="233" t="s">
        <v>2982</v>
      </c>
      <c r="F3753" s="227" t="s">
        <v>210</v>
      </c>
    </row>
    <row r="3754" spans="1:6" x14ac:dyDescent="0.25">
      <c r="A3754" s="227" t="str">
        <f>TL[[#This Row],[Société]]&amp;" - "&amp;TL[[#This Row],[Compte]]</f>
        <v>TIRR - 771200</v>
      </c>
      <c r="B3754" s="233" t="s">
        <v>6057</v>
      </c>
      <c r="C3754" s="227" t="s">
        <v>6411</v>
      </c>
      <c r="D3754" s="233" t="s">
        <v>50</v>
      </c>
      <c r="E3754" s="233" t="s">
        <v>2995</v>
      </c>
      <c r="F3754" s="227" t="s">
        <v>210</v>
      </c>
    </row>
    <row r="3755" spans="1:6" x14ac:dyDescent="0.25">
      <c r="A3755" s="227" t="str">
        <f>TL[[#This Row],[Société]]&amp;" - "&amp;TL[[#This Row],[Compte]]</f>
        <v>TIRR - 775000</v>
      </c>
      <c r="B3755" s="233" t="s">
        <v>5557</v>
      </c>
      <c r="C3755" s="227" t="s">
        <v>6412</v>
      </c>
      <c r="F3755" s="227" t="s">
        <v>210</v>
      </c>
    </row>
    <row r="3756" spans="1:6" x14ac:dyDescent="0.25">
      <c r="A3756" s="227" t="str">
        <f>TL[[#This Row],[Société]]&amp;" - "&amp;TL[[#This Row],[Compte]]</f>
        <v>TIRR - 781110</v>
      </c>
      <c r="B3756" s="233" t="s">
        <v>2076</v>
      </c>
      <c r="C3756" s="227" t="s">
        <v>628</v>
      </c>
      <c r="F3756" s="227" t="s">
        <v>210</v>
      </c>
    </row>
    <row r="3757" spans="1:6" x14ac:dyDescent="0.25">
      <c r="A3757" s="227" t="str">
        <f>TL[[#This Row],[Société]]&amp;" - "&amp;TL[[#This Row],[Compte]]</f>
        <v>TIRR - 781120</v>
      </c>
      <c r="B3757" s="233" t="s">
        <v>2077</v>
      </c>
      <c r="C3757" s="227" t="s">
        <v>264</v>
      </c>
      <c r="D3757" s="233" t="s">
        <v>45</v>
      </c>
      <c r="E3757" s="233" t="s">
        <v>48</v>
      </c>
      <c r="F3757" s="227" t="s">
        <v>210</v>
      </c>
    </row>
    <row r="3758" spans="1:6" x14ac:dyDescent="0.25">
      <c r="A3758" s="227" t="str">
        <f>TL[[#This Row],[Société]]&amp;" - "&amp;TL[[#This Row],[Compte]]</f>
        <v>TIRR - 781500</v>
      </c>
      <c r="B3758" s="233" t="s">
        <v>2078</v>
      </c>
      <c r="C3758" s="227" t="s">
        <v>176</v>
      </c>
      <c r="D3758" s="233" t="s">
        <v>45</v>
      </c>
      <c r="E3758" s="233" t="s">
        <v>48</v>
      </c>
      <c r="F3758" s="227" t="s">
        <v>210</v>
      </c>
    </row>
    <row r="3759" spans="1:6" x14ac:dyDescent="0.25">
      <c r="A3759" s="227" t="str">
        <f>TL[[#This Row],[Société]]&amp;" - "&amp;TL[[#This Row],[Compte]]</f>
        <v>TIRR - 787250</v>
      </c>
      <c r="B3759" s="233" t="s">
        <v>2082</v>
      </c>
      <c r="C3759" s="227" t="s">
        <v>629</v>
      </c>
      <c r="F3759" s="227" t="s">
        <v>210</v>
      </c>
    </row>
    <row r="3760" spans="1:6" x14ac:dyDescent="0.25">
      <c r="A3760" s="227" t="str">
        <f>TL[[#This Row],[Société]]&amp;" - "&amp;TL[[#This Row],[Compte]]</f>
        <v>TIRR - 791000</v>
      </c>
      <c r="B3760" s="233" t="s">
        <v>2083</v>
      </c>
      <c r="C3760" s="227" t="s">
        <v>5602</v>
      </c>
      <c r="D3760" s="233" t="s">
        <v>50</v>
      </c>
      <c r="E3760" s="233" t="s">
        <v>52</v>
      </c>
      <c r="F3760" s="227" t="s">
        <v>210</v>
      </c>
    </row>
    <row r="3761" spans="1:6" x14ac:dyDescent="0.25">
      <c r="A3761" s="227" t="str">
        <f>TL[[#This Row],[Société]]&amp;" - "&amp;TL[[#This Row],[Compte]]</f>
        <v>TIRR - 791004</v>
      </c>
      <c r="B3761" s="233" t="s">
        <v>6413</v>
      </c>
      <c r="C3761" s="227" t="s">
        <v>6414</v>
      </c>
      <c r="D3761" s="233" t="s">
        <v>13</v>
      </c>
      <c r="E3761" s="233" t="s">
        <v>12</v>
      </c>
      <c r="F3761" s="227" t="s">
        <v>210</v>
      </c>
    </row>
    <row r="3762" spans="1:6" x14ac:dyDescent="0.25">
      <c r="A3762" s="227" t="str">
        <f>TL[[#This Row],[Société]]&amp;" - "&amp;TL[[#This Row],[Compte]]</f>
        <v>TIRR - 791100</v>
      </c>
      <c r="B3762" s="233" t="s">
        <v>2084</v>
      </c>
      <c r="C3762" s="227" t="s">
        <v>2287</v>
      </c>
      <c r="D3762" s="233" t="s">
        <v>13</v>
      </c>
      <c r="E3762" s="233" t="s">
        <v>12</v>
      </c>
      <c r="F3762" s="227" t="s">
        <v>210</v>
      </c>
    </row>
    <row r="3763" spans="1:6" x14ac:dyDescent="0.25">
      <c r="A3763" s="227" t="str">
        <f>TL[[#This Row],[Société]]&amp;" - "&amp;TL[[#This Row],[Compte]]</f>
        <v>TIRR - 791104</v>
      </c>
      <c r="B3763" s="233" t="s">
        <v>2086</v>
      </c>
      <c r="C3763" s="227" t="s">
        <v>6349</v>
      </c>
      <c r="D3763" s="233" t="s">
        <v>13</v>
      </c>
      <c r="E3763" s="233" t="s">
        <v>12</v>
      </c>
      <c r="F3763" s="227" t="s">
        <v>210</v>
      </c>
    </row>
    <row r="3764" spans="1:6" x14ac:dyDescent="0.25">
      <c r="A3764" s="227" t="str">
        <f>TL[[#This Row],[Société]]&amp;" - "&amp;TL[[#This Row],[Compte]]</f>
        <v>TIRR - 791110</v>
      </c>
      <c r="B3764" s="233" t="s">
        <v>2087</v>
      </c>
      <c r="C3764" s="227" t="s">
        <v>2285</v>
      </c>
      <c r="D3764" s="233" t="s">
        <v>12</v>
      </c>
      <c r="E3764" s="233" t="s">
        <v>3</v>
      </c>
      <c r="F3764" s="227" t="s">
        <v>210</v>
      </c>
    </row>
    <row r="3765" spans="1:6" x14ac:dyDescent="0.25">
      <c r="A3765" s="227" t="str">
        <f>TL[[#This Row],[Société]]&amp;" - "&amp;TL[[#This Row],[Compte]]</f>
        <v>TIRR - 890000</v>
      </c>
      <c r="B3765" s="233" t="s">
        <v>2092</v>
      </c>
      <c r="C3765" s="227" t="s">
        <v>631</v>
      </c>
      <c r="F3765" s="227" t="s">
        <v>210</v>
      </c>
    </row>
    <row r="3766" spans="1:6" x14ac:dyDescent="0.25">
      <c r="A3766" s="227" t="str">
        <f>TL[[#This Row],[Société]]&amp;" - "&amp;TL[[#This Row],[Compte]]</f>
        <v>LYSE - 101000</v>
      </c>
      <c r="B3766" s="233" t="s">
        <v>1802</v>
      </c>
      <c r="C3766" s="227" t="s">
        <v>639</v>
      </c>
      <c r="F3766" s="227" t="s">
        <v>294</v>
      </c>
    </row>
    <row r="3767" spans="1:6" x14ac:dyDescent="0.25">
      <c r="A3767" s="227" t="str">
        <f>TL[[#This Row],[Société]]&amp;" - "&amp;TL[[#This Row],[Compte]]</f>
        <v>LYSE - 101100</v>
      </c>
      <c r="B3767" s="233" t="s">
        <v>1803</v>
      </c>
      <c r="C3767" s="227" t="s">
        <v>640</v>
      </c>
      <c r="F3767" s="227" t="s">
        <v>294</v>
      </c>
    </row>
    <row r="3768" spans="1:6" x14ac:dyDescent="0.25">
      <c r="A3768" s="227" t="str">
        <f>TL[[#This Row],[Société]]&amp;" - "&amp;TL[[#This Row],[Compte]]</f>
        <v>LYSE - 101300</v>
      </c>
      <c r="B3768" s="233" t="s">
        <v>1638</v>
      </c>
      <c r="C3768" s="227" t="s">
        <v>540</v>
      </c>
      <c r="F3768" s="227" t="s">
        <v>294</v>
      </c>
    </row>
    <row r="3769" spans="1:6" x14ac:dyDescent="0.25">
      <c r="A3769" s="227" t="str">
        <f>TL[[#This Row],[Société]]&amp;" - "&amp;TL[[#This Row],[Compte]]</f>
        <v>LYSE - 101800</v>
      </c>
      <c r="B3769" s="233" t="s">
        <v>1639</v>
      </c>
      <c r="C3769" s="227" t="s">
        <v>641</v>
      </c>
      <c r="F3769" s="227" t="s">
        <v>294</v>
      </c>
    </row>
    <row r="3770" spans="1:6" x14ac:dyDescent="0.25">
      <c r="A3770" s="227" t="str">
        <f>TL[[#This Row],[Société]]&amp;" - "&amp;TL[[#This Row],[Compte]]</f>
        <v>LYSE - 106100</v>
      </c>
      <c r="B3770" s="233" t="s">
        <v>1640</v>
      </c>
      <c r="C3770" s="227" t="s">
        <v>642</v>
      </c>
      <c r="F3770" s="227" t="s">
        <v>294</v>
      </c>
    </row>
    <row r="3771" spans="1:6" x14ac:dyDescent="0.25">
      <c r="A3771" s="227" t="str">
        <f>TL[[#This Row],[Société]]&amp;" - "&amp;TL[[#This Row],[Compte]]</f>
        <v>LYSE - 106200</v>
      </c>
      <c r="B3771" s="233" t="s">
        <v>1804</v>
      </c>
      <c r="C3771" s="227" t="s">
        <v>643</v>
      </c>
      <c r="F3771" s="227" t="s">
        <v>294</v>
      </c>
    </row>
    <row r="3772" spans="1:6" x14ac:dyDescent="0.25">
      <c r="A3772" s="227" t="str">
        <f>TL[[#This Row],[Société]]&amp;" - "&amp;TL[[#This Row],[Compte]]</f>
        <v>LYSE - 106800</v>
      </c>
      <c r="B3772" s="233" t="s">
        <v>1641</v>
      </c>
      <c r="C3772" s="227" t="s">
        <v>644</v>
      </c>
      <c r="F3772" s="227" t="s">
        <v>294</v>
      </c>
    </row>
    <row r="3773" spans="1:6" x14ac:dyDescent="0.25">
      <c r="A3773" s="227" t="str">
        <f>TL[[#This Row],[Société]]&amp;" - "&amp;TL[[#This Row],[Compte]]</f>
        <v>LYSE - 106810</v>
      </c>
      <c r="B3773" s="233" t="s">
        <v>1642</v>
      </c>
      <c r="C3773" s="227" t="s">
        <v>645</v>
      </c>
      <c r="F3773" s="227" t="s">
        <v>294</v>
      </c>
    </row>
    <row r="3774" spans="1:6" x14ac:dyDescent="0.25">
      <c r="A3774" s="227" t="str">
        <f>TL[[#This Row],[Société]]&amp;" - "&amp;TL[[#This Row],[Compte]]</f>
        <v>LYSE - 120000</v>
      </c>
      <c r="B3774" s="233" t="s">
        <v>1643</v>
      </c>
      <c r="C3774" s="227" t="s">
        <v>542</v>
      </c>
      <c r="F3774" s="227" t="s">
        <v>294</v>
      </c>
    </row>
    <row r="3775" spans="1:6" x14ac:dyDescent="0.25">
      <c r="A3775" s="227" t="str">
        <f>TL[[#This Row],[Société]]&amp;" - "&amp;TL[[#This Row],[Compte]]</f>
        <v>LYSE - 129000</v>
      </c>
      <c r="B3775" s="233" t="s">
        <v>1637</v>
      </c>
      <c r="C3775" s="227" t="s">
        <v>543</v>
      </c>
      <c r="F3775" s="227" t="s">
        <v>294</v>
      </c>
    </row>
    <row r="3776" spans="1:6" x14ac:dyDescent="0.25">
      <c r="A3776" s="227" t="str">
        <f>TL[[#This Row],[Société]]&amp;" - "&amp;TL[[#This Row],[Compte]]</f>
        <v>LYSE - 145000</v>
      </c>
      <c r="B3776" s="233" t="s">
        <v>1805</v>
      </c>
      <c r="C3776" s="227" t="s">
        <v>544</v>
      </c>
      <c r="F3776" s="227" t="s">
        <v>294</v>
      </c>
    </row>
    <row r="3777" spans="1:6" x14ac:dyDescent="0.25">
      <c r="A3777" s="227" t="str">
        <f>TL[[#This Row],[Société]]&amp;" - "&amp;TL[[#This Row],[Compte]]</f>
        <v>LYSE - 151800</v>
      </c>
      <c r="B3777" s="233" t="s">
        <v>1806</v>
      </c>
      <c r="C3777" s="227" t="s">
        <v>646</v>
      </c>
      <c r="F3777" s="227" t="s">
        <v>294</v>
      </c>
    </row>
    <row r="3778" spans="1:6" x14ac:dyDescent="0.25">
      <c r="A3778" s="227" t="str">
        <f>TL[[#This Row],[Société]]&amp;" - "&amp;TL[[#This Row],[Compte]]</f>
        <v>LYSE - 153000</v>
      </c>
      <c r="B3778" s="233" t="s">
        <v>1644</v>
      </c>
      <c r="C3778" s="227" t="s">
        <v>546</v>
      </c>
      <c r="F3778" s="227" t="s">
        <v>294</v>
      </c>
    </row>
    <row r="3779" spans="1:6" x14ac:dyDescent="0.25">
      <c r="A3779" s="227" t="str">
        <f>TL[[#This Row],[Société]]&amp;" - "&amp;TL[[#This Row],[Compte]]</f>
        <v>LYSE - 158000</v>
      </c>
      <c r="B3779" s="233" t="s">
        <v>1645</v>
      </c>
      <c r="C3779" s="227" t="s">
        <v>547</v>
      </c>
      <c r="F3779" s="227" t="s">
        <v>294</v>
      </c>
    </row>
    <row r="3780" spans="1:6" x14ac:dyDescent="0.25">
      <c r="A3780" s="227" t="str">
        <f>TL[[#This Row],[Société]]&amp;" - "&amp;TL[[#This Row],[Compte]]</f>
        <v>LYSE - 164100</v>
      </c>
      <c r="B3780" s="233" t="s">
        <v>1807</v>
      </c>
      <c r="C3780" s="227" t="s">
        <v>647</v>
      </c>
      <c r="F3780" s="227" t="s">
        <v>294</v>
      </c>
    </row>
    <row r="3781" spans="1:6" x14ac:dyDescent="0.25">
      <c r="A3781" s="227" t="str">
        <f>TL[[#This Row],[Société]]&amp;" - "&amp;TL[[#This Row],[Compte]]</f>
        <v>LYSE - 164200</v>
      </c>
      <c r="B3781" s="233" t="s">
        <v>1808</v>
      </c>
      <c r="C3781" s="227" t="s">
        <v>648</v>
      </c>
      <c r="F3781" s="227" t="s">
        <v>294</v>
      </c>
    </row>
    <row r="3782" spans="1:6" x14ac:dyDescent="0.25">
      <c r="A3782" s="227" t="str">
        <f>TL[[#This Row],[Société]]&amp;" - "&amp;TL[[#This Row],[Compte]]</f>
        <v>LYSE - 164300</v>
      </c>
      <c r="B3782" s="233" t="s">
        <v>1646</v>
      </c>
      <c r="C3782" s="227" t="s">
        <v>649</v>
      </c>
      <c r="F3782" s="227" t="s">
        <v>294</v>
      </c>
    </row>
    <row r="3783" spans="1:6" x14ac:dyDescent="0.25">
      <c r="A3783" s="227" t="str">
        <f>TL[[#This Row],[Société]]&amp;" - "&amp;TL[[#This Row],[Compte]]</f>
        <v>LYSE - 164400</v>
      </c>
      <c r="B3783" s="233" t="s">
        <v>1647</v>
      </c>
      <c r="C3783" s="227" t="s">
        <v>1334</v>
      </c>
      <c r="F3783" s="227" t="s">
        <v>294</v>
      </c>
    </row>
    <row r="3784" spans="1:6" x14ac:dyDescent="0.25">
      <c r="A3784" s="227" t="str">
        <f>TL[[#This Row],[Société]]&amp;" - "&amp;TL[[#This Row],[Compte]]</f>
        <v>LYSE - 164500</v>
      </c>
      <c r="B3784" s="233" t="s">
        <v>1648</v>
      </c>
      <c r="C3784" s="227" t="s">
        <v>1429</v>
      </c>
      <c r="F3784" s="227" t="s">
        <v>294</v>
      </c>
    </row>
    <row r="3785" spans="1:6" x14ac:dyDescent="0.25">
      <c r="A3785" s="227" t="str">
        <f>TL[[#This Row],[Société]]&amp;" - "&amp;TL[[#This Row],[Compte]]</f>
        <v>LYSE - 164600</v>
      </c>
      <c r="B3785" s="233" t="s">
        <v>1649</v>
      </c>
      <c r="C3785" s="227" t="s">
        <v>1430</v>
      </c>
      <c r="F3785" s="227" t="s">
        <v>294</v>
      </c>
    </row>
    <row r="3786" spans="1:6" x14ac:dyDescent="0.25">
      <c r="A3786" s="227" t="str">
        <f>TL[[#This Row],[Société]]&amp;" - "&amp;TL[[#This Row],[Compte]]</f>
        <v>LYSE - 164700</v>
      </c>
      <c r="B3786" s="233" t="s">
        <v>2162</v>
      </c>
      <c r="C3786" s="227" t="s">
        <v>6415</v>
      </c>
      <c r="F3786" s="227" t="s">
        <v>294</v>
      </c>
    </row>
    <row r="3787" spans="1:6" x14ac:dyDescent="0.25">
      <c r="A3787" s="227" t="str">
        <f>TL[[#This Row],[Société]]&amp;" - "&amp;TL[[#This Row],[Compte]]</f>
        <v>LYSE - 168800</v>
      </c>
      <c r="B3787" s="233" t="s">
        <v>1650</v>
      </c>
      <c r="C3787" s="227" t="s">
        <v>548</v>
      </c>
      <c r="F3787" s="227" t="s">
        <v>294</v>
      </c>
    </row>
    <row r="3788" spans="1:6" x14ac:dyDescent="0.25">
      <c r="A3788" s="227" t="str">
        <f>TL[[#This Row],[Société]]&amp;" - "&amp;TL[[#This Row],[Compte]]</f>
        <v>LYSE - 201100</v>
      </c>
      <c r="B3788" s="233" t="s">
        <v>1809</v>
      </c>
      <c r="C3788" s="227" t="s">
        <v>831</v>
      </c>
      <c r="F3788" s="227" t="s">
        <v>294</v>
      </c>
    </row>
    <row r="3789" spans="1:6" x14ac:dyDescent="0.25">
      <c r="A3789" s="227" t="str">
        <f>TL[[#This Row],[Société]]&amp;" - "&amp;TL[[#This Row],[Compte]]</f>
        <v>LYSE - 205000</v>
      </c>
      <c r="B3789" s="233" t="s">
        <v>1651</v>
      </c>
      <c r="C3789" s="227" t="s">
        <v>650</v>
      </c>
      <c r="F3789" s="227" t="s">
        <v>294</v>
      </c>
    </row>
    <row r="3790" spans="1:6" x14ac:dyDescent="0.25">
      <c r="A3790" s="227" t="str">
        <f>TL[[#This Row],[Société]]&amp;" - "&amp;TL[[#This Row],[Compte]]</f>
        <v>LYSE - 214500</v>
      </c>
      <c r="B3790" s="233" t="s">
        <v>1810</v>
      </c>
      <c r="C3790" s="227" t="s">
        <v>549</v>
      </c>
      <c r="F3790" s="227" t="s">
        <v>294</v>
      </c>
    </row>
    <row r="3791" spans="1:6" x14ac:dyDescent="0.25">
      <c r="A3791" s="227" t="str">
        <f>TL[[#This Row],[Société]]&amp;" - "&amp;TL[[#This Row],[Compte]]</f>
        <v>LYSE - 215000</v>
      </c>
      <c r="B3791" s="233" t="s">
        <v>1811</v>
      </c>
      <c r="C3791" s="227" t="s">
        <v>651</v>
      </c>
      <c r="F3791" s="227" t="s">
        <v>294</v>
      </c>
    </row>
    <row r="3792" spans="1:6" x14ac:dyDescent="0.25">
      <c r="A3792" s="227" t="str">
        <f>TL[[#This Row],[Société]]&amp;" - "&amp;TL[[#This Row],[Compte]]</f>
        <v>LYSE - 215400</v>
      </c>
      <c r="B3792" s="233" t="s">
        <v>1652</v>
      </c>
      <c r="C3792" s="227" t="s">
        <v>550</v>
      </c>
      <c r="F3792" s="227" t="s">
        <v>294</v>
      </c>
    </row>
    <row r="3793" spans="1:6" x14ac:dyDescent="0.25">
      <c r="A3793" s="227" t="str">
        <f>TL[[#This Row],[Société]]&amp;" - "&amp;TL[[#This Row],[Compte]]</f>
        <v>LYSE - 215500</v>
      </c>
      <c r="B3793" s="233" t="s">
        <v>1653</v>
      </c>
      <c r="C3793" s="227" t="s">
        <v>551</v>
      </c>
      <c r="F3793" s="227" t="s">
        <v>294</v>
      </c>
    </row>
    <row r="3794" spans="1:6" x14ac:dyDescent="0.25">
      <c r="A3794" s="227" t="str">
        <f>TL[[#This Row],[Société]]&amp;" - "&amp;TL[[#This Row],[Compte]]</f>
        <v>LYSE - 218100</v>
      </c>
      <c r="B3794" s="233" t="s">
        <v>1654</v>
      </c>
      <c r="C3794" s="227" t="s">
        <v>552</v>
      </c>
      <c r="F3794" s="227" t="s">
        <v>294</v>
      </c>
    </row>
    <row r="3795" spans="1:6" x14ac:dyDescent="0.25">
      <c r="A3795" s="227" t="str">
        <f>TL[[#This Row],[Société]]&amp;" - "&amp;TL[[#This Row],[Compte]]</f>
        <v>LYSE - 218200</v>
      </c>
      <c r="B3795" s="233" t="s">
        <v>1812</v>
      </c>
      <c r="C3795" s="227" t="s">
        <v>553</v>
      </c>
      <c r="F3795" s="227" t="s">
        <v>294</v>
      </c>
    </row>
    <row r="3796" spans="1:6" x14ac:dyDescent="0.25">
      <c r="A3796" s="227" t="str">
        <f>TL[[#This Row],[Société]]&amp;" - "&amp;TL[[#This Row],[Compte]]</f>
        <v>LYSE - 218300</v>
      </c>
      <c r="B3796" s="233" t="s">
        <v>1655</v>
      </c>
      <c r="C3796" s="227" t="s">
        <v>554</v>
      </c>
      <c r="F3796" s="227" t="s">
        <v>294</v>
      </c>
    </row>
    <row r="3797" spans="1:6" x14ac:dyDescent="0.25">
      <c r="A3797" s="227" t="str">
        <f>TL[[#This Row],[Société]]&amp;" - "&amp;TL[[#This Row],[Compte]]</f>
        <v>LYSE - 218400</v>
      </c>
      <c r="B3797" s="233" t="s">
        <v>1656</v>
      </c>
      <c r="C3797" s="227" t="s">
        <v>555</v>
      </c>
      <c r="F3797" s="227" t="s">
        <v>294</v>
      </c>
    </row>
    <row r="3798" spans="1:6" x14ac:dyDescent="0.25">
      <c r="A3798" s="227" t="str">
        <f>TL[[#This Row],[Société]]&amp;" - "&amp;TL[[#This Row],[Compte]]</f>
        <v>LYSE - 231000</v>
      </c>
      <c r="B3798" s="233" t="s">
        <v>1813</v>
      </c>
      <c r="C3798" s="227" t="s">
        <v>652</v>
      </c>
      <c r="F3798" s="227" t="s">
        <v>294</v>
      </c>
    </row>
    <row r="3799" spans="1:6" x14ac:dyDescent="0.25">
      <c r="A3799" s="227" t="str">
        <f>TL[[#This Row],[Société]]&amp;" - "&amp;TL[[#This Row],[Compte]]</f>
        <v>LYSE - 238500</v>
      </c>
      <c r="B3799" s="233" t="s">
        <v>1814</v>
      </c>
      <c r="C3799" s="227" t="s">
        <v>653</v>
      </c>
      <c r="F3799" s="227" t="s">
        <v>294</v>
      </c>
    </row>
    <row r="3800" spans="1:6" x14ac:dyDescent="0.25">
      <c r="A3800" s="227" t="str">
        <f>TL[[#This Row],[Société]]&amp;" - "&amp;TL[[#This Row],[Compte]]</f>
        <v>LYSE - 275000</v>
      </c>
      <c r="B3800" s="233" t="s">
        <v>1815</v>
      </c>
      <c r="C3800" s="227" t="s">
        <v>556</v>
      </c>
      <c r="F3800" s="227" t="s">
        <v>294</v>
      </c>
    </row>
    <row r="3801" spans="1:6" x14ac:dyDescent="0.25">
      <c r="A3801" s="227" t="str">
        <f>TL[[#This Row],[Société]]&amp;" - "&amp;TL[[#This Row],[Compte]]</f>
        <v>LYSE - 275100</v>
      </c>
      <c r="B3801" s="233" t="s">
        <v>1816</v>
      </c>
      <c r="C3801" s="227" t="s">
        <v>557</v>
      </c>
      <c r="F3801" s="227" t="s">
        <v>294</v>
      </c>
    </row>
    <row r="3802" spans="1:6" x14ac:dyDescent="0.25">
      <c r="A3802" s="227" t="str">
        <f>TL[[#This Row],[Société]]&amp;" - "&amp;TL[[#This Row],[Compte]]</f>
        <v>LYSE - 280110</v>
      </c>
      <c r="B3802" s="233" t="s">
        <v>1817</v>
      </c>
      <c r="C3802" s="227" t="s">
        <v>654</v>
      </c>
      <c r="F3802" s="227" t="s">
        <v>294</v>
      </c>
    </row>
    <row r="3803" spans="1:6" x14ac:dyDescent="0.25">
      <c r="A3803" s="227" t="str">
        <f>TL[[#This Row],[Société]]&amp;" - "&amp;TL[[#This Row],[Compte]]</f>
        <v>LYSE - 280500</v>
      </c>
      <c r="B3803" s="233" t="s">
        <v>1657</v>
      </c>
      <c r="C3803" s="227" t="s">
        <v>655</v>
      </c>
      <c r="F3803" s="227" t="s">
        <v>294</v>
      </c>
    </row>
    <row r="3804" spans="1:6" x14ac:dyDescent="0.25">
      <c r="A3804" s="227" t="str">
        <f>TL[[#This Row],[Société]]&amp;" - "&amp;TL[[#This Row],[Compte]]</f>
        <v>LYSE - 281450</v>
      </c>
      <c r="B3804" s="233" t="s">
        <v>1818</v>
      </c>
      <c r="C3804" s="227" t="s">
        <v>558</v>
      </c>
      <c r="F3804" s="227" t="s">
        <v>294</v>
      </c>
    </row>
    <row r="3805" spans="1:6" x14ac:dyDescent="0.25">
      <c r="A3805" s="227" t="str">
        <f>TL[[#This Row],[Société]]&amp;" - "&amp;TL[[#This Row],[Compte]]</f>
        <v>LYSE - 281500</v>
      </c>
      <c r="B3805" s="233" t="s">
        <v>1819</v>
      </c>
      <c r="C3805" s="227" t="s">
        <v>656</v>
      </c>
      <c r="F3805" s="227" t="s">
        <v>294</v>
      </c>
    </row>
    <row r="3806" spans="1:6" x14ac:dyDescent="0.25">
      <c r="A3806" s="227" t="str">
        <f>TL[[#This Row],[Société]]&amp;" - "&amp;TL[[#This Row],[Compte]]</f>
        <v>LYSE - 281540</v>
      </c>
      <c r="B3806" s="233" t="s">
        <v>1658</v>
      </c>
      <c r="C3806" s="227" t="s">
        <v>657</v>
      </c>
      <c r="F3806" s="227" t="s">
        <v>294</v>
      </c>
    </row>
    <row r="3807" spans="1:6" x14ac:dyDescent="0.25">
      <c r="A3807" s="227" t="str">
        <f>TL[[#This Row],[Société]]&amp;" - "&amp;TL[[#This Row],[Compte]]</f>
        <v>LYSE - 281550</v>
      </c>
      <c r="B3807" s="233" t="s">
        <v>1659</v>
      </c>
      <c r="C3807" s="227" t="s">
        <v>658</v>
      </c>
      <c r="F3807" s="227" t="s">
        <v>294</v>
      </c>
    </row>
    <row r="3808" spans="1:6" x14ac:dyDescent="0.25">
      <c r="A3808" s="227" t="str">
        <f>TL[[#This Row],[Société]]&amp;" - "&amp;TL[[#This Row],[Compte]]</f>
        <v>LYSE - 281810</v>
      </c>
      <c r="B3808" s="233" t="s">
        <v>1660</v>
      </c>
      <c r="C3808" s="227" t="s">
        <v>560</v>
      </c>
      <c r="F3808" s="227" t="s">
        <v>294</v>
      </c>
    </row>
    <row r="3809" spans="1:6" x14ac:dyDescent="0.25">
      <c r="A3809" s="227" t="str">
        <f>TL[[#This Row],[Société]]&amp;" - "&amp;TL[[#This Row],[Compte]]</f>
        <v>LYSE - 281830</v>
      </c>
      <c r="B3809" s="233" t="s">
        <v>1661</v>
      </c>
      <c r="C3809" s="227" t="s">
        <v>561</v>
      </c>
      <c r="F3809" s="227" t="s">
        <v>294</v>
      </c>
    </row>
    <row r="3810" spans="1:6" x14ac:dyDescent="0.25">
      <c r="A3810" s="227" t="str">
        <f>TL[[#This Row],[Société]]&amp;" - "&amp;TL[[#This Row],[Compte]]</f>
        <v>LYSE - 281840</v>
      </c>
      <c r="B3810" s="233" t="s">
        <v>1662</v>
      </c>
      <c r="C3810" s="227" t="s">
        <v>659</v>
      </c>
      <c r="F3810" s="227" t="s">
        <v>294</v>
      </c>
    </row>
    <row r="3811" spans="1:6" x14ac:dyDescent="0.25">
      <c r="A3811" s="227" t="str">
        <f>TL[[#This Row],[Société]]&amp;" - "&amp;TL[[#This Row],[Compte]]</f>
        <v>LYSE - 297500</v>
      </c>
      <c r="B3811" s="233" t="s">
        <v>1820</v>
      </c>
      <c r="C3811" s="227" t="s">
        <v>660</v>
      </c>
      <c r="F3811" s="227" t="s">
        <v>294</v>
      </c>
    </row>
    <row r="3812" spans="1:6" x14ac:dyDescent="0.25">
      <c r="A3812" s="227" t="str">
        <f>TL[[#This Row],[Société]]&amp;" - "&amp;TL[[#This Row],[Compte]]</f>
        <v>LYSE - 310000</v>
      </c>
      <c r="B3812" s="233" t="s">
        <v>1663</v>
      </c>
      <c r="C3812" s="227" t="s">
        <v>661</v>
      </c>
      <c r="F3812" s="227" t="s">
        <v>294</v>
      </c>
    </row>
    <row r="3813" spans="1:6" x14ac:dyDescent="0.25">
      <c r="A3813" s="227" t="str">
        <f>TL[[#This Row],[Société]]&amp;" - "&amp;TL[[#This Row],[Compte]]</f>
        <v>LYSE - 320000</v>
      </c>
      <c r="B3813" s="233" t="s">
        <v>1664</v>
      </c>
      <c r="C3813" s="227" t="s">
        <v>562</v>
      </c>
      <c r="F3813" s="227" t="s">
        <v>294</v>
      </c>
    </row>
    <row r="3814" spans="1:6" x14ac:dyDescent="0.25">
      <c r="A3814" s="227" t="str">
        <f>TL[[#This Row],[Société]]&amp;" - "&amp;TL[[#This Row],[Compte]]</f>
        <v>LYSE - 321000</v>
      </c>
      <c r="B3814" s="233" t="s">
        <v>1665</v>
      </c>
      <c r="C3814" s="227" t="s">
        <v>563</v>
      </c>
      <c r="F3814" s="227" t="s">
        <v>294</v>
      </c>
    </row>
    <row r="3815" spans="1:6" x14ac:dyDescent="0.25">
      <c r="A3815" s="227" t="str">
        <f>TL[[#This Row],[Société]]&amp;" - "&amp;TL[[#This Row],[Compte]]</f>
        <v>LYSE - 401000</v>
      </c>
      <c r="B3815" s="233" t="s">
        <v>1581</v>
      </c>
      <c r="C3815" s="227" t="s">
        <v>564</v>
      </c>
      <c r="F3815" s="227" t="s">
        <v>294</v>
      </c>
    </row>
    <row r="3816" spans="1:6" x14ac:dyDescent="0.25">
      <c r="A3816" s="227" t="str">
        <f>TL[[#This Row],[Société]]&amp;" - "&amp;TL[[#This Row],[Compte]]</f>
        <v>LYSE - 401001</v>
      </c>
      <c r="B3816" s="233" t="s">
        <v>1821</v>
      </c>
      <c r="C3816" s="227" t="s">
        <v>662</v>
      </c>
      <c r="F3816" s="227" t="s">
        <v>294</v>
      </c>
    </row>
    <row r="3817" spans="1:6" x14ac:dyDescent="0.25">
      <c r="A3817" s="227" t="str">
        <f>TL[[#This Row],[Société]]&amp;" - "&amp;TL[[#This Row],[Compte]]</f>
        <v>LYSE - 401100</v>
      </c>
      <c r="B3817" s="233" t="s">
        <v>1822</v>
      </c>
      <c r="C3817" s="227" t="s">
        <v>663</v>
      </c>
      <c r="F3817" s="227" t="s">
        <v>294</v>
      </c>
    </row>
    <row r="3818" spans="1:6" x14ac:dyDescent="0.25">
      <c r="A3818" s="227" t="str">
        <f>TL[[#This Row],[Société]]&amp;" - "&amp;TL[[#This Row],[Compte]]</f>
        <v>LYSE - 404100</v>
      </c>
      <c r="B3818" s="233" t="s">
        <v>1823</v>
      </c>
      <c r="C3818" s="227" t="s">
        <v>664</v>
      </c>
      <c r="F3818" s="227" t="s">
        <v>294</v>
      </c>
    </row>
    <row r="3819" spans="1:6" x14ac:dyDescent="0.25">
      <c r="A3819" s="227" t="str">
        <f>TL[[#This Row],[Société]]&amp;" - "&amp;TL[[#This Row],[Compte]]</f>
        <v>LYSE - 404110</v>
      </c>
      <c r="B3819" s="233" t="s">
        <v>1824</v>
      </c>
      <c r="C3819" s="227" t="s">
        <v>665</v>
      </c>
      <c r="F3819" s="227" t="s">
        <v>294</v>
      </c>
    </row>
    <row r="3820" spans="1:6" x14ac:dyDescent="0.25">
      <c r="A3820" s="227" t="str">
        <f>TL[[#This Row],[Société]]&amp;" - "&amp;TL[[#This Row],[Compte]]</f>
        <v>LYSE - 408100</v>
      </c>
      <c r="B3820" s="233" t="s">
        <v>1666</v>
      </c>
      <c r="C3820" s="227" t="s">
        <v>537</v>
      </c>
      <c r="F3820" s="227" t="s">
        <v>294</v>
      </c>
    </row>
    <row r="3821" spans="1:6" x14ac:dyDescent="0.25">
      <c r="A3821" s="227" t="str">
        <f>TL[[#This Row],[Société]]&amp;" - "&amp;TL[[#This Row],[Compte]]</f>
        <v>LYSE - 409100</v>
      </c>
      <c r="B3821" s="233" t="s">
        <v>1667</v>
      </c>
      <c r="C3821" s="227" t="s">
        <v>666</v>
      </c>
      <c r="F3821" s="227" t="s">
        <v>294</v>
      </c>
    </row>
    <row r="3822" spans="1:6" x14ac:dyDescent="0.25">
      <c r="A3822" s="227" t="str">
        <f>TL[[#This Row],[Société]]&amp;" - "&amp;TL[[#This Row],[Compte]]</f>
        <v>LYSE - 409600</v>
      </c>
      <c r="B3822" s="233" t="s">
        <v>1632</v>
      </c>
      <c r="C3822" s="227" t="s">
        <v>565</v>
      </c>
      <c r="F3822" s="227" t="s">
        <v>294</v>
      </c>
    </row>
    <row r="3823" spans="1:6" x14ac:dyDescent="0.25">
      <c r="A3823" s="227" t="str">
        <f>TL[[#This Row],[Société]]&amp;" - "&amp;TL[[#This Row],[Compte]]</f>
        <v>LYSE - 409700</v>
      </c>
      <c r="B3823" s="233" t="s">
        <v>1825</v>
      </c>
      <c r="C3823" s="227" t="s">
        <v>667</v>
      </c>
      <c r="F3823" s="227" t="s">
        <v>294</v>
      </c>
    </row>
    <row r="3824" spans="1:6" x14ac:dyDescent="0.25">
      <c r="A3824" s="227" t="str">
        <f>TL[[#This Row],[Société]]&amp;" - "&amp;TL[[#This Row],[Compte]]</f>
        <v>LYSE - 409800</v>
      </c>
      <c r="B3824" s="233" t="s">
        <v>1668</v>
      </c>
      <c r="C3824" s="227" t="s">
        <v>567</v>
      </c>
      <c r="F3824" s="227" t="s">
        <v>294</v>
      </c>
    </row>
    <row r="3825" spans="1:6" x14ac:dyDescent="0.25">
      <c r="A3825" s="227" t="str">
        <f>TL[[#This Row],[Société]]&amp;" - "&amp;TL[[#This Row],[Compte]]</f>
        <v>LYSE - 411000</v>
      </c>
      <c r="B3825" s="233" t="s">
        <v>1708</v>
      </c>
      <c r="C3825" s="227" t="s">
        <v>568</v>
      </c>
      <c r="F3825" s="227" t="s">
        <v>294</v>
      </c>
    </row>
    <row r="3826" spans="1:6" x14ac:dyDescent="0.25">
      <c r="A3826" s="227" t="str">
        <f>TL[[#This Row],[Société]]&amp;" - "&amp;TL[[#This Row],[Compte]]</f>
        <v>LYSE - 411001</v>
      </c>
      <c r="B3826" s="233" t="s">
        <v>1826</v>
      </c>
      <c r="C3826" s="227" t="s">
        <v>668</v>
      </c>
      <c r="F3826" s="227" t="s">
        <v>294</v>
      </c>
    </row>
    <row r="3827" spans="1:6" x14ac:dyDescent="0.25">
      <c r="A3827" s="227" t="str">
        <f>TL[[#This Row],[Société]]&amp;" - "&amp;TL[[#This Row],[Compte]]</f>
        <v>LYSE - 411100</v>
      </c>
      <c r="B3827" s="233" t="s">
        <v>1827</v>
      </c>
      <c r="C3827" s="227" t="s">
        <v>568</v>
      </c>
      <c r="F3827" s="227" t="s">
        <v>294</v>
      </c>
    </row>
    <row r="3828" spans="1:6" x14ac:dyDescent="0.25">
      <c r="A3828" s="227" t="str">
        <f>TL[[#This Row],[Société]]&amp;" - "&amp;TL[[#This Row],[Compte]]</f>
        <v>LYSE - 411999</v>
      </c>
      <c r="B3828" s="233" t="s">
        <v>1828</v>
      </c>
      <c r="C3828" s="227" t="s">
        <v>669</v>
      </c>
      <c r="F3828" s="227" t="s">
        <v>294</v>
      </c>
    </row>
    <row r="3829" spans="1:6" x14ac:dyDescent="0.25">
      <c r="A3829" s="227" t="str">
        <f>TL[[#This Row],[Société]]&amp;" - "&amp;TL[[#This Row],[Compte]]</f>
        <v>LYSE - 416000</v>
      </c>
      <c r="B3829" s="233" t="s">
        <v>1829</v>
      </c>
      <c r="C3829" s="227" t="s">
        <v>569</v>
      </c>
      <c r="F3829" s="227" t="s">
        <v>294</v>
      </c>
    </row>
    <row r="3830" spans="1:6" x14ac:dyDescent="0.25">
      <c r="A3830" s="227" t="str">
        <f>TL[[#This Row],[Société]]&amp;" - "&amp;TL[[#This Row],[Compte]]</f>
        <v>LYSE - 418100</v>
      </c>
      <c r="B3830" s="233" t="s">
        <v>1669</v>
      </c>
      <c r="C3830" s="227" t="s">
        <v>670</v>
      </c>
      <c r="F3830" s="227" t="s">
        <v>294</v>
      </c>
    </row>
    <row r="3831" spans="1:6" x14ac:dyDescent="0.25">
      <c r="A3831" s="227" t="str">
        <f>TL[[#This Row],[Société]]&amp;" - "&amp;TL[[#This Row],[Compte]]</f>
        <v>LYSE - 419100</v>
      </c>
      <c r="B3831" s="233" t="s">
        <v>1830</v>
      </c>
      <c r="C3831" s="227" t="s">
        <v>671</v>
      </c>
      <c r="F3831" s="227" t="s">
        <v>294</v>
      </c>
    </row>
    <row r="3832" spans="1:6" x14ac:dyDescent="0.25">
      <c r="A3832" s="227" t="str">
        <f>TL[[#This Row],[Société]]&amp;" - "&amp;TL[[#This Row],[Compte]]</f>
        <v>LYSE - 419800</v>
      </c>
      <c r="B3832" s="233" t="s">
        <v>1831</v>
      </c>
      <c r="C3832" s="227" t="s">
        <v>672</v>
      </c>
      <c r="F3832" s="227" t="s">
        <v>294</v>
      </c>
    </row>
    <row r="3833" spans="1:6" x14ac:dyDescent="0.25">
      <c r="A3833" s="227" t="str">
        <f>TL[[#This Row],[Société]]&amp;" - "&amp;TL[[#This Row],[Compte]]</f>
        <v>LYSE - 421000</v>
      </c>
      <c r="B3833" s="233" t="s">
        <v>1670</v>
      </c>
      <c r="C3833" s="227" t="s">
        <v>530</v>
      </c>
      <c r="F3833" s="227" t="s">
        <v>294</v>
      </c>
    </row>
    <row r="3834" spans="1:6" x14ac:dyDescent="0.25">
      <c r="A3834" s="227" t="str">
        <f>TL[[#This Row],[Société]]&amp;" - "&amp;TL[[#This Row],[Compte]]</f>
        <v>LYSE - 421010</v>
      </c>
      <c r="B3834" s="233" t="s">
        <v>1671</v>
      </c>
      <c r="C3834" s="227" t="s">
        <v>1335</v>
      </c>
      <c r="F3834" s="227" t="s">
        <v>294</v>
      </c>
    </row>
    <row r="3835" spans="1:6" x14ac:dyDescent="0.25">
      <c r="A3835" s="227" t="str">
        <f>TL[[#This Row],[Société]]&amp;" - "&amp;TL[[#This Row],[Compte]]</f>
        <v>LYSE - 421444</v>
      </c>
      <c r="B3835" s="233" t="s">
        <v>1832</v>
      </c>
      <c r="C3835" s="227" t="s">
        <v>570</v>
      </c>
      <c r="F3835" s="227" t="s">
        <v>294</v>
      </c>
    </row>
    <row r="3836" spans="1:6" x14ac:dyDescent="0.25">
      <c r="A3836" s="227" t="str">
        <f>TL[[#This Row],[Société]]&amp;" - "&amp;TL[[#This Row],[Compte]]</f>
        <v>LYSE - 425000</v>
      </c>
      <c r="B3836" s="233" t="s">
        <v>1672</v>
      </c>
      <c r="C3836" s="227" t="s">
        <v>571</v>
      </c>
      <c r="F3836" s="227" t="s">
        <v>294</v>
      </c>
    </row>
    <row r="3837" spans="1:6" x14ac:dyDescent="0.25">
      <c r="A3837" s="227" t="str">
        <f>TL[[#This Row],[Société]]&amp;" - "&amp;TL[[#This Row],[Compte]]</f>
        <v>LYSE - 425100</v>
      </c>
      <c r="B3837" s="233" t="s">
        <v>1833</v>
      </c>
      <c r="C3837" s="227" t="s">
        <v>673</v>
      </c>
      <c r="F3837" s="227" t="s">
        <v>294</v>
      </c>
    </row>
    <row r="3838" spans="1:6" x14ac:dyDescent="0.25">
      <c r="A3838" s="227" t="str">
        <f>TL[[#This Row],[Société]]&amp;" - "&amp;TL[[#This Row],[Compte]]</f>
        <v>LYSE - 427000</v>
      </c>
      <c r="B3838" s="233" t="s">
        <v>1710</v>
      </c>
      <c r="C3838" s="227" t="s">
        <v>572</v>
      </c>
      <c r="F3838" s="227" t="s">
        <v>294</v>
      </c>
    </row>
    <row r="3839" spans="1:6" x14ac:dyDescent="0.25">
      <c r="A3839" s="227" t="str">
        <f>TL[[#This Row],[Société]]&amp;" - "&amp;TL[[#This Row],[Compte]]</f>
        <v>LYSE - 428200</v>
      </c>
      <c r="B3839" s="233" t="s">
        <v>1673</v>
      </c>
      <c r="C3839" s="227" t="s">
        <v>674</v>
      </c>
      <c r="F3839" s="227" t="s">
        <v>294</v>
      </c>
    </row>
    <row r="3840" spans="1:6" x14ac:dyDescent="0.25">
      <c r="A3840" s="227" t="str">
        <f>TL[[#This Row],[Société]]&amp;" - "&amp;TL[[#This Row],[Compte]]</f>
        <v>LYSE - 428600</v>
      </c>
      <c r="B3840" s="233" t="s">
        <v>1834</v>
      </c>
      <c r="C3840" s="227" t="s">
        <v>675</v>
      </c>
      <c r="F3840" s="227" t="s">
        <v>294</v>
      </c>
    </row>
    <row r="3841" spans="1:6" x14ac:dyDescent="0.25">
      <c r="A3841" s="227" t="str">
        <f>TL[[#This Row],[Société]]&amp;" - "&amp;TL[[#This Row],[Compte]]</f>
        <v>LYSE - 431000</v>
      </c>
      <c r="B3841" s="233" t="s">
        <v>1674</v>
      </c>
      <c r="C3841" s="227" t="s">
        <v>573</v>
      </c>
      <c r="F3841" s="227" t="s">
        <v>294</v>
      </c>
    </row>
    <row r="3842" spans="1:6" x14ac:dyDescent="0.25">
      <c r="A3842" s="227" t="str">
        <f>TL[[#This Row],[Société]]&amp;" - "&amp;TL[[#This Row],[Compte]]</f>
        <v>LYSE - 433860</v>
      </c>
      <c r="B3842" s="233" t="s">
        <v>2120</v>
      </c>
      <c r="C3842" s="227" t="s">
        <v>2121</v>
      </c>
      <c r="F3842" s="227" t="s">
        <v>294</v>
      </c>
    </row>
    <row r="3843" spans="1:6" x14ac:dyDescent="0.25">
      <c r="A3843" s="227" t="str">
        <f>TL[[#This Row],[Société]]&amp;" - "&amp;TL[[#This Row],[Compte]]</f>
        <v>LYSE - 437000</v>
      </c>
      <c r="B3843" s="233" t="s">
        <v>1835</v>
      </c>
      <c r="C3843" s="227" t="s">
        <v>676</v>
      </c>
      <c r="F3843" s="227" t="s">
        <v>294</v>
      </c>
    </row>
    <row r="3844" spans="1:6" x14ac:dyDescent="0.25">
      <c r="A3844" s="227" t="str">
        <f>TL[[#This Row],[Société]]&amp;" - "&amp;TL[[#This Row],[Compte]]</f>
        <v>LYSE - 437010</v>
      </c>
      <c r="B3844" s="233" t="s">
        <v>1675</v>
      </c>
      <c r="C3844" s="227" t="s">
        <v>574</v>
      </c>
      <c r="F3844" s="227" t="s">
        <v>294</v>
      </c>
    </row>
    <row r="3845" spans="1:6" x14ac:dyDescent="0.25">
      <c r="A3845" s="227" t="str">
        <f>TL[[#This Row],[Société]]&amp;" - "&amp;TL[[#This Row],[Compte]]</f>
        <v>LYSE - 437015</v>
      </c>
      <c r="B3845" s="233" t="s">
        <v>1836</v>
      </c>
      <c r="C3845" s="227" t="s">
        <v>677</v>
      </c>
      <c r="F3845" s="227" t="s">
        <v>294</v>
      </c>
    </row>
    <row r="3846" spans="1:6" x14ac:dyDescent="0.25">
      <c r="A3846" s="227" t="str">
        <f>TL[[#This Row],[Société]]&amp;" - "&amp;TL[[#This Row],[Compte]]</f>
        <v>LYSE - 437020</v>
      </c>
      <c r="B3846" s="233" t="s">
        <v>1676</v>
      </c>
      <c r="C3846" s="227" t="s">
        <v>679</v>
      </c>
      <c r="F3846" s="227" t="s">
        <v>294</v>
      </c>
    </row>
    <row r="3847" spans="1:6" x14ac:dyDescent="0.25">
      <c r="A3847" s="227" t="str">
        <f>TL[[#This Row],[Société]]&amp;" - "&amp;TL[[#This Row],[Compte]]</f>
        <v>LYSE - 437025</v>
      </c>
      <c r="B3847" s="233" t="s">
        <v>1837</v>
      </c>
      <c r="C3847" s="227" t="s">
        <v>678</v>
      </c>
      <c r="F3847" s="227" t="s">
        <v>294</v>
      </c>
    </row>
    <row r="3848" spans="1:6" x14ac:dyDescent="0.25">
      <c r="A3848" s="227" t="str">
        <f>TL[[#This Row],[Société]]&amp;" - "&amp;TL[[#This Row],[Compte]]</f>
        <v>LYSE - 437026</v>
      </c>
      <c r="B3848" s="233" t="s">
        <v>1838</v>
      </c>
      <c r="C3848" s="227" t="s">
        <v>679</v>
      </c>
      <c r="F3848" s="227" t="s">
        <v>294</v>
      </c>
    </row>
    <row r="3849" spans="1:6" x14ac:dyDescent="0.25">
      <c r="A3849" s="227" t="str">
        <f>TL[[#This Row],[Société]]&amp;" - "&amp;TL[[#This Row],[Compte]]</f>
        <v>LYSE - 437030</v>
      </c>
      <c r="B3849" s="233" t="s">
        <v>1839</v>
      </c>
      <c r="C3849" s="227" t="s">
        <v>576</v>
      </c>
      <c r="F3849" s="227" t="s">
        <v>294</v>
      </c>
    </row>
    <row r="3850" spans="1:6" x14ac:dyDescent="0.25">
      <c r="A3850" s="227" t="str">
        <f>TL[[#This Row],[Société]]&amp;" - "&amp;TL[[#This Row],[Compte]]</f>
        <v>LYSE - 437040</v>
      </c>
      <c r="B3850" s="233" t="s">
        <v>1677</v>
      </c>
      <c r="C3850" s="227" t="s">
        <v>633</v>
      </c>
      <c r="F3850" s="227" t="s">
        <v>294</v>
      </c>
    </row>
    <row r="3851" spans="1:6" x14ac:dyDescent="0.25">
      <c r="A3851" s="227" t="str">
        <f>TL[[#This Row],[Société]]&amp;" - "&amp;TL[[#This Row],[Compte]]</f>
        <v>LYSE - 437060</v>
      </c>
      <c r="B3851" s="233" t="s">
        <v>1840</v>
      </c>
      <c r="C3851" s="227" t="s">
        <v>680</v>
      </c>
      <c r="F3851" s="227" t="s">
        <v>294</v>
      </c>
    </row>
    <row r="3852" spans="1:6" x14ac:dyDescent="0.25">
      <c r="A3852" s="227" t="str">
        <f>TL[[#This Row],[Société]]&amp;" - "&amp;TL[[#This Row],[Compte]]</f>
        <v>LYSE - 438000</v>
      </c>
      <c r="B3852" s="233" t="s">
        <v>2122</v>
      </c>
      <c r="C3852" s="227" t="s">
        <v>2121</v>
      </c>
      <c r="F3852" s="227" t="s">
        <v>294</v>
      </c>
    </row>
    <row r="3853" spans="1:6" x14ac:dyDescent="0.25">
      <c r="A3853" s="227" t="str">
        <f>TL[[#This Row],[Société]]&amp;" - "&amp;TL[[#This Row],[Compte]]</f>
        <v>LYSE - 438200</v>
      </c>
      <c r="B3853" s="233" t="s">
        <v>2123</v>
      </c>
      <c r="C3853" s="227" t="s">
        <v>2124</v>
      </c>
      <c r="F3853" s="227" t="s">
        <v>294</v>
      </c>
    </row>
    <row r="3854" spans="1:6" x14ac:dyDescent="0.25">
      <c r="A3854" s="227" t="str">
        <f>TL[[#This Row],[Société]]&amp;" - "&amp;TL[[#This Row],[Compte]]</f>
        <v>LYSE - 438600</v>
      </c>
      <c r="B3854" s="233" t="s">
        <v>1678</v>
      </c>
      <c r="C3854" s="227" t="s">
        <v>681</v>
      </c>
      <c r="F3854" s="227" t="s">
        <v>294</v>
      </c>
    </row>
    <row r="3855" spans="1:6" x14ac:dyDescent="0.25">
      <c r="A3855" s="227" t="str">
        <f>TL[[#This Row],[Société]]&amp;" - "&amp;TL[[#This Row],[Compte]]</f>
        <v>LYSE - 438610</v>
      </c>
      <c r="B3855" s="233" t="s">
        <v>2119</v>
      </c>
      <c r="C3855" s="227" t="s">
        <v>2125</v>
      </c>
      <c r="F3855" s="227" t="s">
        <v>294</v>
      </c>
    </row>
    <row r="3856" spans="1:6" x14ac:dyDescent="0.25">
      <c r="A3856" s="227" t="str">
        <f>TL[[#This Row],[Société]]&amp;" - "&amp;TL[[#This Row],[Compte]]</f>
        <v>LYSE - 438620</v>
      </c>
      <c r="B3856" s="233" t="s">
        <v>2118</v>
      </c>
      <c r="C3856" s="227" t="s">
        <v>2126</v>
      </c>
      <c r="F3856" s="227" t="s">
        <v>294</v>
      </c>
    </row>
    <row r="3857" spans="1:6" x14ac:dyDescent="0.25">
      <c r="A3857" s="227" t="str">
        <f>TL[[#This Row],[Société]]&amp;" - "&amp;TL[[#This Row],[Compte]]</f>
        <v>LYSE - 438700</v>
      </c>
      <c r="B3857" s="233" t="s">
        <v>1679</v>
      </c>
      <c r="C3857" s="227" t="s">
        <v>1306</v>
      </c>
      <c r="F3857" s="227" t="s">
        <v>294</v>
      </c>
    </row>
    <row r="3858" spans="1:6" x14ac:dyDescent="0.25">
      <c r="A3858" s="227" t="str">
        <f>TL[[#This Row],[Société]]&amp;" - "&amp;TL[[#This Row],[Compte]]</f>
        <v>LYSE - 442000</v>
      </c>
      <c r="B3858" s="233" t="s">
        <v>1680</v>
      </c>
      <c r="C3858" s="227" t="s">
        <v>682</v>
      </c>
      <c r="F3858" s="227" t="s">
        <v>294</v>
      </c>
    </row>
    <row r="3859" spans="1:6" x14ac:dyDescent="0.25">
      <c r="A3859" s="227" t="str">
        <f>TL[[#This Row],[Société]]&amp;" - "&amp;TL[[#This Row],[Compte]]</f>
        <v>LYSE - 442100</v>
      </c>
      <c r="B3859" s="233" t="s">
        <v>1841</v>
      </c>
      <c r="C3859" s="227" t="s">
        <v>683</v>
      </c>
      <c r="F3859" s="227" t="s">
        <v>294</v>
      </c>
    </row>
    <row r="3860" spans="1:6" x14ac:dyDescent="0.25">
      <c r="A3860" s="227" t="str">
        <f>TL[[#This Row],[Société]]&amp;" - "&amp;TL[[#This Row],[Compte]]</f>
        <v>LYSE - 443200</v>
      </c>
      <c r="B3860" s="233" t="s">
        <v>1681</v>
      </c>
      <c r="C3860" s="227" t="s">
        <v>1431</v>
      </c>
      <c r="F3860" s="227" t="s">
        <v>294</v>
      </c>
    </row>
    <row r="3861" spans="1:6" x14ac:dyDescent="0.25">
      <c r="A3861" s="227" t="str">
        <f>TL[[#This Row],[Société]]&amp;" - "&amp;TL[[#This Row],[Compte]]</f>
        <v>LYSE - 444000</v>
      </c>
      <c r="B3861" s="233" t="s">
        <v>1682</v>
      </c>
      <c r="C3861" s="227" t="s">
        <v>157</v>
      </c>
      <c r="F3861" s="227" t="s">
        <v>294</v>
      </c>
    </row>
    <row r="3862" spans="1:6" x14ac:dyDescent="0.25">
      <c r="A3862" s="227" t="str">
        <f>TL[[#This Row],[Société]]&amp;" - "&amp;TL[[#This Row],[Compte]]</f>
        <v>LYSE - 445200</v>
      </c>
      <c r="B3862" s="233" t="s">
        <v>1842</v>
      </c>
      <c r="C3862" s="227" t="s">
        <v>684</v>
      </c>
      <c r="F3862" s="227" t="s">
        <v>294</v>
      </c>
    </row>
    <row r="3863" spans="1:6" x14ac:dyDescent="0.25">
      <c r="A3863" s="227" t="str">
        <f>TL[[#This Row],[Société]]&amp;" - "&amp;TL[[#This Row],[Compte]]</f>
        <v>LYSE - 445510</v>
      </c>
      <c r="B3863" s="233" t="s">
        <v>1683</v>
      </c>
      <c r="C3863" s="227" t="s">
        <v>534</v>
      </c>
      <c r="F3863" s="227" t="s">
        <v>294</v>
      </c>
    </row>
    <row r="3864" spans="1:6" x14ac:dyDescent="0.25">
      <c r="A3864" s="227" t="str">
        <f>TL[[#This Row],[Société]]&amp;" - "&amp;TL[[#This Row],[Compte]]</f>
        <v>LYSE - 445620</v>
      </c>
      <c r="B3864" s="233" t="s">
        <v>1843</v>
      </c>
      <c r="C3864" s="227" t="s">
        <v>581</v>
      </c>
      <c r="F3864" s="227" t="s">
        <v>294</v>
      </c>
    </row>
    <row r="3865" spans="1:6" x14ac:dyDescent="0.25">
      <c r="A3865" s="227" t="str">
        <f>TL[[#This Row],[Société]]&amp;" - "&amp;TL[[#This Row],[Compte]]</f>
        <v>LYSE - 445621</v>
      </c>
      <c r="B3865" s="233" t="s">
        <v>1844</v>
      </c>
      <c r="C3865" s="227" t="s">
        <v>685</v>
      </c>
      <c r="F3865" s="227" t="s">
        <v>294</v>
      </c>
    </row>
    <row r="3866" spans="1:6" x14ac:dyDescent="0.25">
      <c r="A3866" s="227" t="str">
        <f>TL[[#This Row],[Société]]&amp;" - "&amp;TL[[#This Row],[Compte]]</f>
        <v>LYSE - 445660</v>
      </c>
      <c r="B3866" s="233" t="s">
        <v>1580</v>
      </c>
      <c r="C3866" s="227" t="s">
        <v>632</v>
      </c>
      <c r="F3866" s="227" t="s">
        <v>294</v>
      </c>
    </row>
    <row r="3867" spans="1:6" x14ac:dyDescent="0.25">
      <c r="A3867" s="227" t="str">
        <f>TL[[#This Row],[Société]]&amp;" - "&amp;TL[[#This Row],[Compte]]</f>
        <v>LYSE - 445661</v>
      </c>
      <c r="B3867" s="233" t="s">
        <v>1584</v>
      </c>
      <c r="C3867" s="227" t="s">
        <v>686</v>
      </c>
      <c r="F3867" s="227" t="s">
        <v>294</v>
      </c>
    </row>
    <row r="3868" spans="1:6" x14ac:dyDescent="0.25">
      <c r="A3868" s="227" t="str">
        <f>TL[[#This Row],[Société]]&amp;" - "&amp;TL[[#This Row],[Compte]]</f>
        <v>LYSE - 445662</v>
      </c>
      <c r="B3868" s="233" t="s">
        <v>1845</v>
      </c>
      <c r="C3868" s="227" t="s">
        <v>580</v>
      </c>
      <c r="F3868" s="227" t="s">
        <v>294</v>
      </c>
    </row>
    <row r="3869" spans="1:6" x14ac:dyDescent="0.25">
      <c r="A3869" s="227" t="str">
        <f>TL[[#This Row],[Société]]&amp;" - "&amp;TL[[#This Row],[Compte]]</f>
        <v>LYSE - 445670</v>
      </c>
      <c r="B3869" s="233" t="s">
        <v>1846</v>
      </c>
      <c r="C3869" s="227" t="s">
        <v>535</v>
      </c>
      <c r="F3869" s="227" t="s">
        <v>294</v>
      </c>
    </row>
    <row r="3870" spans="1:6" x14ac:dyDescent="0.25">
      <c r="A3870" s="227" t="str">
        <f>TL[[#This Row],[Société]]&amp;" - "&amp;TL[[#This Row],[Compte]]</f>
        <v>LYSE - 445710</v>
      </c>
      <c r="B3870" s="233" t="s">
        <v>1742</v>
      </c>
      <c r="C3870" s="227" t="s">
        <v>687</v>
      </c>
      <c r="F3870" s="227" t="s">
        <v>294</v>
      </c>
    </row>
    <row r="3871" spans="1:6" x14ac:dyDescent="0.25">
      <c r="A3871" s="227" t="str">
        <f>TL[[#This Row],[Société]]&amp;" - "&amp;TL[[#This Row],[Compte]]</f>
        <v>LYSE - 445711</v>
      </c>
      <c r="B3871" s="233" t="s">
        <v>1847</v>
      </c>
      <c r="C3871" s="227" t="s">
        <v>1336</v>
      </c>
      <c r="F3871" s="227" t="s">
        <v>294</v>
      </c>
    </row>
    <row r="3872" spans="1:6" x14ac:dyDescent="0.25">
      <c r="A3872" s="227" t="str">
        <f>TL[[#This Row],[Société]]&amp;" - "&amp;TL[[#This Row],[Compte]]</f>
        <v>LYSE - 445713</v>
      </c>
      <c r="B3872" s="233" t="s">
        <v>1848</v>
      </c>
      <c r="C3872" s="227" t="s">
        <v>688</v>
      </c>
      <c r="F3872" s="227" t="s">
        <v>294</v>
      </c>
    </row>
    <row r="3873" spans="1:6" x14ac:dyDescent="0.25">
      <c r="A3873" s="227" t="str">
        <f>TL[[#This Row],[Société]]&amp;" - "&amp;TL[[#This Row],[Compte]]</f>
        <v>LYSE - 445714</v>
      </c>
      <c r="B3873" s="233" t="s">
        <v>1849</v>
      </c>
      <c r="C3873" s="227" t="s">
        <v>583</v>
      </c>
      <c r="F3873" s="227" t="s">
        <v>294</v>
      </c>
    </row>
    <row r="3874" spans="1:6" x14ac:dyDescent="0.25">
      <c r="A3874" s="227" t="str">
        <f>TL[[#This Row],[Société]]&amp;" - "&amp;TL[[#This Row],[Compte]]</f>
        <v>LYSE - 445715</v>
      </c>
      <c r="B3874" s="233" t="s">
        <v>1850</v>
      </c>
      <c r="C3874" s="227" t="s">
        <v>584</v>
      </c>
      <c r="F3874" s="227" t="s">
        <v>294</v>
      </c>
    </row>
    <row r="3875" spans="1:6" x14ac:dyDescent="0.25">
      <c r="A3875" s="227" t="str">
        <f>TL[[#This Row],[Société]]&amp;" - "&amp;TL[[#This Row],[Compte]]</f>
        <v>LYSE - 445716</v>
      </c>
      <c r="B3875" s="233" t="s">
        <v>1684</v>
      </c>
      <c r="C3875" s="227" t="s">
        <v>689</v>
      </c>
      <c r="F3875" s="227" t="s">
        <v>294</v>
      </c>
    </row>
    <row r="3876" spans="1:6" x14ac:dyDescent="0.25">
      <c r="A3876" s="227" t="str">
        <f>TL[[#This Row],[Société]]&amp;" - "&amp;TL[[#This Row],[Compte]]</f>
        <v>LYSE - 445717</v>
      </c>
      <c r="B3876" s="233" t="s">
        <v>1734</v>
      </c>
      <c r="C3876" s="227" t="s">
        <v>585</v>
      </c>
      <c r="F3876" s="227" t="s">
        <v>294</v>
      </c>
    </row>
    <row r="3877" spans="1:6" x14ac:dyDescent="0.25">
      <c r="A3877" s="227" t="str">
        <f>TL[[#This Row],[Société]]&amp;" - "&amp;TL[[#This Row],[Compte]]</f>
        <v>LYSE - 445720</v>
      </c>
      <c r="B3877" s="233" t="s">
        <v>1685</v>
      </c>
      <c r="C3877" s="227" t="s">
        <v>1337</v>
      </c>
      <c r="F3877" s="227" t="s">
        <v>294</v>
      </c>
    </row>
    <row r="3878" spans="1:6" x14ac:dyDescent="0.25">
      <c r="A3878" s="227" t="str">
        <f>TL[[#This Row],[Société]]&amp;" - "&amp;TL[[#This Row],[Compte]]</f>
        <v>LYSE - 445830</v>
      </c>
      <c r="B3878" s="233" t="s">
        <v>1851</v>
      </c>
      <c r="C3878" s="227" t="s">
        <v>690</v>
      </c>
      <c r="F3878" s="227" t="s">
        <v>294</v>
      </c>
    </row>
    <row r="3879" spans="1:6" x14ac:dyDescent="0.25">
      <c r="A3879" s="227" t="str">
        <f>TL[[#This Row],[Société]]&amp;" - "&amp;TL[[#This Row],[Compte]]</f>
        <v>LYSE - 445860</v>
      </c>
      <c r="B3879" s="233" t="s">
        <v>1686</v>
      </c>
      <c r="C3879" s="227" t="s">
        <v>691</v>
      </c>
      <c r="F3879" s="227" t="s">
        <v>294</v>
      </c>
    </row>
    <row r="3880" spans="1:6" x14ac:dyDescent="0.25">
      <c r="A3880" s="227" t="str">
        <f>TL[[#This Row],[Société]]&amp;" - "&amp;TL[[#This Row],[Compte]]</f>
        <v>LYSE - 445865</v>
      </c>
      <c r="B3880" s="233" t="s">
        <v>1687</v>
      </c>
      <c r="C3880" s="227" t="s">
        <v>692</v>
      </c>
      <c r="F3880" s="227" t="s">
        <v>294</v>
      </c>
    </row>
    <row r="3881" spans="1:6" x14ac:dyDescent="0.25">
      <c r="A3881" s="227" t="str">
        <f>TL[[#This Row],[Société]]&amp;" - "&amp;TL[[#This Row],[Compte]]</f>
        <v>LYSE - 445870</v>
      </c>
      <c r="B3881" s="233" t="s">
        <v>1688</v>
      </c>
      <c r="C3881" s="227" t="s">
        <v>586</v>
      </c>
      <c r="F3881" s="227" t="s">
        <v>294</v>
      </c>
    </row>
    <row r="3882" spans="1:6" x14ac:dyDescent="0.25">
      <c r="A3882" s="227" t="str">
        <f>TL[[#This Row],[Société]]&amp;" - "&amp;TL[[#This Row],[Compte]]</f>
        <v>LYSE - 445871</v>
      </c>
      <c r="B3882" s="233" t="s">
        <v>1852</v>
      </c>
      <c r="C3882" s="227" t="s">
        <v>1432</v>
      </c>
      <c r="F3882" s="227" t="s">
        <v>294</v>
      </c>
    </row>
    <row r="3883" spans="1:6" x14ac:dyDescent="0.25">
      <c r="A3883" s="227" t="str">
        <f>TL[[#This Row],[Société]]&amp;" - "&amp;TL[[#This Row],[Compte]]</f>
        <v>LYSE - 448600</v>
      </c>
      <c r="B3883" s="233" t="s">
        <v>1689</v>
      </c>
      <c r="C3883" s="227" t="s">
        <v>693</v>
      </c>
      <c r="F3883" s="227" t="s">
        <v>294</v>
      </c>
    </row>
    <row r="3884" spans="1:6" x14ac:dyDescent="0.25">
      <c r="A3884" s="227" t="str">
        <f>TL[[#This Row],[Société]]&amp;" - "&amp;TL[[#This Row],[Compte]]</f>
        <v>LYSE - 448700</v>
      </c>
      <c r="B3884" s="233" t="s">
        <v>1853</v>
      </c>
      <c r="C3884" s="227" t="s">
        <v>694</v>
      </c>
      <c r="F3884" s="227" t="s">
        <v>294</v>
      </c>
    </row>
    <row r="3885" spans="1:6" x14ac:dyDescent="0.25">
      <c r="A3885" s="227" t="str">
        <f>TL[[#This Row],[Société]]&amp;" - "&amp;TL[[#This Row],[Compte]]</f>
        <v>LYSE - 455000</v>
      </c>
      <c r="B3885" s="233" t="s">
        <v>1854</v>
      </c>
      <c r="C3885" s="227" t="s">
        <v>695</v>
      </c>
      <c r="F3885" s="227" t="s">
        <v>294</v>
      </c>
    </row>
    <row r="3886" spans="1:6" x14ac:dyDescent="0.25">
      <c r="A3886" s="227" t="str">
        <f>TL[[#This Row],[Société]]&amp;" - "&amp;TL[[#This Row],[Compte]]</f>
        <v>LYSE - 455020</v>
      </c>
      <c r="B3886" s="233" t="s">
        <v>1855</v>
      </c>
      <c r="C3886" s="227" t="s">
        <v>696</v>
      </c>
      <c r="F3886" s="227" t="s">
        <v>294</v>
      </c>
    </row>
    <row r="3887" spans="1:6" x14ac:dyDescent="0.25">
      <c r="A3887" s="227" t="str">
        <f>TL[[#This Row],[Société]]&amp;" - "&amp;TL[[#This Row],[Compte]]</f>
        <v>LYSE - 455100</v>
      </c>
      <c r="B3887" s="233" t="s">
        <v>1690</v>
      </c>
      <c r="C3887" s="227" t="s">
        <v>1338</v>
      </c>
      <c r="F3887" s="227" t="s">
        <v>294</v>
      </c>
    </row>
    <row r="3888" spans="1:6" x14ac:dyDescent="0.25">
      <c r="A3888" s="227" t="str">
        <f>TL[[#This Row],[Société]]&amp;" - "&amp;TL[[#This Row],[Compte]]</f>
        <v>LYSE - 455200</v>
      </c>
      <c r="B3888" s="233" t="s">
        <v>3141</v>
      </c>
      <c r="C3888" s="227" t="s">
        <v>2166</v>
      </c>
      <c r="F3888" s="227" t="s">
        <v>294</v>
      </c>
    </row>
    <row r="3889" spans="1:6" x14ac:dyDescent="0.25">
      <c r="A3889" s="227" t="str">
        <f>TL[[#This Row],[Société]]&amp;" - "&amp;TL[[#This Row],[Compte]]</f>
        <v>LYSE - 455800</v>
      </c>
      <c r="B3889" s="233" t="s">
        <v>1691</v>
      </c>
      <c r="C3889" s="227" t="s">
        <v>697</v>
      </c>
      <c r="F3889" s="227" t="s">
        <v>294</v>
      </c>
    </row>
    <row r="3890" spans="1:6" x14ac:dyDescent="0.25">
      <c r="A3890" s="227" t="str">
        <f>TL[[#This Row],[Société]]&amp;" - "&amp;TL[[#This Row],[Compte]]</f>
        <v>LYSE - 457000</v>
      </c>
      <c r="B3890" s="233" t="s">
        <v>1856</v>
      </c>
      <c r="C3890" s="227" t="s">
        <v>698</v>
      </c>
      <c r="F3890" s="227" t="s">
        <v>294</v>
      </c>
    </row>
    <row r="3891" spans="1:6" x14ac:dyDescent="0.25">
      <c r="A3891" s="227" t="str">
        <f>TL[[#This Row],[Société]]&amp;" - "&amp;TL[[#This Row],[Compte]]</f>
        <v>LYSE - 467000</v>
      </c>
      <c r="B3891" s="233" t="s">
        <v>1857</v>
      </c>
      <c r="C3891" s="227" t="s">
        <v>699</v>
      </c>
      <c r="F3891" s="227" t="s">
        <v>294</v>
      </c>
    </row>
    <row r="3892" spans="1:6" x14ac:dyDescent="0.25">
      <c r="A3892" s="227" t="str">
        <f>TL[[#This Row],[Société]]&amp;" - "&amp;TL[[#This Row],[Compte]]</f>
        <v>LYSE - 467100</v>
      </c>
      <c r="B3892" s="233" t="s">
        <v>1858</v>
      </c>
      <c r="C3892" s="227" t="s">
        <v>637</v>
      </c>
      <c r="F3892" s="227" t="s">
        <v>294</v>
      </c>
    </row>
    <row r="3893" spans="1:6" x14ac:dyDescent="0.25">
      <c r="A3893" s="227" t="str">
        <f>TL[[#This Row],[Société]]&amp;" - "&amp;TL[[#This Row],[Compte]]</f>
        <v>LYSE - 467200</v>
      </c>
      <c r="B3893" s="233" t="s">
        <v>1692</v>
      </c>
      <c r="C3893" s="227" t="s">
        <v>589</v>
      </c>
      <c r="F3893" s="227" t="s">
        <v>294</v>
      </c>
    </row>
    <row r="3894" spans="1:6" x14ac:dyDescent="0.25">
      <c r="A3894" s="227" t="str">
        <f>TL[[#This Row],[Société]]&amp;" - "&amp;TL[[#This Row],[Compte]]</f>
        <v>LYSE - 467210</v>
      </c>
      <c r="B3894" s="233" t="s">
        <v>1709</v>
      </c>
      <c r="C3894" s="227" t="s">
        <v>700</v>
      </c>
      <c r="F3894" s="227" t="s">
        <v>294</v>
      </c>
    </row>
    <row r="3895" spans="1:6" x14ac:dyDescent="0.25">
      <c r="A3895" s="227" t="str">
        <f>TL[[#This Row],[Société]]&amp;" - "&amp;TL[[#This Row],[Compte]]</f>
        <v>LYSE - 467220</v>
      </c>
      <c r="B3895" s="233" t="s">
        <v>1741</v>
      </c>
      <c r="C3895" s="227" t="s">
        <v>701</v>
      </c>
      <c r="F3895" s="227" t="s">
        <v>294</v>
      </c>
    </row>
    <row r="3896" spans="1:6" x14ac:dyDescent="0.25">
      <c r="A3896" s="227" t="str">
        <f>TL[[#This Row],[Société]]&amp;" - "&amp;TL[[#This Row],[Compte]]</f>
        <v>LYSE - 467230</v>
      </c>
      <c r="B3896" s="233" t="s">
        <v>1740</v>
      </c>
      <c r="C3896" s="227" t="s">
        <v>702</v>
      </c>
      <c r="F3896" s="227" t="s">
        <v>294</v>
      </c>
    </row>
    <row r="3897" spans="1:6" x14ac:dyDescent="0.25">
      <c r="A3897" s="227" t="str">
        <f>TL[[#This Row],[Société]]&amp;" - "&amp;TL[[#This Row],[Compte]]</f>
        <v>LYSE - 467240</v>
      </c>
      <c r="B3897" s="233" t="s">
        <v>1723</v>
      </c>
      <c r="C3897" s="227" t="s">
        <v>703</v>
      </c>
      <c r="F3897" s="227" t="s">
        <v>294</v>
      </c>
    </row>
    <row r="3898" spans="1:6" x14ac:dyDescent="0.25">
      <c r="A3898" s="227" t="str">
        <f>TL[[#This Row],[Société]]&amp;" - "&amp;TL[[#This Row],[Compte]]</f>
        <v>LYSE - 467250</v>
      </c>
      <c r="B3898" s="233" t="s">
        <v>1859</v>
      </c>
      <c r="C3898" s="227" t="s">
        <v>704</v>
      </c>
      <c r="F3898" s="227" t="s">
        <v>294</v>
      </c>
    </row>
    <row r="3899" spans="1:6" x14ac:dyDescent="0.25">
      <c r="A3899" s="227" t="str">
        <f>TL[[#This Row],[Société]]&amp;" - "&amp;TL[[#This Row],[Compte]]</f>
        <v>LYSE - 467260</v>
      </c>
      <c r="B3899" s="233" t="s">
        <v>1860</v>
      </c>
      <c r="C3899" s="227" t="s">
        <v>705</v>
      </c>
      <c r="F3899" s="227" t="s">
        <v>294</v>
      </c>
    </row>
    <row r="3900" spans="1:6" x14ac:dyDescent="0.25">
      <c r="A3900" s="227" t="str">
        <f>TL[[#This Row],[Société]]&amp;" - "&amp;TL[[#This Row],[Compte]]</f>
        <v>LYSE - 467270</v>
      </c>
      <c r="B3900" s="233" t="s">
        <v>1739</v>
      </c>
      <c r="C3900" s="227" t="s">
        <v>706</v>
      </c>
      <c r="F3900" s="227" t="s">
        <v>294</v>
      </c>
    </row>
    <row r="3901" spans="1:6" x14ac:dyDescent="0.25">
      <c r="A3901" s="227" t="str">
        <f>TL[[#This Row],[Société]]&amp;" - "&amp;TL[[#This Row],[Compte]]</f>
        <v>LYSE - 467300</v>
      </c>
      <c r="B3901" s="233" t="s">
        <v>1861</v>
      </c>
      <c r="C3901" s="227" t="s">
        <v>1339</v>
      </c>
      <c r="F3901" s="227" t="s">
        <v>294</v>
      </c>
    </row>
    <row r="3902" spans="1:6" x14ac:dyDescent="0.25">
      <c r="A3902" s="227" t="str">
        <f>TL[[#This Row],[Société]]&amp;" - "&amp;TL[[#This Row],[Compte]]</f>
        <v>LYSE - 467310</v>
      </c>
      <c r="B3902" s="233" t="s">
        <v>1862</v>
      </c>
      <c r="C3902" s="227" t="s">
        <v>1433</v>
      </c>
      <c r="F3902" s="227" t="s">
        <v>294</v>
      </c>
    </row>
    <row r="3903" spans="1:6" x14ac:dyDescent="0.25">
      <c r="A3903" s="227" t="str">
        <f>TL[[#This Row],[Société]]&amp;" - "&amp;TL[[#This Row],[Compte]]</f>
        <v>LYSE - 467400</v>
      </c>
      <c r="B3903" s="233" t="s">
        <v>1863</v>
      </c>
      <c r="C3903" s="227" t="s">
        <v>527</v>
      </c>
      <c r="F3903" s="227" t="s">
        <v>294</v>
      </c>
    </row>
    <row r="3904" spans="1:6" x14ac:dyDescent="0.25">
      <c r="A3904" s="227" t="str">
        <f>TL[[#This Row],[Société]]&amp;" - "&amp;TL[[#This Row],[Compte]]</f>
        <v>LYSE - 467410</v>
      </c>
      <c r="B3904" s="233" t="s">
        <v>1728</v>
      </c>
      <c r="C3904" s="227" t="s">
        <v>707</v>
      </c>
      <c r="F3904" s="227" t="s">
        <v>294</v>
      </c>
    </row>
    <row r="3905" spans="1:6" x14ac:dyDescent="0.25">
      <c r="A3905" s="227" t="str">
        <f>TL[[#This Row],[Société]]&amp;" - "&amp;TL[[#This Row],[Compte]]</f>
        <v>LYSE - 467420</v>
      </c>
      <c r="B3905" s="233" t="s">
        <v>1864</v>
      </c>
      <c r="C3905" s="227" t="s">
        <v>708</v>
      </c>
      <c r="F3905" s="227" t="s">
        <v>294</v>
      </c>
    </row>
    <row r="3906" spans="1:6" x14ac:dyDescent="0.25">
      <c r="A3906" s="227" t="str">
        <f>TL[[#This Row],[Société]]&amp;" - "&amp;TL[[#This Row],[Compte]]</f>
        <v>LYSE - 467444</v>
      </c>
      <c r="B3906" s="233" t="s">
        <v>1865</v>
      </c>
      <c r="C3906" s="227" t="s">
        <v>590</v>
      </c>
      <c r="F3906" s="227" t="s">
        <v>294</v>
      </c>
    </row>
    <row r="3907" spans="1:6" x14ac:dyDescent="0.25">
      <c r="A3907" s="227" t="str">
        <f>TL[[#This Row],[Société]]&amp;" - "&amp;TL[[#This Row],[Compte]]</f>
        <v>LYSE - 467500</v>
      </c>
      <c r="B3907" s="233" t="s">
        <v>1866</v>
      </c>
      <c r="C3907" s="227" t="s">
        <v>1340</v>
      </c>
      <c r="F3907" s="227" t="s">
        <v>294</v>
      </c>
    </row>
    <row r="3908" spans="1:6" x14ac:dyDescent="0.25">
      <c r="A3908" s="227" t="str">
        <f>TL[[#This Row],[Société]]&amp;" - "&amp;TL[[#This Row],[Compte]]</f>
        <v>LYSE - 467555</v>
      </c>
      <c r="B3908" s="233" t="s">
        <v>1867</v>
      </c>
      <c r="C3908" s="227" t="s">
        <v>591</v>
      </c>
      <c r="F3908" s="227" t="s">
        <v>294</v>
      </c>
    </row>
    <row r="3909" spans="1:6" x14ac:dyDescent="0.25">
      <c r="A3909" s="227" t="str">
        <f>TL[[#This Row],[Société]]&amp;" - "&amp;TL[[#This Row],[Compte]]</f>
        <v>LYSE - 467666</v>
      </c>
      <c r="B3909" s="233" t="s">
        <v>1868</v>
      </c>
      <c r="C3909" s="227" t="s">
        <v>593</v>
      </c>
      <c r="F3909" s="227" t="s">
        <v>294</v>
      </c>
    </row>
    <row r="3910" spans="1:6" x14ac:dyDescent="0.25">
      <c r="A3910" s="227" t="str">
        <f>TL[[#This Row],[Société]]&amp;" - "&amp;TL[[#This Row],[Compte]]</f>
        <v>LYSE - 468600</v>
      </c>
      <c r="B3910" s="233" t="s">
        <v>1869</v>
      </c>
      <c r="C3910" s="227" t="s">
        <v>709</v>
      </c>
      <c r="F3910" s="227" t="s">
        <v>294</v>
      </c>
    </row>
    <row r="3911" spans="1:6" x14ac:dyDescent="0.25">
      <c r="A3911" s="227" t="str">
        <f>TL[[#This Row],[Société]]&amp;" - "&amp;TL[[#This Row],[Compte]]</f>
        <v>LYSE - 468700</v>
      </c>
      <c r="B3911" s="233" t="s">
        <v>1693</v>
      </c>
      <c r="C3911" s="227" t="s">
        <v>710</v>
      </c>
      <c r="F3911" s="227" t="s">
        <v>294</v>
      </c>
    </row>
    <row r="3912" spans="1:6" x14ac:dyDescent="0.25">
      <c r="A3912" s="227" t="str">
        <f>TL[[#This Row],[Société]]&amp;" - "&amp;TL[[#This Row],[Compte]]</f>
        <v>LYSE - 471000</v>
      </c>
      <c r="B3912" s="233" t="s">
        <v>1722</v>
      </c>
      <c r="C3912" s="227" t="s">
        <v>525</v>
      </c>
      <c r="F3912" s="227" t="s">
        <v>294</v>
      </c>
    </row>
    <row r="3913" spans="1:6" x14ac:dyDescent="0.25">
      <c r="A3913" s="227" t="str">
        <f>TL[[#This Row],[Société]]&amp;" - "&amp;TL[[#This Row],[Compte]]</f>
        <v>LYSE - 472000</v>
      </c>
      <c r="B3913" s="233" t="s">
        <v>1870</v>
      </c>
      <c r="C3913" s="227" t="s">
        <v>594</v>
      </c>
      <c r="F3913" s="227" t="s">
        <v>294</v>
      </c>
    </row>
    <row r="3914" spans="1:6" x14ac:dyDescent="0.25">
      <c r="A3914" s="227" t="str">
        <f>TL[[#This Row],[Société]]&amp;" - "&amp;TL[[#This Row],[Compte]]</f>
        <v>LYSE - 486000</v>
      </c>
      <c r="B3914" s="233" t="s">
        <v>1694</v>
      </c>
      <c r="C3914" s="227" t="s">
        <v>711</v>
      </c>
      <c r="F3914" s="227" t="s">
        <v>294</v>
      </c>
    </row>
    <row r="3915" spans="1:6" x14ac:dyDescent="0.25">
      <c r="A3915" s="227" t="str">
        <f>TL[[#This Row],[Société]]&amp;" - "&amp;TL[[#This Row],[Compte]]</f>
        <v>LYSE - 487000</v>
      </c>
      <c r="B3915" s="233" t="s">
        <v>1871</v>
      </c>
      <c r="C3915" s="227" t="s">
        <v>595</v>
      </c>
      <c r="F3915" s="227" t="s">
        <v>294</v>
      </c>
    </row>
    <row r="3916" spans="1:6" x14ac:dyDescent="0.25">
      <c r="A3916" s="227" t="str">
        <f>TL[[#This Row],[Société]]&amp;" - "&amp;TL[[#This Row],[Compte]]</f>
        <v>LYSE - 503100</v>
      </c>
      <c r="B3916" s="233" t="s">
        <v>1872</v>
      </c>
      <c r="C3916" s="227" t="s">
        <v>596</v>
      </c>
      <c r="F3916" s="227" t="s">
        <v>294</v>
      </c>
    </row>
    <row r="3917" spans="1:6" x14ac:dyDescent="0.25">
      <c r="A3917" s="227" t="str">
        <f>TL[[#This Row],[Société]]&amp;" - "&amp;TL[[#This Row],[Compte]]</f>
        <v>LYSE - 508000</v>
      </c>
      <c r="B3917" s="233" t="s">
        <v>1873</v>
      </c>
      <c r="C3917" s="227" t="s">
        <v>712</v>
      </c>
      <c r="F3917" s="227" t="s">
        <v>294</v>
      </c>
    </row>
    <row r="3918" spans="1:6" x14ac:dyDescent="0.25">
      <c r="A3918" s="227" t="str">
        <f>TL[[#This Row],[Société]]&amp;" - "&amp;TL[[#This Row],[Compte]]</f>
        <v>LYSE - 508100</v>
      </c>
      <c r="B3918" s="233" t="s">
        <v>1874</v>
      </c>
      <c r="C3918" s="227" t="s">
        <v>713</v>
      </c>
      <c r="F3918" s="227" t="s">
        <v>294</v>
      </c>
    </row>
    <row r="3919" spans="1:6" x14ac:dyDescent="0.25">
      <c r="A3919" s="227" t="str">
        <f>TL[[#This Row],[Société]]&amp;" - "&amp;TL[[#This Row],[Compte]]</f>
        <v>LYSE - 508800</v>
      </c>
      <c r="B3919" s="233" t="s">
        <v>1875</v>
      </c>
      <c r="C3919" s="227" t="s">
        <v>714</v>
      </c>
      <c r="F3919" s="227" t="s">
        <v>294</v>
      </c>
    </row>
    <row r="3920" spans="1:6" x14ac:dyDescent="0.25">
      <c r="A3920" s="227" t="str">
        <f>TL[[#This Row],[Société]]&amp;" - "&amp;TL[[#This Row],[Compte]]</f>
        <v>LYSE - 511210</v>
      </c>
      <c r="B3920" s="233" t="s">
        <v>1876</v>
      </c>
      <c r="C3920" s="227" t="s">
        <v>597</v>
      </c>
      <c r="F3920" s="227" t="s">
        <v>294</v>
      </c>
    </row>
    <row r="3921" spans="1:6" x14ac:dyDescent="0.25">
      <c r="A3921" s="227" t="str">
        <f>TL[[#This Row],[Société]]&amp;" - "&amp;TL[[#This Row],[Compte]]</f>
        <v>LYSE - 511211</v>
      </c>
      <c r="B3921" s="233" t="s">
        <v>1877</v>
      </c>
      <c r="C3921" s="227" t="s">
        <v>597</v>
      </c>
      <c r="F3921" s="227" t="s">
        <v>294</v>
      </c>
    </row>
    <row r="3922" spans="1:6" x14ac:dyDescent="0.25">
      <c r="A3922" s="227" t="str">
        <f>TL[[#This Row],[Société]]&amp;" - "&amp;TL[[#This Row],[Compte]]</f>
        <v>LYSE - 511220</v>
      </c>
      <c r="B3922" s="233" t="s">
        <v>1878</v>
      </c>
      <c r="C3922" s="227" t="s">
        <v>715</v>
      </c>
      <c r="F3922" s="227" t="s">
        <v>294</v>
      </c>
    </row>
    <row r="3923" spans="1:6" x14ac:dyDescent="0.25">
      <c r="A3923" s="227" t="str">
        <f>TL[[#This Row],[Société]]&amp;" - "&amp;TL[[#This Row],[Compte]]</f>
        <v>LYSE - 511221</v>
      </c>
      <c r="B3923" s="233" t="s">
        <v>1695</v>
      </c>
      <c r="C3923" s="227" t="s">
        <v>715</v>
      </c>
      <c r="F3923" s="227" t="s">
        <v>294</v>
      </c>
    </row>
    <row r="3924" spans="1:6" x14ac:dyDescent="0.25">
      <c r="A3924" s="227" t="str">
        <f>TL[[#This Row],[Société]]&amp;" - "&amp;TL[[#This Row],[Compte]]</f>
        <v>LYSE - 511230</v>
      </c>
      <c r="B3924" s="233" t="s">
        <v>1879</v>
      </c>
      <c r="C3924" s="227" t="s">
        <v>533</v>
      </c>
      <c r="F3924" s="227" t="s">
        <v>294</v>
      </c>
    </row>
    <row r="3925" spans="1:6" x14ac:dyDescent="0.25">
      <c r="A3925" s="227" t="str">
        <f>TL[[#This Row],[Société]]&amp;" - "&amp;TL[[#This Row],[Compte]]</f>
        <v>LYSE - 511231</v>
      </c>
      <c r="B3925" s="233" t="s">
        <v>1696</v>
      </c>
      <c r="C3925" s="227" t="s">
        <v>638</v>
      </c>
      <c r="F3925" s="227" t="s">
        <v>294</v>
      </c>
    </row>
    <row r="3926" spans="1:6" x14ac:dyDescent="0.25">
      <c r="A3926" s="227" t="str">
        <f>TL[[#This Row],[Société]]&amp;" - "&amp;TL[[#This Row],[Compte]]</f>
        <v>LYSE - 511240</v>
      </c>
      <c r="B3926" s="233" t="s">
        <v>1880</v>
      </c>
      <c r="C3926" s="227" t="s">
        <v>716</v>
      </c>
      <c r="F3926" s="227" t="s">
        <v>294</v>
      </c>
    </row>
    <row r="3927" spans="1:6" x14ac:dyDescent="0.25">
      <c r="A3927" s="227" t="str">
        <f>TL[[#This Row],[Société]]&amp;" - "&amp;TL[[#This Row],[Compte]]</f>
        <v>LYSE - 511250</v>
      </c>
      <c r="B3927" s="233" t="s">
        <v>1881</v>
      </c>
      <c r="C3927" s="227" t="s">
        <v>717</v>
      </c>
      <c r="F3927" s="227" t="s">
        <v>294</v>
      </c>
    </row>
    <row r="3928" spans="1:6" x14ac:dyDescent="0.25">
      <c r="A3928" s="227" t="str">
        <f>TL[[#This Row],[Société]]&amp;" - "&amp;TL[[#This Row],[Compte]]</f>
        <v>LYSE - 511251</v>
      </c>
      <c r="B3928" s="233" t="s">
        <v>1697</v>
      </c>
      <c r="C3928" s="227" t="s">
        <v>718</v>
      </c>
      <c r="F3928" s="227" t="s">
        <v>294</v>
      </c>
    </row>
    <row r="3929" spans="1:6" x14ac:dyDescent="0.25">
      <c r="A3929" s="227" t="str">
        <f>TL[[#This Row],[Société]]&amp;" - "&amp;TL[[#This Row],[Compte]]</f>
        <v>LYSE - 511252</v>
      </c>
      <c r="B3929" s="233" t="s">
        <v>1882</v>
      </c>
      <c r="C3929" s="227" t="s">
        <v>1419</v>
      </c>
      <c r="F3929" s="227" t="s">
        <v>294</v>
      </c>
    </row>
    <row r="3930" spans="1:6" x14ac:dyDescent="0.25">
      <c r="A3930" s="227" t="str">
        <f>TL[[#This Row],[Société]]&amp;" - "&amp;TL[[#This Row],[Compte]]</f>
        <v>LYSE - 511260</v>
      </c>
      <c r="B3930" s="233" t="s">
        <v>1883</v>
      </c>
      <c r="C3930" s="227" t="s">
        <v>719</v>
      </c>
      <c r="F3930" s="227" t="s">
        <v>294</v>
      </c>
    </row>
    <row r="3931" spans="1:6" x14ac:dyDescent="0.25">
      <c r="A3931" s="227" t="str">
        <f>TL[[#This Row],[Société]]&amp;" - "&amp;TL[[#This Row],[Compte]]</f>
        <v>LYSE - 511261</v>
      </c>
      <c r="B3931" s="233" t="s">
        <v>1698</v>
      </c>
      <c r="C3931" s="227" t="s">
        <v>720</v>
      </c>
      <c r="F3931" s="227" t="s">
        <v>294</v>
      </c>
    </row>
    <row r="3932" spans="1:6" x14ac:dyDescent="0.25">
      <c r="A3932" s="227" t="str">
        <f>TL[[#This Row],[Société]]&amp;" - "&amp;TL[[#This Row],[Compte]]</f>
        <v>LYSE - 511271</v>
      </c>
      <c r="B3932" s="233" t="s">
        <v>1699</v>
      </c>
      <c r="C3932" s="227" t="s">
        <v>1434</v>
      </c>
      <c r="F3932" s="227" t="s">
        <v>294</v>
      </c>
    </row>
    <row r="3933" spans="1:6" x14ac:dyDescent="0.25">
      <c r="A3933" s="227" t="str">
        <f>TL[[#This Row],[Société]]&amp;" - "&amp;TL[[#This Row],[Compte]]</f>
        <v>LYSE - 511700</v>
      </c>
      <c r="B3933" s="233" t="s">
        <v>1884</v>
      </c>
      <c r="C3933" s="227" t="s">
        <v>599</v>
      </c>
      <c r="F3933" s="227" t="s">
        <v>294</v>
      </c>
    </row>
    <row r="3934" spans="1:6" x14ac:dyDescent="0.25">
      <c r="A3934" s="227" t="str">
        <f>TL[[#This Row],[Société]]&amp;" - "&amp;TL[[#This Row],[Compte]]</f>
        <v>LYSE - 511701</v>
      </c>
      <c r="B3934" s="233" t="s">
        <v>1700</v>
      </c>
      <c r="C3934" s="227" t="s">
        <v>531</v>
      </c>
      <c r="F3934" s="227" t="s">
        <v>294</v>
      </c>
    </row>
    <row r="3935" spans="1:6" x14ac:dyDescent="0.25">
      <c r="A3935" s="227" t="str">
        <f>TL[[#This Row],[Société]]&amp;" - "&amp;TL[[#This Row],[Compte]]</f>
        <v>LYSE - 512000</v>
      </c>
      <c r="B3935" s="233" t="s">
        <v>1885</v>
      </c>
      <c r="C3935" s="227" t="s">
        <v>721</v>
      </c>
      <c r="F3935" s="227" t="s">
        <v>294</v>
      </c>
    </row>
    <row r="3936" spans="1:6" x14ac:dyDescent="0.25">
      <c r="A3936" s="227" t="str">
        <f>TL[[#This Row],[Société]]&amp;" - "&amp;TL[[#This Row],[Compte]]</f>
        <v>LYSE - 512100</v>
      </c>
      <c r="B3936" s="233" t="s">
        <v>1886</v>
      </c>
      <c r="C3936" s="227" t="s">
        <v>722</v>
      </c>
      <c r="F3936" s="227" t="s">
        <v>294</v>
      </c>
    </row>
    <row r="3937" spans="1:6" x14ac:dyDescent="0.25">
      <c r="A3937" s="227" t="str">
        <f>TL[[#This Row],[Société]]&amp;" - "&amp;TL[[#This Row],[Compte]]</f>
        <v>LYSE - 512300</v>
      </c>
      <c r="B3937" s="233" t="s">
        <v>1701</v>
      </c>
      <c r="C3937" s="227" t="s">
        <v>635</v>
      </c>
      <c r="F3937" s="227" t="s">
        <v>294</v>
      </c>
    </row>
    <row r="3938" spans="1:6" x14ac:dyDescent="0.25">
      <c r="A3938" s="227" t="str">
        <f>TL[[#This Row],[Société]]&amp;" - "&amp;TL[[#This Row],[Compte]]</f>
        <v>LYSE - 512400</v>
      </c>
      <c r="B3938" s="233" t="s">
        <v>1702</v>
      </c>
      <c r="C3938" s="227" t="s">
        <v>601</v>
      </c>
      <c r="F3938" s="227" t="s">
        <v>294</v>
      </c>
    </row>
    <row r="3939" spans="1:6" x14ac:dyDescent="0.25">
      <c r="A3939" s="227" t="str">
        <f>TL[[#This Row],[Société]]&amp;" - "&amp;TL[[#This Row],[Compte]]</f>
        <v>LYSE - 518800</v>
      </c>
      <c r="B3939" s="233" t="s">
        <v>1887</v>
      </c>
      <c r="C3939" s="227" t="s">
        <v>723</v>
      </c>
      <c r="F3939" s="227" t="s">
        <v>294</v>
      </c>
    </row>
    <row r="3940" spans="1:6" x14ac:dyDescent="0.25">
      <c r="A3940" s="227" t="str">
        <f>TL[[#This Row],[Société]]&amp;" - "&amp;TL[[#This Row],[Compte]]</f>
        <v>LYSE - 519100</v>
      </c>
      <c r="B3940" s="233" t="s">
        <v>1888</v>
      </c>
      <c r="C3940" s="227" t="s">
        <v>603</v>
      </c>
      <c r="F3940" s="227" t="s">
        <v>294</v>
      </c>
    </row>
    <row r="3941" spans="1:6" x14ac:dyDescent="0.25">
      <c r="A3941" s="227" t="str">
        <f>TL[[#This Row],[Société]]&amp;" - "&amp;TL[[#This Row],[Compte]]</f>
        <v>LYSE - 519200</v>
      </c>
      <c r="B3941" s="233" t="s">
        <v>1703</v>
      </c>
      <c r="C3941" s="227" t="s">
        <v>724</v>
      </c>
      <c r="F3941" s="227" t="s">
        <v>294</v>
      </c>
    </row>
    <row r="3942" spans="1:6" x14ac:dyDescent="0.25">
      <c r="A3942" s="227" t="str">
        <f>TL[[#This Row],[Société]]&amp;" - "&amp;TL[[#This Row],[Compte]]</f>
        <v>LYSE - 530200</v>
      </c>
      <c r="B3942" s="233" t="s">
        <v>1704</v>
      </c>
      <c r="C3942" s="227" t="s">
        <v>725</v>
      </c>
      <c r="F3942" s="227" t="s">
        <v>294</v>
      </c>
    </row>
    <row r="3943" spans="1:6" x14ac:dyDescent="0.25">
      <c r="A3943" s="227" t="str">
        <f>TL[[#This Row],[Société]]&amp;" - "&amp;TL[[#This Row],[Compte]]</f>
        <v>LYSE - 531000</v>
      </c>
      <c r="B3943" s="233" t="s">
        <v>1705</v>
      </c>
      <c r="C3943" s="227" t="s">
        <v>532</v>
      </c>
      <c r="F3943" s="227" t="s">
        <v>294</v>
      </c>
    </row>
    <row r="3944" spans="1:6" x14ac:dyDescent="0.25">
      <c r="A3944" s="227" t="str">
        <f>TL[[#This Row],[Société]]&amp;" - "&amp;TL[[#This Row],[Compte]]</f>
        <v>LYSE - 580000</v>
      </c>
      <c r="B3944" s="233" t="s">
        <v>1889</v>
      </c>
      <c r="C3944" s="227" t="s">
        <v>726</v>
      </c>
      <c r="F3944" s="227" t="s">
        <v>294</v>
      </c>
    </row>
    <row r="3945" spans="1:6" x14ac:dyDescent="0.25">
      <c r="A3945" s="227" t="str">
        <f>TL[[#This Row],[Société]]&amp;" - "&amp;TL[[#This Row],[Compte]]</f>
        <v>LYSE - 581000</v>
      </c>
      <c r="B3945" s="233" t="s">
        <v>1890</v>
      </c>
      <c r="C3945" s="227" t="s">
        <v>2151</v>
      </c>
      <c r="F3945" s="227" t="s">
        <v>294</v>
      </c>
    </row>
    <row r="3946" spans="1:6" x14ac:dyDescent="0.25">
      <c r="A3946" s="227" t="str">
        <f>TL[[#This Row],[Société]]&amp;" - "&amp;TL[[#This Row],[Compte]]</f>
        <v>LYSE - 581100</v>
      </c>
      <c r="B3946" s="233" t="s">
        <v>1706</v>
      </c>
      <c r="C3946" s="227" t="s">
        <v>727</v>
      </c>
      <c r="F3946" s="227" t="s">
        <v>294</v>
      </c>
    </row>
    <row r="3947" spans="1:6" x14ac:dyDescent="0.25">
      <c r="A3947" s="227" t="str">
        <f>TL[[#This Row],[Société]]&amp;" - "&amp;TL[[#This Row],[Compte]]</f>
        <v>LYSE - 583000</v>
      </c>
      <c r="B3947" s="233" t="s">
        <v>1891</v>
      </c>
      <c r="C3947" s="227" t="s">
        <v>728</v>
      </c>
      <c r="F3947" s="227" t="s">
        <v>294</v>
      </c>
    </row>
    <row r="3948" spans="1:6" x14ac:dyDescent="0.25">
      <c r="A3948" s="227" t="str">
        <f>TL[[#This Row],[Société]]&amp;" - "&amp;TL[[#This Row],[Compte]]</f>
        <v>LYSE - 583100</v>
      </c>
      <c r="B3948" s="233" t="s">
        <v>1707</v>
      </c>
      <c r="C3948" s="227" t="s">
        <v>728</v>
      </c>
      <c r="F3948" s="227" t="s">
        <v>294</v>
      </c>
    </row>
    <row r="3949" spans="1:6" x14ac:dyDescent="0.25">
      <c r="A3949" s="227" t="str">
        <f>TL[[#This Row],[Société]]&amp;" - "&amp;TL[[#This Row],[Compte]]</f>
        <v>LYSE - 590300</v>
      </c>
      <c r="B3949" s="233" t="s">
        <v>1892</v>
      </c>
      <c r="C3949" s="227" t="s">
        <v>605</v>
      </c>
      <c r="F3949" s="227" t="s">
        <v>294</v>
      </c>
    </row>
    <row r="3950" spans="1:6" x14ac:dyDescent="0.25">
      <c r="A3950" s="227" t="str">
        <f>TL[[#This Row],[Société]]&amp;" - "&amp;TL[[#This Row],[Compte]]</f>
        <v>LYSE - 601000</v>
      </c>
      <c r="B3950" s="233" t="s">
        <v>1893</v>
      </c>
      <c r="C3950" s="227" t="s">
        <v>729</v>
      </c>
      <c r="D3950" s="233" t="s">
        <v>152</v>
      </c>
      <c r="E3950" s="233" t="s">
        <v>7</v>
      </c>
      <c r="F3950" s="227" t="s">
        <v>294</v>
      </c>
    </row>
    <row r="3951" spans="1:6" x14ac:dyDescent="0.25">
      <c r="A3951" s="227" t="str">
        <f>TL[[#This Row],[Société]]&amp;" - "&amp;TL[[#This Row],[Compte]]</f>
        <v>LYSE - 601100</v>
      </c>
      <c r="B3951" s="233" t="s">
        <v>1607</v>
      </c>
      <c r="C3951" s="227" t="s">
        <v>171</v>
      </c>
      <c r="D3951" s="233" t="s">
        <v>0</v>
      </c>
      <c r="E3951" s="233" t="s">
        <v>7</v>
      </c>
      <c r="F3951" s="227" t="s">
        <v>294</v>
      </c>
    </row>
    <row r="3952" spans="1:6" x14ac:dyDescent="0.25">
      <c r="A3952" s="227" t="str">
        <f>TL[[#This Row],[Société]]&amp;" - "&amp;TL[[#This Row],[Compte]]</f>
        <v>LYSE - 601102</v>
      </c>
      <c r="B3952" s="233" t="s">
        <v>1790</v>
      </c>
      <c r="C3952" s="227" t="s">
        <v>2</v>
      </c>
      <c r="D3952" s="233" t="s">
        <v>1</v>
      </c>
      <c r="E3952" s="233" t="s">
        <v>11</v>
      </c>
      <c r="F3952" s="227" t="s">
        <v>294</v>
      </c>
    </row>
    <row r="3953" spans="1:6" x14ac:dyDescent="0.25">
      <c r="A3953" s="227" t="str">
        <f>TL[[#This Row],[Société]]&amp;" - "&amp;TL[[#This Row],[Compte]]</f>
        <v>LYSE - 601103</v>
      </c>
      <c r="B3953" s="233" t="s">
        <v>1789</v>
      </c>
      <c r="C3953" s="227" t="s">
        <v>517</v>
      </c>
      <c r="D3953" s="233" t="s">
        <v>3</v>
      </c>
      <c r="E3953" s="233" t="s">
        <v>9</v>
      </c>
      <c r="F3953" s="227" t="s">
        <v>294</v>
      </c>
    </row>
    <row r="3954" spans="1:6" x14ac:dyDescent="0.25">
      <c r="A3954" s="227" t="str">
        <f>TL[[#This Row],[Société]]&amp;" - "&amp;TL[[#This Row],[Compte]]</f>
        <v>LYSE - 602201</v>
      </c>
      <c r="B3954" s="233" t="s">
        <v>1630</v>
      </c>
      <c r="C3954" s="227" t="s">
        <v>452</v>
      </c>
      <c r="D3954" s="233" t="s">
        <v>7</v>
      </c>
      <c r="E3954" s="233" t="s">
        <v>0</v>
      </c>
      <c r="F3954" s="227" t="s">
        <v>294</v>
      </c>
    </row>
    <row r="3955" spans="1:6" x14ac:dyDescent="0.25">
      <c r="A3955" s="227" t="str">
        <f>TL[[#This Row],[Société]]&amp;" - "&amp;TL[[#This Row],[Compte]]</f>
        <v>LYSE - 602202</v>
      </c>
      <c r="B3955" s="233" t="s">
        <v>1631</v>
      </c>
      <c r="C3955" s="227" t="s">
        <v>448</v>
      </c>
      <c r="D3955" s="233" t="s">
        <v>150</v>
      </c>
      <c r="E3955" s="233" t="s">
        <v>147</v>
      </c>
      <c r="F3955" s="227" t="s">
        <v>294</v>
      </c>
    </row>
    <row r="3956" spans="1:6" x14ac:dyDescent="0.25">
      <c r="A3956" s="227" t="str">
        <f>TL[[#This Row],[Société]]&amp;" - "&amp;TL[[#This Row],[Compte]]</f>
        <v>LYSE - 602610</v>
      </c>
      <c r="B3956" s="233" t="s">
        <v>1634</v>
      </c>
      <c r="C3956" s="227" t="s">
        <v>161</v>
      </c>
      <c r="D3956" s="233" t="s">
        <v>23</v>
      </c>
      <c r="E3956" s="233" t="s">
        <v>2978</v>
      </c>
      <c r="F3956" s="227" t="s">
        <v>294</v>
      </c>
    </row>
    <row r="3957" spans="1:6" x14ac:dyDescent="0.25">
      <c r="A3957" s="227" t="str">
        <f>TL[[#This Row],[Société]]&amp;" - "&amp;TL[[#This Row],[Compte]]</f>
        <v>LYSE - 603100</v>
      </c>
      <c r="B3957" s="233" t="s">
        <v>1780</v>
      </c>
      <c r="C3957" s="227" t="s">
        <v>310</v>
      </c>
      <c r="D3957" s="233" t="s">
        <v>0</v>
      </c>
      <c r="E3957" s="233" t="s">
        <v>7</v>
      </c>
      <c r="F3957" s="227" t="s">
        <v>294</v>
      </c>
    </row>
    <row r="3958" spans="1:6" x14ac:dyDescent="0.25">
      <c r="A3958" s="227" t="str">
        <f>TL[[#This Row],[Société]]&amp;" - "&amp;TL[[#This Row],[Compte]]</f>
        <v>LYSE - 603200</v>
      </c>
      <c r="B3958" s="233" t="s">
        <v>1781</v>
      </c>
      <c r="C3958" s="227" t="s">
        <v>494</v>
      </c>
      <c r="D3958" s="233" t="s">
        <v>7</v>
      </c>
      <c r="E3958" s="233" t="s">
        <v>0</v>
      </c>
      <c r="F3958" s="227" t="s">
        <v>294</v>
      </c>
    </row>
    <row r="3959" spans="1:6" x14ac:dyDescent="0.25">
      <c r="A3959" s="227" t="str">
        <f>TL[[#This Row],[Société]]&amp;" - "&amp;TL[[#This Row],[Compte]]</f>
        <v>LYSE - 603201</v>
      </c>
      <c r="B3959" s="233" t="s">
        <v>1782</v>
      </c>
      <c r="C3959" s="227" t="s">
        <v>477</v>
      </c>
      <c r="D3959" s="233" t="s">
        <v>150</v>
      </c>
      <c r="E3959" s="233" t="s">
        <v>147</v>
      </c>
      <c r="F3959" s="227" t="s">
        <v>294</v>
      </c>
    </row>
    <row r="3960" spans="1:6" x14ac:dyDescent="0.25">
      <c r="A3960" s="227" t="str">
        <f>TL[[#This Row],[Société]]&amp;" - "&amp;TL[[#This Row],[Compte]]</f>
        <v>LYSE - 603210</v>
      </c>
      <c r="B3960" s="233" t="s">
        <v>1894</v>
      </c>
      <c r="C3960" s="227" t="s">
        <v>730</v>
      </c>
      <c r="D3960" s="233" t="s">
        <v>0</v>
      </c>
      <c r="E3960" s="233" t="s">
        <v>7</v>
      </c>
      <c r="F3960" s="227" t="s">
        <v>294</v>
      </c>
    </row>
    <row r="3961" spans="1:6" x14ac:dyDescent="0.25">
      <c r="A3961" s="227" t="str">
        <f>TL[[#This Row],[Société]]&amp;" - "&amp;TL[[#This Row],[Compte]]</f>
        <v>LYSE - 606101</v>
      </c>
      <c r="B3961" s="233" t="s">
        <v>1765</v>
      </c>
      <c r="C3961" s="227" t="s">
        <v>156</v>
      </c>
      <c r="D3961" s="233" t="s">
        <v>27</v>
      </c>
      <c r="E3961" s="233" t="s">
        <v>34</v>
      </c>
      <c r="F3961" s="227" t="s">
        <v>294</v>
      </c>
    </row>
    <row r="3962" spans="1:6" x14ac:dyDescent="0.25">
      <c r="A3962" s="227" t="str">
        <f>TL[[#This Row],[Société]]&amp;" - "&amp;TL[[#This Row],[Compte]]</f>
        <v>LYSE - 606103</v>
      </c>
      <c r="B3962" s="233" t="s">
        <v>1621</v>
      </c>
      <c r="C3962" s="227" t="s">
        <v>241</v>
      </c>
      <c r="D3962" s="233" t="s">
        <v>27</v>
      </c>
      <c r="E3962" s="233" t="s">
        <v>34</v>
      </c>
      <c r="F3962" s="227" t="s">
        <v>294</v>
      </c>
    </row>
    <row r="3963" spans="1:6" x14ac:dyDescent="0.25">
      <c r="A3963" s="227" t="str">
        <f>TL[[#This Row],[Société]]&amp;" - "&amp;TL[[#This Row],[Compte]]</f>
        <v>LYSE - 606105</v>
      </c>
      <c r="B3963" s="233" t="s">
        <v>1588</v>
      </c>
      <c r="C3963" s="227" t="s">
        <v>322</v>
      </c>
      <c r="D3963" s="233" t="s">
        <v>27</v>
      </c>
      <c r="E3963" s="233" t="s">
        <v>34</v>
      </c>
      <c r="F3963" s="227" t="s">
        <v>294</v>
      </c>
    </row>
    <row r="3964" spans="1:6" x14ac:dyDescent="0.25">
      <c r="A3964" s="227" t="str">
        <f>TL[[#This Row],[Société]]&amp;" - "&amp;TL[[#This Row],[Compte]]</f>
        <v>LYSE - 606300</v>
      </c>
      <c r="B3964" s="233" t="s">
        <v>1586</v>
      </c>
      <c r="C3964" s="227" t="s">
        <v>1153</v>
      </c>
      <c r="D3964" s="233" t="s">
        <v>25</v>
      </c>
      <c r="E3964" s="233" t="s">
        <v>23</v>
      </c>
      <c r="F3964" s="227" t="s">
        <v>294</v>
      </c>
    </row>
    <row r="3965" spans="1:6" x14ac:dyDescent="0.25">
      <c r="A3965" s="227" t="str">
        <f>TL[[#This Row],[Société]]&amp;" - "&amp;TL[[#This Row],[Compte]]</f>
        <v>LYSE - 606301</v>
      </c>
      <c r="B3965" s="233" t="s">
        <v>1895</v>
      </c>
      <c r="C3965" s="227" t="s">
        <v>1341</v>
      </c>
      <c r="D3965" s="233" t="s">
        <v>23</v>
      </c>
      <c r="E3965" s="233" t="s">
        <v>2978</v>
      </c>
      <c r="F3965" s="227" t="s">
        <v>294</v>
      </c>
    </row>
    <row r="3966" spans="1:6" x14ac:dyDescent="0.25">
      <c r="A3966" s="227" t="str">
        <f>TL[[#This Row],[Société]]&amp;" - "&amp;TL[[#This Row],[Compte]]</f>
        <v>LYSE - 606302</v>
      </c>
      <c r="B3966" s="233" t="s">
        <v>1616</v>
      </c>
      <c r="C3966" s="227" t="s">
        <v>1342</v>
      </c>
      <c r="D3966" s="233" t="s">
        <v>23</v>
      </c>
      <c r="E3966" s="233" t="s">
        <v>2978</v>
      </c>
      <c r="F3966" s="227" t="s">
        <v>294</v>
      </c>
    </row>
    <row r="3967" spans="1:6" x14ac:dyDescent="0.25">
      <c r="A3967" s="227" t="str">
        <f>TL[[#This Row],[Société]]&amp;" - "&amp;TL[[#This Row],[Compte]]</f>
        <v>LYSE - 606303</v>
      </c>
      <c r="B3967" s="233" t="s">
        <v>1609</v>
      </c>
      <c r="C3967" s="227" t="s">
        <v>146</v>
      </c>
      <c r="D3967" s="233" t="s">
        <v>21</v>
      </c>
      <c r="E3967" s="233" t="s">
        <v>2982</v>
      </c>
      <c r="F3967" s="227" t="s">
        <v>294</v>
      </c>
    </row>
    <row r="3968" spans="1:6" x14ac:dyDescent="0.25">
      <c r="A3968" s="227" t="str">
        <f>TL[[#This Row],[Société]]&amp;" - "&amp;TL[[#This Row],[Compte]]</f>
        <v>LYSE - 606304</v>
      </c>
      <c r="B3968" s="233" t="s">
        <v>1896</v>
      </c>
      <c r="C3968" s="227" t="s">
        <v>1153</v>
      </c>
      <c r="F3968" s="227" t="s">
        <v>294</v>
      </c>
    </row>
    <row r="3969" spans="1:6" x14ac:dyDescent="0.25">
      <c r="A3969" s="227" t="str">
        <f>TL[[#This Row],[Société]]&amp;" - "&amp;TL[[#This Row],[Compte]]</f>
        <v>LYSE - 606305</v>
      </c>
      <c r="B3969" s="233" t="s">
        <v>1897</v>
      </c>
      <c r="C3969" s="227" t="s">
        <v>1435</v>
      </c>
      <c r="D3969" s="233" t="s">
        <v>23</v>
      </c>
      <c r="E3969" s="233" t="s">
        <v>2978</v>
      </c>
      <c r="F3969" s="227" t="s">
        <v>294</v>
      </c>
    </row>
    <row r="3970" spans="1:6" x14ac:dyDescent="0.25">
      <c r="A3970" s="227" t="str">
        <f>TL[[#This Row],[Société]]&amp;" - "&amp;TL[[#This Row],[Compte]]</f>
        <v>LYSE - 606400</v>
      </c>
      <c r="B3970" s="233" t="s">
        <v>1898</v>
      </c>
      <c r="C3970" s="227" t="s">
        <v>731</v>
      </c>
      <c r="D3970" s="233" t="s">
        <v>147</v>
      </c>
      <c r="E3970" s="233" t="s">
        <v>288</v>
      </c>
      <c r="F3970" s="227" t="s">
        <v>294</v>
      </c>
    </row>
    <row r="3971" spans="1:6" x14ac:dyDescent="0.25">
      <c r="A3971" s="227" t="str">
        <f>TL[[#This Row],[Société]]&amp;" - "&amp;TL[[#This Row],[Compte]]</f>
        <v>LYSE - 606401</v>
      </c>
      <c r="B3971" s="233" t="s">
        <v>1612</v>
      </c>
      <c r="C3971" s="227" t="s">
        <v>445</v>
      </c>
      <c r="D3971" s="233" t="s">
        <v>29</v>
      </c>
      <c r="E3971" s="233" t="s">
        <v>2978</v>
      </c>
      <c r="F3971" s="227" t="s">
        <v>294</v>
      </c>
    </row>
    <row r="3972" spans="1:6" x14ac:dyDescent="0.25">
      <c r="A3972" s="227" t="str">
        <f>TL[[#This Row],[Société]]&amp;" - "&amp;TL[[#This Row],[Compte]]</f>
        <v>LYSE - 606800</v>
      </c>
      <c r="B3972" s="233" t="s">
        <v>1618</v>
      </c>
      <c r="C3972" s="227" t="s">
        <v>267</v>
      </c>
      <c r="D3972" s="233" t="s">
        <v>16</v>
      </c>
      <c r="E3972" s="233" t="s">
        <v>52</v>
      </c>
      <c r="F3972" s="227" t="s">
        <v>294</v>
      </c>
    </row>
    <row r="3973" spans="1:6" x14ac:dyDescent="0.25">
      <c r="A3973" s="227" t="str">
        <f>TL[[#This Row],[Société]]&amp;" - "&amp;TL[[#This Row],[Compte]]</f>
        <v>LYSE - 609100</v>
      </c>
      <c r="B3973" s="233" t="s">
        <v>1636</v>
      </c>
      <c r="C3973" s="227" t="s">
        <v>216</v>
      </c>
      <c r="D3973" s="233" t="s">
        <v>0</v>
      </c>
      <c r="E3973" s="233" t="s">
        <v>7</v>
      </c>
      <c r="F3973" s="227" t="s">
        <v>294</v>
      </c>
    </row>
    <row r="3974" spans="1:6" x14ac:dyDescent="0.25">
      <c r="A3974" s="227" t="str">
        <f>TL[[#This Row],[Société]]&amp;" - "&amp;TL[[#This Row],[Compte]]</f>
        <v>LYSE - 611000</v>
      </c>
      <c r="B3974" s="233" t="s">
        <v>1899</v>
      </c>
      <c r="C3974" s="227" t="s">
        <v>732</v>
      </c>
      <c r="D3974" s="233" t="s">
        <v>39</v>
      </c>
      <c r="E3974" s="233" t="s">
        <v>25</v>
      </c>
      <c r="F3974" s="227" t="s">
        <v>294</v>
      </c>
    </row>
    <row r="3975" spans="1:6" x14ac:dyDescent="0.25">
      <c r="A3975" s="227" t="str">
        <f>TL[[#This Row],[Société]]&amp;" - "&amp;TL[[#This Row],[Compte]]</f>
        <v>LYSE - 611001</v>
      </c>
      <c r="B3975" s="233" t="s">
        <v>1900</v>
      </c>
      <c r="C3975" s="227" t="s">
        <v>606</v>
      </c>
      <c r="D3975" s="233" t="s">
        <v>20</v>
      </c>
      <c r="E3975" s="233" t="s">
        <v>25</v>
      </c>
      <c r="F3975" s="227" t="s">
        <v>294</v>
      </c>
    </row>
    <row r="3976" spans="1:6" x14ac:dyDescent="0.25">
      <c r="A3976" s="227" t="str">
        <f>TL[[#This Row],[Société]]&amp;" - "&amp;TL[[#This Row],[Compte]]</f>
        <v>LYSE - 611003</v>
      </c>
      <c r="B3976" s="233" t="s">
        <v>1901</v>
      </c>
      <c r="C3976" s="227" t="s">
        <v>733</v>
      </c>
      <c r="D3976" s="233" t="s">
        <v>20</v>
      </c>
      <c r="E3976" s="233" t="s">
        <v>25</v>
      </c>
      <c r="F3976" s="227" t="s">
        <v>294</v>
      </c>
    </row>
    <row r="3977" spans="1:6" x14ac:dyDescent="0.25">
      <c r="A3977" s="227" t="str">
        <f>TL[[#This Row],[Société]]&amp;" - "&amp;TL[[#This Row],[Compte]]</f>
        <v>LYSE - 611005</v>
      </c>
      <c r="B3977" s="233" t="s">
        <v>1902</v>
      </c>
      <c r="C3977" s="227" t="s">
        <v>734</v>
      </c>
      <c r="D3977" s="233" t="s">
        <v>20</v>
      </c>
      <c r="E3977" s="233" t="s">
        <v>20</v>
      </c>
      <c r="F3977" s="227" t="s">
        <v>294</v>
      </c>
    </row>
    <row r="3978" spans="1:6" x14ac:dyDescent="0.25">
      <c r="A3978" s="227" t="str">
        <f>TL[[#This Row],[Société]]&amp;" - "&amp;TL[[#This Row],[Compte]]</f>
        <v>LYSE - 612200</v>
      </c>
      <c r="B3978" s="233" t="s">
        <v>1903</v>
      </c>
      <c r="C3978" s="227" t="s">
        <v>735</v>
      </c>
      <c r="D3978" s="233" t="s">
        <v>20</v>
      </c>
      <c r="E3978" s="233" t="s">
        <v>25</v>
      </c>
      <c r="F3978" s="227" t="s">
        <v>294</v>
      </c>
    </row>
    <row r="3979" spans="1:6" x14ac:dyDescent="0.25">
      <c r="A3979" s="227" t="str">
        <f>TL[[#This Row],[Société]]&amp;" - "&amp;TL[[#This Row],[Compte]]</f>
        <v>LYSE - 613000</v>
      </c>
      <c r="B3979" s="233" t="s">
        <v>1904</v>
      </c>
      <c r="C3979" s="227" t="s">
        <v>607</v>
      </c>
      <c r="D3979" s="233" t="s">
        <v>152</v>
      </c>
      <c r="E3979" s="233" t="s">
        <v>25</v>
      </c>
      <c r="F3979" s="227" t="s">
        <v>294</v>
      </c>
    </row>
    <row r="3980" spans="1:6" x14ac:dyDescent="0.25">
      <c r="A3980" s="227" t="str">
        <f>TL[[#This Row],[Société]]&amp;" - "&amp;TL[[#This Row],[Compte]]</f>
        <v>LYSE - 613003</v>
      </c>
      <c r="B3980" s="233" t="s">
        <v>1905</v>
      </c>
      <c r="C3980" s="227" t="s">
        <v>522</v>
      </c>
      <c r="D3980" s="233" t="s">
        <v>20</v>
      </c>
      <c r="E3980" s="233" t="s">
        <v>25</v>
      </c>
      <c r="F3980" s="227" t="s">
        <v>294</v>
      </c>
    </row>
    <row r="3981" spans="1:6" x14ac:dyDescent="0.25">
      <c r="A3981" s="227" t="str">
        <f>TL[[#This Row],[Société]]&amp;" - "&amp;TL[[#This Row],[Compte]]</f>
        <v>LYSE - 613004</v>
      </c>
      <c r="B3981" s="233" t="s">
        <v>1906</v>
      </c>
      <c r="C3981" s="227" t="s">
        <v>736</v>
      </c>
      <c r="D3981" s="233" t="s">
        <v>35</v>
      </c>
      <c r="E3981" s="233" t="s">
        <v>42</v>
      </c>
      <c r="F3981" s="227" t="s">
        <v>294</v>
      </c>
    </row>
    <row r="3982" spans="1:6" x14ac:dyDescent="0.25">
      <c r="A3982" s="227" t="str">
        <f>TL[[#This Row],[Société]]&amp;" - "&amp;TL[[#This Row],[Compte]]</f>
        <v>LYSE - 613005</v>
      </c>
      <c r="B3982" s="233" t="s">
        <v>1907</v>
      </c>
      <c r="C3982" s="227" t="s">
        <v>737</v>
      </c>
      <c r="D3982" s="233" t="s">
        <v>20</v>
      </c>
      <c r="E3982" s="233" t="s">
        <v>25</v>
      </c>
      <c r="F3982" s="227" t="s">
        <v>294</v>
      </c>
    </row>
    <row r="3983" spans="1:6" x14ac:dyDescent="0.25">
      <c r="A3983" s="227" t="str">
        <f>TL[[#This Row],[Société]]&amp;" - "&amp;TL[[#This Row],[Compte]]</f>
        <v>LYSE - 613006</v>
      </c>
      <c r="B3983" s="233" t="s">
        <v>1908</v>
      </c>
      <c r="C3983" s="227" t="s">
        <v>738</v>
      </c>
      <c r="D3983" s="233" t="s">
        <v>20</v>
      </c>
      <c r="E3983" s="233" t="s">
        <v>25</v>
      </c>
      <c r="F3983" s="227" t="s">
        <v>294</v>
      </c>
    </row>
    <row r="3984" spans="1:6" x14ac:dyDescent="0.25">
      <c r="A3984" s="227" t="str">
        <f>TL[[#This Row],[Société]]&amp;" - "&amp;TL[[#This Row],[Compte]]</f>
        <v>LYSE - 613007</v>
      </c>
      <c r="B3984" s="233" t="s">
        <v>1909</v>
      </c>
      <c r="C3984" s="227" t="s">
        <v>1022</v>
      </c>
      <c r="D3984" s="233" t="s">
        <v>20</v>
      </c>
      <c r="E3984" s="233" t="s">
        <v>25</v>
      </c>
      <c r="F3984" s="227" t="s">
        <v>294</v>
      </c>
    </row>
    <row r="3985" spans="1:6" x14ac:dyDescent="0.25">
      <c r="A3985" s="227" t="str">
        <f>TL[[#This Row],[Société]]&amp;" - "&amp;TL[[#This Row],[Compte]]</f>
        <v>LYSE - 613008</v>
      </c>
      <c r="B3985" s="233" t="s">
        <v>1910</v>
      </c>
      <c r="C3985" s="227" t="s">
        <v>1436</v>
      </c>
      <c r="D3985" s="233" t="s">
        <v>20</v>
      </c>
      <c r="E3985" s="233" t="s">
        <v>25</v>
      </c>
      <c r="F3985" s="227" t="s">
        <v>294</v>
      </c>
    </row>
    <row r="3986" spans="1:6" x14ac:dyDescent="0.25">
      <c r="A3986" s="227" t="str">
        <f>TL[[#This Row],[Société]]&amp;" - "&amp;TL[[#This Row],[Compte]]</f>
        <v>LYSE - 613009</v>
      </c>
      <c r="B3986" s="233" t="s">
        <v>1911</v>
      </c>
      <c r="C3986" s="227" t="s">
        <v>518</v>
      </c>
      <c r="D3986" s="233" t="s">
        <v>50</v>
      </c>
      <c r="E3986" s="233" t="s">
        <v>50</v>
      </c>
      <c r="F3986" s="227" t="s">
        <v>294</v>
      </c>
    </row>
    <row r="3987" spans="1:6" x14ac:dyDescent="0.25">
      <c r="A3987" s="227" t="str">
        <f>TL[[#This Row],[Société]]&amp;" - "&amp;TL[[#This Row],[Compte]]</f>
        <v>LYSE - 613010</v>
      </c>
      <c r="B3987" s="233" t="s">
        <v>1912</v>
      </c>
      <c r="C3987" s="227" t="s">
        <v>739</v>
      </c>
      <c r="D3987" s="233" t="s">
        <v>20</v>
      </c>
      <c r="E3987" s="233" t="s">
        <v>25</v>
      </c>
      <c r="F3987" s="227" t="s">
        <v>294</v>
      </c>
    </row>
    <row r="3988" spans="1:6" x14ac:dyDescent="0.25">
      <c r="A3988" s="227" t="str">
        <f>TL[[#This Row],[Société]]&amp;" - "&amp;TL[[#This Row],[Compte]]</f>
        <v>LYSE - 613011</v>
      </c>
      <c r="B3988" s="233" t="s">
        <v>1913</v>
      </c>
      <c r="C3988" s="227" t="s">
        <v>489</v>
      </c>
      <c r="D3988" s="233" t="s">
        <v>50</v>
      </c>
      <c r="E3988" s="233" t="s">
        <v>50</v>
      </c>
      <c r="F3988" s="227" t="s">
        <v>294</v>
      </c>
    </row>
    <row r="3989" spans="1:6" x14ac:dyDescent="0.25">
      <c r="A3989" s="227" t="str">
        <f>TL[[#This Row],[Société]]&amp;" - "&amp;TL[[#This Row],[Compte]]</f>
        <v>LYSE - 613012</v>
      </c>
      <c r="B3989" s="233" t="s">
        <v>1914</v>
      </c>
      <c r="C3989" s="227" t="s">
        <v>491</v>
      </c>
      <c r="D3989" s="233" t="s">
        <v>50</v>
      </c>
      <c r="E3989" s="233" t="s">
        <v>50</v>
      </c>
      <c r="F3989" s="227" t="s">
        <v>294</v>
      </c>
    </row>
    <row r="3990" spans="1:6" x14ac:dyDescent="0.25">
      <c r="A3990" s="227" t="str">
        <f>TL[[#This Row],[Société]]&amp;" - "&amp;TL[[#This Row],[Compte]]</f>
        <v>LYSE - 613013</v>
      </c>
      <c r="B3990" s="233" t="s">
        <v>1915</v>
      </c>
      <c r="C3990" s="227" t="s">
        <v>496</v>
      </c>
      <c r="D3990" s="233" t="s">
        <v>50</v>
      </c>
      <c r="E3990" s="233" t="s">
        <v>50</v>
      </c>
      <c r="F3990" s="227" t="s">
        <v>294</v>
      </c>
    </row>
    <row r="3991" spans="1:6" x14ac:dyDescent="0.25">
      <c r="A3991" s="227" t="str">
        <f>TL[[#This Row],[Société]]&amp;" - "&amp;TL[[#This Row],[Compte]]</f>
        <v>LYSE - 613014</v>
      </c>
      <c r="B3991" s="233" t="s">
        <v>1916</v>
      </c>
      <c r="C3991" s="227" t="s">
        <v>1437</v>
      </c>
      <c r="D3991" s="233" t="s">
        <v>50</v>
      </c>
      <c r="E3991" s="233" t="s">
        <v>52</v>
      </c>
      <c r="F3991" s="227" t="s">
        <v>294</v>
      </c>
    </row>
    <row r="3992" spans="1:6" x14ac:dyDescent="0.25">
      <c r="A3992" s="227" t="str">
        <f>TL[[#This Row],[Société]]&amp;" - "&amp;TL[[#This Row],[Compte]]</f>
        <v>LYSE - 613015</v>
      </c>
      <c r="B3992" s="233" t="s">
        <v>1917</v>
      </c>
      <c r="C3992" s="227" t="s">
        <v>1438</v>
      </c>
      <c r="D3992" s="233" t="s">
        <v>50</v>
      </c>
      <c r="E3992" s="233" t="s">
        <v>50</v>
      </c>
      <c r="F3992" s="227" t="s">
        <v>294</v>
      </c>
    </row>
    <row r="3993" spans="1:6" x14ac:dyDescent="0.25">
      <c r="A3993" s="227" t="str">
        <f>TL[[#This Row],[Société]]&amp;" - "&amp;TL[[#This Row],[Compte]]</f>
        <v>LYSE - 613016</v>
      </c>
      <c r="B3993" s="233" t="s">
        <v>1585</v>
      </c>
      <c r="C3993" s="227" t="s">
        <v>1439</v>
      </c>
      <c r="D3993" s="233" t="s">
        <v>50</v>
      </c>
      <c r="E3993" s="233" t="s">
        <v>52</v>
      </c>
      <c r="F3993" s="227" t="s">
        <v>294</v>
      </c>
    </row>
    <row r="3994" spans="1:6" x14ac:dyDescent="0.25">
      <c r="A3994" s="227" t="str">
        <f>TL[[#This Row],[Société]]&amp;" - "&amp;TL[[#This Row],[Compte]]</f>
        <v>LYSE - 613017</v>
      </c>
      <c r="B3994" s="233" t="s">
        <v>2115</v>
      </c>
      <c r="C3994" s="227" t="s">
        <v>2127</v>
      </c>
      <c r="D3994" s="233" t="s">
        <v>50</v>
      </c>
      <c r="E3994" s="233" t="s">
        <v>52</v>
      </c>
      <c r="F3994" s="227" t="s">
        <v>294</v>
      </c>
    </row>
    <row r="3995" spans="1:6" x14ac:dyDescent="0.25">
      <c r="A3995" s="227" t="str">
        <f>TL[[#This Row],[Société]]&amp;" - "&amp;TL[[#This Row],[Compte]]</f>
        <v>LYSE - 613018</v>
      </c>
      <c r="B3995" s="233" t="s">
        <v>2114</v>
      </c>
      <c r="C3995" s="227" t="s">
        <v>2128</v>
      </c>
      <c r="D3995" s="233" t="s">
        <v>50</v>
      </c>
      <c r="E3995" s="233" t="s">
        <v>52</v>
      </c>
      <c r="F3995" s="227" t="s">
        <v>294</v>
      </c>
    </row>
    <row r="3996" spans="1:6" x14ac:dyDescent="0.25">
      <c r="A3996" s="227" t="str">
        <f>TL[[#This Row],[Société]]&amp;" - "&amp;TL[[#This Row],[Compte]]</f>
        <v>LYSE - 613019</v>
      </c>
      <c r="B3996" s="233" t="s">
        <v>2116</v>
      </c>
      <c r="C3996" s="227" t="s">
        <v>2108</v>
      </c>
      <c r="D3996" s="233" t="s">
        <v>50</v>
      </c>
      <c r="E3996" s="233" t="s">
        <v>52</v>
      </c>
      <c r="F3996" s="227" t="s">
        <v>294</v>
      </c>
    </row>
    <row r="3997" spans="1:6" x14ac:dyDescent="0.25">
      <c r="A3997" s="227" t="str">
        <f>TL[[#This Row],[Société]]&amp;" - "&amp;TL[[#This Row],[Compte]]</f>
        <v>LYSE - 613020</v>
      </c>
      <c r="B3997" s="233" t="s">
        <v>2129</v>
      </c>
      <c r="C3997" s="227" t="s">
        <v>2109</v>
      </c>
      <c r="D3997" s="233" t="s">
        <v>50</v>
      </c>
      <c r="E3997" s="233" t="s">
        <v>52</v>
      </c>
      <c r="F3997" s="227" t="s">
        <v>294</v>
      </c>
    </row>
    <row r="3998" spans="1:6" x14ac:dyDescent="0.25">
      <c r="A3998" s="227" t="str">
        <f>TL[[#This Row],[Société]]&amp;" - "&amp;TL[[#This Row],[Compte]]</f>
        <v>LYSE - 613100</v>
      </c>
      <c r="B3998" s="233" t="s">
        <v>1918</v>
      </c>
      <c r="C3998" s="227" t="s">
        <v>232</v>
      </c>
      <c r="D3998" s="233" t="s">
        <v>20</v>
      </c>
      <c r="E3998" s="233" t="s">
        <v>25</v>
      </c>
      <c r="F3998" s="227" t="s">
        <v>294</v>
      </c>
    </row>
    <row r="3999" spans="1:6" x14ac:dyDescent="0.25">
      <c r="A3999" s="227" t="str">
        <f>TL[[#This Row],[Société]]&amp;" - "&amp;TL[[#This Row],[Compte]]</f>
        <v>LYSE - 613110</v>
      </c>
      <c r="B3999" s="233" t="s">
        <v>1919</v>
      </c>
      <c r="C3999" s="227" t="s">
        <v>221</v>
      </c>
      <c r="D3999" s="233" t="s">
        <v>50</v>
      </c>
      <c r="E3999" s="233" t="s">
        <v>52</v>
      </c>
      <c r="F3999" s="227" t="s">
        <v>294</v>
      </c>
    </row>
    <row r="4000" spans="1:6" x14ac:dyDescent="0.25">
      <c r="A4000" s="227" t="str">
        <f>TL[[#This Row],[Société]]&amp;" - "&amp;TL[[#This Row],[Compte]]</f>
        <v>LYSE - 613120</v>
      </c>
      <c r="B4000" s="233" t="s">
        <v>1767</v>
      </c>
      <c r="C4000" s="227" t="s">
        <v>1440</v>
      </c>
      <c r="D4000" s="233" t="s">
        <v>20</v>
      </c>
      <c r="E4000" s="233" t="s">
        <v>25</v>
      </c>
      <c r="F4000" s="227" t="s">
        <v>294</v>
      </c>
    </row>
    <row r="4001" spans="1:6" x14ac:dyDescent="0.25">
      <c r="A4001" s="227" t="str">
        <f>TL[[#This Row],[Société]]&amp;" - "&amp;TL[[#This Row],[Compte]]</f>
        <v>LYSE - 613200</v>
      </c>
      <c r="B4001" s="233" t="s">
        <v>1587</v>
      </c>
      <c r="C4001" s="227" t="s">
        <v>443</v>
      </c>
      <c r="D4001" s="233" t="s">
        <v>35</v>
      </c>
      <c r="E4001" s="233" t="s">
        <v>2985</v>
      </c>
      <c r="F4001" s="227" t="s">
        <v>294</v>
      </c>
    </row>
    <row r="4002" spans="1:6" x14ac:dyDescent="0.25">
      <c r="A4002" s="227" t="str">
        <f>TL[[#This Row],[Société]]&amp;" - "&amp;TL[[#This Row],[Compte]]</f>
        <v>LYSE - 613500</v>
      </c>
      <c r="B4002" s="233" t="s">
        <v>1920</v>
      </c>
      <c r="C4002" s="227" t="s">
        <v>1177</v>
      </c>
      <c r="D4002" s="233" t="s">
        <v>20</v>
      </c>
      <c r="E4002" s="233" t="s">
        <v>23</v>
      </c>
      <c r="F4002" s="227" t="s">
        <v>294</v>
      </c>
    </row>
    <row r="4003" spans="1:6" x14ac:dyDescent="0.25">
      <c r="A4003" s="227" t="str">
        <f>TL[[#This Row],[Société]]&amp;" - "&amp;TL[[#This Row],[Compte]]</f>
        <v>LYSE - 613501</v>
      </c>
      <c r="B4003" s="233" t="s">
        <v>1727</v>
      </c>
      <c r="C4003" s="227" t="s">
        <v>506</v>
      </c>
      <c r="D4003" s="233" t="s">
        <v>20</v>
      </c>
      <c r="E4003" s="233" t="s">
        <v>25</v>
      </c>
      <c r="F4003" s="227" t="s">
        <v>294</v>
      </c>
    </row>
    <row r="4004" spans="1:6" x14ac:dyDescent="0.25">
      <c r="A4004" s="227" t="str">
        <f>TL[[#This Row],[Société]]&amp;" - "&amp;TL[[#This Row],[Compte]]</f>
        <v>LYSE - 613510</v>
      </c>
      <c r="B4004" s="233" t="s">
        <v>1579</v>
      </c>
      <c r="C4004" s="227" t="s">
        <v>253</v>
      </c>
      <c r="D4004" s="233" t="s">
        <v>20</v>
      </c>
      <c r="E4004" s="233" t="s">
        <v>25</v>
      </c>
      <c r="F4004" s="227" t="s">
        <v>294</v>
      </c>
    </row>
    <row r="4005" spans="1:6" x14ac:dyDescent="0.25">
      <c r="A4005" s="227" t="str">
        <f>TL[[#This Row],[Société]]&amp;" - "&amp;TL[[#This Row],[Compte]]</f>
        <v>LYSE - 613520</v>
      </c>
      <c r="B4005" s="233" t="s">
        <v>1599</v>
      </c>
      <c r="C4005" s="227" t="s">
        <v>1441</v>
      </c>
      <c r="D4005" s="233" t="s">
        <v>20</v>
      </c>
      <c r="E4005" s="233" t="s">
        <v>25</v>
      </c>
      <c r="F4005" s="227" t="s">
        <v>294</v>
      </c>
    </row>
    <row r="4006" spans="1:6" x14ac:dyDescent="0.25">
      <c r="A4006" s="227" t="str">
        <f>TL[[#This Row],[Société]]&amp;" - "&amp;TL[[#This Row],[Compte]]</f>
        <v>LYSE - 614000</v>
      </c>
      <c r="B4006" s="233" t="s">
        <v>1921</v>
      </c>
      <c r="C4006" s="227" t="s">
        <v>1343</v>
      </c>
      <c r="D4006" s="233" t="s">
        <v>42</v>
      </c>
      <c r="E4006" s="233" t="s">
        <v>40</v>
      </c>
      <c r="F4006" s="227" t="s">
        <v>294</v>
      </c>
    </row>
    <row r="4007" spans="1:6" x14ac:dyDescent="0.25">
      <c r="A4007" s="227" t="str">
        <f>TL[[#This Row],[Société]]&amp;" - "&amp;TL[[#This Row],[Compte]]</f>
        <v>LYSE - 614100</v>
      </c>
      <c r="B4007" s="233" t="s">
        <v>1784</v>
      </c>
      <c r="C4007" s="227" t="s">
        <v>450</v>
      </c>
      <c r="D4007" s="233" t="s">
        <v>42</v>
      </c>
      <c r="E4007" s="233" t="s">
        <v>40</v>
      </c>
      <c r="F4007" s="227" t="s">
        <v>294</v>
      </c>
    </row>
    <row r="4008" spans="1:6" x14ac:dyDescent="0.25">
      <c r="A4008" s="227" t="str">
        <f>TL[[#This Row],[Société]]&amp;" - "&amp;TL[[#This Row],[Compte]]</f>
        <v>LYSE - 615001</v>
      </c>
      <c r="B4008" s="233" t="s">
        <v>1922</v>
      </c>
      <c r="C4008" s="227" t="s">
        <v>893</v>
      </c>
      <c r="D4008" s="233" t="s">
        <v>25</v>
      </c>
      <c r="E4008" s="233" t="s">
        <v>23</v>
      </c>
      <c r="F4008" s="227" t="s">
        <v>294</v>
      </c>
    </row>
    <row r="4009" spans="1:6" x14ac:dyDescent="0.25">
      <c r="A4009" s="227" t="str">
        <f>TL[[#This Row],[Société]]&amp;" - "&amp;TL[[#This Row],[Compte]]</f>
        <v>LYSE - 615003</v>
      </c>
      <c r="B4009" s="233" t="s">
        <v>1923</v>
      </c>
      <c r="C4009" s="227" t="s">
        <v>740</v>
      </c>
      <c r="D4009" s="233" t="s">
        <v>25</v>
      </c>
      <c r="E4009" s="233" t="s">
        <v>23</v>
      </c>
      <c r="F4009" s="227" t="s">
        <v>294</v>
      </c>
    </row>
    <row r="4010" spans="1:6" x14ac:dyDescent="0.25">
      <c r="A4010" s="227" t="str">
        <f>TL[[#This Row],[Société]]&amp;" - "&amp;TL[[#This Row],[Compte]]</f>
        <v>LYSE - 615004</v>
      </c>
      <c r="B4010" s="233" t="s">
        <v>1924</v>
      </c>
      <c r="C4010" s="227" t="s">
        <v>741</v>
      </c>
      <c r="D4010" s="233" t="s">
        <v>20</v>
      </c>
      <c r="E4010" s="233" t="s">
        <v>20</v>
      </c>
      <c r="F4010" s="227" t="s">
        <v>294</v>
      </c>
    </row>
    <row r="4011" spans="1:6" x14ac:dyDescent="0.25">
      <c r="A4011" s="227" t="str">
        <f>TL[[#This Row],[Société]]&amp;" - "&amp;TL[[#This Row],[Compte]]</f>
        <v>LYSE - 615005</v>
      </c>
      <c r="B4011" s="233" t="s">
        <v>1925</v>
      </c>
      <c r="C4011" s="227" t="s">
        <v>608</v>
      </c>
      <c r="D4011" s="233" t="s">
        <v>20</v>
      </c>
      <c r="E4011" s="233" t="s">
        <v>25</v>
      </c>
      <c r="F4011" s="227" t="s">
        <v>294</v>
      </c>
    </row>
    <row r="4012" spans="1:6" x14ac:dyDescent="0.25">
      <c r="A4012" s="227" t="str">
        <f>TL[[#This Row],[Société]]&amp;" - "&amp;TL[[#This Row],[Compte]]</f>
        <v>LYSE - 615006</v>
      </c>
      <c r="B4012" s="233" t="s">
        <v>1926</v>
      </c>
      <c r="C4012" s="227" t="s">
        <v>742</v>
      </c>
      <c r="D4012" s="233" t="s">
        <v>20</v>
      </c>
      <c r="E4012" s="233" t="s">
        <v>25</v>
      </c>
      <c r="F4012" s="227" t="s">
        <v>294</v>
      </c>
    </row>
    <row r="4013" spans="1:6" x14ac:dyDescent="0.25">
      <c r="A4013" s="227" t="str">
        <f>TL[[#This Row],[Société]]&amp;" - "&amp;TL[[#This Row],[Compte]]</f>
        <v>LYSE - 615009</v>
      </c>
      <c r="B4013" s="233" t="s">
        <v>1927</v>
      </c>
      <c r="C4013" s="227" t="s">
        <v>743</v>
      </c>
      <c r="D4013" s="240" t="s">
        <v>25</v>
      </c>
      <c r="E4013" s="233" t="s">
        <v>23</v>
      </c>
      <c r="F4013" s="227" t="s">
        <v>294</v>
      </c>
    </row>
    <row r="4014" spans="1:6" x14ac:dyDescent="0.25">
      <c r="A4014" s="227" t="str">
        <f>TL[[#This Row],[Société]]&amp;" - "&amp;TL[[#This Row],[Compte]]</f>
        <v>LYSE - 615011</v>
      </c>
      <c r="B4014" s="233" t="s">
        <v>1928</v>
      </c>
      <c r="C4014" s="227" t="s">
        <v>609</v>
      </c>
      <c r="D4014" s="233" t="s">
        <v>20</v>
      </c>
      <c r="E4014" s="233" t="s">
        <v>25</v>
      </c>
      <c r="F4014" s="227" t="s">
        <v>294</v>
      </c>
    </row>
    <row r="4015" spans="1:6" x14ac:dyDescent="0.25">
      <c r="A4015" s="227" t="str">
        <f>TL[[#This Row],[Société]]&amp;" - "&amp;TL[[#This Row],[Compte]]</f>
        <v>LYSE - 615012</v>
      </c>
      <c r="B4015" s="233" t="s">
        <v>1929</v>
      </c>
      <c r="C4015" s="227" t="s">
        <v>610</v>
      </c>
      <c r="D4015" s="233" t="s">
        <v>20</v>
      </c>
      <c r="E4015" s="233" t="s">
        <v>25</v>
      </c>
      <c r="F4015" s="227" t="s">
        <v>294</v>
      </c>
    </row>
    <row r="4016" spans="1:6" x14ac:dyDescent="0.25">
      <c r="A4016" s="227" t="str">
        <f>TL[[#This Row],[Société]]&amp;" - "&amp;TL[[#This Row],[Compte]]</f>
        <v>LYSE - 615013</v>
      </c>
      <c r="B4016" s="233" t="s">
        <v>1930</v>
      </c>
      <c r="C4016" s="227" t="s">
        <v>744</v>
      </c>
      <c r="F4016" s="227" t="s">
        <v>294</v>
      </c>
    </row>
    <row r="4017" spans="1:6" x14ac:dyDescent="0.25">
      <c r="A4017" s="227" t="str">
        <f>TL[[#This Row],[Société]]&amp;" - "&amp;TL[[#This Row],[Compte]]</f>
        <v>LYSE - 615015</v>
      </c>
      <c r="B4017" s="233" t="s">
        <v>1931</v>
      </c>
      <c r="C4017" s="227" t="s">
        <v>745</v>
      </c>
      <c r="D4017" s="239" t="s">
        <v>50</v>
      </c>
      <c r="E4017" s="233" t="s">
        <v>2982</v>
      </c>
      <c r="F4017" s="227" t="s">
        <v>294</v>
      </c>
    </row>
    <row r="4018" spans="1:6" x14ac:dyDescent="0.25">
      <c r="A4018" s="227" t="str">
        <f>TL[[#This Row],[Société]]&amp;" - "&amp;TL[[#This Row],[Compte]]</f>
        <v>LYSE - 615016</v>
      </c>
      <c r="B4018" s="233" t="s">
        <v>1932</v>
      </c>
      <c r="C4018" s="227" t="s">
        <v>519</v>
      </c>
      <c r="D4018" s="233" t="s">
        <v>20</v>
      </c>
      <c r="E4018" s="233" t="s">
        <v>25</v>
      </c>
      <c r="F4018" s="227" t="s">
        <v>294</v>
      </c>
    </row>
    <row r="4019" spans="1:6" x14ac:dyDescent="0.25">
      <c r="A4019" s="227" t="str">
        <f>TL[[#This Row],[Société]]&amp;" - "&amp;TL[[#This Row],[Compte]]</f>
        <v>LYSE - 615017</v>
      </c>
      <c r="B4019" s="233" t="s">
        <v>1933</v>
      </c>
      <c r="C4019" s="227" t="s">
        <v>746</v>
      </c>
      <c r="D4019" s="233" t="s">
        <v>20</v>
      </c>
      <c r="E4019" s="233" t="s">
        <v>25</v>
      </c>
      <c r="F4019" s="227" t="s">
        <v>294</v>
      </c>
    </row>
    <row r="4020" spans="1:6" x14ac:dyDescent="0.25">
      <c r="A4020" s="227" t="str">
        <f>TL[[#This Row],[Société]]&amp;" - "&amp;TL[[#This Row],[Compte]]</f>
        <v>LYSE - 615200</v>
      </c>
      <c r="B4020" s="233" t="s">
        <v>1629</v>
      </c>
      <c r="C4020" s="227" t="s">
        <v>154</v>
      </c>
      <c r="D4020" s="233" t="s">
        <v>20</v>
      </c>
      <c r="E4020" s="233" t="s">
        <v>25</v>
      </c>
      <c r="F4020" s="227" t="s">
        <v>294</v>
      </c>
    </row>
    <row r="4021" spans="1:6" x14ac:dyDescent="0.25">
      <c r="A4021" s="227" t="str">
        <f>TL[[#This Row],[Société]]&amp;" - "&amp;TL[[#This Row],[Compte]]</f>
        <v>LYSE - 615210</v>
      </c>
      <c r="B4021" s="233" t="s">
        <v>1602</v>
      </c>
      <c r="C4021" s="227" t="s">
        <v>260</v>
      </c>
      <c r="D4021" s="233" t="s">
        <v>20</v>
      </c>
      <c r="E4021" s="233" t="s">
        <v>18</v>
      </c>
      <c r="F4021" s="227" t="s">
        <v>294</v>
      </c>
    </row>
    <row r="4022" spans="1:6" x14ac:dyDescent="0.25">
      <c r="A4022" s="227" t="str">
        <f>TL[[#This Row],[Société]]&amp;" - "&amp;TL[[#This Row],[Compte]]</f>
        <v>LYSE - 615211</v>
      </c>
      <c r="B4022" s="233" t="s">
        <v>1934</v>
      </c>
      <c r="C4022" s="227" t="s">
        <v>747</v>
      </c>
      <c r="D4022" s="233" t="s">
        <v>20</v>
      </c>
      <c r="E4022" s="233" t="s">
        <v>25</v>
      </c>
      <c r="F4022" s="227" t="s">
        <v>294</v>
      </c>
    </row>
    <row r="4023" spans="1:6" x14ac:dyDescent="0.25">
      <c r="A4023" s="227" t="str">
        <f>TL[[#This Row],[Société]]&amp;" - "&amp;TL[[#This Row],[Compte]]</f>
        <v>LYSE - 615500</v>
      </c>
      <c r="B4023" s="233" t="s">
        <v>1589</v>
      </c>
      <c r="C4023" s="227" t="s">
        <v>444</v>
      </c>
      <c r="D4023" s="233" t="s">
        <v>25</v>
      </c>
      <c r="E4023" s="233" t="s">
        <v>23</v>
      </c>
      <c r="F4023" s="227" t="s">
        <v>294</v>
      </c>
    </row>
    <row r="4024" spans="1:6" x14ac:dyDescent="0.25">
      <c r="A4024" s="227" t="str">
        <f>TL[[#This Row],[Société]]&amp;" - "&amp;TL[[#This Row],[Compte]]</f>
        <v>LYSE - 615520</v>
      </c>
      <c r="B4024" s="233" t="s">
        <v>1935</v>
      </c>
      <c r="C4024" s="227" t="s">
        <v>490</v>
      </c>
      <c r="D4024" s="233" t="s">
        <v>50</v>
      </c>
      <c r="E4024" s="233" t="s">
        <v>23</v>
      </c>
      <c r="F4024" s="227" t="s">
        <v>294</v>
      </c>
    </row>
    <row r="4025" spans="1:6" x14ac:dyDescent="0.25">
      <c r="A4025" s="227" t="str">
        <f>TL[[#This Row],[Société]]&amp;" - "&amp;TL[[#This Row],[Compte]]</f>
        <v>LYSE - 615600</v>
      </c>
      <c r="B4025" s="233" t="s">
        <v>1627</v>
      </c>
      <c r="C4025" s="227" t="s">
        <v>486</v>
      </c>
      <c r="D4025" s="233" t="s">
        <v>20</v>
      </c>
      <c r="E4025" s="233" t="s">
        <v>25</v>
      </c>
      <c r="F4025" s="227" t="s">
        <v>294</v>
      </c>
    </row>
    <row r="4026" spans="1:6" x14ac:dyDescent="0.25">
      <c r="A4026" s="227" t="str">
        <f>TL[[#This Row],[Société]]&amp;" - "&amp;TL[[#This Row],[Compte]]</f>
        <v>LYSE - 615610</v>
      </c>
      <c r="B4026" s="233" t="s">
        <v>1779</v>
      </c>
      <c r="C4026" s="227" t="s">
        <v>503</v>
      </c>
      <c r="D4026" s="233" t="s">
        <v>20</v>
      </c>
      <c r="E4026" s="233" t="s">
        <v>25</v>
      </c>
      <c r="F4026" s="227" t="s">
        <v>294</v>
      </c>
    </row>
    <row r="4027" spans="1:6" x14ac:dyDescent="0.25">
      <c r="A4027" s="227" t="str">
        <f>TL[[#This Row],[Société]]&amp;" - "&amp;TL[[#This Row],[Compte]]</f>
        <v>LYSE - 615611</v>
      </c>
      <c r="B4027" s="233" t="s">
        <v>1608</v>
      </c>
      <c r="C4027" s="227" t="s">
        <v>481</v>
      </c>
      <c r="D4027" s="233" t="s">
        <v>20</v>
      </c>
      <c r="E4027" s="233" t="s">
        <v>25</v>
      </c>
      <c r="F4027" s="227" t="s">
        <v>294</v>
      </c>
    </row>
    <row r="4028" spans="1:6" x14ac:dyDescent="0.25">
      <c r="A4028" s="227" t="str">
        <f>TL[[#This Row],[Société]]&amp;" - "&amp;TL[[#This Row],[Compte]]</f>
        <v>LYSE - 615612</v>
      </c>
      <c r="B4028" s="233" t="s">
        <v>1635</v>
      </c>
      <c r="C4028" s="227" t="s">
        <v>1344</v>
      </c>
      <c r="D4028" s="233" t="s">
        <v>20</v>
      </c>
      <c r="E4028" s="233" t="s">
        <v>25</v>
      </c>
      <c r="F4028" s="227" t="s">
        <v>294</v>
      </c>
    </row>
    <row r="4029" spans="1:6" x14ac:dyDescent="0.25">
      <c r="A4029" s="227" t="str">
        <f>TL[[#This Row],[Société]]&amp;" - "&amp;TL[[#This Row],[Compte]]</f>
        <v>LYSE - 615613</v>
      </c>
      <c r="B4029" s="233" t="s">
        <v>1617</v>
      </c>
      <c r="C4029" s="227" t="s">
        <v>447</v>
      </c>
      <c r="D4029" s="233" t="s">
        <v>20</v>
      </c>
      <c r="E4029" s="233" t="s">
        <v>25</v>
      </c>
      <c r="F4029" s="227" t="s">
        <v>294</v>
      </c>
    </row>
    <row r="4030" spans="1:6" x14ac:dyDescent="0.25">
      <c r="A4030" s="227" t="str">
        <f>TL[[#This Row],[Société]]&amp;" - "&amp;TL[[#This Row],[Compte]]</f>
        <v>LYSE - 615614</v>
      </c>
      <c r="B4030" s="233" t="s">
        <v>1620</v>
      </c>
      <c r="C4030" s="227" t="s">
        <v>449</v>
      </c>
      <c r="D4030" s="233" t="s">
        <v>20</v>
      </c>
      <c r="E4030" s="233" t="s">
        <v>25</v>
      </c>
      <c r="F4030" s="227" t="s">
        <v>294</v>
      </c>
    </row>
    <row r="4031" spans="1:6" x14ac:dyDescent="0.25">
      <c r="A4031" s="227" t="str">
        <f>TL[[#This Row],[Société]]&amp;" - "&amp;TL[[#This Row],[Compte]]</f>
        <v>LYSE - 615615</v>
      </c>
      <c r="B4031" s="233" t="s">
        <v>1598</v>
      </c>
      <c r="C4031" s="227" t="s">
        <v>451</v>
      </c>
      <c r="D4031" s="233" t="s">
        <v>20</v>
      </c>
      <c r="E4031" s="233" t="s">
        <v>18</v>
      </c>
      <c r="F4031" s="227" t="s">
        <v>294</v>
      </c>
    </row>
    <row r="4032" spans="1:6" x14ac:dyDescent="0.25">
      <c r="A4032" s="227" t="str">
        <f>TL[[#This Row],[Société]]&amp;" - "&amp;TL[[#This Row],[Compte]]</f>
        <v>LYSE - 615616</v>
      </c>
      <c r="B4032" s="233" t="s">
        <v>1625</v>
      </c>
      <c r="C4032" s="227" t="s">
        <v>484</v>
      </c>
      <c r="D4032" s="233" t="s">
        <v>20</v>
      </c>
      <c r="E4032" s="233" t="s">
        <v>25</v>
      </c>
      <c r="F4032" s="227" t="s">
        <v>294</v>
      </c>
    </row>
    <row r="4033" spans="1:6" x14ac:dyDescent="0.25">
      <c r="A4033" s="227" t="str">
        <f>TL[[#This Row],[Société]]&amp;" - "&amp;TL[[#This Row],[Compte]]</f>
        <v>LYSE - 615617</v>
      </c>
      <c r="B4033" s="233" t="s">
        <v>1611</v>
      </c>
      <c r="C4033" s="227" t="s">
        <v>446</v>
      </c>
      <c r="D4033" s="233" t="s">
        <v>20</v>
      </c>
      <c r="E4033" s="233" t="s">
        <v>25</v>
      </c>
      <c r="F4033" s="227" t="s">
        <v>294</v>
      </c>
    </row>
    <row r="4034" spans="1:6" x14ac:dyDescent="0.25">
      <c r="A4034" s="227" t="str">
        <f>TL[[#This Row],[Société]]&amp;" - "&amp;TL[[#This Row],[Compte]]</f>
        <v>LYSE - 615618</v>
      </c>
      <c r="B4034" s="233" t="s">
        <v>1582</v>
      </c>
      <c r="C4034" s="227" t="s">
        <v>233</v>
      </c>
      <c r="D4034" s="233" t="s">
        <v>20</v>
      </c>
      <c r="E4034" s="233" t="s">
        <v>25</v>
      </c>
      <c r="F4034" s="227" t="s">
        <v>294</v>
      </c>
    </row>
    <row r="4035" spans="1:6" x14ac:dyDescent="0.25">
      <c r="A4035" s="227" t="str">
        <f>TL[[#This Row],[Société]]&amp;" - "&amp;TL[[#This Row],[Compte]]</f>
        <v>LYSE - 615619</v>
      </c>
      <c r="B4035" s="233" t="s">
        <v>1936</v>
      </c>
      <c r="C4035" s="227" t="s">
        <v>508</v>
      </c>
      <c r="D4035" s="233" t="s">
        <v>20</v>
      </c>
      <c r="E4035" s="233" t="s">
        <v>18</v>
      </c>
      <c r="F4035" s="227" t="s">
        <v>294</v>
      </c>
    </row>
    <row r="4036" spans="1:6" x14ac:dyDescent="0.25">
      <c r="A4036" s="227" t="str">
        <f>TL[[#This Row],[Société]]&amp;" - "&amp;TL[[#This Row],[Compte]]</f>
        <v>LYSE - 615620</v>
      </c>
      <c r="B4036" s="233" t="s">
        <v>1583</v>
      </c>
      <c r="C4036" s="227" t="s">
        <v>459</v>
      </c>
      <c r="D4036" s="233" t="s">
        <v>20</v>
      </c>
      <c r="E4036" s="233" t="s">
        <v>20</v>
      </c>
      <c r="F4036" s="227" t="s">
        <v>294</v>
      </c>
    </row>
    <row r="4037" spans="1:6" x14ac:dyDescent="0.25">
      <c r="A4037" s="227" t="str">
        <f>TL[[#This Row],[Société]]&amp;" - "&amp;TL[[#This Row],[Compte]]</f>
        <v>LYSE - 615621</v>
      </c>
      <c r="B4037" s="233" t="s">
        <v>1595</v>
      </c>
      <c r="C4037" s="227" t="s">
        <v>488</v>
      </c>
      <c r="D4037" s="233" t="s">
        <v>20</v>
      </c>
      <c r="E4037" s="233" t="s">
        <v>25</v>
      </c>
      <c r="F4037" s="227" t="s">
        <v>294</v>
      </c>
    </row>
    <row r="4038" spans="1:6" x14ac:dyDescent="0.25">
      <c r="A4038" s="227" t="str">
        <f>TL[[#This Row],[Société]]&amp;" - "&amp;TL[[#This Row],[Compte]]</f>
        <v>LYSE - 615622</v>
      </c>
      <c r="B4038" s="233" t="s">
        <v>1614</v>
      </c>
      <c r="C4038" s="227" t="s">
        <v>1345</v>
      </c>
      <c r="D4038" s="233" t="s">
        <v>20</v>
      </c>
      <c r="E4038" s="233" t="s">
        <v>25</v>
      </c>
      <c r="F4038" s="227" t="s">
        <v>294</v>
      </c>
    </row>
    <row r="4039" spans="1:6" x14ac:dyDescent="0.25">
      <c r="A4039" s="227" t="str">
        <f>TL[[#This Row],[Société]]&amp;" - "&amp;TL[[#This Row],[Compte]]</f>
        <v>LYSE - 615623</v>
      </c>
      <c r="B4039" s="233" t="s">
        <v>1626</v>
      </c>
      <c r="C4039" s="227" t="s">
        <v>2959</v>
      </c>
      <c r="D4039" s="233" t="s">
        <v>20</v>
      </c>
      <c r="E4039" s="233" t="s">
        <v>25</v>
      </c>
      <c r="F4039" s="227" t="s">
        <v>294</v>
      </c>
    </row>
    <row r="4040" spans="1:6" x14ac:dyDescent="0.25">
      <c r="A4040" s="227" t="str">
        <f>TL[[#This Row],[Société]]&amp;" - "&amp;TL[[#This Row],[Compte]]</f>
        <v>LYSE - 615624</v>
      </c>
      <c r="B4040" s="233" t="s">
        <v>1937</v>
      </c>
      <c r="C4040" s="227" t="s">
        <v>748</v>
      </c>
      <c r="D4040" s="233" t="s">
        <v>20</v>
      </c>
      <c r="E4040" s="233" t="s">
        <v>25</v>
      </c>
      <c r="F4040" s="227" t="s">
        <v>294</v>
      </c>
    </row>
    <row r="4041" spans="1:6" x14ac:dyDescent="0.25">
      <c r="A4041" s="227" t="str">
        <f>TL[[#This Row],[Société]]&amp;" - "&amp;TL[[#This Row],[Compte]]</f>
        <v>LYSE - 615625</v>
      </c>
      <c r="B4041" s="233" t="s">
        <v>1785</v>
      </c>
      <c r="C4041" s="227" t="s">
        <v>235</v>
      </c>
      <c r="D4041" s="233" t="s">
        <v>20</v>
      </c>
      <c r="E4041" s="233" t="s">
        <v>25</v>
      </c>
      <c r="F4041" s="227" t="s">
        <v>294</v>
      </c>
    </row>
    <row r="4042" spans="1:6" x14ac:dyDescent="0.25">
      <c r="A4042" s="227" t="str">
        <f>TL[[#This Row],[Société]]&amp;" - "&amp;TL[[#This Row],[Compte]]</f>
        <v>LYSE - 615626</v>
      </c>
      <c r="B4042" s="233" t="s">
        <v>1938</v>
      </c>
      <c r="C4042" s="227" t="s">
        <v>1346</v>
      </c>
      <c r="D4042" s="233" t="s">
        <v>20</v>
      </c>
      <c r="E4042" s="233" t="s">
        <v>25</v>
      </c>
      <c r="F4042" s="227" t="s">
        <v>294</v>
      </c>
    </row>
    <row r="4043" spans="1:6" x14ac:dyDescent="0.25">
      <c r="A4043" s="227" t="str">
        <f>TL[[#This Row],[Société]]&amp;" - "&amp;TL[[#This Row],[Compte]]</f>
        <v>LYSE - 615627</v>
      </c>
      <c r="B4043" s="233" t="s">
        <v>1624</v>
      </c>
      <c r="C4043" s="227" t="s">
        <v>389</v>
      </c>
      <c r="D4043" s="233" t="s">
        <v>20</v>
      </c>
      <c r="E4043" s="233" t="s">
        <v>25</v>
      </c>
      <c r="F4043" s="227" t="s">
        <v>294</v>
      </c>
    </row>
    <row r="4044" spans="1:6" x14ac:dyDescent="0.25">
      <c r="A4044" s="227" t="str">
        <f>TL[[#This Row],[Société]]&amp;" - "&amp;TL[[#This Row],[Compte]]</f>
        <v>LYSE - 615628</v>
      </c>
      <c r="B4044" s="233" t="s">
        <v>1593</v>
      </c>
      <c r="C4044" s="227" t="s">
        <v>418</v>
      </c>
      <c r="D4044" s="233" t="s">
        <v>20</v>
      </c>
      <c r="E4044" s="233" t="s">
        <v>20</v>
      </c>
      <c r="F4044" s="227" t="s">
        <v>294</v>
      </c>
    </row>
    <row r="4045" spans="1:6" x14ac:dyDescent="0.25">
      <c r="A4045" s="227" t="str">
        <f>TL[[#This Row],[Société]]&amp;" - "&amp;TL[[#This Row],[Compte]]</f>
        <v>LYSE - 615629</v>
      </c>
      <c r="B4045" s="233" t="s">
        <v>1939</v>
      </c>
      <c r="C4045" s="227" t="s">
        <v>1031</v>
      </c>
      <c r="D4045" s="233" t="s">
        <v>20</v>
      </c>
      <c r="E4045" s="233" t="s">
        <v>25</v>
      </c>
      <c r="F4045" s="227" t="s">
        <v>294</v>
      </c>
    </row>
    <row r="4046" spans="1:6" x14ac:dyDescent="0.25">
      <c r="A4046" s="227" t="str">
        <f>TL[[#This Row],[Société]]&amp;" - "&amp;TL[[#This Row],[Compte]]</f>
        <v>LYSE - 615630</v>
      </c>
      <c r="B4046" s="233" t="s">
        <v>1597</v>
      </c>
      <c r="C4046" s="227" t="s">
        <v>476</v>
      </c>
      <c r="D4046" s="233" t="s">
        <v>20</v>
      </c>
      <c r="E4046" s="233" t="s">
        <v>25</v>
      </c>
      <c r="F4046" s="227" t="s">
        <v>294</v>
      </c>
    </row>
    <row r="4047" spans="1:6" x14ac:dyDescent="0.25">
      <c r="A4047" s="227" t="str">
        <f>TL[[#This Row],[Société]]&amp;" - "&amp;TL[[#This Row],[Compte]]</f>
        <v>LYSE - 615631</v>
      </c>
      <c r="B4047" s="233" t="s">
        <v>1768</v>
      </c>
      <c r="C4047" s="227" t="s">
        <v>528</v>
      </c>
      <c r="D4047" s="233" t="s">
        <v>20</v>
      </c>
      <c r="E4047" s="233" t="s">
        <v>25</v>
      </c>
      <c r="F4047" s="227" t="s">
        <v>294</v>
      </c>
    </row>
    <row r="4048" spans="1:6" x14ac:dyDescent="0.25">
      <c r="A4048" s="227" t="str">
        <f>TL[[#This Row],[Société]]&amp;" - "&amp;TL[[#This Row],[Compte]]</f>
        <v>LYSE - 615632</v>
      </c>
      <c r="B4048" s="233" t="s">
        <v>1613</v>
      </c>
      <c r="C4048" s="227" t="s">
        <v>453</v>
      </c>
      <c r="D4048" s="233" t="s">
        <v>20</v>
      </c>
      <c r="E4048" s="233" t="s">
        <v>25</v>
      </c>
      <c r="F4048" s="227" t="s">
        <v>294</v>
      </c>
    </row>
    <row r="4049" spans="1:6" x14ac:dyDescent="0.25">
      <c r="A4049" s="227" t="str">
        <f>TL[[#This Row],[Société]]&amp;" - "&amp;TL[[#This Row],[Compte]]</f>
        <v>LYSE - 615633</v>
      </c>
      <c r="B4049" s="233" t="s">
        <v>1771</v>
      </c>
      <c r="C4049" s="227" t="s">
        <v>314</v>
      </c>
      <c r="D4049" s="233" t="s">
        <v>20</v>
      </c>
      <c r="E4049" s="233" t="s">
        <v>25</v>
      </c>
      <c r="F4049" s="227" t="s">
        <v>294</v>
      </c>
    </row>
    <row r="4050" spans="1:6" x14ac:dyDescent="0.25">
      <c r="A4050" s="227" t="str">
        <f>TL[[#This Row],[Société]]&amp;" - "&amp;TL[[#This Row],[Compte]]</f>
        <v>LYSE - 615634</v>
      </c>
      <c r="B4050" s="233" t="s">
        <v>1795</v>
      </c>
      <c r="C4050" s="227" t="s">
        <v>505</v>
      </c>
      <c r="D4050" s="233" t="s">
        <v>20</v>
      </c>
      <c r="E4050" s="233" t="s">
        <v>25</v>
      </c>
      <c r="F4050" s="227" t="s">
        <v>294</v>
      </c>
    </row>
    <row r="4051" spans="1:6" x14ac:dyDescent="0.25">
      <c r="A4051" s="227" t="str">
        <f>TL[[#This Row],[Société]]&amp;" - "&amp;TL[[#This Row],[Compte]]</f>
        <v>LYSE - 615635</v>
      </c>
      <c r="B4051" s="233" t="s">
        <v>1940</v>
      </c>
      <c r="C4051" s="227" t="s">
        <v>511</v>
      </c>
      <c r="D4051" s="233" t="s">
        <v>20</v>
      </c>
      <c r="E4051" s="233" t="s">
        <v>23</v>
      </c>
      <c r="F4051" s="227" t="s">
        <v>294</v>
      </c>
    </row>
    <row r="4052" spans="1:6" x14ac:dyDescent="0.25">
      <c r="A4052" s="227" t="str">
        <f>TL[[#This Row],[Société]]&amp;" - "&amp;TL[[#This Row],[Compte]]</f>
        <v>LYSE - 615636</v>
      </c>
      <c r="B4052" s="233" t="s">
        <v>1772</v>
      </c>
      <c r="C4052" s="227" t="s">
        <v>249</v>
      </c>
      <c r="D4052" s="233" t="s">
        <v>20</v>
      </c>
      <c r="E4052" s="233" t="s">
        <v>25</v>
      </c>
      <c r="F4052" s="227" t="s">
        <v>294</v>
      </c>
    </row>
    <row r="4053" spans="1:6" x14ac:dyDescent="0.25">
      <c r="A4053" s="227" t="str">
        <f>TL[[#This Row],[Société]]&amp;" - "&amp;TL[[#This Row],[Compte]]</f>
        <v>LYSE - 615637</v>
      </c>
      <c r="B4053" s="233" t="s">
        <v>1628</v>
      </c>
      <c r="C4053" s="227" t="s">
        <v>497</v>
      </c>
      <c r="D4053" s="233" t="s">
        <v>20</v>
      </c>
      <c r="E4053" s="233" t="s">
        <v>25</v>
      </c>
      <c r="F4053" s="227" t="s">
        <v>294</v>
      </c>
    </row>
    <row r="4054" spans="1:6" x14ac:dyDescent="0.25">
      <c r="A4054" s="227" t="str">
        <f>TL[[#This Row],[Société]]&amp;" - "&amp;TL[[#This Row],[Compte]]</f>
        <v>LYSE - 615638</v>
      </c>
      <c r="B4054" s="233" t="s">
        <v>1941</v>
      </c>
      <c r="C4054" s="227" t="s">
        <v>1442</v>
      </c>
      <c r="D4054" s="233" t="s">
        <v>20</v>
      </c>
      <c r="E4054" s="233" t="s">
        <v>25</v>
      </c>
      <c r="F4054" s="227" t="s">
        <v>294</v>
      </c>
    </row>
    <row r="4055" spans="1:6" x14ac:dyDescent="0.25">
      <c r="A4055" s="227" t="str">
        <f>TL[[#This Row],[Société]]&amp;" - "&amp;TL[[#This Row],[Compte]]</f>
        <v>LYSE - 615639</v>
      </c>
      <c r="B4055" s="233" t="s">
        <v>1592</v>
      </c>
      <c r="C4055" s="227" t="s">
        <v>1443</v>
      </c>
      <c r="D4055" s="233" t="s">
        <v>20</v>
      </c>
      <c r="E4055" s="233" t="s">
        <v>25</v>
      </c>
      <c r="F4055" s="227" t="s">
        <v>294</v>
      </c>
    </row>
    <row r="4056" spans="1:6" x14ac:dyDescent="0.25">
      <c r="A4056" s="227" t="str">
        <f>TL[[#This Row],[Société]]&amp;" - "&amp;TL[[#This Row],[Compte]]</f>
        <v>LYSE - 615640</v>
      </c>
      <c r="B4056" s="233" t="s">
        <v>1769</v>
      </c>
      <c r="C4056" s="227" t="s">
        <v>1547</v>
      </c>
      <c r="D4056" s="233" t="s">
        <v>20</v>
      </c>
      <c r="E4056" s="233" t="s">
        <v>25</v>
      </c>
      <c r="F4056" s="227" t="s">
        <v>294</v>
      </c>
    </row>
    <row r="4057" spans="1:6" x14ac:dyDescent="0.25">
      <c r="A4057" s="227" t="str">
        <f>TL[[#This Row],[Société]]&amp;" - "&amp;TL[[#This Row],[Compte]]</f>
        <v>LYSE - 615641</v>
      </c>
      <c r="B4057" s="233" t="s">
        <v>2096</v>
      </c>
      <c r="C4057" s="227" t="s">
        <v>1488</v>
      </c>
      <c r="D4057" s="233" t="s">
        <v>20</v>
      </c>
      <c r="E4057" s="233" t="s">
        <v>25</v>
      </c>
      <c r="F4057" s="227" t="s">
        <v>294</v>
      </c>
    </row>
    <row r="4058" spans="1:6" x14ac:dyDescent="0.25">
      <c r="A4058" s="227" t="str">
        <f>TL[[#This Row],[Société]]&amp;" - "&amp;TL[[#This Row],[Compte]]</f>
        <v>LYSE - 615642</v>
      </c>
      <c r="B4058" s="233" t="s">
        <v>2097</v>
      </c>
      <c r="C4058" s="227" t="s">
        <v>2098</v>
      </c>
      <c r="D4058" s="233" t="s">
        <v>20</v>
      </c>
      <c r="E4058" s="233" t="s">
        <v>25</v>
      </c>
      <c r="F4058" s="227" t="s">
        <v>294</v>
      </c>
    </row>
    <row r="4059" spans="1:6" x14ac:dyDescent="0.25">
      <c r="A4059" s="227" t="str">
        <f>TL[[#This Row],[Société]]&amp;" - "&amp;TL[[#This Row],[Compte]]</f>
        <v>LYSE - 616001</v>
      </c>
      <c r="B4059" s="233" t="s">
        <v>1720</v>
      </c>
      <c r="C4059" s="227" t="s">
        <v>400</v>
      </c>
      <c r="D4059" s="233" t="s">
        <v>40</v>
      </c>
      <c r="E4059" s="233" t="s">
        <v>45</v>
      </c>
      <c r="F4059" s="227" t="s">
        <v>294</v>
      </c>
    </row>
    <row r="4060" spans="1:6" x14ac:dyDescent="0.25">
      <c r="A4060" s="227" t="str">
        <f>TL[[#This Row],[Société]]&amp;" - "&amp;TL[[#This Row],[Compte]]</f>
        <v>LYSE - 616002</v>
      </c>
      <c r="B4060" s="233" t="s">
        <v>1942</v>
      </c>
      <c r="C4060" s="227" t="s">
        <v>1198</v>
      </c>
      <c r="D4060" s="233" t="s">
        <v>40</v>
      </c>
      <c r="E4060" s="233" t="s">
        <v>45</v>
      </c>
      <c r="F4060" s="227" t="s">
        <v>294</v>
      </c>
    </row>
    <row r="4061" spans="1:6" x14ac:dyDescent="0.25">
      <c r="A4061" s="227" t="str">
        <f>TL[[#This Row],[Société]]&amp;" - "&amp;TL[[#This Row],[Compte]]</f>
        <v>LYSE - 616003</v>
      </c>
      <c r="B4061" s="233" t="s">
        <v>1731</v>
      </c>
      <c r="C4061" s="227" t="s">
        <v>217</v>
      </c>
      <c r="D4061" s="233" t="s">
        <v>40</v>
      </c>
      <c r="E4061" s="233" t="s">
        <v>45</v>
      </c>
      <c r="F4061" s="227" t="s">
        <v>294</v>
      </c>
    </row>
    <row r="4062" spans="1:6" x14ac:dyDescent="0.25">
      <c r="A4062" s="227" t="str">
        <f>TL[[#This Row],[Société]]&amp;" - "&amp;TL[[#This Row],[Compte]]</f>
        <v>LYSE - 616004</v>
      </c>
      <c r="B4062" s="233" t="s">
        <v>1719</v>
      </c>
      <c r="C4062" s="227" t="s">
        <v>492</v>
      </c>
      <c r="D4062" s="233" t="s">
        <v>50</v>
      </c>
      <c r="E4062" s="233" t="s">
        <v>52</v>
      </c>
      <c r="F4062" s="227" t="s">
        <v>294</v>
      </c>
    </row>
    <row r="4063" spans="1:6" x14ac:dyDescent="0.25">
      <c r="A4063" s="227" t="str">
        <f>TL[[#This Row],[Société]]&amp;" - "&amp;TL[[#This Row],[Compte]]</f>
        <v>LYSE - 616005</v>
      </c>
      <c r="B4063" s="233" t="s">
        <v>1718</v>
      </c>
      <c r="C4063" s="227" t="s">
        <v>257</v>
      </c>
      <c r="D4063" s="233" t="s">
        <v>40</v>
      </c>
      <c r="E4063" s="233" t="s">
        <v>45</v>
      </c>
      <c r="F4063" s="227" t="s">
        <v>294</v>
      </c>
    </row>
    <row r="4064" spans="1:6" x14ac:dyDescent="0.25">
      <c r="A4064" s="227" t="str">
        <f>TL[[#This Row],[Société]]&amp;" - "&amp;TL[[#This Row],[Compte]]</f>
        <v>LYSE - 616006</v>
      </c>
      <c r="B4064" s="233" t="s">
        <v>1770</v>
      </c>
      <c r="C4064" s="227" t="s">
        <v>462</v>
      </c>
      <c r="D4064" s="233" t="s">
        <v>40</v>
      </c>
      <c r="E4064" s="233" t="s">
        <v>45</v>
      </c>
      <c r="F4064" s="227" t="s">
        <v>294</v>
      </c>
    </row>
    <row r="4065" spans="1:6" x14ac:dyDescent="0.25">
      <c r="A4065" s="227" t="str">
        <f>TL[[#This Row],[Société]]&amp;" - "&amp;TL[[#This Row],[Compte]]</f>
        <v>LYSE - 616007</v>
      </c>
      <c r="B4065" s="233" t="s">
        <v>1715</v>
      </c>
      <c r="C4065" s="227" t="s">
        <v>1444</v>
      </c>
      <c r="D4065" s="233" t="s">
        <v>40</v>
      </c>
      <c r="E4065" s="233" t="s">
        <v>45</v>
      </c>
      <c r="F4065" s="227" t="s">
        <v>294</v>
      </c>
    </row>
    <row r="4066" spans="1:6" x14ac:dyDescent="0.25">
      <c r="A4066" s="227" t="str">
        <f>TL[[#This Row],[Société]]&amp;" - "&amp;TL[[#This Row],[Compte]]</f>
        <v>LYSE - 618100</v>
      </c>
      <c r="B4066" s="233" t="s">
        <v>1943</v>
      </c>
      <c r="C4066" s="227" t="s">
        <v>305</v>
      </c>
      <c r="D4066" s="233" t="s">
        <v>20</v>
      </c>
      <c r="E4066" s="233" t="s">
        <v>25</v>
      </c>
      <c r="F4066" s="227" t="s">
        <v>294</v>
      </c>
    </row>
    <row r="4067" spans="1:6" x14ac:dyDescent="0.25">
      <c r="A4067" s="227" t="str">
        <f>TL[[#This Row],[Société]]&amp;" - "&amp;TL[[#This Row],[Compte]]</f>
        <v>LYSE - 621000</v>
      </c>
      <c r="B4067" s="233" t="s">
        <v>1944</v>
      </c>
      <c r="C4067" s="227" t="s">
        <v>749</v>
      </c>
      <c r="D4067" s="233" t="s">
        <v>152</v>
      </c>
      <c r="F4067" s="227" t="s">
        <v>294</v>
      </c>
    </row>
    <row r="4068" spans="1:6" x14ac:dyDescent="0.25">
      <c r="A4068" s="227" t="str">
        <f>TL[[#This Row],[Société]]&amp;" - "&amp;TL[[#This Row],[Compte]]</f>
        <v>LYSE - 621400</v>
      </c>
      <c r="B4068" s="233" t="s">
        <v>1945</v>
      </c>
      <c r="C4068" s="227" t="s">
        <v>1347</v>
      </c>
      <c r="D4068" s="233" t="s">
        <v>12</v>
      </c>
      <c r="E4068" s="233" t="s">
        <v>16</v>
      </c>
      <c r="F4068" s="227" t="s">
        <v>294</v>
      </c>
    </row>
    <row r="4069" spans="1:6" x14ac:dyDescent="0.25">
      <c r="A4069" s="227" t="str">
        <f>TL[[#This Row],[Société]]&amp;" - "&amp;TL[[#This Row],[Compte]]</f>
        <v>LYSE - 621401</v>
      </c>
      <c r="B4069" s="233" t="s">
        <v>1946</v>
      </c>
      <c r="C4069" s="227" t="s">
        <v>458</v>
      </c>
      <c r="D4069" s="233" t="s">
        <v>12</v>
      </c>
      <c r="E4069" s="233" t="s">
        <v>16</v>
      </c>
      <c r="F4069" s="227" t="s">
        <v>294</v>
      </c>
    </row>
    <row r="4070" spans="1:6" x14ac:dyDescent="0.25">
      <c r="A4070" s="227" t="str">
        <f>TL[[#This Row],[Société]]&amp;" - "&amp;TL[[#This Row],[Compte]]</f>
        <v>LYSE - 621402</v>
      </c>
      <c r="B4070" s="233" t="s">
        <v>1947</v>
      </c>
      <c r="C4070" s="227" t="s">
        <v>750</v>
      </c>
      <c r="D4070" s="233" t="s">
        <v>13</v>
      </c>
      <c r="E4070" s="233" t="s">
        <v>16</v>
      </c>
      <c r="F4070" s="227" t="s">
        <v>294</v>
      </c>
    </row>
    <row r="4071" spans="1:6" x14ac:dyDescent="0.25">
      <c r="A4071" s="227" t="str">
        <f>TL[[#This Row],[Société]]&amp;" - "&amp;TL[[#This Row],[Compte]]</f>
        <v>LYSE - 621404</v>
      </c>
      <c r="B4071" s="233" t="s">
        <v>1615</v>
      </c>
      <c r="C4071" s="227" t="s">
        <v>1348</v>
      </c>
      <c r="D4071" s="233" t="s">
        <v>13</v>
      </c>
      <c r="E4071" s="233" t="s">
        <v>16</v>
      </c>
      <c r="F4071" s="227" t="s">
        <v>294</v>
      </c>
    </row>
    <row r="4072" spans="1:6" x14ac:dyDescent="0.25">
      <c r="A4072" s="227" t="str">
        <f>TL[[#This Row],[Société]]&amp;" - "&amp;TL[[#This Row],[Compte]]</f>
        <v>LYSE - 621405</v>
      </c>
      <c r="B4072" s="233" t="s">
        <v>1603</v>
      </c>
      <c r="C4072" s="227" t="s">
        <v>1445</v>
      </c>
      <c r="D4072" s="233" t="s">
        <v>50</v>
      </c>
      <c r="E4072" s="233" t="s">
        <v>16</v>
      </c>
      <c r="F4072" s="227" t="s">
        <v>294</v>
      </c>
    </row>
    <row r="4073" spans="1:6" x14ac:dyDescent="0.25">
      <c r="A4073" s="227" t="str">
        <f>TL[[#This Row],[Société]]&amp;" - "&amp;TL[[#This Row],[Compte]]</f>
        <v>LYSE - 621406</v>
      </c>
      <c r="B4073" s="233" t="s">
        <v>1948</v>
      </c>
      <c r="C4073" s="227" t="s">
        <v>751</v>
      </c>
      <c r="D4073" s="233" t="s">
        <v>50</v>
      </c>
      <c r="E4073" s="233" t="s">
        <v>16</v>
      </c>
      <c r="F4073" s="227" t="s">
        <v>294</v>
      </c>
    </row>
    <row r="4074" spans="1:6" x14ac:dyDescent="0.25">
      <c r="A4074" s="227" t="str">
        <f>TL[[#This Row],[Société]]&amp;" - "&amp;TL[[#This Row],[Compte]]</f>
        <v>LYSE - 621411</v>
      </c>
      <c r="B4074" s="233" t="s">
        <v>1778</v>
      </c>
      <c r="C4074" s="227" t="s">
        <v>509</v>
      </c>
      <c r="D4074" s="233" t="s">
        <v>50</v>
      </c>
      <c r="E4074" s="233" t="s">
        <v>52</v>
      </c>
      <c r="F4074" s="227" t="s">
        <v>294</v>
      </c>
    </row>
    <row r="4075" spans="1:6" x14ac:dyDescent="0.25">
      <c r="A4075" s="227" t="str">
        <f>TL[[#This Row],[Société]]&amp;" - "&amp;TL[[#This Row],[Compte]]</f>
        <v>LYSE - 621412</v>
      </c>
      <c r="B4075" s="233" t="s">
        <v>1949</v>
      </c>
      <c r="C4075" s="227" t="s">
        <v>752</v>
      </c>
      <c r="D4075" s="233" t="s">
        <v>50</v>
      </c>
      <c r="E4075" s="233" t="s">
        <v>16</v>
      </c>
      <c r="F4075" s="227" t="s">
        <v>294</v>
      </c>
    </row>
    <row r="4076" spans="1:6" x14ac:dyDescent="0.25">
      <c r="A4076" s="227" t="str">
        <f>TL[[#This Row],[Société]]&amp;" - "&amp;TL[[#This Row],[Compte]]</f>
        <v>LYSE - 622000</v>
      </c>
      <c r="B4076" s="233" t="s">
        <v>1950</v>
      </c>
      <c r="C4076" s="227" t="s">
        <v>753</v>
      </c>
      <c r="D4076" s="233" t="s">
        <v>20</v>
      </c>
      <c r="E4076" s="233" t="s">
        <v>25</v>
      </c>
      <c r="F4076" s="227" t="s">
        <v>294</v>
      </c>
    </row>
    <row r="4077" spans="1:6" x14ac:dyDescent="0.25">
      <c r="A4077" s="227" t="str">
        <f>TL[[#This Row],[Société]]&amp;" - "&amp;TL[[#This Row],[Compte]]</f>
        <v>LYSE - 622600</v>
      </c>
      <c r="B4077" s="233" t="s">
        <v>1622</v>
      </c>
      <c r="C4077" s="227" t="s">
        <v>392</v>
      </c>
      <c r="D4077" s="233" t="s">
        <v>39</v>
      </c>
      <c r="E4077" s="233" t="s">
        <v>44</v>
      </c>
      <c r="F4077" s="227" t="s">
        <v>294</v>
      </c>
    </row>
    <row r="4078" spans="1:6" x14ac:dyDescent="0.25">
      <c r="A4078" s="227" t="str">
        <f>TL[[#This Row],[Société]]&amp;" - "&amp;TL[[#This Row],[Compte]]</f>
        <v>LYSE - 622610</v>
      </c>
      <c r="B4078" s="233" t="s">
        <v>1764</v>
      </c>
      <c r="C4078" s="227" t="s">
        <v>427</v>
      </c>
      <c r="D4078" s="233" t="s">
        <v>39</v>
      </c>
      <c r="E4078" s="233" t="s">
        <v>44</v>
      </c>
      <c r="F4078" s="227" t="s">
        <v>294</v>
      </c>
    </row>
    <row r="4079" spans="1:6" x14ac:dyDescent="0.25">
      <c r="A4079" s="227" t="str">
        <f>TL[[#This Row],[Société]]&amp;" - "&amp;TL[[#This Row],[Compte]]</f>
        <v>LYSE - 622620</v>
      </c>
      <c r="B4079" s="233" t="s">
        <v>1766</v>
      </c>
      <c r="C4079" s="227" t="s">
        <v>227</v>
      </c>
      <c r="D4079" s="233" t="s">
        <v>39</v>
      </c>
      <c r="E4079" s="233" t="s">
        <v>44</v>
      </c>
      <c r="F4079" s="227" t="s">
        <v>294</v>
      </c>
    </row>
    <row r="4080" spans="1:6" x14ac:dyDescent="0.25">
      <c r="A4080" s="227" t="str">
        <f>TL[[#This Row],[Société]]&amp;" - "&amp;TL[[#This Row],[Compte]]</f>
        <v>LYSE - 622630</v>
      </c>
      <c r="B4080" s="233" t="s">
        <v>1951</v>
      </c>
      <c r="C4080" s="227" t="s">
        <v>903</v>
      </c>
      <c r="D4080" s="233" t="s">
        <v>39</v>
      </c>
      <c r="E4080" s="233" t="s">
        <v>44</v>
      </c>
      <c r="F4080" s="227" t="s">
        <v>294</v>
      </c>
    </row>
    <row r="4081" spans="1:6" x14ac:dyDescent="0.25">
      <c r="A4081" s="227" t="str">
        <f>TL[[#This Row],[Société]]&amp;" - "&amp;TL[[#This Row],[Compte]]</f>
        <v>LYSE - 622700</v>
      </c>
      <c r="B4081" s="233" t="s">
        <v>1952</v>
      </c>
      <c r="C4081" s="227" t="s">
        <v>317</v>
      </c>
      <c r="D4081" s="233" t="s">
        <v>39</v>
      </c>
      <c r="E4081" s="233" t="s">
        <v>44</v>
      </c>
      <c r="F4081" s="227" t="s">
        <v>294</v>
      </c>
    </row>
    <row r="4082" spans="1:6" x14ac:dyDescent="0.25">
      <c r="A4082" s="227" t="str">
        <f>TL[[#This Row],[Société]]&amp;" - "&amp;TL[[#This Row],[Compte]]</f>
        <v>LYSE - 622800</v>
      </c>
      <c r="B4082" s="233" t="s">
        <v>1738</v>
      </c>
      <c r="C4082" s="227" t="s">
        <v>515</v>
      </c>
      <c r="D4082" s="233" t="s">
        <v>39</v>
      </c>
      <c r="E4082" s="233" t="s">
        <v>29</v>
      </c>
      <c r="F4082" s="227" t="s">
        <v>294</v>
      </c>
    </row>
    <row r="4083" spans="1:6" x14ac:dyDescent="0.25">
      <c r="A4083" s="227" t="str">
        <f>TL[[#This Row],[Société]]&amp;" - "&amp;TL[[#This Row],[Compte]]</f>
        <v>LYSE - 622900</v>
      </c>
      <c r="B4083" s="233" t="s">
        <v>1953</v>
      </c>
      <c r="C4083" s="227" t="s">
        <v>1349</v>
      </c>
      <c r="D4083" s="233" t="s">
        <v>39</v>
      </c>
      <c r="E4083" s="233" t="s">
        <v>44</v>
      </c>
      <c r="F4083" s="227" t="s">
        <v>294</v>
      </c>
    </row>
    <row r="4084" spans="1:6" x14ac:dyDescent="0.25">
      <c r="A4084" s="227" t="str">
        <f>TL[[#This Row],[Société]]&amp;" - "&amp;TL[[#This Row],[Compte]]</f>
        <v>LYSE - 623000</v>
      </c>
      <c r="B4084" s="233" t="s">
        <v>1594</v>
      </c>
      <c r="C4084" s="227" t="s">
        <v>153</v>
      </c>
      <c r="D4084" s="233" t="s">
        <v>17</v>
      </c>
      <c r="E4084" s="233" t="s">
        <v>30</v>
      </c>
      <c r="F4084" s="227" t="s">
        <v>294</v>
      </c>
    </row>
    <row r="4085" spans="1:6" x14ac:dyDescent="0.25">
      <c r="A4085" s="227" t="str">
        <f>TL[[#This Row],[Société]]&amp;" - "&amp;TL[[#This Row],[Compte]]</f>
        <v>LYSE - 623002</v>
      </c>
      <c r="B4085" s="233" t="s">
        <v>1596</v>
      </c>
      <c r="C4085" s="227" t="s">
        <v>495</v>
      </c>
      <c r="D4085" s="233" t="s">
        <v>18</v>
      </c>
      <c r="E4085" s="233" t="s">
        <v>32</v>
      </c>
      <c r="F4085" s="227" t="s">
        <v>294</v>
      </c>
    </row>
    <row r="4086" spans="1:6" x14ac:dyDescent="0.25">
      <c r="A4086" s="227" t="str">
        <f>TL[[#This Row],[Société]]&amp;" - "&amp;TL[[#This Row],[Compte]]</f>
        <v>LYSE - 623100</v>
      </c>
      <c r="B4086" s="233" t="s">
        <v>1954</v>
      </c>
      <c r="C4086" s="227" t="s">
        <v>754</v>
      </c>
      <c r="D4086" s="233" t="s">
        <v>18</v>
      </c>
      <c r="E4086" s="233" t="s">
        <v>32</v>
      </c>
      <c r="F4086" s="227" t="s">
        <v>294</v>
      </c>
    </row>
    <row r="4087" spans="1:6" x14ac:dyDescent="0.25">
      <c r="A4087" s="227" t="str">
        <f>TL[[#This Row],[Société]]&amp;" - "&amp;TL[[#This Row],[Compte]]</f>
        <v>LYSE - 623200</v>
      </c>
      <c r="B4087" s="233" t="s">
        <v>1955</v>
      </c>
      <c r="C4087" s="227" t="s">
        <v>1350</v>
      </c>
      <c r="D4087" s="233" t="s">
        <v>18</v>
      </c>
      <c r="E4087" s="233" t="s">
        <v>32</v>
      </c>
      <c r="F4087" s="227" t="s">
        <v>294</v>
      </c>
    </row>
    <row r="4088" spans="1:6" x14ac:dyDescent="0.25">
      <c r="A4088" s="227" t="str">
        <f>TL[[#This Row],[Société]]&amp;" - "&amp;TL[[#This Row],[Compte]]</f>
        <v>LYSE - 623400</v>
      </c>
      <c r="B4088" s="233" t="s">
        <v>1601</v>
      </c>
      <c r="C4088" s="227" t="s">
        <v>228</v>
      </c>
      <c r="D4088" s="233" t="s">
        <v>18</v>
      </c>
      <c r="E4088" s="233" t="s">
        <v>32</v>
      </c>
      <c r="F4088" s="227" t="s">
        <v>294</v>
      </c>
    </row>
    <row r="4089" spans="1:6" x14ac:dyDescent="0.25">
      <c r="A4089" s="227" t="str">
        <f>TL[[#This Row],[Société]]&amp;" - "&amp;TL[[#This Row],[Compte]]</f>
        <v>LYSE - 623401</v>
      </c>
      <c r="B4089" s="233" t="s">
        <v>1788</v>
      </c>
      <c r="C4089" s="227" t="s">
        <v>226</v>
      </c>
      <c r="D4089" s="233" t="s">
        <v>18</v>
      </c>
      <c r="E4089" s="233" t="s">
        <v>32</v>
      </c>
      <c r="F4089" s="227" t="s">
        <v>294</v>
      </c>
    </row>
    <row r="4090" spans="1:6" x14ac:dyDescent="0.25">
      <c r="A4090" s="227" t="str">
        <f>TL[[#This Row],[Société]]&amp;" - "&amp;TL[[#This Row],[Compte]]</f>
        <v>LYSE - 623415</v>
      </c>
      <c r="B4090" s="233" t="s">
        <v>1633</v>
      </c>
      <c r="C4090" s="227" t="s">
        <v>254</v>
      </c>
      <c r="D4090" s="233" t="s">
        <v>18</v>
      </c>
      <c r="E4090" s="233" t="s">
        <v>32</v>
      </c>
      <c r="F4090" s="227" t="s">
        <v>294</v>
      </c>
    </row>
    <row r="4091" spans="1:6" x14ac:dyDescent="0.25">
      <c r="A4091" s="227" t="str">
        <f>TL[[#This Row],[Société]]&amp;" - "&amp;TL[[#This Row],[Compte]]</f>
        <v>LYSE - 623800</v>
      </c>
      <c r="B4091" s="233" t="s">
        <v>1956</v>
      </c>
      <c r="C4091" s="227" t="s">
        <v>469</v>
      </c>
      <c r="D4091" s="233" t="s">
        <v>18</v>
      </c>
      <c r="E4091" s="233" t="s">
        <v>32</v>
      </c>
      <c r="F4091" s="227" t="s">
        <v>294</v>
      </c>
    </row>
    <row r="4092" spans="1:6" x14ac:dyDescent="0.25">
      <c r="A4092" s="227" t="str">
        <f>TL[[#This Row],[Société]]&amp;" - "&amp;TL[[#This Row],[Compte]]</f>
        <v>LYSE - 624100</v>
      </c>
      <c r="B4092" s="233" t="s">
        <v>1957</v>
      </c>
      <c r="C4092" s="227" t="s">
        <v>493</v>
      </c>
      <c r="D4092" s="233" t="s">
        <v>50</v>
      </c>
      <c r="E4092" s="233" t="s">
        <v>52</v>
      </c>
      <c r="F4092" s="227" t="s">
        <v>294</v>
      </c>
    </row>
    <row r="4093" spans="1:6" x14ac:dyDescent="0.25">
      <c r="A4093" s="227" t="str">
        <f>TL[[#This Row],[Société]]&amp;" - "&amp;TL[[#This Row],[Compte]]</f>
        <v>LYSE - 625000</v>
      </c>
      <c r="B4093" s="233" t="s">
        <v>2130</v>
      </c>
      <c r="C4093" s="227" t="s">
        <v>2121</v>
      </c>
      <c r="F4093" s="227" t="s">
        <v>294</v>
      </c>
    </row>
    <row r="4094" spans="1:6" x14ac:dyDescent="0.25">
      <c r="A4094" s="227" t="str">
        <f>TL[[#This Row],[Société]]&amp;" - "&amp;TL[[#This Row],[Compte]]</f>
        <v>LYSE - 625100</v>
      </c>
      <c r="B4094" s="233" t="s">
        <v>1958</v>
      </c>
      <c r="C4094" s="227" t="s">
        <v>2961</v>
      </c>
      <c r="D4094" s="239" t="s">
        <v>16</v>
      </c>
      <c r="E4094" s="233" t="s">
        <v>2982</v>
      </c>
      <c r="F4094" s="227" t="s">
        <v>294</v>
      </c>
    </row>
    <row r="4095" spans="1:6" x14ac:dyDescent="0.25">
      <c r="A4095" s="227" t="str">
        <f>TL[[#This Row],[Société]]&amp;" - "&amp;TL[[#This Row],[Compte]]</f>
        <v>LYSE - 625102</v>
      </c>
      <c r="B4095" s="233" t="s">
        <v>1959</v>
      </c>
      <c r="C4095" s="227" t="s">
        <v>6416</v>
      </c>
      <c r="D4095" s="233" t="s">
        <v>16</v>
      </c>
      <c r="E4095" s="233" t="s">
        <v>2979</v>
      </c>
      <c r="F4095" s="227" t="s">
        <v>294</v>
      </c>
    </row>
    <row r="4096" spans="1:6" x14ac:dyDescent="0.25">
      <c r="A4096" s="227" t="str">
        <f>TL[[#This Row],[Société]]&amp;" - "&amp;TL[[#This Row],[Compte]]</f>
        <v>LYSE - 625103</v>
      </c>
      <c r="B4096" s="233" t="s">
        <v>1960</v>
      </c>
      <c r="C4096" s="227" t="s">
        <v>755</v>
      </c>
      <c r="D4096" s="233" t="s">
        <v>289</v>
      </c>
      <c r="E4096" s="233" t="s">
        <v>2979</v>
      </c>
      <c r="F4096" s="227" t="s">
        <v>294</v>
      </c>
    </row>
    <row r="4097" spans="1:6" x14ac:dyDescent="0.25">
      <c r="A4097" s="227" t="str">
        <f>TL[[#This Row],[Société]]&amp;" - "&amp;TL[[#This Row],[Compte]]</f>
        <v>LYSE - 625201</v>
      </c>
      <c r="B4097" s="233" t="s">
        <v>1717</v>
      </c>
      <c r="C4097" s="227" t="s">
        <v>279</v>
      </c>
      <c r="D4097" s="233" t="s">
        <v>16</v>
      </c>
      <c r="E4097" s="233" t="s">
        <v>2979</v>
      </c>
      <c r="F4097" s="227" t="s">
        <v>294</v>
      </c>
    </row>
    <row r="4098" spans="1:6" x14ac:dyDescent="0.25">
      <c r="A4098" s="227" t="str">
        <f>TL[[#This Row],[Société]]&amp;" - "&amp;TL[[#This Row],[Compte]]</f>
        <v>LYSE - 625202</v>
      </c>
      <c r="B4098" s="233" t="s">
        <v>1961</v>
      </c>
      <c r="C4098" s="227" t="s">
        <v>478</v>
      </c>
      <c r="D4098" s="233" t="s">
        <v>50</v>
      </c>
      <c r="E4098" s="233" t="s">
        <v>52</v>
      </c>
      <c r="F4098" s="227" t="s">
        <v>294</v>
      </c>
    </row>
    <row r="4099" spans="1:6" x14ac:dyDescent="0.25">
      <c r="A4099" s="227" t="str">
        <f>TL[[#This Row],[Société]]&amp;" - "&amp;TL[[#This Row],[Compte]]</f>
        <v>LYSE - 625203</v>
      </c>
      <c r="B4099" s="233" t="s">
        <v>1962</v>
      </c>
      <c r="C4099" s="227" t="s">
        <v>498</v>
      </c>
      <c r="D4099" s="233" t="s">
        <v>16</v>
      </c>
      <c r="E4099" s="233" t="s">
        <v>2979</v>
      </c>
      <c r="F4099" s="227" t="s">
        <v>294</v>
      </c>
    </row>
    <row r="4100" spans="1:6" x14ac:dyDescent="0.25">
      <c r="A4100" s="227" t="str">
        <f>TL[[#This Row],[Société]]&amp;" - "&amp;TL[[#This Row],[Compte]]</f>
        <v>LYSE - 625204</v>
      </c>
      <c r="B4100" s="233" t="s">
        <v>1726</v>
      </c>
      <c r="C4100" s="227" t="s">
        <v>1351</v>
      </c>
      <c r="D4100" s="233" t="s">
        <v>16</v>
      </c>
      <c r="E4100" s="233" t="s">
        <v>2982</v>
      </c>
      <c r="F4100" s="227" t="s">
        <v>294</v>
      </c>
    </row>
    <row r="4101" spans="1:6" x14ac:dyDescent="0.25">
      <c r="A4101" s="227" t="str">
        <f>TL[[#This Row],[Société]]&amp;" - "&amp;TL[[#This Row],[Compte]]</f>
        <v>LYSE - 625701</v>
      </c>
      <c r="B4101" s="233" t="s">
        <v>1963</v>
      </c>
      <c r="C4101" s="227" t="s">
        <v>507</v>
      </c>
      <c r="D4101" s="233" t="s">
        <v>16</v>
      </c>
      <c r="E4101" s="233" t="s">
        <v>2982</v>
      </c>
      <c r="F4101" s="227" t="s">
        <v>294</v>
      </c>
    </row>
    <row r="4102" spans="1:6" x14ac:dyDescent="0.25">
      <c r="A4102" s="227" t="str">
        <f>TL[[#This Row],[Société]]&amp;" - "&amp;TL[[#This Row],[Compte]]</f>
        <v>LYSE - 626001</v>
      </c>
      <c r="B4102" s="233" t="s">
        <v>1733</v>
      </c>
      <c r="C4102" s="227" t="s">
        <v>338</v>
      </c>
      <c r="D4102" s="233" t="s">
        <v>27</v>
      </c>
      <c r="E4102" s="233" t="s">
        <v>34</v>
      </c>
      <c r="F4102" s="227" t="s">
        <v>294</v>
      </c>
    </row>
    <row r="4103" spans="1:6" x14ac:dyDescent="0.25">
      <c r="A4103" s="227" t="str">
        <f>TL[[#This Row],[Société]]&amp;" - "&amp;TL[[#This Row],[Compte]]</f>
        <v>LYSE - 626002</v>
      </c>
      <c r="B4103" s="233" t="s">
        <v>1964</v>
      </c>
      <c r="C4103" s="227" t="s">
        <v>756</v>
      </c>
      <c r="D4103" s="233" t="s">
        <v>147</v>
      </c>
      <c r="E4103" s="233" t="s">
        <v>288</v>
      </c>
      <c r="F4103" s="227" t="s">
        <v>294</v>
      </c>
    </row>
    <row r="4104" spans="1:6" x14ac:dyDescent="0.25">
      <c r="A4104" s="227" t="str">
        <f>TL[[#This Row],[Société]]&amp;" - "&amp;TL[[#This Row],[Compte]]</f>
        <v>LYSE - 626003</v>
      </c>
      <c r="B4104" s="233" t="s">
        <v>1965</v>
      </c>
      <c r="C4104" s="227" t="s">
        <v>757</v>
      </c>
      <c r="D4104" s="233" t="s">
        <v>27</v>
      </c>
      <c r="E4104" s="233" t="s">
        <v>34</v>
      </c>
      <c r="F4104" s="227" t="s">
        <v>294</v>
      </c>
    </row>
    <row r="4105" spans="1:6" x14ac:dyDescent="0.25">
      <c r="A4105" s="227" t="str">
        <f>TL[[#This Row],[Société]]&amp;" - "&amp;TL[[#This Row],[Compte]]</f>
        <v>LYSE - 626004</v>
      </c>
      <c r="B4105" s="233" t="s">
        <v>1966</v>
      </c>
      <c r="C4105" s="227" t="s">
        <v>758</v>
      </c>
      <c r="F4105" s="227" t="s">
        <v>294</v>
      </c>
    </row>
    <row r="4106" spans="1:6" x14ac:dyDescent="0.25">
      <c r="A4106" s="227" t="str">
        <f>TL[[#This Row],[Société]]&amp;" - "&amp;TL[[#This Row],[Compte]]</f>
        <v>LYSE - 626100</v>
      </c>
      <c r="B4106" s="233" t="s">
        <v>1967</v>
      </c>
      <c r="C4106" s="227" t="s">
        <v>636</v>
      </c>
      <c r="D4106" s="233" t="s">
        <v>27</v>
      </c>
      <c r="E4106" s="233" t="s">
        <v>34</v>
      </c>
      <c r="F4106" s="227" t="s">
        <v>294</v>
      </c>
    </row>
    <row r="4107" spans="1:6" x14ac:dyDescent="0.25">
      <c r="A4107" s="227" t="str">
        <f>TL[[#This Row],[Société]]&amp;" - "&amp;TL[[#This Row],[Compte]]</f>
        <v>LYSE - 626200</v>
      </c>
      <c r="B4107" s="233" t="s">
        <v>1590</v>
      </c>
      <c r="C4107" s="227" t="s">
        <v>167</v>
      </c>
      <c r="D4107" s="233" t="s">
        <v>27</v>
      </c>
      <c r="E4107" s="233" t="s">
        <v>34</v>
      </c>
      <c r="F4107" s="227" t="s">
        <v>294</v>
      </c>
    </row>
    <row r="4108" spans="1:6" x14ac:dyDescent="0.25">
      <c r="A4108" s="227" t="str">
        <f>TL[[#This Row],[Société]]&amp;" - "&amp;TL[[#This Row],[Compte]]</f>
        <v>LYSE - 627001</v>
      </c>
      <c r="B4108" s="233" t="s">
        <v>1968</v>
      </c>
      <c r="C4108" s="227" t="s">
        <v>759</v>
      </c>
      <c r="D4108" s="233" t="s">
        <v>47</v>
      </c>
      <c r="E4108" s="233" t="s">
        <v>21</v>
      </c>
      <c r="F4108" s="227" t="s">
        <v>294</v>
      </c>
    </row>
    <row r="4109" spans="1:6" x14ac:dyDescent="0.25">
      <c r="A4109" s="227" t="str">
        <f>TL[[#This Row],[Société]]&amp;" - "&amp;TL[[#This Row],[Compte]]</f>
        <v>LYSE - 627002</v>
      </c>
      <c r="B4109" s="233" t="s">
        <v>1969</v>
      </c>
      <c r="C4109" s="227" t="s">
        <v>512</v>
      </c>
      <c r="D4109" s="233" t="s">
        <v>47</v>
      </c>
      <c r="E4109" s="233" t="s">
        <v>21</v>
      </c>
      <c r="F4109" s="227" t="s">
        <v>294</v>
      </c>
    </row>
    <row r="4110" spans="1:6" x14ac:dyDescent="0.25">
      <c r="A4110" s="227" t="str">
        <f>TL[[#This Row],[Société]]&amp;" - "&amp;TL[[#This Row],[Compte]]</f>
        <v>LYSE - 627003</v>
      </c>
      <c r="B4110" s="233" t="s">
        <v>1970</v>
      </c>
      <c r="C4110" s="227" t="s">
        <v>760</v>
      </c>
      <c r="D4110" s="233" t="s">
        <v>47</v>
      </c>
      <c r="E4110" s="233" t="s">
        <v>21</v>
      </c>
      <c r="F4110" s="227" t="s">
        <v>294</v>
      </c>
    </row>
    <row r="4111" spans="1:6" x14ac:dyDescent="0.25">
      <c r="A4111" s="227" t="str">
        <f>TL[[#This Row],[Société]]&amp;" - "&amp;TL[[#This Row],[Compte]]</f>
        <v>LYSE - 627004</v>
      </c>
      <c r="B4111" s="233" t="s">
        <v>1971</v>
      </c>
      <c r="C4111" s="227" t="s">
        <v>761</v>
      </c>
      <c r="F4111" s="227" t="s">
        <v>294</v>
      </c>
    </row>
    <row r="4112" spans="1:6" x14ac:dyDescent="0.25">
      <c r="A4112" s="227" t="str">
        <f>TL[[#This Row],[Société]]&amp;" - "&amp;TL[[#This Row],[Compte]]</f>
        <v>LYSE - 627005</v>
      </c>
      <c r="B4112" s="233" t="s">
        <v>1972</v>
      </c>
      <c r="C4112" s="227" t="s">
        <v>762</v>
      </c>
      <c r="D4112" s="233" t="s">
        <v>47</v>
      </c>
      <c r="E4112" s="233" t="s">
        <v>21</v>
      </c>
      <c r="F4112" s="227" t="s">
        <v>294</v>
      </c>
    </row>
    <row r="4113" spans="1:6" x14ac:dyDescent="0.25">
      <c r="A4113" s="227" t="str">
        <f>TL[[#This Row],[Société]]&amp;" - "&amp;TL[[#This Row],[Compte]]</f>
        <v>LYSE - 627007</v>
      </c>
      <c r="B4113" s="233" t="s">
        <v>1973</v>
      </c>
      <c r="C4113" s="227" t="s">
        <v>763</v>
      </c>
      <c r="D4113" s="233" t="s">
        <v>47</v>
      </c>
      <c r="E4113" s="233" t="s">
        <v>21</v>
      </c>
      <c r="F4113" s="227" t="s">
        <v>294</v>
      </c>
    </row>
    <row r="4114" spans="1:6" x14ac:dyDescent="0.25">
      <c r="A4114" s="227" t="str">
        <f>TL[[#This Row],[Société]]&amp;" - "&amp;TL[[#This Row],[Compte]]</f>
        <v>LYSE - 627200</v>
      </c>
      <c r="B4114" s="233" t="s">
        <v>2117</v>
      </c>
      <c r="C4114" s="227" t="s">
        <v>1574</v>
      </c>
      <c r="D4114" s="233" t="s">
        <v>47</v>
      </c>
      <c r="E4114" s="233" t="s">
        <v>21</v>
      </c>
      <c r="F4114" s="227" t="s">
        <v>294</v>
      </c>
    </row>
    <row r="4115" spans="1:6" x14ac:dyDescent="0.25">
      <c r="A4115" s="227" t="str">
        <f>TL[[#This Row],[Société]]&amp;" - "&amp;TL[[#This Row],[Compte]]</f>
        <v>LYSE - 627801</v>
      </c>
      <c r="B4115" s="233" t="s">
        <v>1711</v>
      </c>
      <c r="C4115" s="227" t="s">
        <v>258</v>
      </c>
      <c r="D4115" s="233" t="s">
        <v>47</v>
      </c>
      <c r="E4115" s="233" t="s">
        <v>21</v>
      </c>
      <c r="F4115" s="227" t="s">
        <v>294</v>
      </c>
    </row>
    <row r="4116" spans="1:6" x14ac:dyDescent="0.25">
      <c r="A4116" s="227" t="str">
        <f>TL[[#This Row],[Société]]&amp;" - "&amp;TL[[#This Row],[Compte]]</f>
        <v>LYSE - 627802</v>
      </c>
      <c r="B4116" s="233" t="s">
        <v>1600</v>
      </c>
      <c r="C4116" s="227" t="s">
        <v>238</v>
      </c>
      <c r="D4116" s="233" t="s">
        <v>47</v>
      </c>
      <c r="E4116" s="233" t="s">
        <v>21</v>
      </c>
      <c r="F4116" s="227" t="s">
        <v>294</v>
      </c>
    </row>
    <row r="4117" spans="1:6" x14ac:dyDescent="0.25">
      <c r="A4117" s="227" t="str">
        <f>TL[[#This Row],[Société]]&amp;" - "&amp;TL[[#This Row],[Compte]]</f>
        <v>LYSE - 627803</v>
      </c>
      <c r="B4117" s="233" t="s">
        <v>1716</v>
      </c>
      <c r="C4117" s="227" t="s">
        <v>363</v>
      </c>
      <c r="D4117" s="233" t="s">
        <v>47</v>
      </c>
      <c r="E4117" s="233" t="s">
        <v>21</v>
      </c>
      <c r="F4117" s="227" t="s">
        <v>294</v>
      </c>
    </row>
    <row r="4118" spans="1:6" x14ac:dyDescent="0.25">
      <c r="A4118" s="227" t="str">
        <f>TL[[#This Row],[Société]]&amp;" - "&amp;TL[[#This Row],[Compte]]</f>
        <v>LYSE - 627805</v>
      </c>
      <c r="B4118" s="233" t="s">
        <v>1714</v>
      </c>
      <c r="C4118" s="227" t="s">
        <v>340</v>
      </c>
      <c r="D4118" s="233" t="s">
        <v>47</v>
      </c>
      <c r="E4118" s="233" t="s">
        <v>21</v>
      </c>
      <c r="F4118" s="227" t="s">
        <v>294</v>
      </c>
    </row>
    <row r="4119" spans="1:6" x14ac:dyDescent="0.25">
      <c r="A4119" s="227" t="str">
        <f>TL[[#This Row],[Société]]&amp;" - "&amp;TL[[#This Row],[Compte]]</f>
        <v>LYSE - 627807</v>
      </c>
      <c r="B4119" s="233" t="s">
        <v>1713</v>
      </c>
      <c r="C4119" s="227" t="s">
        <v>1352</v>
      </c>
      <c r="D4119" s="233" t="s">
        <v>47</v>
      </c>
      <c r="E4119" s="233" t="s">
        <v>21</v>
      </c>
      <c r="F4119" s="227" t="s">
        <v>294</v>
      </c>
    </row>
    <row r="4120" spans="1:6" x14ac:dyDescent="0.25">
      <c r="A4120" s="227" t="str">
        <f>TL[[#This Row],[Société]]&amp;" - "&amp;TL[[#This Row],[Compte]]</f>
        <v>LYSE - 628023</v>
      </c>
      <c r="B4120" s="233" t="s">
        <v>1974</v>
      </c>
      <c r="C4120" s="227" t="s">
        <v>33</v>
      </c>
      <c r="D4120" s="233" t="s">
        <v>32</v>
      </c>
      <c r="E4120" s="233" t="s">
        <v>2982</v>
      </c>
      <c r="F4120" s="227" t="s">
        <v>294</v>
      </c>
    </row>
    <row r="4121" spans="1:6" x14ac:dyDescent="0.25">
      <c r="A4121" s="227" t="str">
        <f>TL[[#This Row],[Société]]&amp;" - "&amp;TL[[#This Row],[Compte]]</f>
        <v>LYSE - 628200</v>
      </c>
      <c r="B4121" s="233" t="s">
        <v>1591</v>
      </c>
      <c r="C4121" s="227" t="s">
        <v>304</v>
      </c>
      <c r="D4121" s="233" t="s">
        <v>32</v>
      </c>
      <c r="E4121" s="233" t="s">
        <v>2982</v>
      </c>
      <c r="F4121" s="227" t="s">
        <v>294</v>
      </c>
    </row>
    <row r="4122" spans="1:6" x14ac:dyDescent="0.25">
      <c r="A4122" s="227" t="str">
        <f>TL[[#This Row],[Société]]&amp;" - "&amp;TL[[#This Row],[Compte]]</f>
        <v>LYSE - 628300</v>
      </c>
      <c r="B4122" s="233" t="s">
        <v>1619</v>
      </c>
      <c r="C4122" s="227" t="s">
        <v>487</v>
      </c>
      <c r="D4122" s="233" t="s">
        <v>147</v>
      </c>
      <c r="E4122" s="233" t="s">
        <v>288</v>
      </c>
      <c r="F4122" s="227" t="s">
        <v>294</v>
      </c>
    </row>
    <row r="4123" spans="1:6" x14ac:dyDescent="0.25">
      <c r="A4123" s="227" t="str">
        <f>TL[[#This Row],[Société]]&amp;" - "&amp;TL[[#This Row],[Compte]]</f>
        <v>LYSE - 628310</v>
      </c>
      <c r="B4123" s="233" t="s">
        <v>1975</v>
      </c>
      <c r="C4123" s="227" t="s">
        <v>764</v>
      </c>
      <c r="D4123" s="233" t="s">
        <v>147</v>
      </c>
      <c r="E4123" s="233" t="s">
        <v>288</v>
      </c>
      <c r="F4123" s="227" t="s">
        <v>294</v>
      </c>
    </row>
    <row r="4124" spans="1:6" x14ac:dyDescent="0.25">
      <c r="A4124" s="227" t="str">
        <f>TL[[#This Row],[Société]]&amp;" - "&amp;TL[[#This Row],[Compte]]</f>
        <v>LYSE - 628320</v>
      </c>
      <c r="B4124" s="233" t="s">
        <v>1791</v>
      </c>
      <c r="C4124" s="227" t="s">
        <v>255</v>
      </c>
      <c r="D4124" s="233" t="s">
        <v>147</v>
      </c>
      <c r="E4124" s="233" t="s">
        <v>288</v>
      </c>
      <c r="F4124" s="227" t="s">
        <v>294</v>
      </c>
    </row>
    <row r="4125" spans="1:6" x14ac:dyDescent="0.25">
      <c r="A4125" s="227" t="str">
        <f>TL[[#This Row],[Société]]&amp;" - "&amp;TL[[#This Row],[Compte]]</f>
        <v>LYSE - 628340</v>
      </c>
      <c r="B4125" s="233" t="s">
        <v>2113</v>
      </c>
      <c r="C4125" s="227" t="s">
        <v>2131</v>
      </c>
      <c r="D4125" s="233" t="s">
        <v>147</v>
      </c>
      <c r="E4125" s="233" t="s">
        <v>288</v>
      </c>
      <c r="F4125" s="227" t="s">
        <v>294</v>
      </c>
    </row>
    <row r="4126" spans="1:6" x14ac:dyDescent="0.25">
      <c r="A4126" s="227" t="str">
        <f>TL[[#This Row],[Société]]&amp;" - "&amp;TL[[#This Row],[Compte]]</f>
        <v>LYSE - 628400</v>
      </c>
      <c r="B4126" s="233" t="s">
        <v>1623</v>
      </c>
      <c r="C4126" s="227" t="s">
        <v>166</v>
      </c>
      <c r="D4126" s="233" t="s">
        <v>42</v>
      </c>
      <c r="E4126" s="233" t="s">
        <v>25</v>
      </c>
      <c r="F4126" s="227" t="s">
        <v>294</v>
      </c>
    </row>
    <row r="4127" spans="1:6" x14ac:dyDescent="0.25">
      <c r="A4127" s="227" t="str">
        <f>TL[[#This Row],[Société]]&amp;" - "&amp;TL[[#This Row],[Compte]]</f>
        <v>LYSE - 633300</v>
      </c>
      <c r="B4127" s="233" t="s">
        <v>1730</v>
      </c>
      <c r="C4127" s="227" t="s">
        <v>455</v>
      </c>
      <c r="D4127" s="233" t="s">
        <v>42</v>
      </c>
      <c r="E4127" s="233" t="s">
        <v>47</v>
      </c>
      <c r="F4127" s="227" t="s">
        <v>294</v>
      </c>
    </row>
    <row r="4128" spans="1:6" x14ac:dyDescent="0.25">
      <c r="A4128" s="227" t="str">
        <f>TL[[#This Row],[Société]]&amp;" - "&amp;TL[[#This Row],[Compte]]</f>
        <v>LYSE - 633400</v>
      </c>
      <c r="B4128" s="233" t="s">
        <v>1976</v>
      </c>
      <c r="C4128" s="227" t="s">
        <v>220</v>
      </c>
      <c r="D4128" s="233" t="s">
        <v>42</v>
      </c>
      <c r="E4128" s="233" t="s">
        <v>47</v>
      </c>
      <c r="F4128" s="227" t="s">
        <v>294</v>
      </c>
    </row>
    <row r="4129" spans="1:6" x14ac:dyDescent="0.25">
      <c r="A4129" s="227" t="str">
        <f>TL[[#This Row],[Société]]&amp;" - "&amp;TL[[#This Row],[Compte]]</f>
        <v>LYSE - 633500</v>
      </c>
      <c r="B4129" s="233" t="s">
        <v>1729</v>
      </c>
      <c r="C4129" s="227" t="s">
        <v>307</v>
      </c>
      <c r="D4129" s="233" t="s">
        <v>42</v>
      </c>
      <c r="E4129" s="233" t="s">
        <v>47</v>
      </c>
      <c r="F4129" s="227" t="s">
        <v>294</v>
      </c>
    </row>
    <row r="4130" spans="1:6" x14ac:dyDescent="0.25">
      <c r="A4130" s="227" t="str">
        <f>TL[[#This Row],[Société]]&amp;" - "&amp;TL[[#This Row],[Compte]]</f>
        <v>LYSE - 635110</v>
      </c>
      <c r="B4130" s="233" t="s">
        <v>1977</v>
      </c>
      <c r="C4130" s="227" t="s">
        <v>612</v>
      </c>
      <c r="D4130" s="233" t="s">
        <v>42</v>
      </c>
      <c r="E4130" s="233" t="s">
        <v>47</v>
      </c>
      <c r="F4130" s="227" t="s">
        <v>294</v>
      </c>
    </row>
    <row r="4131" spans="1:6" x14ac:dyDescent="0.25">
      <c r="A4131" s="227" t="str">
        <f>TL[[#This Row],[Société]]&amp;" - "&amp;TL[[#This Row],[Compte]]</f>
        <v>LYSE - 635111</v>
      </c>
      <c r="B4131" s="233" t="s">
        <v>1786</v>
      </c>
      <c r="C4131" s="227" t="s">
        <v>502</v>
      </c>
      <c r="D4131" s="233" t="s">
        <v>42</v>
      </c>
      <c r="E4131" s="233" t="s">
        <v>47</v>
      </c>
      <c r="F4131" s="227" t="s">
        <v>294</v>
      </c>
    </row>
    <row r="4132" spans="1:6" x14ac:dyDescent="0.25">
      <c r="A4132" s="227" t="str">
        <f>TL[[#This Row],[Société]]&amp;" - "&amp;TL[[#This Row],[Compte]]</f>
        <v>LYSE - 635112</v>
      </c>
      <c r="B4132" s="233" t="s">
        <v>1732</v>
      </c>
      <c r="C4132" s="227" t="s">
        <v>520</v>
      </c>
      <c r="D4132" s="233" t="s">
        <v>42</v>
      </c>
      <c r="E4132" s="233" t="s">
        <v>47</v>
      </c>
      <c r="F4132" s="227" t="s">
        <v>294</v>
      </c>
    </row>
    <row r="4133" spans="1:6" x14ac:dyDescent="0.25">
      <c r="A4133" s="227" t="str">
        <f>TL[[#This Row],[Société]]&amp;" - "&amp;TL[[#This Row],[Compte]]</f>
        <v>LYSE - 635130</v>
      </c>
      <c r="B4133" s="233" t="s">
        <v>1978</v>
      </c>
      <c r="C4133" s="227" t="s">
        <v>765</v>
      </c>
      <c r="D4133" s="233" t="s">
        <v>42</v>
      </c>
      <c r="E4133" s="233" t="s">
        <v>47</v>
      </c>
      <c r="F4133" s="227" t="s">
        <v>294</v>
      </c>
    </row>
    <row r="4134" spans="1:6" x14ac:dyDescent="0.25">
      <c r="A4134" s="227" t="str">
        <f>TL[[#This Row],[Société]]&amp;" - "&amp;TL[[#This Row],[Compte]]</f>
        <v>LYSE - 635140</v>
      </c>
      <c r="B4134" s="233" t="s">
        <v>1979</v>
      </c>
      <c r="C4134" s="227" t="s">
        <v>766</v>
      </c>
      <c r="D4134" s="233" t="s">
        <v>42</v>
      </c>
      <c r="E4134" s="233" t="s">
        <v>47</v>
      </c>
      <c r="F4134" s="227" t="s">
        <v>294</v>
      </c>
    </row>
    <row r="4135" spans="1:6" x14ac:dyDescent="0.25">
      <c r="A4135" s="227" t="str">
        <f>TL[[#This Row],[Société]]&amp;" - "&amp;TL[[#This Row],[Compte]]</f>
        <v>LYSE - 635300</v>
      </c>
      <c r="B4135" s="233" t="s">
        <v>1980</v>
      </c>
      <c r="C4135" s="227" t="s">
        <v>767</v>
      </c>
      <c r="D4135" s="233" t="s">
        <v>42</v>
      </c>
      <c r="E4135" s="233" t="s">
        <v>47</v>
      </c>
      <c r="F4135" s="227" t="s">
        <v>294</v>
      </c>
    </row>
    <row r="4136" spans="1:6" x14ac:dyDescent="0.25">
      <c r="A4136" s="227" t="str">
        <f>TL[[#This Row],[Société]]&amp;" - "&amp;TL[[#This Row],[Compte]]</f>
        <v>LYSE - 635500</v>
      </c>
      <c r="B4136" s="233" t="s">
        <v>1981</v>
      </c>
      <c r="C4136" s="227" t="s">
        <v>218</v>
      </c>
      <c r="D4136" s="233" t="s">
        <v>42</v>
      </c>
      <c r="E4136" s="233" t="s">
        <v>47</v>
      </c>
      <c r="F4136" s="227" t="s">
        <v>294</v>
      </c>
    </row>
    <row r="4137" spans="1:6" x14ac:dyDescent="0.25">
      <c r="A4137" s="227" t="str">
        <f>TL[[#This Row],[Société]]&amp;" - "&amp;TL[[#This Row],[Compte]]</f>
        <v>LYSE - 635510</v>
      </c>
      <c r="B4137" s="233" t="s">
        <v>1982</v>
      </c>
      <c r="C4137" s="227" t="s">
        <v>768</v>
      </c>
      <c r="D4137" s="233" t="s">
        <v>42</v>
      </c>
      <c r="E4137" s="233" t="s">
        <v>47</v>
      </c>
      <c r="F4137" s="227" t="s">
        <v>294</v>
      </c>
    </row>
    <row r="4138" spans="1:6" x14ac:dyDescent="0.25">
      <c r="A4138" s="227" t="str">
        <f>TL[[#This Row],[Société]]&amp;" - "&amp;TL[[#This Row],[Compte]]</f>
        <v>LYSE - 635511</v>
      </c>
      <c r="B4138" s="233" t="s">
        <v>1724</v>
      </c>
      <c r="C4138" s="227" t="s">
        <v>456</v>
      </c>
      <c r="D4138" s="233" t="s">
        <v>71</v>
      </c>
      <c r="E4138" s="233" t="s">
        <v>7</v>
      </c>
      <c r="F4138" s="227" t="s">
        <v>294</v>
      </c>
    </row>
    <row r="4139" spans="1:6" x14ac:dyDescent="0.25">
      <c r="A4139" s="227" t="str">
        <f>TL[[#This Row],[Société]]&amp;" - "&amp;TL[[#This Row],[Compte]]</f>
        <v>LYSE - 635520</v>
      </c>
      <c r="B4139" s="233" t="s">
        <v>1983</v>
      </c>
      <c r="C4139" s="227" t="s">
        <v>769</v>
      </c>
      <c r="D4139" s="233" t="s">
        <v>42</v>
      </c>
      <c r="E4139" s="233" t="s">
        <v>47</v>
      </c>
      <c r="F4139" s="227" t="s">
        <v>294</v>
      </c>
    </row>
    <row r="4140" spans="1:6" x14ac:dyDescent="0.25">
      <c r="A4140" s="227" t="str">
        <f>TL[[#This Row],[Société]]&amp;" - "&amp;TL[[#This Row],[Compte]]</f>
        <v>LYSE - 635530</v>
      </c>
      <c r="B4140" s="233" t="s">
        <v>1792</v>
      </c>
      <c r="C4140" s="227" t="s">
        <v>472</v>
      </c>
      <c r="D4140" s="233" t="s">
        <v>42</v>
      </c>
      <c r="E4140" s="233" t="s">
        <v>47</v>
      </c>
      <c r="F4140" s="227" t="s">
        <v>294</v>
      </c>
    </row>
    <row r="4141" spans="1:6" x14ac:dyDescent="0.25">
      <c r="A4141" s="227" t="str">
        <f>TL[[#This Row],[Société]]&amp;" - "&amp;TL[[#This Row],[Compte]]</f>
        <v>LYSE - 635540</v>
      </c>
      <c r="B4141" s="233" t="s">
        <v>1984</v>
      </c>
      <c r="C4141" s="227" t="s">
        <v>770</v>
      </c>
      <c r="D4141" s="233" t="s">
        <v>42</v>
      </c>
      <c r="E4141" s="233" t="s">
        <v>47</v>
      </c>
      <c r="F4141" s="227" t="s">
        <v>294</v>
      </c>
    </row>
    <row r="4142" spans="1:6" x14ac:dyDescent="0.25">
      <c r="A4142" s="227" t="str">
        <f>TL[[#This Row],[Société]]&amp;" - "&amp;TL[[#This Row],[Compte]]</f>
        <v>LYSE - 635700</v>
      </c>
      <c r="B4142" s="233" t="s">
        <v>1985</v>
      </c>
      <c r="C4142" s="227" t="s">
        <v>771</v>
      </c>
      <c r="D4142" s="233" t="s">
        <v>42</v>
      </c>
      <c r="E4142" s="233" t="s">
        <v>47</v>
      </c>
      <c r="F4142" s="227" t="s">
        <v>294</v>
      </c>
    </row>
    <row r="4143" spans="1:6" x14ac:dyDescent="0.25">
      <c r="A4143" s="227" t="str">
        <f>TL[[#This Row],[Société]]&amp;" - "&amp;TL[[#This Row],[Compte]]</f>
        <v>LYSE - 635800</v>
      </c>
      <c r="B4143" s="233" t="s">
        <v>1986</v>
      </c>
      <c r="C4143" s="227" t="s">
        <v>320</v>
      </c>
      <c r="D4143" s="233" t="s">
        <v>42</v>
      </c>
      <c r="E4143" s="233" t="s">
        <v>47</v>
      </c>
      <c r="F4143" s="227" t="s">
        <v>294</v>
      </c>
    </row>
    <row r="4144" spans="1:6" x14ac:dyDescent="0.25">
      <c r="A4144" s="227" t="str">
        <f>TL[[#This Row],[Société]]&amp;" - "&amp;TL[[#This Row],[Compte]]</f>
        <v>LYSE - 635810</v>
      </c>
      <c r="B4144" s="233" t="s">
        <v>1987</v>
      </c>
      <c r="C4144" s="227" t="s">
        <v>772</v>
      </c>
      <c r="D4144" s="233" t="s">
        <v>42</v>
      </c>
      <c r="E4144" s="233" t="s">
        <v>47</v>
      </c>
      <c r="F4144" s="227" t="s">
        <v>294</v>
      </c>
    </row>
    <row r="4145" spans="1:6" x14ac:dyDescent="0.25">
      <c r="A4145" s="227" t="str">
        <f>TL[[#This Row],[Société]]&amp;" - "&amp;TL[[#This Row],[Compte]]</f>
        <v>LYSE - 637100</v>
      </c>
      <c r="B4145" s="233" t="s">
        <v>1988</v>
      </c>
      <c r="C4145" s="227" t="s">
        <v>613</v>
      </c>
      <c r="D4145" s="233" t="s">
        <v>42</v>
      </c>
      <c r="E4145" s="233" t="s">
        <v>47</v>
      </c>
      <c r="F4145" s="227" t="s">
        <v>294</v>
      </c>
    </row>
    <row r="4146" spans="1:6" x14ac:dyDescent="0.25">
      <c r="A4146" s="227" t="str">
        <f>TL[[#This Row],[Société]]&amp;" - "&amp;TL[[#This Row],[Compte]]</f>
        <v>LYSE - 637300</v>
      </c>
      <c r="B4146" s="233" t="s">
        <v>1777</v>
      </c>
      <c r="C4146" s="227" t="s">
        <v>467</v>
      </c>
      <c r="D4146" s="233" t="s">
        <v>42</v>
      </c>
      <c r="E4146" s="233" t="s">
        <v>47</v>
      </c>
      <c r="F4146" s="227" t="s">
        <v>294</v>
      </c>
    </row>
    <row r="4147" spans="1:6" x14ac:dyDescent="0.25">
      <c r="A4147" s="227" t="str">
        <f>TL[[#This Row],[Société]]&amp;" - "&amp;TL[[#This Row],[Compte]]</f>
        <v>LYSE - 637800</v>
      </c>
      <c r="B4147" s="233" t="s">
        <v>1989</v>
      </c>
      <c r="C4147" s="227" t="s">
        <v>773</v>
      </c>
      <c r="D4147" s="233" t="s">
        <v>42</v>
      </c>
      <c r="E4147" s="233" t="s">
        <v>47</v>
      </c>
      <c r="F4147" s="227" t="s">
        <v>294</v>
      </c>
    </row>
    <row r="4148" spans="1:6" x14ac:dyDescent="0.25">
      <c r="A4148" s="227" t="str">
        <f>TL[[#This Row],[Société]]&amp;" - "&amp;TL[[#This Row],[Compte]]</f>
        <v>LYSE - 641101</v>
      </c>
      <c r="B4148" s="233" t="s">
        <v>1749</v>
      </c>
      <c r="C4148" s="227" t="s">
        <v>406</v>
      </c>
      <c r="D4148" s="233" t="s">
        <v>12</v>
      </c>
      <c r="E4148" s="233" t="s">
        <v>3</v>
      </c>
      <c r="F4148" s="227" t="s">
        <v>294</v>
      </c>
    </row>
    <row r="4149" spans="1:6" x14ac:dyDescent="0.25">
      <c r="A4149" s="227" t="str">
        <f>TL[[#This Row],[Société]]&amp;" - "&amp;TL[[#This Row],[Compte]]</f>
        <v>LYSE - 641102</v>
      </c>
      <c r="B4149" s="233" t="s">
        <v>1990</v>
      </c>
      <c r="C4149" s="227" t="s">
        <v>774</v>
      </c>
      <c r="D4149" s="233" t="s">
        <v>152</v>
      </c>
      <c r="E4149" s="233" t="s">
        <v>12</v>
      </c>
      <c r="F4149" s="227" t="s">
        <v>294</v>
      </c>
    </row>
    <row r="4150" spans="1:6" x14ac:dyDescent="0.25">
      <c r="A4150" s="227" t="str">
        <f>TL[[#This Row],[Société]]&amp;" - "&amp;TL[[#This Row],[Compte]]</f>
        <v>LYSE - 641104</v>
      </c>
      <c r="B4150" s="233" t="s">
        <v>1750</v>
      </c>
      <c r="C4150" s="227" t="s">
        <v>516</v>
      </c>
      <c r="D4150" s="233" t="s">
        <v>13</v>
      </c>
      <c r="E4150" s="233" t="s">
        <v>12</v>
      </c>
      <c r="F4150" s="227" t="s">
        <v>294</v>
      </c>
    </row>
    <row r="4151" spans="1:6" x14ac:dyDescent="0.25">
      <c r="A4151" s="227" t="str">
        <f>TL[[#This Row],[Société]]&amp;" - "&amp;TL[[#This Row],[Compte]]</f>
        <v>LYSE - 641110</v>
      </c>
      <c r="B4151" s="233" t="s">
        <v>1762</v>
      </c>
      <c r="C4151" s="227" t="s">
        <v>775</v>
      </c>
      <c r="D4151" s="233" t="s">
        <v>50</v>
      </c>
      <c r="E4151" s="233" t="s">
        <v>3</v>
      </c>
      <c r="F4151" s="227" t="s">
        <v>294</v>
      </c>
    </row>
    <row r="4152" spans="1:6" x14ac:dyDescent="0.25">
      <c r="A4152" s="227" t="str">
        <f>TL[[#This Row],[Société]]&amp;" - "&amp;TL[[#This Row],[Compte]]</f>
        <v>LYSE - 641111</v>
      </c>
      <c r="B4152" s="233" t="s">
        <v>1991</v>
      </c>
      <c r="C4152" s="227" t="s">
        <v>423</v>
      </c>
      <c r="D4152" s="233" t="s">
        <v>12</v>
      </c>
      <c r="E4152" s="233" t="s">
        <v>3</v>
      </c>
      <c r="F4152" s="227" t="s">
        <v>294</v>
      </c>
    </row>
    <row r="4153" spans="1:6" x14ac:dyDescent="0.25">
      <c r="A4153" s="227" t="str">
        <f>TL[[#This Row],[Société]]&amp;" - "&amp;TL[[#This Row],[Compte]]</f>
        <v>LYSE - 641112</v>
      </c>
      <c r="B4153" s="233" t="s">
        <v>1992</v>
      </c>
      <c r="C4153" s="227" t="s">
        <v>468</v>
      </c>
      <c r="D4153" s="233" t="s">
        <v>50</v>
      </c>
      <c r="E4153" s="233" t="s">
        <v>12</v>
      </c>
      <c r="F4153" s="227" t="s">
        <v>294</v>
      </c>
    </row>
    <row r="4154" spans="1:6" x14ac:dyDescent="0.25">
      <c r="A4154" s="227" t="str">
        <f>TL[[#This Row],[Société]]&amp;" - "&amp;TL[[#This Row],[Compte]]</f>
        <v>LYSE - 641113</v>
      </c>
      <c r="B4154" s="233" t="s">
        <v>1993</v>
      </c>
      <c r="C4154" s="227" t="s">
        <v>504</v>
      </c>
      <c r="D4154" s="233" t="s">
        <v>50</v>
      </c>
      <c r="E4154" s="233" t="s">
        <v>3</v>
      </c>
      <c r="F4154" s="227" t="s">
        <v>294</v>
      </c>
    </row>
    <row r="4155" spans="1:6" x14ac:dyDescent="0.25">
      <c r="A4155" s="227" t="str">
        <f>TL[[#This Row],[Société]]&amp;" - "&amp;TL[[#This Row],[Compte]]</f>
        <v>LYSE - 641114</v>
      </c>
      <c r="B4155" s="233" t="s">
        <v>1994</v>
      </c>
      <c r="C4155" s="227" t="s">
        <v>1550</v>
      </c>
      <c r="D4155" s="233" t="s">
        <v>12</v>
      </c>
      <c r="E4155" s="233" t="s">
        <v>3</v>
      </c>
      <c r="F4155" s="227" t="s">
        <v>294</v>
      </c>
    </row>
    <row r="4156" spans="1:6" x14ac:dyDescent="0.25">
      <c r="A4156" s="227" t="str">
        <f>TL[[#This Row],[Société]]&amp;" - "&amp;TL[[#This Row],[Compte]]</f>
        <v>LYSE - 641115</v>
      </c>
      <c r="B4156" s="233" t="s">
        <v>1995</v>
      </c>
      <c r="C4156" s="227" t="s">
        <v>1551</v>
      </c>
      <c r="D4156" s="233" t="s">
        <v>13</v>
      </c>
      <c r="E4156" s="233" t="s">
        <v>12</v>
      </c>
      <c r="F4156" s="227" t="s">
        <v>294</v>
      </c>
    </row>
    <row r="4157" spans="1:6" x14ac:dyDescent="0.25">
      <c r="A4157" s="227" t="str">
        <f>TL[[#This Row],[Société]]&amp;" - "&amp;TL[[#This Row],[Compte]]</f>
        <v>LYSE - 641200</v>
      </c>
      <c r="B4157" s="233" t="s">
        <v>1773</v>
      </c>
      <c r="C4157" s="227" t="s">
        <v>501</v>
      </c>
      <c r="D4157" s="233" t="s">
        <v>12</v>
      </c>
      <c r="E4157" s="233" t="s">
        <v>3</v>
      </c>
      <c r="F4157" s="227" t="s">
        <v>294</v>
      </c>
    </row>
    <row r="4158" spans="1:6" x14ac:dyDescent="0.25">
      <c r="A4158" s="227" t="str">
        <f>TL[[#This Row],[Société]]&amp;" - "&amp;TL[[#This Row],[Compte]]</f>
        <v>LYSE - 641210</v>
      </c>
      <c r="B4158" s="233" t="s">
        <v>1774</v>
      </c>
      <c r="C4158" s="227" t="s">
        <v>470</v>
      </c>
      <c r="D4158" s="233" t="s">
        <v>13</v>
      </c>
      <c r="E4158" s="233" t="s">
        <v>12</v>
      </c>
      <c r="F4158" s="227" t="s">
        <v>294</v>
      </c>
    </row>
    <row r="4159" spans="1:6" x14ac:dyDescent="0.25">
      <c r="A4159" s="227" t="str">
        <f>TL[[#This Row],[Société]]&amp;" - "&amp;TL[[#This Row],[Compte]]</f>
        <v>LYSE - 641220</v>
      </c>
      <c r="B4159" s="233" t="s">
        <v>1783</v>
      </c>
      <c r="C4159" s="227" t="s">
        <v>473</v>
      </c>
      <c r="D4159" s="233" t="s">
        <v>13</v>
      </c>
      <c r="E4159" s="233" t="s">
        <v>12</v>
      </c>
      <c r="F4159" s="227" t="s">
        <v>294</v>
      </c>
    </row>
    <row r="4160" spans="1:6" x14ac:dyDescent="0.25">
      <c r="A4160" s="227" t="str">
        <f>TL[[#This Row],[Société]]&amp;" - "&amp;TL[[#This Row],[Compte]]</f>
        <v>LYSE - 641230</v>
      </c>
      <c r="B4160" s="233" t="s">
        <v>1996</v>
      </c>
      <c r="C4160" s="227" t="s">
        <v>776</v>
      </c>
      <c r="F4160" s="227" t="s">
        <v>294</v>
      </c>
    </row>
    <row r="4161" spans="1:6" x14ac:dyDescent="0.25">
      <c r="A4161" s="227" t="str">
        <f>TL[[#This Row],[Société]]&amp;" - "&amp;TL[[#This Row],[Compte]]</f>
        <v>LYSE - 641300</v>
      </c>
      <c r="B4161" s="233" t="s">
        <v>1997</v>
      </c>
      <c r="C4161" s="227" t="s">
        <v>615</v>
      </c>
      <c r="F4161" s="227" t="s">
        <v>294</v>
      </c>
    </row>
    <row r="4162" spans="1:6" x14ac:dyDescent="0.25">
      <c r="A4162" s="227" t="str">
        <f>TL[[#This Row],[Société]]&amp;" - "&amp;TL[[#This Row],[Compte]]</f>
        <v>LYSE - 641333</v>
      </c>
      <c r="B4162" s="233" t="s">
        <v>1998</v>
      </c>
      <c r="C4162" s="227" t="s">
        <v>1353</v>
      </c>
      <c r="D4162" s="233" t="s">
        <v>50</v>
      </c>
      <c r="E4162" s="233" t="s">
        <v>3</v>
      </c>
      <c r="F4162" s="227" t="s">
        <v>294</v>
      </c>
    </row>
    <row r="4163" spans="1:6" x14ac:dyDescent="0.25">
      <c r="A4163" s="227" t="str">
        <f>TL[[#This Row],[Société]]&amp;" - "&amp;TL[[#This Row],[Compte]]</f>
        <v>LYSE - 641401</v>
      </c>
      <c r="B4163" s="233" t="s">
        <v>1745</v>
      </c>
      <c r="C4163" s="227" t="s">
        <v>284</v>
      </c>
      <c r="D4163" s="233" t="s">
        <v>12</v>
      </c>
      <c r="E4163" s="233" t="s">
        <v>3</v>
      </c>
      <c r="F4163" s="227" t="s">
        <v>294</v>
      </c>
    </row>
    <row r="4164" spans="1:6" x14ac:dyDescent="0.25">
      <c r="A4164" s="227" t="str">
        <f>TL[[#This Row],[Société]]&amp;" - "&amp;TL[[#This Row],[Compte]]</f>
        <v>LYSE - 641402</v>
      </c>
      <c r="B4164" s="233" t="s">
        <v>1999</v>
      </c>
      <c r="C4164" s="227" t="s">
        <v>1446</v>
      </c>
      <c r="D4164" s="233" t="s">
        <v>12</v>
      </c>
      <c r="E4164" s="233" t="s">
        <v>3</v>
      </c>
      <c r="F4164" s="227" t="s">
        <v>294</v>
      </c>
    </row>
    <row r="4165" spans="1:6" x14ac:dyDescent="0.25">
      <c r="A4165" s="227" t="str">
        <f>TL[[#This Row],[Société]]&amp;" - "&amp;TL[[#This Row],[Compte]]</f>
        <v>LYSE - 641403</v>
      </c>
      <c r="B4165" s="233" t="s">
        <v>2000</v>
      </c>
      <c r="C4165" s="227" t="s">
        <v>1447</v>
      </c>
      <c r="D4165" s="233" t="s">
        <v>13</v>
      </c>
      <c r="E4165" s="233" t="s">
        <v>12</v>
      </c>
      <c r="F4165" s="227" t="s">
        <v>294</v>
      </c>
    </row>
    <row r="4166" spans="1:6" x14ac:dyDescent="0.25">
      <c r="A4166" s="227" t="str">
        <f>TL[[#This Row],[Société]]&amp;" - "&amp;TL[[#This Row],[Compte]]</f>
        <v>LYSE - 641404</v>
      </c>
      <c r="B4166" s="233" t="s">
        <v>1747</v>
      </c>
      <c r="C4166" s="227" t="s">
        <v>272</v>
      </c>
      <c r="D4166" s="233" t="s">
        <v>13</v>
      </c>
      <c r="E4166" s="233" t="s">
        <v>12</v>
      </c>
      <c r="F4166" s="227" t="s">
        <v>294</v>
      </c>
    </row>
    <row r="4167" spans="1:6" x14ac:dyDescent="0.25">
      <c r="A4167" s="227" t="str">
        <f>TL[[#This Row],[Société]]&amp;" - "&amp;TL[[#This Row],[Compte]]</f>
        <v>LYSE - 641405</v>
      </c>
      <c r="B4167" s="233" t="s">
        <v>2001</v>
      </c>
      <c r="C4167" s="227" t="s">
        <v>1447</v>
      </c>
      <c r="D4167" s="233" t="s">
        <v>13</v>
      </c>
      <c r="E4167" s="233" t="s">
        <v>12</v>
      </c>
      <c r="F4167" s="227" t="s">
        <v>294</v>
      </c>
    </row>
    <row r="4168" spans="1:6" x14ac:dyDescent="0.25">
      <c r="A4168" s="227" t="str">
        <f>TL[[#This Row],[Société]]&amp;" - "&amp;TL[[#This Row],[Compte]]</f>
        <v>LYSE - 641411</v>
      </c>
      <c r="B4168" s="233" t="s">
        <v>1751</v>
      </c>
      <c r="C4168" s="227" t="s">
        <v>465</v>
      </c>
      <c r="D4168" s="233" t="s">
        <v>12</v>
      </c>
      <c r="E4168" s="233" t="s">
        <v>3</v>
      </c>
      <c r="F4168" s="227" t="s">
        <v>294</v>
      </c>
    </row>
    <row r="4169" spans="1:6" x14ac:dyDescent="0.25">
      <c r="A4169" s="227" t="str">
        <f>TL[[#This Row],[Société]]&amp;" - "&amp;TL[[#This Row],[Compte]]</f>
        <v>LYSE - 641414</v>
      </c>
      <c r="B4169" s="233" t="s">
        <v>1752</v>
      </c>
      <c r="C4169" s="227" t="s">
        <v>482</v>
      </c>
      <c r="D4169" s="233" t="s">
        <v>13</v>
      </c>
      <c r="E4169" s="233" t="s">
        <v>12</v>
      </c>
      <c r="F4169" s="227" t="s">
        <v>294</v>
      </c>
    </row>
    <row r="4170" spans="1:6" x14ac:dyDescent="0.25">
      <c r="A4170" s="227" t="str">
        <f>TL[[#This Row],[Société]]&amp;" - "&amp;TL[[#This Row],[Compte]]</f>
        <v>LYSE - 645041</v>
      </c>
      <c r="B4170" s="233" t="s">
        <v>1759</v>
      </c>
      <c r="C4170" s="227" t="s">
        <v>271</v>
      </c>
      <c r="D4170" s="233" t="s">
        <v>12</v>
      </c>
      <c r="E4170" s="233" t="s">
        <v>71</v>
      </c>
      <c r="F4170" s="227" t="s">
        <v>294</v>
      </c>
    </row>
    <row r="4171" spans="1:6" x14ac:dyDescent="0.25">
      <c r="A4171" s="227" t="str">
        <f>TL[[#This Row],[Société]]&amp;" - "&amp;TL[[#This Row],[Compte]]</f>
        <v>LYSE - 645044</v>
      </c>
      <c r="B4171" s="233" t="s">
        <v>1760</v>
      </c>
      <c r="C4171" s="227" t="s">
        <v>273</v>
      </c>
      <c r="D4171" s="233" t="s">
        <v>15</v>
      </c>
      <c r="E4171" s="233" t="s">
        <v>13</v>
      </c>
      <c r="F4171" s="227" t="s">
        <v>294</v>
      </c>
    </row>
    <row r="4172" spans="1:6" x14ac:dyDescent="0.25">
      <c r="A4172" s="227" t="str">
        <f>TL[[#This Row],[Société]]&amp;" - "&amp;TL[[#This Row],[Compte]]</f>
        <v>LYSE - 645101</v>
      </c>
      <c r="B4172" s="233" t="s">
        <v>1755</v>
      </c>
      <c r="C4172" s="227" t="s">
        <v>158</v>
      </c>
      <c r="D4172" s="233" t="s">
        <v>12</v>
      </c>
      <c r="E4172" s="233" t="s">
        <v>71</v>
      </c>
      <c r="F4172" s="227" t="s">
        <v>294</v>
      </c>
    </row>
    <row r="4173" spans="1:6" x14ac:dyDescent="0.25">
      <c r="A4173" s="227" t="str">
        <f>TL[[#This Row],[Société]]&amp;" - "&amp;TL[[#This Row],[Compte]]</f>
        <v>LYSE - 645102</v>
      </c>
      <c r="B4173" s="233" t="s">
        <v>2002</v>
      </c>
      <c r="C4173" s="227" t="s">
        <v>777</v>
      </c>
      <c r="D4173" s="233" t="s">
        <v>152</v>
      </c>
      <c r="E4173" s="233" t="s">
        <v>13</v>
      </c>
      <c r="F4173" s="227" t="s">
        <v>294</v>
      </c>
    </row>
    <row r="4174" spans="1:6" x14ac:dyDescent="0.25">
      <c r="A4174" s="227" t="str">
        <f>TL[[#This Row],[Société]]&amp;" - "&amp;TL[[#This Row],[Compte]]</f>
        <v>LYSE - 645104</v>
      </c>
      <c r="B4174" s="233" t="s">
        <v>1756</v>
      </c>
      <c r="C4174" s="227" t="s">
        <v>500</v>
      </c>
      <c r="D4174" s="233" t="s">
        <v>15</v>
      </c>
      <c r="E4174" s="233" t="s">
        <v>13</v>
      </c>
      <c r="F4174" s="227" t="s">
        <v>294</v>
      </c>
    </row>
    <row r="4175" spans="1:6" x14ac:dyDescent="0.25">
      <c r="A4175" s="227" t="str">
        <f>TL[[#This Row],[Société]]&amp;" - "&amp;TL[[#This Row],[Compte]]</f>
        <v>LYSE - 645201</v>
      </c>
      <c r="B4175" s="233" t="s">
        <v>2003</v>
      </c>
      <c r="C4175" s="227" t="s">
        <v>778</v>
      </c>
      <c r="D4175" s="233" t="s">
        <v>12</v>
      </c>
      <c r="E4175" s="233" t="s">
        <v>71</v>
      </c>
      <c r="F4175" s="227" t="s">
        <v>294</v>
      </c>
    </row>
    <row r="4176" spans="1:6" x14ac:dyDescent="0.25">
      <c r="A4176" s="227" t="str">
        <f>TL[[#This Row],[Société]]&amp;" - "&amp;TL[[#This Row],[Compte]]</f>
        <v>LYSE - 645204</v>
      </c>
      <c r="B4176" s="233" t="s">
        <v>2004</v>
      </c>
      <c r="C4176" s="227" t="s">
        <v>779</v>
      </c>
      <c r="D4176" s="233" t="s">
        <v>15</v>
      </c>
      <c r="E4176" s="233" t="s">
        <v>13</v>
      </c>
      <c r="F4176" s="227" t="s">
        <v>294</v>
      </c>
    </row>
    <row r="4177" spans="1:6" x14ac:dyDescent="0.25">
      <c r="A4177" s="227" t="str">
        <f>TL[[#This Row],[Société]]&amp;" - "&amp;TL[[#This Row],[Compte]]</f>
        <v>LYSE - 645301</v>
      </c>
      <c r="B4177" s="233" t="s">
        <v>1757</v>
      </c>
      <c r="C4177" s="227" t="s">
        <v>281</v>
      </c>
      <c r="D4177" s="233" t="s">
        <v>12</v>
      </c>
      <c r="E4177" s="233" t="s">
        <v>71</v>
      </c>
      <c r="F4177" s="227" t="s">
        <v>294</v>
      </c>
    </row>
    <row r="4178" spans="1:6" x14ac:dyDescent="0.25">
      <c r="A4178" s="227" t="str">
        <f>TL[[#This Row],[Société]]&amp;" - "&amp;TL[[#This Row],[Compte]]</f>
        <v>LYSE - 645302</v>
      </c>
      <c r="B4178" s="233" t="s">
        <v>2005</v>
      </c>
      <c r="C4178" s="227" t="s">
        <v>780</v>
      </c>
      <c r="D4178" s="233" t="s">
        <v>152</v>
      </c>
      <c r="E4178" s="233" t="s">
        <v>13</v>
      </c>
      <c r="F4178" s="227" t="s">
        <v>294</v>
      </c>
    </row>
    <row r="4179" spans="1:6" x14ac:dyDescent="0.25">
      <c r="A4179" s="227" t="str">
        <f>TL[[#This Row],[Société]]&amp;" - "&amp;TL[[#This Row],[Compte]]</f>
        <v>LYSE - 645304</v>
      </c>
      <c r="B4179" s="233" t="s">
        <v>1758</v>
      </c>
      <c r="C4179" s="227" t="s">
        <v>275</v>
      </c>
      <c r="D4179" s="233" t="s">
        <v>15</v>
      </c>
      <c r="E4179" s="233" t="s">
        <v>13</v>
      </c>
      <c r="F4179" s="227" t="s">
        <v>294</v>
      </c>
    </row>
    <row r="4180" spans="1:6" x14ac:dyDescent="0.25">
      <c r="A4180" s="227" t="str">
        <f>TL[[#This Row],[Société]]&amp;" - "&amp;TL[[#This Row],[Compte]]</f>
        <v>LYSE - 645305</v>
      </c>
      <c r="B4180" s="233" t="s">
        <v>2006</v>
      </c>
      <c r="C4180" s="227" t="s">
        <v>521</v>
      </c>
      <c r="D4180" s="233" t="s">
        <v>15</v>
      </c>
      <c r="E4180" s="233" t="s">
        <v>13</v>
      </c>
      <c r="F4180" s="227" t="s">
        <v>294</v>
      </c>
    </row>
    <row r="4181" spans="1:6" x14ac:dyDescent="0.25">
      <c r="A4181" s="227" t="str">
        <f>TL[[#This Row],[Société]]&amp;" - "&amp;TL[[#This Row],[Compte]]</f>
        <v>LYSE - 645306</v>
      </c>
      <c r="B4181" s="233" t="s">
        <v>1761</v>
      </c>
      <c r="C4181" s="227" t="s">
        <v>781</v>
      </c>
      <c r="D4181" s="233" t="s">
        <v>15</v>
      </c>
      <c r="E4181" s="233" t="s">
        <v>13</v>
      </c>
      <c r="F4181" s="227" t="s">
        <v>294</v>
      </c>
    </row>
    <row r="4182" spans="1:6" x14ac:dyDescent="0.25">
      <c r="A4182" s="227" t="str">
        <f>TL[[#This Row],[Société]]&amp;" - "&amp;TL[[#This Row],[Compte]]</f>
        <v>LYSE - 645401</v>
      </c>
      <c r="B4182" s="233" t="s">
        <v>1753</v>
      </c>
      <c r="C4182" s="227" t="s">
        <v>270</v>
      </c>
      <c r="D4182" s="233" t="s">
        <v>12</v>
      </c>
      <c r="E4182" s="233" t="s">
        <v>71</v>
      </c>
      <c r="F4182" s="227" t="s">
        <v>294</v>
      </c>
    </row>
    <row r="4183" spans="1:6" x14ac:dyDescent="0.25">
      <c r="A4183" s="227" t="str">
        <f>TL[[#This Row],[Société]]&amp;" - "&amp;TL[[#This Row],[Compte]]</f>
        <v>LYSE - 645402</v>
      </c>
      <c r="B4183" s="233" t="s">
        <v>2007</v>
      </c>
      <c r="C4183" s="227" t="s">
        <v>782</v>
      </c>
      <c r="D4183" s="233" t="s">
        <v>152</v>
      </c>
      <c r="E4183" s="233" t="s">
        <v>13</v>
      </c>
      <c r="F4183" s="227" t="s">
        <v>294</v>
      </c>
    </row>
    <row r="4184" spans="1:6" x14ac:dyDescent="0.25">
      <c r="A4184" s="227" t="str">
        <f>TL[[#This Row],[Société]]&amp;" - "&amp;TL[[#This Row],[Compte]]</f>
        <v>LYSE - 645404</v>
      </c>
      <c r="B4184" s="233" t="s">
        <v>1754</v>
      </c>
      <c r="C4184" s="227" t="s">
        <v>483</v>
      </c>
      <c r="D4184" s="233" t="s">
        <v>15</v>
      </c>
      <c r="E4184" s="233" t="s">
        <v>13</v>
      </c>
      <c r="F4184" s="227" t="s">
        <v>294</v>
      </c>
    </row>
    <row r="4185" spans="1:6" x14ac:dyDescent="0.25">
      <c r="A4185" s="227" t="str">
        <f>TL[[#This Row],[Société]]&amp;" - "&amp;TL[[#This Row],[Compte]]</f>
        <v>LYSE - 645800</v>
      </c>
      <c r="B4185" s="233" t="s">
        <v>1775</v>
      </c>
      <c r="C4185" s="227" t="s">
        <v>471</v>
      </c>
      <c r="D4185" s="233" t="s">
        <v>12</v>
      </c>
      <c r="E4185" s="233" t="s">
        <v>71</v>
      </c>
      <c r="F4185" s="227" t="s">
        <v>294</v>
      </c>
    </row>
    <row r="4186" spans="1:6" x14ac:dyDescent="0.25">
      <c r="A4186" s="227" t="str">
        <f>TL[[#This Row],[Société]]&amp;" - "&amp;TL[[#This Row],[Compte]]</f>
        <v>LYSE - 645810</v>
      </c>
      <c r="B4186" s="233" t="s">
        <v>1776</v>
      </c>
      <c r="C4186" s="227" t="s">
        <v>485</v>
      </c>
      <c r="D4186" s="233" t="s">
        <v>15</v>
      </c>
      <c r="E4186" s="233" t="s">
        <v>13</v>
      </c>
      <c r="F4186" s="227" t="s">
        <v>294</v>
      </c>
    </row>
    <row r="4187" spans="1:6" x14ac:dyDescent="0.25">
      <c r="A4187" s="227" t="str">
        <f>TL[[#This Row],[Société]]&amp;" - "&amp;TL[[#This Row],[Compte]]</f>
        <v>LYSE - 645820</v>
      </c>
      <c r="B4187" s="233" t="s">
        <v>2008</v>
      </c>
      <c r="C4187" s="227" t="s">
        <v>783</v>
      </c>
      <c r="D4187" s="233" t="s">
        <v>12</v>
      </c>
      <c r="E4187" s="233" t="s">
        <v>71</v>
      </c>
      <c r="F4187" s="227" t="s">
        <v>294</v>
      </c>
    </row>
    <row r="4188" spans="1:6" x14ac:dyDescent="0.25">
      <c r="A4188" s="227" t="str">
        <f>TL[[#This Row],[Société]]&amp;" - "&amp;TL[[#This Row],[Compte]]</f>
        <v>LYSE - 645830</v>
      </c>
      <c r="B4188" s="233" t="s">
        <v>2009</v>
      </c>
      <c r="C4188" s="227" t="s">
        <v>784</v>
      </c>
      <c r="D4188" s="233" t="s">
        <v>15</v>
      </c>
      <c r="E4188" s="233" t="s">
        <v>13</v>
      </c>
      <c r="F4188" s="227" t="s">
        <v>294</v>
      </c>
    </row>
    <row r="4189" spans="1:6" x14ac:dyDescent="0.25">
      <c r="A4189" s="227" t="str">
        <f>TL[[#This Row],[Société]]&amp;" - "&amp;TL[[#This Row],[Compte]]</f>
        <v>LYSE - 646000</v>
      </c>
      <c r="B4189" s="233" t="s">
        <v>2010</v>
      </c>
      <c r="C4189" s="227" t="s">
        <v>785</v>
      </c>
      <c r="F4189" s="227" t="s">
        <v>294</v>
      </c>
    </row>
    <row r="4190" spans="1:6" x14ac:dyDescent="0.25">
      <c r="A4190" s="227" t="str">
        <f>TL[[#This Row],[Société]]&amp;" - "&amp;TL[[#This Row],[Compte]]</f>
        <v>LYSE - 646300</v>
      </c>
      <c r="B4190" s="233" t="s">
        <v>2011</v>
      </c>
      <c r="C4190" s="227" t="s">
        <v>786</v>
      </c>
      <c r="D4190" s="233" t="s">
        <v>147</v>
      </c>
      <c r="E4190" s="233" t="s">
        <v>15</v>
      </c>
      <c r="F4190" s="227" t="s">
        <v>294</v>
      </c>
    </row>
    <row r="4191" spans="1:6" x14ac:dyDescent="0.25">
      <c r="A4191" s="227" t="str">
        <f>TL[[#This Row],[Société]]&amp;" - "&amp;TL[[#This Row],[Compte]]</f>
        <v>LYSE - 647500</v>
      </c>
      <c r="B4191" s="233" t="s">
        <v>1610</v>
      </c>
      <c r="C4191" s="227" t="s">
        <v>480</v>
      </c>
      <c r="D4191" s="233" t="s">
        <v>20</v>
      </c>
      <c r="E4191" s="233" t="s">
        <v>25</v>
      </c>
      <c r="F4191" s="227" t="s">
        <v>294</v>
      </c>
    </row>
    <row r="4192" spans="1:6" x14ac:dyDescent="0.25">
      <c r="A4192" s="227" t="str">
        <f>TL[[#This Row],[Société]]&amp;" - "&amp;TL[[#This Row],[Compte]]</f>
        <v>LYSE - 649000</v>
      </c>
      <c r="B4192" s="233" t="s">
        <v>2012</v>
      </c>
      <c r="C4192" s="227" t="s">
        <v>513</v>
      </c>
      <c r="D4192" s="233" t="s">
        <v>148</v>
      </c>
      <c r="E4192" s="233" t="s">
        <v>1303</v>
      </c>
      <c r="F4192" s="227" t="s">
        <v>294</v>
      </c>
    </row>
    <row r="4193" spans="1:6" x14ac:dyDescent="0.25">
      <c r="A4193" s="227" t="str">
        <f>TL[[#This Row],[Société]]&amp;" - "&amp;TL[[#This Row],[Compte]]</f>
        <v>LYSE - 651001</v>
      </c>
      <c r="B4193" s="233" t="s">
        <v>1605</v>
      </c>
      <c r="C4193" s="227" t="s">
        <v>276</v>
      </c>
      <c r="D4193" s="233" t="s">
        <v>37</v>
      </c>
      <c r="E4193" s="233" t="s">
        <v>42</v>
      </c>
      <c r="F4193" s="227" t="s">
        <v>294</v>
      </c>
    </row>
    <row r="4194" spans="1:6" x14ac:dyDescent="0.25">
      <c r="A4194" s="227" t="str">
        <f>TL[[#This Row],[Société]]&amp;" - "&amp;TL[[#This Row],[Compte]]</f>
        <v>LYSE - 651003</v>
      </c>
      <c r="B4194" s="233" t="s">
        <v>1796</v>
      </c>
      <c r="C4194" s="227" t="s">
        <v>282</v>
      </c>
      <c r="D4194" s="233" t="s">
        <v>20</v>
      </c>
      <c r="E4194" s="233" t="s">
        <v>25</v>
      </c>
      <c r="F4194" s="227" t="s">
        <v>294</v>
      </c>
    </row>
    <row r="4195" spans="1:6" x14ac:dyDescent="0.25">
      <c r="A4195" s="227" t="str">
        <f>TL[[#This Row],[Société]]&amp;" - "&amp;TL[[#This Row],[Compte]]</f>
        <v>LYSE - 651200</v>
      </c>
      <c r="B4195" s="233" t="s">
        <v>1604</v>
      </c>
      <c r="C4195" s="227" t="s">
        <v>457</v>
      </c>
      <c r="D4195" s="233" t="s">
        <v>35</v>
      </c>
      <c r="E4195" s="233" t="s">
        <v>37</v>
      </c>
      <c r="F4195" s="227" t="s">
        <v>294</v>
      </c>
    </row>
    <row r="4196" spans="1:6" x14ac:dyDescent="0.25">
      <c r="A4196" s="227" t="str">
        <f>TL[[#This Row],[Société]]&amp;" - "&amp;TL[[#This Row],[Compte]]</f>
        <v>LYSE - 651210</v>
      </c>
      <c r="B4196" s="233" t="s">
        <v>1606</v>
      </c>
      <c r="C4196" s="227" t="s">
        <v>277</v>
      </c>
      <c r="D4196" s="233" t="s">
        <v>37</v>
      </c>
      <c r="E4196" s="233" t="s">
        <v>37</v>
      </c>
      <c r="F4196" s="227" t="s">
        <v>294</v>
      </c>
    </row>
    <row r="4197" spans="1:6" x14ac:dyDescent="0.25">
      <c r="A4197" s="227" t="str">
        <f>TL[[#This Row],[Société]]&amp;" - "&amp;TL[[#This Row],[Compte]]</f>
        <v>LYSE - 654100</v>
      </c>
      <c r="B4197" s="233" t="s">
        <v>2013</v>
      </c>
      <c r="C4197" s="227" t="s">
        <v>787</v>
      </c>
      <c r="D4197" s="233" t="s">
        <v>152</v>
      </c>
      <c r="E4197" s="233" t="s">
        <v>52</v>
      </c>
      <c r="F4197" s="227" t="s">
        <v>294</v>
      </c>
    </row>
    <row r="4198" spans="1:6" x14ac:dyDescent="0.25">
      <c r="A4198" s="227" t="str">
        <f>TL[[#This Row],[Société]]&amp;" - "&amp;TL[[#This Row],[Compte]]</f>
        <v>LYSE - 655000</v>
      </c>
      <c r="B4198" s="233" t="s">
        <v>2014</v>
      </c>
      <c r="C4198" s="227" t="s">
        <v>614</v>
      </c>
      <c r="D4198" s="233" t="s">
        <v>152</v>
      </c>
      <c r="F4198" s="227" t="s">
        <v>294</v>
      </c>
    </row>
    <row r="4199" spans="1:6" x14ac:dyDescent="0.25">
      <c r="A4199" s="227" t="str">
        <f>TL[[#This Row],[Société]]&amp;" - "&amp;TL[[#This Row],[Compte]]</f>
        <v>LYSE - 658000</v>
      </c>
      <c r="B4199" s="233" t="s">
        <v>1743</v>
      </c>
      <c r="C4199" s="227" t="s">
        <v>306</v>
      </c>
      <c r="D4199" s="233" t="s">
        <v>50</v>
      </c>
      <c r="E4199" s="233" t="s">
        <v>2982</v>
      </c>
      <c r="F4199" s="227" t="s">
        <v>294</v>
      </c>
    </row>
    <row r="4200" spans="1:6" x14ac:dyDescent="0.25">
      <c r="A4200" s="227" t="str">
        <f>TL[[#This Row],[Société]]&amp;" - "&amp;TL[[#This Row],[Compte]]</f>
        <v>LYSE - 661100</v>
      </c>
      <c r="B4200" s="233" t="s">
        <v>1721</v>
      </c>
      <c r="C4200" s="227" t="s">
        <v>499</v>
      </c>
      <c r="D4200" s="233" t="s">
        <v>47</v>
      </c>
      <c r="E4200" s="233" t="s">
        <v>286</v>
      </c>
      <c r="F4200" s="227" t="s">
        <v>294</v>
      </c>
    </row>
    <row r="4201" spans="1:6" x14ac:dyDescent="0.25">
      <c r="A4201" s="227" t="str">
        <f>TL[[#This Row],[Société]]&amp;" - "&amp;TL[[#This Row],[Compte]]</f>
        <v>LYSE - 661160</v>
      </c>
      <c r="B4201" s="233" t="s">
        <v>2015</v>
      </c>
      <c r="C4201" s="227" t="s">
        <v>788</v>
      </c>
      <c r="D4201" s="233" t="s">
        <v>47</v>
      </c>
      <c r="E4201" s="233" t="s">
        <v>21</v>
      </c>
      <c r="F4201" s="227" t="s">
        <v>294</v>
      </c>
    </row>
    <row r="4202" spans="1:6" x14ac:dyDescent="0.25">
      <c r="A4202" s="227" t="str">
        <f>TL[[#This Row],[Société]]&amp;" - "&amp;TL[[#This Row],[Compte]]</f>
        <v>LYSE - 661600</v>
      </c>
      <c r="B4202" s="233" t="s">
        <v>2016</v>
      </c>
      <c r="C4202" s="227" t="s">
        <v>454</v>
      </c>
      <c r="D4202" s="233" t="s">
        <v>47</v>
      </c>
      <c r="E4202" s="233" t="s">
        <v>21</v>
      </c>
      <c r="F4202" s="227" t="s">
        <v>294</v>
      </c>
    </row>
    <row r="4203" spans="1:6" x14ac:dyDescent="0.25">
      <c r="A4203" s="227" t="str">
        <f>TL[[#This Row],[Société]]&amp;" - "&amp;TL[[#This Row],[Compte]]</f>
        <v>LYSE - 666000</v>
      </c>
      <c r="B4203" s="233" t="s">
        <v>2017</v>
      </c>
      <c r="C4203" s="227" t="s">
        <v>789</v>
      </c>
      <c r="D4203" s="233" t="s">
        <v>47</v>
      </c>
      <c r="E4203" s="233" t="s">
        <v>21</v>
      </c>
      <c r="F4203" s="227" t="s">
        <v>294</v>
      </c>
    </row>
    <row r="4204" spans="1:6" x14ac:dyDescent="0.25">
      <c r="A4204" s="227" t="str">
        <f>TL[[#This Row],[Société]]&amp;" - "&amp;TL[[#This Row],[Compte]]</f>
        <v>LYSE - 667100</v>
      </c>
      <c r="B4204" s="233" t="s">
        <v>2018</v>
      </c>
      <c r="C4204" s="227" t="s">
        <v>790</v>
      </c>
      <c r="F4204" s="227" t="s">
        <v>294</v>
      </c>
    </row>
    <row r="4205" spans="1:6" x14ac:dyDescent="0.25">
      <c r="A4205" s="227" t="str">
        <f>TL[[#This Row],[Société]]&amp;" - "&amp;TL[[#This Row],[Compte]]</f>
        <v>LYSE - 668800</v>
      </c>
      <c r="B4205" s="233" t="s">
        <v>2019</v>
      </c>
      <c r="C4205" s="227" t="s">
        <v>614</v>
      </c>
      <c r="D4205" s="233" t="s">
        <v>47</v>
      </c>
      <c r="F4205" s="227" t="s">
        <v>294</v>
      </c>
    </row>
    <row r="4206" spans="1:6" x14ac:dyDescent="0.25">
      <c r="A4206" s="227" t="str">
        <f>TL[[#This Row],[Société]]&amp;" - "&amp;TL[[#This Row],[Compte]]</f>
        <v>LYSE - 671100</v>
      </c>
      <c r="B4206" s="233" t="s">
        <v>1801</v>
      </c>
      <c r="C4206" s="227" t="s">
        <v>385</v>
      </c>
      <c r="D4206" s="233" t="s">
        <v>30</v>
      </c>
      <c r="E4206" s="233" t="s">
        <v>2982</v>
      </c>
      <c r="F4206" s="227" t="s">
        <v>294</v>
      </c>
    </row>
    <row r="4207" spans="1:6" x14ac:dyDescent="0.25">
      <c r="A4207" s="227" t="str">
        <f>TL[[#This Row],[Société]]&amp;" - "&amp;TL[[#This Row],[Compte]]</f>
        <v>LYSE - 671200</v>
      </c>
      <c r="B4207" s="233" t="s">
        <v>2020</v>
      </c>
      <c r="C4207" s="227" t="s">
        <v>369</v>
      </c>
      <c r="D4207" s="233" t="s">
        <v>50</v>
      </c>
      <c r="E4207" s="233" t="s">
        <v>2995</v>
      </c>
      <c r="F4207" s="227" t="s">
        <v>294</v>
      </c>
    </row>
    <row r="4208" spans="1:6" x14ac:dyDescent="0.25">
      <c r="A4208" s="227" t="str">
        <f>TL[[#This Row],[Société]]&amp;" - "&amp;TL[[#This Row],[Compte]]</f>
        <v>LYSE - 671300</v>
      </c>
      <c r="B4208" s="233" t="s">
        <v>1725</v>
      </c>
      <c r="C4208" s="227" t="s">
        <v>223</v>
      </c>
      <c r="D4208" s="233" t="s">
        <v>50</v>
      </c>
      <c r="E4208" s="233" t="s">
        <v>2995</v>
      </c>
      <c r="F4208" s="227" t="s">
        <v>294</v>
      </c>
    </row>
    <row r="4209" spans="1:6" x14ac:dyDescent="0.25">
      <c r="A4209" s="227" t="str">
        <f>TL[[#This Row],[Société]]&amp;" - "&amp;TL[[#This Row],[Compte]]</f>
        <v>LYSE - 671310</v>
      </c>
      <c r="B4209" s="233" t="s">
        <v>2021</v>
      </c>
      <c r="C4209" s="227" t="s">
        <v>461</v>
      </c>
      <c r="D4209" s="233" t="s">
        <v>50</v>
      </c>
      <c r="E4209" s="233" t="s">
        <v>2995</v>
      </c>
      <c r="F4209" s="227" t="s">
        <v>294</v>
      </c>
    </row>
    <row r="4210" spans="1:6" x14ac:dyDescent="0.25">
      <c r="A4210" s="227" t="str">
        <f>TL[[#This Row],[Société]]&amp;" - "&amp;TL[[#This Row],[Compte]]</f>
        <v>LYSE - 671800</v>
      </c>
      <c r="B4210" s="233" t="s">
        <v>2022</v>
      </c>
      <c r="C4210" s="227" t="s">
        <v>791</v>
      </c>
      <c r="F4210" s="227" t="s">
        <v>294</v>
      </c>
    </row>
    <row r="4211" spans="1:6" x14ac:dyDescent="0.25">
      <c r="A4211" s="227" t="str">
        <f>TL[[#This Row],[Société]]&amp;" - "&amp;TL[[#This Row],[Compte]]</f>
        <v>LYSE - 672000</v>
      </c>
      <c r="B4211" s="233" t="s">
        <v>2023</v>
      </c>
      <c r="C4211" s="227" t="s">
        <v>460</v>
      </c>
      <c r="F4211" s="227" t="s">
        <v>294</v>
      </c>
    </row>
    <row r="4212" spans="1:6" x14ac:dyDescent="0.25">
      <c r="A4212" s="227" t="str">
        <f>TL[[#This Row],[Société]]&amp;" - "&amp;TL[[#This Row],[Compte]]</f>
        <v>LYSE - 675100</v>
      </c>
      <c r="B4212" s="233" t="s">
        <v>2024</v>
      </c>
      <c r="C4212" s="227" t="s">
        <v>792</v>
      </c>
      <c r="D4212" s="233" t="s">
        <v>44</v>
      </c>
      <c r="E4212" s="233" t="s">
        <v>2995</v>
      </c>
      <c r="F4212" s="227" t="s">
        <v>294</v>
      </c>
    </row>
    <row r="4213" spans="1:6" x14ac:dyDescent="0.25">
      <c r="A4213" s="227" t="str">
        <f>TL[[#This Row],[Société]]&amp;" - "&amp;TL[[#This Row],[Compte]]</f>
        <v>LYSE - 675200</v>
      </c>
      <c r="B4213" s="233" t="s">
        <v>2025</v>
      </c>
      <c r="C4213" s="227" t="s">
        <v>793</v>
      </c>
      <c r="D4213" s="233" t="s">
        <v>44</v>
      </c>
      <c r="E4213" s="233" t="s">
        <v>2995</v>
      </c>
      <c r="F4213" s="227" t="s">
        <v>294</v>
      </c>
    </row>
    <row r="4214" spans="1:6" x14ac:dyDescent="0.25">
      <c r="A4214" s="227" t="str">
        <f>TL[[#This Row],[Société]]&amp;" - "&amp;TL[[#This Row],[Compte]]</f>
        <v>LYSE - 681110</v>
      </c>
      <c r="B4214" s="233" t="s">
        <v>1787</v>
      </c>
      <c r="C4214" s="227" t="s">
        <v>236</v>
      </c>
      <c r="D4214" s="233" t="s">
        <v>45</v>
      </c>
      <c r="E4214" s="233" t="s">
        <v>48</v>
      </c>
      <c r="F4214" s="227" t="s">
        <v>294</v>
      </c>
    </row>
    <row r="4215" spans="1:6" x14ac:dyDescent="0.25">
      <c r="A4215" s="227" t="str">
        <f>TL[[#This Row],[Société]]&amp;" - "&amp;TL[[#This Row],[Compte]]</f>
        <v>LYSE - 681120</v>
      </c>
      <c r="B4215" s="233" t="s">
        <v>2026</v>
      </c>
      <c r="C4215" s="227" t="s">
        <v>312</v>
      </c>
      <c r="D4215" s="233" t="s">
        <v>45</v>
      </c>
      <c r="E4215" s="233" t="s">
        <v>48</v>
      </c>
      <c r="F4215" s="227" t="s">
        <v>294</v>
      </c>
    </row>
    <row r="4216" spans="1:6" x14ac:dyDescent="0.25">
      <c r="A4216" s="227" t="str">
        <f>TL[[#This Row],[Société]]&amp;" - "&amp;TL[[#This Row],[Compte]]</f>
        <v>LYSE - 681500</v>
      </c>
      <c r="B4216" s="233" t="s">
        <v>2027</v>
      </c>
      <c r="C4216" s="227" t="s">
        <v>510</v>
      </c>
      <c r="D4216" s="233" t="s">
        <v>45</v>
      </c>
      <c r="E4216" s="233" t="s">
        <v>48</v>
      </c>
      <c r="F4216" s="227" t="s">
        <v>294</v>
      </c>
    </row>
    <row r="4217" spans="1:6" x14ac:dyDescent="0.25">
      <c r="A4217" s="227" t="str">
        <f>TL[[#This Row],[Société]]&amp;" - "&amp;TL[[#This Row],[Compte]]</f>
        <v>LYSE - 681520</v>
      </c>
      <c r="B4217" s="233" t="s">
        <v>2028</v>
      </c>
      <c r="C4217" s="227" t="s">
        <v>794</v>
      </c>
      <c r="F4217" s="227" t="s">
        <v>294</v>
      </c>
    </row>
    <row r="4218" spans="1:6" x14ac:dyDescent="0.25">
      <c r="A4218" s="227" t="str">
        <f>TL[[#This Row],[Société]]&amp;" - "&amp;TL[[#This Row],[Compte]]</f>
        <v>LYSE - 681530</v>
      </c>
      <c r="B4218" s="233" t="s">
        <v>2029</v>
      </c>
      <c r="C4218" s="227" t="s">
        <v>795</v>
      </c>
      <c r="F4218" s="227" t="s">
        <v>294</v>
      </c>
    </row>
    <row r="4219" spans="1:6" x14ac:dyDescent="0.25">
      <c r="A4219" s="227" t="str">
        <f>TL[[#This Row],[Société]]&amp;" - "&amp;TL[[#This Row],[Compte]]</f>
        <v>LYSE - 686620</v>
      </c>
      <c r="B4219" s="233" t="s">
        <v>2030</v>
      </c>
      <c r="C4219" s="227" t="s">
        <v>619</v>
      </c>
      <c r="D4219" s="233" t="s">
        <v>152</v>
      </c>
      <c r="E4219" s="233" t="s">
        <v>48</v>
      </c>
      <c r="F4219" s="227" t="s">
        <v>294</v>
      </c>
    </row>
    <row r="4220" spans="1:6" x14ac:dyDescent="0.25">
      <c r="A4220" s="227" t="str">
        <f>TL[[#This Row],[Société]]&amp;" - "&amp;TL[[#This Row],[Compte]]</f>
        <v>LYSE - 686650</v>
      </c>
      <c r="B4220" s="233" t="s">
        <v>2031</v>
      </c>
      <c r="C4220" s="227" t="s">
        <v>619</v>
      </c>
      <c r="D4220" s="233" t="s">
        <v>45</v>
      </c>
      <c r="E4220" s="233" t="s">
        <v>48</v>
      </c>
      <c r="F4220" s="227" t="s">
        <v>294</v>
      </c>
    </row>
    <row r="4221" spans="1:6" x14ac:dyDescent="0.25">
      <c r="A4221" s="227" t="str">
        <f>TL[[#This Row],[Société]]&amp;" - "&amp;TL[[#This Row],[Compte]]</f>
        <v>LYSE - 687100</v>
      </c>
      <c r="B4221" s="233" t="s">
        <v>2032</v>
      </c>
      <c r="C4221" s="227" t="s">
        <v>620</v>
      </c>
      <c r="D4221" s="233" t="s">
        <v>45</v>
      </c>
      <c r="E4221" s="233" t="s">
        <v>48</v>
      </c>
      <c r="F4221" s="227" t="s">
        <v>294</v>
      </c>
    </row>
    <row r="4222" spans="1:6" x14ac:dyDescent="0.25">
      <c r="A4222" s="227" t="str">
        <f>TL[[#This Row],[Société]]&amp;" - "&amp;TL[[#This Row],[Compte]]</f>
        <v>LYSE - 687110</v>
      </c>
      <c r="B4222" s="233" t="s">
        <v>2033</v>
      </c>
      <c r="C4222" s="227" t="s">
        <v>621</v>
      </c>
      <c r="D4222" s="233" t="s">
        <v>45</v>
      </c>
      <c r="E4222" s="233" t="s">
        <v>48</v>
      </c>
      <c r="F4222" s="227" t="s">
        <v>294</v>
      </c>
    </row>
    <row r="4223" spans="1:6" x14ac:dyDescent="0.25">
      <c r="A4223" s="227" t="str">
        <f>TL[[#This Row],[Société]]&amp;" - "&amp;TL[[#This Row],[Compte]]</f>
        <v>LYSE - 687120</v>
      </c>
      <c r="B4223" s="233" t="s">
        <v>2034</v>
      </c>
      <c r="C4223" s="227" t="s">
        <v>313</v>
      </c>
      <c r="D4223" s="233" t="s">
        <v>45</v>
      </c>
      <c r="E4223" s="233" t="s">
        <v>48</v>
      </c>
      <c r="F4223" s="227" t="s">
        <v>294</v>
      </c>
    </row>
    <row r="4224" spans="1:6" x14ac:dyDescent="0.25">
      <c r="A4224" s="227" t="str">
        <f>TL[[#This Row],[Société]]&amp;" - "&amp;TL[[#This Row],[Compte]]</f>
        <v>LYSE - 687250</v>
      </c>
      <c r="B4224" s="233" t="s">
        <v>2035</v>
      </c>
      <c r="C4224" s="227" t="s">
        <v>622</v>
      </c>
      <c r="D4224" s="233" t="s">
        <v>152</v>
      </c>
      <c r="E4224" s="233" t="s">
        <v>48</v>
      </c>
      <c r="F4224" s="227" t="s">
        <v>294</v>
      </c>
    </row>
    <row r="4225" spans="1:6" x14ac:dyDescent="0.25">
      <c r="A4225" s="227" t="str">
        <f>TL[[#This Row],[Société]]&amp;" - "&amp;TL[[#This Row],[Compte]]</f>
        <v>LYSE - 695000</v>
      </c>
      <c r="B4225" s="233" t="s">
        <v>2036</v>
      </c>
      <c r="C4225" s="227" t="s">
        <v>796</v>
      </c>
      <c r="D4225" s="233" t="s">
        <v>152</v>
      </c>
      <c r="E4225" s="233" t="s">
        <v>1303</v>
      </c>
      <c r="F4225" s="227" t="s">
        <v>294</v>
      </c>
    </row>
    <row r="4226" spans="1:6" x14ac:dyDescent="0.25">
      <c r="A4226" s="227" t="str">
        <f>TL[[#This Row],[Société]]&amp;" - "&amp;TL[[#This Row],[Compte]]</f>
        <v>LYSE - 695100</v>
      </c>
      <c r="B4226" s="233" t="s">
        <v>2037</v>
      </c>
      <c r="C4226" s="227" t="s">
        <v>466</v>
      </c>
      <c r="D4226" s="233" t="s">
        <v>152</v>
      </c>
      <c r="E4226" s="233" t="s">
        <v>1303</v>
      </c>
      <c r="F4226" s="227" t="s">
        <v>294</v>
      </c>
    </row>
    <row r="4227" spans="1:6" x14ac:dyDescent="0.25">
      <c r="A4227" s="227" t="str">
        <f>TL[[#This Row],[Société]]&amp;" - "&amp;TL[[#This Row],[Compte]]</f>
        <v>LYSE - 695110</v>
      </c>
      <c r="B4227" s="233" t="s">
        <v>2038</v>
      </c>
      <c r="C4227" s="227" t="s">
        <v>377</v>
      </c>
      <c r="D4227" s="233" t="s">
        <v>148</v>
      </c>
      <c r="E4227" s="233" t="s">
        <v>1303</v>
      </c>
      <c r="F4227" s="227" t="s">
        <v>294</v>
      </c>
    </row>
    <row r="4228" spans="1:6" x14ac:dyDescent="0.25">
      <c r="A4228" s="227" t="str">
        <f>TL[[#This Row],[Société]]&amp;" - "&amp;TL[[#This Row],[Compte]]</f>
        <v>LYSE - 695120</v>
      </c>
      <c r="B4228" s="233" t="s">
        <v>2039</v>
      </c>
      <c r="C4228" s="227" t="s">
        <v>250</v>
      </c>
      <c r="F4228" s="227" t="s">
        <v>294</v>
      </c>
    </row>
    <row r="4229" spans="1:6" x14ac:dyDescent="0.25">
      <c r="A4229" s="227" t="str">
        <f>TL[[#This Row],[Société]]&amp;" - "&amp;TL[[#This Row],[Compte]]</f>
        <v>LYSE - 695200</v>
      </c>
      <c r="B4229" s="233" t="s">
        <v>2040</v>
      </c>
      <c r="C4229" s="227" t="s">
        <v>797</v>
      </c>
      <c r="D4229" s="233" t="s">
        <v>152</v>
      </c>
      <c r="E4229" s="233" t="s">
        <v>1303</v>
      </c>
      <c r="F4229" s="227" t="s">
        <v>294</v>
      </c>
    </row>
    <row r="4230" spans="1:6" x14ac:dyDescent="0.25">
      <c r="A4230" s="227" t="str">
        <f>TL[[#This Row],[Société]]&amp;" - "&amp;TL[[#This Row],[Compte]]</f>
        <v>LYSE - 698910</v>
      </c>
      <c r="B4230" s="233" t="s">
        <v>2041</v>
      </c>
      <c r="C4230" s="227" t="s">
        <v>248</v>
      </c>
      <c r="F4230" s="227" t="s">
        <v>294</v>
      </c>
    </row>
    <row r="4231" spans="1:6" x14ac:dyDescent="0.25">
      <c r="A4231" s="227" t="str">
        <f>TL[[#This Row],[Société]]&amp;" - "&amp;TL[[#This Row],[Compte]]</f>
        <v>LYSE - 698920</v>
      </c>
      <c r="B4231" s="233" t="s">
        <v>2042</v>
      </c>
      <c r="C4231" s="227" t="s">
        <v>237</v>
      </c>
      <c r="F4231" s="227" t="s">
        <v>294</v>
      </c>
    </row>
    <row r="4232" spans="1:6" x14ac:dyDescent="0.25">
      <c r="A4232" s="227" t="str">
        <f>TL[[#This Row],[Société]]&amp;" - "&amp;TL[[#This Row],[Compte]]</f>
        <v>LYSE - 698999</v>
      </c>
      <c r="B4232" s="233" t="s">
        <v>2043</v>
      </c>
      <c r="C4232" s="227" t="s">
        <v>798</v>
      </c>
      <c r="D4232" s="233" t="s">
        <v>152</v>
      </c>
      <c r="F4232" s="227" t="s">
        <v>294</v>
      </c>
    </row>
    <row r="4233" spans="1:6" x14ac:dyDescent="0.25">
      <c r="A4233" s="227" t="str">
        <f>TL[[#This Row],[Société]]&amp;" - "&amp;TL[[#This Row],[Compte]]</f>
        <v>LYSE - 699100</v>
      </c>
      <c r="B4233" s="233" t="s">
        <v>2044</v>
      </c>
      <c r="C4233" s="227" t="s">
        <v>377</v>
      </c>
      <c r="D4233" s="233" t="s">
        <v>152</v>
      </c>
      <c r="E4233" s="233" t="s">
        <v>1303</v>
      </c>
      <c r="F4233" s="227" t="s">
        <v>294</v>
      </c>
    </row>
    <row r="4234" spans="1:6" x14ac:dyDescent="0.25">
      <c r="A4234" s="227" t="str">
        <f>TL[[#This Row],[Société]]&amp;" - "&amp;TL[[#This Row],[Compte]]</f>
        <v>LYSE - 701001</v>
      </c>
      <c r="B4234" s="233" t="s">
        <v>1793</v>
      </c>
      <c r="C4234" s="227" t="s">
        <v>283</v>
      </c>
      <c r="D4234" s="233" t="s">
        <v>143</v>
      </c>
      <c r="E4234" s="233" t="s">
        <v>5</v>
      </c>
      <c r="F4234" s="227" t="s">
        <v>294</v>
      </c>
    </row>
    <row r="4235" spans="1:6" x14ac:dyDescent="0.25">
      <c r="A4235" s="227" t="str">
        <f>TL[[#This Row],[Société]]&amp;" - "&amp;TL[[#This Row],[Compte]]</f>
        <v>LYSE - 701002</v>
      </c>
      <c r="B4235" s="233" t="s">
        <v>1797</v>
      </c>
      <c r="C4235" s="227" t="s">
        <v>245</v>
      </c>
      <c r="D4235" s="233" t="s">
        <v>143</v>
      </c>
      <c r="E4235" s="233" t="s">
        <v>5</v>
      </c>
      <c r="F4235" s="227" t="s">
        <v>294</v>
      </c>
    </row>
    <row r="4236" spans="1:6" x14ac:dyDescent="0.25">
      <c r="A4236" s="227" t="str">
        <f>TL[[#This Row],[Société]]&amp;" - "&amp;TL[[#This Row],[Compte]]</f>
        <v>LYSE - 701003</v>
      </c>
      <c r="B4236" s="233" t="s">
        <v>2045</v>
      </c>
      <c r="C4236" s="227" t="s">
        <v>623</v>
      </c>
      <c r="D4236" s="233" t="s">
        <v>143</v>
      </c>
      <c r="E4236" s="233" t="s">
        <v>143</v>
      </c>
      <c r="F4236" s="227" t="s">
        <v>294</v>
      </c>
    </row>
    <row r="4237" spans="1:6" x14ac:dyDescent="0.25">
      <c r="A4237" s="227" t="str">
        <f>TL[[#This Row],[Société]]&amp;" - "&amp;TL[[#This Row],[Compte]]</f>
        <v>LYSE - 701004</v>
      </c>
      <c r="B4237" s="233" t="s">
        <v>2046</v>
      </c>
      <c r="C4237" s="227" t="s">
        <v>624</v>
      </c>
      <c r="D4237" s="233" t="s">
        <v>143</v>
      </c>
      <c r="E4237" s="233" t="s">
        <v>143</v>
      </c>
      <c r="F4237" s="227" t="s">
        <v>294</v>
      </c>
    </row>
    <row r="4238" spans="1:6" x14ac:dyDescent="0.25">
      <c r="A4238" s="227" t="str">
        <f>TL[[#This Row],[Société]]&amp;" - "&amp;TL[[#This Row],[Compte]]</f>
        <v>LYSE - 701005</v>
      </c>
      <c r="B4238" s="233" t="s">
        <v>1800</v>
      </c>
      <c r="C4238" s="227" t="s">
        <v>246</v>
      </c>
      <c r="D4238" s="233" t="s">
        <v>143</v>
      </c>
      <c r="E4238" s="233" t="s">
        <v>5</v>
      </c>
      <c r="F4238" s="227" t="s">
        <v>294</v>
      </c>
    </row>
    <row r="4239" spans="1:6" x14ac:dyDescent="0.25">
      <c r="A4239" s="227" t="str">
        <f>TL[[#This Row],[Société]]&amp;" - "&amp;TL[[#This Row],[Compte]]</f>
        <v>LYSE - 701006</v>
      </c>
      <c r="B4239" s="233" t="s">
        <v>1799</v>
      </c>
      <c r="C4239" s="227" t="s">
        <v>251</v>
      </c>
      <c r="D4239" s="233" t="s">
        <v>143</v>
      </c>
      <c r="E4239" s="233" t="s">
        <v>5</v>
      </c>
      <c r="F4239" s="227" t="s">
        <v>294</v>
      </c>
    </row>
    <row r="4240" spans="1:6" x14ac:dyDescent="0.25">
      <c r="A4240" s="227" t="str">
        <f>TL[[#This Row],[Société]]&amp;" - "&amp;TL[[#This Row],[Compte]]</f>
        <v>LYSE - 701010</v>
      </c>
      <c r="B4240" s="233" t="s">
        <v>2047</v>
      </c>
      <c r="C4240" s="227" t="s">
        <v>799</v>
      </c>
      <c r="F4240" s="227" t="s">
        <v>294</v>
      </c>
    </row>
    <row r="4241" spans="1:6" x14ac:dyDescent="0.25">
      <c r="A4241" s="227" t="str">
        <f>TL[[#This Row],[Société]]&amp;" - "&amp;TL[[#This Row],[Compte]]</f>
        <v>LYSE - 701011</v>
      </c>
      <c r="B4241" s="233" t="s">
        <v>2048</v>
      </c>
      <c r="C4241" s="227" t="s">
        <v>800</v>
      </c>
      <c r="F4241" s="227" t="s">
        <v>294</v>
      </c>
    </row>
    <row r="4242" spans="1:6" x14ac:dyDescent="0.25">
      <c r="A4242" s="227" t="str">
        <f>TL[[#This Row],[Société]]&amp;" - "&amp;TL[[#This Row],[Compte]]</f>
        <v>LYSE - 701020</v>
      </c>
      <c r="B4242" s="233" t="s">
        <v>2049</v>
      </c>
      <c r="C4242" s="227" t="s">
        <v>799</v>
      </c>
      <c r="F4242" s="227" t="s">
        <v>294</v>
      </c>
    </row>
    <row r="4243" spans="1:6" x14ac:dyDescent="0.25">
      <c r="A4243" s="227" t="str">
        <f>TL[[#This Row],[Société]]&amp;" - "&amp;TL[[#This Row],[Compte]]</f>
        <v>LYSE - 701100</v>
      </c>
      <c r="B4243" s="233" t="s">
        <v>2050</v>
      </c>
      <c r="C4243" s="227" t="s">
        <v>800</v>
      </c>
      <c r="F4243" s="227" t="s">
        <v>294</v>
      </c>
    </row>
    <row r="4244" spans="1:6" x14ac:dyDescent="0.25">
      <c r="A4244" s="227" t="str">
        <f>TL[[#This Row],[Société]]&amp;" - "&amp;TL[[#This Row],[Compte]]</f>
        <v>LYSE - 701220</v>
      </c>
      <c r="B4244" s="233" t="s">
        <v>2051</v>
      </c>
      <c r="C4244" s="227" t="s">
        <v>800</v>
      </c>
      <c r="F4244" s="227" t="s">
        <v>294</v>
      </c>
    </row>
    <row r="4245" spans="1:6" x14ac:dyDescent="0.25">
      <c r="A4245" s="227" t="str">
        <f>TL[[#This Row],[Société]]&amp;" - "&amp;TL[[#This Row],[Compte]]</f>
        <v>LYSE - 702300</v>
      </c>
      <c r="B4245" s="233" t="s">
        <v>1794</v>
      </c>
      <c r="C4245" s="227" t="s">
        <v>256</v>
      </c>
      <c r="D4245" s="233" t="s">
        <v>149</v>
      </c>
      <c r="E4245" s="233" t="s">
        <v>3004</v>
      </c>
      <c r="F4245" s="227" t="s">
        <v>294</v>
      </c>
    </row>
    <row r="4246" spans="1:6" x14ac:dyDescent="0.25">
      <c r="A4246" s="227" t="str">
        <f>TL[[#This Row],[Société]]&amp;" - "&amp;TL[[#This Row],[Compte]]</f>
        <v>LYSE - 706005</v>
      </c>
      <c r="B4246" s="233" t="s">
        <v>2052</v>
      </c>
      <c r="C4246" s="227" t="s">
        <v>262</v>
      </c>
      <c r="D4246" s="233" t="s">
        <v>50</v>
      </c>
      <c r="E4246" s="233" t="s">
        <v>52</v>
      </c>
      <c r="F4246" s="227" t="s">
        <v>294</v>
      </c>
    </row>
    <row r="4247" spans="1:6" x14ac:dyDescent="0.25">
      <c r="A4247" s="227" t="str">
        <f>TL[[#This Row],[Société]]&amp;" - "&amp;TL[[#This Row],[Compte]]</f>
        <v>LYSE - 708000</v>
      </c>
      <c r="B4247" s="233" t="s">
        <v>1735</v>
      </c>
      <c r="C4247" s="227" t="s">
        <v>309</v>
      </c>
      <c r="D4247" s="233" t="s">
        <v>0</v>
      </c>
      <c r="E4247" s="233" t="s">
        <v>7</v>
      </c>
      <c r="F4247" s="227" t="s">
        <v>294</v>
      </c>
    </row>
    <row r="4248" spans="1:6" x14ac:dyDescent="0.25">
      <c r="A4248" s="227" t="str">
        <f>TL[[#This Row],[Société]]&amp;" - "&amp;TL[[#This Row],[Compte]]</f>
        <v>LYSE - 708100</v>
      </c>
      <c r="B4248" s="233" t="s">
        <v>2053</v>
      </c>
      <c r="C4248" s="227" t="s">
        <v>801</v>
      </c>
      <c r="D4248" s="233" t="s">
        <v>12</v>
      </c>
      <c r="E4248" s="233" t="s">
        <v>16</v>
      </c>
      <c r="F4248" s="227" t="s">
        <v>294</v>
      </c>
    </row>
    <row r="4249" spans="1:6" x14ac:dyDescent="0.25">
      <c r="A4249" s="227" t="str">
        <f>TL[[#This Row],[Société]]&amp;" - "&amp;TL[[#This Row],[Compte]]</f>
        <v>LYSE - 708101</v>
      </c>
      <c r="B4249" s="233" t="s">
        <v>2054</v>
      </c>
      <c r="C4249" s="227" t="s">
        <v>479</v>
      </c>
      <c r="D4249" s="233" t="s">
        <v>12</v>
      </c>
      <c r="E4249" s="233" t="s">
        <v>16</v>
      </c>
      <c r="F4249" s="227" t="s">
        <v>294</v>
      </c>
    </row>
    <row r="4250" spans="1:6" x14ac:dyDescent="0.25">
      <c r="A4250" s="227" t="str">
        <f>TL[[#This Row],[Société]]&amp;" - "&amp;TL[[#This Row],[Compte]]</f>
        <v>LYSE - 708104</v>
      </c>
      <c r="B4250" s="233" t="s">
        <v>2055</v>
      </c>
      <c r="C4250" s="227" t="s">
        <v>625</v>
      </c>
      <c r="D4250" s="233" t="s">
        <v>13</v>
      </c>
      <c r="E4250" s="233" t="s">
        <v>12</v>
      </c>
      <c r="F4250" s="227" t="s">
        <v>294</v>
      </c>
    </row>
    <row r="4251" spans="1:6" x14ac:dyDescent="0.25">
      <c r="A4251" s="227" t="str">
        <f>TL[[#This Row],[Société]]&amp;" - "&amp;TL[[#This Row],[Compte]]</f>
        <v>LYSE - 708200</v>
      </c>
      <c r="B4251" s="233" t="s">
        <v>2056</v>
      </c>
      <c r="C4251" s="227" t="s">
        <v>802</v>
      </c>
      <c r="D4251" s="233" t="s">
        <v>0</v>
      </c>
      <c r="E4251" s="233" t="s">
        <v>7</v>
      </c>
      <c r="F4251" s="227" t="s">
        <v>294</v>
      </c>
    </row>
    <row r="4252" spans="1:6" x14ac:dyDescent="0.25">
      <c r="A4252" s="227" t="str">
        <f>TL[[#This Row],[Société]]&amp;" - "&amp;TL[[#This Row],[Compte]]</f>
        <v>LYSE - 708300</v>
      </c>
      <c r="B4252" s="233" t="s">
        <v>2057</v>
      </c>
      <c r="C4252" s="227" t="s">
        <v>803</v>
      </c>
      <c r="D4252" s="233" t="s">
        <v>7</v>
      </c>
      <c r="E4252" s="233" t="s">
        <v>0</v>
      </c>
      <c r="F4252" s="227" t="s">
        <v>294</v>
      </c>
    </row>
    <row r="4253" spans="1:6" x14ac:dyDescent="0.25">
      <c r="A4253" s="227" t="str">
        <f>TL[[#This Row],[Société]]&amp;" - "&amp;TL[[#This Row],[Compte]]</f>
        <v>LYSE - 708400</v>
      </c>
      <c r="B4253" s="233" t="s">
        <v>2058</v>
      </c>
      <c r="C4253" s="227" t="s">
        <v>523</v>
      </c>
      <c r="D4253" s="233" t="s">
        <v>23</v>
      </c>
      <c r="E4253" s="233" t="s">
        <v>2978</v>
      </c>
      <c r="F4253" s="227" t="s">
        <v>294</v>
      </c>
    </row>
    <row r="4254" spans="1:6" x14ac:dyDescent="0.25">
      <c r="A4254" s="227" t="str">
        <f>TL[[#This Row],[Société]]&amp;" - "&amp;TL[[#This Row],[Compte]]</f>
        <v>LYSE - 708600</v>
      </c>
      <c r="B4254" s="233" t="s">
        <v>1736</v>
      </c>
      <c r="C4254" s="227" t="s">
        <v>1327</v>
      </c>
      <c r="D4254" s="233" t="s">
        <v>152</v>
      </c>
      <c r="E4254" s="233" t="s">
        <v>30</v>
      </c>
      <c r="F4254" s="227" t="s">
        <v>294</v>
      </c>
    </row>
    <row r="4255" spans="1:6" x14ac:dyDescent="0.25">
      <c r="A4255" s="227" t="str">
        <f>TL[[#This Row],[Société]]&amp;" - "&amp;TL[[#This Row],[Compte]]</f>
        <v>LYSE - 708700</v>
      </c>
      <c r="B4255" s="233" t="s">
        <v>2059</v>
      </c>
      <c r="C4255" s="227" t="s">
        <v>804</v>
      </c>
      <c r="D4255" s="233" t="s">
        <v>18</v>
      </c>
      <c r="E4255" s="233" t="s">
        <v>32</v>
      </c>
      <c r="F4255" s="227" t="s">
        <v>294</v>
      </c>
    </row>
    <row r="4256" spans="1:6" x14ac:dyDescent="0.25">
      <c r="A4256" s="227" t="str">
        <f>TL[[#This Row],[Société]]&amp;" - "&amp;TL[[#This Row],[Compte]]</f>
        <v>LYSE - 708710</v>
      </c>
      <c r="B4256" s="233" t="s">
        <v>2060</v>
      </c>
      <c r="C4256" s="227" t="s">
        <v>805</v>
      </c>
      <c r="D4256" s="233" t="s">
        <v>150</v>
      </c>
      <c r="E4256" s="233" t="s">
        <v>54</v>
      </c>
      <c r="F4256" s="227" t="s">
        <v>294</v>
      </c>
    </row>
    <row r="4257" spans="1:6" x14ac:dyDescent="0.25">
      <c r="A4257" s="227" t="str">
        <f>TL[[#This Row],[Société]]&amp;" - "&amp;TL[[#This Row],[Compte]]</f>
        <v>LYSE - 708800</v>
      </c>
      <c r="B4257" s="233" t="s">
        <v>1737</v>
      </c>
      <c r="C4257" s="227" t="s">
        <v>475</v>
      </c>
      <c r="D4257" s="233" t="s">
        <v>0</v>
      </c>
      <c r="E4257" s="233" t="s">
        <v>25</v>
      </c>
      <c r="F4257" s="227" t="s">
        <v>294</v>
      </c>
    </row>
    <row r="4258" spans="1:6" x14ac:dyDescent="0.25">
      <c r="A4258" s="227" t="str">
        <f>TL[[#This Row],[Société]]&amp;" - "&amp;TL[[#This Row],[Compte]]</f>
        <v>LYSE - 708810</v>
      </c>
      <c r="B4258" s="233" t="s">
        <v>2061</v>
      </c>
      <c r="C4258" s="227" t="s">
        <v>1354</v>
      </c>
      <c r="D4258" s="233" t="s">
        <v>13</v>
      </c>
      <c r="E4258" s="233" t="s">
        <v>12</v>
      </c>
      <c r="F4258" s="227" t="s">
        <v>294</v>
      </c>
    </row>
    <row r="4259" spans="1:6" x14ac:dyDescent="0.25">
      <c r="A4259" s="227" t="str">
        <f>TL[[#This Row],[Société]]&amp;" - "&amp;TL[[#This Row],[Compte]]</f>
        <v>LYSE - 708811</v>
      </c>
      <c r="B4259" s="233" t="s">
        <v>2062</v>
      </c>
      <c r="C4259" s="227" t="s">
        <v>1330</v>
      </c>
      <c r="D4259" s="233" t="s">
        <v>12</v>
      </c>
      <c r="E4259" s="233" t="s">
        <v>3</v>
      </c>
      <c r="F4259" s="227" t="s">
        <v>294</v>
      </c>
    </row>
    <row r="4260" spans="1:6" x14ac:dyDescent="0.25">
      <c r="A4260" s="227" t="str">
        <f>TL[[#This Row],[Société]]&amp;" - "&amp;TL[[#This Row],[Compte]]</f>
        <v>LYSE - 708812</v>
      </c>
      <c r="B4260" s="233" t="s">
        <v>2063</v>
      </c>
      <c r="C4260" s="227" t="s">
        <v>806</v>
      </c>
      <c r="D4260" s="233" t="s">
        <v>20</v>
      </c>
      <c r="E4260" s="233" t="s">
        <v>25</v>
      </c>
      <c r="F4260" s="227" t="s">
        <v>294</v>
      </c>
    </row>
    <row r="4261" spans="1:6" x14ac:dyDescent="0.25">
      <c r="A4261" s="227" t="str">
        <f>TL[[#This Row],[Société]]&amp;" - "&amp;TL[[#This Row],[Compte]]</f>
        <v>LYSE - 708813</v>
      </c>
      <c r="B4261" s="233" t="s">
        <v>2064</v>
      </c>
      <c r="C4261" s="227" t="s">
        <v>474</v>
      </c>
      <c r="D4261" s="233" t="s">
        <v>16</v>
      </c>
      <c r="E4261" s="233" t="s">
        <v>2979</v>
      </c>
      <c r="F4261" s="227" t="s">
        <v>294</v>
      </c>
    </row>
    <row r="4262" spans="1:6" x14ac:dyDescent="0.25">
      <c r="A4262" s="227" t="str">
        <f>TL[[#This Row],[Société]]&amp;" - "&amp;TL[[#This Row],[Compte]]</f>
        <v>LYSE - 726100</v>
      </c>
      <c r="B4262" s="233" t="s">
        <v>1746</v>
      </c>
      <c r="C4262" s="227" t="s">
        <v>1355</v>
      </c>
      <c r="D4262" s="233" t="s">
        <v>12</v>
      </c>
      <c r="E4262" s="233" t="s">
        <v>3</v>
      </c>
      <c r="F4262" s="227" t="s">
        <v>294</v>
      </c>
    </row>
    <row r="4263" spans="1:6" x14ac:dyDescent="0.25">
      <c r="A4263" s="227" t="str">
        <f>TL[[#This Row],[Société]]&amp;" - "&amp;TL[[#This Row],[Compte]]</f>
        <v>LYSE - 726110</v>
      </c>
      <c r="B4263" s="233" t="s">
        <v>1748</v>
      </c>
      <c r="C4263" s="227" t="s">
        <v>1356</v>
      </c>
      <c r="D4263" s="233" t="s">
        <v>13</v>
      </c>
      <c r="E4263" s="233" t="s">
        <v>12</v>
      </c>
      <c r="F4263" s="227" t="s">
        <v>294</v>
      </c>
    </row>
    <row r="4264" spans="1:6" x14ac:dyDescent="0.25">
      <c r="A4264" s="227" t="str">
        <f>TL[[#This Row],[Société]]&amp;" - "&amp;TL[[#This Row],[Compte]]</f>
        <v>LYSE - 740100</v>
      </c>
      <c r="B4264" s="233" t="s">
        <v>1712</v>
      </c>
      <c r="C4264" s="227" t="s">
        <v>403</v>
      </c>
      <c r="D4264" s="233" t="s">
        <v>50</v>
      </c>
      <c r="E4264" s="233" t="s">
        <v>71</v>
      </c>
      <c r="F4264" s="227" t="s">
        <v>294</v>
      </c>
    </row>
    <row r="4265" spans="1:6" x14ac:dyDescent="0.25">
      <c r="A4265" s="227" t="str">
        <f>TL[[#This Row],[Société]]&amp;" - "&amp;TL[[#This Row],[Compte]]</f>
        <v>LYSE - 740200</v>
      </c>
      <c r="B4265" s="233" t="s">
        <v>2065</v>
      </c>
      <c r="C4265" s="227" t="s">
        <v>626</v>
      </c>
      <c r="D4265" s="236" t="s">
        <v>12</v>
      </c>
      <c r="E4265" s="233" t="s">
        <v>2995</v>
      </c>
      <c r="F4265" s="227" t="s">
        <v>294</v>
      </c>
    </row>
    <row r="4266" spans="1:6" x14ac:dyDescent="0.25">
      <c r="A4266" s="227" t="str">
        <f>TL[[#This Row],[Société]]&amp;" - "&amp;TL[[#This Row],[Compte]]</f>
        <v>LYSE - 740300</v>
      </c>
      <c r="B4266" s="233" t="s">
        <v>2066</v>
      </c>
      <c r="C4266" s="227" t="s">
        <v>1448</v>
      </c>
      <c r="D4266" s="233" t="s">
        <v>50</v>
      </c>
      <c r="E4266" s="233" t="s">
        <v>2995</v>
      </c>
      <c r="F4266" s="227" t="s">
        <v>294</v>
      </c>
    </row>
    <row r="4267" spans="1:6" x14ac:dyDescent="0.25">
      <c r="A4267" s="227" t="str">
        <f>TL[[#This Row],[Société]]&amp;" - "&amp;TL[[#This Row],[Compte]]</f>
        <v>LYSE - 758000</v>
      </c>
      <c r="B4267" s="233" t="s">
        <v>1744</v>
      </c>
      <c r="C4267" s="227" t="s">
        <v>311</v>
      </c>
      <c r="D4267" s="233" t="s">
        <v>50</v>
      </c>
      <c r="E4267" s="233" t="s">
        <v>2982</v>
      </c>
      <c r="F4267" s="227" t="s">
        <v>294</v>
      </c>
    </row>
    <row r="4268" spans="1:6" x14ac:dyDescent="0.25">
      <c r="A4268" s="227" t="str">
        <f>TL[[#This Row],[Société]]&amp;" - "&amp;TL[[#This Row],[Compte]]</f>
        <v>LYSE - 763800</v>
      </c>
      <c r="B4268" s="233" t="s">
        <v>1763</v>
      </c>
      <c r="C4268" s="227" t="s">
        <v>463</v>
      </c>
      <c r="D4268" s="233" t="s">
        <v>48</v>
      </c>
      <c r="E4268" s="233" t="s">
        <v>286</v>
      </c>
      <c r="F4268" s="227" t="s">
        <v>294</v>
      </c>
    </row>
    <row r="4269" spans="1:6" x14ac:dyDescent="0.25">
      <c r="A4269" s="227" t="str">
        <f>TL[[#This Row],[Société]]&amp;" - "&amp;TL[[#This Row],[Compte]]</f>
        <v>LYSE - 764000</v>
      </c>
      <c r="B4269" s="233" t="s">
        <v>2067</v>
      </c>
      <c r="C4269" s="227" t="s">
        <v>1357</v>
      </c>
      <c r="D4269" s="233" t="s">
        <v>152</v>
      </c>
      <c r="E4269" s="233" t="s">
        <v>286</v>
      </c>
      <c r="F4269" s="227" t="s">
        <v>294</v>
      </c>
    </row>
    <row r="4270" spans="1:6" x14ac:dyDescent="0.25">
      <c r="A4270" s="227" t="str">
        <f>TL[[#This Row],[Société]]&amp;" - "&amp;TL[[#This Row],[Compte]]</f>
        <v>LYSE - 764100</v>
      </c>
      <c r="B4270" s="233" t="s">
        <v>2068</v>
      </c>
      <c r="C4270" s="227" t="s">
        <v>627</v>
      </c>
      <c r="D4270" s="233" t="s">
        <v>152</v>
      </c>
      <c r="E4270" s="233" t="s">
        <v>286</v>
      </c>
      <c r="F4270" s="227" t="s">
        <v>294</v>
      </c>
    </row>
    <row r="4271" spans="1:6" x14ac:dyDescent="0.25">
      <c r="A4271" s="227" t="str">
        <f>TL[[#This Row],[Société]]&amp;" - "&amp;TL[[#This Row],[Compte]]</f>
        <v>LYSE - 766000</v>
      </c>
      <c r="B4271" s="233" t="s">
        <v>2069</v>
      </c>
      <c r="C4271" s="227" t="s">
        <v>614</v>
      </c>
      <c r="D4271" s="233" t="s">
        <v>152</v>
      </c>
      <c r="F4271" s="227" t="s">
        <v>294</v>
      </c>
    </row>
    <row r="4272" spans="1:6" x14ac:dyDescent="0.25">
      <c r="A4272" s="227" t="str">
        <f>TL[[#This Row],[Société]]&amp;" - "&amp;TL[[#This Row],[Compte]]</f>
        <v>LYSE - 767000</v>
      </c>
      <c r="B4272" s="233" t="s">
        <v>2070</v>
      </c>
      <c r="C4272" s="227" t="s">
        <v>807</v>
      </c>
      <c r="D4272" s="233" t="s">
        <v>48</v>
      </c>
      <c r="E4272" s="233" t="s">
        <v>286</v>
      </c>
      <c r="F4272" s="227" t="s">
        <v>294</v>
      </c>
    </row>
    <row r="4273" spans="1:6" x14ac:dyDescent="0.25">
      <c r="A4273" s="227" t="str">
        <f>TL[[#This Row],[Société]]&amp;" - "&amp;TL[[#This Row],[Compte]]</f>
        <v>LYSE - 767100</v>
      </c>
      <c r="B4273" s="233" t="s">
        <v>2071</v>
      </c>
      <c r="C4273" s="227" t="s">
        <v>808</v>
      </c>
      <c r="D4273" s="233" t="s">
        <v>152</v>
      </c>
      <c r="E4273" s="233" t="s">
        <v>286</v>
      </c>
      <c r="F4273" s="227" t="s">
        <v>294</v>
      </c>
    </row>
    <row r="4274" spans="1:6" x14ac:dyDescent="0.25">
      <c r="A4274" s="227" t="str">
        <f>TL[[#This Row],[Société]]&amp;" - "&amp;TL[[#This Row],[Compte]]</f>
        <v>LYSE - 768100</v>
      </c>
      <c r="B4274" s="233" t="s">
        <v>2072</v>
      </c>
      <c r="C4274" s="227" t="s">
        <v>464</v>
      </c>
      <c r="D4274" s="233" t="s">
        <v>47</v>
      </c>
      <c r="E4274" s="233" t="s">
        <v>286</v>
      </c>
      <c r="F4274" s="227" t="s">
        <v>294</v>
      </c>
    </row>
    <row r="4275" spans="1:6" x14ac:dyDescent="0.25">
      <c r="A4275" s="227" t="str">
        <f>TL[[#This Row],[Société]]&amp;" - "&amp;TL[[#This Row],[Compte]]</f>
        <v>LYSE - 768800</v>
      </c>
      <c r="B4275" s="233" t="s">
        <v>2073</v>
      </c>
      <c r="C4275" s="227" t="s">
        <v>614</v>
      </c>
      <c r="D4275" s="233" t="s">
        <v>152</v>
      </c>
      <c r="F4275" s="227" t="s">
        <v>294</v>
      </c>
    </row>
    <row r="4276" spans="1:6" x14ac:dyDescent="0.25">
      <c r="A4276" s="227" t="str">
        <f>TL[[#This Row],[Société]]&amp;" - "&amp;TL[[#This Row],[Compte]]</f>
        <v>LYSE - 771100</v>
      </c>
      <c r="B4276" s="233" t="s">
        <v>1798</v>
      </c>
      <c r="C4276" s="227" t="s">
        <v>385</v>
      </c>
      <c r="D4276" s="233" t="s">
        <v>30</v>
      </c>
      <c r="E4276" s="233" t="s">
        <v>2982</v>
      </c>
      <c r="F4276" s="227" t="s">
        <v>294</v>
      </c>
    </row>
    <row r="4277" spans="1:6" x14ac:dyDescent="0.25">
      <c r="A4277" s="227" t="str">
        <f>TL[[#This Row],[Société]]&amp;" - "&amp;TL[[#This Row],[Compte]]</f>
        <v>LYSE - 771800</v>
      </c>
      <c r="B4277" s="233" t="s">
        <v>2074</v>
      </c>
      <c r="C4277" s="227" t="s">
        <v>809</v>
      </c>
      <c r="D4277" s="233" t="s">
        <v>50</v>
      </c>
      <c r="E4277" s="233" t="s">
        <v>2995</v>
      </c>
      <c r="F4277" s="227" t="s">
        <v>294</v>
      </c>
    </row>
    <row r="4278" spans="1:6" x14ac:dyDescent="0.25">
      <c r="A4278" s="227" t="str">
        <f>TL[[#This Row],[Société]]&amp;" - "&amp;TL[[#This Row],[Compte]]</f>
        <v>LYSE - 772000</v>
      </c>
      <c r="B4278" s="233" t="s">
        <v>2075</v>
      </c>
      <c r="C4278" s="227" t="s">
        <v>810</v>
      </c>
      <c r="D4278" s="233" t="s">
        <v>50</v>
      </c>
      <c r="E4278" s="233" t="s">
        <v>2995</v>
      </c>
      <c r="F4278" s="227" t="s">
        <v>294</v>
      </c>
    </row>
    <row r="4279" spans="1:6" x14ac:dyDescent="0.25">
      <c r="A4279" s="227" t="str">
        <f>TL[[#This Row],[Société]]&amp;" - "&amp;TL[[#This Row],[Compte]]</f>
        <v>LYSE - 775200</v>
      </c>
      <c r="B4279" s="233" t="s">
        <v>2132</v>
      </c>
      <c r="C4279" s="227" t="s">
        <v>2133</v>
      </c>
      <c r="F4279" s="227" t="s">
        <v>294</v>
      </c>
    </row>
    <row r="4280" spans="1:6" x14ac:dyDescent="0.25">
      <c r="A4280" s="227" t="str">
        <f>TL[[#This Row],[Société]]&amp;" - "&amp;TL[[#This Row],[Compte]]</f>
        <v>LYSE - 781110</v>
      </c>
      <c r="B4280" s="233" t="s">
        <v>2076</v>
      </c>
      <c r="C4280" s="227" t="s">
        <v>628</v>
      </c>
      <c r="D4280" s="233" t="s">
        <v>45</v>
      </c>
      <c r="E4280" s="233" t="s">
        <v>48</v>
      </c>
      <c r="F4280" s="227" t="s">
        <v>294</v>
      </c>
    </row>
    <row r="4281" spans="1:6" x14ac:dyDescent="0.25">
      <c r="A4281" s="227" t="str">
        <f>TL[[#This Row],[Société]]&amp;" - "&amp;TL[[#This Row],[Compte]]</f>
        <v>LYSE - 781120</v>
      </c>
      <c r="B4281" s="233" t="s">
        <v>2077</v>
      </c>
      <c r="C4281" s="227" t="s">
        <v>264</v>
      </c>
      <c r="D4281" s="233" t="s">
        <v>45</v>
      </c>
      <c r="E4281" s="233" t="s">
        <v>48</v>
      </c>
      <c r="F4281" s="227" t="s">
        <v>294</v>
      </c>
    </row>
    <row r="4282" spans="1:6" x14ac:dyDescent="0.25">
      <c r="A4282" s="227" t="str">
        <f>TL[[#This Row],[Société]]&amp;" - "&amp;TL[[#This Row],[Compte]]</f>
        <v>LYSE - 781500</v>
      </c>
      <c r="B4282" s="233" t="s">
        <v>2078</v>
      </c>
      <c r="C4282" s="227" t="s">
        <v>514</v>
      </c>
      <c r="D4282" s="233" t="s">
        <v>152</v>
      </c>
      <c r="E4282" s="233" t="s">
        <v>48</v>
      </c>
      <c r="F4282" s="227" t="s">
        <v>294</v>
      </c>
    </row>
    <row r="4283" spans="1:6" x14ac:dyDescent="0.25">
      <c r="A4283" s="227" t="str">
        <f>TL[[#This Row],[Société]]&amp;" - "&amp;TL[[#This Row],[Compte]]</f>
        <v>LYSE - 786650</v>
      </c>
      <c r="B4283" s="233" t="s">
        <v>2079</v>
      </c>
      <c r="C4283" s="227" t="s">
        <v>811</v>
      </c>
      <c r="D4283" s="233" t="s">
        <v>152</v>
      </c>
      <c r="E4283" s="233" t="s">
        <v>48</v>
      </c>
      <c r="F4283" s="227" t="s">
        <v>294</v>
      </c>
    </row>
    <row r="4284" spans="1:6" x14ac:dyDescent="0.25">
      <c r="A4284" s="227" t="str">
        <f>TL[[#This Row],[Société]]&amp;" - "&amp;TL[[#This Row],[Compte]]</f>
        <v>LYSE - 787110</v>
      </c>
      <c r="B4284" s="233" t="s">
        <v>2080</v>
      </c>
      <c r="C4284" s="227" t="s">
        <v>812</v>
      </c>
      <c r="F4284" s="227" t="s">
        <v>294</v>
      </c>
    </row>
    <row r="4285" spans="1:6" x14ac:dyDescent="0.25">
      <c r="A4285" s="227" t="str">
        <f>TL[[#This Row],[Société]]&amp;" - "&amp;TL[[#This Row],[Compte]]</f>
        <v>LYSE - 787120</v>
      </c>
      <c r="B4285" s="233" t="s">
        <v>2081</v>
      </c>
      <c r="C4285" s="227" t="s">
        <v>813</v>
      </c>
      <c r="F4285" s="227" t="s">
        <v>294</v>
      </c>
    </row>
    <row r="4286" spans="1:6" x14ac:dyDescent="0.25">
      <c r="A4286" s="227" t="str">
        <f>TL[[#This Row],[Société]]&amp;" - "&amp;TL[[#This Row],[Compte]]</f>
        <v>LYSE - 787250</v>
      </c>
      <c r="B4286" s="233" t="s">
        <v>2082</v>
      </c>
      <c r="C4286" s="227" t="s">
        <v>629</v>
      </c>
      <c r="D4286" s="233" t="s">
        <v>45</v>
      </c>
      <c r="E4286" s="233" t="s">
        <v>48</v>
      </c>
      <c r="F4286" s="227" t="s">
        <v>294</v>
      </c>
    </row>
    <row r="4287" spans="1:6" x14ac:dyDescent="0.25">
      <c r="A4287" s="227" t="str">
        <f>TL[[#This Row],[Société]]&amp;" - "&amp;TL[[#This Row],[Compte]]</f>
        <v>LYSE - 791000</v>
      </c>
      <c r="B4287" s="233" t="s">
        <v>2083</v>
      </c>
      <c r="C4287" s="227" t="s">
        <v>1449</v>
      </c>
      <c r="D4287" s="233" t="s">
        <v>50</v>
      </c>
      <c r="E4287" s="233" t="s">
        <v>52</v>
      </c>
      <c r="F4287" s="227" t="s">
        <v>294</v>
      </c>
    </row>
    <row r="4288" spans="1:6" x14ac:dyDescent="0.25">
      <c r="A4288" s="227" t="str">
        <f>TL[[#This Row],[Société]]&amp;" - "&amp;TL[[#This Row],[Compte]]</f>
        <v>LYSE - 791100</v>
      </c>
      <c r="B4288" s="233" t="s">
        <v>2084</v>
      </c>
      <c r="C4288" s="227" t="s">
        <v>814</v>
      </c>
      <c r="D4288" s="233" t="s">
        <v>13</v>
      </c>
      <c r="E4288" s="233" t="s">
        <v>12</v>
      </c>
      <c r="F4288" s="227" t="s">
        <v>294</v>
      </c>
    </row>
    <row r="4289" spans="1:6" x14ac:dyDescent="0.25">
      <c r="A4289" s="227" t="str">
        <f>TL[[#This Row],[Société]]&amp;" - "&amp;TL[[#This Row],[Compte]]</f>
        <v>LYSE - 791101</v>
      </c>
      <c r="B4289" s="233" t="s">
        <v>2085</v>
      </c>
      <c r="C4289" s="227" t="s">
        <v>274</v>
      </c>
      <c r="D4289" s="233" t="s">
        <v>12</v>
      </c>
      <c r="E4289" s="233" t="s">
        <v>3</v>
      </c>
      <c r="F4289" s="227" t="s">
        <v>294</v>
      </c>
    </row>
    <row r="4290" spans="1:6" x14ac:dyDescent="0.25">
      <c r="A4290" s="227" t="str">
        <f>TL[[#This Row],[Société]]&amp;" - "&amp;TL[[#This Row],[Compte]]</f>
        <v>LYSE - 791104</v>
      </c>
      <c r="B4290" s="233" t="s">
        <v>2086</v>
      </c>
      <c r="C4290" s="227" t="s">
        <v>344</v>
      </c>
      <c r="D4290" s="233" t="s">
        <v>13</v>
      </c>
      <c r="E4290" s="233" t="s">
        <v>12</v>
      </c>
      <c r="F4290" s="227" t="s">
        <v>294</v>
      </c>
    </row>
    <row r="4291" spans="1:6" x14ac:dyDescent="0.25">
      <c r="A4291" s="227" t="str">
        <f>TL[[#This Row],[Société]]&amp;" - "&amp;TL[[#This Row],[Compte]]</f>
        <v>LYSE - 791110</v>
      </c>
      <c r="B4291" s="233" t="s">
        <v>2087</v>
      </c>
      <c r="C4291" s="227" t="s">
        <v>815</v>
      </c>
      <c r="D4291" s="233" t="s">
        <v>12</v>
      </c>
      <c r="E4291" s="233" t="s">
        <v>3</v>
      </c>
      <c r="F4291" s="227" t="s">
        <v>294</v>
      </c>
    </row>
    <row r="4292" spans="1:6" x14ac:dyDescent="0.25">
      <c r="A4292" s="227" t="str">
        <f>TL[[#This Row],[Société]]&amp;" - "&amp;TL[[#This Row],[Compte]]</f>
        <v>LYSE - 791120</v>
      </c>
      <c r="B4292" s="233" t="s">
        <v>2088</v>
      </c>
      <c r="C4292" s="227" t="s">
        <v>816</v>
      </c>
      <c r="F4292" s="227" t="s">
        <v>294</v>
      </c>
    </row>
    <row r="4293" spans="1:6" x14ac:dyDescent="0.25">
      <c r="A4293" s="227" t="str">
        <f>TL[[#This Row],[Société]]&amp;" - "&amp;TL[[#This Row],[Compte]]</f>
        <v>LYSE - 791200</v>
      </c>
      <c r="B4293" s="233" t="s">
        <v>2089</v>
      </c>
      <c r="C4293" s="227" t="s">
        <v>817</v>
      </c>
      <c r="D4293" s="233" t="s">
        <v>152</v>
      </c>
      <c r="E4293" s="233" t="s">
        <v>52</v>
      </c>
      <c r="F4293" s="227" t="s">
        <v>294</v>
      </c>
    </row>
    <row r="4294" spans="1:6" x14ac:dyDescent="0.25">
      <c r="A4294" s="227" t="str">
        <f>TL[[#This Row],[Société]]&amp;" - "&amp;TL[[#This Row],[Compte]]</f>
        <v>LYSE - 791210</v>
      </c>
      <c r="B4294" s="233" t="s">
        <v>2090</v>
      </c>
      <c r="C4294" s="227" t="s">
        <v>818</v>
      </c>
      <c r="F4294" s="227" t="s">
        <v>294</v>
      </c>
    </row>
    <row r="4295" spans="1:6" x14ac:dyDescent="0.25">
      <c r="A4295" s="227" t="str">
        <f>TL[[#This Row],[Société]]&amp;" - "&amp;TL[[#This Row],[Compte]]</f>
        <v>LYSE - 797000</v>
      </c>
      <c r="B4295" s="233" t="s">
        <v>2091</v>
      </c>
      <c r="C4295" s="227" t="s">
        <v>819</v>
      </c>
      <c r="F4295" s="227" t="s">
        <v>294</v>
      </c>
    </row>
    <row r="4296" spans="1:6" x14ac:dyDescent="0.25">
      <c r="A4296" s="227" t="str">
        <f>TL[[#This Row],[Société]]&amp;" - "&amp;TL[[#This Row],[Compte]]</f>
        <v>LYSE - 890000</v>
      </c>
      <c r="B4296" s="233" t="s">
        <v>2092</v>
      </c>
      <c r="C4296" s="227" t="s">
        <v>631</v>
      </c>
      <c r="F4296" s="227" t="s">
        <v>294</v>
      </c>
    </row>
    <row r="4297" spans="1:6" x14ac:dyDescent="0.25">
      <c r="A4297" s="227" t="str">
        <f>TL[[#This Row],[Société]]&amp;" - "&amp;TL[[#This Row],[Compte]]</f>
        <v>HART - 101300</v>
      </c>
      <c r="B4297" s="233" t="s">
        <v>1638</v>
      </c>
      <c r="C4297" s="227" t="s">
        <v>540</v>
      </c>
      <c r="F4297" s="227" t="s">
        <v>3000</v>
      </c>
    </row>
    <row r="4298" spans="1:6" x14ac:dyDescent="0.25">
      <c r="A4298" s="227" t="str">
        <f>TL[[#This Row],[Société]]&amp;" - "&amp;TL[[#This Row],[Compte]]</f>
        <v>HART - 106100</v>
      </c>
      <c r="B4298" s="233" t="s">
        <v>1640</v>
      </c>
      <c r="C4298" s="227" t="s">
        <v>642</v>
      </c>
      <c r="F4298" s="227" t="s">
        <v>3000</v>
      </c>
    </row>
    <row r="4299" spans="1:6" x14ac:dyDescent="0.25">
      <c r="A4299" s="227" t="str">
        <f>TL[[#This Row],[Société]]&amp;" - "&amp;TL[[#This Row],[Compte]]</f>
        <v>HART - 106300</v>
      </c>
      <c r="B4299" s="233" t="s">
        <v>3052</v>
      </c>
      <c r="C4299" s="227" t="s">
        <v>3053</v>
      </c>
      <c r="F4299" s="227" t="s">
        <v>3000</v>
      </c>
    </row>
    <row r="4300" spans="1:6" x14ac:dyDescent="0.25">
      <c r="A4300" s="227" t="str">
        <f>TL[[#This Row],[Société]]&amp;" - "&amp;TL[[#This Row],[Compte]]</f>
        <v>HART - 106800</v>
      </c>
      <c r="B4300" s="233" t="s">
        <v>1641</v>
      </c>
      <c r="C4300" s="227" t="s">
        <v>644</v>
      </c>
      <c r="F4300" s="227" t="s">
        <v>3000</v>
      </c>
    </row>
    <row r="4301" spans="1:6" x14ac:dyDescent="0.25">
      <c r="A4301" s="227" t="str">
        <f>TL[[#This Row],[Société]]&amp;" - "&amp;TL[[#This Row],[Compte]]</f>
        <v>HART - 120000</v>
      </c>
      <c r="B4301" s="233" t="s">
        <v>1643</v>
      </c>
      <c r="C4301" s="227" t="s">
        <v>542</v>
      </c>
      <c r="F4301" s="227" t="s">
        <v>3000</v>
      </c>
    </row>
    <row r="4302" spans="1:6" x14ac:dyDescent="0.25">
      <c r="A4302" s="227" t="str">
        <f>TL[[#This Row],[Société]]&amp;" - "&amp;TL[[#This Row],[Compte]]</f>
        <v>HART - 129000</v>
      </c>
      <c r="B4302" s="233" t="s">
        <v>1637</v>
      </c>
      <c r="C4302" s="227" t="s">
        <v>543</v>
      </c>
      <c r="F4302" s="227" t="s">
        <v>3000</v>
      </c>
    </row>
    <row r="4303" spans="1:6" x14ac:dyDescent="0.25">
      <c r="A4303" s="227" t="str">
        <f>TL[[#This Row],[Société]]&amp;" - "&amp;TL[[#This Row],[Compte]]</f>
        <v>HART - 145000</v>
      </c>
      <c r="B4303" s="233" t="s">
        <v>1805</v>
      </c>
      <c r="C4303" s="227" t="s">
        <v>3056</v>
      </c>
      <c r="F4303" s="227" t="s">
        <v>3000</v>
      </c>
    </row>
    <row r="4304" spans="1:6" x14ac:dyDescent="0.25">
      <c r="A4304" s="227" t="str">
        <f>TL[[#This Row],[Société]]&amp;" - "&amp;TL[[#This Row],[Compte]]</f>
        <v>HART - 158000</v>
      </c>
      <c r="B4304" s="233" t="s">
        <v>1645</v>
      </c>
      <c r="C4304" s="227" t="s">
        <v>547</v>
      </c>
      <c r="F4304" s="227" t="s">
        <v>3000</v>
      </c>
    </row>
    <row r="4305" spans="1:6" x14ac:dyDescent="0.25">
      <c r="A4305" s="227" t="str">
        <f>TL[[#This Row],[Société]]&amp;" - "&amp;TL[[#This Row],[Compte]]</f>
        <v>HART - 164100</v>
      </c>
      <c r="B4305" s="233" t="s">
        <v>1807</v>
      </c>
      <c r="C4305" s="227" t="s">
        <v>6417</v>
      </c>
      <c r="F4305" s="227" t="s">
        <v>3000</v>
      </c>
    </row>
    <row r="4306" spans="1:6" x14ac:dyDescent="0.25">
      <c r="A4306" s="227" t="str">
        <f>TL[[#This Row],[Société]]&amp;" - "&amp;TL[[#This Row],[Compte]]</f>
        <v>HART - 168840</v>
      </c>
      <c r="B4306" s="233" t="s">
        <v>3065</v>
      </c>
      <c r="C4306" s="227" t="s">
        <v>2137</v>
      </c>
      <c r="F4306" s="227" t="s">
        <v>3000</v>
      </c>
    </row>
    <row r="4307" spans="1:6" x14ac:dyDescent="0.25">
      <c r="A4307" s="227" t="str">
        <f>TL[[#This Row],[Société]]&amp;" - "&amp;TL[[#This Row],[Compte]]</f>
        <v>HART - 205000</v>
      </c>
      <c r="B4307" s="233" t="s">
        <v>1651</v>
      </c>
      <c r="C4307" s="227" t="s">
        <v>5635</v>
      </c>
      <c r="F4307" s="227" t="s">
        <v>3000</v>
      </c>
    </row>
    <row r="4308" spans="1:6" x14ac:dyDescent="0.25">
      <c r="A4308" s="227" t="str">
        <f>TL[[#This Row],[Société]]&amp;" - "&amp;TL[[#This Row],[Compte]]</f>
        <v>HART - 215400</v>
      </c>
      <c r="B4308" s="233" t="s">
        <v>1652</v>
      </c>
      <c r="C4308" s="227" t="s">
        <v>5639</v>
      </c>
      <c r="F4308" s="227" t="s">
        <v>3000</v>
      </c>
    </row>
    <row r="4309" spans="1:6" x14ac:dyDescent="0.25">
      <c r="A4309" s="227" t="str">
        <f>TL[[#This Row],[Société]]&amp;" - "&amp;TL[[#This Row],[Compte]]</f>
        <v>HART - 218100</v>
      </c>
      <c r="B4309" s="233" t="s">
        <v>1654</v>
      </c>
      <c r="C4309" s="227" t="s">
        <v>3068</v>
      </c>
      <c r="F4309" s="227" t="s">
        <v>3000</v>
      </c>
    </row>
    <row r="4310" spans="1:6" x14ac:dyDescent="0.25">
      <c r="A4310" s="227" t="str">
        <f>TL[[#This Row],[Société]]&amp;" - "&amp;TL[[#This Row],[Compte]]</f>
        <v>HART - 218300</v>
      </c>
      <c r="B4310" s="233" t="s">
        <v>1655</v>
      </c>
      <c r="C4310" s="227" t="s">
        <v>554</v>
      </c>
      <c r="F4310" s="227" t="s">
        <v>3000</v>
      </c>
    </row>
    <row r="4311" spans="1:6" x14ac:dyDescent="0.25">
      <c r="A4311" s="227" t="str">
        <f>TL[[#This Row],[Société]]&amp;" - "&amp;TL[[#This Row],[Compte]]</f>
        <v>HART - 218400</v>
      </c>
      <c r="B4311" s="233" t="s">
        <v>1656</v>
      </c>
      <c r="C4311" s="227" t="s">
        <v>3070</v>
      </c>
      <c r="F4311" s="227" t="s">
        <v>3000</v>
      </c>
    </row>
    <row r="4312" spans="1:6" x14ac:dyDescent="0.25">
      <c r="A4312" s="227" t="str">
        <f>TL[[#This Row],[Société]]&amp;" - "&amp;TL[[#This Row],[Compte]]</f>
        <v>HART - 275000</v>
      </c>
      <c r="B4312" s="233" t="s">
        <v>1815</v>
      </c>
      <c r="C4312" s="227" t="s">
        <v>556</v>
      </c>
      <c r="F4312" s="227" t="s">
        <v>3000</v>
      </c>
    </row>
    <row r="4313" spans="1:6" x14ac:dyDescent="0.25">
      <c r="A4313" s="227" t="str">
        <f>TL[[#This Row],[Société]]&amp;" - "&amp;TL[[#This Row],[Compte]]</f>
        <v>HART - 280500</v>
      </c>
      <c r="B4313" s="233" t="s">
        <v>1657</v>
      </c>
      <c r="C4313" s="227" t="s">
        <v>5649</v>
      </c>
      <c r="F4313" s="227" t="s">
        <v>3000</v>
      </c>
    </row>
    <row r="4314" spans="1:6" x14ac:dyDescent="0.25">
      <c r="A4314" s="227" t="str">
        <f>TL[[#This Row],[Société]]&amp;" - "&amp;TL[[#This Row],[Compte]]</f>
        <v>HART - 281540</v>
      </c>
      <c r="B4314" s="233" t="s">
        <v>1658</v>
      </c>
      <c r="C4314" s="227" t="s">
        <v>5654</v>
      </c>
      <c r="F4314" s="227" t="s">
        <v>3000</v>
      </c>
    </row>
    <row r="4315" spans="1:6" x14ac:dyDescent="0.25">
      <c r="A4315" s="227" t="str">
        <f>TL[[#This Row],[Société]]&amp;" - "&amp;TL[[#This Row],[Compte]]</f>
        <v>HART - 281810</v>
      </c>
      <c r="B4315" s="233" t="s">
        <v>1660</v>
      </c>
      <c r="C4315" s="227" t="s">
        <v>560</v>
      </c>
      <c r="F4315" s="227" t="s">
        <v>3000</v>
      </c>
    </row>
    <row r="4316" spans="1:6" x14ac:dyDescent="0.25">
      <c r="A4316" s="227" t="str">
        <f>TL[[#This Row],[Société]]&amp;" - "&amp;TL[[#This Row],[Compte]]</f>
        <v>HART - 281830</v>
      </c>
      <c r="B4316" s="233" t="s">
        <v>1661</v>
      </c>
      <c r="C4316" s="227" t="s">
        <v>561</v>
      </c>
      <c r="F4316" s="227" t="s">
        <v>3000</v>
      </c>
    </row>
    <row r="4317" spans="1:6" x14ac:dyDescent="0.25">
      <c r="A4317" s="227" t="str">
        <f>TL[[#This Row],[Société]]&amp;" - "&amp;TL[[#This Row],[Compte]]</f>
        <v>HART - 281840</v>
      </c>
      <c r="B4317" s="233" t="s">
        <v>1662</v>
      </c>
      <c r="C4317" s="227" t="s">
        <v>659</v>
      </c>
      <c r="F4317" s="227" t="s">
        <v>3000</v>
      </c>
    </row>
    <row r="4318" spans="1:6" x14ac:dyDescent="0.25">
      <c r="A4318" s="227" t="str">
        <f>TL[[#This Row],[Société]]&amp;" - "&amp;TL[[#This Row],[Compte]]</f>
        <v>HART - 310000</v>
      </c>
      <c r="B4318" s="233" t="s">
        <v>1663</v>
      </c>
      <c r="C4318" s="227" t="s">
        <v>1101</v>
      </c>
      <c r="F4318" s="227" t="s">
        <v>3000</v>
      </c>
    </row>
    <row r="4319" spans="1:6" x14ac:dyDescent="0.25">
      <c r="A4319" s="227" t="str">
        <f>TL[[#This Row],[Société]]&amp;" - "&amp;TL[[#This Row],[Compte]]</f>
        <v>HART - 320000</v>
      </c>
      <c r="B4319" s="233" t="s">
        <v>1664</v>
      </c>
      <c r="C4319" s="227" t="s">
        <v>5661</v>
      </c>
      <c r="F4319" s="227" t="s">
        <v>3000</v>
      </c>
    </row>
    <row r="4320" spans="1:6" x14ac:dyDescent="0.25">
      <c r="A4320" s="227" t="str">
        <f>TL[[#This Row],[Société]]&amp;" - "&amp;TL[[#This Row],[Compte]]</f>
        <v>HART - 321000</v>
      </c>
      <c r="B4320" s="233" t="s">
        <v>1665</v>
      </c>
      <c r="C4320" s="227" t="s">
        <v>5662</v>
      </c>
      <c r="F4320" s="227" t="s">
        <v>3000</v>
      </c>
    </row>
    <row r="4321" spans="1:6" x14ac:dyDescent="0.25">
      <c r="A4321" s="227" t="str">
        <f>TL[[#This Row],[Société]]&amp;" - "&amp;TL[[#This Row],[Compte]]</f>
        <v>HART - 323000</v>
      </c>
      <c r="B4321" s="233" t="s">
        <v>5663</v>
      </c>
      <c r="C4321" s="227" t="s">
        <v>6418</v>
      </c>
      <c r="F4321" s="227" t="s">
        <v>3000</v>
      </c>
    </row>
    <row r="4322" spans="1:6" x14ac:dyDescent="0.25">
      <c r="A4322" s="227" t="str">
        <f>TL[[#This Row],[Société]]&amp;" - "&amp;TL[[#This Row],[Compte]]</f>
        <v>HART - 327000</v>
      </c>
      <c r="B4322" s="233" t="s">
        <v>5665</v>
      </c>
      <c r="C4322" s="227" t="s">
        <v>6419</v>
      </c>
      <c r="F4322" s="227" t="s">
        <v>3000</v>
      </c>
    </row>
    <row r="4323" spans="1:6" x14ac:dyDescent="0.25">
      <c r="A4323" s="227" t="str">
        <f>TL[[#This Row],[Société]]&amp;" - "&amp;TL[[#This Row],[Compte]]</f>
        <v>HART - 401000</v>
      </c>
      <c r="B4323" s="233" t="s">
        <v>1581</v>
      </c>
      <c r="C4323" s="227" t="s">
        <v>564</v>
      </c>
      <c r="F4323" s="227" t="s">
        <v>3000</v>
      </c>
    </row>
    <row r="4324" spans="1:6" x14ac:dyDescent="0.25">
      <c r="A4324" s="227" t="str">
        <f>TL[[#This Row],[Société]]&amp;" - "&amp;TL[[#This Row],[Compte]]</f>
        <v>HART - 404000</v>
      </c>
      <c r="B4324" s="233" t="s">
        <v>5670</v>
      </c>
      <c r="C4324" s="227" t="s">
        <v>5671</v>
      </c>
      <c r="F4324" s="227" t="s">
        <v>3000</v>
      </c>
    </row>
    <row r="4325" spans="1:6" x14ac:dyDescent="0.25">
      <c r="A4325" s="227" t="str">
        <f>TL[[#This Row],[Société]]&amp;" - "&amp;TL[[#This Row],[Compte]]</f>
        <v>HART - 408100</v>
      </c>
      <c r="B4325" s="233" t="s">
        <v>1666</v>
      </c>
      <c r="C4325" s="227" t="s">
        <v>537</v>
      </c>
      <c r="F4325" s="227" t="s">
        <v>3000</v>
      </c>
    </row>
    <row r="4326" spans="1:6" x14ac:dyDescent="0.25">
      <c r="A4326" s="227" t="str">
        <f>TL[[#This Row],[Société]]&amp;" - "&amp;TL[[#This Row],[Compte]]</f>
        <v>HART - 409100</v>
      </c>
      <c r="B4326" s="233" t="s">
        <v>1667</v>
      </c>
      <c r="C4326" s="227" t="s">
        <v>5672</v>
      </c>
      <c r="F4326" s="227" t="s">
        <v>3000</v>
      </c>
    </row>
    <row r="4327" spans="1:6" x14ac:dyDescent="0.25">
      <c r="A4327" s="227" t="str">
        <f>TL[[#This Row],[Société]]&amp;" - "&amp;TL[[#This Row],[Compte]]</f>
        <v>HART - 409600</v>
      </c>
      <c r="B4327" s="233" t="s">
        <v>1632</v>
      </c>
      <c r="C4327" s="227" t="s">
        <v>5673</v>
      </c>
      <c r="F4327" s="227" t="s">
        <v>3000</v>
      </c>
    </row>
    <row r="4328" spans="1:6" x14ac:dyDescent="0.25">
      <c r="A4328" s="227" t="str">
        <f>TL[[#This Row],[Société]]&amp;" - "&amp;TL[[#This Row],[Compte]]</f>
        <v>HART - 409800</v>
      </c>
      <c r="B4328" s="233" t="s">
        <v>1668</v>
      </c>
      <c r="C4328" s="227" t="s">
        <v>567</v>
      </c>
      <c r="F4328" s="227" t="s">
        <v>3000</v>
      </c>
    </row>
    <row r="4329" spans="1:6" x14ac:dyDescent="0.25">
      <c r="A4329" s="227" t="str">
        <f>TL[[#This Row],[Société]]&amp;" - "&amp;TL[[#This Row],[Compte]]</f>
        <v>HART - 411000</v>
      </c>
      <c r="B4329" s="233" t="s">
        <v>1708</v>
      </c>
      <c r="C4329" s="227" t="s">
        <v>568</v>
      </c>
      <c r="F4329" s="227" t="s">
        <v>3000</v>
      </c>
    </row>
    <row r="4330" spans="1:6" x14ac:dyDescent="0.25">
      <c r="A4330" s="227" t="str">
        <f>TL[[#This Row],[Société]]&amp;" - "&amp;TL[[#This Row],[Compte]]</f>
        <v>HART - 413000</v>
      </c>
      <c r="B4330" s="233" t="s">
        <v>3088</v>
      </c>
      <c r="C4330" s="227" t="s">
        <v>3089</v>
      </c>
      <c r="F4330" s="227" t="s">
        <v>3000</v>
      </c>
    </row>
    <row r="4331" spans="1:6" x14ac:dyDescent="0.25">
      <c r="A4331" s="227" t="str">
        <f>TL[[#This Row],[Société]]&amp;" - "&amp;TL[[#This Row],[Compte]]</f>
        <v>HART - 418100</v>
      </c>
      <c r="B4331" s="233" t="s">
        <v>1669</v>
      </c>
      <c r="C4331" s="227" t="s">
        <v>5694</v>
      </c>
      <c r="F4331" s="227" t="s">
        <v>3000</v>
      </c>
    </row>
    <row r="4332" spans="1:6" x14ac:dyDescent="0.25">
      <c r="A4332" s="227" t="str">
        <f>TL[[#This Row],[Société]]&amp;" - "&amp;TL[[#This Row],[Compte]]</f>
        <v>HART - 421000</v>
      </c>
      <c r="B4332" s="233" t="s">
        <v>1670</v>
      </c>
      <c r="C4332" s="227" t="s">
        <v>3090</v>
      </c>
      <c r="F4332" s="227" t="s">
        <v>3000</v>
      </c>
    </row>
    <row r="4333" spans="1:6" x14ac:dyDescent="0.25">
      <c r="A4333" s="227" t="str">
        <f>TL[[#This Row],[Société]]&amp;" - "&amp;TL[[#This Row],[Compte]]</f>
        <v>HART - 421100</v>
      </c>
      <c r="B4333" s="233" t="s">
        <v>3092</v>
      </c>
      <c r="C4333" s="227" t="s">
        <v>5719</v>
      </c>
      <c r="F4333" s="227" t="s">
        <v>3000</v>
      </c>
    </row>
    <row r="4334" spans="1:6" x14ac:dyDescent="0.25">
      <c r="A4334" s="227" t="str">
        <f>TL[[#This Row],[Société]]&amp;" - "&amp;TL[[#This Row],[Compte]]</f>
        <v>HART - 421200</v>
      </c>
      <c r="B4334" s="233" t="s">
        <v>6420</v>
      </c>
      <c r="C4334" s="227" t="s">
        <v>3090</v>
      </c>
      <c r="F4334" s="227" t="s">
        <v>3000</v>
      </c>
    </row>
    <row r="4335" spans="1:6" x14ac:dyDescent="0.25">
      <c r="A4335" s="227" t="str">
        <f>TL[[#This Row],[Société]]&amp;" - "&amp;TL[[#This Row],[Compte]]</f>
        <v>HART - 425000</v>
      </c>
      <c r="B4335" s="233" t="s">
        <v>1672</v>
      </c>
      <c r="C4335" s="227" t="s">
        <v>6421</v>
      </c>
      <c r="F4335" s="227" t="s">
        <v>3000</v>
      </c>
    </row>
    <row r="4336" spans="1:6" x14ac:dyDescent="0.25">
      <c r="A4336" s="227" t="str">
        <f>TL[[#This Row],[Société]]&amp;" - "&amp;TL[[#This Row],[Compte]]</f>
        <v>HART - 427000</v>
      </c>
      <c r="B4336" s="233" t="s">
        <v>1710</v>
      </c>
      <c r="C4336" s="227" t="s">
        <v>4451</v>
      </c>
      <c r="F4336" s="227" t="s">
        <v>3000</v>
      </c>
    </row>
    <row r="4337" spans="1:6" x14ac:dyDescent="0.25">
      <c r="A4337" s="227" t="str">
        <f>TL[[#This Row],[Société]]&amp;" - "&amp;TL[[#This Row],[Compte]]</f>
        <v>HART - 428200</v>
      </c>
      <c r="B4337" s="233" t="s">
        <v>1673</v>
      </c>
      <c r="C4337" s="227" t="s">
        <v>984</v>
      </c>
      <c r="F4337" s="227" t="s">
        <v>3000</v>
      </c>
    </row>
    <row r="4338" spans="1:6" x14ac:dyDescent="0.25">
      <c r="A4338" s="227" t="str">
        <f>TL[[#This Row],[Société]]&amp;" - "&amp;TL[[#This Row],[Compte]]</f>
        <v>HART - 428220</v>
      </c>
      <c r="B4338" s="233" t="s">
        <v>3094</v>
      </c>
      <c r="C4338" s="227" t="s">
        <v>5723</v>
      </c>
      <c r="F4338" s="227" t="s">
        <v>3000</v>
      </c>
    </row>
    <row r="4339" spans="1:6" x14ac:dyDescent="0.25">
      <c r="A4339" s="227" t="str">
        <f>TL[[#This Row],[Société]]&amp;" - "&amp;TL[[#This Row],[Compte]]</f>
        <v>HART - 428230</v>
      </c>
      <c r="B4339" s="233" t="s">
        <v>3096</v>
      </c>
      <c r="C4339" s="227" t="s">
        <v>2209</v>
      </c>
      <c r="F4339" s="227" t="s">
        <v>3000</v>
      </c>
    </row>
    <row r="4340" spans="1:6" x14ac:dyDescent="0.25">
      <c r="A4340" s="227" t="str">
        <f>TL[[#This Row],[Société]]&amp;" - "&amp;TL[[#This Row],[Compte]]</f>
        <v>HART - 428300</v>
      </c>
      <c r="B4340" s="233" t="s">
        <v>6230</v>
      </c>
      <c r="C4340" s="227" t="s">
        <v>6422</v>
      </c>
      <c r="F4340" s="227" t="s">
        <v>3000</v>
      </c>
    </row>
    <row r="4341" spans="1:6" x14ac:dyDescent="0.25">
      <c r="A4341" s="227" t="str">
        <f>TL[[#This Row],[Société]]&amp;" - "&amp;TL[[#This Row],[Compte]]</f>
        <v>HART - 431000</v>
      </c>
      <c r="B4341" s="233" t="s">
        <v>1674</v>
      </c>
      <c r="C4341" s="227" t="s">
        <v>573</v>
      </c>
      <c r="F4341" s="227" t="s">
        <v>3000</v>
      </c>
    </row>
    <row r="4342" spans="1:6" x14ac:dyDescent="0.25">
      <c r="A4342" s="227" t="str">
        <f>TL[[#This Row],[Société]]&amp;" - "&amp;TL[[#This Row],[Compte]]</f>
        <v>HART - 437020</v>
      </c>
      <c r="B4342" s="233" t="s">
        <v>1676</v>
      </c>
      <c r="C4342" s="227" t="s">
        <v>6423</v>
      </c>
      <c r="F4342" s="227" t="s">
        <v>3000</v>
      </c>
    </row>
    <row r="4343" spans="1:6" x14ac:dyDescent="0.25">
      <c r="A4343" s="227" t="str">
        <f>TL[[#This Row],[Société]]&amp;" - "&amp;TL[[#This Row],[Compte]]</f>
        <v>HART - 437030</v>
      </c>
      <c r="B4343" s="233" t="s">
        <v>1839</v>
      </c>
      <c r="C4343" s="227" t="s">
        <v>6424</v>
      </c>
      <c r="F4343" s="227" t="s">
        <v>3000</v>
      </c>
    </row>
    <row r="4344" spans="1:6" x14ac:dyDescent="0.25">
      <c r="A4344" s="227" t="str">
        <f>TL[[#This Row],[Société]]&amp;" - "&amp;TL[[#This Row],[Compte]]</f>
        <v>HART - 437080</v>
      </c>
      <c r="B4344" s="233" t="s">
        <v>3106</v>
      </c>
      <c r="C4344" s="227" t="s">
        <v>1358</v>
      </c>
      <c r="F4344" s="227" t="s">
        <v>3000</v>
      </c>
    </row>
    <row r="4345" spans="1:6" x14ac:dyDescent="0.25">
      <c r="A4345" s="227" t="str">
        <f>TL[[#This Row],[Société]]&amp;" - "&amp;TL[[#This Row],[Compte]]</f>
        <v>HART - 438000</v>
      </c>
      <c r="B4345" s="233" t="s">
        <v>2122</v>
      </c>
      <c r="C4345" s="227" t="s">
        <v>6425</v>
      </c>
      <c r="F4345" s="227" t="s">
        <v>3000</v>
      </c>
    </row>
    <row r="4346" spans="1:6" x14ac:dyDescent="0.25">
      <c r="A4346" s="227" t="str">
        <f>TL[[#This Row],[Société]]&amp;" - "&amp;TL[[#This Row],[Compte]]</f>
        <v>HART - 438200</v>
      </c>
      <c r="B4346" s="233" t="s">
        <v>2123</v>
      </c>
      <c r="C4346" s="227" t="s">
        <v>858</v>
      </c>
      <c r="F4346" s="227" t="s">
        <v>3000</v>
      </c>
    </row>
    <row r="4347" spans="1:6" x14ac:dyDescent="0.25">
      <c r="A4347" s="227" t="str">
        <f>TL[[#This Row],[Société]]&amp;" - "&amp;TL[[#This Row],[Compte]]</f>
        <v>HART - 438300</v>
      </c>
      <c r="B4347" s="233" t="s">
        <v>3115</v>
      </c>
      <c r="C4347" s="227" t="s">
        <v>6426</v>
      </c>
      <c r="F4347" s="227" t="s">
        <v>3000</v>
      </c>
    </row>
    <row r="4348" spans="1:6" x14ac:dyDescent="0.25">
      <c r="A4348" s="227" t="str">
        <f>TL[[#This Row],[Société]]&amp;" - "&amp;TL[[#This Row],[Compte]]</f>
        <v>HART - 438600</v>
      </c>
      <c r="B4348" s="233" t="s">
        <v>1678</v>
      </c>
      <c r="C4348" s="227" t="s">
        <v>6427</v>
      </c>
      <c r="F4348" s="227" t="s">
        <v>3000</v>
      </c>
    </row>
    <row r="4349" spans="1:6" x14ac:dyDescent="0.25">
      <c r="A4349" s="227" t="str">
        <f>TL[[#This Row],[Société]]&amp;" - "&amp;TL[[#This Row],[Compte]]</f>
        <v>HART - 442100</v>
      </c>
      <c r="B4349" s="233" t="s">
        <v>1841</v>
      </c>
      <c r="C4349" s="227" t="s">
        <v>5742</v>
      </c>
      <c r="F4349" s="227" t="s">
        <v>3000</v>
      </c>
    </row>
    <row r="4350" spans="1:6" x14ac:dyDescent="0.25">
      <c r="A4350" s="227" t="str">
        <f>TL[[#This Row],[Société]]&amp;" - "&amp;TL[[#This Row],[Compte]]</f>
        <v>HART - 444000</v>
      </c>
      <c r="B4350" s="233" t="s">
        <v>1682</v>
      </c>
      <c r="C4350" s="227" t="s">
        <v>157</v>
      </c>
      <c r="F4350" s="227" t="s">
        <v>3000</v>
      </c>
    </row>
    <row r="4351" spans="1:6" x14ac:dyDescent="0.25">
      <c r="A4351" s="227" t="str">
        <f>TL[[#This Row],[Société]]&amp;" - "&amp;TL[[#This Row],[Compte]]</f>
        <v>HART - 445200</v>
      </c>
      <c r="B4351" s="233" t="s">
        <v>1842</v>
      </c>
      <c r="C4351" s="227" t="s">
        <v>580</v>
      </c>
      <c r="F4351" s="227" t="s">
        <v>3000</v>
      </c>
    </row>
    <row r="4352" spans="1:6" x14ac:dyDescent="0.25">
      <c r="A4352" s="227" t="str">
        <f>TL[[#This Row],[Société]]&amp;" - "&amp;TL[[#This Row],[Compte]]</f>
        <v>HART - 445500</v>
      </c>
      <c r="B4352" s="233" t="s">
        <v>4530</v>
      </c>
      <c r="C4352" s="227" t="s">
        <v>949</v>
      </c>
      <c r="F4352" s="227" t="s">
        <v>3000</v>
      </c>
    </row>
    <row r="4353" spans="1:6" x14ac:dyDescent="0.25">
      <c r="A4353" s="227" t="str">
        <f>TL[[#This Row],[Société]]&amp;" - "&amp;TL[[#This Row],[Compte]]</f>
        <v>HART - 445620</v>
      </c>
      <c r="B4353" s="233" t="s">
        <v>1843</v>
      </c>
      <c r="C4353" s="227" t="s">
        <v>3127</v>
      </c>
      <c r="F4353" s="227" t="s">
        <v>3000</v>
      </c>
    </row>
    <row r="4354" spans="1:6" x14ac:dyDescent="0.25">
      <c r="A4354" s="227" t="str">
        <f>TL[[#This Row],[Société]]&amp;" - "&amp;TL[[#This Row],[Compte]]</f>
        <v>HART - 445660</v>
      </c>
      <c r="B4354" s="233" t="s">
        <v>1580</v>
      </c>
      <c r="C4354" s="227" t="s">
        <v>3128</v>
      </c>
      <c r="F4354" s="227" t="s">
        <v>3000</v>
      </c>
    </row>
    <row r="4355" spans="1:6" x14ac:dyDescent="0.25">
      <c r="A4355" s="227" t="str">
        <f>TL[[#This Row],[Société]]&amp;" - "&amp;TL[[#This Row],[Compte]]</f>
        <v>HART - 445661</v>
      </c>
      <c r="B4355" s="233" t="s">
        <v>1584</v>
      </c>
      <c r="C4355" s="227" t="s">
        <v>5750</v>
      </c>
      <c r="F4355" s="227" t="s">
        <v>3000</v>
      </c>
    </row>
    <row r="4356" spans="1:6" x14ac:dyDescent="0.25">
      <c r="A4356" s="227" t="str">
        <f>TL[[#This Row],[Société]]&amp;" - "&amp;TL[[#This Row],[Compte]]</f>
        <v>HART - 445662</v>
      </c>
      <c r="B4356" s="233" t="s">
        <v>1845</v>
      </c>
      <c r="C4356" s="227" t="s">
        <v>6428</v>
      </c>
      <c r="F4356" s="227" t="s">
        <v>3000</v>
      </c>
    </row>
    <row r="4357" spans="1:6" x14ac:dyDescent="0.25">
      <c r="A4357" s="227" t="str">
        <f>TL[[#This Row],[Société]]&amp;" - "&amp;TL[[#This Row],[Compte]]</f>
        <v>HART - 445670</v>
      </c>
      <c r="B4357" s="233" t="s">
        <v>1846</v>
      </c>
      <c r="C4357" s="227" t="s">
        <v>3131</v>
      </c>
      <c r="F4357" s="227" t="s">
        <v>3000</v>
      </c>
    </row>
    <row r="4358" spans="1:6" x14ac:dyDescent="0.25">
      <c r="A4358" s="227" t="str">
        <f>TL[[#This Row],[Société]]&amp;" - "&amp;TL[[#This Row],[Compte]]</f>
        <v>HART - 445710</v>
      </c>
      <c r="B4358" s="233" t="s">
        <v>1742</v>
      </c>
      <c r="C4358" s="227" t="s">
        <v>6429</v>
      </c>
      <c r="F4358" s="227" t="s">
        <v>3000</v>
      </c>
    </row>
    <row r="4359" spans="1:6" x14ac:dyDescent="0.25">
      <c r="A4359" s="227" t="str">
        <f>TL[[#This Row],[Société]]&amp;" - "&amp;TL[[#This Row],[Compte]]</f>
        <v>HART - 445712</v>
      </c>
      <c r="B4359" s="233" t="s">
        <v>5752</v>
      </c>
      <c r="C4359" s="227" t="s">
        <v>6430</v>
      </c>
      <c r="F4359" s="227" t="s">
        <v>3000</v>
      </c>
    </row>
    <row r="4360" spans="1:6" x14ac:dyDescent="0.25">
      <c r="A4360" s="227" t="str">
        <f>TL[[#This Row],[Société]]&amp;" - "&amp;TL[[#This Row],[Compte]]</f>
        <v>HART - 445714</v>
      </c>
      <c r="B4360" s="233" t="s">
        <v>1849</v>
      </c>
      <c r="C4360" s="227" t="s">
        <v>6431</v>
      </c>
      <c r="F4360" s="227" t="s">
        <v>3000</v>
      </c>
    </row>
    <row r="4361" spans="1:6" x14ac:dyDescent="0.25">
      <c r="A4361" s="227" t="str">
        <f>TL[[#This Row],[Société]]&amp;" - "&amp;TL[[#This Row],[Compte]]</f>
        <v>HART - 445715</v>
      </c>
      <c r="B4361" s="233" t="s">
        <v>1850</v>
      </c>
      <c r="C4361" s="227" t="s">
        <v>6432</v>
      </c>
      <c r="F4361" s="227" t="s">
        <v>3000</v>
      </c>
    </row>
    <row r="4362" spans="1:6" x14ac:dyDescent="0.25">
      <c r="A4362" s="227" t="str">
        <f>TL[[#This Row],[Société]]&amp;" - "&amp;TL[[#This Row],[Compte]]</f>
        <v>HART - 445717</v>
      </c>
      <c r="B4362" s="233" t="s">
        <v>1734</v>
      </c>
      <c r="C4362" s="227" t="s">
        <v>585</v>
      </c>
      <c r="F4362" s="227" t="s">
        <v>3000</v>
      </c>
    </row>
    <row r="4363" spans="1:6" x14ac:dyDescent="0.25">
      <c r="A4363" s="227" t="str">
        <f>TL[[#This Row],[Société]]&amp;" - "&amp;TL[[#This Row],[Compte]]</f>
        <v>HART - 445830</v>
      </c>
      <c r="B4363" s="233" t="s">
        <v>1851</v>
      </c>
      <c r="C4363" s="227" t="s">
        <v>1001</v>
      </c>
      <c r="F4363" s="227" t="s">
        <v>3000</v>
      </c>
    </row>
    <row r="4364" spans="1:6" x14ac:dyDescent="0.25">
      <c r="A4364" s="227" t="str">
        <f>TL[[#This Row],[Société]]&amp;" - "&amp;TL[[#This Row],[Compte]]</f>
        <v>HART - 445860</v>
      </c>
      <c r="B4364" s="233" t="s">
        <v>1686</v>
      </c>
      <c r="C4364" s="227" t="s">
        <v>867</v>
      </c>
      <c r="F4364" s="227" t="s">
        <v>3000</v>
      </c>
    </row>
    <row r="4365" spans="1:6" x14ac:dyDescent="0.25">
      <c r="A4365" s="227" t="str">
        <f>TL[[#This Row],[Société]]&amp;" - "&amp;TL[[#This Row],[Compte]]</f>
        <v>HART - 445870</v>
      </c>
      <c r="B4365" s="233" t="s">
        <v>1688</v>
      </c>
      <c r="C4365" s="227" t="s">
        <v>5770</v>
      </c>
      <c r="F4365" s="227" t="s">
        <v>3000</v>
      </c>
    </row>
    <row r="4366" spans="1:6" x14ac:dyDescent="0.25">
      <c r="A4366" s="227" t="str">
        <f>TL[[#This Row],[Société]]&amp;" - "&amp;TL[[#This Row],[Compte]]</f>
        <v>HART - 448600</v>
      </c>
      <c r="B4366" s="233" t="s">
        <v>1689</v>
      </c>
      <c r="C4366" s="227" t="s">
        <v>587</v>
      </c>
      <c r="F4366" s="227" t="s">
        <v>3000</v>
      </c>
    </row>
    <row r="4367" spans="1:6" x14ac:dyDescent="0.25">
      <c r="A4367" s="227" t="str">
        <f>TL[[#This Row],[Société]]&amp;" - "&amp;TL[[#This Row],[Compte]]</f>
        <v>HART - 448640</v>
      </c>
      <c r="B4367" s="233" t="s">
        <v>4590</v>
      </c>
      <c r="C4367" s="227" t="s">
        <v>2157</v>
      </c>
      <c r="F4367" s="227" t="s">
        <v>3000</v>
      </c>
    </row>
    <row r="4368" spans="1:6" x14ac:dyDescent="0.25">
      <c r="A4368" s="227" t="str">
        <f>TL[[#This Row],[Société]]&amp;" - "&amp;TL[[#This Row],[Compte]]</f>
        <v>HART - 467000</v>
      </c>
      <c r="B4368" s="233" t="s">
        <v>1857</v>
      </c>
      <c r="C4368" s="227" t="s">
        <v>593</v>
      </c>
      <c r="F4368" s="227" t="s">
        <v>3000</v>
      </c>
    </row>
    <row r="4369" spans="1:6" x14ac:dyDescent="0.25">
      <c r="A4369" s="227" t="str">
        <f>TL[[#This Row],[Société]]&amp;" - "&amp;TL[[#This Row],[Compte]]</f>
        <v>HART - 467200</v>
      </c>
      <c r="B4369" s="233" t="s">
        <v>1692</v>
      </c>
      <c r="C4369" s="227" t="s">
        <v>5808</v>
      </c>
      <c r="F4369" s="227" t="s">
        <v>3000</v>
      </c>
    </row>
    <row r="4370" spans="1:6" x14ac:dyDescent="0.25">
      <c r="A4370" s="227" t="str">
        <f>TL[[#This Row],[Société]]&amp;" - "&amp;TL[[#This Row],[Compte]]</f>
        <v>HART - 467220</v>
      </c>
      <c r="B4370" s="233" t="s">
        <v>1741</v>
      </c>
      <c r="C4370" s="227" t="s">
        <v>2167</v>
      </c>
      <c r="F4370" s="227" t="s">
        <v>3000</v>
      </c>
    </row>
    <row r="4371" spans="1:6" x14ac:dyDescent="0.25">
      <c r="A4371" s="227" t="str">
        <f>TL[[#This Row],[Société]]&amp;" - "&amp;TL[[#This Row],[Compte]]</f>
        <v>HART - 467230</v>
      </c>
      <c r="B4371" s="233" t="s">
        <v>1740</v>
      </c>
      <c r="C4371" s="227" t="s">
        <v>1080</v>
      </c>
      <c r="F4371" s="227" t="s">
        <v>3000</v>
      </c>
    </row>
    <row r="4372" spans="1:6" x14ac:dyDescent="0.25">
      <c r="A4372" s="227" t="str">
        <f>TL[[#This Row],[Société]]&amp;" - "&amp;TL[[#This Row],[Compte]]</f>
        <v>HART - 467240</v>
      </c>
      <c r="B4372" s="233" t="s">
        <v>1723</v>
      </c>
      <c r="C4372" s="227" t="s">
        <v>1083</v>
      </c>
      <c r="F4372" s="227" t="s">
        <v>3000</v>
      </c>
    </row>
    <row r="4373" spans="1:6" x14ac:dyDescent="0.25">
      <c r="A4373" s="227" t="str">
        <f>TL[[#This Row],[Société]]&amp;" - "&amp;TL[[#This Row],[Compte]]</f>
        <v>HART - 467250</v>
      </c>
      <c r="B4373" s="233" t="s">
        <v>1859</v>
      </c>
      <c r="C4373" s="227" t="s">
        <v>1081</v>
      </c>
      <c r="F4373" s="227" t="s">
        <v>3000</v>
      </c>
    </row>
    <row r="4374" spans="1:6" x14ac:dyDescent="0.25">
      <c r="A4374" s="227" t="str">
        <f>TL[[#This Row],[Société]]&amp;" - "&amp;TL[[#This Row],[Compte]]</f>
        <v>HART - 467444</v>
      </c>
      <c r="B4374" s="233" t="s">
        <v>1865</v>
      </c>
      <c r="C4374" s="227" t="s">
        <v>590</v>
      </c>
      <c r="F4374" s="227" t="s">
        <v>3000</v>
      </c>
    </row>
    <row r="4375" spans="1:6" x14ac:dyDescent="0.25">
      <c r="A4375" s="227" t="str">
        <f>TL[[#This Row],[Société]]&amp;" - "&amp;TL[[#This Row],[Compte]]</f>
        <v>HART - 467480</v>
      </c>
      <c r="B4375" s="233" t="s">
        <v>6433</v>
      </c>
      <c r="C4375" s="227" t="s">
        <v>3152</v>
      </c>
      <c r="F4375" s="227" t="s">
        <v>3000</v>
      </c>
    </row>
    <row r="4376" spans="1:6" x14ac:dyDescent="0.25">
      <c r="A4376" s="227" t="str">
        <f>TL[[#This Row],[Société]]&amp;" - "&amp;TL[[#This Row],[Compte]]</f>
        <v>HART - 467490</v>
      </c>
      <c r="B4376" s="233" t="s">
        <v>6434</v>
      </c>
      <c r="C4376" s="227" t="s">
        <v>3003</v>
      </c>
      <c r="F4376" s="227" t="s">
        <v>3000</v>
      </c>
    </row>
    <row r="4377" spans="1:6" x14ac:dyDescent="0.25">
      <c r="A4377" s="227" t="str">
        <f>TL[[#This Row],[Société]]&amp;" - "&amp;TL[[#This Row],[Compte]]</f>
        <v>HART - 467500</v>
      </c>
      <c r="B4377" s="233" t="s">
        <v>1866</v>
      </c>
      <c r="C4377" s="227" t="s">
        <v>6435</v>
      </c>
      <c r="F4377" s="227" t="s">
        <v>3000</v>
      </c>
    </row>
    <row r="4378" spans="1:6" x14ac:dyDescent="0.25">
      <c r="A4378" s="227" t="str">
        <f>TL[[#This Row],[Société]]&amp;" - "&amp;TL[[#This Row],[Compte]]</f>
        <v>HART - 467555</v>
      </c>
      <c r="B4378" s="233" t="s">
        <v>1867</v>
      </c>
      <c r="C4378" s="227" t="s">
        <v>591</v>
      </c>
      <c r="F4378" s="227" t="s">
        <v>3000</v>
      </c>
    </row>
    <row r="4379" spans="1:6" x14ac:dyDescent="0.25">
      <c r="A4379" s="227" t="str">
        <f>TL[[#This Row],[Société]]&amp;" - "&amp;TL[[#This Row],[Compte]]</f>
        <v>HART - 467666</v>
      </c>
      <c r="B4379" s="233" t="s">
        <v>1868</v>
      </c>
      <c r="C4379" s="227" t="s">
        <v>593</v>
      </c>
      <c r="F4379" s="227" t="s">
        <v>3000</v>
      </c>
    </row>
    <row r="4380" spans="1:6" x14ac:dyDescent="0.25">
      <c r="A4380" s="227" t="str">
        <f>TL[[#This Row],[Société]]&amp;" - "&amp;TL[[#This Row],[Compte]]</f>
        <v>HART - 471000</v>
      </c>
      <c r="B4380" s="233" t="s">
        <v>1722</v>
      </c>
      <c r="C4380" s="227" t="s">
        <v>525</v>
      </c>
      <c r="F4380" s="227" t="s">
        <v>3000</v>
      </c>
    </row>
    <row r="4381" spans="1:6" x14ac:dyDescent="0.25">
      <c r="A4381" s="227" t="str">
        <f>TL[[#This Row],[Société]]&amp;" - "&amp;TL[[#This Row],[Compte]]</f>
        <v>HART - 486000</v>
      </c>
      <c r="B4381" s="233" t="s">
        <v>1694</v>
      </c>
      <c r="C4381" s="227" t="s">
        <v>1012</v>
      </c>
      <c r="F4381" s="227" t="s">
        <v>3000</v>
      </c>
    </row>
    <row r="4382" spans="1:6" x14ac:dyDescent="0.25">
      <c r="A4382" s="227" t="str">
        <f>TL[[#This Row],[Société]]&amp;" - "&amp;TL[[#This Row],[Compte]]</f>
        <v>HART - 486001</v>
      </c>
      <c r="B4382" s="233" t="s">
        <v>6436</v>
      </c>
      <c r="C4382" s="227" t="s">
        <v>6437</v>
      </c>
      <c r="F4382" s="227" t="s">
        <v>3000</v>
      </c>
    </row>
    <row r="4383" spans="1:6" x14ac:dyDescent="0.25">
      <c r="A4383" s="227" t="str">
        <f>TL[[#This Row],[Société]]&amp;" - "&amp;TL[[#This Row],[Compte]]</f>
        <v>HART - 486002</v>
      </c>
      <c r="B4383" s="233" t="s">
        <v>6438</v>
      </c>
      <c r="C4383" s="227" t="s">
        <v>6439</v>
      </c>
      <c r="F4383" s="227" t="s">
        <v>3000</v>
      </c>
    </row>
    <row r="4384" spans="1:6" x14ac:dyDescent="0.25">
      <c r="A4384" s="227" t="str">
        <f>TL[[#This Row],[Société]]&amp;" - "&amp;TL[[#This Row],[Compte]]</f>
        <v>HART - 486003</v>
      </c>
      <c r="B4384" s="233" t="s">
        <v>6440</v>
      </c>
      <c r="C4384" s="227" t="s">
        <v>6441</v>
      </c>
      <c r="F4384" s="227" t="s">
        <v>3000</v>
      </c>
    </row>
    <row r="4385" spans="1:6" x14ac:dyDescent="0.25">
      <c r="A4385" s="227" t="str">
        <f>TL[[#This Row],[Société]]&amp;" - "&amp;TL[[#This Row],[Compte]]</f>
        <v>HART - 486004</v>
      </c>
      <c r="B4385" s="233" t="s">
        <v>6442</v>
      </c>
      <c r="C4385" s="227" t="s">
        <v>6441</v>
      </c>
      <c r="F4385" s="227" t="s">
        <v>3000</v>
      </c>
    </row>
    <row r="4386" spans="1:6" x14ac:dyDescent="0.25">
      <c r="A4386" s="227" t="str">
        <f>TL[[#This Row],[Société]]&amp;" - "&amp;TL[[#This Row],[Compte]]</f>
        <v>HART - 486005</v>
      </c>
      <c r="B4386" s="233" t="s">
        <v>6443</v>
      </c>
      <c r="C4386" s="227" t="s">
        <v>6441</v>
      </c>
      <c r="F4386" s="227" t="s">
        <v>3000</v>
      </c>
    </row>
    <row r="4387" spans="1:6" x14ac:dyDescent="0.25">
      <c r="A4387" s="227" t="str">
        <f>TL[[#This Row],[Société]]&amp;" - "&amp;TL[[#This Row],[Compte]]</f>
        <v>HART - 486006</v>
      </c>
      <c r="B4387" s="233" t="s">
        <v>6444</v>
      </c>
      <c r="C4387" s="227" t="s">
        <v>6441</v>
      </c>
      <c r="F4387" s="227" t="s">
        <v>3000</v>
      </c>
    </row>
    <row r="4388" spans="1:6" x14ac:dyDescent="0.25">
      <c r="A4388" s="227" t="str">
        <f>TL[[#This Row],[Société]]&amp;" - "&amp;TL[[#This Row],[Compte]]</f>
        <v>HART - 486007</v>
      </c>
      <c r="B4388" s="233" t="s">
        <v>6445</v>
      </c>
      <c r="C4388" s="227" t="s">
        <v>6446</v>
      </c>
      <c r="F4388" s="227" t="s">
        <v>3000</v>
      </c>
    </row>
    <row r="4389" spans="1:6" x14ac:dyDescent="0.25">
      <c r="A4389" s="227" t="str">
        <f>TL[[#This Row],[Société]]&amp;" - "&amp;TL[[#This Row],[Compte]]</f>
        <v>HART - 486008</v>
      </c>
      <c r="B4389" s="233" t="s">
        <v>6447</v>
      </c>
      <c r="C4389" s="227" t="s">
        <v>6448</v>
      </c>
      <c r="F4389" s="227" t="s">
        <v>3000</v>
      </c>
    </row>
    <row r="4390" spans="1:6" x14ac:dyDescent="0.25">
      <c r="A4390" s="227" t="str">
        <f>TL[[#This Row],[Société]]&amp;" - "&amp;TL[[#This Row],[Compte]]</f>
        <v>HART - 487000</v>
      </c>
      <c r="B4390" s="233" t="s">
        <v>1871</v>
      </c>
      <c r="C4390" s="227" t="s">
        <v>595</v>
      </c>
      <c r="F4390" s="227" t="s">
        <v>3000</v>
      </c>
    </row>
    <row r="4391" spans="1:6" x14ac:dyDescent="0.25">
      <c r="A4391" s="227" t="str">
        <f>TL[[#This Row],[Société]]&amp;" - "&amp;TL[[#This Row],[Compte]]</f>
        <v>HART - 511200</v>
      </c>
      <c r="B4391" s="233" t="s">
        <v>3162</v>
      </c>
      <c r="C4391" s="227" t="s">
        <v>638</v>
      </c>
      <c r="F4391" s="227" t="s">
        <v>3000</v>
      </c>
    </row>
    <row r="4392" spans="1:6" x14ac:dyDescent="0.25">
      <c r="A4392" s="227" t="str">
        <f>TL[[#This Row],[Société]]&amp;" - "&amp;TL[[#This Row],[Compte]]</f>
        <v>HART - 511210</v>
      </c>
      <c r="B4392" s="233" t="s">
        <v>1876</v>
      </c>
      <c r="C4392" s="227" t="s">
        <v>6449</v>
      </c>
      <c r="F4392" s="227" t="s">
        <v>3000</v>
      </c>
    </row>
    <row r="4393" spans="1:6" x14ac:dyDescent="0.25">
      <c r="A4393" s="227" t="str">
        <f>TL[[#This Row],[Société]]&amp;" - "&amp;TL[[#This Row],[Compte]]</f>
        <v>HART - 511250</v>
      </c>
      <c r="B4393" s="233" t="s">
        <v>1881</v>
      </c>
      <c r="C4393" s="227" t="s">
        <v>825</v>
      </c>
      <c r="F4393" s="227" t="s">
        <v>3000</v>
      </c>
    </row>
    <row r="4394" spans="1:6" x14ac:dyDescent="0.25">
      <c r="A4394" s="227" t="str">
        <f>TL[[#This Row],[Société]]&amp;" - "&amp;TL[[#This Row],[Compte]]</f>
        <v>HART - 511251</v>
      </c>
      <c r="B4394" s="233" t="s">
        <v>1697</v>
      </c>
      <c r="C4394" s="227" t="s">
        <v>1391</v>
      </c>
      <c r="F4394" s="227" t="s">
        <v>3000</v>
      </c>
    </row>
    <row r="4395" spans="1:6" x14ac:dyDescent="0.25">
      <c r="A4395" s="227" t="str">
        <f>TL[[#This Row],[Société]]&amp;" - "&amp;TL[[#This Row],[Compte]]</f>
        <v>HART - 511252</v>
      </c>
      <c r="B4395" s="233" t="s">
        <v>1882</v>
      </c>
      <c r="C4395" s="227" t="s">
        <v>6450</v>
      </c>
      <c r="F4395" s="227" t="s">
        <v>3000</v>
      </c>
    </row>
    <row r="4396" spans="1:6" x14ac:dyDescent="0.25">
      <c r="A4396" s="227" t="str">
        <f>TL[[#This Row],[Société]]&amp;" - "&amp;TL[[#This Row],[Compte]]</f>
        <v>HART - 511260</v>
      </c>
      <c r="B4396" s="233" t="s">
        <v>1883</v>
      </c>
      <c r="C4396" s="227" t="s">
        <v>718</v>
      </c>
      <c r="F4396" s="227" t="s">
        <v>3000</v>
      </c>
    </row>
    <row r="4397" spans="1:6" x14ac:dyDescent="0.25">
      <c r="A4397" s="227" t="str">
        <f>TL[[#This Row],[Société]]&amp;" - "&amp;TL[[#This Row],[Compte]]</f>
        <v>HART - 511701</v>
      </c>
      <c r="B4397" s="233" t="s">
        <v>1700</v>
      </c>
      <c r="C4397" s="227" t="s">
        <v>6451</v>
      </c>
      <c r="F4397" s="227" t="s">
        <v>3000</v>
      </c>
    </row>
    <row r="4398" spans="1:6" x14ac:dyDescent="0.25">
      <c r="A4398" s="227" t="str">
        <f>TL[[#This Row],[Société]]&amp;" - "&amp;TL[[#This Row],[Compte]]</f>
        <v>HART - 512100</v>
      </c>
      <c r="B4398" s="233" t="s">
        <v>1886</v>
      </c>
      <c r="C4398" s="227" t="s">
        <v>1014</v>
      </c>
      <c r="F4398" s="227" t="s">
        <v>3000</v>
      </c>
    </row>
    <row r="4399" spans="1:6" x14ac:dyDescent="0.25">
      <c r="A4399" s="227" t="str">
        <f>TL[[#This Row],[Société]]&amp;" - "&amp;TL[[#This Row],[Compte]]</f>
        <v>HART - 512200</v>
      </c>
      <c r="B4399" s="233" t="s">
        <v>6273</v>
      </c>
      <c r="C4399" s="227" t="s">
        <v>6452</v>
      </c>
      <c r="F4399" s="227" t="s">
        <v>3000</v>
      </c>
    </row>
    <row r="4400" spans="1:6" x14ac:dyDescent="0.25">
      <c r="A4400" s="227" t="str">
        <f>TL[[#This Row],[Société]]&amp;" - "&amp;TL[[#This Row],[Compte]]</f>
        <v>HART - 518600</v>
      </c>
      <c r="B4400" s="233" t="s">
        <v>3182</v>
      </c>
      <c r="C4400" s="227" t="s">
        <v>6453</v>
      </c>
      <c r="F4400" s="227" t="s">
        <v>3000</v>
      </c>
    </row>
    <row r="4401" spans="1:6" x14ac:dyDescent="0.25">
      <c r="A4401" s="227" t="str">
        <f>TL[[#This Row],[Société]]&amp;" - "&amp;TL[[#This Row],[Compte]]</f>
        <v>HART - 530200</v>
      </c>
      <c r="B4401" s="233" t="s">
        <v>1704</v>
      </c>
      <c r="C4401" s="227" t="s">
        <v>725</v>
      </c>
      <c r="F4401" s="227" t="s">
        <v>3000</v>
      </c>
    </row>
    <row r="4402" spans="1:6" x14ac:dyDescent="0.25">
      <c r="A4402" s="227" t="str">
        <f>TL[[#This Row],[Société]]&amp;" - "&amp;TL[[#This Row],[Compte]]</f>
        <v>HART - 531000</v>
      </c>
      <c r="B4402" s="233" t="s">
        <v>1705</v>
      </c>
      <c r="C4402" s="227" t="s">
        <v>532</v>
      </c>
      <c r="F4402" s="227" t="s">
        <v>3000</v>
      </c>
    </row>
    <row r="4403" spans="1:6" x14ac:dyDescent="0.25">
      <c r="A4403" s="227" t="str">
        <f>TL[[#This Row],[Société]]&amp;" - "&amp;TL[[#This Row],[Compte]]</f>
        <v>HART - 581000</v>
      </c>
      <c r="B4403" s="233" t="s">
        <v>1890</v>
      </c>
      <c r="C4403" s="227" t="s">
        <v>6454</v>
      </c>
      <c r="F4403" s="227" t="s">
        <v>3000</v>
      </c>
    </row>
    <row r="4404" spans="1:6" x14ac:dyDescent="0.25">
      <c r="A4404" s="227" t="str">
        <f>TL[[#This Row],[Société]]&amp;" - "&amp;TL[[#This Row],[Compte]]</f>
        <v>HART - 583000</v>
      </c>
      <c r="B4404" s="233" t="s">
        <v>1891</v>
      </c>
      <c r="C4404" s="227" t="s">
        <v>728</v>
      </c>
      <c r="F4404" s="227" t="s">
        <v>3000</v>
      </c>
    </row>
    <row r="4405" spans="1:6" x14ac:dyDescent="0.25">
      <c r="A4405" s="227" t="str">
        <f>TL[[#This Row],[Société]]&amp;" - "&amp;TL[[#This Row],[Compte]]</f>
        <v>HART - 601100</v>
      </c>
      <c r="B4405" s="233" t="s">
        <v>1607</v>
      </c>
      <c r="C4405" s="227" t="s">
        <v>2211</v>
      </c>
      <c r="D4405" s="233" t="s">
        <v>0</v>
      </c>
      <c r="E4405" s="233" t="s">
        <v>7</v>
      </c>
      <c r="F4405" s="227" t="s">
        <v>3000</v>
      </c>
    </row>
    <row r="4406" spans="1:6" x14ac:dyDescent="0.25">
      <c r="A4406" s="227" t="str">
        <f>TL[[#This Row],[Société]]&amp;" - "&amp;TL[[#This Row],[Compte]]</f>
        <v>HART - 601102</v>
      </c>
      <c r="B4406" s="233" t="s">
        <v>1790</v>
      </c>
      <c r="C4406" s="227" t="s">
        <v>225</v>
      </c>
      <c r="D4406" s="233" t="s">
        <v>1</v>
      </c>
      <c r="E4406" s="233" t="s">
        <v>11</v>
      </c>
      <c r="F4406" s="227" t="s">
        <v>3000</v>
      </c>
    </row>
    <row r="4407" spans="1:6" x14ac:dyDescent="0.25">
      <c r="A4407" s="227" t="str">
        <f>TL[[#This Row],[Société]]&amp;" - "&amp;TL[[#This Row],[Compte]]</f>
        <v>HART - 601103</v>
      </c>
      <c r="B4407" s="233" t="s">
        <v>1789</v>
      </c>
      <c r="C4407" s="227" t="s">
        <v>160</v>
      </c>
      <c r="D4407" s="233" t="s">
        <v>3</v>
      </c>
      <c r="E4407" s="233" t="s">
        <v>9</v>
      </c>
      <c r="F4407" s="227" t="s">
        <v>3000</v>
      </c>
    </row>
    <row r="4408" spans="1:6" x14ac:dyDescent="0.25">
      <c r="A4408" s="227" t="str">
        <f>TL[[#This Row],[Société]]&amp;" - "&amp;TL[[#This Row],[Compte]]</f>
        <v>HART - 602201</v>
      </c>
      <c r="B4408" s="233" t="s">
        <v>1630</v>
      </c>
      <c r="C4408" s="227" t="s">
        <v>2212</v>
      </c>
      <c r="D4408" s="233" t="s">
        <v>7</v>
      </c>
      <c r="E4408" s="233" t="s">
        <v>0</v>
      </c>
      <c r="F4408" s="227" t="s">
        <v>3000</v>
      </c>
    </row>
    <row r="4409" spans="1:6" x14ac:dyDescent="0.25">
      <c r="A4409" s="227" t="str">
        <f>TL[[#This Row],[Société]]&amp;" - "&amp;TL[[#This Row],[Compte]]</f>
        <v>HART - 602202</v>
      </c>
      <c r="B4409" s="233" t="s">
        <v>1631</v>
      </c>
      <c r="C4409" s="227" t="s">
        <v>2213</v>
      </c>
      <c r="D4409" s="233" t="s">
        <v>150</v>
      </c>
      <c r="E4409" s="233" t="s">
        <v>147</v>
      </c>
      <c r="F4409" s="227" t="s">
        <v>3000</v>
      </c>
    </row>
    <row r="4410" spans="1:6" x14ac:dyDescent="0.25">
      <c r="A4410" s="227" t="str">
        <f>TL[[#This Row],[Société]]&amp;" - "&amp;TL[[#This Row],[Compte]]</f>
        <v>HART - 602600</v>
      </c>
      <c r="B4410" s="233" t="s">
        <v>3190</v>
      </c>
      <c r="C4410" s="227" t="s">
        <v>452</v>
      </c>
      <c r="D4410" s="233" t="s">
        <v>7</v>
      </c>
      <c r="E4410" s="233" t="s">
        <v>0</v>
      </c>
      <c r="F4410" s="227" t="s">
        <v>3000</v>
      </c>
    </row>
    <row r="4411" spans="1:6" x14ac:dyDescent="0.25">
      <c r="A4411" s="227" t="str">
        <f>TL[[#This Row],[Société]]&amp;" - "&amp;TL[[#This Row],[Compte]]</f>
        <v>HART - 602610</v>
      </c>
      <c r="B4411" s="233" t="s">
        <v>1634</v>
      </c>
      <c r="C4411" s="227" t="s">
        <v>161</v>
      </c>
      <c r="D4411" s="233" t="s">
        <v>23</v>
      </c>
      <c r="E4411" s="233" t="s">
        <v>2978</v>
      </c>
      <c r="F4411" s="227" t="s">
        <v>3000</v>
      </c>
    </row>
    <row r="4412" spans="1:6" x14ac:dyDescent="0.25">
      <c r="A4412" s="227" t="str">
        <f>TL[[#This Row],[Société]]&amp;" - "&amp;TL[[#This Row],[Compte]]</f>
        <v>HART - 603100</v>
      </c>
      <c r="B4412" s="233" t="s">
        <v>1780</v>
      </c>
      <c r="C4412" s="227" t="s">
        <v>2214</v>
      </c>
      <c r="D4412" s="233" t="s">
        <v>0</v>
      </c>
      <c r="E4412" s="233" t="s">
        <v>7</v>
      </c>
      <c r="F4412" s="227" t="s">
        <v>3000</v>
      </c>
    </row>
    <row r="4413" spans="1:6" x14ac:dyDescent="0.25">
      <c r="A4413" s="227" t="str">
        <f>TL[[#This Row],[Société]]&amp;" - "&amp;TL[[#This Row],[Compte]]</f>
        <v>HART - 603200</v>
      </c>
      <c r="B4413" s="233" t="s">
        <v>1781</v>
      </c>
      <c r="C4413" s="227" t="s">
        <v>2215</v>
      </c>
      <c r="D4413" s="233" t="s">
        <v>7</v>
      </c>
      <c r="E4413" s="233" t="s">
        <v>0</v>
      </c>
      <c r="F4413" s="227" t="s">
        <v>3000</v>
      </c>
    </row>
    <row r="4414" spans="1:6" x14ac:dyDescent="0.25">
      <c r="A4414" s="227" t="str">
        <f>TL[[#This Row],[Société]]&amp;" - "&amp;TL[[#This Row],[Compte]]</f>
        <v>HART - 603202</v>
      </c>
      <c r="B4414" s="233" t="s">
        <v>2830</v>
      </c>
      <c r="C4414" s="227" t="s">
        <v>2481</v>
      </c>
      <c r="D4414" s="233" t="s">
        <v>150</v>
      </c>
      <c r="E4414" s="233" t="s">
        <v>147</v>
      </c>
      <c r="F4414" s="227" t="s">
        <v>3000</v>
      </c>
    </row>
    <row r="4415" spans="1:6" x14ac:dyDescent="0.25">
      <c r="A4415" s="227" t="str">
        <f>TL[[#This Row],[Société]]&amp;" - "&amp;TL[[#This Row],[Compte]]</f>
        <v>HART - 603203</v>
      </c>
      <c r="B4415" s="233" t="s">
        <v>5836</v>
      </c>
      <c r="C4415" s="227" t="s">
        <v>6455</v>
      </c>
      <c r="D4415" s="233" t="s">
        <v>23</v>
      </c>
      <c r="E4415" s="233" t="s">
        <v>2978</v>
      </c>
      <c r="F4415" s="227" t="s">
        <v>3000</v>
      </c>
    </row>
    <row r="4416" spans="1:6" x14ac:dyDescent="0.25">
      <c r="A4416" s="227" t="str">
        <f>TL[[#This Row],[Société]]&amp;" - "&amp;TL[[#This Row],[Compte]]</f>
        <v>HART - 603227</v>
      </c>
      <c r="B4416" s="233" t="s">
        <v>5838</v>
      </c>
      <c r="C4416" s="227" t="s">
        <v>6419</v>
      </c>
      <c r="D4416" s="233" t="s">
        <v>18</v>
      </c>
      <c r="E4416" s="233" t="s">
        <v>32</v>
      </c>
      <c r="F4416" s="227" t="s">
        <v>3000</v>
      </c>
    </row>
    <row r="4417" spans="1:6" x14ac:dyDescent="0.25">
      <c r="A4417" s="227" t="str">
        <f>TL[[#This Row],[Société]]&amp;" - "&amp;TL[[#This Row],[Compte]]</f>
        <v>HART - 604000</v>
      </c>
      <c r="B4417" s="233" t="s">
        <v>4874</v>
      </c>
      <c r="C4417" s="227" t="s">
        <v>1020</v>
      </c>
      <c r="F4417" s="227" t="s">
        <v>3000</v>
      </c>
    </row>
    <row r="4418" spans="1:6" x14ac:dyDescent="0.25">
      <c r="A4418" s="227" t="str">
        <f>TL[[#This Row],[Société]]&amp;" - "&amp;TL[[#This Row],[Compte]]</f>
        <v>HART - 606110</v>
      </c>
      <c r="B4418" s="233" t="s">
        <v>2573</v>
      </c>
      <c r="C4418" s="227" t="s">
        <v>2217</v>
      </c>
      <c r="D4418" s="233" t="s">
        <v>27</v>
      </c>
      <c r="E4418" s="233" t="s">
        <v>34</v>
      </c>
      <c r="F4418" s="227" t="s">
        <v>3000</v>
      </c>
    </row>
    <row r="4419" spans="1:6" x14ac:dyDescent="0.25">
      <c r="A4419" s="227" t="str">
        <f>TL[[#This Row],[Société]]&amp;" - "&amp;TL[[#This Row],[Compte]]</f>
        <v>HART - 606120</v>
      </c>
      <c r="B4419" s="233" t="s">
        <v>2574</v>
      </c>
      <c r="C4419" s="227" t="s">
        <v>2482</v>
      </c>
      <c r="D4419" s="233" t="s">
        <v>27</v>
      </c>
      <c r="E4419" s="233" t="s">
        <v>34</v>
      </c>
      <c r="F4419" s="227" t="s">
        <v>3000</v>
      </c>
    </row>
    <row r="4420" spans="1:6" x14ac:dyDescent="0.25">
      <c r="A4420" s="227" t="str">
        <f>TL[[#This Row],[Société]]&amp;" - "&amp;TL[[#This Row],[Compte]]</f>
        <v>HART - 606130</v>
      </c>
      <c r="B4420" s="233" t="s">
        <v>2826</v>
      </c>
      <c r="C4420" s="227" t="s">
        <v>2221</v>
      </c>
      <c r="D4420" s="239" t="s">
        <v>50</v>
      </c>
      <c r="E4420" s="233" t="s">
        <v>52</v>
      </c>
      <c r="F4420" s="227" t="s">
        <v>3000</v>
      </c>
    </row>
    <row r="4421" spans="1:6" x14ac:dyDescent="0.25">
      <c r="A4421" s="227" t="str">
        <f>TL[[#This Row],[Société]]&amp;" - "&amp;TL[[#This Row],[Compte]]</f>
        <v>HART - 606140</v>
      </c>
      <c r="B4421" s="233" t="s">
        <v>4891</v>
      </c>
      <c r="C4421" s="227" t="s">
        <v>6456</v>
      </c>
      <c r="D4421" s="233" t="s">
        <v>27</v>
      </c>
      <c r="E4421" s="233" t="s">
        <v>34</v>
      </c>
      <c r="F4421" s="227" t="s">
        <v>3000</v>
      </c>
    </row>
    <row r="4422" spans="1:6" x14ac:dyDescent="0.25">
      <c r="A4422" s="227" t="str">
        <f>TL[[#This Row],[Société]]&amp;" - "&amp;TL[[#This Row],[Compte]]</f>
        <v>HART - 606300</v>
      </c>
      <c r="B4422" s="233" t="s">
        <v>1586</v>
      </c>
      <c r="C4422" s="227" t="s">
        <v>1153</v>
      </c>
      <c r="D4422" s="233" t="s">
        <v>25</v>
      </c>
      <c r="E4422" s="233" t="s">
        <v>23</v>
      </c>
      <c r="F4422" s="227" t="s">
        <v>3000</v>
      </c>
    </row>
    <row r="4423" spans="1:6" x14ac:dyDescent="0.25">
      <c r="A4423" s="227" t="str">
        <f>TL[[#This Row],[Société]]&amp;" - "&amp;TL[[#This Row],[Compte]]</f>
        <v>HART - 606301</v>
      </c>
      <c r="B4423" s="233" t="s">
        <v>1895</v>
      </c>
      <c r="C4423" s="227" t="s">
        <v>6457</v>
      </c>
      <c r="D4423" s="233" t="s">
        <v>25</v>
      </c>
      <c r="E4423" s="233" t="s">
        <v>2978</v>
      </c>
      <c r="F4423" s="227" t="s">
        <v>3000</v>
      </c>
    </row>
    <row r="4424" spans="1:6" x14ac:dyDescent="0.25">
      <c r="A4424" s="227" t="str">
        <f>TL[[#This Row],[Société]]&amp;" - "&amp;TL[[#This Row],[Compte]]</f>
        <v>HART - 606302</v>
      </c>
      <c r="B4424" s="233" t="s">
        <v>1616</v>
      </c>
      <c r="C4424" s="227" t="s">
        <v>2477</v>
      </c>
      <c r="D4424" s="233" t="s">
        <v>23</v>
      </c>
      <c r="E4424" s="233" t="s">
        <v>2978</v>
      </c>
      <c r="F4424" s="227" t="s">
        <v>3000</v>
      </c>
    </row>
    <row r="4425" spans="1:6" x14ac:dyDescent="0.25">
      <c r="A4425" s="227" t="str">
        <f>TL[[#This Row],[Société]]&amp;" - "&amp;TL[[#This Row],[Compte]]</f>
        <v>HART - 606303</v>
      </c>
      <c r="B4425" s="233" t="s">
        <v>1609</v>
      </c>
      <c r="C4425" s="227" t="s">
        <v>146</v>
      </c>
      <c r="D4425" s="233" t="s">
        <v>21</v>
      </c>
      <c r="E4425" s="233" t="s">
        <v>2982</v>
      </c>
      <c r="F4425" s="227" t="s">
        <v>3000</v>
      </c>
    </row>
    <row r="4426" spans="1:6" x14ac:dyDescent="0.25">
      <c r="A4426" s="227" t="str">
        <f>TL[[#This Row],[Société]]&amp;" - "&amp;TL[[#This Row],[Compte]]</f>
        <v>HART - 606320</v>
      </c>
      <c r="B4426" s="233" t="s">
        <v>4900</v>
      </c>
      <c r="C4426" s="227" t="s">
        <v>146</v>
      </c>
      <c r="D4426" s="233" t="s">
        <v>21</v>
      </c>
      <c r="E4426" s="233" t="s">
        <v>2982</v>
      </c>
      <c r="F4426" s="227" t="s">
        <v>3000</v>
      </c>
    </row>
    <row r="4427" spans="1:6" x14ac:dyDescent="0.25">
      <c r="A4427" s="227" t="str">
        <f>TL[[#This Row],[Société]]&amp;" - "&amp;TL[[#This Row],[Compte]]</f>
        <v>HART - 606401</v>
      </c>
      <c r="B4427" s="233" t="s">
        <v>1612</v>
      </c>
      <c r="C4427" s="227" t="s">
        <v>214</v>
      </c>
      <c r="D4427" s="233" t="s">
        <v>29</v>
      </c>
      <c r="E4427" s="233" t="s">
        <v>2978</v>
      </c>
      <c r="F4427" s="227" t="s">
        <v>3000</v>
      </c>
    </row>
    <row r="4428" spans="1:6" x14ac:dyDescent="0.25">
      <c r="A4428" s="227" t="str">
        <f>TL[[#This Row],[Société]]&amp;" - "&amp;TL[[#This Row],[Compte]]</f>
        <v>HART - 609100</v>
      </c>
      <c r="B4428" s="233" t="s">
        <v>1636</v>
      </c>
      <c r="C4428" s="227" t="s">
        <v>216</v>
      </c>
      <c r="D4428" s="233" t="s">
        <v>0</v>
      </c>
      <c r="E4428" s="233" t="s">
        <v>7</v>
      </c>
      <c r="F4428" s="227" t="s">
        <v>3000</v>
      </c>
    </row>
    <row r="4429" spans="1:6" x14ac:dyDescent="0.25">
      <c r="A4429" s="227" t="str">
        <f>TL[[#This Row],[Société]]&amp;" - "&amp;TL[[#This Row],[Compte]]</f>
        <v>HART - 611007</v>
      </c>
      <c r="B4429" s="233" t="s">
        <v>4948</v>
      </c>
      <c r="C4429" s="227" t="s">
        <v>6458</v>
      </c>
      <c r="D4429" s="233" t="s">
        <v>20</v>
      </c>
      <c r="E4429" s="233" t="s">
        <v>25</v>
      </c>
      <c r="F4429" s="227" t="s">
        <v>3000</v>
      </c>
    </row>
    <row r="4430" spans="1:6" x14ac:dyDescent="0.25">
      <c r="A4430" s="227" t="str">
        <f>TL[[#This Row],[Société]]&amp;" - "&amp;TL[[#This Row],[Compte]]</f>
        <v>HART - 611100</v>
      </c>
      <c r="B4430" s="233" t="s">
        <v>2746</v>
      </c>
      <c r="C4430" s="227" t="s">
        <v>1555</v>
      </c>
      <c r="D4430" s="233" t="s">
        <v>39</v>
      </c>
      <c r="E4430" s="233" t="s">
        <v>25</v>
      </c>
      <c r="F4430" s="227" t="s">
        <v>3000</v>
      </c>
    </row>
    <row r="4431" spans="1:6" x14ac:dyDescent="0.25">
      <c r="A4431" s="227" t="str">
        <f>TL[[#This Row],[Société]]&amp;" - "&amp;TL[[#This Row],[Compte]]</f>
        <v>HART - 613000</v>
      </c>
      <c r="B4431" s="233" t="s">
        <v>1904</v>
      </c>
      <c r="C4431" s="227" t="s">
        <v>607</v>
      </c>
      <c r="D4431" s="233" t="s">
        <v>20</v>
      </c>
      <c r="E4431" s="233" t="s">
        <v>25</v>
      </c>
      <c r="F4431" s="227" t="s">
        <v>3000</v>
      </c>
    </row>
    <row r="4432" spans="1:6" x14ac:dyDescent="0.25">
      <c r="A4432" s="227" t="str">
        <f>TL[[#This Row],[Société]]&amp;" - "&amp;TL[[#This Row],[Compte]]</f>
        <v>HART - 613200</v>
      </c>
      <c r="B4432" s="233" t="s">
        <v>1587</v>
      </c>
      <c r="C4432" s="227" t="s">
        <v>2483</v>
      </c>
      <c r="D4432" s="233" t="s">
        <v>35</v>
      </c>
      <c r="E4432" s="233" t="s">
        <v>2985</v>
      </c>
      <c r="F4432" s="227" t="s">
        <v>3000</v>
      </c>
    </row>
    <row r="4433" spans="1:6" x14ac:dyDescent="0.25">
      <c r="A4433" s="227" t="str">
        <f>TL[[#This Row],[Société]]&amp;" - "&amp;TL[[#This Row],[Compte]]</f>
        <v>HART - 613260</v>
      </c>
      <c r="B4433" s="233" t="s">
        <v>5857</v>
      </c>
      <c r="C4433" s="227" t="s">
        <v>6459</v>
      </c>
      <c r="D4433" s="233" t="s">
        <v>50</v>
      </c>
      <c r="E4433" s="233" t="s">
        <v>52</v>
      </c>
      <c r="F4433" s="227" t="s">
        <v>3000</v>
      </c>
    </row>
    <row r="4434" spans="1:6" x14ac:dyDescent="0.25">
      <c r="A4434" s="227" t="str">
        <f>TL[[#This Row],[Société]]&amp;" - "&amp;TL[[#This Row],[Compte]]</f>
        <v>HART - 613261</v>
      </c>
      <c r="B4434" s="233" t="s">
        <v>2827</v>
      </c>
      <c r="C4434" s="227" t="s">
        <v>2222</v>
      </c>
      <c r="D4434" s="233" t="s">
        <v>50</v>
      </c>
      <c r="E4434" s="233" t="s">
        <v>52</v>
      </c>
      <c r="F4434" s="227" t="s">
        <v>3000</v>
      </c>
    </row>
    <row r="4435" spans="1:6" x14ac:dyDescent="0.25">
      <c r="A4435" s="227" t="str">
        <f>TL[[#This Row],[Société]]&amp;" - "&amp;TL[[#This Row],[Compte]]</f>
        <v>HART - 613262</v>
      </c>
      <c r="B4435" s="233" t="s">
        <v>2549</v>
      </c>
      <c r="C4435" s="227" t="s">
        <v>2223</v>
      </c>
      <c r="D4435" s="233" t="s">
        <v>50</v>
      </c>
      <c r="E4435" s="233" t="s">
        <v>52</v>
      </c>
      <c r="F4435" s="227" t="s">
        <v>3000</v>
      </c>
    </row>
    <row r="4436" spans="1:6" x14ac:dyDescent="0.25">
      <c r="A4436" s="227" t="str">
        <f>TL[[#This Row],[Société]]&amp;" - "&amp;TL[[#This Row],[Compte]]</f>
        <v>HART - 613263</v>
      </c>
      <c r="B4436" s="233" t="s">
        <v>2596</v>
      </c>
      <c r="C4436" s="227" t="s">
        <v>6460</v>
      </c>
      <c r="D4436" s="233" t="s">
        <v>50</v>
      </c>
      <c r="E4436" s="233" t="s">
        <v>52</v>
      </c>
      <c r="F4436" s="227" t="s">
        <v>3000</v>
      </c>
    </row>
    <row r="4437" spans="1:6" x14ac:dyDescent="0.25">
      <c r="A4437" s="227" t="str">
        <f>TL[[#This Row],[Société]]&amp;" - "&amp;TL[[#This Row],[Compte]]</f>
        <v>HART - 613270</v>
      </c>
      <c r="B4437" s="233" t="s">
        <v>6461</v>
      </c>
      <c r="C4437" s="227" t="s">
        <v>6462</v>
      </c>
      <c r="D4437" s="233" t="s">
        <v>50</v>
      </c>
      <c r="E4437" s="233" t="s">
        <v>52</v>
      </c>
      <c r="F4437" s="227" t="s">
        <v>3000</v>
      </c>
    </row>
    <row r="4438" spans="1:6" x14ac:dyDescent="0.25">
      <c r="A4438" s="227" t="str">
        <f>TL[[#This Row],[Société]]&amp;" - "&amp;TL[[#This Row],[Compte]]</f>
        <v>HART - 613285</v>
      </c>
      <c r="B4438" s="233" t="s">
        <v>2598</v>
      </c>
      <c r="C4438" s="227" t="s">
        <v>2484</v>
      </c>
      <c r="D4438" s="233" t="s">
        <v>50</v>
      </c>
      <c r="E4438" s="233" t="s">
        <v>52</v>
      </c>
      <c r="F4438" s="227" t="s">
        <v>3000</v>
      </c>
    </row>
    <row r="4439" spans="1:6" x14ac:dyDescent="0.25">
      <c r="A4439" s="227" t="str">
        <f>TL[[#This Row],[Société]]&amp;" - "&amp;TL[[#This Row],[Compte]]</f>
        <v>HART - 613286</v>
      </c>
      <c r="B4439" s="233" t="s">
        <v>2599</v>
      </c>
      <c r="C4439" s="227" t="s">
        <v>2485</v>
      </c>
      <c r="D4439" s="233" t="s">
        <v>50</v>
      </c>
      <c r="E4439" s="233" t="s">
        <v>52</v>
      </c>
      <c r="F4439" s="227" t="s">
        <v>3000</v>
      </c>
    </row>
    <row r="4440" spans="1:6" x14ac:dyDescent="0.25">
      <c r="A4440" s="227" t="str">
        <f>TL[[#This Row],[Société]]&amp;" - "&amp;TL[[#This Row],[Compte]]</f>
        <v>HART - 613288</v>
      </c>
      <c r="B4440" s="233" t="s">
        <v>2601</v>
      </c>
      <c r="C4440" s="227" t="s">
        <v>6463</v>
      </c>
      <c r="D4440" s="233" t="s">
        <v>50</v>
      </c>
      <c r="E4440" s="233" t="s">
        <v>52</v>
      </c>
      <c r="F4440" s="227" t="s">
        <v>3000</v>
      </c>
    </row>
    <row r="4441" spans="1:6" x14ac:dyDescent="0.25">
      <c r="A4441" s="227" t="str">
        <f>TL[[#This Row],[Société]]&amp;" - "&amp;TL[[#This Row],[Compte]]</f>
        <v>HART - 613289</v>
      </c>
      <c r="B4441" s="233" t="s">
        <v>2828</v>
      </c>
      <c r="C4441" s="227" t="s">
        <v>2486</v>
      </c>
      <c r="D4441" s="233" t="s">
        <v>50</v>
      </c>
      <c r="E4441" s="233" t="s">
        <v>52</v>
      </c>
      <c r="F4441" s="227" t="s">
        <v>3000</v>
      </c>
    </row>
    <row r="4442" spans="1:6" x14ac:dyDescent="0.25">
      <c r="A4442" s="227" t="str">
        <f>TL[[#This Row],[Société]]&amp;" - "&amp;TL[[#This Row],[Compte]]</f>
        <v>HART - 613290</v>
      </c>
      <c r="B4442" s="233" t="s">
        <v>2829</v>
      </c>
      <c r="C4442" s="227" t="s">
        <v>2487</v>
      </c>
      <c r="D4442" s="233" t="s">
        <v>50</v>
      </c>
      <c r="E4442" s="233" t="s">
        <v>52</v>
      </c>
      <c r="F4442" s="227" t="s">
        <v>3000</v>
      </c>
    </row>
    <row r="4443" spans="1:6" x14ac:dyDescent="0.25">
      <c r="A4443" s="227" t="str">
        <f>TL[[#This Row],[Société]]&amp;" - "&amp;TL[[#This Row],[Compte]]</f>
        <v>HART - 613292</v>
      </c>
      <c r="B4443" s="233" t="s">
        <v>6464</v>
      </c>
      <c r="C4443" s="227" t="s">
        <v>6465</v>
      </c>
      <c r="D4443" s="233" t="s">
        <v>50</v>
      </c>
      <c r="E4443" s="233" t="s">
        <v>52</v>
      </c>
      <c r="F4443" s="227" t="s">
        <v>3000</v>
      </c>
    </row>
    <row r="4444" spans="1:6" x14ac:dyDescent="0.25">
      <c r="A4444" s="227" t="str">
        <f>TL[[#This Row],[Société]]&amp;" - "&amp;TL[[#This Row],[Compte]]</f>
        <v>HART - 613330</v>
      </c>
      <c r="B4444" s="233" t="s">
        <v>2550</v>
      </c>
      <c r="C4444" s="227" t="s">
        <v>219</v>
      </c>
      <c r="D4444" s="233" t="s">
        <v>20</v>
      </c>
      <c r="E4444" s="233" t="s">
        <v>25</v>
      </c>
      <c r="F4444" s="227" t="s">
        <v>3000</v>
      </c>
    </row>
    <row r="4445" spans="1:6" x14ac:dyDescent="0.25">
      <c r="A4445" s="227" t="str">
        <f>TL[[#This Row],[Société]]&amp;" - "&amp;TL[[#This Row],[Compte]]</f>
        <v>HART - 613350</v>
      </c>
      <c r="B4445" s="233" t="s">
        <v>2551</v>
      </c>
      <c r="C4445" s="227" t="s">
        <v>2488</v>
      </c>
      <c r="D4445" s="233" t="s">
        <v>20</v>
      </c>
      <c r="E4445" s="233" t="s">
        <v>25</v>
      </c>
      <c r="F4445" s="227" t="s">
        <v>3000</v>
      </c>
    </row>
    <row r="4446" spans="1:6" x14ac:dyDescent="0.25">
      <c r="A4446" s="227" t="str">
        <f>TL[[#This Row],[Société]]&amp;" - "&amp;TL[[#This Row],[Compte]]</f>
        <v>HART - 613360</v>
      </c>
      <c r="B4446" s="233" t="s">
        <v>2552</v>
      </c>
      <c r="C4446" s="227" t="s">
        <v>1568</v>
      </c>
      <c r="D4446" s="233" t="s">
        <v>20</v>
      </c>
      <c r="E4446" s="233" t="s">
        <v>25</v>
      </c>
      <c r="F4446" s="227" t="s">
        <v>3000</v>
      </c>
    </row>
    <row r="4447" spans="1:6" x14ac:dyDescent="0.25">
      <c r="A4447" s="227" t="str">
        <f>TL[[#This Row],[Société]]&amp;" - "&amp;TL[[#This Row],[Compte]]</f>
        <v>HART - 614100</v>
      </c>
      <c r="B4447" s="233" t="s">
        <v>1784</v>
      </c>
      <c r="C4447" s="227" t="s">
        <v>2228</v>
      </c>
      <c r="D4447" s="233" t="s">
        <v>42</v>
      </c>
      <c r="E4447" s="233" t="s">
        <v>40</v>
      </c>
      <c r="F4447" s="227" t="s">
        <v>3000</v>
      </c>
    </row>
    <row r="4448" spans="1:6" x14ac:dyDescent="0.25">
      <c r="A4448" s="227" t="str">
        <f>TL[[#This Row],[Société]]&amp;" - "&amp;TL[[#This Row],[Compte]]</f>
        <v>HART - 615200</v>
      </c>
      <c r="B4448" s="233" t="s">
        <v>1629</v>
      </c>
      <c r="C4448" s="227" t="s">
        <v>154</v>
      </c>
      <c r="D4448" s="233" t="s">
        <v>20</v>
      </c>
      <c r="E4448" s="233" t="s">
        <v>25</v>
      </c>
      <c r="F4448" s="227" t="s">
        <v>3000</v>
      </c>
    </row>
    <row r="4449" spans="1:6" x14ac:dyDescent="0.25">
      <c r="A4449" s="227" t="str">
        <f>TL[[#This Row],[Société]]&amp;" - "&amp;TL[[#This Row],[Compte]]</f>
        <v>HART - 615500</v>
      </c>
      <c r="B4449" s="233" t="s">
        <v>1589</v>
      </c>
      <c r="C4449" s="227" t="s">
        <v>6466</v>
      </c>
      <c r="D4449" s="233" t="s">
        <v>25</v>
      </c>
      <c r="E4449" s="233" t="s">
        <v>23</v>
      </c>
      <c r="F4449" s="227" t="s">
        <v>3000</v>
      </c>
    </row>
    <row r="4450" spans="1:6" x14ac:dyDescent="0.25">
      <c r="A4450" s="227" t="str">
        <f>TL[[#This Row],[Société]]&amp;" - "&amp;TL[[#This Row],[Compte]]</f>
        <v>HART - 615600</v>
      </c>
      <c r="B4450" s="233" t="s">
        <v>1627</v>
      </c>
      <c r="C4450" s="227" t="s">
        <v>2489</v>
      </c>
      <c r="D4450" s="233" t="s">
        <v>20</v>
      </c>
      <c r="E4450" s="233" t="s">
        <v>25</v>
      </c>
      <c r="F4450" s="227" t="s">
        <v>3000</v>
      </c>
    </row>
    <row r="4451" spans="1:6" x14ac:dyDescent="0.25">
      <c r="A4451" s="227" t="str">
        <f>TL[[#This Row],[Société]]&amp;" - "&amp;TL[[#This Row],[Compte]]</f>
        <v>HART - 615609</v>
      </c>
      <c r="B4451" s="233" t="s">
        <v>2553</v>
      </c>
      <c r="C4451" s="227" t="s">
        <v>2175</v>
      </c>
      <c r="D4451" s="233" t="s">
        <v>20</v>
      </c>
      <c r="E4451" s="233" t="s">
        <v>25</v>
      </c>
      <c r="F4451" s="227" t="s">
        <v>3000</v>
      </c>
    </row>
    <row r="4452" spans="1:6" x14ac:dyDescent="0.25">
      <c r="A4452" s="227" t="str">
        <f>TL[[#This Row],[Société]]&amp;" - "&amp;TL[[#This Row],[Compte]]</f>
        <v>HART - 615610</v>
      </c>
      <c r="B4452" s="233" t="s">
        <v>1779</v>
      </c>
      <c r="C4452" s="227" t="s">
        <v>234</v>
      </c>
      <c r="D4452" s="233" t="s">
        <v>20</v>
      </c>
      <c r="E4452" s="233" t="s">
        <v>25</v>
      </c>
      <c r="F4452" s="227" t="s">
        <v>3000</v>
      </c>
    </row>
    <row r="4453" spans="1:6" x14ac:dyDescent="0.25">
      <c r="A4453" s="227" t="str">
        <f>TL[[#This Row],[Société]]&amp;" - "&amp;TL[[#This Row],[Compte]]</f>
        <v>HART - 615612</v>
      </c>
      <c r="B4453" s="233" t="s">
        <v>1635</v>
      </c>
      <c r="C4453" s="227" t="s">
        <v>2480</v>
      </c>
      <c r="D4453" s="233" t="s">
        <v>20</v>
      </c>
      <c r="E4453" s="233" t="s">
        <v>25</v>
      </c>
      <c r="F4453" s="227" t="s">
        <v>3000</v>
      </c>
    </row>
    <row r="4454" spans="1:6" x14ac:dyDescent="0.25">
      <c r="A4454" s="227" t="str">
        <f>TL[[#This Row],[Société]]&amp;" - "&amp;TL[[#This Row],[Compte]]</f>
        <v>HART - 615615</v>
      </c>
      <c r="B4454" s="233" t="s">
        <v>1598</v>
      </c>
      <c r="C4454" s="227" t="s">
        <v>240</v>
      </c>
      <c r="D4454" s="233" t="s">
        <v>20</v>
      </c>
      <c r="E4454" s="233" t="s">
        <v>25</v>
      </c>
      <c r="F4454" s="227" t="s">
        <v>3000</v>
      </c>
    </row>
    <row r="4455" spans="1:6" x14ac:dyDescent="0.25">
      <c r="A4455" s="227" t="str">
        <f>TL[[#This Row],[Société]]&amp;" - "&amp;TL[[#This Row],[Compte]]</f>
        <v>HART - 615616</v>
      </c>
      <c r="B4455" s="233" t="s">
        <v>1625</v>
      </c>
      <c r="C4455" s="227" t="s">
        <v>229</v>
      </c>
      <c r="D4455" s="233" t="s">
        <v>20</v>
      </c>
      <c r="E4455" s="233" t="s">
        <v>25</v>
      </c>
      <c r="F4455" s="227" t="s">
        <v>3000</v>
      </c>
    </row>
    <row r="4456" spans="1:6" x14ac:dyDescent="0.25">
      <c r="A4456" s="227" t="str">
        <f>TL[[#This Row],[Société]]&amp;" - "&amp;TL[[#This Row],[Compte]]</f>
        <v>HART - 615619</v>
      </c>
      <c r="B4456" s="233" t="s">
        <v>1936</v>
      </c>
      <c r="C4456" s="227" t="s">
        <v>2490</v>
      </c>
      <c r="D4456" s="233" t="s">
        <v>20</v>
      </c>
      <c r="E4456" s="233" t="s">
        <v>18</v>
      </c>
      <c r="F4456" s="227" t="s">
        <v>3000</v>
      </c>
    </row>
    <row r="4457" spans="1:6" x14ac:dyDescent="0.25">
      <c r="A4457" s="227" t="str">
        <f>TL[[#This Row],[Société]]&amp;" - "&amp;TL[[#This Row],[Compte]]</f>
        <v>HART - 615621</v>
      </c>
      <c r="B4457" s="233" t="s">
        <v>1595</v>
      </c>
      <c r="C4457" s="227" t="s">
        <v>211</v>
      </c>
      <c r="D4457" s="233" t="s">
        <v>20</v>
      </c>
      <c r="E4457" s="233" t="s">
        <v>25</v>
      </c>
      <c r="F4457" s="227" t="s">
        <v>3000</v>
      </c>
    </row>
    <row r="4458" spans="1:6" x14ac:dyDescent="0.25">
      <c r="A4458" s="227" t="str">
        <f>TL[[#This Row],[Société]]&amp;" - "&amp;TL[[#This Row],[Compte]]</f>
        <v>HART - 615622</v>
      </c>
      <c r="B4458" s="233" t="s">
        <v>1614</v>
      </c>
      <c r="C4458" s="227" t="s">
        <v>242</v>
      </c>
      <c r="D4458" s="233" t="s">
        <v>20</v>
      </c>
      <c r="E4458" s="233" t="s">
        <v>25</v>
      </c>
      <c r="F4458" s="227" t="s">
        <v>3000</v>
      </c>
    </row>
    <row r="4459" spans="1:6" x14ac:dyDescent="0.25">
      <c r="A4459" s="227" t="str">
        <f>TL[[#This Row],[Société]]&amp;" - "&amp;TL[[#This Row],[Compte]]</f>
        <v>HART - 615624</v>
      </c>
      <c r="B4459" s="233" t="s">
        <v>1937</v>
      </c>
      <c r="C4459" s="227" t="s">
        <v>2231</v>
      </c>
      <c r="D4459" s="233" t="s">
        <v>20</v>
      </c>
      <c r="E4459" s="233" t="s">
        <v>25</v>
      </c>
      <c r="F4459" s="227" t="s">
        <v>3000</v>
      </c>
    </row>
    <row r="4460" spans="1:6" x14ac:dyDescent="0.25">
      <c r="A4460" s="227" t="str">
        <f>TL[[#This Row],[Société]]&amp;" - "&amp;TL[[#This Row],[Compte]]</f>
        <v>HART - 615626</v>
      </c>
      <c r="B4460" s="233" t="s">
        <v>1938</v>
      </c>
      <c r="C4460" s="227" t="s">
        <v>1401</v>
      </c>
      <c r="D4460" s="233" t="s">
        <v>20</v>
      </c>
      <c r="E4460" s="233" t="s">
        <v>25</v>
      </c>
      <c r="F4460" s="227" t="s">
        <v>3000</v>
      </c>
    </row>
    <row r="4461" spans="1:6" x14ac:dyDescent="0.25">
      <c r="A4461" s="227" t="str">
        <f>TL[[#This Row],[Société]]&amp;" - "&amp;TL[[#This Row],[Compte]]</f>
        <v>HART - 615629</v>
      </c>
      <c r="B4461" s="233" t="s">
        <v>1939</v>
      </c>
      <c r="C4461" s="227" t="s">
        <v>2778</v>
      </c>
      <c r="D4461" s="233" t="s">
        <v>20</v>
      </c>
      <c r="E4461" s="233" t="s">
        <v>20</v>
      </c>
      <c r="F4461" s="227" t="s">
        <v>3000</v>
      </c>
    </row>
    <row r="4462" spans="1:6" x14ac:dyDescent="0.25">
      <c r="A4462" s="227" t="str">
        <f>TL[[#This Row],[Société]]&amp;" - "&amp;TL[[#This Row],[Compte]]</f>
        <v>HART - 615632</v>
      </c>
      <c r="B4462" s="233" t="s">
        <v>1613</v>
      </c>
      <c r="C4462" s="227" t="s">
        <v>2233</v>
      </c>
      <c r="D4462" s="233" t="s">
        <v>20</v>
      </c>
      <c r="E4462" s="233" t="s">
        <v>25</v>
      </c>
      <c r="F4462" s="227" t="s">
        <v>3000</v>
      </c>
    </row>
    <row r="4463" spans="1:6" x14ac:dyDescent="0.25">
      <c r="A4463" s="227" t="str">
        <f>TL[[#This Row],[Société]]&amp;" - "&amp;TL[[#This Row],[Compte]]</f>
        <v>HART - 615633</v>
      </c>
      <c r="B4463" s="233" t="s">
        <v>1771</v>
      </c>
      <c r="C4463" s="227" t="s">
        <v>2234</v>
      </c>
      <c r="D4463" s="233" t="s">
        <v>20</v>
      </c>
      <c r="E4463" s="233" t="s">
        <v>20</v>
      </c>
      <c r="F4463" s="227" t="s">
        <v>3000</v>
      </c>
    </row>
    <row r="4464" spans="1:6" x14ac:dyDescent="0.25">
      <c r="A4464" s="227" t="str">
        <f>TL[[#This Row],[Société]]&amp;" - "&amp;TL[[#This Row],[Compte]]</f>
        <v>HART - 615634</v>
      </c>
      <c r="B4464" s="233" t="s">
        <v>1795</v>
      </c>
      <c r="C4464" s="227" t="s">
        <v>233</v>
      </c>
      <c r="D4464" s="233" t="s">
        <v>20</v>
      </c>
      <c r="E4464" s="233" t="s">
        <v>25</v>
      </c>
      <c r="F4464" s="227" t="s">
        <v>3000</v>
      </c>
    </row>
    <row r="4465" spans="1:6" x14ac:dyDescent="0.25">
      <c r="A4465" s="227" t="str">
        <f>TL[[#This Row],[Société]]&amp;" - "&amp;TL[[#This Row],[Compte]]</f>
        <v>HART - 615637</v>
      </c>
      <c r="B4465" s="233" t="s">
        <v>1628</v>
      </c>
      <c r="C4465" s="227" t="s">
        <v>2491</v>
      </c>
      <c r="D4465" s="233" t="s">
        <v>20</v>
      </c>
      <c r="E4465" s="233" t="s">
        <v>25</v>
      </c>
      <c r="F4465" s="227" t="s">
        <v>3000</v>
      </c>
    </row>
    <row r="4466" spans="1:6" x14ac:dyDescent="0.25">
      <c r="A4466" s="227" t="str">
        <f>TL[[#This Row],[Société]]&amp;" - "&amp;TL[[#This Row],[Compte]]</f>
        <v>HART - 615644</v>
      </c>
      <c r="B4466" s="233" t="s">
        <v>2822</v>
      </c>
      <c r="C4466" s="227" t="s">
        <v>2492</v>
      </c>
      <c r="D4466" s="233" t="s">
        <v>20</v>
      </c>
      <c r="E4466" s="233" t="s">
        <v>25</v>
      </c>
      <c r="F4466" s="227" t="s">
        <v>3000</v>
      </c>
    </row>
    <row r="4467" spans="1:6" x14ac:dyDescent="0.25">
      <c r="A4467" s="227" t="str">
        <f>TL[[#This Row],[Société]]&amp;" - "&amp;TL[[#This Row],[Compte]]</f>
        <v>HART - 615645</v>
      </c>
      <c r="B4467" s="233" t="s">
        <v>2554</v>
      </c>
      <c r="C4467" s="227" t="s">
        <v>2202</v>
      </c>
      <c r="D4467" s="233" t="s">
        <v>20</v>
      </c>
      <c r="E4467" s="233" t="s">
        <v>25</v>
      </c>
      <c r="F4467" s="227" t="s">
        <v>3000</v>
      </c>
    </row>
    <row r="4468" spans="1:6" x14ac:dyDescent="0.25">
      <c r="A4468" s="227" t="str">
        <f>TL[[#This Row],[Société]]&amp;" - "&amp;TL[[#This Row],[Compte]]</f>
        <v>HART - 615647</v>
      </c>
      <c r="B4468" s="233" t="s">
        <v>2555</v>
      </c>
      <c r="C4468" s="227" t="s">
        <v>2204</v>
      </c>
      <c r="D4468" s="233" t="s">
        <v>20</v>
      </c>
      <c r="E4468" s="233" t="s">
        <v>25</v>
      </c>
      <c r="F4468" s="227" t="s">
        <v>3000</v>
      </c>
    </row>
    <row r="4469" spans="1:6" x14ac:dyDescent="0.25">
      <c r="A4469" s="227" t="str">
        <f>TL[[#This Row],[Société]]&amp;" - "&amp;TL[[#This Row],[Compte]]</f>
        <v>HART - 615648</v>
      </c>
      <c r="B4469" s="233" t="s">
        <v>2823</v>
      </c>
      <c r="C4469" s="227" t="s">
        <v>2493</v>
      </c>
      <c r="D4469" s="233" t="s">
        <v>20</v>
      </c>
      <c r="E4469" s="233" t="s">
        <v>25</v>
      </c>
      <c r="F4469" s="227" t="s">
        <v>3000</v>
      </c>
    </row>
    <row r="4470" spans="1:6" x14ac:dyDescent="0.25">
      <c r="A4470" s="227" t="str">
        <f>TL[[#This Row],[Société]]&amp;" - "&amp;TL[[#This Row],[Compte]]</f>
        <v>HART - 615651</v>
      </c>
      <c r="B4470" s="233" t="s">
        <v>2556</v>
      </c>
      <c r="C4470" s="227" t="s">
        <v>2237</v>
      </c>
      <c r="D4470" s="233" t="s">
        <v>20</v>
      </c>
      <c r="E4470" s="233" t="s">
        <v>25</v>
      </c>
      <c r="F4470" s="227" t="s">
        <v>3000</v>
      </c>
    </row>
    <row r="4471" spans="1:6" x14ac:dyDescent="0.25">
      <c r="A4471" s="227" t="str">
        <f>TL[[#This Row],[Société]]&amp;" - "&amp;TL[[#This Row],[Compte]]</f>
        <v>HART - 615652</v>
      </c>
      <c r="B4471" s="233" t="s">
        <v>2557</v>
      </c>
      <c r="C4471" s="227" t="s">
        <v>2494</v>
      </c>
      <c r="D4471" s="233" t="s">
        <v>20</v>
      </c>
      <c r="E4471" s="233" t="s">
        <v>25</v>
      </c>
      <c r="F4471" s="227" t="s">
        <v>3000</v>
      </c>
    </row>
    <row r="4472" spans="1:6" x14ac:dyDescent="0.25">
      <c r="A4472" s="227" t="str">
        <f>TL[[#This Row],[Société]]&amp;" - "&amp;TL[[#This Row],[Compte]]</f>
        <v>HART - 615653</v>
      </c>
      <c r="B4472" s="233" t="s">
        <v>2558</v>
      </c>
      <c r="C4472" s="227" t="s">
        <v>2239</v>
      </c>
      <c r="D4472" s="233" t="s">
        <v>20</v>
      </c>
      <c r="E4472" s="233" t="s">
        <v>25</v>
      </c>
      <c r="F4472" s="227" t="s">
        <v>3000</v>
      </c>
    </row>
    <row r="4473" spans="1:6" x14ac:dyDescent="0.25">
      <c r="A4473" s="227" t="str">
        <f>TL[[#This Row],[Société]]&amp;" - "&amp;TL[[#This Row],[Compte]]</f>
        <v>HART - 615654</v>
      </c>
      <c r="B4473" s="233" t="s">
        <v>2559</v>
      </c>
      <c r="C4473" s="227" t="s">
        <v>1486</v>
      </c>
      <c r="D4473" s="233" t="s">
        <v>20</v>
      </c>
      <c r="E4473" s="233" t="s">
        <v>25</v>
      </c>
      <c r="F4473" s="227" t="s">
        <v>3000</v>
      </c>
    </row>
    <row r="4474" spans="1:6" x14ac:dyDescent="0.25">
      <c r="A4474" s="227" t="str">
        <f>TL[[#This Row],[Société]]&amp;" - "&amp;TL[[#This Row],[Compte]]</f>
        <v>HART - 615655</v>
      </c>
      <c r="B4474" s="233" t="s">
        <v>2560</v>
      </c>
      <c r="C4474" s="227" t="s">
        <v>2240</v>
      </c>
      <c r="D4474" s="233" t="s">
        <v>20</v>
      </c>
      <c r="E4474" s="233" t="s">
        <v>25</v>
      </c>
      <c r="F4474" s="227" t="s">
        <v>3000</v>
      </c>
    </row>
    <row r="4475" spans="1:6" x14ac:dyDescent="0.25">
      <c r="A4475" s="227" t="str">
        <f>TL[[#This Row],[Société]]&amp;" - "&amp;TL[[#This Row],[Compte]]</f>
        <v>HART - 615657</v>
      </c>
      <c r="B4475" s="233" t="s">
        <v>2562</v>
      </c>
      <c r="C4475" s="227" t="s">
        <v>2495</v>
      </c>
      <c r="D4475" s="233" t="s">
        <v>20</v>
      </c>
      <c r="E4475" s="233" t="s">
        <v>25</v>
      </c>
      <c r="F4475" s="227" t="s">
        <v>3000</v>
      </c>
    </row>
    <row r="4476" spans="1:6" x14ac:dyDescent="0.25">
      <c r="A4476" s="227" t="str">
        <f>TL[[#This Row],[Société]]&amp;" - "&amp;TL[[#This Row],[Compte]]</f>
        <v>HART - 615658</v>
      </c>
      <c r="B4476" s="233" t="s">
        <v>2563</v>
      </c>
      <c r="C4476" s="227" t="s">
        <v>2496</v>
      </c>
      <c r="D4476" s="233" t="s">
        <v>20</v>
      </c>
      <c r="E4476" s="233" t="s">
        <v>25</v>
      </c>
      <c r="F4476" s="227" t="s">
        <v>3000</v>
      </c>
    </row>
    <row r="4477" spans="1:6" x14ac:dyDescent="0.25">
      <c r="A4477" s="227" t="str">
        <f>TL[[#This Row],[Société]]&amp;" - "&amp;TL[[#This Row],[Compte]]</f>
        <v>HART - 615659</v>
      </c>
      <c r="B4477" s="233" t="s">
        <v>2564</v>
      </c>
      <c r="C4477" s="227" t="s">
        <v>614</v>
      </c>
      <c r="D4477" s="233" t="s">
        <v>20</v>
      </c>
      <c r="E4477" s="233" t="s">
        <v>25</v>
      </c>
      <c r="F4477" s="227" t="s">
        <v>3000</v>
      </c>
    </row>
    <row r="4478" spans="1:6" x14ac:dyDescent="0.25">
      <c r="A4478" s="227" t="str">
        <f>TL[[#This Row],[Société]]&amp;" - "&amp;TL[[#This Row],[Compte]]</f>
        <v>HART - 615661</v>
      </c>
      <c r="B4478" s="233" t="s">
        <v>2752</v>
      </c>
      <c r="C4478" s="227" t="s">
        <v>2497</v>
      </c>
      <c r="D4478" s="233" t="s">
        <v>20</v>
      </c>
      <c r="E4478" s="233" t="s">
        <v>25</v>
      </c>
      <c r="F4478" s="227" t="s">
        <v>3000</v>
      </c>
    </row>
    <row r="4479" spans="1:6" x14ac:dyDescent="0.25">
      <c r="A4479" s="227" t="str">
        <f>TL[[#This Row],[Société]]&amp;" - "&amp;TL[[#This Row],[Compte]]</f>
        <v>HART - 616001</v>
      </c>
      <c r="B4479" s="233" t="s">
        <v>1720</v>
      </c>
      <c r="C4479" s="227" t="s">
        <v>2498</v>
      </c>
      <c r="D4479" s="233" t="s">
        <v>40</v>
      </c>
      <c r="E4479" s="233" t="s">
        <v>45</v>
      </c>
      <c r="F4479" s="227" t="s">
        <v>3000</v>
      </c>
    </row>
    <row r="4480" spans="1:6" x14ac:dyDescent="0.25">
      <c r="A4480" s="227" t="str">
        <f>TL[[#This Row],[Société]]&amp;" - "&amp;TL[[#This Row],[Compte]]</f>
        <v>HART - 616002</v>
      </c>
      <c r="B4480" s="233" t="s">
        <v>1942</v>
      </c>
      <c r="C4480" s="227" t="s">
        <v>2244</v>
      </c>
      <c r="D4480" s="233" t="s">
        <v>40</v>
      </c>
      <c r="E4480" s="233" t="s">
        <v>45</v>
      </c>
      <c r="F4480" s="227" t="s">
        <v>3000</v>
      </c>
    </row>
    <row r="4481" spans="1:6" x14ac:dyDescent="0.25">
      <c r="A4481" s="227" t="str">
        <f>TL[[#This Row],[Société]]&amp;" - "&amp;TL[[#This Row],[Compte]]</f>
        <v>HART - 616100</v>
      </c>
      <c r="B4481" s="233" t="s">
        <v>5005</v>
      </c>
      <c r="C4481" s="227" t="s">
        <v>6467</v>
      </c>
      <c r="D4481" s="233" t="s">
        <v>40</v>
      </c>
      <c r="E4481" s="233" t="s">
        <v>45</v>
      </c>
      <c r="F4481" s="227" t="s">
        <v>3000</v>
      </c>
    </row>
    <row r="4482" spans="1:6" x14ac:dyDescent="0.25">
      <c r="A4482" s="227" t="str">
        <f>TL[[#This Row],[Société]]&amp;" - "&amp;TL[[#This Row],[Compte]]</f>
        <v>HART - 616200</v>
      </c>
      <c r="B4482" s="233" t="s">
        <v>2762</v>
      </c>
      <c r="C4482" s="227" t="s">
        <v>6468</v>
      </c>
      <c r="D4482" s="233" t="s">
        <v>40</v>
      </c>
      <c r="E4482" s="233" t="s">
        <v>45</v>
      </c>
      <c r="F4482" s="227" t="s">
        <v>3000</v>
      </c>
    </row>
    <row r="4483" spans="1:6" x14ac:dyDescent="0.25">
      <c r="A4483" s="227" t="str">
        <f>TL[[#This Row],[Société]]&amp;" - "&amp;TL[[#This Row],[Compte]]</f>
        <v>HART - 621013</v>
      </c>
      <c r="B4483" s="233" t="s">
        <v>3266</v>
      </c>
      <c r="C4483" s="227" t="s">
        <v>614</v>
      </c>
      <c r="D4483" s="233" t="s">
        <v>50</v>
      </c>
      <c r="F4483" s="227" t="s">
        <v>3000</v>
      </c>
    </row>
    <row r="4484" spans="1:6" x14ac:dyDescent="0.25">
      <c r="A4484" s="227" t="str">
        <f>TL[[#This Row],[Société]]&amp;" - "&amp;TL[[#This Row],[Compte]]</f>
        <v>HART - 621010</v>
      </c>
      <c r="B4484" s="233" t="s">
        <v>2540</v>
      </c>
      <c r="C4484" s="227" t="s">
        <v>6856</v>
      </c>
      <c r="D4484" s="233" t="s">
        <v>50</v>
      </c>
      <c r="E4484" s="233" t="s">
        <v>16</v>
      </c>
      <c r="F4484" s="227" t="s">
        <v>3000</v>
      </c>
    </row>
    <row r="4485" spans="1:6" x14ac:dyDescent="0.25">
      <c r="A4485" s="227" t="str">
        <f>TL[[#This Row],[Société]]&amp;" - "&amp;TL[[#This Row],[Compte]]</f>
        <v>HART - 621012</v>
      </c>
      <c r="B4485" s="233" t="s">
        <v>3265</v>
      </c>
      <c r="C4485" s="227" t="s">
        <v>6856</v>
      </c>
      <c r="D4485" s="233" t="s">
        <v>50</v>
      </c>
      <c r="E4485" s="233" t="s">
        <v>16</v>
      </c>
      <c r="F4485" s="227" t="s">
        <v>3000</v>
      </c>
    </row>
    <row r="4486" spans="1:6" x14ac:dyDescent="0.25">
      <c r="A4486" s="227" t="str">
        <f>TL[[#This Row],[Société]]&amp;" - "&amp;TL[[#This Row],[Compte]]</f>
        <v>HART - 641063</v>
      </c>
      <c r="B4486" s="233" t="s">
        <v>2521</v>
      </c>
      <c r="C4486" s="227" t="s">
        <v>33</v>
      </c>
      <c r="D4486" s="233" t="s">
        <v>12</v>
      </c>
      <c r="E4486" s="233" t="s">
        <v>3</v>
      </c>
      <c r="F4486" s="227" t="s">
        <v>3000</v>
      </c>
    </row>
    <row r="4487" spans="1:6" x14ac:dyDescent="0.25">
      <c r="A4487" s="227" t="str">
        <f>TL[[#This Row],[Société]]&amp;" - "&amp;TL[[#This Row],[Compte]]</f>
        <v>HART - 621401</v>
      </c>
      <c r="B4487" s="233" t="s">
        <v>1946</v>
      </c>
      <c r="C4487" s="227" t="s">
        <v>1200</v>
      </c>
      <c r="D4487" s="233" t="s">
        <v>12</v>
      </c>
      <c r="E4487" s="233" t="s">
        <v>3</v>
      </c>
      <c r="F4487" s="227" t="s">
        <v>3000</v>
      </c>
    </row>
    <row r="4488" spans="1:6" x14ac:dyDescent="0.25">
      <c r="A4488" s="227" t="str">
        <f>TL[[#This Row],[Société]]&amp;" - "&amp;TL[[#This Row],[Compte]]</f>
        <v>HART - 621402</v>
      </c>
      <c r="B4488" s="233" t="s">
        <v>1947</v>
      </c>
      <c r="C4488" s="227" t="s">
        <v>614</v>
      </c>
      <c r="D4488" s="233" t="s">
        <v>13</v>
      </c>
      <c r="F4488" s="227" t="s">
        <v>3000</v>
      </c>
    </row>
    <row r="4489" spans="1:6" x14ac:dyDescent="0.25">
      <c r="A4489" s="227" t="str">
        <f>TL[[#This Row],[Société]]&amp;" - "&amp;TL[[#This Row],[Compte]]</f>
        <v>HART - 621404</v>
      </c>
      <c r="B4489" s="233" t="s">
        <v>1615</v>
      </c>
      <c r="C4489" s="227" t="s">
        <v>2415</v>
      </c>
      <c r="D4489" s="233" t="s">
        <v>13</v>
      </c>
      <c r="E4489" s="233" t="s">
        <v>12</v>
      </c>
      <c r="F4489" s="227" t="s">
        <v>3000</v>
      </c>
    </row>
    <row r="4490" spans="1:6" x14ac:dyDescent="0.25">
      <c r="A4490" s="227" t="str">
        <f>TL[[#This Row],[Société]]&amp;" - "&amp;TL[[#This Row],[Compte]]</f>
        <v>HART - 621405</v>
      </c>
      <c r="B4490" s="233" t="s">
        <v>1603</v>
      </c>
      <c r="C4490" s="227" t="s">
        <v>2416</v>
      </c>
      <c r="D4490" s="233" t="s">
        <v>50</v>
      </c>
      <c r="E4490" s="233" t="s">
        <v>16</v>
      </c>
      <c r="F4490" s="227" t="s">
        <v>3000</v>
      </c>
    </row>
    <row r="4491" spans="1:6" x14ac:dyDescent="0.25">
      <c r="A4491" s="227" t="str">
        <f>TL[[#This Row],[Société]]&amp;" - "&amp;TL[[#This Row],[Compte]]</f>
        <v>HART - 621406</v>
      </c>
      <c r="B4491" s="233" t="s">
        <v>1948</v>
      </c>
      <c r="C4491" s="227" t="s">
        <v>614</v>
      </c>
      <c r="D4491" s="233" t="s">
        <v>50</v>
      </c>
      <c r="E4491" s="240" t="s">
        <v>16</v>
      </c>
      <c r="F4491" s="227" t="s">
        <v>3000</v>
      </c>
    </row>
    <row r="4492" spans="1:6" x14ac:dyDescent="0.25">
      <c r="A4492" s="227" t="str">
        <f>TL[[#This Row],[Société]]&amp;" - "&amp;TL[[#This Row],[Compte]]</f>
        <v>HART - 621407</v>
      </c>
      <c r="B4492" s="233" t="s">
        <v>6469</v>
      </c>
      <c r="C4492" s="227" t="s">
        <v>614</v>
      </c>
      <c r="D4492" s="233" t="s">
        <v>50</v>
      </c>
      <c r="E4492" s="240" t="s">
        <v>16</v>
      </c>
      <c r="F4492" s="227" t="s">
        <v>3000</v>
      </c>
    </row>
    <row r="4493" spans="1:6" x14ac:dyDescent="0.25">
      <c r="A4493" s="227" t="str">
        <f>TL[[#This Row],[Société]]&amp;" - "&amp;TL[[#This Row],[Compte]]</f>
        <v>HART - 622600</v>
      </c>
      <c r="B4493" s="233" t="s">
        <v>1622</v>
      </c>
      <c r="C4493" s="227" t="s">
        <v>1203</v>
      </c>
      <c r="D4493" s="233" t="s">
        <v>39</v>
      </c>
      <c r="E4493" s="233" t="s">
        <v>44</v>
      </c>
      <c r="F4493" s="227" t="s">
        <v>3000</v>
      </c>
    </row>
    <row r="4494" spans="1:6" x14ac:dyDescent="0.25">
      <c r="A4494" s="227" t="str">
        <f>TL[[#This Row],[Société]]&amp;" - "&amp;TL[[#This Row],[Compte]]</f>
        <v>HART - 622660</v>
      </c>
      <c r="B4494" s="233" t="s">
        <v>2589</v>
      </c>
      <c r="C4494" s="227" t="s">
        <v>162</v>
      </c>
      <c r="D4494" s="233" t="s">
        <v>39</v>
      </c>
      <c r="E4494" s="233" t="s">
        <v>44</v>
      </c>
      <c r="F4494" s="227" t="s">
        <v>3000</v>
      </c>
    </row>
    <row r="4495" spans="1:6" x14ac:dyDescent="0.25">
      <c r="A4495" s="227" t="str">
        <f>TL[[#This Row],[Société]]&amp;" - "&amp;TL[[#This Row],[Compte]]</f>
        <v>HART - 622700</v>
      </c>
      <c r="B4495" s="233" t="s">
        <v>1952</v>
      </c>
      <c r="C4495" s="227" t="s">
        <v>5897</v>
      </c>
      <c r="D4495" s="233" t="s">
        <v>39</v>
      </c>
      <c r="E4495" s="233" t="s">
        <v>44</v>
      </c>
      <c r="F4495" s="227" t="s">
        <v>3000</v>
      </c>
    </row>
    <row r="4496" spans="1:6" x14ac:dyDescent="0.25">
      <c r="A4496" s="227" t="str">
        <f>TL[[#This Row],[Société]]&amp;" - "&amp;TL[[#This Row],[Compte]]</f>
        <v>HART - 622800</v>
      </c>
      <c r="B4496" s="233" t="s">
        <v>1738</v>
      </c>
      <c r="C4496" s="227" t="s">
        <v>2499</v>
      </c>
      <c r="D4496" s="233" t="s">
        <v>39</v>
      </c>
      <c r="E4496" s="233" t="s">
        <v>44</v>
      </c>
      <c r="F4496" s="227" t="s">
        <v>3000</v>
      </c>
    </row>
    <row r="4497" spans="1:6" x14ac:dyDescent="0.25">
      <c r="A4497" s="227" t="str">
        <f>TL[[#This Row],[Société]]&amp;" - "&amp;TL[[#This Row],[Compte]]</f>
        <v>HART - 623000</v>
      </c>
      <c r="B4497" s="233" t="s">
        <v>1594</v>
      </c>
      <c r="C4497" s="227" t="s">
        <v>153</v>
      </c>
      <c r="D4497" s="233" t="s">
        <v>17</v>
      </c>
      <c r="E4497" s="233" t="s">
        <v>30</v>
      </c>
      <c r="F4497" s="227" t="s">
        <v>3000</v>
      </c>
    </row>
    <row r="4498" spans="1:6" x14ac:dyDescent="0.25">
      <c r="A4498" s="227" t="str">
        <f>TL[[#This Row],[Société]]&amp;" - "&amp;TL[[#This Row],[Compte]]</f>
        <v>HART - 623002</v>
      </c>
      <c r="B4498" s="233" t="s">
        <v>1596</v>
      </c>
      <c r="C4498" s="227" t="s">
        <v>6470</v>
      </c>
      <c r="D4498" s="233" t="s">
        <v>18</v>
      </c>
      <c r="E4498" s="233" t="s">
        <v>32</v>
      </c>
      <c r="F4498" s="227" t="s">
        <v>3000</v>
      </c>
    </row>
    <row r="4499" spans="1:6" x14ac:dyDescent="0.25">
      <c r="A4499" s="227" t="str">
        <f>TL[[#This Row],[Société]]&amp;" - "&amp;TL[[#This Row],[Compte]]</f>
        <v>HART - 623050</v>
      </c>
      <c r="B4499" s="233" t="s">
        <v>2570</v>
      </c>
      <c r="C4499" s="227" t="s">
        <v>2248</v>
      </c>
      <c r="D4499" s="233" t="s">
        <v>18</v>
      </c>
      <c r="E4499" s="233" t="s">
        <v>32</v>
      </c>
      <c r="F4499" s="227" t="s">
        <v>3000</v>
      </c>
    </row>
    <row r="4500" spans="1:6" x14ac:dyDescent="0.25">
      <c r="A4500" s="227" t="str">
        <f>TL[[#This Row],[Société]]&amp;" - "&amp;TL[[#This Row],[Compte]]</f>
        <v>HART - 623400</v>
      </c>
      <c r="B4500" s="233" t="s">
        <v>1601</v>
      </c>
      <c r="C4500" s="227" t="s">
        <v>228</v>
      </c>
      <c r="D4500" s="233" t="s">
        <v>18</v>
      </c>
      <c r="E4500" s="233" t="s">
        <v>32</v>
      </c>
      <c r="F4500" s="227" t="s">
        <v>3000</v>
      </c>
    </row>
    <row r="4501" spans="1:6" x14ac:dyDescent="0.25">
      <c r="A4501" s="227" t="str">
        <f>TL[[#This Row],[Société]]&amp;" - "&amp;TL[[#This Row],[Compte]]</f>
        <v>HART - 623401</v>
      </c>
      <c r="B4501" s="233" t="s">
        <v>1788</v>
      </c>
      <c r="C4501" s="227" t="s">
        <v>226</v>
      </c>
      <c r="D4501" s="233" t="s">
        <v>18</v>
      </c>
      <c r="E4501" s="233" t="s">
        <v>32</v>
      </c>
      <c r="F4501" s="227" t="s">
        <v>3000</v>
      </c>
    </row>
    <row r="4502" spans="1:6" x14ac:dyDescent="0.25">
      <c r="A4502" s="227" t="str">
        <f>TL[[#This Row],[Société]]&amp;" - "&amp;TL[[#This Row],[Compte]]</f>
        <v>HART - 623415</v>
      </c>
      <c r="B4502" s="233" t="s">
        <v>1633</v>
      </c>
      <c r="C4502" s="227" t="s">
        <v>2249</v>
      </c>
      <c r="D4502" s="233" t="s">
        <v>18</v>
      </c>
      <c r="E4502" s="233" t="s">
        <v>32</v>
      </c>
      <c r="F4502" s="227" t="s">
        <v>3000</v>
      </c>
    </row>
    <row r="4503" spans="1:6" x14ac:dyDescent="0.25">
      <c r="A4503" s="227" t="str">
        <f>TL[[#This Row],[Société]]&amp;" - "&amp;TL[[#This Row],[Compte]]</f>
        <v>HART - 625000</v>
      </c>
      <c r="B4503" s="233" t="s">
        <v>2130</v>
      </c>
      <c r="C4503" s="227" t="s">
        <v>2103</v>
      </c>
      <c r="F4503" s="227" t="s">
        <v>3000</v>
      </c>
    </row>
    <row r="4504" spans="1:6" x14ac:dyDescent="0.25">
      <c r="A4504" s="227" t="str">
        <f>TL[[#This Row],[Société]]&amp;" - "&amp;TL[[#This Row],[Compte]]</f>
        <v>HART - 625200</v>
      </c>
      <c r="B4504" s="233" t="s">
        <v>2579</v>
      </c>
      <c r="C4504" s="227" t="s">
        <v>6471</v>
      </c>
      <c r="D4504" s="233" t="s">
        <v>16</v>
      </c>
      <c r="E4504" s="233" t="s">
        <v>2979</v>
      </c>
      <c r="F4504" s="227" t="s">
        <v>3000</v>
      </c>
    </row>
    <row r="4505" spans="1:6" x14ac:dyDescent="0.25">
      <c r="A4505" s="227" t="str">
        <f>TL[[#This Row],[Société]]&amp;" - "&amp;TL[[#This Row],[Compte]]</f>
        <v>HART - 625210</v>
      </c>
      <c r="B4505" s="233" t="s">
        <v>5913</v>
      </c>
      <c r="C4505" s="227" t="s">
        <v>5914</v>
      </c>
      <c r="D4505" s="233" t="s">
        <v>50</v>
      </c>
      <c r="E4505" s="233" t="s">
        <v>52</v>
      </c>
      <c r="F4505" s="227" t="s">
        <v>3000</v>
      </c>
    </row>
    <row r="4506" spans="1:6" x14ac:dyDescent="0.25">
      <c r="A4506" s="227" t="str">
        <f>TL[[#This Row],[Société]]&amp;" - "&amp;TL[[#This Row],[Compte]]</f>
        <v>HART - 625701</v>
      </c>
      <c r="B4506" s="233" t="s">
        <v>1963</v>
      </c>
      <c r="C4506" s="227" t="s">
        <v>2824</v>
      </c>
      <c r="D4506" s="239" t="s">
        <v>32</v>
      </c>
      <c r="E4506" s="233" t="s">
        <v>2982</v>
      </c>
      <c r="F4506" s="227" t="s">
        <v>3000</v>
      </c>
    </row>
    <row r="4507" spans="1:6" x14ac:dyDescent="0.25">
      <c r="A4507" s="227" t="str">
        <f>TL[[#This Row],[Société]]&amp;" - "&amp;TL[[#This Row],[Compte]]</f>
        <v>HART - 626100</v>
      </c>
      <c r="B4507" s="233" t="s">
        <v>1967</v>
      </c>
      <c r="C4507" s="227" t="s">
        <v>170</v>
      </c>
      <c r="D4507" s="233" t="s">
        <v>27</v>
      </c>
      <c r="E4507" s="233" t="s">
        <v>34</v>
      </c>
      <c r="F4507" s="227" t="s">
        <v>3000</v>
      </c>
    </row>
    <row r="4508" spans="1:6" x14ac:dyDescent="0.25">
      <c r="A4508" s="227" t="str">
        <f>TL[[#This Row],[Société]]&amp;" - "&amp;TL[[#This Row],[Compte]]</f>
        <v>HART - 626200</v>
      </c>
      <c r="B4508" s="233" t="s">
        <v>1590</v>
      </c>
      <c r="C4508" s="227" t="s">
        <v>167</v>
      </c>
      <c r="D4508" s="233" t="s">
        <v>27</v>
      </c>
      <c r="E4508" s="233" t="s">
        <v>34</v>
      </c>
      <c r="F4508" s="227" t="s">
        <v>3000</v>
      </c>
    </row>
    <row r="4509" spans="1:6" x14ac:dyDescent="0.25">
      <c r="A4509" s="227" t="str">
        <f>TL[[#This Row],[Société]]&amp;" - "&amp;TL[[#This Row],[Compte]]</f>
        <v>HART - 627801</v>
      </c>
      <c r="B4509" s="233" t="s">
        <v>1711</v>
      </c>
      <c r="C4509" s="227" t="s">
        <v>2460</v>
      </c>
      <c r="D4509" s="233" t="s">
        <v>47</v>
      </c>
      <c r="E4509" s="233" t="s">
        <v>21</v>
      </c>
      <c r="F4509" s="227" t="s">
        <v>3000</v>
      </c>
    </row>
    <row r="4510" spans="1:6" x14ac:dyDescent="0.25">
      <c r="A4510" s="227" t="str">
        <f>TL[[#This Row],[Société]]&amp;" - "&amp;TL[[#This Row],[Compte]]</f>
        <v>HART - 627802</v>
      </c>
      <c r="B4510" s="233" t="s">
        <v>1600</v>
      </c>
      <c r="C4510" s="227" t="s">
        <v>238</v>
      </c>
      <c r="D4510" s="233" t="s">
        <v>47</v>
      </c>
      <c r="E4510" s="233" t="s">
        <v>21</v>
      </c>
      <c r="F4510" s="227" t="s">
        <v>3000</v>
      </c>
    </row>
    <row r="4511" spans="1:6" x14ac:dyDescent="0.25">
      <c r="A4511" s="227" t="str">
        <f>TL[[#This Row],[Société]]&amp;" - "&amp;TL[[#This Row],[Compte]]</f>
        <v>HART - 627803</v>
      </c>
      <c r="B4511" s="233" t="s">
        <v>1716</v>
      </c>
      <c r="C4511" s="227" t="s">
        <v>263</v>
      </c>
      <c r="D4511" s="233" t="s">
        <v>47</v>
      </c>
      <c r="E4511" s="233" t="s">
        <v>21</v>
      </c>
      <c r="F4511" s="227" t="s">
        <v>3000</v>
      </c>
    </row>
    <row r="4512" spans="1:6" x14ac:dyDescent="0.25">
      <c r="A4512" s="227" t="str">
        <f>TL[[#This Row],[Société]]&amp;" - "&amp;TL[[#This Row],[Compte]]</f>
        <v>HART - 627805</v>
      </c>
      <c r="B4512" s="233" t="s">
        <v>1714</v>
      </c>
      <c r="C4512" s="227" t="s">
        <v>244</v>
      </c>
      <c r="D4512" s="233" t="s">
        <v>47</v>
      </c>
      <c r="E4512" s="233" t="s">
        <v>21</v>
      </c>
      <c r="F4512" s="227" t="s">
        <v>3000</v>
      </c>
    </row>
    <row r="4513" spans="1:6" x14ac:dyDescent="0.25">
      <c r="A4513" s="227" t="str">
        <f>TL[[#This Row],[Société]]&amp;" - "&amp;TL[[#This Row],[Compte]]</f>
        <v>HART - 628023</v>
      </c>
      <c r="B4513" s="233" t="s">
        <v>1974</v>
      </c>
      <c r="C4513" s="227" t="s">
        <v>2252</v>
      </c>
      <c r="D4513" s="233" t="s">
        <v>32</v>
      </c>
      <c r="E4513" s="233" t="s">
        <v>2982</v>
      </c>
      <c r="F4513" s="227" t="s">
        <v>3000</v>
      </c>
    </row>
    <row r="4514" spans="1:6" x14ac:dyDescent="0.25">
      <c r="A4514" s="227" t="str">
        <f>TL[[#This Row],[Société]]&amp;" - "&amp;TL[[#This Row],[Compte]]</f>
        <v>HART - 628220</v>
      </c>
      <c r="B4514" s="233" t="s">
        <v>2605</v>
      </c>
      <c r="C4514" s="227" t="s">
        <v>614</v>
      </c>
      <c r="D4514" s="233" t="s">
        <v>147</v>
      </c>
      <c r="E4514" s="240" t="s">
        <v>288</v>
      </c>
      <c r="F4514" s="227" t="s">
        <v>3000</v>
      </c>
    </row>
    <row r="4515" spans="1:6" x14ac:dyDescent="0.25">
      <c r="A4515" s="227" t="str">
        <f>TL[[#This Row],[Société]]&amp;" - "&amp;TL[[#This Row],[Compte]]</f>
        <v>HART - 628230</v>
      </c>
      <c r="B4515" s="233" t="s">
        <v>6343</v>
      </c>
      <c r="C4515" s="227" t="s">
        <v>6472</v>
      </c>
      <c r="D4515" s="233" t="s">
        <v>147</v>
      </c>
      <c r="E4515" s="233" t="s">
        <v>288</v>
      </c>
      <c r="F4515" s="227" t="s">
        <v>3000</v>
      </c>
    </row>
    <row r="4516" spans="1:6" x14ac:dyDescent="0.25">
      <c r="A4516" s="227" t="str">
        <f>TL[[#This Row],[Société]]&amp;" - "&amp;TL[[#This Row],[Compte]]</f>
        <v>HART - 628300</v>
      </c>
      <c r="B4516" s="233" t="s">
        <v>1619</v>
      </c>
      <c r="C4516" s="227" t="s">
        <v>2479</v>
      </c>
      <c r="D4516" s="233" t="s">
        <v>147</v>
      </c>
      <c r="E4516" s="233" t="s">
        <v>288</v>
      </c>
      <c r="F4516" s="227" t="s">
        <v>3000</v>
      </c>
    </row>
    <row r="4517" spans="1:6" x14ac:dyDescent="0.25">
      <c r="A4517" s="227" t="str">
        <f>TL[[#This Row],[Société]]&amp;" - "&amp;TL[[#This Row],[Compte]]</f>
        <v>HART - 628320</v>
      </c>
      <c r="B4517" s="233" t="s">
        <v>1791</v>
      </c>
      <c r="C4517" s="227" t="s">
        <v>2141</v>
      </c>
      <c r="D4517" s="233" t="s">
        <v>147</v>
      </c>
      <c r="E4517" s="233" t="s">
        <v>288</v>
      </c>
      <c r="F4517" s="227" t="s">
        <v>3000</v>
      </c>
    </row>
    <row r="4518" spans="1:6" x14ac:dyDescent="0.25">
      <c r="A4518" s="227" t="str">
        <f>TL[[#This Row],[Société]]&amp;" - "&amp;TL[[#This Row],[Compte]]</f>
        <v>HART - 628400</v>
      </c>
      <c r="B4518" s="233" t="s">
        <v>1623</v>
      </c>
      <c r="C4518" s="227" t="s">
        <v>2254</v>
      </c>
      <c r="D4518" s="233" t="s">
        <v>16</v>
      </c>
      <c r="E4518" s="233" t="s">
        <v>25</v>
      </c>
      <c r="F4518" s="227" t="s">
        <v>3000</v>
      </c>
    </row>
    <row r="4519" spans="1:6" x14ac:dyDescent="0.25">
      <c r="A4519" s="227" t="str">
        <f>TL[[#This Row],[Société]]&amp;" - "&amp;TL[[#This Row],[Compte]]</f>
        <v>HART - 631200</v>
      </c>
      <c r="B4519" s="233" t="s">
        <v>5117</v>
      </c>
      <c r="C4519" s="227" t="s">
        <v>6473</v>
      </c>
      <c r="D4519" s="233" t="s">
        <v>42</v>
      </c>
      <c r="E4519" s="233" t="s">
        <v>47</v>
      </c>
      <c r="F4519" s="227" t="s">
        <v>3000</v>
      </c>
    </row>
    <row r="4520" spans="1:6" x14ac:dyDescent="0.25">
      <c r="A4520" s="227" t="str">
        <f>TL[[#This Row],[Société]]&amp;" - "&amp;TL[[#This Row],[Compte]]</f>
        <v>HART - 631310</v>
      </c>
      <c r="B4520" s="233" t="s">
        <v>5935</v>
      </c>
      <c r="C4520" s="227" t="s">
        <v>2256</v>
      </c>
      <c r="D4520" s="233" t="s">
        <v>42</v>
      </c>
      <c r="E4520" s="233" t="s">
        <v>47</v>
      </c>
      <c r="F4520" s="227" t="s">
        <v>3000</v>
      </c>
    </row>
    <row r="4521" spans="1:6" x14ac:dyDescent="0.25">
      <c r="A4521" s="227" t="str">
        <f>TL[[#This Row],[Société]]&amp;" - "&amp;TL[[#This Row],[Compte]]</f>
        <v>HART - 633300</v>
      </c>
      <c r="B4521" s="233" t="s">
        <v>1730</v>
      </c>
      <c r="C4521" s="227" t="s">
        <v>2398</v>
      </c>
      <c r="D4521" s="233" t="s">
        <v>42</v>
      </c>
      <c r="E4521" s="233" t="s">
        <v>47</v>
      </c>
      <c r="F4521" s="227" t="s">
        <v>3000</v>
      </c>
    </row>
    <row r="4522" spans="1:6" x14ac:dyDescent="0.25">
      <c r="A4522" s="227" t="str">
        <f>TL[[#This Row],[Société]]&amp;" - "&amp;TL[[#This Row],[Compte]]</f>
        <v>HART - 633400</v>
      </c>
      <c r="B4522" s="233" t="s">
        <v>1976</v>
      </c>
      <c r="C4522" s="227" t="s">
        <v>220</v>
      </c>
      <c r="D4522" s="233" t="s">
        <v>42</v>
      </c>
      <c r="E4522" s="233" t="s">
        <v>47</v>
      </c>
      <c r="F4522" s="227" t="s">
        <v>3000</v>
      </c>
    </row>
    <row r="4523" spans="1:6" x14ac:dyDescent="0.25">
      <c r="A4523" s="227" t="str">
        <f>TL[[#This Row],[Société]]&amp;" - "&amp;TL[[#This Row],[Compte]]</f>
        <v>HART - 633500</v>
      </c>
      <c r="B4523" s="233" t="s">
        <v>1729</v>
      </c>
      <c r="C4523" s="227" t="s">
        <v>331</v>
      </c>
      <c r="D4523" s="233" t="s">
        <v>42</v>
      </c>
      <c r="E4523" s="233" t="s">
        <v>47</v>
      </c>
      <c r="F4523" s="227" t="s">
        <v>3000</v>
      </c>
    </row>
    <row r="4524" spans="1:6" x14ac:dyDescent="0.25">
      <c r="A4524" s="227" t="str">
        <f>TL[[#This Row],[Société]]&amp;" - "&amp;TL[[#This Row],[Compte]]</f>
        <v>HART - 635111</v>
      </c>
      <c r="B4524" s="233" t="s">
        <v>1786</v>
      </c>
      <c r="C4524" s="227" t="s">
        <v>168</v>
      </c>
      <c r="D4524" s="233" t="s">
        <v>42</v>
      </c>
      <c r="E4524" s="233" t="s">
        <v>47</v>
      </c>
      <c r="F4524" s="227" t="s">
        <v>3000</v>
      </c>
    </row>
    <row r="4525" spans="1:6" x14ac:dyDescent="0.25">
      <c r="A4525" s="227" t="str">
        <f>TL[[#This Row],[Société]]&amp;" - "&amp;TL[[#This Row],[Compte]]</f>
        <v>HART - 635112</v>
      </c>
      <c r="B4525" s="233" t="s">
        <v>1732</v>
      </c>
      <c r="C4525" s="227" t="s">
        <v>165</v>
      </c>
      <c r="D4525" s="233" t="s">
        <v>42</v>
      </c>
      <c r="E4525" s="233" t="s">
        <v>47</v>
      </c>
      <c r="F4525" s="227" t="s">
        <v>3000</v>
      </c>
    </row>
    <row r="4526" spans="1:6" x14ac:dyDescent="0.25">
      <c r="A4526" s="227" t="str">
        <f>TL[[#This Row],[Société]]&amp;" - "&amp;TL[[#This Row],[Compte]]</f>
        <v>HART - 635120</v>
      </c>
      <c r="B4526" s="233" t="s">
        <v>5135</v>
      </c>
      <c r="C4526" s="227" t="s">
        <v>765</v>
      </c>
      <c r="D4526" s="233" t="s">
        <v>42</v>
      </c>
      <c r="E4526" s="233" t="s">
        <v>47</v>
      </c>
      <c r="F4526" s="227" t="s">
        <v>3000</v>
      </c>
    </row>
    <row r="4527" spans="1:6" x14ac:dyDescent="0.25">
      <c r="A4527" s="227" t="str">
        <f>TL[[#This Row],[Société]]&amp;" - "&amp;TL[[#This Row],[Compte]]</f>
        <v>HART - 635210</v>
      </c>
      <c r="B4527" s="233" t="s">
        <v>5937</v>
      </c>
      <c r="C4527" s="227" t="s">
        <v>614</v>
      </c>
      <c r="D4527" s="233" t="s">
        <v>71</v>
      </c>
      <c r="E4527" s="233" t="s">
        <v>47</v>
      </c>
      <c r="F4527" s="227" t="s">
        <v>3000</v>
      </c>
    </row>
    <row r="4528" spans="1:6" x14ac:dyDescent="0.25">
      <c r="A4528" s="227" t="str">
        <f>TL[[#This Row],[Société]]&amp;" - "&amp;TL[[#This Row],[Compte]]</f>
        <v>HART - 635211</v>
      </c>
      <c r="B4528" s="233" t="s">
        <v>2815</v>
      </c>
      <c r="C4528" s="227" t="s">
        <v>2176</v>
      </c>
      <c r="D4528" s="233" t="s">
        <v>71</v>
      </c>
      <c r="E4528" s="233" t="s">
        <v>7</v>
      </c>
      <c r="F4528" s="227" t="s">
        <v>3000</v>
      </c>
    </row>
    <row r="4529" spans="1:6" x14ac:dyDescent="0.25">
      <c r="A4529" s="227" t="str">
        <f>TL[[#This Row],[Société]]&amp;" - "&amp;TL[[#This Row],[Compte]]</f>
        <v>HART - 637300</v>
      </c>
      <c r="B4529" s="233" t="s">
        <v>1777</v>
      </c>
      <c r="C4529" s="227" t="s">
        <v>2256</v>
      </c>
      <c r="D4529" s="233" t="s">
        <v>42</v>
      </c>
      <c r="E4529" s="233" t="s">
        <v>47</v>
      </c>
      <c r="F4529" s="227" t="s">
        <v>3000</v>
      </c>
    </row>
    <row r="4530" spans="1:6" x14ac:dyDescent="0.25">
      <c r="A4530" s="227" t="str">
        <f>TL[[#This Row],[Société]]&amp;" - "&amp;TL[[#This Row],[Compte]]</f>
        <v>HART - 637400</v>
      </c>
      <c r="B4530" s="233" t="s">
        <v>2515</v>
      </c>
      <c r="C4530" s="227" t="s">
        <v>2176</v>
      </c>
      <c r="D4530" s="233" t="s">
        <v>71</v>
      </c>
      <c r="E4530" s="233" t="s">
        <v>47</v>
      </c>
      <c r="F4530" s="227" t="s">
        <v>3000</v>
      </c>
    </row>
    <row r="4531" spans="1:6" x14ac:dyDescent="0.25">
      <c r="A4531" s="227" t="str">
        <f>TL[[#This Row],[Société]]&amp;" - "&amp;TL[[#This Row],[Compte]]</f>
        <v>HART - 637800</v>
      </c>
      <c r="B4531" s="233" t="s">
        <v>1989</v>
      </c>
      <c r="C4531" s="227" t="s">
        <v>773</v>
      </c>
      <c r="F4531" s="227" t="s">
        <v>3000</v>
      </c>
    </row>
    <row r="4532" spans="1:6" x14ac:dyDescent="0.25">
      <c r="A4532" s="227" t="str">
        <f>TL[[#This Row],[Société]]&amp;" - "&amp;TL[[#This Row],[Compte]]</f>
        <v>HART - 641020</v>
      </c>
      <c r="B4532" s="233" t="s">
        <v>2530</v>
      </c>
      <c r="C4532" s="227" t="s">
        <v>6474</v>
      </c>
      <c r="D4532" s="233" t="s">
        <v>13</v>
      </c>
      <c r="E4532" s="233" t="s">
        <v>12</v>
      </c>
      <c r="F4532" s="227" t="s">
        <v>3000</v>
      </c>
    </row>
    <row r="4533" spans="1:6" x14ac:dyDescent="0.25">
      <c r="A4533" s="227" t="str">
        <f>TL[[#This Row],[Société]]&amp;" - "&amp;TL[[#This Row],[Compte]]</f>
        <v>HART - 641030</v>
      </c>
      <c r="B4533" s="233" t="s">
        <v>2520</v>
      </c>
      <c r="C4533" s="227" t="s">
        <v>6475</v>
      </c>
      <c r="D4533" s="233" t="s">
        <v>12</v>
      </c>
      <c r="E4533" s="233" t="s">
        <v>3</v>
      </c>
      <c r="F4533" s="227" t="s">
        <v>3000</v>
      </c>
    </row>
    <row r="4534" spans="1:6" x14ac:dyDescent="0.25">
      <c r="A4534" s="227" t="str">
        <f>TL[[#This Row],[Société]]&amp;" - "&amp;TL[[#This Row],[Compte]]</f>
        <v>HART - 641100</v>
      </c>
      <c r="B4534" s="233" t="s">
        <v>5157</v>
      </c>
      <c r="C4534" s="227" t="s">
        <v>2157</v>
      </c>
      <c r="F4534" s="227" t="s">
        <v>3000</v>
      </c>
    </row>
    <row r="4535" spans="1:6" x14ac:dyDescent="0.25">
      <c r="A4535" s="227" t="str">
        <f>TL[[#This Row],[Société]]&amp;" - "&amp;TL[[#This Row],[Compte]]</f>
        <v>HART - 641101</v>
      </c>
      <c r="B4535" s="233" t="s">
        <v>1749</v>
      </c>
      <c r="C4535" s="227" t="s">
        <v>2365</v>
      </c>
      <c r="D4535" s="233" t="s">
        <v>12</v>
      </c>
      <c r="E4535" s="233" t="s">
        <v>3</v>
      </c>
      <c r="F4535" s="227" t="s">
        <v>3000</v>
      </c>
    </row>
    <row r="4536" spans="1:6" x14ac:dyDescent="0.25">
      <c r="A4536" s="227" t="str">
        <f>TL[[#This Row],[Société]]&amp;" - "&amp;TL[[#This Row],[Compte]]</f>
        <v>HART - 641104</v>
      </c>
      <c r="B4536" s="233" t="s">
        <v>1750</v>
      </c>
      <c r="C4536" s="227" t="s">
        <v>2386</v>
      </c>
      <c r="D4536" s="233" t="s">
        <v>13</v>
      </c>
      <c r="E4536" s="233" t="s">
        <v>12</v>
      </c>
      <c r="F4536" s="227" t="s">
        <v>3000</v>
      </c>
    </row>
    <row r="4537" spans="1:6" x14ac:dyDescent="0.25">
      <c r="A4537" s="227" t="str">
        <f>TL[[#This Row],[Société]]&amp;" - "&amp;TL[[#This Row],[Compte]]</f>
        <v>HART - 641150</v>
      </c>
      <c r="B4537" s="233" t="s">
        <v>5159</v>
      </c>
      <c r="C4537" s="227" t="s">
        <v>2157</v>
      </c>
      <c r="F4537" s="227" t="s">
        <v>3000</v>
      </c>
    </row>
    <row r="4538" spans="1:6" x14ac:dyDescent="0.25">
      <c r="A4538" s="227" t="str">
        <f>TL[[#This Row],[Société]]&amp;" - "&amp;TL[[#This Row],[Compte]]</f>
        <v>HART - 641200</v>
      </c>
      <c r="B4538" s="233" t="s">
        <v>1773</v>
      </c>
      <c r="C4538" s="227" t="s">
        <v>6476</v>
      </c>
      <c r="F4538" s="227" t="s">
        <v>3000</v>
      </c>
    </row>
    <row r="4539" spans="1:6" x14ac:dyDescent="0.25">
      <c r="A4539" s="227" t="str">
        <f>TL[[#This Row],[Société]]&amp;" - "&amp;TL[[#This Row],[Compte]]</f>
        <v>HART - 641201</v>
      </c>
      <c r="B4539" s="233" t="s">
        <v>2816</v>
      </c>
      <c r="C4539" s="227" t="s">
        <v>2500</v>
      </c>
      <c r="D4539" s="233" t="s">
        <v>12</v>
      </c>
      <c r="E4539" s="233" t="s">
        <v>3</v>
      </c>
      <c r="F4539" s="227" t="s">
        <v>3000</v>
      </c>
    </row>
    <row r="4540" spans="1:6" x14ac:dyDescent="0.25">
      <c r="A4540" s="227" t="str">
        <f>TL[[#This Row],[Société]]&amp;" - "&amp;TL[[#This Row],[Compte]]</f>
        <v>HART - 641204</v>
      </c>
      <c r="B4540" s="233" t="s">
        <v>2819</v>
      </c>
      <c r="C4540" s="227" t="s">
        <v>2501</v>
      </c>
      <c r="D4540" s="233" t="s">
        <v>13</v>
      </c>
      <c r="E4540" s="233" t="s">
        <v>12</v>
      </c>
      <c r="F4540" s="227" t="s">
        <v>3000</v>
      </c>
    </row>
    <row r="4541" spans="1:6" x14ac:dyDescent="0.25">
      <c r="A4541" s="227" t="str">
        <f>TL[[#This Row],[Société]]&amp;" - "&amp;TL[[#This Row],[Compte]]</f>
        <v>HART - 641220</v>
      </c>
      <c r="B4541" s="233" t="s">
        <v>1783</v>
      </c>
      <c r="C4541" s="227" t="s">
        <v>6477</v>
      </c>
      <c r="D4541" s="233" t="s">
        <v>13</v>
      </c>
      <c r="E4541" s="233" t="s">
        <v>12</v>
      </c>
      <c r="F4541" s="227" t="s">
        <v>3000</v>
      </c>
    </row>
    <row r="4542" spans="1:6" x14ac:dyDescent="0.25">
      <c r="A4542" s="227" t="str">
        <f>TL[[#This Row],[Société]]&amp;" - "&amp;TL[[#This Row],[Compte]]</f>
        <v>HART - 641230</v>
      </c>
      <c r="B4542" s="233" t="s">
        <v>1996</v>
      </c>
      <c r="C4542" s="227" t="s">
        <v>6478</v>
      </c>
      <c r="D4542" s="233" t="s">
        <v>12</v>
      </c>
      <c r="E4542" s="233" t="s">
        <v>3</v>
      </c>
      <c r="F4542" s="227" t="s">
        <v>3000</v>
      </c>
    </row>
    <row r="4543" spans="1:6" x14ac:dyDescent="0.25">
      <c r="A4543" s="227" t="str">
        <f>TL[[#This Row],[Société]]&amp;" - "&amp;TL[[#This Row],[Compte]]</f>
        <v>HART - 641300</v>
      </c>
      <c r="B4543" s="233" t="s">
        <v>1997</v>
      </c>
      <c r="C4543" s="227" t="s">
        <v>6476</v>
      </c>
      <c r="F4543" s="227" t="s">
        <v>3000</v>
      </c>
    </row>
    <row r="4544" spans="1:6" x14ac:dyDescent="0.25">
      <c r="A4544" s="227" t="str">
        <f>TL[[#This Row],[Société]]&amp;" - "&amp;TL[[#This Row],[Compte]]</f>
        <v>HART - 641400</v>
      </c>
      <c r="B4544" s="233" t="s">
        <v>3299</v>
      </c>
      <c r="C4544" s="227" t="s">
        <v>2157</v>
      </c>
      <c r="F4544" s="227" t="s">
        <v>3000</v>
      </c>
    </row>
    <row r="4545" spans="1:6" x14ac:dyDescent="0.25">
      <c r="A4545" s="227" t="str">
        <f>TL[[#This Row],[Société]]&amp;" - "&amp;TL[[#This Row],[Compte]]</f>
        <v>HART - 641401</v>
      </c>
      <c r="B4545" s="233" t="s">
        <v>1745</v>
      </c>
      <c r="C4545" s="227" t="s">
        <v>2478</v>
      </c>
      <c r="D4545" s="233" t="s">
        <v>12</v>
      </c>
      <c r="E4545" s="233" t="s">
        <v>3</v>
      </c>
      <c r="F4545" s="227" t="s">
        <v>3000</v>
      </c>
    </row>
    <row r="4546" spans="1:6" x14ac:dyDescent="0.25">
      <c r="A4546" s="227" t="str">
        <f>TL[[#This Row],[Société]]&amp;" - "&amp;TL[[#This Row],[Compte]]</f>
        <v>HART - 641404</v>
      </c>
      <c r="B4546" s="233" t="s">
        <v>1747</v>
      </c>
      <c r="C4546" s="227" t="s">
        <v>2277</v>
      </c>
      <c r="D4546" s="233" t="s">
        <v>13</v>
      </c>
      <c r="E4546" s="233" t="s">
        <v>12</v>
      </c>
      <c r="F4546" s="227" t="s">
        <v>3000</v>
      </c>
    </row>
    <row r="4547" spans="1:6" x14ac:dyDescent="0.25">
      <c r="A4547" s="227" t="str">
        <f>TL[[#This Row],[Société]]&amp;" - "&amp;TL[[#This Row],[Compte]]</f>
        <v>HART - 641410</v>
      </c>
      <c r="B4547" s="233" t="s">
        <v>2522</v>
      </c>
      <c r="C4547" s="227" t="s">
        <v>6479</v>
      </c>
      <c r="D4547" s="233" t="s">
        <v>12</v>
      </c>
      <c r="E4547" s="233" t="s">
        <v>3</v>
      </c>
      <c r="F4547" s="227" t="s">
        <v>3000</v>
      </c>
    </row>
    <row r="4548" spans="1:6" x14ac:dyDescent="0.25">
      <c r="A4548" s="227" t="str">
        <f>TL[[#This Row],[Société]]&amp;" - "&amp;TL[[#This Row],[Compte]]</f>
        <v>HART - 641411</v>
      </c>
      <c r="B4548" s="233" t="s">
        <v>1751</v>
      </c>
      <c r="C4548" s="227" t="s">
        <v>2182</v>
      </c>
      <c r="D4548" s="233" t="s">
        <v>12</v>
      </c>
      <c r="E4548" s="233" t="s">
        <v>3</v>
      </c>
      <c r="F4548" s="227" t="s">
        <v>3000</v>
      </c>
    </row>
    <row r="4549" spans="1:6" x14ac:dyDescent="0.25">
      <c r="A4549" s="227" t="str">
        <f>TL[[#This Row],[Société]]&amp;" - "&amp;TL[[#This Row],[Compte]]</f>
        <v>HART - 641414</v>
      </c>
      <c r="B4549" s="233" t="s">
        <v>1752</v>
      </c>
      <c r="C4549" s="227" t="s">
        <v>2502</v>
      </c>
      <c r="D4549" s="233" t="s">
        <v>13</v>
      </c>
      <c r="E4549" s="233" t="s">
        <v>12</v>
      </c>
      <c r="F4549" s="227" t="s">
        <v>3000</v>
      </c>
    </row>
    <row r="4550" spans="1:6" x14ac:dyDescent="0.25">
      <c r="A4550" s="227" t="str">
        <f>TL[[#This Row],[Société]]&amp;" - "&amp;TL[[#This Row],[Compte]]</f>
        <v>HART - 645100</v>
      </c>
      <c r="B4550" s="233" t="s">
        <v>5191</v>
      </c>
      <c r="C4550" s="227" t="s">
        <v>2157</v>
      </c>
      <c r="F4550" s="227" t="s">
        <v>3000</v>
      </c>
    </row>
    <row r="4551" spans="1:6" x14ac:dyDescent="0.25">
      <c r="A4551" s="227" t="str">
        <f>TL[[#This Row],[Société]]&amp;" - "&amp;TL[[#This Row],[Compte]]</f>
        <v>HART - 645101</v>
      </c>
      <c r="B4551" s="233" t="s">
        <v>1755</v>
      </c>
      <c r="C4551" s="227" t="s">
        <v>175</v>
      </c>
      <c r="D4551" s="233" t="s">
        <v>12</v>
      </c>
      <c r="E4551" s="233" t="s">
        <v>71</v>
      </c>
      <c r="F4551" s="227" t="s">
        <v>3000</v>
      </c>
    </row>
    <row r="4552" spans="1:6" x14ac:dyDescent="0.25">
      <c r="A4552" s="227" t="str">
        <f>TL[[#This Row],[Société]]&amp;" - "&amp;TL[[#This Row],[Compte]]</f>
        <v>HART - 645104</v>
      </c>
      <c r="B4552" s="233" t="s">
        <v>1756</v>
      </c>
      <c r="C4552" s="227" t="s">
        <v>2334</v>
      </c>
      <c r="D4552" s="233" t="s">
        <v>15</v>
      </c>
      <c r="E4552" s="233" t="s">
        <v>13</v>
      </c>
      <c r="F4552" s="227" t="s">
        <v>3000</v>
      </c>
    </row>
    <row r="4553" spans="1:6" x14ac:dyDescent="0.25">
      <c r="A4553" s="227" t="str">
        <f>TL[[#This Row],[Société]]&amp;" - "&amp;TL[[#This Row],[Compte]]</f>
        <v>HART - 645120</v>
      </c>
      <c r="B4553" s="233" t="s">
        <v>2534</v>
      </c>
      <c r="C4553" s="227" t="s">
        <v>2197</v>
      </c>
      <c r="D4553" s="233" t="s">
        <v>15</v>
      </c>
      <c r="E4553" s="233" t="s">
        <v>13</v>
      </c>
      <c r="F4553" s="227" t="s">
        <v>3000</v>
      </c>
    </row>
    <row r="4554" spans="1:6" x14ac:dyDescent="0.25">
      <c r="A4554" s="227" t="str">
        <f>TL[[#This Row],[Société]]&amp;" - "&amp;TL[[#This Row],[Compte]]</f>
        <v>HART - 645130</v>
      </c>
      <c r="B4554" s="233" t="s">
        <v>2524</v>
      </c>
      <c r="C4554" s="227" t="s">
        <v>6480</v>
      </c>
      <c r="D4554" s="233" t="s">
        <v>12</v>
      </c>
      <c r="E4554" s="233" t="s">
        <v>71</v>
      </c>
      <c r="F4554" s="227" t="s">
        <v>3000</v>
      </c>
    </row>
    <row r="4555" spans="1:6" x14ac:dyDescent="0.25">
      <c r="A4555" s="227" t="str">
        <f>TL[[#This Row],[Société]]&amp;" - "&amp;TL[[#This Row],[Compte]]</f>
        <v>HART - 645200</v>
      </c>
      <c r="B4555" s="233" t="s">
        <v>5195</v>
      </c>
      <c r="C4555" s="227" t="s">
        <v>2157</v>
      </c>
      <c r="F4555" s="227" t="s">
        <v>3000</v>
      </c>
    </row>
    <row r="4556" spans="1:6" x14ac:dyDescent="0.25">
      <c r="A4556" s="227" t="str">
        <f>TL[[#This Row],[Société]]&amp;" - "&amp;TL[[#This Row],[Compte]]</f>
        <v>HART - 645300</v>
      </c>
      <c r="B4556" s="233" t="s">
        <v>5200</v>
      </c>
      <c r="C4556" s="227" t="s">
        <v>2157</v>
      </c>
      <c r="F4556" s="227" t="s">
        <v>3000</v>
      </c>
    </row>
    <row r="4557" spans="1:6" x14ac:dyDescent="0.25">
      <c r="A4557" s="227" t="str">
        <f>TL[[#This Row],[Société]]&amp;" - "&amp;TL[[#This Row],[Compte]]</f>
        <v>HART - 645301</v>
      </c>
      <c r="B4557" s="233" t="s">
        <v>1757</v>
      </c>
      <c r="C4557" s="227" t="s">
        <v>2503</v>
      </c>
      <c r="D4557" s="233" t="s">
        <v>12</v>
      </c>
      <c r="E4557" s="233" t="s">
        <v>71</v>
      </c>
      <c r="F4557" s="227" t="s">
        <v>3000</v>
      </c>
    </row>
    <row r="4558" spans="1:6" x14ac:dyDescent="0.25">
      <c r="A4558" s="227" t="str">
        <f>TL[[#This Row],[Société]]&amp;" - "&amp;TL[[#This Row],[Compte]]</f>
        <v>HART - 645304</v>
      </c>
      <c r="B4558" s="233" t="s">
        <v>1758</v>
      </c>
      <c r="C4558" s="227" t="s">
        <v>2504</v>
      </c>
      <c r="D4558" s="233" t="s">
        <v>15</v>
      </c>
      <c r="E4558" s="233" t="s">
        <v>13</v>
      </c>
      <c r="F4558" s="227" t="s">
        <v>3000</v>
      </c>
    </row>
    <row r="4559" spans="1:6" x14ac:dyDescent="0.25">
      <c r="A4559" s="227" t="str">
        <f>TL[[#This Row],[Société]]&amp;" - "&amp;TL[[#This Row],[Compte]]</f>
        <v>HART - 645320</v>
      </c>
      <c r="B4559" s="233" t="s">
        <v>2535</v>
      </c>
      <c r="C4559" s="227" t="s">
        <v>6481</v>
      </c>
      <c r="D4559" s="233" t="s">
        <v>15</v>
      </c>
      <c r="E4559" s="233" t="s">
        <v>13</v>
      </c>
      <c r="F4559" s="227" t="s">
        <v>3000</v>
      </c>
    </row>
    <row r="4560" spans="1:6" x14ac:dyDescent="0.25">
      <c r="A4560" s="227" t="str">
        <f>TL[[#This Row],[Société]]&amp;" - "&amp;TL[[#This Row],[Compte]]</f>
        <v>HART - 645330</v>
      </c>
      <c r="B4560" s="233" t="s">
        <v>2525</v>
      </c>
      <c r="C4560" s="227" t="s">
        <v>6482</v>
      </c>
      <c r="D4560" s="233" t="s">
        <v>12</v>
      </c>
      <c r="E4560" s="233" t="s">
        <v>71</v>
      </c>
      <c r="F4560" s="227" t="s">
        <v>3000</v>
      </c>
    </row>
    <row r="4561" spans="1:6" x14ac:dyDescent="0.25">
      <c r="A4561" s="227" t="str">
        <f>TL[[#This Row],[Société]]&amp;" - "&amp;TL[[#This Row],[Compte]]</f>
        <v>HART - 645400</v>
      </c>
      <c r="B4561" s="233" t="s">
        <v>5212</v>
      </c>
      <c r="C4561" s="227" t="s">
        <v>2157</v>
      </c>
      <c r="F4561" s="227" t="s">
        <v>3000</v>
      </c>
    </row>
    <row r="4562" spans="1:6" x14ac:dyDescent="0.25">
      <c r="A4562" s="227" t="str">
        <f>TL[[#This Row],[Société]]&amp;" - "&amp;TL[[#This Row],[Compte]]</f>
        <v>HART - 645401</v>
      </c>
      <c r="B4562" s="233" t="s">
        <v>1753</v>
      </c>
      <c r="C4562" s="227" t="s">
        <v>169</v>
      </c>
      <c r="D4562" s="233" t="s">
        <v>12</v>
      </c>
      <c r="E4562" s="233" t="s">
        <v>71</v>
      </c>
      <c r="F4562" s="227" t="s">
        <v>3000</v>
      </c>
    </row>
    <row r="4563" spans="1:6" x14ac:dyDescent="0.25">
      <c r="A4563" s="227" t="str">
        <f>TL[[#This Row],[Société]]&amp;" - "&amp;TL[[#This Row],[Compte]]</f>
        <v>HART - 645404</v>
      </c>
      <c r="B4563" s="233" t="s">
        <v>1754</v>
      </c>
      <c r="C4563" s="227" t="s">
        <v>2336</v>
      </c>
      <c r="D4563" s="233" t="s">
        <v>15</v>
      </c>
      <c r="E4563" s="233" t="s">
        <v>13</v>
      </c>
      <c r="F4563" s="227" t="s">
        <v>3000</v>
      </c>
    </row>
    <row r="4564" spans="1:6" x14ac:dyDescent="0.25">
      <c r="A4564" s="227" t="str">
        <f>TL[[#This Row],[Société]]&amp;" - "&amp;TL[[#This Row],[Compte]]</f>
        <v>HART - 645420</v>
      </c>
      <c r="B4564" s="233" t="s">
        <v>2536</v>
      </c>
      <c r="C4564" s="227" t="s">
        <v>6483</v>
      </c>
      <c r="D4564" s="233" t="s">
        <v>15</v>
      </c>
      <c r="E4564" s="233" t="s">
        <v>13</v>
      </c>
      <c r="F4564" s="227" t="s">
        <v>3000</v>
      </c>
    </row>
    <row r="4565" spans="1:6" x14ac:dyDescent="0.25">
      <c r="A4565" s="227" t="str">
        <f>TL[[#This Row],[Société]]&amp;" - "&amp;TL[[#This Row],[Compte]]</f>
        <v>HART - 645430</v>
      </c>
      <c r="B4565" s="233" t="s">
        <v>2526</v>
      </c>
      <c r="C4565" s="227" t="s">
        <v>6484</v>
      </c>
      <c r="D4565" s="233" t="s">
        <v>12</v>
      </c>
      <c r="E4565" s="233" t="s">
        <v>71</v>
      </c>
      <c r="F4565" s="227" t="s">
        <v>3000</v>
      </c>
    </row>
    <row r="4566" spans="1:6" x14ac:dyDescent="0.25">
      <c r="A4566" s="227" t="str">
        <f>TL[[#This Row],[Société]]&amp;" - "&amp;TL[[#This Row],[Compte]]</f>
        <v>HART - 645501</v>
      </c>
      <c r="B4566" s="233" t="s">
        <v>2817</v>
      </c>
      <c r="C4566" s="227" t="s">
        <v>231</v>
      </c>
      <c r="D4566" s="233" t="s">
        <v>12</v>
      </c>
      <c r="E4566" s="233" t="s">
        <v>71</v>
      </c>
      <c r="F4566" s="227" t="s">
        <v>3000</v>
      </c>
    </row>
    <row r="4567" spans="1:6" x14ac:dyDescent="0.25">
      <c r="A4567" s="227" t="str">
        <f>TL[[#This Row],[Société]]&amp;" - "&amp;TL[[#This Row],[Compte]]</f>
        <v>HART - 645504</v>
      </c>
      <c r="B4567" s="233" t="s">
        <v>2820</v>
      </c>
      <c r="C4567" s="227" t="s">
        <v>2192</v>
      </c>
      <c r="D4567" s="233" t="s">
        <v>15</v>
      </c>
      <c r="E4567" s="233" t="s">
        <v>13</v>
      </c>
      <c r="F4567" s="227" t="s">
        <v>3000</v>
      </c>
    </row>
    <row r="4568" spans="1:6" x14ac:dyDescent="0.25">
      <c r="A4568" s="227" t="str">
        <f>TL[[#This Row],[Société]]&amp;" - "&amp;TL[[#This Row],[Compte]]</f>
        <v>HART - 645520</v>
      </c>
      <c r="B4568" s="233" t="s">
        <v>2537</v>
      </c>
      <c r="C4568" s="227" t="s">
        <v>6485</v>
      </c>
      <c r="D4568" s="233" t="s">
        <v>15</v>
      </c>
      <c r="E4568" s="233" t="s">
        <v>13</v>
      </c>
      <c r="F4568" s="227" t="s">
        <v>3000</v>
      </c>
    </row>
    <row r="4569" spans="1:6" x14ac:dyDescent="0.25">
      <c r="A4569" s="227" t="str">
        <f>TL[[#This Row],[Société]]&amp;" - "&amp;TL[[#This Row],[Compte]]</f>
        <v>HART - 645530</v>
      </c>
      <c r="B4569" s="233" t="s">
        <v>2527</v>
      </c>
      <c r="C4569" s="227" t="s">
        <v>778</v>
      </c>
      <c r="D4569" s="233" t="s">
        <v>12</v>
      </c>
      <c r="E4569" s="233" t="s">
        <v>71</v>
      </c>
      <c r="F4569" s="227" t="s">
        <v>3000</v>
      </c>
    </row>
    <row r="4570" spans="1:6" x14ac:dyDescent="0.25">
      <c r="A4570" s="227" t="str">
        <f>TL[[#This Row],[Société]]&amp;" - "&amp;TL[[#This Row],[Compte]]</f>
        <v>HART - 645800</v>
      </c>
      <c r="B4570" s="233" t="s">
        <v>1775</v>
      </c>
      <c r="C4570" s="227" t="s">
        <v>5215</v>
      </c>
      <c r="D4570" s="233" t="s">
        <v>15</v>
      </c>
      <c r="E4570" s="233" t="s">
        <v>13</v>
      </c>
      <c r="F4570" s="227" t="s">
        <v>3000</v>
      </c>
    </row>
    <row r="4571" spans="1:6" x14ac:dyDescent="0.25">
      <c r="A4571" s="227" t="str">
        <f>TL[[#This Row],[Société]]&amp;" - "&amp;TL[[#This Row],[Compte]]</f>
        <v>HART - 645801</v>
      </c>
      <c r="B4571" s="233" t="s">
        <v>2818</v>
      </c>
      <c r="C4571" s="227" t="s">
        <v>2505</v>
      </c>
      <c r="D4571" s="233" t="s">
        <v>12</v>
      </c>
      <c r="E4571" s="233" t="s">
        <v>71</v>
      </c>
      <c r="F4571" s="227" t="s">
        <v>3000</v>
      </c>
    </row>
    <row r="4572" spans="1:6" x14ac:dyDescent="0.25">
      <c r="A4572" s="227" t="str">
        <f>TL[[#This Row],[Société]]&amp;" - "&amp;TL[[#This Row],[Compte]]</f>
        <v>HART - 645804</v>
      </c>
      <c r="B4572" s="233" t="s">
        <v>2821</v>
      </c>
      <c r="C4572" s="227" t="s">
        <v>2506</v>
      </c>
      <c r="D4572" s="233" t="s">
        <v>15</v>
      </c>
      <c r="E4572" s="233" t="s">
        <v>13</v>
      </c>
      <c r="F4572" s="227" t="s">
        <v>3000</v>
      </c>
    </row>
    <row r="4573" spans="1:6" x14ac:dyDescent="0.25">
      <c r="A4573" s="227" t="str">
        <f>TL[[#This Row],[Société]]&amp;" - "&amp;TL[[#This Row],[Compte]]</f>
        <v>HART - 645820</v>
      </c>
      <c r="B4573" s="233" t="s">
        <v>2008</v>
      </c>
      <c r="C4573" s="227" t="s">
        <v>6486</v>
      </c>
      <c r="D4573" s="233" t="s">
        <v>15</v>
      </c>
      <c r="E4573" s="233" t="s">
        <v>13</v>
      </c>
      <c r="F4573" s="227" t="s">
        <v>3000</v>
      </c>
    </row>
    <row r="4574" spans="1:6" x14ac:dyDescent="0.25">
      <c r="A4574" s="227" t="str">
        <f>TL[[#This Row],[Société]]&amp;" - "&amp;TL[[#This Row],[Compte]]</f>
        <v>HART - 645830</v>
      </c>
      <c r="B4574" s="233" t="s">
        <v>2009</v>
      </c>
      <c r="C4574" s="227" t="s">
        <v>6487</v>
      </c>
      <c r="D4574" s="233" t="s">
        <v>12</v>
      </c>
      <c r="E4574" s="233" t="s">
        <v>71</v>
      </c>
      <c r="F4574" s="227" t="s">
        <v>3000</v>
      </c>
    </row>
    <row r="4575" spans="1:6" x14ac:dyDescent="0.25">
      <c r="A4575" s="227" t="str">
        <f>TL[[#This Row],[Société]]&amp;" - "&amp;TL[[#This Row],[Compte]]</f>
        <v>HART - 645920</v>
      </c>
      <c r="B4575" s="233" t="s">
        <v>2538</v>
      </c>
      <c r="C4575" s="227" t="s">
        <v>6488</v>
      </c>
      <c r="D4575" s="233" t="s">
        <v>15</v>
      </c>
      <c r="E4575" s="233" t="s">
        <v>13</v>
      </c>
      <c r="F4575" s="227" t="s">
        <v>3000</v>
      </c>
    </row>
    <row r="4576" spans="1:6" x14ac:dyDescent="0.25">
      <c r="A4576" s="227" t="str">
        <f>TL[[#This Row],[Société]]&amp;" - "&amp;TL[[#This Row],[Compte]]</f>
        <v>HART - 645930</v>
      </c>
      <c r="B4576" s="233" t="s">
        <v>2528</v>
      </c>
      <c r="C4576" s="227" t="s">
        <v>6489</v>
      </c>
      <c r="D4576" s="233" t="s">
        <v>12</v>
      </c>
      <c r="E4576" s="233" t="s">
        <v>71</v>
      </c>
      <c r="F4576" s="227" t="s">
        <v>3000</v>
      </c>
    </row>
    <row r="4577" spans="1:6" x14ac:dyDescent="0.25">
      <c r="A4577" s="227" t="str">
        <f>TL[[#This Row],[Société]]&amp;" - "&amp;TL[[#This Row],[Compte]]</f>
        <v>HART - 647516</v>
      </c>
      <c r="B4577" s="233" t="s">
        <v>2759</v>
      </c>
      <c r="C4577" s="227" t="s">
        <v>1253</v>
      </c>
      <c r="D4577" s="233" t="s">
        <v>20</v>
      </c>
      <c r="E4577" s="233" t="s">
        <v>25</v>
      </c>
      <c r="F4577" s="227" t="s">
        <v>3000</v>
      </c>
    </row>
    <row r="4578" spans="1:6" x14ac:dyDescent="0.25">
      <c r="A4578" s="227" t="str">
        <f>TL[[#This Row],[Société]]&amp;" - "&amp;TL[[#This Row],[Compte]]</f>
        <v>HART - 651000</v>
      </c>
      <c r="B4578" s="233" t="s">
        <v>2825</v>
      </c>
      <c r="C4578" s="227" t="s">
        <v>276</v>
      </c>
      <c r="D4578" s="233" t="s">
        <v>37</v>
      </c>
      <c r="E4578" s="233" t="s">
        <v>42</v>
      </c>
      <c r="F4578" s="227" t="s">
        <v>3000</v>
      </c>
    </row>
    <row r="4579" spans="1:6" x14ac:dyDescent="0.25">
      <c r="A4579" s="227" t="str">
        <f>TL[[#This Row],[Société]]&amp;" - "&amp;TL[[#This Row],[Compte]]</f>
        <v>HART - 651200</v>
      </c>
      <c r="B4579" s="233" t="s">
        <v>1604</v>
      </c>
      <c r="C4579" s="227" t="s">
        <v>2507</v>
      </c>
      <c r="D4579" s="233" t="s">
        <v>35</v>
      </c>
      <c r="E4579" s="233" t="s">
        <v>37</v>
      </c>
      <c r="F4579" s="227" t="s">
        <v>3000</v>
      </c>
    </row>
    <row r="4580" spans="1:6" x14ac:dyDescent="0.25">
      <c r="A4580" s="227" t="str">
        <f>TL[[#This Row],[Société]]&amp;" - "&amp;TL[[#This Row],[Compte]]</f>
        <v>HART - 651210</v>
      </c>
      <c r="B4580" s="233" t="s">
        <v>1606</v>
      </c>
      <c r="C4580" s="227" t="s">
        <v>2201</v>
      </c>
      <c r="D4580" s="233" t="s">
        <v>37</v>
      </c>
      <c r="E4580" s="233" t="s">
        <v>37</v>
      </c>
      <c r="F4580" s="227" t="s">
        <v>3000</v>
      </c>
    </row>
    <row r="4581" spans="1:6" x14ac:dyDescent="0.25">
      <c r="A4581" s="227" t="str">
        <f>TL[[#This Row],[Société]]&amp;" - "&amp;TL[[#This Row],[Compte]]</f>
        <v>HART - 658000</v>
      </c>
      <c r="B4581" s="233" t="s">
        <v>1743</v>
      </c>
      <c r="C4581" s="227" t="s">
        <v>164</v>
      </c>
      <c r="D4581" s="233" t="s">
        <v>50</v>
      </c>
      <c r="E4581" s="233" t="s">
        <v>2982</v>
      </c>
      <c r="F4581" s="227" t="s">
        <v>3000</v>
      </c>
    </row>
    <row r="4582" spans="1:6" x14ac:dyDescent="0.25">
      <c r="A4582" s="227" t="str">
        <f>TL[[#This Row],[Société]]&amp;" - "&amp;TL[[#This Row],[Compte]]</f>
        <v>HART - 658100</v>
      </c>
      <c r="B4582" s="233" t="s">
        <v>5274</v>
      </c>
      <c r="C4582" s="227" t="s">
        <v>6490</v>
      </c>
      <c r="D4582" s="233" t="s">
        <v>30</v>
      </c>
      <c r="E4582" s="233" t="s">
        <v>2982</v>
      </c>
      <c r="F4582" s="227" t="s">
        <v>3000</v>
      </c>
    </row>
    <row r="4583" spans="1:6" x14ac:dyDescent="0.25">
      <c r="A4583" s="227" t="str">
        <f>TL[[#This Row],[Société]]&amp;" - "&amp;TL[[#This Row],[Compte]]</f>
        <v>HART - 661100</v>
      </c>
      <c r="B4583" s="233" t="s">
        <v>1721</v>
      </c>
      <c r="C4583" s="227" t="s">
        <v>2263</v>
      </c>
      <c r="D4583" s="233" t="s">
        <v>47</v>
      </c>
      <c r="E4583" s="233" t="s">
        <v>286</v>
      </c>
      <c r="F4583" s="227" t="s">
        <v>3000</v>
      </c>
    </row>
    <row r="4584" spans="1:6" x14ac:dyDescent="0.25">
      <c r="A4584" s="227" t="str">
        <f>TL[[#This Row],[Société]]&amp;" - "&amp;TL[[#This Row],[Compte]]</f>
        <v>HART - 661600</v>
      </c>
      <c r="B4584" s="233" t="s">
        <v>2016</v>
      </c>
      <c r="C4584" s="227" t="s">
        <v>6491</v>
      </c>
      <c r="D4584" s="233" t="s">
        <v>47</v>
      </c>
      <c r="E4584" s="233" t="s">
        <v>286</v>
      </c>
      <c r="F4584" s="227" t="s">
        <v>3000</v>
      </c>
    </row>
    <row r="4585" spans="1:6" x14ac:dyDescent="0.25">
      <c r="A4585" s="227" t="str">
        <f>TL[[#This Row],[Société]]&amp;" - "&amp;TL[[#This Row],[Compte]]</f>
        <v>HART - 666000</v>
      </c>
      <c r="B4585" s="233" t="s">
        <v>2017</v>
      </c>
      <c r="C4585" s="227" t="s">
        <v>1260</v>
      </c>
      <c r="F4585" s="227" t="s">
        <v>3000</v>
      </c>
    </row>
    <row r="4586" spans="1:6" x14ac:dyDescent="0.25">
      <c r="A4586" s="227" t="str">
        <f>TL[[#This Row],[Société]]&amp;" - "&amp;TL[[#This Row],[Compte]]</f>
        <v>HART - 671100</v>
      </c>
      <c r="B4586" s="233" t="s">
        <v>1801</v>
      </c>
      <c r="C4586" s="227" t="s">
        <v>31</v>
      </c>
      <c r="D4586" s="233" t="s">
        <v>30</v>
      </c>
      <c r="E4586" s="233" t="s">
        <v>2982</v>
      </c>
      <c r="F4586" s="227" t="s">
        <v>3000</v>
      </c>
    </row>
    <row r="4587" spans="1:6" x14ac:dyDescent="0.25">
      <c r="A4587" s="227" t="str">
        <f>TL[[#This Row],[Société]]&amp;" - "&amp;TL[[#This Row],[Compte]]</f>
        <v>HART - 671310</v>
      </c>
      <c r="B4587" s="233" t="s">
        <v>2021</v>
      </c>
      <c r="C4587" s="227" t="s">
        <v>223</v>
      </c>
      <c r="D4587" s="233" t="s">
        <v>50</v>
      </c>
      <c r="E4587" s="233" t="s">
        <v>2995</v>
      </c>
      <c r="F4587" s="227" t="s">
        <v>3000</v>
      </c>
    </row>
    <row r="4588" spans="1:6" x14ac:dyDescent="0.25">
      <c r="A4588" s="227" t="str">
        <f>TL[[#This Row],[Société]]&amp;" - "&amp;TL[[#This Row],[Compte]]</f>
        <v>HART - 671320</v>
      </c>
      <c r="B4588" s="233" t="s">
        <v>5981</v>
      </c>
      <c r="C4588" s="227" t="s">
        <v>155</v>
      </c>
      <c r="D4588" s="233" t="s">
        <v>50</v>
      </c>
      <c r="E4588" s="233" t="s">
        <v>2995</v>
      </c>
      <c r="F4588" s="227" t="s">
        <v>3000</v>
      </c>
    </row>
    <row r="4589" spans="1:6" x14ac:dyDescent="0.25">
      <c r="A4589" s="227" t="str">
        <f>TL[[#This Row],[Société]]&amp;" - "&amp;TL[[#This Row],[Compte]]</f>
        <v>HART - 675000</v>
      </c>
      <c r="B4589" s="233" t="s">
        <v>3330</v>
      </c>
      <c r="C4589" s="227" t="s">
        <v>618</v>
      </c>
      <c r="D4589" s="233" t="s">
        <v>44</v>
      </c>
      <c r="E4589" s="233" t="s">
        <v>2995</v>
      </c>
      <c r="F4589" s="227" t="s">
        <v>3000</v>
      </c>
    </row>
    <row r="4590" spans="1:6" x14ac:dyDescent="0.25">
      <c r="A4590" s="227" t="str">
        <f>TL[[#This Row],[Société]]&amp;" - "&amp;TL[[#This Row],[Compte]]</f>
        <v>HART - 681110</v>
      </c>
      <c r="B4590" s="233" t="s">
        <v>1787</v>
      </c>
      <c r="C4590" s="227" t="s">
        <v>236</v>
      </c>
      <c r="D4590" s="233" t="s">
        <v>45</v>
      </c>
      <c r="E4590" s="233" t="s">
        <v>48</v>
      </c>
      <c r="F4590" s="227" t="s">
        <v>3000</v>
      </c>
    </row>
    <row r="4591" spans="1:6" x14ac:dyDescent="0.25">
      <c r="A4591" s="227" t="str">
        <f>TL[[#This Row],[Société]]&amp;" - "&amp;TL[[#This Row],[Compte]]</f>
        <v>HART - 681120</v>
      </c>
      <c r="B4591" s="233" t="s">
        <v>2026</v>
      </c>
      <c r="C4591" s="227" t="s">
        <v>2264</v>
      </c>
      <c r="D4591" s="233" t="s">
        <v>45</v>
      </c>
      <c r="E4591" s="233" t="s">
        <v>48</v>
      </c>
      <c r="F4591" s="227" t="s">
        <v>3000</v>
      </c>
    </row>
    <row r="4592" spans="1:6" x14ac:dyDescent="0.25">
      <c r="A4592" s="227" t="str">
        <f>TL[[#This Row],[Société]]&amp;" - "&amp;TL[[#This Row],[Compte]]</f>
        <v>HART - 681500</v>
      </c>
      <c r="B4592" s="233" t="s">
        <v>2027</v>
      </c>
      <c r="C4592" s="227" t="s">
        <v>5984</v>
      </c>
      <c r="D4592" s="233" t="s">
        <v>45</v>
      </c>
      <c r="E4592" s="233" t="s">
        <v>48</v>
      </c>
      <c r="F4592" s="227" t="s">
        <v>3000</v>
      </c>
    </row>
    <row r="4593" spans="1:6" x14ac:dyDescent="0.25">
      <c r="A4593" s="227" t="str">
        <f>TL[[#This Row],[Société]]&amp;" - "&amp;TL[[#This Row],[Compte]]</f>
        <v>HART - 687110</v>
      </c>
      <c r="B4593" s="233" t="s">
        <v>2033</v>
      </c>
      <c r="C4593" s="227" t="s">
        <v>3056</v>
      </c>
      <c r="F4593" s="227" t="s">
        <v>3000</v>
      </c>
    </row>
    <row r="4594" spans="1:6" x14ac:dyDescent="0.25">
      <c r="A4594" s="227" t="str">
        <f>TL[[#This Row],[Société]]&amp;" - "&amp;TL[[#This Row],[Compte]]</f>
        <v>HART - 687120</v>
      </c>
      <c r="B4594" s="233" t="s">
        <v>2034</v>
      </c>
      <c r="C4594" s="227" t="s">
        <v>5985</v>
      </c>
      <c r="D4594" s="233" t="s">
        <v>45</v>
      </c>
      <c r="E4594" s="233" t="s">
        <v>48</v>
      </c>
      <c r="F4594" s="227" t="s">
        <v>3000</v>
      </c>
    </row>
    <row r="4595" spans="1:6" x14ac:dyDescent="0.25">
      <c r="A4595" s="227" t="str">
        <f>TL[[#This Row],[Société]]&amp;" - "&amp;TL[[#This Row],[Compte]]</f>
        <v>HART - 687250</v>
      </c>
      <c r="B4595" s="233" t="s">
        <v>2035</v>
      </c>
      <c r="C4595" s="227" t="s">
        <v>3056</v>
      </c>
      <c r="F4595" s="227" t="s">
        <v>3000</v>
      </c>
    </row>
    <row r="4596" spans="1:6" x14ac:dyDescent="0.25">
      <c r="A4596" s="227" t="str">
        <f>TL[[#This Row],[Société]]&amp;" - "&amp;TL[[#This Row],[Compte]]</f>
        <v>HART - 695000</v>
      </c>
      <c r="B4596" s="233" t="s">
        <v>2036</v>
      </c>
      <c r="C4596" s="227" t="s">
        <v>157</v>
      </c>
      <c r="D4596" s="233" t="s">
        <v>152</v>
      </c>
      <c r="E4596" s="233" t="s">
        <v>1303</v>
      </c>
      <c r="F4596" s="227" t="s">
        <v>3000</v>
      </c>
    </row>
    <row r="4597" spans="1:6" x14ac:dyDescent="0.25">
      <c r="A4597" s="227" t="str">
        <f>TL[[#This Row],[Société]]&amp;" - "&amp;TL[[#This Row],[Compte]]</f>
        <v>HART - 695110</v>
      </c>
      <c r="B4597" s="233" t="s">
        <v>2038</v>
      </c>
      <c r="C4597" s="227" t="s">
        <v>6492</v>
      </c>
      <c r="D4597" s="233" t="s">
        <v>152</v>
      </c>
      <c r="E4597" s="233" t="s">
        <v>1303</v>
      </c>
      <c r="F4597" s="227" t="s">
        <v>3000</v>
      </c>
    </row>
    <row r="4598" spans="1:6" x14ac:dyDescent="0.25">
      <c r="A4598" s="227" t="str">
        <f>TL[[#This Row],[Société]]&amp;" - "&amp;TL[[#This Row],[Compte]]</f>
        <v>HART - 701001</v>
      </c>
      <c r="B4598" s="233" t="s">
        <v>1793</v>
      </c>
      <c r="C4598" s="227" t="s">
        <v>64</v>
      </c>
      <c r="D4598" s="233" t="s">
        <v>143</v>
      </c>
      <c r="E4598" s="233" t="s">
        <v>5</v>
      </c>
      <c r="F4598" s="227" t="s">
        <v>3000</v>
      </c>
    </row>
    <row r="4599" spans="1:6" x14ac:dyDescent="0.25">
      <c r="A4599" s="227" t="str">
        <f>TL[[#This Row],[Société]]&amp;" - "&amp;TL[[#This Row],[Compte]]</f>
        <v>HART - 701004</v>
      </c>
      <c r="B4599" s="233" t="s">
        <v>2046</v>
      </c>
      <c r="C4599" s="227" t="s">
        <v>6493</v>
      </c>
      <c r="D4599" s="233" t="s">
        <v>143</v>
      </c>
      <c r="E4599" s="239" t="s">
        <v>5</v>
      </c>
      <c r="F4599" s="227" t="s">
        <v>3000</v>
      </c>
    </row>
    <row r="4600" spans="1:6" x14ac:dyDescent="0.25">
      <c r="A4600" s="227" t="str">
        <f>TL[[#This Row],[Société]]&amp;" - "&amp;TL[[#This Row],[Compte]]</f>
        <v>HART - 701005</v>
      </c>
      <c r="B4600" s="233" t="s">
        <v>1800</v>
      </c>
      <c r="C4600" s="227" t="s">
        <v>6494</v>
      </c>
      <c r="D4600" s="233" t="s">
        <v>143</v>
      </c>
      <c r="E4600" s="233" t="s">
        <v>5</v>
      </c>
      <c r="F4600" s="227" t="s">
        <v>3000</v>
      </c>
    </row>
    <row r="4601" spans="1:6" x14ac:dyDescent="0.25">
      <c r="A4601" s="227" t="str">
        <f>TL[[#This Row],[Société]]&amp;" - "&amp;TL[[#This Row],[Compte]]</f>
        <v>HART - 701006</v>
      </c>
      <c r="B4601" s="233" t="s">
        <v>1799</v>
      </c>
      <c r="C4601" s="227" t="s">
        <v>6495</v>
      </c>
      <c r="D4601" s="233" t="s">
        <v>143</v>
      </c>
      <c r="E4601" s="233" t="s">
        <v>5</v>
      </c>
      <c r="F4601" s="227" t="s">
        <v>3000</v>
      </c>
    </row>
    <row r="4602" spans="1:6" x14ac:dyDescent="0.25">
      <c r="A4602" s="227" t="str">
        <f>TL[[#This Row],[Société]]&amp;" - "&amp;TL[[#This Row],[Compte]]</f>
        <v>HART - 701040</v>
      </c>
      <c r="B4602" s="233" t="s">
        <v>2813</v>
      </c>
      <c r="C4602" s="227" t="s">
        <v>251</v>
      </c>
      <c r="D4602" s="233" t="s">
        <v>143</v>
      </c>
      <c r="E4602" s="233" t="s">
        <v>5</v>
      </c>
      <c r="F4602" s="227" t="s">
        <v>3000</v>
      </c>
    </row>
    <row r="4603" spans="1:6" x14ac:dyDescent="0.25">
      <c r="A4603" s="227" t="str">
        <f>TL[[#This Row],[Société]]&amp;" - "&amp;TL[[#This Row],[Compte]]</f>
        <v>HART - 701100</v>
      </c>
      <c r="B4603" s="233" t="s">
        <v>2050</v>
      </c>
      <c r="C4603" s="227" t="s">
        <v>2508</v>
      </c>
      <c r="D4603" s="233" t="s">
        <v>143</v>
      </c>
      <c r="E4603" s="233" t="s">
        <v>5</v>
      </c>
      <c r="F4603" s="227" t="s">
        <v>3000</v>
      </c>
    </row>
    <row r="4604" spans="1:6" x14ac:dyDescent="0.25">
      <c r="A4604" s="227" t="str">
        <f>TL[[#This Row],[Société]]&amp;" - "&amp;TL[[#This Row],[Compte]]</f>
        <v>HART - 701200</v>
      </c>
      <c r="B4604" s="233" t="s">
        <v>2814</v>
      </c>
      <c r="C4604" s="227" t="s">
        <v>378</v>
      </c>
      <c r="D4604" s="233" t="s">
        <v>143</v>
      </c>
      <c r="E4604" s="233" t="s">
        <v>5</v>
      </c>
      <c r="F4604" s="227" t="s">
        <v>3000</v>
      </c>
    </row>
    <row r="4605" spans="1:6" x14ac:dyDescent="0.25">
      <c r="A4605" s="227" t="str">
        <f>TL[[#This Row],[Société]]&amp;" - "&amp;TL[[#This Row],[Compte]]</f>
        <v>HART - 702300</v>
      </c>
      <c r="B4605" s="233" t="s">
        <v>1794</v>
      </c>
      <c r="C4605" s="227" t="s">
        <v>64</v>
      </c>
      <c r="D4605" s="233" t="s">
        <v>149</v>
      </c>
      <c r="E4605" s="233" t="s">
        <v>3004</v>
      </c>
      <c r="F4605" s="227" t="s">
        <v>3000</v>
      </c>
    </row>
    <row r="4606" spans="1:6" x14ac:dyDescent="0.25">
      <c r="A4606" s="227" t="str">
        <f>TL[[#This Row],[Société]]&amp;" - "&amp;TL[[#This Row],[Compte]]</f>
        <v>HART - 703100</v>
      </c>
      <c r="B4606" s="233" t="s">
        <v>3339</v>
      </c>
      <c r="C4606" s="227" t="s">
        <v>3340</v>
      </c>
      <c r="D4606" s="233" t="s">
        <v>0</v>
      </c>
      <c r="E4606" s="233" t="s">
        <v>25</v>
      </c>
      <c r="F4606" s="227" t="s">
        <v>3000</v>
      </c>
    </row>
    <row r="4607" spans="1:6" x14ac:dyDescent="0.25">
      <c r="A4607" s="227" t="str">
        <f>TL[[#This Row],[Société]]&amp;" - "&amp;TL[[#This Row],[Compte]]</f>
        <v>HART - 708000</v>
      </c>
      <c r="B4607" s="233" t="s">
        <v>1735</v>
      </c>
      <c r="C4607" s="227" t="s">
        <v>2179</v>
      </c>
      <c r="D4607" s="233" t="s">
        <v>0</v>
      </c>
      <c r="E4607" s="233" t="s">
        <v>7</v>
      </c>
      <c r="F4607" s="227" t="s">
        <v>3000</v>
      </c>
    </row>
    <row r="4608" spans="1:6" x14ac:dyDescent="0.25">
      <c r="A4608" s="227" t="str">
        <f>TL[[#This Row],[Société]]&amp;" - "&amp;TL[[#This Row],[Compte]]</f>
        <v>HART - 708200</v>
      </c>
      <c r="B4608" s="233" t="s">
        <v>2056</v>
      </c>
      <c r="C4608" s="227" t="s">
        <v>6496</v>
      </c>
      <c r="D4608" s="233" t="s">
        <v>50</v>
      </c>
      <c r="E4608" s="233" t="s">
        <v>25</v>
      </c>
      <c r="F4608" s="227" t="s">
        <v>3000</v>
      </c>
    </row>
    <row r="4609" spans="1:6" x14ac:dyDescent="0.25">
      <c r="A4609" s="227" t="str">
        <f>TL[[#This Row],[Société]]&amp;" - "&amp;TL[[#This Row],[Compte]]</f>
        <v>HART - 708600</v>
      </c>
      <c r="B4609" s="233" t="s">
        <v>1736</v>
      </c>
      <c r="C4609" s="227" t="s">
        <v>6497</v>
      </c>
      <c r="D4609" s="233" t="s">
        <v>18</v>
      </c>
      <c r="E4609" s="233" t="s">
        <v>32</v>
      </c>
      <c r="F4609" s="227" t="s">
        <v>3000</v>
      </c>
    </row>
    <row r="4610" spans="1:6" x14ac:dyDescent="0.25">
      <c r="A4610" s="227" t="str">
        <f>TL[[#This Row],[Société]]&amp;" - "&amp;TL[[#This Row],[Compte]]</f>
        <v>HART - 708830</v>
      </c>
      <c r="B4610" s="233" t="s">
        <v>3352</v>
      </c>
      <c r="C4610" s="227" t="s">
        <v>2270</v>
      </c>
      <c r="D4610" s="233" t="s">
        <v>15</v>
      </c>
      <c r="E4610" s="233" t="s">
        <v>13</v>
      </c>
      <c r="F4610" s="227" t="s">
        <v>3000</v>
      </c>
    </row>
    <row r="4611" spans="1:6" x14ac:dyDescent="0.25">
      <c r="A4611" s="227" t="str">
        <f>TL[[#This Row],[Société]]&amp;" - "&amp;TL[[#This Row],[Compte]]</f>
        <v>HART - 708840</v>
      </c>
      <c r="B4611" s="233" t="s">
        <v>3354</v>
      </c>
      <c r="C4611" s="227" t="s">
        <v>2271</v>
      </c>
      <c r="D4611" s="233" t="s">
        <v>13</v>
      </c>
      <c r="E4611" s="233" t="s">
        <v>12</v>
      </c>
      <c r="F4611" s="227" t="s">
        <v>3000</v>
      </c>
    </row>
    <row r="4612" spans="1:6" x14ac:dyDescent="0.25">
      <c r="A4612" s="227" t="str">
        <f>TL[[#This Row],[Société]]&amp;" - "&amp;TL[[#This Row],[Compte]]</f>
        <v>HART - 708850</v>
      </c>
      <c r="B4612" s="233" t="s">
        <v>2745</v>
      </c>
      <c r="C4612" s="227" t="s">
        <v>6017</v>
      </c>
      <c r="D4612" s="233" t="s">
        <v>12</v>
      </c>
      <c r="E4612" s="233" t="s">
        <v>3</v>
      </c>
      <c r="F4612" s="227" t="s">
        <v>3000</v>
      </c>
    </row>
    <row r="4613" spans="1:6" x14ac:dyDescent="0.25">
      <c r="A4613" s="227" t="str">
        <f>TL[[#This Row],[Société]]&amp;" - "&amp;TL[[#This Row],[Compte]]</f>
        <v>HART - 708862</v>
      </c>
      <c r="B4613" s="233" t="s">
        <v>6029</v>
      </c>
      <c r="C4613" s="227" t="s">
        <v>6030</v>
      </c>
      <c r="D4613" s="233" t="s">
        <v>16</v>
      </c>
      <c r="E4613" s="233" t="s">
        <v>2979</v>
      </c>
      <c r="F4613" s="227" t="s">
        <v>3000</v>
      </c>
    </row>
    <row r="4614" spans="1:6" x14ac:dyDescent="0.25">
      <c r="A4614" s="227" t="str">
        <f>TL[[#This Row],[Société]]&amp;" - "&amp;TL[[#This Row],[Compte]]</f>
        <v>HART - 708870</v>
      </c>
      <c r="B4614" s="233" t="s">
        <v>2571</v>
      </c>
      <c r="C4614" s="227" t="s">
        <v>2274</v>
      </c>
      <c r="D4614" s="233" t="s">
        <v>18</v>
      </c>
      <c r="E4614" s="233" t="s">
        <v>32</v>
      </c>
      <c r="F4614" s="227" t="s">
        <v>3000</v>
      </c>
    </row>
    <row r="4615" spans="1:6" x14ac:dyDescent="0.25">
      <c r="A4615" s="227" t="str">
        <f>TL[[#This Row],[Société]]&amp;" - "&amp;TL[[#This Row],[Compte]]</f>
        <v>HART - 726100</v>
      </c>
      <c r="B4615" s="233" t="s">
        <v>1746</v>
      </c>
      <c r="C4615" s="227" t="s">
        <v>2476</v>
      </c>
      <c r="D4615" s="233" t="s">
        <v>12</v>
      </c>
      <c r="E4615" s="233" t="s">
        <v>3</v>
      </c>
      <c r="F4615" s="227" t="s">
        <v>3000</v>
      </c>
    </row>
    <row r="4616" spans="1:6" x14ac:dyDescent="0.25">
      <c r="A4616" s="227" t="str">
        <f>TL[[#This Row],[Société]]&amp;" - "&amp;TL[[#This Row],[Compte]]</f>
        <v>HART - 726110</v>
      </c>
      <c r="B4616" s="233" t="s">
        <v>1748</v>
      </c>
      <c r="C4616" s="227" t="s">
        <v>1066</v>
      </c>
      <c r="D4616" s="233" t="s">
        <v>13</v>
      </c>
      <c r="E4616" s="233" t="s">
        <v>12</v>
      </c>
      <c r="F4616" s="227" t="s">
        <v>3000</v>
      </c>
    </row>
    <row r="4617" spans="1:6" x14ac:dyDescent="0.25">
      <c r="A4617" s="227" t="str">
        <f>TL[[#This Row],[Société]]&amp;" - "&amp;TL[[#This Row],[Compte]]</f>
        <v>HART - 740100</v>
      </c>
      <c r="B4617" s="233" t="s">
        <v>1712</v>
      </c>
      <c r="C4617" s="227" t="s">
        <v>6048</v>
      </c>
      <c r="D4617" s="233" t="s">
        <v>50</v>
      </c>
      <c r="E4617" s="233" t="s">
        <v>2995</v>
      </c>
      <c r="F4617" s="227" t="s">
        <v>3000</v>
      </c>
    </row>
    <row r="4618" spans="1:6" x14ac:dyDescent="0.25">
      <c r="A4618" s="227" t="str">
        <f>TL[[#This Row],[Société]]&amp;" - "&amp;TL[[#This Row],[Compte]]</f>
        <v>HART - 740200</v>
      </c>
      <c r="B4618" s="233" t="s">
        <v>2065</v>
      </c>
      <c r="C4618" s="227" t="s">
        <v>6049</v>
      </c>
      <c r="D4618" s="233" t="s">
        <v>50</v>
      </c>
      <c r="E4618" s="233" t="s">
        <v>2995</v>
      </c>
      <c r="F4618" s="227" t="s">
        <v>3000</v>
      </c>
    </row>
    <row r="4619" spans="1:6" x14ac:dyDescent="0.25">
      <c r="A4619" s="227" t="str">
        <f>TL[[#This Row],[Société]]&amp;" - "&amp;TL[[#This Row],[Compte]]</f>
        <v>HART - 758000</v>
      </c>
      <c r="B4619" s="233" t="s">
        <v>1744</v>
      </c>
      <c r="C4619" s="227" t="s">
        <v>163</v>
      </c>
      <c r="D4619" s="233" t="s">
        <v>50</v>
      </c>
      <c r="E4619" s="233" t="s">
        <v>2982</v>
      </c>
      <c r="F4619" s="227" t="s">
        <v>3000</v>
      </c>
    </row>
    <row r="4620" spans="1:6" x14ac:dyDescent="0.25">
      <c r="A4620" s="227" t="str">
        <f>TL[[#This Row],[Société]]&amp;" - "&amp;TL[[#This Row],[Compte]]</f>
        <v>HART - 758100</v>
      </c>
      <c r="B4620" s="233" t="s">
        <v>5528</v>
      </c>
      <c r="C4620" s="227" t="s">
        <v>6498</v>
      </c>
      <c r="D4620" s="233" t="s">
        <v>30</v>
      </c>
      <c r="E4620" s="233" t="s">
        <v>2982</v>
      </c>
      <c r="F4620" s="227" t="s">
        <v>3000</v>
      </c>
    </row>
    <row r="4621" spans="1:6" x14ac:dyDescent="0.25">
      <c r="A4621" s="227" t="str">
        <f>TL[[#This Row],[Société]]&amp;" - "&amp;TL[[#This Row],[Compte]]</f>
        <v>HART - 766000</v>
      </c>
      <c r="B4621" s="233" t="s">
        <v>2069</v>
      </c>
      <c r="C4621" s="227" t="s">
        <v>940</v>
      </c>
      <c r="F4621" s="227" t="s">
        <v>3000</v>
      </c>
    </row>
    <row r="4622" spans="1:6" x14ac:dyDescent="0.25">
      <c r="A4622" s="227" t="str">
        <f>TL[[#This Row],[Société]]&amp;" - "&amp;TL[[#This Row],[Compte]]</f>
        <v>HART - 771100</v>
      </c>
      <c r="B4622" s="233" t="s">
        <v>1798</v>
      </c>
      <c r="C4622" s="227" t="s">
        <v>31</v>
      </c>
      <c r="D4622" s="233" t="s">
        <v>30</v>
      </c>
      <c r="E4622" s="233" t="s">
        <v>2982</v>
      </c>
      <c r="F4622" s="227" t="s">
        <v>3000</v>
      </c>
    </row>
    <row r="4623" spans="1:6" x14ac:dyDescent="0.25">
      <c r="A4623" s="227" t="str">
        <f>TL[[#This Row],[Société]]&amp;" - "&amp;TL[[#This Row],[Compte]]</f>
        <v>HART - 775200</v>
      </c>
      <c r="B4623" s="233" t="s">
        <v>2132</v>
      </c>
      <c r="C4623" s="227" t="s">
        <v>437</v>
      </c>
      <c r="F4623" s="227" t="s">
        <v>3000</v>
      </c>
    </row>
    <row r="4624" spans="1:6" x14ac:dyDescent="0.25">
      <c r="A4624" s="227" t="str">
        <f>TL[[#This Row],[Société]]&amp;" - "&amp;TL[[#This Row],[Compte]]</f>
        <v>HART - 781110</v>
      </c>
      <c r="B4624" s="233" t="s">
        <v>2076</v>
      </c>
      <c r="C4624" s="227" t="s">
        <v>3056</v>
      </c>
      <c r="F4624" s="227" t="s">
        <v>3000</v>
      </c>
    </row>
    <row r="4625" spans="1:6" x14ac:dyDescent="0.25">
      <c r="A4625" s="227" t="str">
        <f>TL[[#This Row],[Société]]&amp;" - "&amp;TL[[#This Row],[Compte]]</f>
        <v>HART - 781120</v>
      </c>
      <c r="B4625" s="233" t="s">
        <v>2077</v>
      </c>
      <c r="C4625" s="227" t="s">
        <v>6062</v>
      </c>
      <c r="F4625" s="227" t="s">
        <v>3000</v>
      </c>
    </row>
    <row r="4626" spans="1:6" x14ac:dyDescent="0.25">
      <c r="A4626" s="227" t="str">
        <f>TL[[#This Row],[Société]]&amp;" - "&amp;TL[[#This Row],[Compte]]</f>
        <v>HART - 787250</v>
      </c>
      <c r="B4626" s="233" t="s">
        <v>2082</v>
      </c>
      <c r="C4626" s="227" t="s">
        <v>629</v>
      </c>
      <c r="F4626" s="227" t="s">
        <v>3000</v>
      </c>
    </row>
    <row r="4627" spans="1:6" x14ac:dyDescent="0.25">
      <c r="A4627" s="227" t="str">
        <f>TL[[#This Row],[Société]]&amp;" - "&amp;TL[[#This Row],[Compte]]</f>
        <v>HART - 791000</v>
      </c>
      <c r="B4627" s="233" t="s">
        <v>2083</v>
      </c>
      <c r="C4627" s="227" t="s">
        <v>2157</v>
      </c>
      <c r="F4627" s="227" t="s">
        <v>3000</v>
      </c>
    </row>
    <row r="4628" spans="1:6" x14ac:dyDescent="0.25">
      <c r="A4628" s="227" t="str">
        <f>TL[[#This Row],[Société]]&amp;" - "&amp;TL[[#This Row],[Compte]]</f>
        <v>HART - 890000</v>
      </c>
      <c r="B4628" s="233" t="s">
        <v>2092</v>
      </c>
      <c r="C4628" s="227" t="s">
        <v>631</v>
      </c>
      <c r="F4628" s="227" t="s">
        <v>3000</v>
      </c>
    </row>
    <row r="4629" spans="1:6" x14ac:dyDescent="0.25">
      <c r="A4629" s="227" t="str">
        <f>TL[[#This Row],[Société]]&amp;" - "&amp;TL[[#This Row],[Compte]]</f>
        <v>HTR8 - 10130000</v>
      </c>
      <c r="B4629" s="233" t="s">
        <v>3383</v>
      </c>
      <c r="C4629" s="227" t="s">
        <v>6544</v>
      </c>
      <c r="F4629" s="227" t="s">
        <v>3001</v>
      </c>
    </row>
    <row r="4630" spans="1:6" x14ac:dyDescent="0.25">
      <c r="A4630" s="227" t="str">
        <f>TL[[#This Row],[Société]]&amp;" - "&amp;TL[[#This Row],[Compte]]</f>
        <v>HTR8 - 10510000</v>
      </c>
      <c r="B4630" s="233" t="s">
        <v>6545</v>
      </c>
      <c r="C4630" s="227" t="s">
        <v>6546</v>
      </c>
      <c r="F4630" s="227" t="s">
        <v>3001</v>
      </c>
    </row>
    <row r="4631" spans="1:6" x14ac:dyDescent="0.25">
      <c r="A4631" s="227" t="str">
        <f>TL[[#This Row],[Société]]&amp;" - "&amp;TL[[#This Row],[Compte]]</f>
        <v>HTR8 - 10610000</v>
      </c>
      <c r="B4631" s="233" t="s">
        <v>3384</v>
      </c>
      <c r="C4631" s="227" t="s">
        <v>642</v>
      </c>
      <c r="F4631" s="227" t="s">
        <v>3001</v>
      </c>
    </row>
    <row r="4632" spans="1:6" x14ac:dyDescent="0.25">
      <c r="A4632" s="227" t="str">
        <f>TL[[#This Row],[Société]]&amp;" - "&amp;TL[[#This Row],[Compte]]</f>
        <v>HTR8 - 10630000</v>
      </c>
      <c r="B4632" s="233" t="s">
        <v>3385</v>
      </c>
      <c r="C4632" s="227" t="s">
        <v>3053</v>
      </c>
      <c r="F4632" s="227" t="s">
        <v>3001</v>
      </c>
    </row>
    <row r="4633" spans="1:6" x14ac:dyDescent="0.25">
      <c r="A4633" s="227" t="str">
        <f>TL[[#This Row],[Société]]&amp;" - "&amp;TL[[#This Row],[Compte]]</f>
        <v>HTR8 - 10680000</v>
      </c>
      <c r="B4633" s="233" t="s">
        <v>3386</v>
      </c>
      <c r="C4633" s="227" t="s">
        <v>644</v>
      </c>
      <c r="F4633" s="227" t="s">
        <v>3001</v>
      </c>
    </row>
    <row r="4634" spans="1:6" x14ac:dyDescent="0.25">
      <c r="A4634" s="227" t="str">
        <f>TL[[#This Row],[Société]]&amp;" - "&amp;TL[[#This Row],[Compte]]</f>
        <v>HTR8 - 10681000</v>
      </c>
      <c r="B4634" s="233" t="s">
        <v>3387</v>
      </c>
      <c r="C4634" s="227" t="s">
        <v>6546</v>
      </c>
      <c r="F4634" s="227" t="s">
        <v>3001</v>
      </c>
    </row>
    <row r="4635" spans="1:6" x14ac:dyDescent="0.25">
      <c r="A4635" s="227" t="str">
        <f>TL[[#This Row],[Société]]&amp;" - "&amp;TL[[#This Row],[Compte]]</f>
        <v>HTR8 - 11900000</v>
      </c>
      <c r="B4635" s="233" t="s">
        <v>3388</v>
      </c>
      <c r="C4635" s="227" t="s">
        <v>3827</v>
      </c>
      <c r="F4635" s="227" t="s">
        <v>3001</v>
      </c>
    </row>
    <row r="4636" spans="1:6" x14ac:dyDescent="0.25">
      <c r="A4636" s="227" t="str">
        <f>TL[[#This Row],[Société]]&amp;" - "&amp;TL[[#This Row],[Compte]]</f>
        <v>HTR8 - 12000000</v>
      </c>
      <c r="B4636" s="233" t="s">
        <v>3389</v>
      </c>
      <c r="C4636" s="227" t="s">
        <v>6547</v>
      </c>
      <c r="F4636" s="227" t="s">
        <v>3001</v>
      </c>
    </row>
    <row r="4637" spans="1:6" x14ac:dyDescent="0.25">
      <c r="A4637" s="227" t="str">
        <f>TL[[#This Row],[Société]]&amp;" - "&amp;TL[[#This Row],[Compte]]</f>
        <v>HTR8 - 12900000</v>
      </c>
      <c r="B4637" s="233" t="s">
        <v>3390</v>
      </c>
      <c r="C4637" s="227" t="s">
        <v>6547</v>
      </c>
      <c r="F4637" s="227" t="s">
        <v>3001</v>
      </c>
    </row>
    <row r="4638" spans="1:6" x14ac:dyDescent="0.25">
      <c r="A4638" s="227" t="str">
        <f>TL[[#This Row],[Société]]&amp;" - "&amp;TL[[#This Row],[Compte]]</f>
        <v>HTR8 - 14500000</v>
      </c>
      <c r="B4638" s="233" t="s">
        <v>3391</v>
      </c>
      <c r="C4638" s="227" t="s">
        <v>544</v>
      </c>
      <c r="F4638" s="227" t="s">
        <v>3001</v>
      </c>
    </row>
    <row r="4639" spans="1:6" x14ac:dyDescent="0.25">
      <c r="A4639" s="227" t="str">
        <f>TL[[#This Row],[Société]]&amp;" - "&amp;TL[[#This Row],[Compte]]</f>
        <v>HTR8 - 15180000</v>
      </c>
      <c r="B4639" s="233" t="s">
        <v>3392</v>
      </c>
      <c r="C4639" s="227" t="s">
        <v>6548</v>
      </c>
      <c r="F4639" s="227" t="s">
        <v>3001</v>
      </c>
    </row>
    <row r="4640" spans="1:6" x14ac:dyDescent="0.25">
      <c r="A4640" s="227" t="str">
        <f>TL[[#This Row],[Société]]&amp;" - "&amp;TL[[#This Row],[Compte]]</f>
        <v>HTR8 - 15300000</v>
      </c>
      <c r="B4640" s="233" t="s">
        <v>3393</v>
      </c>
      <c r="C4640" s="227" t="s">
        <v>546</v>
      </c>
      <c r="F4640" s="227" t="s">
        <v>3001</v>
      </c>
    </row>
    <row r="4641" spans="1:6" x14ac:dyDescent="0.25">
      <c r="A4641" s="227" t="str">
        <f>TL[[#This Row],[Société]]&amp;" - "&amp;TL[[#This Row],[Compte]]</f>
        <v>HTR8 - 15800000</v>
      </c>
      <c r="B4641" s="233" t="s">
        <v>3394</v>
      </c>
      <c r="C4641" s="227" t="s">
        <v>547</v>
      </c>
      <c r="F4641" s="227" t="s">
        <v>3001</v>
      </c>
    </row>
    <row r="4642" spans="1:6" x14ac:dyDescent="0.25">
      <c r="A4642" s="227" t="str">
        <f>TL[[#This Row],[Société]]&amp;" - "&amp;TL[[#This Row],[Compte]]</f>
        <v>HTR8 - 16400000</v>
      </c>
      <c r="B4642" s="233" t="s">
        <v>6074</v>
      </c>
      <c r="C4642" s="227" t="s">
        <v>6549</v>
      </c>
      <c r="F4642" s="227" t="s">
        <v>3001</v>
      </c>
    </row>
    <row r="4643" spans="1:6" x14ac:dyDescent="0.25">
      <c r="A4643" s="227" t="str">
        <f>TL[[#This Row],[Société]]&amp;" - "&amp;TL[[#This Row],[Compte]]</f>
        <v>HTR8 - 16410000</v>
      </c>
      <c r="B4643" s="233" t="s">
        <v>3395</v>
      </c>
      <c r="C4643" s="227" t="s">
        <v>6550</v>
      </c>
      <c r="F4643" s="227" t="s">
        <v>3001</v>
      </c>
    </row>
    <row r="4644" spans="1:6" x14ac:dyDescent="0.25">
      <c r="A4644" s="227" t="str">
        <f>TL[[#This Row],[Société]]&amp;" - "&amp;TL[[#This Row],[Compte]]</f>
        <v>HTR8 - 16420000</v>
      </c>
      <c r="B4644" s="233" t="s">
        <v>3396</v>
      </c>
      <c r="C4644" s="227" t="s">
        <v>6551</v>
      </c>
      <c r="F4644" s="227" t="s">
        <v>3001</v>
      </c>
    </row>
    <row r="4645" spans="1:6" x14ac:dyDescent="0.25">
      <c r="A4645" s="227" t="str">
        <f>TL[[#This Row],[Société]]&amp;" - "&amp;TL[[#This Row],[Compte]]</f>
        <v>HTR8 - 16880000</v>
      </c>
      <c r="B4645" s="233" t="s">
        <v>3400</v>
      </c>
      <c r="C4645" s="227" t="s">
        <v>956</v>
      </c>
      <c r="F4645" s="227" t="s">
        <v>3001</v>
      </c>
    </row>
    <row r="4646" spans="1:6" x14ac:dyDescent="0.25">
      <c r="A4646" s="227" t="str">
        <f>TL[[#This Row],[Société]]&amp;" - "&amp;TL[[#This Row],[Compte]]</f>
        <v>HTR8 - 20500000</v>
      </c>
      <c r="B4646" s="233" t="s">
        <v>3402</v>
      </c>
      <c r="C4646" s="227" t="s">
        <v>1094</v>
      </c>
      <c r="F4646" s="227" t="s">
        <v>3001</v>
      </c>
    </row>
    <row r="4647" spans="1:6" x14ac:dyDescent="0.25">
      <c r="A4647" s="227" t="str">
        <f>TL[[#This Row],[Société]]&amp;" - "&amp;TL[[#This Row],[Compte]]</f>
        <v>HTR8 - 21540000</v>
      </c>
      <c r="B4647" s="233" t="s">
        <v>3403</v>
      </c>
      <c r="C4647" s="227" t="s">
        <v>550</v>
      </c>
      <c r="F4647" s="227" t="s">
        <v>3001</v>
      </c>
    </row>
    <row r="4648" spans="1:6" x14ac:dyDescent="0.25">
      <c r="A4648" s="227" t="str">
        <f>TL[[#This Row],[Société]]&amp;" - "&amp;TL[[#This Row],[Compte]]</f>
        <v>HTR8 - 21550000</v>
      </c>
      <c r="B4648" s="233" t="s">
        <v>3404</v>
      </c>
      <c r="C4648" s="227" t="s">
        <v>551</v>
      </c>
      <c r="F4648" s="227" t="s">
        <v>3001</v>
      </c>
    </row>
    <row r="4649" spans="1:6" x14ac:dyDescent="0.25">
      <c r="A4649" s="227" t="str">
        <f>TL[[#This Row],[Société]]&amp;" - "&amp;TL[[#This Row],[Compte]]</f>
        <v>HTR8 - 21810000</v>
      </c>
      <c r="B4649" s="233" t="s">
        <v>3406</v>
      </c>
      <c r="C4649" s="227" t="s">
        <v>552</v>
      </c>
      <c r="F4649" s="227" t="s">
        <v>3001</v>
      </c>
    </row>
    <row r="4650" spans="1:6" x14ac:dyDescent="0.25">
      <c r="A4650" s="227" t="str">
        <f>TL[[#This Row],[Société]]&amp;" - "&amp;TL[[#This Row],[Compte]]</f>
        <v>HTR8 - 21820000</v>
      </c>
      <c r="B4650" s="233" t="s">
        <v>6077</v>
      </c>
      <c r="C4650" s="227" t="s">
        <v>553</v>
      </c>
      <c r="F4650" s="227" t="s">
        <v>3001</v>
      </c>
    </row>
    <row r="4651" spans="1:6" x14ac:dyDescent="0.25">
      <c r="A4651" s="227" t="str">
        <f>TL[[#This Row],[Société]]&amp;" - "&amp;TL[[#This Row],[Compte]]</f>
        <v>HTR8 - 21830000</v>
      </c>
      <c r="B4651" s="233" t="s">
        <v>3407</v>
      </c>
      <c r="C4651" s="227" t="s">
        <v>6219</v>
      </c>
      <c r="F4651" s="227" t="s">
        <v>3001</v>
      </c>
    </row>
    <row r="4652" spans="1:6" x14ac:dyDescent="0.25">
      <c r="A4652" s="227" t="str">
        <f>TL[[#This Row],[Société]]&amp;" - "&amp;TL[[#This Row],[Compte]]</f>
        <v>HTR8 - 21840000</v>
      </c>
      <c r="B4652" s="233" t="s">
        <v>3408</v>
      </c>
      <c r="C4652" s="227" t="s">
        <v>555</v>
      </c>
      <c r="F4652" s="227" t="s">
        <v>3001</v>
      </c>
    </row>
    <row r="4653" spans="1:6" x14ac:dyDescent="0.25">
      <c r="A4653" s="227" t="str">
        <f>TL[[#This Row],[Société]]&amp;" - "&amp;TL[[#This Row],[Compte]]</f>
        <v>HTR8 - 21850000</v>
      </c>
      <c r="B4653" s="233" t="s">
        <v>6552</v>
      </c>
      <c r="C4653" s="227" t="s">
        <v>1455</v>
      </c>
      <c r="F4653" s="227" t="s">
        <v>3001</v>
      </c>
    </row>
    <row r="4654" spans="1:6" x14ac:dyDescent="0.25">
      <c r="A4654" s="227" t="str">
        <f>TL[[#This Row],[Société]]&amp;" - "&amp;TL[[#This Row],[Compte]]</f>
        <v>HTR8 - 27110000</v>
      </c>
      <c r="B4654" s="233" t="s">
        <v>3411</v>
      </c>
      <c r="C4654" s="227" t="s">
        <v>596</v>
      </c>
      <c r="F4654" s="227" t="s">
        <v>3001</v>
      </c>
    </row>
    <row r="4655" spans="1:6" x14ac:dyDescent="0.25">
      <c r="A4655" s="227" t="str">
        <f>TL[[#This Row],[Société]]&amp;" - "&amp;TL[[#This Row],[Compte]]</f>
        <v>HTR8 - 27500000</v>
      </c>
      <c r="B4655" s="233" t="s">
        <v>3412</v>
      </c>
      <c r="C4655" s="227" t="s">
        <v>6553</v>
      </c>
      <c r="F4655" s="227" t="s">
        <v>3001</v>
      </c>
    </row>
    <row r="4656" spans="1:6" x14ac:dyDescent="0.25">
      <c r="A4656" s="227" t="str">
        <f>TL[[#This Row],[Société]]&amp;" - "&amp;TL[[#This Row],[Compte]]</f>
        <v>HTR8 - 27510000</v>
      </c>
      <c r="B4656" s="233" t="s">
        <v>3413</v>
      </c>
      <c r="C4656" s="227" t="s">
        <v>4177</v>
      </c>
      <c r="F4656" s="227" t="s">
        <v>3001</v>
      </c>
    </row>
    <row r="4657" spans="1:6" x14ac:dyDescent="0.25">
      <c r="A4657" s="227" t="str">
        <f>TL[[#This Row],[Société]]&amp;" - "&amp;TL[[#This Row],[Compte]]</f>
        <v>HTR8 - 28050000</v>
      </c>
      <c r="B4657" s="233" t="s">
        <v>3416</v>
      </c>
      <c r="C4657" s="227" t="s">
        <v>964</v>
      </c>
      <c r="F4657" s="227" t="s">
        <v>3001</v>
      </c>
    </row>
    <row r="4658" spans="1:6" x14ac:dyDescent="0.25">
      <c r="A4658" s="227" t="str">
        <f>TL[[#This Row],[Société]]&amp;" - "&amp;TL[[#This Row],[Compte]]</f>
        <v>HTR8 - 28154000</v>
      </c>
      <c r="B4658" s="233" t="s">
        <v>3417</v>
      </c>
      <c r="C4658" s="227" t="s">
        <v>6554</v>
      </c>
      <c r="F4658" s="227" t="s">
        <v>3001</v>
      </c>
    </row>
    <row r="4659" spans="1:6" x14ac:dyDescent="0.25">
      <c r="A4659" s="227" t="str">
        <f>TL[[#This Row],[Société]]&amp;" - "&amp;TL[[#This Row],[Compte]]</f>
        <v>HTR8 - 28155000</v>
      </c>
      <c r="B4659" s="233" t="s">
        <v>3418</v>
      </c>
      <c r="C4659" s="227" t="s">
        <v>6555</v>
      </c>
      <c r="F4659" s="227" t="s">
        <v>3001</v>
      </c>
    </row>
    <row r="4660" spans="1:6" x14ac:dyDescent="0.25">
      <c r="A4660" s="227" t="str">
        <f>TL[[#This Row],[Société]]&amp;" - "&amp;TL[[#This Row],[Compte]]</f>
        <v>HTR8 - 28181000</v>
      </c>
      <c r="B4660" s="233" t="s">
        <v>3420</v>
      </c>
      <c r="C4660" s="227" t="s">
        <v>968</v>
      </c>
      <c r="F4660" s="227" t="s">
        <v>3001</v>
      </c>
    </row>
    <row r="4661" spans="1:6" x14ac:dyDescent="0.25">
      <c r="A4661" s="227" t="str">
        <f>TL[[#This Row],[Société]]&amp;" - "&amp;TL[[#This Row],[Compte]]</f>
        <v>HTR8 - 28183000</v>
      </c>
      <c r="B4661" s="233" t="s">
        <v>3421</v>
      </c>
      <c r="C4661" s="227" t="s">
        <v>969</v>
      </c>
      <c r="F4661" s="227" t="s">
        <v>3001</v>
      </c>
    </row>
    <row r="4662" spans="1:6" x14ac:dyDescent="0.25">
      <c r="A4662" s="227" t="str">
        <f>TL[[#This Row],[Société]]&amp;" - "&amp;TL[[#This Row],[Compte]]</f>
        <v>HTR8 - 28184000</v>
      </c>
      <c r="B4662" s="233" t="s">
        <v>3422</v>
      </c>
      <c r="C4662" s="227" t="s">
        <v>970</v>
      </c>
      <c r="F4662" s="227" t="s">
        <v>3001</v>
      </c>
    </row>
    <row r="4663" spans="1:6" x14ac:dyDescent="0.25">
      <c r="A4663" s="227" t="str">
        <f>TL[[#This Row],[Société]]&amp;" - "&amp;TL[[#This Row],[Compte]]</f>
        <v>HTR8 - 31000000</v>
      </c>
      <c r="B4663" s="233" t="s">
        <v>3423</v>
      </c>
      <c r="C4663" s="227" t="s">
        <v>1101</v>
      </c>
      <c r="F4663" s="227" t="s">
        <v>3001</v>
      </c>
    </row>
    <row r="4664" spans="1:6" x14ac:dyDescent="0.25">
      <c r="A4664" s="227" t="str">
        <f>TL[[#This Row],[Société]]&amp;" - "&amp;TL[[#This Row],[Compte]]</f>
        <v>HTR8 - 32000000</v>
      </c>
      <c r="B4664" s="233" t="s">
        <v>3424</v>
      </c>
      <c r="C4664" s="227" t="s">
        <v>562</v>
      </c>
      <c r="F4664" s="227" t="s">
        <v>3001</v>
      </c>
    </row>
    <row r="4665" spans="1:6" x14ac:dyDescent="0.25">
      <c r="A4665" s="227" t="str">
        <f>TL[[#This Row],[Société]]&amp;" - "&amp;TL[[#This Row],[Compte]]</f>
        <v>HTR8 - 32100000</v>
      </c>
      <c r="B4665" s="233" t="s">
        <v>3425</v>
      </c>
      <c r="C4665" s="227" t="s">
        <v>563</v>
      </c>
      <c r="F4665" s="227" t="s">
        <v>3001</v>
      </c>
    </row>
    <row r="4666" spans="1:6" x14ac:dyDescent="0.25">
      <c r="A4666" s="227" t="str">
        <f>TL[[#This Row],[Société]]&amp;" - "&amp;TL[[#This Row],[Compte]]</f>
        <v>HTR8 - 40100000</v>
      </c>
      <c r="B4666" s="233" t="s">
        <v>3427</v>
      </c>
      <c r="C4666" s="227" t="s">
        <v>564</v>
      </c>
      <c r="F4666" s="227" t="s">
        <v>3001</v>
      </c>
    </row>
    <row r="4667" spans="1:6" x14ac:dyDescent="0.25">
      <c r="A4667" s="227" t="str">
        <f>TL[[#This Row],[Société]]&amp;" - "&amp;TL[[#This Row],[Compte]]</f>
        <v>HTR8 - 40410000</v>
      </c>
      <c r="B4667" s="233" t="s">
        <v>3428</v>
      </c>
      <c r="C4667" s="227" t="s">
        <v>664</v>
      </c>
      <c r="F4667" s="227" t="s">
        <v>3001</v>
      </c>
    </row>
    <row r="4668" spans="1:6" x14ac:dyDescent="0.25">
      <c r="A4668" s="227" t="str">
        <f>TL[[#This Row],[Société]]&amp;" - "&amp;TL[[#This Row],[Compte]]</f>
        <v>HTR8 - 40810000</v>
      </c>
      <c r="B4668" s="233" t="s">
        <v>3429</v>
      </c>
      <c r="C4668" s="227" t="s">
        <v>975</v>
      </c>
      <c r="F4668" s="227" t="s">
        <v>3001</v>
      </c>
    </row>
    <row r="4669" spans="1:6" x14ac:dyDescent="0.25">
      <c r="A4669" s="227" t="str">
        <f>TL[[#This Row],[Société]]&amp;" - "&amp;TL[[#This Row],[Compte]]</f>
        <v>HTR8 - 40910000</v>
      </c>
      <c r="B4669" s="233" t="s">
        <v>3431</v>
      </c>
      <c r="C4669" s="227" t="s">
        <v>6222</v>
      </c>
      <c r="F4669" s="227" t="s">
        <v>3001</v>
      </c>
    </row>
    <row r="4670" spans="1:6" x14ac:dyDescent="0.25">
      <c r="A4670" s="227" t="str">
        <f>TL[[#This Row],[Société]]&amp;" - "&amp;TL[[#This Row],[Compte]]</f>
        <v>HTR8 - 40960000</v>
      </c>
      <c r="B4670" s="233" t="s">
        <v>3432</v>
      </c>
      <c r="C4670" s="227" t="s">
        <v>565</v>
      </c>
      <c r="F4670" s="227" t="s">
        <v>3001</v>
      </c>
    </row>
    <row r="4671" spans="1:6" x14ac:dyDescent="0.25">
      <c r="A4671" s="227" t="str">
        <f>TL[[#This Row],[Société]]&amp;" - "&amp;TL[[#This Row],[Compte]]</f>
        <v>HTR8 - 40970000</v>
      </c>
      <c r="B4671" s="233" t="s">
        <v>3433</v>
      </c>
      <c r="C4671" s="227" t="s">
        <v>663</v>
      </c>
      <c r="F4671" s="227" t="s">
        <v>3001</v>
      </c>
    </row>
    <row r="4672" spans="1:6" x14ac:dyDescent="0.25">
      <c r="A4672" s="227" t="str">
        <f>TL[[#This Row],[Société]]&amp;" - "&amp;TL[[#This Row],[Compte]]</f>
        <v>HTR8 - 40970400</v>
      </c>
      <c r="B4672" s="233" t="s">
        <v>6556</v>
      </c>
      <c r="C4672" s="227" t="s">
        <v>6557</v>
      </c>
      <c r="F4672" s="227" t="s">
        <v>3001</v>
      </c>
    </row>
    <row r="4673" spans="1:6" x14ac:dyDescent="0.25">
      <c r="A4673" s="227" t="str">
        <f>TL[[#This Row],[Société]]&amp;" - "&amp;TL[[#This Row],[Compte]]</f>
        <v>HTR8 - 40980000</v>
      </c>
      <c r="B4673" s="233" t="s">
        <v>3434</v>
      </c>
      <c r="C4673" s="227" t="s">
        <v>980</v>
      </c>
      <c r="F4673" s="227" t="s">
        <v>3001</v>
      </c>
    </row>
    <row r="4674" spans="1:6" x14ac:dyDescent="0.25">
      <c r="A4674" s="227" t="str">
        <f>TL[[#This Row],[Société]]&amp;" - "&amp;TL[[#This Row],[Compte]]</f>
        <v>HTR8 - 41100000</v>
      </c>
      <c r="B4674" s="233" t="s">
        <v>1575</v>
      </c>
      <c r="C4674" s="227" t="s">
        <v>568</v>
      </c>
      <c r="F4674" s="227" t="s">
        <v>3001</v>
      </c>
    </row>
    <row r="4675" spans="1:6" x14ac:dyDescent="0.25">
      <c r="A4675" s="227" t="str">
        <f>TL[[#This Row],[Société]]&amp;" - "&amp;TL[[#This Row],[Compte]]</f>
        <v>HTR8 - 41110000</v>
      </c>
      <c r="B4675" s="233" t="s">
        <v>6503</v>
      </c>
      <c r="C4675" s="227" t="s">
        <v>568</v>
      </c>
      <c r="F4675" s="227" t="s">
        <v>3001</v>
      </c>
    </row>
    <row r="4676" spans="1:6" x14ac:dyDescent="0.25">
      <c r="A4676" s="227" t="str">
        <f>TL[[#This Row],[Société]]&amp;" - "&amp;TL[[#This Row],[Compte]]</f>
        <v>HTR8 - 41300000</v>
      </c>
      <c r="B4676" s="233" t="s">
        <v>3435</v>
      </c>
      <c r="C4676" s="227" t="s">
        <v>3089</v>
      </c>
      <c r="F4676" s="227" t="s">
        <v>3001</v>
      </c>
    </row>
    <row r="4677" spans="1:6" x14ac:dyDescent="0.25">
      <c r="A4677" s="227" t="str">
        <f>TL[[#This Row],[Société]]&amp;" - "&amp;TL[[#This Row],[Compte]]</f>
        <v>HTR8 - 41810000</v>
      </c>
      <c r="B4677" s="233" t="s">
        <v>3437</v>
      </c>
      <c r="C4677" s="227" t="s">
        <v>982</v>
      </c>
      <c r="F4677" s="227" t="s">
        <v>3001</v>
      </c>
    </row>
    <row r="4678" spans="1:6" x14ac:dyDescent="0.25">
      <c r="A4678" s="227" t="str">
        <f>TL[[#This Row],[Société]]&amp;" - "&amp;TL[[#This Row],[Compte]]</f>
        <v>HTR8 - 41980000</v>
      </c>
      <c r="B4678" s="233" t="s">
        <v>6081</v>
      </c>
      <c r="C4678" s="227" t="s">
        <v>1529</v>
      </c>
      <c r="F4678" s="227" t="s">
        <v>3001</v>
      </c>
    </row>
    <row r="4679" spans="1:6" x14ac:dyDescent="0.25">
      <c r="A4679" s="227" t="str">
        <f>TL[[#This Row],[Société]]&amp;" - "&amp;TL[[#This Row],[Compte]]</f>
        <v>HTR8 - 42100000</v>
      </c>
      <c r="B4679" s="233" t="s">
        <v>3438</v>
      </c>
      <c r="C4679" s="227" t="s">
        <v>3090</v>
      </c>
      <c r="F4679" s="227" t="s">
        <v>3001</v>
      </c>
    </row>
    <row r="4680" spans="1:6" x14ac:dyDescent="0.25">
      <c r="A4680" s="227" t="str">
        <f>TL[[#This Row],[Société]]&amp;" - "&amp;TL[[#This Row],[Compte]]</f>
        <v>HTR8 - 42101000</v>
      </c>
      <c r="B4680" s="233" t="s">
        <v>3439</v>
      </c>
      <c r="C4680" s="227" t="s">
        <v>1305</v>
      </c>
      <c r="F4680" s="227" t="s">
        <v>3001</v>
      </c>
    </row>
    <row r="4681" spans="1:6" x14ac:dyDescent="0.25">
      <c r="A4681" s="227" t="str">
        <f>TL[[#This Row],[Société]]&amp;" - "&amp;TL[[#This Row],[Compte]]</f>
        <v>HTR8 - 42110000</v>
      </c>
      <c r="B4681" s="233" t="s">
        <v>6558</v>
      </c>
      <c r="C4681" s="227" t="s">
        <v>6559</v>
      </c>
      <c r="F4681" s="227" t="s">
        <v>3001</v>
      </c>
    </row>
    <row r="4682" spans="1:6" x14ac:dyDescent="0.25">
      <c r="A4682" s="227" t="str">
        <f>TL[[#This Row],[Société]]&amp;" - "&amp;TL[[#This Row],[Compte]]</f>
        <v>HTR8 - 42500000</v>
      </c>
      <c r="B4682" s="233" t="s">
        <v>3441</v>
      </c>
      <c r="C4682" s="227" t="s">
        <v>3093</v>
      </c>
      <c r="F4682" s="227" t="s">
        <v>3001</v>
      </c>
    </row>
    <row r="4683" spans="1:6" x14ac:dyDescent="0.25">
      <c r="A4683" s="227" t="str">
        <f>TL[[#This Row],[Société]]&amp;" - "&amp;TL[[#This Row],[Compte]]</f>
        <v>HTR8 - 42700000</v>
      </c>
      <c r="B4683" s="233" t="s">
        <v>3442</v>
      </c>
      <c r="C4683" s="227" t="s">
        <v>4451</v>
      </c>
      <c r="F4683" s="227" t="s">
        <v>3001</v>
      </c>
    </row>
    <row r="4684" spans="1:6" x14ac:dyDescent="0.25">
      <c r="A4684" s="227" t="str">
        <f>TL[[#This Row],[Société]]&amp;" - "&amp;TL[[#This Row],[Compte]]</f>
        <v>HTR8 - 42820000</v>
      </c>
      <c r="B4684" s="233" t="s">
        <v>3443</v>
      </c>
      <c r="C4684" s="227" t="s">
        <v>984</v>
      </c>
      <c r="F4684" s="227" t="s">
        <v>3001</v>
      </c>
    </row>
    <row r="4685" spans="1:6" x14ac:dyDescent="0.25">
      <c r="A4685" s="227" t="str">
        <f>TL[[#This Row],[Société]]&amp;" - "&amp;TL[[#This Row],[Compte]]</f>
        <v>HTR8 - 42830000</v>
      </c>
      <c r="B4685" s="233" t="s">
        <v>3444</v>
      </c>
      <c r="C4685" s="227" t="s">
        <v>6560</v>
      </c>
      <c r="F4685" s="227" t="s">
        <v>3001</v>
      </c>
    </row>
    <row r="4686" spans="1:6" x14ac:dyDescent="0.25">
      <c r="A4686" s="227" t="str">
        <f>TL[[#This Row],[Société]]&amp;" - "&amp;TL[[#This Row],[Compte]]</f>
        <v>HTR8 - 43100000</v>
      </c>
      <c r="B4686" s="233" t="s">
        <v>3445</v>
      </c>
      <c r="C4686" s="227" t="s">
        <v>3101</v>
      </c>
      <c r="F4686" s="227" t="s">
        <v>3001</v>
      </c>
    </row>
    <row r="4687" spans="1:6" x14ac:dyDescent="0.25">
      <c r="A4687" s="227" t="str">
        <f>TL[[#This Row],[Société]]&amp;" - "&amp;TL[[#This Row],[Compte]]</f>
        <v>HTR8 - 43701000</v>
      </c>
      <c r="B4687" s="233" t="s">
        <v>3447</v>
      </c>
      <c r="C4687" s="227" t="s">
        <v>1457</v>
      </c>
      <c r="F4687" s="227" t="s">
        <v>3001</v>
      </c>
    </row>
    <row r="4688" spans="1:6" x14ac:dyDescent="0.25">
      <c r="A4688" s="227" t="str">
        <f>TL[[#This Row],[Société]]&amp;" - "&amp;TL[[#This Row],[Compte]]</f>
        <v>HTR8 - 43702000</v>
      </c>
      <c r="B4688" s="233" t="s">
        <v>3449</v>
      </c>
      <c r="C4688" s="227" t="s">
        <v>6561</v>
      </c>
      <c r="F4688" s="227" t="s">
        <v>3001</v>
      </c>
    </row>
    <row r="4689" spans="1:6" x14ac:dyDescent="0.25">
      <c r="A4689" s="227" t="str">
        <f>TL[[#This Row],[Société]]&amp;" - "&amp;TL[[#This Row],[Compte]]</f>
        <v>HTR8 - 43703000</v>
      </c>
      <c r="B4689" s="233" t="s">
        <v>3453</v>
      </c>
      <c r="C4689" s="227" t="s">
        <v>576</v>
      </c>
      <c r="F4689" s="227" t="s">
        <v>3001</v>
      </c>
    </row>
    <row r="4690" spans="1:6" x14ac:dyDescent="0.25">
      <c r="A4690" s="227" t="str">
        <f>TL[[#This Row],[Société]]&amp;" - "&amp;TL[[#This Row],[Compte]]</f>
        <v>HTR8 - 43704000</v>
      </c>
      <c r="B4690" s="233" t="s">
        <v>3454</v>
      </c>
      <c r="C4690" s="227" t="s">
        <v>3113</v>
      </c>
      <c r="F4690" s="227" t="s">
        <v>3001</v>
      </c>
    </row>
    <row r="4691" spans="1:6" x14ac:dyDescent="0.25">
      <c r="A4691" s="227" t="str">
        <f>TL[[#This Row],[Société]]&amp;" - "&amp;TL[[#This Row],[Compte]]</f>
        <v>HTR8 - 43705000</v>
      </c>
      <c r="B4691" s="233" t="s">
        <v>3455</v>
      </c>
      <c r="C4691" s="227" t="s">
        <v>6562</v>
      </c>
      <c r="F4691" s="227" t="s">
        <v>3001</v>
      </c>
    </row>
    <row r="4692" spans="1:6" x14ac:dyDescent="0.25">
      <c r="A4692" s="227" t="str">
        <f>TL[[#This Row],[Société]]&amp;" - "&amp;TL[[#This Row],[Compte]]</f>
        <v>HTR8 - 43706000</v>
      </c>
      <c r="B4692" s="233" t="s">
        <v>3456</v>
      </c>
      <c r="C4692" s="227" t="s">
        <v>1108</v>
      </c>
      <c r="F4692" s="227" t="s">
        <v>3001</v>
      </c>
    </row>
    <row r="4693" spans="1:6" x14ac:dyDescent="0.25">
      <c r="A4693" s="227" t="str">
        <f>TL[[#This Row],[Société]]&amp;" - "&amp;TL[[#This Row],[Compte]]</f>
        <v>HTR8 - 43707000</v>
      </c>
      <c r="B4693" s="233" t="s">
        <v>6083</v>
      </c>
      <c r="C4693" s="227" t="s">
        <v>6563</v>
      </c>
      <c r="F4693" s="227" t="s">
        <v>3001</v>
      </c>
    </row>
    <row r="4694" spans="1:6" x14ac:dyDescent="0.25">
      <c r="A4694" s="227" t="str">
        <f>TL[[#This Row],[Société]]&amp;" - "&amp;TL[[#This Row],[Compte]]</f>
        <v>HTR8 - 43708000</v>
      </c>
      <c r="B4694" s="233" t="s">
        <v>3457</v>
      </c>
      <c r="C4694" s="227" t="s">
        <v>1076</v>
      </c>
      <c r="F4694" s="227" t="s">
        <v>3001</v>
      </c>
    </row>
    <row r="4695" spans="1:6" x14ac:dyDescent="0.25">
      <c r="A4695" s="227" t="str">
        <f>TL[[#This Row],[Société]]&amp;" - "&amp;TL[[#This Row],[Compte]]</f>
        <v>HTR8 - 43709000</v>
      </c>
      <c r="B4695" s="233" t="s">
        <v>6084</v>
      </c>
      <c r="C4695" s="227" t="s">
        <v>6564</v>
      </c>
      <c r="F4695" s="227" t="s">
        <v>3001</v>
      </c>
    </row>
    <row r="4696" spans="1:6" x14ac:dyDescent="0.25">
      <c r="A4696" s="227" t="str">
        <f>TL[[#This Row],[Société]]&amp;" - "&amp;TL[[#This Row],[Compte]]</f>
        <v>HTR8 - 43820000</v>
      </c>
      <c r="B4696" s="233" t="s">
        <v>3459</v>
      </c>
      <c r="C4696" s="227" t="s">
        <v>858</v>
      </c>
      <c r="F4696" s="227" t="s">
        <v>3001</v>
      </c>
    </row>
    <row r="4697" spans="1:6" x14ac:dyDescent="0.25">
      <c r="A4697" s="227" t="str">
        <f>TL[[#This Row],[Société]]&amp;" - "&amp;TL[[#This Row],[Compte]]</f>
        <v>HTR8 - 43830000</v>
      </c>
      <c r="B4697" s="233" t="s">
        <v>6565</v>
      </c>
      <c r="C4697" s="227" t="s">
        <v>6566</v>
      </c>
      <c r="F4697" s="227" t="s">
        <v>3001</v>
      </c>
    </row>
    <row r="4698" spans="1:6" x14ac:dyDescent="0.25">
      <c r="A4698" s="227" t="str">
        <f>TL[[#This Row],[Société]]&amp;" - "&amp;TL[[#This Row],[Compte]]</f>
        <v>HTR8 - 43860000</v>
      </c>
      <c r="B4698" s="233" t="s">
        <v>3460</v>
      </c>
      <c r="C4698" s="227" t="s">
        <v>986</v>
      </c>
      <c r="F4698" s="227" t="s">
        <v>3001</v>
      </c>
    </row>
    <row r="4699" spans="1:6" x14ac:dyDescent="0.25">
      <c r="A4699" s="227" t="str">
        <f>TL[[#This Row],[Société]]&amp;" - "&amp;TL[[#This Row],[Compte]]</f>
        <v>HTR8 - 43861000</v>
      </c>
      <c r="B4699" s="233" t="s">
        <v>6085</v>
      </c>
      <c r="C4699" s="227" t="s">
        <v>2125</v>
      </c>
      <c r="F4699" s="227" t="s">
        <v>3001</v>
      </c>
    </row>
    <row r="4700" spans="1:6" x14ac:dyDescent="0.25">
      <c r="A4700" s="227" t="str">
        <f>TL[[#This Row],[Société]]&amp;" - "&amp;TL[[#This Row],[Compte]]</f>
        <v>HTR8 - 43862000</v>
      </c>
      <c r="B4700" s="233" t="s">
        <v>6086</v>
      </c>
      <c r="C4700" s="227" t="s">
        <v>6567</v>
      </c>
      <c r="F4700" s="227" t="s">
        <v>3001</v>
      </c>
    </row>
    <row r="4701" spans="1:6" x14ac:dyDescent="0.25">
      <c r="A4701" s="227" t="str">
        <f>TL[[#This Row],[Société]]&amp;" - "&amp;TL[[#This Row],[Compte]]</f>
        <v>HTR8 - 44200000</v>
      </c>
      <c r="B4701" s="233" t="s">
        <v>3461</v>
      </c>
      <c r="C4701" s="227" t="s">
        <v>3120</v>
      </c>
      <c r="F4701" s="227" t="s">
        <v>3001</v>
      </c>
    </row>
    <row r="4702" spans="1:6" x14ac:dyDescent="0.25">
      <c r="A4702" s="227" t="str">
        <f>TL[[#This Row],[Société]]&amp;" - "&amp;TL[[#This Row],[Compte]]</f>
        <v>HTR8 - 44400000</v>
      </c>
      <c r="B4702" s="233" t="s">
        <v>3464</v>
      </c>
      <c r="C4702" s="227" t="s">
        <v>988</v>
      </c>
      <c r="F4702" s="227" t="s">
        <v>3001</v>
      </c>
    </row>
    <row r="4703" spans="1:6" x14ac:dyDescent="0.25">
      <c r="A4703" s="227" t="str">
        <f>TL[[#This Row],[Société]]&amp;" - "&amp;TL[[#This Row],[Compte]]</f>
        <v>HTR8 - 44520000</v>
      </c>
      <c r="B4703" s="233" t="s">
        <v>3465</v>
      </c>
      <c r="C4703" s="227" t="s">
        <v>580</v>
      </c>
      <c r="F4703" s="227" t="s">
        <v>3001</v>
      </c>
    </row>
    <row r="4704" spans="1:6" x14ac:dyDescent="0.25">
      <c r="A4704" s="227" t="str">
        <f>TL[[#This Row],[Société]]&amp;" - "&amp;TL[[#This Row],[Compte]]</f>
        <v>HTR8 - 44551000</v>
      </c>
      <c r="B4704" s="233" t="s">
        <v>3466</v>
      </c>
      <c r="C4704" s="227" t="s">
        <v>949</v>
      </c>
      <c r="F4704" s="227" t="s">
        <v>3001</v>
      </c>
    </row>
    <row r="4705" spans="1:6" x14ac:dyDescent="0.25">
      <c r="A4705" s="227" t="str">
        <f>TL[[#This Row],[Société]]&amp;" - "&amp;TL[[#This Row],[Compte]]</f>
        <v>HTR8 - 44562000</v>
      </c>
      <c r="B4705" s="233" t="s">
        <v>3467</v>
      </c>
      <c r="C4705" s="227" t="s">
        <v>3127</v>
      </c>
      <c r="F4705" s="227" t="s">
        <v>3001</v>
      </c>
    </row>
    <row r="4706" spans="1:6" x14ac:dyDescent="0.25">
      <c r="A4706" s="227" t="str">
        <f>TL[[#This Row],[Société]]&amp;" - "&amp;TL[[#This Row],[Compte]]</f>
        <v>HTR8 - 44562100</v>
      </c>
      <c r="B4706" s="233" t="s">
        <v>3468</v>
      </c>
      <c r="C4706" s="227" t="s">
        <v>1113</v>
      </c>
      <c r="F4706" s="227" t="s">
        <v>3001</v>
      </c>
    </row>
    <row r="4707" spans="1:6" x14ac:dyDescent="0.25">
      <c r="A4707" s="227" t="str">
        <f>TL[[#This Row],[Société]]&amp;" - "&amp;TL[[#This Row],[Compte]]</f>
        <v>HTR8 - 44566000</v>
      </c>
      <c r="B4707" s="233" t="s">
        <v>3469</v>
      </c>
      <c r="C4707" s="227" t="s">
        <v>3128</v>
      </c>
      <c r="F4707" s="227" t="s">
        <v>3001</v>
      </c>
    </row>
    <row r="4708" spans="1:6" x14ac:dyDescent="0.25">
      <c r="A4708" s="227" t="str">
        <f>TL[[#This Row],[Société]]&amp;" - "&amp;TL[[#This Row],[Compte]]</f>
        <v>HTR8 - 44566100</v>
      </c>
      <c r="B4708" s="233" t="s">
        <v>3470</v>
      </c>
      <c r="C4708" s="227" t="s">
        <v>6568</v>
      </c>
      <c r="F4708" s="227" t="s">
        <v>3001</v>
      </c>
    </row>
    <row r="4709" spans="1:6" x14ac:dyDescent="0.25">
      <c r="A4709" s="227" t="str">
        <f>TL[[#This Row],[Société]]&amp;" - "&amp;TL[[#This Row],[Compte]]</f>
        <v>HTR8 - 44566200</v>
      </c>
      <c r="B4709" s="233" t="s">
        <v>3471</v>
      </c>
      <c r="C4709" s="227" t="s">
        <v>6569</v>
      </c>
      <c r="F4709" s="227" t="s">
        <v>3001</v>
      </c>
    </row>
    <row r="4710" spans="1:6" x14ac:dyDescent="0.25">
      <c r="A4710" s="227" t="str">
        <f>TL[[#This Row],[Société]]&amp;" - "&amp;TL[[#This Row],[Compte]]</f>
        <v>HTR8 - 44567000</v>
      </c>
      <c r="B4710" s="233" t="s">
        <v>3472</v>
      </c>
      <c r="C4710" s="227" t="s">
        <v>3131</v>
      </c>
      <c r="F4710" s="227" t="s">
        <v>3001</v>
      </c>
    </row>
    <row r="4711" spans="1:6" x14ac:dyDescent="0.25">
      <c r="A4711" s="227" t="str">
        <f>TL[[#This Row],[Société]]&amp;" - "&amp;TL[[#This Row],[Compte]]</f>
        <v>HTR8 - 44571000</v>
      </c>
      <c r="B4711" s="233" t="s">
        <v>3473</v>
      </c>
      <c r="C4711" s="227" t="s">
        <v>6570</v>
      </c>
      <c r="F4711" s="227" t="s">
        <v>3001</v>
      </c>
    </row>
    <row r="4712" spans="1:6" x14ac:dyDescent="0.25">
      <c r="A4712" s="227" t="str">
        <f>TL[[#This Row],[Société]]&amp;" - "&amp;TL[[#This Row],[Compte]]</f>
        <v>HTR8 - 44571100</v>
      </c>
      <c r="B4712" s="233" t="s">
        <v>3474</v>
      </c>
      <c r="C4712" s="227" t="s">
        <v>1116</v>
      </c>
      <c r="F4712" s="227" t="s">
        <v>3001</v>
      </c>
    </row>
    <row r="4713" spans="1:6" x14ac:dyDescent="0.25">
      <c r="A4713" s="227" t="str">
        <f>TL[[#This Row],[Société]]&amp;" - "&amp;TL[[#This Row],[Compte]]</f>
        <v>HTR8 - 44571600</v>
      </c>
      <c r="B4713" s="233" t="s">
        <v>3478</v>
      </c>
      <c r="C4713" s="227" t="s">
        <v>1118</v>
      </c>
      <c r="F4713" s="227" t="s">
        <v>3001</v>
      </c>
    </row>
    <row r="4714" spans="1:6" x14ac:dyDescent="0.25">
      <c r="A4714" s="227" t="str">
        <f>TL[[#This Row],[Société]]&amp;" - "&amp;TL[[#This Row],[Compte]]</f>
        <v>HTR8 - 44571700</v>
      </c>
      <c r="B4714" s="233" t="s">
        <v>3479</v>
      </c>
      <c r="C4714" s="227" t="s">
        <v>585</v>
      </c>
      <c r="F4714" s="227" t="s">
        <v>3001</v>
      </c>
    </row>
    <row r="4715" spans="1:6" x14ac:dyDescent="0.25">
      <c r="A4715" s="227" t="str">
        <f>TL[[#This Row],[Société]]&amp;" - "&amp;TL[[#This Row],[Compte]]</f>
        <v>HTR8 - 44572000</v>
      </c>
      <c r="B4715" s="233" t="s">
        <v>3480</v>
      </c>
      <c r="C4715" s="227" t="s">
        <v>1119</v>
      </c>
      <c r="F4715" s="227" t="s">
        <v>3001</v>
      </c>
    </row>
    <row r="4716" spans="1:6" x14ac:dyDescent="0.25">
      <c r="A4716" s="227" t="str">
        <f>TL[[#This Row],[Société]]&amp;" - "&amp;TL[[#This Row],[Compte]]</f>
        <v>HTR8 - 44573000</v>
      </c>
      <c r="B4716" s="233" t="s">
        <v>6571</v>
      </c>
      <c r="C4716" s="227" t="s">
        <v>6572</v>
      </c>
      <c r="F4716" s="227" t="s">
        <v>3001</v>
      </c>
    </row>
    <row r="4717" spans="1:6" x14ac:dyDescent="0.25">
      <c r="A4717" s="227" t="str">
        <f>TL[[#This Row],[Société]]&amp;" - "&amp;TL[[#This Row],[Compte]]</f>
        <v>HTR8 - 44583000</v>
      </c>
      <c r="B4717" s="233" t="s">
        <v>3482</v>
      </c>
      <c r="C4717" s="227" t="s">
        <v>1001</v>
      </c>
      <c r="F4717" s="227" t="s">
        <v>3001</v>
      </c>
    </row>
    <row r="4718" spans="1:6" x14ac:dyDescent="0.25">
      <c r="A4718" s="227" t="str">
        <f>TL[[#This Row],[Société]]&amp;" - "&amp;TL[[#This Row],[Compte]]</f>
        <v>HTR8 - 44586000</v>
      </c>
      <c r="B4718" s="233" t="s">
        <v>3483</v>
      </c>
      <c r="C4718" s="227" t="s">
        <v>3136</v>
      </c>
      <c r="F4718" s="227" t="s">
        <v>3001</v>
      </c>
    </row>
    <row r="4719" spans="1:6" x14ac:dyDescent="0.25">
      <c r="A4719" s="227" t="str">
        <f>TL[[#This Row],[Société]]&amp;" - "&amp;TL[[#This Row],[Compte]]</f>
        <v>HTR8 - 44586100</v>
      </c>
      <c r="B4719" s="233" t="s">
        <v>3484</v>
      </c>
      <c r="C4719" s="227" t="s">
        <v>6573</v>
      </c>
      <c r="F4719" s="227" t="s">
        <v>3001</v>
      </c>
    </row>
    <row r="4720" spans="1:6" x14ac:dyDescent="0.25">
      <c r="A4720" s="227" t="str">
        <f>TL[[#This Row],[Société]]&amp;" - "&amp;TL[[#This Row],[Compte]]</f>
        <v>HTR8 - 44587000</v>
      </c>
      <c r="B4720" s="233" t="s">
        <v>3485</v>
      </c>
      <c r="C4720" s="227" t="s">
        <v>586</v>
      </c>
      <c r="F4720" s="227" t="s">
        <v>3001</v>
      </c>
    </row>
    <row r="4721" spans="1:6" x14ac:dyDescent="0.25">
      <c r="A4721" s="227" t="str">
        <f>TL[[#This Row],[Société]]&amp;" - "&amp;TL[[#This Row],[Compte]]</f>
        <v>HTR8 - 44587100</v>
      </c>
      <c r="B4721" s="233" t="s">
        <v>6089</v>
      </c>
      <c r="C4721" s="227" t="s">
        <v>1432</v>
      </c>
      <c r="F4721" s="227" t="s">
        <v>3001</v>
      </c>
    </row>
    <row r="4722" spans="1:6" x14ac:dyDescent="0.25">
      <c r="A4722" s="227" t="str">
        <f>TL[[#This Row],[Société]]&amp;" - "&amp;TL[[#This Row],[Compte]]</f>
        <v>HTR8 - 44860000</v>
      </c>
      <c r="B4722" s="233" t="s">
        <v>3486</v>
      </c>
      <c r="C4722" s="227" t="s">
        <v>1003</v>
      </c>
      <c r="F4722" s="227" t="s">
        <v>3001</v>
      </c>
    </row>
    <row r="4723" spans="1:6" x14ac:dyDescent="0.25">
      <c r="A4723" s="227" t="str">
        <f>TL[[#This Row],[Société]]&amp;" - "&amp;TL[[#This Row],[Compte]]</f>
        <v>HTR8 - 44870000</v>
      </c>
      <c r="B4723" s="233" t="s">
        <v>3487</v>
      </c>
      <c r="C4723" s="227" t="s">
        <v>869</v>
      </c>
      <c r="F4723" s="227" t="s">
        <v>3001</v>
      </c>
    </row>
    <row r="4724" spans="1:6" x14ac:dyDescent="0.25">
      <c r="A4724" s="227" t="str">
        <f>TL[[#This Row],[Société]]&amp;" - "&amp;TL[[#This Row],[Compte]]</f>
        <v>HTR8 - 45500000</v>
      </c>
      <c r="B4724" s="233" t="s">
        <v>3488</v>
      </c>
      <c r="C4724" s="227" t="s">
        <v>4597</v>
      </c>
      <c r="F4724" s="227" t="s">
        <v>3001</v>
      </c>
    </row>
    <row r="4725" spans="1:6" x14ac:dyDescent="0.25">
      <c r="A4725" s="227" t="str">
        <f>TL[[#This Row],[Société]]&amp;" - "&amp;TL[[#This Row],[Compte]]</f>
        <v>HTR8 - 45510000</v>
      </c>
      <c r="B4725" s="233" t="s">
        <v>6574</v>
      </c>
      <c r="C4725" s="227" t="s">
        <v>6575</v>
      </c>
      <c r="F4725" s="227" t="s">
        <v>3001</v>
      </c>
    </row>
    <row r="4726" spans="1:6" x14ac:dyDescent="0.25">
      <c r="A4726" s="227" t="str">
        <f>TL[[#This Row],[Société]]&amp;" - "&amp;TL[[#This Row],[Compte]]</f>
        <v>HTR8 - 45520000</v>
      </c>
      <c r="B4726" s="233" t="s">
        <v>6576</v>
      </c>
      <c r="C4726" s="227" t="s">
        <v>2166</v>
      </c>
      <c r="F4726" s="227" t="s">
        <v>3001</v>
      </c>
    </row>
    <row r="4727" spans="1:6" x14ac:dyDescent="0.25">
      <c r="A4727" s="227" t="str">
        <f>TL[[#This Row],[Société]]&amp;" - "&amp;TL[[#This Row],[Compte]]</f>
        <v>HTR8 - 45880000</v>
      </c>
      <c r="B4727" s="233" t="s">
        <v>6577</v>
      </c>
      <c r="C4727" s="227" t="s">
        <v>697</v>
      </c>
      <c r="F4727" s="227" t="s">
        <v>3001</v>
      </c>
    </row>
    <row r="4728" spans="1:6" x14ac:dyDescent="0.25">
      <c r="A4728" s="227" t="str">
        <f>TL[[#This Row],[Société]]&amp;" - "&amp;TL[[#This Row],[Compte]]</f>
        <v>HTR8 - 46700000</v>
      </c>
      <c r="B4728" s="233" t="s">
        <v>3490</v>
      </c>
      <c r="C4728" s="227" t="s">
        <v>593</v>
      </c>
      <c r="F4728" s="227" t="s">
        <v>3001</v>
      </c>
    </row>
    <row r="4729" spans="1:6" x14ac:dyDescent="0.25">
      <c r="A4729" s="227" t="str">
        <f>TL[[#This Row],[Société]]&amp;" - "&amp;TL[[#This Row],[Compte]]</f>
        <v>HTR8 - 46710000</v>
      </c>
      <c r="B4729" s="233" t="s">
        <v>3491</v>
      </c>
      <c r="C4729" s="227" t="s">
        <v>1078</v>
      </c>
      <c r="F4729" s="227" t="s">
        <v>3001</v>
      </c>
    </row>
    <row r="4730" spans="1:6" x14ac:dyDescent="0.25">
      <c r="A4730" s="227" t="str">
        <f>TL[[#This Row],[Société]]&amp;" - "&amp;TL[[#This Row],[Compte]]</f>
        <v>HTR8 - 46720000</v>
      </c>
      <c r="B4730" s="233" t="s">
        <v>3492</v>
      </c>
      <c r="C4730" s="227" t="s">
        <v>704</v>
      </c>
      <c r="F4730" s="227" t="s">
        <v>3001</v>
      </c>
    </row>
    <row r="4731" spans="1:6" x14ac:dyDescent="0.25">
      <c r="A4731" s="227" t="str">
        <f>TL[[#This Row],[Société]]&amp;" - "&amp;TL[[#This Row],[Compte]]</f>
        <v>HTR8 - 46721000</v>
      </c>
      <c r="B4731" s="233" t="s">
        <v>3493</v>
      </c>
      <c r="C4731" s="227" t="s">
        <v>1079</v>
      </c>
      <c r="F4731" s="227" t="s">
        <v>3001</v>
      </c>
    </row>
    <row r="4732" spans="1:6" x14ac:dyDescent="0.25">
      <c r="A4732" s="227" t="str">
        <f>TL[[#This Row],[Société]]&amp;" - "&amp;TL[[#This Row],[Compte]]</f>
        <v>HTR8 - 46722000</v>
      </c>
      <c r="B4732" s="233" t="s">
        <v>3494</v>
      </c>
      <c r="C4732" s="227" t="s">
        <v>6578</v>
      </c>
      <c r="F4732" s="227" t="s">
        <v>3001</v>
      </c>
    </row>
    <row r="4733" spans="1:6" x14ac:dyDescent="0.25">
      <c r="A4733" s="227" t="str">
        <f>TL[[#This Row],[Société]]&amp;" - "&amp;TL[[#This Row],[Compte]]</f>
        <v>HTR8 - 46724000</v>
      </c>
      <c r="B4733" s="233" t="s">
        <v>3496</v>
      </c>
      <c r="C4733" s="227" t="s">
        <v>6579</v>
      </c>
      <c r="F4733" s="227" t="s">
        <v>3001</v>
      </c>
    </row>
    <row r="4734" spans="1:6" x14ac:dyDescent="0.25">
      <c r="A4734" s="227" t="str">
        <f>TL[[#This Row],[Société]]&amp;" - "&amp;TL[[#This Row],[Compte]]</f>
        <v>HTR8 - 46725000</v>
      </c>
      <c r="B4734" s="233" t="s">
        <v>3497</v>
      </c>
      <c r="C4734" s="227" t="s">
        <v>6580</v>
      </c>
      <c r="F4734" s="227" t="s">
        <v>3001</v>
      </c>
    </row>
    <row r="4735" spans="1:6" x14ac:dyDescent="0.25">
      <c r="A4735" s="227" t="str">
        <f>TL[[#This Row],[Société]]&amp;" - "&amp;TL[[#This Row],[Compte]]</f>
        <v>HTR8 - 46726000</v>
      </c>
      <c r="B4735" s="233" t="s">
        <v>3498</v>
      </c>
      <c r="C4735" s="227" t="s">
        <v>6581</v>
      </c>
      <c r="F4735" s="227" t="s">
        <v>3001</v>
      </c>
    </row>
    <row r="4736" spans="1:6" x14ac:dyDescent="0.25">
      <c r="A4736" s="227" t="str">
        <f>TL[[#This Row],[Société]]&amp;" - "&amp;TL[[#This Row],[Compte]]</f>
        <v>HTR8 - 46727000</v>
      </c>
      <c r="B4736" s="233" t="s">
        <v>3499</v>
      </c>
      <c r="C4736" s="227" t="s">
        <v>6582</v>
      </c>
      <c r="F4736" s="227" t="s">
        <v>3001</v>
      </c>
    </row>
    <row r="4737" spans="1:6" x14ac:dyDescent="0.25">
      <c r="A4737" s="227" t="str">
        <f>TL[[#This Row],[Société]]&amp;" - "&amp;TL[[#This Row],[Compte]]</f>
        <v>HTR8 - 46728000</v>
      </c>
      <c r="B4737" s="233" t="s">
        <v>6583</v>
      </c>
      <c r="C4737" s="227" t="s">
        <v>6584</v>
      </c>
      <c r="F4737" s="227" t="s">
        <v>3001</v>
      </c>
    </row>
    <row r="4738" spans="1:6" x14ac:dyDescent="0.25">
      <c r="A4738" s="227" t="str">
        <f>TL[[#This Row],[Société]]&amp;" - "&amp;TL[[#This Row],[Compte]]</f>
        <v>HTR8 - 46741000</v>
      </c>
      <c r="B4738" s="233" t="s">
        <v>6509</v>
      </c>
      <c r="C4738" s="227" t="s">
        <v>707</v>
      </c>
      <c r="F4738" s="227" t="s">
        <v>3001</v>
      </c>
    </row>
    <row r="4739" spans="1:6" x14ac:dyDescent="0.25">
      <c r="A4739" s="227" t="str">
        <f>TL[[#This Row],[Société]]&amp;" - "&amp;TL[[#This Row],[Compte]]</f>
        <v>HTR8 - 46766600</v>
      </c>
      <c r="B4739" s="233" t="s">
        <v>3504</v>
      </c>
      <c r="C4739" s="227" t="s">
        <v>593</v>
      </c>
      <c r="F4739" s="227" t="s">
        <v>3001</v>
      </c>
    </row>
    <row r="4740" spans="1:6" x14ac:dyDescent="0.25">
      <c r="A4740" s="227" t="str">
        <f>TL[[#This Row],[Société]]&amp;" - "&amp;TL[[#This Row],[Compte]]</f>
        <v>HTR8 - 46860000</v>
      </c>
      <c r="B4740" s="233" t="s">
        <v>3505</v>
      </c>
      <c r="C4740" s="227" t="s">
        <v>1010</v>
      </c>
      <c r="F4740" s="227" t="s">
        <v>3001</v>
      </c>
    </row>
    <row r="4741" spans="1:6" x14ac:dyDescent="0.25">
      <c r="A4741" s="227" t="str">
        <f>TL[[#This Row],[Société]]&amp;" - "&amp;TL[[#This Row],[Compte]]</f>
        <v>HTR8 - 46870000</v>
      </c>
      <c r="B4741" s="233" t="s">
        <v>3506</v>
      </c>
      <c r="C4741" s="227" t="s">
        <v>1011</v>
      </c>
      <c r="F4741" s="227" t="s">
        <v>3001</v>
      </c>
    </row>
    <row r="4742" spans="1:6" x14ac:dyDescent="0.25">
      <c r="A4742" s="227" t="str">
        <f>TL[[#This Row],[Société]]&amp;" - "&amp;TL[[#This Row],[Compte]]</f>
        <v>HTR8 - 47100000</v>
      </c>
      <c r="B4742" s="233" t="s">
        <v>3507</v>
      </c>
      <c r="C4742" s="227" t="s">
        <v>525</v>
      </c>
      <c r="F4742" s="227" t="s">
        <v>3001</v>
      </c>
    </row>
    <row r="4743" spans="1:6" x14ac:dyDescent="0.25">
      <c r="A4743" s="227" t="str">
        <f>TL[[#This Row],[Société]]&amp;" - "&amp;TL[[#This Row],[Compte]]</f>
        <v>HTR8 - 48600000</v>
      </c>
      <c r="B4743" s="233" t="s">
        <v>3509</v>
      </c>
      <c r="C4743" s="227" t="s">
        <v>1012</v>
      </c>
      <c r="F4743" s="227" t="s">
        <v>3001</v>
      </c>
    </row>
    <row r="4744" spans="1:6" x14ac:dyDescent="0.25">
      <c r="A4744" s="227" t="str">
        <f>TL[[#This Row],[Société]]&amp;" - "&amp;TL[[#This Row],[Compte]]</f>
        <v>HTR8 - 48700000</v>
      </c>
      <c r="B4744" s="233" t="s">
        <v>3510</v>
      </c>
      <c r="C4744" s="227" t="s">
        <v>595</v>
      </c>
      <c r="F4744" s="227" t="s">
        <v>3001</v>
      </c>
    </row>
    <row r="4745" spans="1:6" x14ac:dyDescent="0.25">
      <c r="A4745" s="227" t="str">
        <f>TL[[#This Row],[Société]]&amp;" - "&amp;TL[[#This Row],[Compte]]</f>
        <v>HTR8 - 51120000</v>
      </c>
      <c r="B4745" s="233" t="s">
        <v>3514</v>
      </c>
      <c r="C4745" s="227" t="s">
        <v>6264</v>
      </c>
      <c r="F4745" s="227" t="s">
        <v>3001</v>
      </c>
    </row>
    <row r="4746" spans="1:6" x14ac:dyDescent="0.25">
      <c r="A4746" s="227" t="str">
        <f>TL[[#This Row],[Société]]&amp;" - "&amp;TL[[#This Row],[Compte]]</f>
        <v>HTR8 - 51121100</v>
      </c>
      <c r="B4746" s="233" t="s">
        <v>3516</v>
      </c>
      <c r="C4746" s="227" t="s">
        <v>6585</v>
      </c>
      <c r="F4746" s="227" t="s">
        <v>3001</v>
      </c>
    </row>
    <row r="4747" spans="1:6" x14ac:dyDescent="0.25">
      <c r="A4747" s="227" t="str">
        <f>TL[[#This Row],[Société]]&amp;" - "&amp;TL[[#This Row],[Compte]]</f>
        <v>HTR8 - 51122100</v>
      </c>
      <c r="B4747" s="233" t="s">
        <v>3518</v>
      </c>
      <c r="C4747" s="227" t="s">
        <v>1142</v>
      </c>
      <c r="F4747" s="227" t="s">
        <v>3001</v>
      </c>
    </row>
    <row r="4748" spans="1:6" x14ac:dyDescent="0.25">
      <c r="A4748" s="227" t="str">
        <f>TL[[#This Row],[Société]]&amp;" - "&amp;TL[[#This Row],[Compte]]</f>
        <v>HTR8 - 51123000</v>
      </c>
      <c r="B4748" s="233" t="s">
        <v>3519</v>
      </c>
      <c r="C4748" s="227" t="s">
        <v>6586</v>
      </c>
      <c r="F4748" s="227" t="s">
        <v>3001</v>
      </c>
    </row>
    <row r="4749" spans="1:6" x14ac:dyDescent="0.25">
      <c r="A4749" s="227" t="str">
        <f>TL[[#This Row],[Société]]&amp;" - "&amp;TL[[#This Row],[Compte]]</f>
        <v>HTR8 - 51123100</v>
      </c>
      <c r="B4749" s="233" t="s">
        <v>3520</v>
      </c>
      <c r="C4749" s="227" t="s">
        <v>533</v>
      </c>
      <c r="F4749" s="227" t="s">
        <v>3001</v>
      </c>
    </row>
    <row r="4750" spans="1:6" x14ac:dyDescent="0.25">
      <c r="A4750" s="227" t="str">
        <f>TL[[#This Row],[Société]]&amp;" - "&amp;TL[[#This Row],[Compte]]</f>
        <v>HTR8 - 51125000</v>
      </c>
      <c r="B4750" s="233" t="s">
        <v>3521</v>
      </c>
      <c r="C4750" s="227" t="s">
        <v>6572</v>
      </c>
      <c r="F4750" s="227" t="s">
        <v>3001</v>
      </c>
    </row>
    <row r="4751" spans="1:6" x14ac:dyDescent="0.25">
      <c r="A4751" s="227" t="str">
        <f>TL[[#This Row],[Société]]&amp;" - "&amp;TL[[#This Row],[Compte]]</f>
        <v>HTR8 - 51125100</v>
      </c>
      <c r="B4751" s="233" t="s">
        <v>3522</v>
      </c>
      <c r="C4751" s="227" t="s">
        <v>598</v>
      </c>
      <c r="F4751" s="227" t="s">
        <v>3001</v>
      </c>
    </row>
    <row r="4752" spans="1:6" x14ac:dyDescent="0.25">
      <c r="A4752" s="227" t="str">
        <f>TL[[#This Row],[Société]]&amp;" - "&amp;TL[[#This Row],[Compte]]</f>
        <v>HTR8 - 51125200</v>
      </c>
      <c r="B4752" s="233" t="s">
        <v>6587</v>
      </c>
      <c r="C4752" s="227" t="s">
        <v>1546</v>
      </c>
      <c r="F4752" s="227" t="s">
        <v>3001</v>
      </c>
    </row>
    <row r="4753" spans="1:6" x14ac:dyDescent="0.25">
      <c r="A4753" s="227" t="str">
        <f>TL[[#This Row],[Société]]&amp;" - "&amp;TL[[#This Row],[Compte]]</f>
        <v>HTR8 - 51125300</v>
      </c>
      <c r="B4753" s="233" t="s">
        <v>6588</v>
      </c>
      <c r="C4753" s="227" t="s">
        <v>6589</v>
      </c>
      <c r="F4753" s="227" t="s">
        <v>3001</v>
      </c>
    </row>
    <row r="4754" spans="1:6" x14ac:dyDescent="0.25">
      <c r="A4754" s="227" t="str">
        <f>TL[[#This Row],[Société]]&amp;" - "&amp;TL[[#This Row],[Compte]]</f>
        <v>HTR8 - 51126000</v>
      </c>
      <c r="B4754" s="233" t="s">
        <v>3523</v>
      </c>
      <c r="C4754" s="227" t="s">
        <v>6572</v>
      </c>
      <c r="F4754" s="227" t="s">
        <v>3001</v>
      </c>
    </row>
    <row r="4755" spans="1:6" x14ac:dyDescent="0.25">
      <c r="A4755" s="227" t="str">
        <f>TL[[#This Row],[Société]]&amp;" - "&amp;TL[[#This Row],[Compte]]</f>
        <v>HTR8 - 51126100</v>
      </c>
      <c r="B4755" s="233" t="s">
        <v>3524</v>
      </c>
      <c r="C4755" s="227" t="s">
        <v>720</v>
      </c>
      <c r="F4755" s="227" t="s">
        <v>3001</v>
      </c>
    </row>
    <row r="4756" spans="1:6" x14ac:dyDescent="0.25">
      <c r="A4756" s="227" t="str">
        <f>TL[[#This Row],[Société]]&amp;" - "&amp;TL[[#This Row],[Compte]]</f>
        <v>HTR8 - 51126200</v>
      </c>
      <c r="B4756" s="233" t="s">
        <v>6590</v>
      </c>
      <c r="C4756" s="227" t="s">
        <v>6591</v>
      </c>
      <c r="F4756" s="227" t="s">
        <v>3001</v>
      </c>
    </row>
    <row r="4757" spans="1:6" x14ac:dyDescent="0.25">
      <c r="A4757" s="227" t="str">
        <f>TL[[#This Row],[Société]]&amp;" - "&amp;TL[[#This Row],[Compte]]</f>
        <v>HTR8 - 51170000</v>
      </c>
      <c r="B4757" s="233" t="s">
        <v>3526</v>
      </c>
      <c r="C4757" s="227" t="s">
        <v>599</v>
      </c>
      <c r="F4757" s="227" t="s">
        <v>3001</v>
      </c>
    </row>
    <row r="4758" spans="1:6" x14ac:dyDescent="0.25">
      <c r="A4758" s="227" t="str">
        <f>TL[[#This Row],[Société]]&amp;" - "&amp;TL[[#This Row],[Compte]]</f>
        <v>HTR8 - 51170100</v>
      </c>
      <c r="B4758" s="233" t="s">
        <v>3527</v>
      </c>
      <c r="C4758" s="227" t="s">
        <v>531</v>
      </c>
      <c r="F4758" s="227" t="s">
        <v>3001</v>
      </c>
    </row>
    <row r="4759" spans="1:6" x14ac:dyDescent="0.25">
      <c r="A4759" s="227" t="str">
        <f>TL[[#This Row],[Société]]&amp;" - "&amp;TL[[#This Row],[Compte]]</f>
        <v>HTR8 - 51200000</v>
      </c>
      <c r="B4759" s="233" t="s">
        <v>3528</v>
      </c>
      <c r="C4759" s="227" t="s">
        <v>635</v>
      </c>
      <c r="F4759" s="227" t="s">
        <v>3001</v>
      </c>
    </row>
    <row r="4760" spans="1:6" x14ac:dyDescent="0.25">
      <c r="A4760" s="227" t="str">
        <f>TL[[#This Row],[Société]]&amp;" - "&amp;TL[[#This Row],[Compte]]</f>
        <v>HTR8 - 51210000</v>
      </c>
      <c r="B4760" s="233" t="s">
        <v>3529</v>
      </c>
      <c r="C4760" s="227" t="s">
        <v>1014</v>
      </c>
      <c r="F4760" s="227" t="s">
        <v>3001</v>
      </c>
    </row>
    <row r="4761" spans="1:6" x14ac:dyDescent="0.25">
      <c r="A4761" s="227" t="str">
        <f>TL[[#This Row],[Société]]&amp;" - "&amp;TL[[#This Row],[Compte]]</f>
        <v>HTR8 - 51240000</v>
      </c>
      <c r="B4761" s="233" t="s">
        <v>3532</v>
      </c>
      <c r="C4761" s="227" t="s">
        <v>4775</v>
      </c>
      <c r="F4761" s="227" t="s">
        <v>3001</v>
      </c>
    </row>
    <row r="4762" spans="1:6" x14ac:dyDescent="0.25">
      <c r="A4762" s="227" t="str">
        <f>TL[[#This Row],[Société]]&amp;" - "&amp;TL[[#This Row],[Compte]]</f>
        <v>HTR8 - 51810000</v>
      </c>
      <c r="B4762" s="233" t="s">
        <v>3533</v>
      </c>
      <c r="C4762" s="227" t="s">
        <v>880</v>
      </c>
      <c r="F4762" s="227" t="s">
        <v>3001</v>
      </c>
    </row>
    <row r="4763" spans="1:6" x14ac:dyDescent="0.25">
      <c r="A4763" s="227" t="str">
        <f>TL[[#This Row],[Société]]&amp;" - "&amp;TL[[#This Row],[Compte]]</f>
        <v>HTR8 - 51880000</v>
      </c>
      <c r="B4763" s="233" t="s">
        <v>3535</v>
      </c>
      <c r="C4763" s="227" t="s">
        <v>1016</v>
      </c>
      <c r="F4763" s="227" t="s">
        <v>3001</v>
      </c>
    </row>
    <row r="4764" spans="1:6" x14ac:dyDescent="0.25">
      <c r="A4764" s="227" t="str">
        <f>TL[[#This Row],[Société]]&amp;" - "&amp;TL[[#This Row],[Compte]]</f>
        <v>HTR8 - 51910000</v>
      </c>
      <c r="B4764" s="233" t="s">
        <v>3536</v>
      </c>
      <c r="C4764" s="227" t="s">
        <v>6592</v>
      </c>
      <c r="F4764" s="227" t="s">
        <v>3001</v>
      </c>
    </row>
    <row r="4765" spans="1:6" x14ac:dyDescent="0.25">
      <c r="A4765" s="227" t="str">
        <f>TL[[#This Row],[Société]]&amp;" - "&amp;TL[[#This Row],[Compte]]</f>
        <v>HTR8 - 51920000</v>
      </c>
      <c r="B4765" s="233" t="s">
        <v>3537</v>
      </c>
      <c r="C4765" s="227" t="s">
        <v>724</v>
      </c>
      <c r="F4765" s="227" t="s">
        <v>3001</v>
      </c>
    </row>
    <row r="4766" spans="1:6" x14ac:dyDescent="0.25">
      <c r="A4766" s="227" t="str">
        <f>TL[[#This Row],[Société]]&amp;" - "&amp;TL[[#This Row],[Compte]]</f>
        <v>HTR8 - 53020100</v>
      </c>
      <c r="B4766" s="233" t="s">
        <v>6108</v>
      </c>
      <c r="C4766" s="227" t="s">
        <v>1145</v>
      </c>
      <c r="F4766" s="227" t="s">
        <v>3001</v>
      </c>
    </row>
    <row r="4767" spans="1:6" x14ac:dyDescent="0.25">
      <c r="A4767" s="227" t="str">
        <f>TL[[#This Row],[Société]]&amp;" - "&amp;TL[[#This Row],[Compte]]</f>
        <v>HTR8 - 53100000</v>
      </c>
      <c r="B4767" s="233" t="s">
        <v>3539</v>
      </c>
      <c r="C4767" s="227" t="s">
        <v>6593</v>
      </c>
      <c r="F4767" s="227" t="s">
        <v>3001</v>
      </c>
    </row>
    <row r="4768" spans="1:6" x14ac:dyDescent="0.25">
      <c r="A4768" s="227" t="str">
        <f>TL[[#This Row],[Société]]&amp;" - "&amp;TL[[#This Row],[Compte]]</f>
        <v>HTR8 - 58100000</v>
      </c>
      <c r="B4768" s="233" t="s">
        <v>3542</v>
      </c>
      <c r="C4768" s="227" t="s">
        <v>883</v>
      </c>
      <c r="F4768" s="227" t="s">
        <v>3001</v>
      </c>
    </row>
    <row r="4769" spans="1:6" x14ac:dyDescent="0.25">
      <c r="A4769" s="227" t="str">
        <f>TL[[#This Row],[Société]]&amp;" - "&amp;TL[[#This Row],[Compte]]</f>
        <v>HTR8 - 58300000</v>
      </c>
      <c r="B4769" s="233" t="s">
        <v>3544</v>
      </c>
      <c r="C4769" s="227" t="s">
        <v>1147</v>
      </c>
      <c r="F4769" s="227" t="s">
        <v>3001</v>
      </c>
    </row>
    <row r="4770" spans="1:6" x14ac:dyDescent="0.25">
      <c r="A4770" s="227" t="str">
        <f>TL[[#This Row],[Société]]&amp;" - "&amp;TL[[#This Row],[Compte]]</f>
        <v>HTR8 - 60110000</v>
      </c>
      <c r="B4770" s="233" t="s">
        <v>2617</v>
      </c>
      <c r="C4770" s="227" t="s">
        <v>171</v>
      </c>
      <c r="D4770" s="233" t="s">
        <v>0</v>
      </c>
      <c r="E4770" s="233" t="s">
        <v>7</v>
      </c>
      <c r="F4770" s="227" t="s">
        <v>3001</v>
      </c>
    </row>
    <row r="4771" spans="1:6" x14ac:dyDescent="0.25">
      <c r="A4771" s="227" t="str">
        <f>TL[[#This Row],[Société]]&amp;" - "&amp;TL[[#This Row],[Compte]]</f>
        <v>HTR8 - 60110200</v>
      </c>
      <c r="B4771" s="233" t="s">
        <v>2622</v>
      </c>
      <c r="C4771" s="227" t="s">
        <v>225</v>
      </c>
      <c r="D4771" s="233" t="s">
        <v>1</v>
      </c>
      <c r="E4771" s="233" t="s">
        <v>11</v>
      </c>
      <c r="F4771" s="227" t="s">
        <v>3001</v>
      </c>
    </row>
    <row r="4772" spans="1:6" x14ac:dyDescent="0.25">
      <c r="A4772" s="227" t="str">
        <f>TL[[#This Row],[Société]]&amp;" - "&amp;TL[[#This Row],[Compte]]</f>
        <v>HTR8 - 60110300</v>
      </c>
      <c r="B4772" s="233" t="s">
        <v>2621</v>
      </c>
      <c r="C4772" s="227" t="s">
        <v>160</v>
      </c>
      <c r="D4772" s="233" t="s">
        <v>3</v>
      </c>
      <c r="E4772" s="233" t="s">
        <v>9</v>
      </c>
      <c r="F4772" s="227" t="s">
        <v>3001</v>
      </c>
    </row>
    <row r="4773" spans="1:6" x14ac:dyDescent="0.25">
      <c r="A4773" s="227" t="str">
        <f>TL[[#This Row],[Société]]&amp;" - "&amp;TL[[#This Row],[Compte]]</f>
        <v>HTR8 - 60220100</v>
      </c>
      <c r="B4773" s="233" t="s">
        <v>2623</v>
      </c>
      <c r="C4773" s="227" t="s">
        <v>265</v>
      </c>
      <c r="D4773" s="233" t="s">
        <v>7</v>
      </c>
      <c r="E4773" s="233" t="s">
        <v>0</v>
      </c>
      <c r="F4773" s="227" t="s">
        <v>3001</v>
      </c>
    </row>
    <row r="4774" spans="1:6" x14ac:dyDescent="0.25">
      <c r="A4774" s="227" t="str">
        <f>TL[[#This Row],[Société]]&amp;" - "&amp;TL[[#This Row],[Compte]]</f>
        <v>HTR8 - 60220200</v>
      </c>
      <c r="B4774" s="233" t="s">
        <v>2741</v>
      </c>
      <c r="C4774" s="227" t="s">
        <v>268</v>
      </c>
      <c r="D4774" s="233" t="s">
        <v>150</v>
      </c>
      <c r="E4774" s="233" t="s">
        <v>147</v>
      </c>
      <c r="F4774" s="227" t="s">
        <v>3001</v>
      </c>
    </row>
    <row r="4775" spans="1:6" x14ac:dyDescent="0.25">
      <c r="A4775" s="227" t="str">
        <f>TL[[#This Row],[Société]]&amp;" - "&amp;TL[[#This Row],[Compte]]</f>
        <v>HTR8 - 60261000</v>
      </c>
      <c r="B4775" s="233" t="s">
        <v>3547</v>
      </c>
      <c r="C4775" s="227" t="s">
        <v>1148</v>
      </c>
      <c r="D4775" s="233" t="s">
        <v>23</v>
      </c>
      <c r="E4775" s="233" t="s">
        <v>2978</v>
      </c>
      <c r="F4775" s="227" t="s">
        <v>3001</v>
      </c>
    </row>
    <row r="4776" spans="1:6" x14ac:dyDescent="0.25">
      <c r="A4776" s="227" t="str">
        <f>TL[[#This Row],[Société]]&amp;" - "&amp;TL[[#This Row],[Compte]]</f>
        <v>HTR8 - 60261200</v>
      </c>
      <c r="B4776" s="233" t="s">
        <v>3548</v>
      </c>
      <c r="C4776" s="227" t="s">
        <v>3549</v>
      </c>
      <c r="D4776" s="235" t="s">
        <v>0</v>
      </c>
      <c r="E4776" s="233" t="s">
        <v>2964</v>
      </c>
      <c r="F4776" s="227" t="s">
        <v>3001</v>
      </c>
    </row>
    <row r="4777" spans="1:6" x14ac:dyDescent="0.25">
      <c r="A4777" s="227" t="str">
        <f>TL[[#This Row],[Société]]&amp;" - "&amp;TL[[#This Row],[Compte]]</f>
        <v>HTR8 - 60310000</v>
      </c>
      <c r="B4777" s="233" t="s">
        <v>2618</v>
      </c>
      <c r="C4777" s="227" t="s">
        <v>2371</v>
      </c>
      <c r="D4777" s="233" t="s">
        <v>0</v>
      </c>
      <c r="E4777" s="233" t="s">
        <v>7</v>
      </c>
      <c r="F4777" s="227" t="s">
        <v>3001</v>
      </c>
    </row>
    <row r="4778" spans="1:6" x14ac:dyDescent="0.25">
      <c r="A4778" s="227" t="str">
        <f>TL[[#This Row],[Société]]&amp;" - "&amp;TL[[#This Row],[Compte]]</f>
        <v>HTR8 - 60320000</v>
      </c>
      <c r="B4778" s="233" t="s">
        <v>2624</v>
      </c>
      <c r="C4778" s="227" t="s">
        <v>2402</v>
      </c>
      <c r="D4778" s="233" t="s">
        <v>7</v>
      </c>
      <c r="E4778" s="233" t="s">
        <v>0</v>
      </c>
      <c r="F4778" s="227" t="s">
        <v>3001</v>
      </c>
    </row>
    <row r="4779" spans="1:6" x14ac:dyDescent="0.25">
      <c r="A4779" s="227" t="str">
        <f>TL[[#This Row],[Société]]&amp;" - "&amp;TL[[#This Row],[Compte]]</f>
        <v>HTR8 - 60320100</v>
      </c>
      <c r="B4779" s="233" t="s">
        <v>2742</v>
      </c>
      <c r="C4779" s="227" t="s">
        <v>1150</v>
      </c>
      <c r="D4779" s="233" t="s">
        <v>150</v>
      </c>
      <c r="E4779" s="233" t="s">
        <v>147</v>
      </c>
      <c r="F4779" s="227" t="s">
        <v>3001</v>
      </c>
    </row>
    <row r="4780" spans="1:6" x14ac:dyDescent="0.25">
      <c r="A4780" s="227" t="str">
        <f>TL[[#This Row],[Société]]&amp;" - "&amp;TL[[#This Row],[Compte]]</f>
        <v>HTR8 - 60600000</v>
      </c>
      <c r="B4780" s="233" t="s">
        <v>6594</v>
      </c>
      <c r="C4780" s="227" t="s">
        <v>6595</v>
      </c>
      <c r="F4780" s="227" t="s">
        <v>3001</v>
      </c>
    </row>
    <row r="4781" spans="1:6" x14ac:dyDescent="0.25">
      <c r="A4781" s="227" t="str">
        <f>TL[[#This Row],[Société]]&amp;" - "&amp;TL[[#This Row],[Compte]]</f>
        <v>HTR8 - 60610100</v>
      </c>
      <c r="B4781" s="233" t="s">
        <v>2700</v>
      </c>
      <c r="C4781" s="227" t="s">
        <v>156</v>
      </c>
      <c r="D4781" s="233" t="s">
        <v>27</v>
      </c>
      <c r="E4781" s="233" t="s">
        <v>34</v>
      </c>
      <c r="F4781" s="227" t="s">
        <v>3001</v>
      </c>
    </row>
    <row r="4782" spans="1:6" x14ac:dyDescent="0.25">
      <c r="A4782" s="227" t="str">
        <f>TL[[#This Row],[Société]]&amp;" - "&amp;TL[[#This Row],[Compte]]</f>
        <v>HTR8 - 60610300</v>
      </c>
      <c r="B4782" s="233" t="s">
        <v>2701</v>
      </c>
      <c r="C4782" s="227" t="s">
        <v>241</v>
      </c>
      <c r="D4782" s="233" t="s">
        <v>27</v>
      </c>
      <c r="E4782" s="233" t="s">
        <v>34</v>
      </c>
      <c r="F4782" s="227" t="s">
        <v>3001</v>
      </c>
    </row>
    <row r="4783" spans="1:6" x14ac:dyDescent="0.25">
      <c r="A4783" s="227" t="str">
        <f>TL[[#This Row],[Société]]&amp;" - "&amp;TL[[#This Row],[Compte]]</f>
        <v>HTR8 - 60610500</v>
      </c>
      <c r="B4783" s="233" t="s">
        <v>3552</v>
      </c>
      <c r="C4783" s="227" t="s">
        <v>1152</v>
      </c>
      <c r="D4783" s="233" t="s">
        <v>27</v>
      </c>
      <c r="E4783" s="233" t="s">
        <v>34</v>
      </c>
      <c r="F4783" s="227" t="s">
        <v>3001</v>
      </c>
    </row>
    <row r="4784" spans="1:6" x14ac:dyDescent="0.25">
      <c r="A4784" s="227" t="str">
        <f>TL[[#This Row],[Société]]&amp;" - "&amp;TL[[#This Row],[Compte]]</f>
        <v>HTR8 - 60630000</v>
      </c>
      <c r="B4784" s="233" t="s">
        <v>2660</v>
      </c>
      <c r="C4784" s="227" t="s">
        <v>1153</v>
      </c>
      <c r="D4784" s="233" t="s">
        <v>25</v>
      </c>
      <c r="E4784" s="233" t="s">
        <v>23</v>
      </c>
      <c r="F4784" s="227" t="s">
        <v>3001</v>
      </c>
    </row>
    <row r="4785" spans="1:6" x14ac:dyDescent="0.25">
      <c r="A4785" s="227" t="str">
        <f>TL[[#This Row],[Société]]&amp;" - "&amp;TL[[#This Row],[Compte]]</f>
        <v>HTR8 - 60630100</v>
      </c>
      <c r="B4785" s="233" t="s">
        <v>3553</v>
      </c>
      <c r="C4785" s="227" t="s">
        <v>6596</v>
      </c>
      <c r="F4785" s="227" t="s">
        <v>3001</v>
      </c>
    </row>
    <row r="4786" spans="1:6" x14ac:dyDescent="0.25">
      <c r="A4786" s="227" t="str">
        <f>TL[[#This Row],[Société]]&amp;" - "&amp;TL[[#This Row],[Compte]]</f>
        <v>HTR8 - 60630200</v>
      </c>
      <c r="B4786" s="233" t="s">
        <v>2703</v>
      </c>
      <c r="C4786" s="227" t="s">
        <v>1154</v>
      </c>
      <c r="D4786" s="233" t="s">
        <v>23</v>
      </c>
      <c r="E4786" s="233" t="s">
        <v>2978</v>
      </c>
      <c r="F4786" s="227" t="s">
        <v>3001</v>
      </c>
    </row>
    <row r="4787" spans="1:6" x14ac:dyDescent="0.25">
      <c r="A4787" s="227" t="str">
        <f>TL[[#This Row],[Société]]&amp;" - "&amp;TL[[#This Row],[Compte]]</f>
        <v>HTR8 - 60630300</v>
      </c>
      <c r="B4787" s="233" t="s">
        <v>3554</v>
      </c>
      <c r="C4787" s="227" t="s">
        <v>146</v>
      </c>
      <c r="D4787" s="233" t="s">
        <v>21</v>
      </c>
      <c r="E4787" s="233" t="s">
        <v>2982</v>
      </c>
      <c r="F4787" s="227" t="s">
        <v>3001</v>
      </c>
    </row>
    <row r="4788" spans="1:6" x14ac:dyDescent="0.25">
      <c r="A4788" s="227" t="str">
        <f>TL[[#This Row],[Société]]&amp;" - "&amp;TL[[#This Row],[Compte]]</f>
        <v>HTR8 - 60630500</v>
      </c>
      <c r="B4788" s="233" t="s">
        <v>3555</v>
      </c>
      <c r="C4788" s="227" t="s">
        <v>1471</v>
      </c>
      <c r="F4788" s="227" t="s">
        <v>3001</v>
      </c>
    </row>
    <row r="4789" spans="1:6" x14ac:dyDescent="0.25">
      <c r="A4789" s="227" t="str">
        <f>TL[[#This Row],[Société]]&amp;" - "&amp;TL[[#This Row],[Compte]]</f>
        <v>HTR8 - 60640100</v>
      </c>
      <c r="B4789" s="233" t="s">
        <v>2704</v>
      </c>
      <c r="C4789" s="227" t="s">
        <v>1156</v>
      </c>
      <c r="D4789" s="233" t="s">
        <v>29</v>
      </c>
      <c r="E4789" s="233" t="s">
        <v>2978</v>
      </c>
      <c r="F4789" s="227" t="s">
        <v>3001</v>
      </c>
    </row>
    <row r="4790" spans="1:6" x14ac:dyDescent="0.25">
      <c r="A4790" s="227" t="str">
        <f>TL[[#This Row],[Société]]&amp;" - "&amp;TL[[#This Row],[Compte]]</f>
        <v>HTR8 - 60661300</v>
      </c>
      <c r="B4790" s="233" t="s">
        <v>2725</v>
      </c>
      <c r="C4790" s="227" t="s">
        <v>267</v>
      </c>
      <c r="D4790" s="233" t="s">
        <v>50</v>
      </c>
      <c r="E4790" s="233" t="s">
        <v>52</v>
      </c>
      <c r="F4790" s="227" t="s">
        <v>3001</v>
      </c>
    </row>
    <row r="4791" spans="1:6" x14ac:dyDescent="0.25">
      <c r="A4791" s="227" t="str">
        <f>TL[[#This Row],[Société]]&amp;" - "&amp;TL[[#This Row],[Compte]]</f>
        <v>HTR8 - 60680000</v>
      </c>
      <c r="B4791" s="233" t="s">
        <v>3557</v>
      </c>
      <c r="C4791" s="227" t="s">
        <v>6597</v>
      </c>
      <c r="D4791" s="233" t="s">
        <v>16</v>
      </c>
      <c r="E4791" s="233" t="s">
        <v>2979</v>
      </c>
      <c r="F4791" s="227" t="s">
        <v>3001</v>
      </c>
    </row>
    <row r="4792" spans="1:6" x14ac:dyDescent="0.25">
      <c r="A4792" s="227" t="str">
        <f>TL[[#This Row],[Société]]&amp;" - "&amp;TL[[#This Row],[Compte]]</f>
        <v>HTR8 - 60910000</v>
      </c>
      <c r="B4792" s="233" t="s">
        <v>3558</v>
      </c>
      <c r="C4792" s="227" t="s">
        <v>216</v>
      </c>
      <c r="D4792" s="233" t="s">
        <v>0</v>
      </c>
      <c r="E4792" s="233" t="s">
        <v>7</v>
      </c>
      <c r="F4792" s="227" t="s">
        <v>3001</v>
      </c>
    </row>
    <row r="4793" spans="1:6" x14ac:dyDescent="0.25">
      <c r="A4793" s="227" t="str">
        <f>TL[[#This Row],[Société]]&amp;" - "&amp;TL[[#This Row],[Compte]]</f>
        <v>HTR8 - 61101200</v>
      </c>
      <c r="B4793" s="233" t="s">
        <v>2661</v>
      </c>
      <c r="C4793" s="227" t="s">
        <v>2403</v>
      </c>
      <c r="D4793" s="233" t="s">
        <v>39</v>
      </c>
      <c r="E4793" s="233" t="s">
        <v>25</v>
      </c>
      <c r="F4793" s="227" t="s">
        <v>3001</v>
      </c>
    </row>
    <row r="4794" spans="1:6" x14ac:dyDescent="0.25">
      <c r="A4794" s="227" t="str">
        <f>TL[[#This Row],[Société]]&amp;" - "&amp;TL[[#This Row],[Compte]]</f>
        <v>HTR8 - 61300200</v>
      </c>
      <c r="B4794" s="233" t="s">
        <v>6598</v>
      </c>
      <c r="C4794" s="227" t="s">
        <v>6599</v>
      </c>
      <c r="D4794" s="233" t="s">
        <v>20</v>
      </c>
      <c r="E4794" s="233" t="s">
        <v>25</v>
      </c>
      <c r="F4794" s="227" t="s">
        <v>3001</v>
      </c>
    </row>
    <row r="4795" spans="1:6" x14ac:dyDescent="0.25">
      <c r="A4795" s="227" t="str">
        <f>TL[[#This Row],[Société]]&amp;" - "&amp;TL[[#This Row],[Compte]]</f>
        <v>HTR8 - 61300400</v>
      </c>
      <c r="B4795" s="233" t="s">
        <v>3565</v>
      </c>
      <c r="C4795" s="227" t="s">
        <v>6600</v>
      </c>
      <c r="F4795" s="227" t="s">
        <v>3001</v>
      </c>
    </row>
    <row r="4796" spans="1:6" x14ac:dyDescent="0.25">
      <c r="A4796" s="227" t="str">
        <f>TL[[#This Row],[Société]]&amp;" - "&amp;TL[[#This Row],[Compte]]</f>
        <v>HTR8 - 61300500</v>
      </c>
      <c r="B4796" s="233" t="s">
        <v>3566</v>
      </c>
      <c r="C4796" s="227" t="s">
        <v>1161</v>
      </c>
      <c r="D4796" s="233" t="s">
        <v>20</v>
      </c>
      <c r="E4796" s="233" t="s">
        <v>25</v>
      </c>
      <c r="F4796" s="227" t="s">
        <v>3001</v>
      </c>
    </row>
    <row r="4797" spans="1:6" x14ac:dyDescent="0.25">
      <c r="A4797" s="227" t="str">
        <f>TL[[#This Row],[Société]]&amp;" - "&amp;TL[[#This Row],[Compte]]</f>
        <v>HTR8 - 61300600</v>
      </c>
      <c r="B4797" s="233" t="s">
        <v>3567</v>
      </c>
      <c r="C4797" s="227" t="s">
        <v>6601</v>
      </c>
      <c r="D4797" s="233" t="s">
        <v>50</v>
      </c>
      <c r="E4797" s="233" t="s">
        <v>52</v>
      </c>
      <c r="F4797" s="227" t="s">
        <v>3001</v>
      </c>
    </row>
    <row r="4798" spans="1:6" x14ac:dyDescent="0.25">
      <c r="A4798" s="227" t="str">
        <f>TL[[#This Row],[Société]]&amp;" - "&amp;TL[[#This Row],[Compte]]</f>
        <v>HTR8 - 61300700</v>
      </c>
      <c r="B4798" s="233" t="s">
        <v>3568</v>
      </c>
      <c r="C4798" s="227" t="s">
        <v>6602</v>
      </c>
      <c r="F4798" s="227" t="s">
        <v>3001</v>
      </c>
    </row>
    <row r="4799" spans="1:6" x14ac:dyDescent="0.25">
      <c r="A4799" s="227" t="str">
        <f>TL[[#This Row],[Société]]&amp;" - "&amp;TL[[#This Row],[Compte]]</f>
        <v>HTR8 - 61300800</v>
      </c>
      <c r="B4799" s="233" t="s">
        <v>3569</v>
      </c>
      <c r="C4799" s="227" t="s">
        <v>6603</v>
      </c>
      <c r="D4799" s="233" t="s">
        <v>50</v>
      </c>
      <c r="E4799" s="233" t="s">
        <v>52</v>
      </c>
      <c r="F4799" s="227" t="s">
        <v>3001</v>
      </c>
    </row>
    <row r="4800" spans="1:6" x14ac:dyDescent="0.25">
      <c r="A4800" s="227" t="str">
        <f>TL[[#This Row],[Société]]&amp;" - "&amp;TL[[#This Row],[Compte]]</f>
        <v>HTR8 - 61300900</v>
      </c>
      <c r="B4800" s="233" t="s">
        <v>3570</v>
      </c>
      <c r="C4800" s="227" t="s">
        <v>6604</v>
      </c>
      <c r="D4800" s="233" t="s">
        <v>50</v>
      </c>
      <c r="E4800" s="233" t="s">
        <v>52</v>
      </c>
      <c r="F4800" s="227" t="s">
        <v>3001</v>
      </c>
    </row>
    <row r="4801" spans="1:6" x14ac:dyDescent="0.25">
      <c r="A4801" s="227" t="str">
        <f>TL[[#This Row],[Société]]&amp;" - "&amp;TL[[#This Row],[Compte]]</f>
        <v>HTR8 - 61301000</v>
      </c>
      <c r="B4801" s="233" t="s">
        <v>6514</v>
      </c>
      <c r="C4801" s="227" t="s">
        <v>6605</v>
      </c>
      <c r="D4801" s="233" t="s">
        <v>50</v>
      </c>
      <c r="E4801" s="233" t="s">
        <v>52</v>
      </c>
      <c r="F4801" s="227" t="s">
        <v>3001</v>
      </c>
    </row>
    <row r="4802" spans="1:6" x14ac:dyDescent="0.25">
      <c r="A4802" s="227" t="str">
        <f>TL[[#This Row],[Société]]&amp;" - "&amp;TL[[#This Row],[Compte]]</f>
        <v>HTR8 - 61301100</v>
      </c>
      <c r="B4802" s="233" t="s">
        <v>6515</v>
      </c>
      <c r="C4802" s="227" t="s">
        <v>6606</v>
      </c>
      <c r="D4802" s="233" t="s">
        <v>50</v>
      </c>
      <c r="E4802" s="233" t="s">
        <v>52</v>
      </c>
      <c r="F4802" s="227" t="s">
        <v>3001</v>
      </c>
    </row>
    <row r="4803" spans="1:6" x14ac:dyDescent="0.25">
      <c r="A4803" s="227" t="str">
        <f>TL[[#This Row],[Société]]&amp;" - "&amp;TL[[#This Row],[Compte]]</f>
        <v>HTR8 - 61301200</v>
      </c>
      <c r="B4803" s="233" t="s">
        <v>6516</v>
      </c>
      <c r="C4803" s="227" t="s">
        <v>6607</v>
      </c>
      <c r="D4803" s="233" t="s">
        <v>50</v>
      </c>
      <c r="E4803" s="233" t="s">
        <v>52</v>
      </c>
      <c r="F4803" s="227" t="s">
        <v>3001</v>
      </c>
    </row>
    <row r="4804" spans="1:6" x14ac:dyDescent="0.25">
      <c r="A4804" s="227" t="str">
        <f>TL[[#This Row],[Société]]&amp;" - "&amp;TL[[#This Row],[Compte]]</f>
        <v>HTR8 - 61301300</v>
      </c>
      <c r="B4804" s="233" t="s">
        <v>6517</v>
      </c>
      <c r="C4804" s="227" t="s">
        <v>6608</v>
      </c>
      <c r="D4804" s="233" t="s">
        <v>50</v>
      </c>
      <c r="E4804" s="233" t="s">
        <v>52</v>
      </c>
      <c r="F4804" s="227" t="s">
        <v>3001</v>
      </c>
    </row>
    <row r="4805" spans="1:6" x14ac:dyDescent="0.25">
      <c r="A4805" s="227" t="str">
        <f>TL[[#This Row],[Société]]&amp;" - "&amp;TL[[#This Row],[Compte]]</f>
        <v>HTR8 - 61301400</v>
      </c>
      <c r="B4805" s="233" t="s">
        <v>6518</v>
      </c>
      <c r="C4805" s="227" t="s">
        <v>6609</v>
      </c>
      <c r="D4805" s="233" t="s">
        <v>50</v>
      </c>
      <c r="E4805" s="233" t="s">
        <v>52</v>
      </c>
      <c r="F4805" s="227" t="s">
        <v>3001</v>
      </c>
    </row>
    <row r="4806" spans="1:6" x14ac:dyDescent="0.25">
      <c r="A4806" s="227" t="str">
        <f>TL[[#This Row],[Société]]&amp;" - "&amp;TL[[#This Row],[Compte]]</f>
        <v>HTR8 - 61301500</v>
      </c>
      <c r="B4806" s="233" t="s">
        <v>2726</v>
      </c>
      <c r="C4806" s="227" t="s">
        <v>2404</v>
      </c>
      <c r="D4806" s="233" t="s">
        <v>50</v>
      </c>
      <c r="E4806" s="233" t="s">
        <v>52</v>
      </c>
      <c r="F4806" s="227" t="s">
        <v>3001</v>
      </c>
    </row>
    <row r="4807" spans="1:6" x14ac:dyDescent="0.25">
      <c r="A4807" s="227" t="str">
        <f>TL[[#This Row],[Société]]&amp;" - "&amp;TL[[#This Row],[Compte]]</f>
        <v>HTR8 - 61301600</v>
      </c>
      <c r="B4807" s="233" t="s">
        <v>6519</v>
      </c>
      <c r="C4807" s="227" t="s">
        <v>6610</v>
      </c>
      <c r="D4807" s="233" t="s">
        <v>50</v>
      </c>
      <c r="E4807" s="233" t="s">
        <v>52</v>
      </c>
      <c r="F4807" s="227" t="s">
        <v>3001</v>
      </c>
    </row>
    <row r="4808" spans="1:6" x14ac:dyDescent="0.25">
      <c r="A4808" s="227" t="str">
        <f>TL[[#This Row],[Société]]&amp;" - "&amp;TL[[#This Row],[Compte]]</f>
        <v>HTR8 - 61301700</v>
      </c>
      <c r="B4808" s="233" t="s">
        <v>2727</v>
      </c>
      <c r="C4808" s="227" t="s">
        <v>2170</v>
      </c>
      <c r="D4808" s="233" t="s">
        <v>50</v>
      </c>
      <c r="E4808" s="233" t="s">
        <v>52</v>
      </c>
      <c r="F4808" s="227" t="s">
        <v>3001</v>
      </c>
    </row>
    <row r="4809" spans="1:6" x14ac:dyDescent="0.25">
      <c r="A4809" s="227" t="str">
        <f>TL[[#This Row],[Société]]&amp;" - "&amp;TL[[#This Row],[Compte]]</f>
        <v>HTR8 - 61301800</v>
      </c>
      <c r="B4809" s="233" t="s">
        <v>6611</v>
      </c>
      <c r="C4809" s="227" t="s">
        <v>6612</v>
      </c>
      <c r="D4809" s="233" t="s">
        <v>50</v>
      </c>
      <c r="E4809" s="233" t="s">
        <v>52</v>
      </c>
      <c r="F4809" s="227" t="s">
        <v>3001</v>
      </c>
    </row>
    <row r="4810" spans="1:6" x14ac:dyDescent="0.25">
      <c r="A4810" s="227" t="str">
        <f>TL[[#This Row],[Société]]&amp;" - "&amp;TL[[#This Row],[Compte]]</f>
        <v>HTR8 - 61301900</v>
      </c>
      <c r="B4810" s="233" t="s">
        <v>2662</v>
      </c>
      <c r="C4810" s="227" t="s">
        <v>2401</v>
      </c>
      <c r="D4810" s="233" t="s">
        <v>20</v>
      </c>
      <c r="E4810" s="233" t="s">
        <v>25</v>
      </c>
      <c r="F4810" s="227" t="s">
        <v>3001</v>
      </c>
    </row>
    <row r="4811" spans="1:6" x14ac:dyDescent="0.25">
      <c r="A4811" s="227" t="str">
        <f>TL[[#This Row],[Société]]&amp;" - "&amp;TL[[#This Row],[Compte]]</f>
        <v>HTR8 - 61302000</v>
      </c>
      <c r="B4811" s="233" t="s">
        <v>2728</v>
      </c>
      <c r="C4811" s="227" t="s">
        <v>2225</v>
      </c>
      <c r="D4811" s="233" t="s">
        <v>50</v>
      </c>
      <c r="E4811" s="233" t="s">
        <v>52</v>
      </c>
      <c r="F4811" s="227" t="s">
        <v>3001</v>
      </c>
    </row>
    <row r="4812" spans="1:6" x14ac:dyDescent="0.25">
      <c r="A4812" s="227" t="str">
        <f>TL[[#This Row],[Société]]&amp;" - "&amp;TL[[#This Row],[Compte]]</f>
        <v>HTR8 - 61302100</v>
      </c>
      <c r="B4812" s="233" t="s">
        <v>2729</v>
      </c>
      <c r="C4812" s="227" t="s">
        <v>2405</v>
      </c>
      <c r="D4812" s="233" t="s">
        <v>50</v>
      </c>
      <c r="E4812" s="233" t="s">
        <v>52</v>
      </c>
      <c r="F4812" s="227" t="s">
        <v>3001</v>
      </c>
    </row>
    <row r="4813" spans="1:6" x14ac:dyDescent="0.25">
      <c r="A4813" s="227" t="str">
        <f>TL[[#This Row],[Société]]&amp;" - "&amp;TL[[#This Row],[Compte]]</f>
        <v>HTR8 - 61302200</v>
      </c>
      <c r="B4813" s="233" t="s">
        <v>2730</v>
      </c>
      <c r="C4813" s="227" t="s">
        <v>2397</v>
      </c>
      <c r="D4813" s="233" t="s">
        <v>50</v>
      </c>
      <c r="E4813" s="233" t="s">
        <v>52</v>
      </c>
      <c r="F4813" s="227" t="s">
        <v>3001</v>
      </c>
    </row>
    <row r="4814" spans="1:6" x14ac:dyDescent="0.25">
      <c r="A4814" s="227" t="str">
        <f>TL[[#This Row],[Société]]&amp;" - "&amp;TL[[#This Row],[Compte]]</f>
        <v>HTR8 - 61302300</v>
      </c>
      <c r="B4814" s="233" t="s">
        <v>6613</v>
      </c>
      <c r="C4814" s="227" t="s">
        <v>6614</v>
      </c>
      <c r="D4814" s="233" t="s">
        <v>50</v>
      </c>
      <c r="E4814" s="233" t="s">
        <v>52</v>
      </c>
      <c r="F4814" s="227" t="s">
        <v>3001</v>
      </c>
    </row>
    <row r="4815" spans="1:6" x14ac:dyDescent="0.25">
      <c r="A4815" s="227" t="str">
        <f>TL[[#This Row],[Société]]&amp;" - "&amp;TL[[#This Row],[Compte]]</f>
        <v>HTR8 - 61320000</v>
      </c>
      <c r="B4815" s="233" t="s">
        <v>2709</v>
      </c>
      <c r="C4815" s="227" t="s">
        <v>2406</v>
      </c>
      <c r="D4815" s="233" t="s">
        <v>35</v>
      </c>
      <c r="E4815" s="233" t="s">
        <v>2985</v>
      </c>
      <c r="F4815" s="227" t="s">
        <v>3001</v>
      </c>
    </row>
    <row r="4816" spans="1:6" x14ac:dyDescent="0.25">
      <c r="A4816" s="227" t="str">
        <f>TL[[#This Row],[Société]]&amp;" - "&amp;TL[[#This Row],[Compte]]</f>
        <v>HTR8 - 61320500</v>
      </c>
      <c r="B4816" s="233" t="s">
        <v>6615</v>
      </c>
      <c r="C4816" s="227" t="s">
        <v>6616</v>
      </c>
      <c r="F4816" s="227" t="s">
        <v>3001</v>
      </c>
    </row>
    <row r="4817" spans="1:6" x14ac:dyDescent="0.25">
      <c r="A4817" s="227" t="str">
        <f>TL[[#This Row],[Société]]&amp;" - "&amp;TL[[#This Row],[Compte]]</f>
        <v>HTR8 - 61321000</v>
      </c>
      <c r="B4817" s="233" t="s">
        <v>2663</v>
      </c>
      <c r="C4817" s="227" t="s">
        <v>253</v>
      </c>
      <c r="D4817" s="233" t="s">
        <v>20</v>
      </c>
      <c r="E4817" s="233" t="s">
        <v>25</v>
      </c>
      <c r="F4817" s="227" t="s">
        <v>3001</v>
      </c>
    </row>
    <row r="4818" spans="1:6" x14ac:dyDescent="0.25">
      <c r="A4818" s="227" t="str">
        <f>TL[[#This Row],[Société]]&amp;" - "&amp;TL[[#This Row],[Compte]]</f>
        <v>HTR8 - 61322000</v>
      </c>
      <c r="B4818" s="233" t="s">
        <v>6521</v>
      </c>
      <c r="C4818" s="227" t="s">
        <v>6617</v>
      </c>
      <c r="D4818" s="233" t="s">
        <v>50</v>
      </c>
      <c r="E4818" s="233" t="s">
        <v>25</v>
      </c>
      <c r="F4818" s="227" t="s">
        <v>3001</v>
      </c>
    </row>
    <row r="4819" spans="1:6" x14ac:dyDescent="0.25">
      <c r="A4819" s="227" t="str">
        <f>TL[[#This Row],[Société]]&amp;" - "&amp;TL[[#This Row],[Compte]]</f>
        <v>HTR8 - 61323000</v>
      </c>
      <c r="B4819" s="233" t="s">
        <v>2664</v>
      </c>
      <c r="C4819" s="227" t="s">
        <v>2227</v>
      </c>
      <c r="D4819" s="233" t="s">
        <v>20</v>
      </c>
      <c r="E4819" s="233" t="s">
        <v>25</v>
      </c>
      <c r="F4819" s="227" t="s">
        <v>3001</v>
      </c>
    </row>
    <row r="4820" spans="1:6" x14ac:dyDescent="0.25">
      <c r="A4820" s="227" t="str">
        <f>TL[[#This Row],[Société]]&amp;" - "&amp;TL[[#This Row],[Compte]]</f>
        <v>HTR8 - 61324000</v>
      </c>
      <c r="B4820" s="233" t="s">
        <v>2665</v>
      </c>
      <c r="C4820" s="227" t="s">
        <v>1568</v>
      </c>
      <c r="D4820" s="233" t="s">
        <v>20</v>
      </c>
      <c r="E4820" s="233" t="s">
        <v>25</v>
      </c>
      <c r="F4820" s="227" t="s">
        <v>3001</v>
      </c>
    </row>
    <row r="4821" spans="1:6" x14ac:dyDescent="0.25">
      <c r="A4821" s="227" t="str">
        <f>TL[[#This Row],[Société]]&amp;" - "&amp;TL[[#This Row],[Compte]]</f>
        <v>HTR8 - 61410000</v>
      </c>
      <c r="B4821" s="233" t="s">
        <v>2712</v>
      </c>
      <c r="C4821" s="227" t="s">
        <v>1178</v>
      </c>
      <c r="D4821" s="233" t="s">
        <v>42</v>
      </c>
      <c r="E4821" s="233" t="s">
        <v>40</v>
      </c>
      <c r="F4821" s="227" t="s">
        <v>3001</v>
      </c>
    </row>
    <row r="4822" spans="1:6" x14ac:dyDescent="0.25">
      <c r="A4822" s="227" t="str">
        <f>TL[[#This Row],[Société]]&amp;" - "&amp;TL[[#This Row],[Compte]]</f>
        <v>HTR8 - 61500000</v>
      </c>
      <c r="B4822" s="233" t="s">
        <v>3588</v>
      </c>
      <c r="C4822" s="227" t="s">
        <v>26</v>
      </c>
      <c r="F4822" s="227" t="s">
        <v>3001</v>
      </c>
    </row>
    <row r="4823" spans="1:6" x14ac:dyDescent="0.25">
      <c r="A4823" s="227" t="str">
        <f>TL[[#This Row],[Société]]&amp;" - "&amp;TL[[#This Row],[Compte]]</f>
        <v>HTR8 - 61520000</v>
      </c>
      <c r="B4823" s="233" t="s">
        <v>3597</v>
      </c>
      <c r="C4823" s="227" t="s">
        <v>4982</v>
      </c>
      <c r="F4823" s="227" t="s">
        <v>3001</v>
      </c>
    </row>
    <row r="4824" spans="1:6" x14ac:dyDescent="0.25">
      <c r="A4824" s="227" t="str">
        <f>TL[[#This Row],[Société]]&amp;" - "&amp;TL[[#This Row],[Compte]]</f>
        <v>HTR8 - 61521000</v>
      </c>
      <c r="B4824" s="233" t="s">
        <v>2651</v>
      </c>
      <c r="C4824" s="227" t="s">
        <v>260</v>
      </c>
      <c r="D4824" s="233" t="s">
        <v>20</v>
      </c>
      <c r="E4824" s="233" t="s">
        <v>18</v>
      </c>
      <c r="F4824" s="227" t="s">
        <v>3001</v>
      </c>
    </row>
    <row r="4825" spans="1:6" x14ac:dyDescent="0.25">
      <c r="A4825" s="227" t="str">
        <f>TL[[#This Row],[Société]]&amp;" - "&amp;TL[[#This Row],[Compte]]</f>
        <v>HTR8 - 61550000</v>
      </c>
      <c r="B4825" s="233" t="s">
        <v>3599</v>
      </c>
      <c r="C4825" s="227" t="s">
        <v>6618</v>
      </c>
      <c r="D4825" s="233" t="s">
        <v>25</v>
      </c>
      <c r="E4825" s="233" t="s">
        <v>23</v>
      </c>
      <c r="F4825" s="227" t="s">
        <v>3001</v>
      </c>
    </row>
    <row r="4826" spans="1:6" x14ac:dyDescent="0.25">
      <c r="A4826" s="227" t="str">
        <f>TL[[#This Row],[Société]]&amp;" - "&amp;TL[[#This Row],[Compte]]</f>
        <v>HTR8 - 61552000</v>
      </c>
      <c r="B4826" s="233" t="s">
        <v>3600</v>
      </c>
      <c r="C4826" s="227" t="s">
        <v>6309</v>
      </c>
      <c r="D4826" s="233" t="s">
        <v>50</v>
      </c>
      <c r="E4826" s="233" t="s">
        <v>52</v>
      </c>
      <c r="F4826" s="227" t="s">
        <v>3001</v>
      </c>
    </row>
    <row r="4827" spans="1:6" x14ac:dyDescent="0.25">
      <c r="A4827" s="227" t="str">
        <f>TL[[#This Row],[Société]]&amp;" - "&amp;TL[[#This Row],[Compte]]</f>
        <v>HTR8 - 61560000</v>
      </c>
      <c r="B4827" s="233" t="s">
        <v>2666</v>
      </c>
      <c r="C4827" s="227" t="s">
        <v>486</v>
      </c>
      <c r="D4827" s="233" t="s">
        <v>20</v>
      </c>
      <c r="E4827" s="233" t="s">
        <v>25</v>
      </c>
      <c r="F4827" s="227" t="s">
        <v>3001</v>
      </c>
    </row>
    <row r="4828" spans="1:6" x14ac:dyDescent="0.25">
      <c r="A4828" s="227" t="str">
        <f>TL[[#This Row],[Société]]&amp;" - "&amp;TL[[#This Row],[Compte]]</f>
        <v>HTR8 - 61560900</v>
      </c>
      <c r="B4828" s="233" t="s">
        <v>6619</v>
      </c>
      <c r="C4828" s="227" t="s">
        <v>6311</v>
      </c>
      <c r="D4828" s="233" t="s">
        <v>20</v>
      </c>
      <c r="E4828" s="233" t="s">
        <v>25</v>
      </c>
      <c r="F4828" s="227" t="s">
        <v>3001</v>
      </c>
    </row>
    <row r="4829" spans="1:6" x14ac:dyDescent="0.25">
      <c r="A4829" s="227" t="str">
        <f>TL[[#This Row],[Société]]&amp;" - "&amp;TL[[#This Row],[Compte]]</f>
        <v>HTR8 - 61561000</v>
      </c>
      <c r="B4829" s="233" t="s">
        <v>2667</v>
      </c>
      <c r="C4829" s="227" t="s">
        <v>234</v>
      </c>
      <c r="D4829" s="233" t="s">
        <v>20</v>
      </c>
      <c r="E4829" s="233" t="s">
        <v>25</v>
      </c>
      <c r="F4829" s="227" t="s">
        <v>3001</v>
      </c>
    </row>
    <row r="4830" spans="1:6" x14ac:dyDescent="0.25">
      <c r="A4830" s="227" t="str">
        <f>TL[[#This Row],[Société]]&amp;" - "&amp;TL[[#This Row],[Compte]]</f>
        <v>HTR8 - 61561100</v>
      </c>
      <c r="B4830" s="233" t="s">
        <v>2668</v>
      </c>
      <c r="C4830" s="227" t="s">
        <v>211</v>
      </c>
      <c r="D4830" s="233" t="s">
        <v>20</v>
      </c>
      <c r="E4830" s="233" t="s">
        <v>25</v>
      </c>
      <c r="F4830" s="227" t="s">
        <v>3001</v>
      </c>
    </row>
    <row r="4831" spans="1:6" x14ac:dyDescent="0.25">
      <c r="A4831" s="227" t="str">
        <f>TL[[#This Row],[Société]]&amp;" - "&amp;TL[[#This Row],[Compte]]</f>
        <v>HTR8 - 61561200</v>
      </c>
      <c r="B4831" s="233" t="s">
        <v>2669</v>
      </c>
      <c r="C4831" s="227" t="s">
        <v>1185</v>
      </c>
      <c r="D4831" s="233" t="s">
        <v>20</v>
      </c>
      <c r="E4831" s="233" t="s">
        <v>25</v>
      </c>
      <c r="F4831" s="227" t="s">
        <v>3001</v>
      </c>
    </row>
    <row r="4832" spans="1:6" x14ac:dyDescent="0.25">
      <c r="A4832" s="227" t="str">
        <f>TL[[#This Row],[Société]]&amp;" - "&amp;TL[[#This Row],[Compte]]</f>
        <v>HTR8 - 61561300</v>
      </c>
      <c r="B4832" s="233" t="s">
        <v>2670</v>
      </c>
      <c r="C4832" s="227" t="s">
        <v>239</v>
      </c>
      <c r="D4832" s="233" t="s">
        <v>20</v>
      </c>
      <c r="E4832" s="233" t="s">
        <v>25</v>
      </c>
      <c r="F4832" s="227" t="s">
        <v>3001</v>
      </c>
    </row>
    <row r="4833" spans="1:6" x14ac:dyDescent="0.25">
      <c r="A4833" s="227" t="str">
        <f>TL[[#This Row],[Société]]&amp;" - "&amp;TL[[#This Row],[Compte]]</f>
        <v>HTR8 - 61561400</v>
      </c>
      <c r="B4833" s="233" t="s">
        <v>3603</v>
      </c>
      <c r="C4833" s="227" t="s">
        <v>1317</v>
      </c>
      <c r="D4833" s="233" t="s">
        <v>20</v>
      </c>
      <c r="E4833" s="233" t="s">
        <v>25</v>
      </c>
      <c r="F4833" s="227" t="s">
        <v>3001</v>
      </c>
    </row>
    <row r="4834" spans="1:6" x14ac:dyDescent="0.25">
      <c r="A4834" s="227" t="str">
        <f>TL[[#This Row],[Société]]&amp;" - "&amp;TL[[#This Row],[Compte]]</f>
        <v>HTR8 - 61561500</v>
      </c>
      <c r="B4834" s="233" t="s">
        <v>2652</v>
      </c>
      <c r="C4834" s="227" t="s">
        <v>240</v>
      </c>
      <c r="D4834" s="233" t="s">
        <v>20</v>
      </c>
      <c r="E4834" s="233" t="s">
        <v>18</v>
      </c>
      <c r="F4834" s="227" t="s">
        <v>3001</v>
      </c>
    </row>
    <row r="4835" spans="1:6" x14ac:dyDescent="0.25">
      <c r="A4835" s="227" t="str">
        <f>TL[[#This Row],[Société]]&amp;" - "&amp;TL[[#This Row],[Compte]]</f>
        <v>HTR8 - 61561600</v>
      </c>
      <c r="B4835" s="233" t="s">
        <v>2671</v>
      </c>
      <c r="C4835" s="227" t="s">
        <v>229</v>
      </c>
      <c r="D4835" s="233" t="s">
        <v>20</v>
      </c>
      <c r="E4835" s="233" t="s">
        <v>25</v>
      </c>
      <c r="F4835" s="227" t="s">
        <v>3001</v>
      </c>
    </row>
    <row r="4836" spans="1:6" x14ac:dyDescent="0.25">
      <c r="A4836" s="227" t="str">
        <f>TL[[#This Row],[Société]]&amp;" - "&amp;TL[[#This Row],[Compte]]</f>
        <v>HTR8 - 61561700</v>
      </c>
      <c r="B4836" s="233" t="s">
        <v>3604</v>
      </c>
      <c r="C4836" s="227" t="s">
        <v>285</v>
      </c>
      <c r="D4836" s="233" t="s">
        <v>20</v>
      </c>
      <c r="E4836" s="233" t="s">
        <v>25</v>
      </c>
      <c r="F4836" s="227" t="s">
        <v>3001</v>
      </c>
    </row>
    <row r="4837" spans="1:6" x14ac:dyDescent="0.25">
      <c r="A4837" s="227" t="str">
        <f>TL[[#This Row],[Société]]&amp;" - "&amp;TL[[#This Row],[Compte]]</f>
        <v>HTR8 - 61561800</v>
      </c>
      <c r="B4837" s="233" t="s">
        <v>2672</v>
      </c>
      <c r="C4837" s="227" t="s">
        <v>233</v>
      </c>
      <c r="D4837" s="233" t="s">
        <v>20</v>
      </c>
      <c r="E4837" s="233" t="s">
        <v>25</v>
      </c>
      <c r="F4837" s="227" t="s">
        <v>3001</v>
      </c>
    </row>
    <row r="4838" spans="1:6" x14ac:dyDescent="0.25">
      <c r="A4838" s="227" t="str">
        <f>TL[[#This Row],[Société]]&amp;" - "&amp;TL[[#This Row],[Compte]]</f>
        <v>HTR8 - 61562000</v>
      </c>
      <c r="B4838" s="233" t="s">
        <v>2653</v>
      </c>
      <c r="C4838" s="227" t="s">
        <v>266</v>
      </c>
      <c r="D4838" s="233" t="s">
        <v>20</v>
      </c>
      <c r="E4838" s="233" t="s">
        <v>20</v>
      </c>
      <c r="F4838" s="227" t="s">
        <v>3001</v>
      </c>
    </row>
    <row r="4839" spans="1:6" x14ac:dyDescent="0.25">
      <c r="A4839" s="227" t="str">
        <f>TL[[#This Row],[Société]]&amp;" - "&amp;TL[[#This Row],[Compte]]</f>
        <v>HTR8 - 61562100</v>
      </c>
      <c r="B4839" s="233" t="s">
        <v>2673</v>
      </c>
      <c r="C4839" s="227" t="s">
        <v>2407</v>
      </c>
      <c r="D4839" s="233" t="s">
        <v>20</v>
      </c>
      <c r="E4839" s="233" t="s">
        <v>25</v>
      </c>
      <c r="F4839" s="227" t="s">
        <v>3001</v>
      </c>
    </row>
    <row r="4840" spans="1:6" x14ac:dyDescent="0.25">
      <c r="A4840" s="227" t="str">
        <f>TL[[#This Row],[Société]]&amp;" - "&amp;TL[[#This Row],[Compte]]</f>
        <v>HTR8 - 61562200</v>
      </c>
      <c r="B4840" s="233" t="s">
        <v>3606</v>
      </c>
      <c r="C4840" s="227" t="s">
        <v>280</v>
      </c>
      <c r="D4840" s="233" t="s">
        <v>20</v>
      </c>
      <c r="E4840" s="233" t="s">
        <v>25</v>
      </c>
      <c r="F4840" s="227" t="s">
        <v>3001</v>
      </c>
    </row>
    <row r="4841" spans="1:6" x14ac:dyDescent="0.25">
      <c r="A4841" s="227" t="str">
        <f>TL[[#This Row],[Société]]&amp;" - "&amp;TL[[#This Row],[Compte]]</f>
        <v>HTR8 - 61562300</v>
      </c>
      <c r="B4841" s="233" t="s">
        <v>2674</v>
      </c>
      <c r="C4841" s="227" t="s">
        <v>2675</v>
      </c>
      <c r="D4841" s="233" t="s">
        <v>20</v>
      </c>
      <c r="E4841" s="233" t="s">
        <v>25</v>
      </c>
      <c r="F4841" s="227" t="s">
        <v>3001</v>
      </c>
    </row>
    <row r="4842" spans="1:6" x14ac:dyDescent="0.25">
      <c r="A4842" s="227" t="str">
        <f>TL[[#This Row],[Société]]&amp;" - "&amp;TL[[#This Row],[Compte]]</f>
        <v>HTR8 - 61562400</v>
      </c>
      <c r="B4842" s="233" t="s">
        <v>2654</v>
      </c>
      <c r="C4842" s="227" t="s">
        <v>2408</v>
      </c>
      <c r="D4842" s="233" t="s">
        <v>20</v>
      </c>
      <c r="E4842" s="233" t="s">
        <v>20</v>
      </c>
      <c r="F4842" s="227" t="s">
        <v>3001</v>
      </c>
    </row>
    <row r="4843" spans="1:6" x14ac:dyDescent="0.25">
      <c r="A4843" s="227" t="str">
        <f>TL[[#This Row],[Société]]&amp;" - "&amp;TL[[#This Row],[Compte]]</f>
        <v>HTR8 - 61562500</v>
      </c>
      <c r="B4843" s="233" t="s">
        <v>2676</v>
      </c>
      <c r="C4843" s="227" t="s">
        <v>2409</v>
      </c>
      <c r="D4843" s="233" t="s">
        <v>20</v>
      </c>
      <c r="E4843" s="233" t="s">
        <v>25</v>
      </c>
      <c r="F4843" s="227" t="s">
        <v>3001</v>
      </c>
    </row>
    <row r="4844" spans="1:6" x14ac:dyDescent="0.25">
      <c r="A4844" s="227" t="str">
        <f>TL[[#This Row],[Société]]&amp;" - "&amp;TL[[#This Row],[Compte]]</f>
        <v>HTR8 - 61562600</v>
      </c>
      <c r="B4844" s="233" t="s">
        <v>3607</v>
      </c>
      <c r="C4844" s="227" t="s">
        <v>316</v>
      </c>
      <c r="D4844" s="233" t="s">
        <v>20</v>
      </c>
      <c r="E4844" s="233" t="s">
        <v>25</v>
      </c>
      <c r="F4844" s="227" t="s">
        <v>3001</v>
      </c>
    </row>
    <row r="4845" spans="1:6" x14ac:dyDescent="0.25">
      <c r="A4845" s="227" t="str">
        <f>TL[[#This Row],[Société]]&amp;" - "&amp;TL[[#This Row],[Compte]]</f>
        <v>HTR8 - 61562700</v>
      </c>
      <c r="B4845" s="233" t="s">
        <v>3608</v>
      </c>
      <c r="C4845" s="227" t="s">
        <v>1189</v>
      </c>
      <c r="D4845" s="233" t="s">
        <v>20</v>
      </c>
      <c r="E4845" s="233" t="s">
        <v>25</v>
      </c>
      <c r="F4845" s="227" t="s">
        <v>3001</v>
      </c>
    </row>
    <row r="4846" spans="1:6" x14ac:dyDescent="0.25">
      <c r="A4846" s="227" t="str">
        <f>TL[[#This Row],[Société]]&amp;" - "&amp;TL[[#This Row],[Compte]]</f>
        <v>HTR8 - 61562800</v>
      </c>
      <c r="B4846" s="233" t="s">
        <v>2677</v>
      </c>
      <c r="C4846" s="227" t="s">
        <v>1190</v>
      </c>
      <c r="D4846" s="233" t="s">
        <v>20</v>
      </c>
      <c r="E4846" s="233" t="s">
        <v>25</v>
      </c>
      <c r="F4846" s="227" t="s">
        <v>3001</v>
      </c>
    </row>
    <row r="4847" spans="1:6" x14ac:dyDescent="0.25">
      <c r="A4847" s="227" t="str">
        <f>TL[[#This Row],[Société]]&amp;" - "&amp;TL[[#This Row],[Compte]]</f>
        <v>HTR8 - 61563000</v>
      </c>
      <c r="B4847" s="233" t="s">
        <v>2678</v>
      </c>
      <c r="C4847" s="227" t="s">
        <v>1319</v>
      </c>
      <c r="D4847" s="233" t="s">
        <v>20</v>
      </c>
      <c r="E4847" s="233" t="s">
        <v>25</v>
      </c>
      <c r="F4847" s="227" t="s">
        <v>3001</v>
      </c>
    </row>
    <row r="4848" spans="1:6" x14ac:dyDescent="0.25">
      <c r="A4848" s="227" t="str">
        <f>TL[[#This Row],[Société]]&amp;" - "&amp;TL[[#This Row],[Compte]]</f>
        <v>HTR8 - 61563200</v>
      </c>
      <c r="B4848" s="233" t="s">
        <v>2679</v>
      </c>
      <c r="C4848" s="227" t="s">
        <v>2410</v>
      </c>
      <c r="D4848" s="233" t="s">
        <v>20</v>
      </c>
      <c r="E4848" s="233" t="s">
        <v>25</v>
      </c>
      <c r="F4848" s="227" t="s">
        <v>3001</v>
      </c>
    </row>
    <row r="4849" spans="1:6" x14ac:dyDescent="0.25">
      <c r="A4849" s="227" t="str">
        <f>TL[[#This Row],[Société]]&amp;" - "&amp;TL[[#This Row],[Compte]]</f>
        <v>HTR8 - 61563400</v>
      </c>
      <c r="B4849" s="233" t="s">
        <v>3613</v>
      </c>
      <c r="C4849" s="227" t="s">
        <v>3248</v>
      </c>
      <c r="D4849" s="233" t="s">
        <v>20</v>
      </c>
      <c r="E4849" s="233" t="s">
        <v>25</v>
      </c>
      <c r="F4849" s="227" t="s">
        <v>3001</v>
      </c>
    </row>
    <row r="4850" spans="1:6" x14ac:dyDescent="0.25">
      <c r="A4850" s="227" t="str">
        <f>TL[[#This Row],[Société]]&amp;" - "&amp;TL[[#This Row],[Compte]]</f>
        <v>HTR8 - 61563500</v>
      </c>
      <c r="B4850" s="233" t="s">
        <v>2680</v>
      </c>
      <c r="C4850" s="227" t="s">
        <v>2241</v>
      </c>
      <c r="D4850" s="233" t="s">
        <v>20</v>
      </c>
      <c r="E4850" s="233" t="s">
        <v>25</v>
      </c>
      <c r="F4850" s="227" t="s">
        <v>3001</v>
      </c>
    </row>
    <row r="4851" spans="1:6" x14ac:dyDescent="0.25">
      <c r="A4851" s="227" t="str">
        <f>TL[[#This Row],[Société]]&amp;" - "&amp;TL[[#This Row],[Compte]]</f>
        <v>HTR8 - 61563600</v>
      </c>
      <c r="B4851" s="233" t="s">
        <v>2681</v>
      </c>
      <c r="C4851" s="227" t="s">
        <v>2411</v>
      </c>
      <c r="D4851" s="233" t="s">
        <v>20</v>
      </c>
      <c r="E4851" s="233" t="s">
        <v>25</v>
      </c>
      <c r="F4851" s="227" t="s">
        <v>3001</v>
      </c>
    </row>
    <row r="4852" spans="1:6" x14ac:dyDescent="0.25">
      <c r="A4852" s="227" t="str">
        <f>TL[[#This Row],[Société]]&amp;" - "&amp;TL[[#This Row],[Compte]]</f>
        <v>HTR8 - 61563700</v>
      </c>
      <c r="B4852" s="233" t="s">
        <v>2682</v>
      </c>
      <c r="C4852" s="227" t="s">
        <v>2412</v>
      </c>
      <c r="D4852" s="233" t="s">
        <v>20</v>
      </c>
      <c r="E4852" s="233" t="s">
        <v>25</v>
      </c>
      <c r="F4852" s="227" t="s">
        <v>3001</v>
      </c>
    </row>
    <row r="4853" spans="1:6" x14ac:dyDescent="0.25">
      <c r="A4853" s="227" t="str">
        <f>TL[[#This Row],[Société]]&amp;" - "&amp;TL[[#This Row],[Compte]]</f>
        <v>HTR8 - 61563800</v>
      </c>
      <c r="B4853" s="233" t="s">
        <v>2683</v>
      </c>
      <c r="C4853" s="227" t="s">
        <v>2413</v>
      </c>
      <c r="D4853" s="233" t="s">
        <v>20</v>
      </c>
      <c r="E4853" s="233" t="s">
        <v>25</v>
      </c>
      <c r="F4853" s="227" t="s">
        <v>3001</v>
      </c>
    </row>
    <row r="4854" spans="1:6" x14ac:dyDescent="0.25">
      <c r="A4854" s="227" t="str">
        <f>TL[[#This Row],[Société]]&amp;" - "&amp;TL[[#This Row],[Compte]]</f>
        <v>HTR8 - 61564100</v>
      </c>
      <c r="B4854" s="233" t="s">
        <v>2684</v>
      </c>
      <c r="C4854" s="227" t="s">
        <v>1486</v>
      </c>
      <c r="D4854" s="233" t="s">
        <v>20</v>
      </c>
      <c r="E4854" s="233" t="s">
        <v>25</v>
      </c>
      <c r="F4854" s="227" t="s">
        <v>3001</v>
      </c>
    </row>
    <row r="4855" spans="1:6" x14ac:dyDescent="0.25">
      <c r="A4855" s="227" t="str">
        <f>TL[[#This Row],[Société]]&amp;" - "&amp;TL[[#This Row],[Compte]]</f>
        <v>HTR8 - 61564200</v>
      </c>
      <c r="B4855" s="233" t="s">
        <v>3616</v>
      </c>
      <c r="C4855" s="227" t="s">
        <v>6620</v>
      </c>
      <c r="D4855" s="233" t="s">
        <v>20</v>
      </c>
      <c r="E4855" s="233" t="s">
        <v>25</v>
      </c>
      <c r="F4855" s="227" t="s">
        <v>3001</v>
      </c>
    </row>
    <row r="4856" spans="1:6" x14ac:dyDescent="0.25">
      <c r="A4856" s="227" t="str">
        <f>TL[[#This Row],[Société]]&amp;" - "&amp;TL[[#This Row],[Compte]]</f>
        <v>HTR8 - 61564300</v>
      </c>
      <c r="B4856" s="233" t="s">
        <v>2685</v>
      </c>
      <c r="C4856" s="227" t="s">
        <v>2240</v>
      </c>
      <c r="D4856" s="233" t="s">
        <v>20</v>
      </c>
      <c r="E4856" s="233" t="s">
        <v>25</v>
      </c>
      <c r="F4856" s="227" t="s">
        <v>3001</v>
      </c>
    </row>
    <row r="4857" spans="1:6" x14ac:dyDescent="0.25">
      <c r="A4857" s="227" t="str">
        <f>TL[[#This Row],[Société]]&amp;" - "&amp;TL[[#This Row],[Compte]]</f>
        <v>HTR8 - 61564400</v>
      </c>
      <c r="B4857" s="233" t="s">
        <v>3617</v>
      </c>
      <c r="C4857" s="227" t="s">
        <v>6621</v>
      </c>
      <c r="D4857" s="233" t="s">
        <v>20</v>
      </c>
      <c r="E4857" s="233" t="s">
        <v>25</v>
      </c>
      <c r="F4857" s="227" t="s">
        <v>3001</v>
      </c>
    </row>
    <row r="4858" spans="1:6" x14ac:dyDescent="0.25">
      <c r="A4858" s="227" t="str">
        <f>TL[[#This Row],[Société]]&amp;" - "&amp;TL[[#This Row],[Compte]]</f>
        <v>HTR8 - 61564500</v>
      </c>
      <c r="B4858" s="233" t="s">
        <v>6622</v>
      </c>
      <c r="C4858" s="227" t="s">
        <v>233</v>
      </c>
      <c r="D4858" s="233" t="s">
        <v>20</v>
      </c>
      <c r="E4858" s="233" t="s">
        <v>25</v>
      </c>
      <c r="F4858" s="227" t="s">
        <v>3001</v>
      </c>
    </row>
    <row r="4859" spans="1:6" x14ac:dyDescent="0.25">
      <c r="A4859" s="227" t="str">
        <f>TL[[#This Row],[Société]]&amp;" - "&amp;TL[[#This Row],[Compte]]</f>
        <v>HTR8 - 61564600</v>
      </c>
      <c r="B4859" s="233" t="s">
        <v>2686</v>
      </c>
      <c r="C4859" s="227" t="s">
        <v>1482</v>
      </c>
      <c r="D4859" s="233" t="s">
        <v>20</v>
      </c>
      <c r="E4859" s="233" t="s">
        <v>25</v>
      </c>
      <c r="F4859" s="227" t="s">
        <v>3001</v>
      </c>
    </row>
    <row r="4860" spans="1:6" x14ac:dyDescent="0.25">
      <c r="A4860" s="227" t="str">
        <f>TL[[#This Row],[Société]]&amp;" - "&amp;TL[[#This Row],[Compte]]</f>
        <v>HTR8 - 61564700</v>
      </c>
      <c r="B4860" s="233" t="s">
        <v>2687</v>
      </c>
      <c r="C4860" s="227" t="s">
        <v>1547</v>
      </c>
      <c r="D4860" s="233" t="s">
        <v>20</v>
      </c>
      <c r="E4860" s="233" t="s">
        <v>25</v>
      </c>
      <c r="F4860" s="227" t="s">
        <v>3001</v>
      </c>
    </row>
    <row r="4861" spans="1:6" x14ac:dyDescent="0.25">
      <c r="A4861" s="227" t="str">
        <f>TL[[#This Row],[Société]]&amp;" - "&amp;TL[[#This Row],[Compte]]</f>
        <v>HTR8 - 61564800</v>
      </c>
      <c r="B4861" s="233" t="s">
        <v>2688</v>
      </c>
      <c r="C4861" s="227" t="s">
        <v>2414</v>
      </c>
      <c r="D4861" s="233" t="s">
        <v>20</v>
      </c>
      <c r="E4861" s="233" t="s">
        <v>25</v>
      </c>
      <c r="F4861" s="227" t="s">
        <v>3001</v>
      </c>
    </row>
    <row r="4862" spans="1:6" x14ac:dyDescent="0.25">
      <c r="A4862" s="227" t="str">
        <f>TL[[#This Row],[Société]]&amp;" - "&amp;TL[[#This Row],[Compte]]</f>
        <v>HTR8 - 61564900</v>
      </c>
      <c r="B4862" s="233" t="s">
        <v>2689</v>
      </c>
      <c r="C4862" s="227" t="s">
        <v>2690</v>
      </c>
      <c r="D4862" s="233" t="s">
        <v>20</v>
      </c>
      <c r="E4862" s="233" t="s">
        <v>25</v>
      </c>
      <c r="F4862" s="227" t="s">
        <v>3001</v>
      </c>
    </row>
    <row r="4863" spans="1:6" x14ac:dyDescent="0.25">
      <c r="A4863" s="227" t="str">
        <f>TL[[#This Row],[Société]]&amp;" - "&amp;TL[[#This Row],[Compte]]</f>
        <v>HTR8 - 61600100</v>
      </c>
      <c r="B4863" s="233" t="s">
        <v>2716</v>
      </c>
      <c r="C4863" s="227" t="s">
        <v>2292</v>
      </c>
      <c r="D4863" s="233" t="s">
        <v>40</v>
      </c>
      <c r="E4863" s="233" t="s">
        <v>45</v>
      </c>
      <c r="F4863" s="227" t="s">
        <v>3001</v>
      </c>
    </row>
    <row r="4864" spans="1:6" x14ac:dyDescent="0.25">
      <c r="A4864" s="227" t="str">
        <f>TL[[#This Row],[Société]]&amp;" - "&amp;TL[[#This Row],[Compte]]</f>
        <v>HTR8 - 61600200</v>
      </c>
      <c r="B4864" s="233" t="s">
        <v>2731</v>
      </c>
      <c r="C4864" s="227" t="s">
        <v>278</v>
      </c>
      <c r="D4864" s="233" t="s">
        <v>50</v>
      </c>
      <c r="E4864" s="233" t="s">
        <v>52</v>
      </c>
      <c r="F4864" s="227" t="s">
        <v>3001</v>
      </c>
    </row>
    <row r="4865" spans="1:6" x14ac:dyDescent="0.25">
      <c r="A4865" s="227" t="str">
        <f>TL[[#This Row],[Société]]&amp;" - "&amp;TL[[#This Row],[Compte]]</f>
        <v>HTR8 - 61600300</v>
      </c>
      <c r="B4865" s="233" t="s">
        <v>3618</v>
      </c>
      <c r="C4865" s="227" t="s">
        <v>1490</v>
      </c>
      <c r="D4865" s="233" t="s">
        <v>40</v>
      </c>
      <c r="E4865" s="233" t="s">
        <v>45</v>
      </c>
      <c r="F4865" s="227" t="s">
        <v>3001</v>
      </c>
    </row>
    <row r="4866" spans="1:6" x14ac:dyDescent="0.25">
      <c r="A4866" s="227" t="str">
        <f>TL[[#This Row],[Société]]&amp;" - "&amp;TL[[#This Row],[Compte]]</f>
        <v>HTR8 - 61810000</v>
      </c>
      <c r="B4866" s="233" t="s">
        <v>3623</v>
      </c>
      <c r="C4866" s="227" t="s">
        <v>6623</v>
      </c>
      <c r="D4866" s="240" t="s">
        <v>20</v>
      </c>
      <c r="E4866" s="233" t="s">
        <v>2982</v>
      </c>
      <c r="F4866" s="227" t="s">
        <v>3001</v>
      </c>
    </row>
    <row r="4867" spans="1:6" x14ac:dyDescent="0.25">
      <c r="A4867" s="227" t="str">
        <f>TL[[#This Row],[Société]]&amp;" - "&amp;TL[[#This Row],[Compte]]</f>
        <v>HTR8 - 61811000</v>
      </c>
      <c r="B4867" s="233" t="s">
        <v>6624</v>
      </c>
      <c r="C4867" s="227" t="s">
        <v>5888</v>
      </c>
      <c r="D4867" s="233" t="s">
        <v>32</v>
      </c>
      <c r="E4867" s="233" t="s">
        <v>2982</v>
      </c>
      <c r="F4867" s="227" t="s">
        <v>3001</v>
      </c>
    </row>
    <row r="4868" spans="1:6" x14ac:dyDescent="0.25">
      <c r="A4868" s="227" t="str">
        <f>TL[[#This Row],[Société]]&amp;" - "&amp;TL[[#This Row],[Compte]]</f>
        <v>HTR8 - 62140100</v>
      </c>
      <c r="B4868" s="233" t="s">
        <v>3625</v>
      </c>
      <c r="C4868" s="227" t="s">
        <v>1200</v>
      </c>
      <c r="D4868" s="233" t="s">
        <v>12</v>
      </c>
      <c r="E4868" s="233" t="s">
        <v>3</v>
      </c>
      <c r="F4868" s="227" t="s">
        <v>3001</v>
      </c>
    </row>
    <row r="4869" spans="1:6" x14ac:dyDescent="0.25">
      <c r="A4869" s="227" t="str">
        <f>TL[[#This Row],[Société]]&amp;" - "&amp;TL[[#This Row],[Compte]]</f>
        <v>HTR8 - 62140200</v>
      </c>
      <c r="B4869" s="233" t="s">
        <v>2635</v>
      </c>
      <c r="C4869" s="227" t="s">
        <v>2415</v>
      </c>
      <c r="D4869" s="233" t="s">
        <v>13</v>
      </c>
      <c r="E4869" s="233" t="s">
        <v>12</v>
      </c>
      <c r="F4869" s="227" t="s">
        <v>3001</v>
      </c>
    </row>
    <row r="4870" spans="1:6" x14ac:dyDescent="0.25">
      <c r="A4870" s="227" t="str">
        <f>TL[[#This Row],[Société]]&amp;" - "&amp;TL[[#This Row],[Compte]]</f>
        <v>HTR8 - 62140300</v>
      </c>
      <c r="B4870" s="233" t="s">
        <v>6154</v>
      </c>
      <c r="C4870" s="227" t="s">
        <v>6625</v>
      </c>
      <c r="D4870" s="233" t="s">
        <v>50</v>
      </c>
      <c r="E4870" s="233" t="s">
        <v>16</v>
      </c>
      <c r="F4870" s="227" t="s">
        <v>3001</v>
      </c>
    </row>
    <row r="4871" spans="1:6" x14ac:dyDescent="0.25">
      <c r="A4871" s="227" t="str">
        <f>TL[[#This Row],[Société]]&amp;" - "&amp;TL[[#This Row],[Compte]]</f>
        <v>HTR8 - 62140400</v>
      </c>
      <c r="B4871" s="233" t="s">
        <v>3626</v>
      </c>
      <c r="C4871" s="227" t="s">
        <v>6626</v>
      </c>
      <c r="D4871" s="233" t="s">
        <v>50</v>
      </c>
      <c r="E4871" s="233" t="s">
        <v>16</v>
      </c>
      <c r="F4871" s="227" t="s">
        <v>3001</v>
      </c>
    </row>
    <row r="4872" spans="1:6" x14ac:dyDescent="0.25">
      <c r="A4872" s="227" t="str">
        <f>TL[[#This Row],[Société]]&amp;" - "&amp;TL[[#This Row],[Compte]]</f>
        <v>HTR8 - 62140500</v>
      </c>
      <c r="B4872" s="233" t="s">
        <v>2649</v>
      </c>
      <c r="C4872" s="227" t="s">
        <v>2416</v>
      </c>
      <c r="D4872" s="233" t="s">
        <v>50</v>
      </c>
      <c r="E4872" s="233" t="s">
        <v>16</v>
      </c>
      <c r="F4872" s="227" t="s">
        <v>3001</v>
      </c>
    </row>
    <row r="4873" spans="1:6" x14ac:dyDescent="0.25">
      <c r="A4873" s="227" t="str">
        <f>TL[[#This Row],[Société]]&amp;" - "&amp;TL[[#This Row],[Compte]]</f>
        <v>HTR8 - 62140600</v>
      </c>
      <c r="B4873" s="233" t="s">
        <v>2650</v>
      </c>
      <c r="C4873" s="227" t="s">
        <v>1556</v>
      </c>
      <c r="D4873" s="233" t="s">
        <v>50</v>
      </c>
      <c r="E4873" s="233" t="s">
        <v>16</v>
      </c>
      <c r="F4873" s="227" t="s">
        <v>3001</v>
      </c>
    </row>
    <row r="4874" spans="1:6" x14ac:dyDescent="0.25">
      <c r="A4874" s="227" t="str">
        <f>TL[[#This Row],[Société]]&amp;" - "&amp;TL[[#This Row],[Compte]]</f>
        <v>HTR8 - 62140700</v>
      </c>
      <c r="B4874" s="233" t="s">
        <v>2642</v>
      </c>
      <c r="C4874" s="227" t="s">
        <v>2643</v>
      </c>
      <c r="D4874" s="239" t="s">
        <v>50</v>
      </c>
      <c r="E4874" s="233" t="s">
        <v>13</v>
      </c>
      <c r="F4874" s="227" t="s">
        <v>3001</v>
      </c>
    </row>
    <row r="4875" spans="1:6" x14ac:dyDescent="0.25">
      <c r="A4875" s="227" t="str">
        <f>TL[[#This Row],[Société]]&amp;" - "&amp;TL[[#This Row],[Compte]]</f>
        <v>HTR8 - 62260000</v>
      </c>
      <c r="B4875" s="233" t="s">
        <v>2714</v>
      </c>
      <c r="C4875" s="227" t="s">
        <v>1203</v>
      </c>
      <c r="D4875" s="233" t="s">
        <v>39</v>
      </c>
      <c r="E4875" s="233" t="s">
        <v>44</v>
      </c>
      <c r="F4875" s="227" t="s">
        <v>3001</v>
      </c>
    </row>
    <row r="4876" spans="1:6" x14ac:dyDescent="0.25">
      <c r="A4876" s="227" t="str">
        <f>TL[[#This Row],[Société]]&amp;" - "&amp;TL[[#This Row],[Compte]]</f>
        <v>HTR8 - 62261000</v>
      </c>
      <c r="B4876" s="233" t="s">
        <v>2715</v>
      </c>
      <c r="C4876" s="227" t="s">
        <v>162</v>
      </c>
      <c r="D4876" s="233" t="s">
        <v>39</v>
      </c>
      <c r="E4876" s="233" t="s">
        <v>44</v>
      </c>
      <c r="F4876" s="227" t="s">
        <v>3001</v>
      </c>
    </row>
    <row r="4877" spans="1:6" x14ac:dyDescent="0.25">
      <c r="A4877" s="227" t="str">
        <f>TL[[#This Row],[Société]]&amp;" - "&amp;TL[[#This Row],[Compte]]</f>
        <v>HTR8 - 62262000</v>
      </c>
      <c r="B4877" s="233" t="s">
        <v>3631</v>
      </c>
      <c r="C4877" s="227" t="s">
        <v>6331</v>
      </c>
      <c r="D4877" s="233" t="s">
        <v>39</v>
      </c>
      <c r="E4877" s="233" t="s">
        <v>44</v>
      </c>
      <c r="F4877" s="227" t="s">
        <v>3001</v>
      </c>
    </row>
    <row r="4878" spans="1:6" x14ac:dyDescent="0.25">
      <c r="A4878" s="227" t="str">
        <f>TL[[#This Row],[Société]]&amp;" - "&amp;TL[[#This Row],[Compte]]</f>
        <v>HTR8 - 62263000</v>
      </c>
      <c r="B4878" s="233" t="s">
        <v>3632</v>
      </c>
      <c r="C4878" s="227" t="s">
        <v>1205</v>
      </c>
      <c r="D4878" s="233" t="s">
        <v>39</v>
      </c>
      <c r="E4878" s="233" t="s">
        <v>44</v>
      </c>
      <c r="F4878" s="227" t="s">
        <v>3001</v>
      </c>
    </row>
    <row r="4879" spans="1:6" x14ac:dyDescent="0.25">
      <c r="A4879" s="227" t="str">
        <f>TL[[#This Row],[Société]]&amp;" - "&amp;TL[[#This Row],[Compte]]</f>
        <v>HTR8 - 62270000</v>
      </c>
      <c r="B4879" s="233" t="s">
        <v>3634</v>
      </c>
      <c r="C4879" s="227" t="s">
        <v>159</v>
      </c>
      <c r="D4879" s="233" t="s">
        <v>39</v>
      </c>
      <c r="E4879" s="233" t="s">
        <v>44</v>
      </c>
      <c r="F4879" s="227" t="s">
        <v>3001</v>
      </c>
    </row>
    <row r="4880" spans="1:6" x14ac:dyDescent="0.25">
      <c r="A4880" s="227" t="str">
        <f>TL[[#This Row],[Société]]&amp;" - "&amp;TL[[#This Row],[Compte]]</f>
        <v>HTR8 - 62280000</v>
      </c>
      <c r="B4880" s="233" t="s">
        <v>2693</v>
      </c>
      <c r="C4880" s="227" t="s">
        <v>2180</v>
      </c>
      <c r="D4880" s="233" t="s">
        <v>39</v>
      </c>
      <c r="E4880" s="233" t="s">
        <v>29</v>
      </c>
      <c r="F4880" s="227" t="s">
        <v>3001</v>
      </c>
    </row>
    <row r="4881" spans="1:6" x14ac:dyDescent="0.25">
      <c r="A4881" s="227" t="str">
        <f>TL[[#This Row],[Société]]&amp;" - "&amp;TL[[#This Row],[Compte]]</f>
        <v>HTR8 - 62281000</v>
      </c>
      <c r="B4881" s="233" t="s">
        <v>2694</v>
      </c>
      <c r="C4881" s="227" t="s">
        <v>2181</v>
      </c>
      <c r="D4881" s="233" t="s">
        <v>39</v>
      </c>
      <c r="E4881" s="233" t="s">
        <v>29</v>
      </c>
      <c r="F4881" s="227" t="s">
        <v>3001</v>
      </c>
    </row>
    <row r="4882" spans="1:6" x14ac:dyDescent="0.25">
      <c r="A4882" s="227" t="str">
        <f>TL[[#This Row],[Société]]&amp;" - "&amp;TL[[#This Row],[Compte]]</f>
        <v>HTR8 - 62300000</v>
      </c>
      <c r="B4882" s="233" t="s">
        <v>2695</v>
      </c>
      <c r="C4882" s="227" t="s">
        <v>2400</v>
      </c>
      <c r="D4882" s="233" t="s">
        <v>17</v>
      </c>
      <c r="E4882" s="233" t="s">
        <v>30</v>
      </c>
      <c r="F4882" s="227" t="s">
        <v>3001</v>
      </c>
    </row>
    <row r="4883" spans="1:6" x14ac:dyDescent="0.25">
      <c r="A4883" s="227" t="str">
        <f>TL[[#This Row],[Société]]&amp;" - "&amp;TL[[#This Row],[Compte]]</f>
        <v>HTR8 - 62300200</v>
      </c>
      <c r="B4883" s="233" t="s">
        <v>2696</v>
      </c>
      <c r="C4883" s="227" t="s">
        <v>215</v>
      </c>
      <c r="D4883" s="233" t="s">
        <v>18</v>
      </c>
      <c r="E4883" s="233" t="s">
        <v>32</v>
      </c>
      <c r="F4883" s="227" t="s">
        <v>3001</v>
      </c>
    </row>
    <row r="4884" spans="1:6" x14ac:dyDescent="0.25">
      <c r="A4884" s="227" t="str">
        <f>TL[[#This Row],[Société]]&amp;" - "&amp;TL[[#This Row],[Compte]]</f>
        <v>HTR8 - 62320000</v>
      </c>
      <c r="B4884" s="233" t="s">
        <v>3637</v>
      </c>
      <c r="C4884" s="227" t="s">
        <v>5059</v>
      </c>
      <c r="F4884" s="227" t="s">
        <v>3001</v>
      </c>
    </row>
    <row r="4885" spans="1:6" x14ac:dyDescent="0.25">
      <c r="A4885" s="227" t="str">
        <f>TL[[#This Row],[Société]]&amp;" - "&amp;TL[[#This Row],[Compte]]</f>
        <v>HTR8 - 62340000</v>
      </c>
      <c r="B4885" s="233" t="s">
        <v>2697</v>
      </c>
      <c r="C4885" s="227" t="s">
        <v>228</v>
      </c>
      <c r="D4885" s="233" t="s">
        <v>32</v>
      </c>
      <c r="E4885" s="233" t="s">
        <v>32</v>
      </c>
      <c r="F4885" s="227" t="s">
        <v>3001</v>
      </c>
    </row>
    <row r="4886" spans="1:6" x14ac:dyDescent="0.25">
      <c r="A4886" s="227" t="str">
        <f>TL[[#This Row],[Société]]&amp;" - "&amp;TL[[#This Row],[Compte]]</f>
        <v>HTR8 - 62340100</v>
      </c>
      <c r="B4886" s="233" t="s">
        <v>2698</v>
      </c>
      <c r="C4886" s="227" t="s">
        <v>226</v>
      </c>
      <c r="D4886" s="233" t="s">
        <v>18</v>
      </c>
      <c r="E4886" s="233" t="s">
        <v>32</v>
      </c>
      <c r="F4886" s="227" t="s">
        <v>3001</v>
      </c>
    </row>
    <row r="4887" spans="1:6" x14ac:dyDescent="0.25">
      <c r="A4887" s="227" t="str">
        <f>TL[[#This Row],[Société]]&amp;" - "&amp;TL[[#This Row],[Compte]]</f>
        <v>HTR8 - 62341500</v>
      </c>
      <c r="B4887" s="233" t="s">
        <v>2699</v>
      </c>
      <c r="C4887" s="227" t="s">
        <v>254</v>
      </c>
      <c r="D4887" s="233" t="s">
        <v>18</v>
      </c>
      <c r="E4887" s="233" t="s">
        <v>32</v>
      </c>
      <c r="F4887" s="227" t="s">
        <v>3001</v>
      </c>
    </row>
    <row r="4888" spans="1:6" x14ac:dyDescent="0.25">
      <c r="A4888" s="227" t="str">
        <f>TL[[#This Row],[Société]]&amp;" - "&amp;TL[[#This Row],[Compte]]</f>
        <v>HTR8 - 62410000</v>
      </c>
      <c r="B4888" s="233" t="s">
        <v>3642</v>
      </c>
      <c r="C4888" s="227" t="s">
        <v>261</v>
      </c>
      <c r="D4888" s="233" t="s">
        <v>0</v>
      </c>
      <c r="E4888" s="233" t="s">
        <v>52</v>
      </c>
      <c r="F4888" s="227" t="s">
        <v>3001</v>
      </c>
    </row>
    <row r="4889" spans="1:6" x14ac:dyDescent="0.25">
      <c r="A4889" s="227" t="str">
        <f>TL[[#This Row],[Société]]&amp;" - "&amp;TL[[#This Row],[Compte]]</f>
        <v>HTR8 - 62510000</v>
      </c>
      <c r="B4889" s="233" t="s">
        <v>2705</v>
      </c>
      <c r="C4889" s="227" t="s">
        <v>2417</v>
      </c>
      <c r="D4889" s="233" t="s">
        <v>16</v>
      </c>
      <c r="E4889" s="233" t="s">
        <v>2982</v>
      </c>
      <c r="F4889" s="227" t="s">
        <v>3001</v>
      </c>
    </row>
    <row r="4890" spans="1:6" x14ac:dyDescent="0.25">
      <c r="A4890" s="227" t="str">
        <f>TL[[#This Row],[Société]]&amp;" - "&amp;TL[[#This Row],[Compte]]</f>
        <v>HTR8 - 62520100</v>
      </c>
      <c r="B4890" s="233" t="s">
        <v>3646</v>
      </c>
      <c r="C4890" s="227" t="s">
        <v>279</v>
      </c>
      <c r="D4890" s="233" t="s">
        <v>16</v>
      </c>
      <c r="E4890" s="233" t="s">
        <v>2979</v>
      </c>
      <c r="F4890" s="227" t="s">
        <v>3001</v>
      </c>
    </row>
    <row r="4891" spans="1:6" x14ac:dyDescent="0.25">
      <c r="A4891" s="227" t="str">
        <f>TL[[#This Row],[Société]]&amp;" - "&amp;TL[[#This Row],[Compte]]</f>
        <v>HTR8 - 62520400</v>
      </c>
      <c r="B4891" s="233" t="s">
        <v>3647</v>
      </c>
      <c r="C4891" s="227" t="s">
        <v>1211</v>
      </c>
      <c r="D4891" s="233" t="s">
        <v>16</v>
      </c>
      <c r="E4891" s="233" t="s">
        <v>2979</v>
      </c>
      <c r="F4891" s="227" t="s">
        <v>3001</v>
      </c>
    </row>
    <row r="4892" spans="1:6" x14ac:dyDescent="0.25">
      <c r="A4892" s="227" t="str">
        <f>TL[[#This Row],[Société]]&amp;" - "&amp;TL[[#This Row],[Compte]]</f>
        <v>HTR8 - 62520500</v>
      </c>
      <c r="B4892" s="233" t="s">
        <v>6627</v>
      </c>
      <c r="C4892" s="227" t="s">
        <v>6628</v>
      </c>
      <c r="D4892" s="233" t="s">
        <v>50</v>
      </c>
      <c r="E4892" s="233" t="s">
        <v>52</v>
      </c>
      <c r="F4892" s="227" t="s">
        <v>3001</v>
      </c>
    </row>
    <row r="4893" spans="1:6" x14ac:dyDescent="0.25">
      <c r="A4893" s="227" t="str">
        <f>TL[[#This Row],[Société]]&amp;" - "&amp;TL[[#This Row],[Compte]]</f>
        <v>HTR8 - 62570000</v>
      </c>
      <c r="B4893" s="233" t="s">
        <v>6629</v>
      </c>
      <c r="C4893" s="227" t="s">
        <v>6630</v>
      </c>
      <c r="D4893" s="233" t="s">
        <v>16</v>
      </c>
      <c r="E4893" s="233" t="s">
        <v>2979</v>
      </c>
      <c r="F4893" s="227" t="s">
        <v>3001</v>
      </c>
    </row>
    <row r="4894" spans="1:6" x14ac:dyDescent="0.25">
      <c r="A4894" s="227" t="str">
        <f>TL[[#This Row],[Société]]&amp;" - "&amp;TL[[#This Row],[Compte]]</f>
        <v>HTR8 - 62610000</v>
      </c>
      <c r="B4894" s="233" t="s">
        <v>3651</v>
      </c>
      <c r="C4894" s="227" t="s">
        <v>170</v>
      </c>
      <c r="D4894" s="233" t="s">
        <v>29</v>
      </c>
      <c r="E4894" s="233" t="s">
        <v>2982</v>
      </c>
      <c r="F4894" s="227" t="s">
        <v>3001</v>
      </c>
    </row>
    <row r="4895" spans="1:6" x14ac:dyDescent="0.25">
      <c r="A4895" s="227" t="str">
        <f>TL[[#This Row],[Société]]&amp;" - "&amp;TL[[#This Row],[Compte]]</f>
        <v>HTR8 - 62620000</v>
      </c>
      <c r="B4895" s="233" t="s">
        <v>2702</v>
      </c>
      <c r="C4895" s="227" t="s">
        <v>1218</v>
      </c>
      <c r="D4895" s="233" t="s">
        <v>27</v>
      </c>
      <c r="E4895" s="233" t="s">
        <v>34</v>
      </c>
      <c r="F4895" s="227" t="s">
        <v>3001</v>
      </c>
    </row>
    <row r="4896" spans="1:6" x14ac:dyDescent="0.25">
      <c r="A4896" s="227" t="str">
        <f>TL[[#This Row],[Société]]&amp;" - "&amp;TL[[#This Row],[Compte]]</f>
        <v>HTR8 - 62700100</v>
      </c>
      <c r="B4896" s="233" t="s">
        <v>3652</v>
      </c>
      <c r="C4896" s="227" t="s">
        <v>1219</v>
      </c>
      <c r="D4896" s="233" t="s">
        <v>47</v>
      </c>
      <c r="E4896" s="233" t="s">
        <v>21</v>
      </c>
      <c r="F4896" s="227" t="s">
        <v>3001</v>
      </c>
    </row>
    <row r="4897" spans="1:6" x14ac:dyDescent="0.25">
      <c r="A4897" s="227" t="str">
        <f>TL[[#This Row],[Société]]&amp;" - "&amp;TL[[#This Row],[Compte]]</f>
        <v>HTR8 - 62700200</v>
      </c>
      <c r="B4897" s="233" t="s">
        <v>3653</v>
      </c>
      <c r="C4897" s="227" t="s">
        <v>1220</v>
      </c>
      <c r="D4897" s="233" t="s">
        <v>47</v>
      </c>
      <c r="E4897" s="233" t="s">
        <v>21</v>
      </c>
      <c r="F4897" s="227" t="s">
        <v>3001</v>
      </c>
    </row>
    <row r="4898" spans="1:6" x14ac:dyDescent="0.25">
      <c r="A4898" s="227" t="str">
        <f>TL[[#This Row],[Société]]&amp;" - "&amp;TL[[#This Row],[Compte]]</f>
        <v>HTR8 - 62720000</v>
      </c>
      <c r="B4898" s="233" t="s">
        <v>2655</v>
      </c>
      <c r="C4898" s="227" t="s">
        <v>1574</v>
      </c>
      <c r="D4898" s="233" t="s">
        <v>47</v>
      </c>
      <c r="E4898" s="233" t="s">
        <v>21</v>
      </c>
      <c r="F4898" s="227" t="s">
        <v>3001</v>
      </c>
    </row>
    <row r="4899" spans="1:6" x14ac:dyDescent="0.25">
      <c r="A4899" s="227" t="str">
        <f>TL[[#This Row],[Société]]&amp;" - "&amp;TL[[#This Row],[Compte]]</f>
        <v>HTR8 - 62780100</v>
      </c>
      <c r="B4899" s="233" t="s">
        <v>2656</v>
      </c>
      <c r="C4899" s="227" t="s">
        <v>2283</v>
      </c>
      <c r="D4899" s="233" t="s">
        <v>47</v>
      </c>
      <c r="E4899" s="233" t="s">
        <v>21</v>
      </c>
      <c r="F4899" s="227" t="s">
        <v>3001</v>
      </c>
    </row>
    <row r="4900" spans="1:6" x14ac:dyDescent="0.25">
      <c r="A4900" s="227" t="str">
        <f>TL[[#This Row],[Société]]&amp;" - "&amp;TL[[#This Row],[Compte]]</f>
        <v>HTR8 - 62780200</v>
      </c>
      <c r="B4900" s="233" t="s">
        <v>2657</v>
      </c>
      <c r="C4900" s="227" t="s">
        <v>2399</v>
      </c>
      <c r="D4900" s="233" t="s">
        <v>47</v>
      </c>
      <c r="E4900" s="233" t="s">
        <v>21</v>
      </c>
      <c r="F4900" s="227" t="s">
        <v>3001</v>
      </c>
    </row>
    <row r="4901" spans="1:6" x14ac:dyDescent="0.25">
      <c r="A4901" s="227" t="str">
        <f>TL[[#This Row],[Société]]&amp;" - "&amp;TL[[#This Row],[Compte]]</f>
        <v>HTR8 - 62780300</v>
      </c>
      <c r="B4901" s="233" t="s">
        <v>2658</v>
      </c>
      <c r="C4901" s="227" t="s">
        <v>263</v>
      </c>
      <c r="D4901" s="233" t="s">
        <v>47</v>
      </c>
      <c r="E4901" s="233" t="s">
        <v>21</v>
      </c>
      <c r="F4901" s="227" t="s">
        <v>3001</v>
      </c>
    </row>
    <row r="4902" spans="1:6" x14ac:dyDescent="0.25">
      <c r="A4902" s="227" t="str">
        <f>TL[[#This Row],[Société]]&amp;" - "&amp;TL[[#This Row],[Compte]]</f>
        <v>HTR8 - 62780400</v>
      </c>
      <c r="B4902" s="233" t="s">
        <v>2659</v>
      </c>
      <c r="C4902" s="227" t="s">
        <v>244</v>
      </c>
      <c r="D4902" s="233" t="s">
        <v>47</v>
      </c>
      <c r="E4902" s="233" t="s">
        <v>21</v>
      </c>
      <c r="F4902" s="227" t="s">
        <v>3001</v>
      </c>
    </row>
    <row r="4903" spans="1:6" x14ac:dyDescent="0.25">
      <c r="A4903" s="227" t="str">
        <f>TL[[#This Row],[Société]]&amp;" - "&amp;TL[[#This Row],[Compte]]</f>
        <v>HTR8 - 62780600</v>
      </c>
      <c r="B4903" s="233" t="s">
        <v>3657</v>
      </c>
      <c r="C4903" s="227" t="s">
        <v>1072</v>
      </c>
      <c r="D4903" s="233" t="s">
        <v>47</v>
      </c>
      <c r="E4903" s="233" t="s">
        <v>21</v>
      </c>
      <c r="F4903" s="227" t="s">
        <v>3001</v>
      </c>
    </row>
    <row r="4904" spans="1:6" x14ac:dyDescent="0.25">
      <c r="A4904" s="227" t="str">
        <f>TL[[#This Row],[Société]]&amp;" - "&amp;TL[[#This Row],[Compte]]</f>
        <v>HTR8 - 62802300</v>
      </c>
      <c r="B4904" s="233" t="s">
        <v>2706</v>
      </c>
      <c r="C4904" s="227" t="s">
        <v>33</v>
      </c>
      <c r="D4904" s="233" t="s">
        <v>32</v>
      </c>
      <c r="E4904" s="233" t="s">
        <v>2982</v>
      </c>
      <c r="F4904" s="227" t="s">
        <v>3001</v>
      </c>
    </row>
    <row r="4905" spans="1:6" x14ac:dyDescent="0.25">
      <c r="A4905" s="227" t="str">
        <f>TL[[#This Row],[Société]]&amp;" - "&amp;TL[[#This Row],[Compte]]</f>
        <v>HTR8 - 62802400</v>
      </c>
      <c r="B4905" s="233" t="s">
        <v>2743</v>
      </c>
      <c r="C4905" s="227" t="s">
        <v>1499</v>
      </c>
      <c r="D4905" s="233" t="s">
        <v>150</v>
      </c>
      <c r="E4905" s="233" t="s">
        <v>147</v>
      </c>
      <c r="F4905" s="227" t="s">
        <v>3001</v>
      </c>
    </row>
    <row r="4906" spans="1:6" x14ac:dyDescent="0.25">
      <c r="A4906" s="227" t="str">
        <f>TL[[#This Row],[Société]]&amp;" - "&amp;TL[[#This Row],[Compte]]</f>
        <v>HTR8 - 62820000</v>
      </c>
      <c r="B4906" s="233" t="s">
        <v>3658</v>
      </c>
      <c r="C4906" s="227" t="s">
        <v>1555</v>
      </c>
      <c r="F4906" s="227" t="s">
        <v>3001</v>
      </c>
    </row>
    <row r="4907" spans="1:6" x14ac:dyDescent="0.25">
      <c r="A4907" s="227" t="str">
        <f>TL[[#This Row],[Société]]&amp;" - "&amp;TL[[#This Row],[Compte]]</f>
        <v>HTR8 - 62821000</v>
      </c>
      <c r="B4907" s="233" t="s">
        <v>2738</v>
      </c>
      <c r="C4907" s="227" t="s">
        <v>2418</v>
      </c>
      <c r="D4907" s="233" t="s">
        <v>147</v>
      </c>
      <c r="E4907" s="233" t="s">
        <v>288</v>
      </c>
      <c r="F4907" s="227" t="s">
        <v>3001</v>
      </c>
    </row>
    <row r="4908" spans="1:6" x14ac:dyDescent="0.25">
      <c r="A4908" s="227" t="str">
        <f>TL[[#This Row],[Société]]&amp;" - "&amp;TL[[#This Row],[Compte]]</f>
        <v>HTR8 - 62822000</v>
      </c>
      <c r="B4908" s="233" t="s">
        <v>6631</v>
      </c>
      <c r="C4908" s="227" t="s">
        <v>6632</v>
      </c>
      <c r="D4908" s="233" t="s">
        <v>147</v>
      </c>
      <c r="E4908" s="233" t="s">
        <v>288</v>
      </c>
      <c r="F4908" s="227" t="s">
        <v>3001</v>
      </c>
    </row>
    <row r="4909" spans="1:6" x14ac:dyDescent="0.25">
      <c r="A4909" s="227" t="str">
        <f>TL[[#This Row],[Société]]&amp;" - "&amp;TL[[#This Row],[Compte]]</f>
        <v>HTR8 - 62830000</v>
      </c>
      <c r="B4909" s="233" t="s">
        <v>3659</v>
      </c>
      <c r="C4909" s="227" t="s">
        <v>5108</v>
      </c>
      <c r="F4909" s="227" t="s">
        <v>3001</v>
      </c>
    </row>
    <row r="4910" spans="1:6" x14ac:dyDescent="0.25">
      <c r="A4910" s="227" t="str">
        <f>TL[[#This Row],[Société]]&amp;" - "&amp;TL[[#This Row],[Compte]]</f>
        <v>HTR8 - 62840000</v>
      </c>
      <c r="B4910" s="233" t="s">
        <v>2691</v>
      </c>
      <c r="C4910" s="227" t="s">
        <v>166</v>
      </c>
      <c r="D4910" s="233" t="s">
        <v>42</v>
      </c>
      <c r="E4910" s="233" t="s">
        <v>25</v>
      </c>
      <c r="F4910" s="227" t="s">
        <v>3001</v>
      </c>
    </row>
    <row r="4911" spans="1:6" x14ac:dyDescent="0.25">
      <c r="A4911" s="227" t="str">
        <f>TL[[#This Row],[Société]]&amp;" - "&amp;TL[[#This Row],[Compte]]</f>
        <v>HTR8 - 62850000</v>
      </c>
      <c r="B4911" s="233" t="s">
        <v>2739</v>
      </c>
      <c r="C4911" s="227" t="s">
        <v>2154</v>
      </c>
      <c r="D4911" s="233" t="s">
        <v>147</v>
      </c>
      <c r="E4911" s="233" t="s">
        <v>288</v>
      </c>
      <c r="F4911" s="227" t="s">
        <v>3001</v>
      </c>
    </row>
    <row r="4912" spans="1:6" x14ac:dyDescent="0.25">
      <c r="A4912" s="227" t="str">
        <f>TL[[#This Row],[Société]]&amp;" - "&amp;TL[[#This Row],[Compte]]</f>
        <v>HTR8 - 63120000</v>
      </c>
      <c r="B4912" s="233" t="s">
        <v>3661</v>
      </c>
      <c r="C4912" s="227" t="s">
        <v>2145</v>
      </c>
      <c r="F4912" s="227" t="s">
        <v>3001</v>
      </c>
    </row>
    <row r="4913" spans="1:6" x14ac:dyDescent="0.25">
      <c r="A4913" s="227" t="str">
        <f>TL[[#This Row],[Société]]&amp;" - "&amp;TL[[#This Row],[Compte]]</f>
        <v>HTR8 - 63330000</v>
      </c>
      <c r="B4913" s="233" t="s">
        <v>2717</v>
      </c>
      <c r="C4913" s="227" t="s">
        <v>2398</v>
      </c>
      <c r="D4913" s="233" t="s">
        <v>42</v>
      </c>
      <c r="E4913" s="233" t="s">
        <v>47</v>
      </c>
      <c r="F4913" s="227" t="s">
        <v>3001</v>
      </c>
    </row>
    <row r="4914" spans="1:6" x14ac:dyDescent="0.25">
      <c r="A4914" s="227" t="str">
        <f>TL[[#This Row],[Société]]&amp;" - "&amp;TL[[#This Row],[Compte]]</f>
        <v>HTR8 - 63340000</v>
      </c>
      <c r="B4914" s="233" t="s">
        <v>3662</v>
      </c>
      <c r="C4914" s="227" t="s">
        <v>243</v>
      </c>
      <c r="D4914" s="233" t="s">
        <v>42</v>
      </c>
      <c r="E4914" s="233" t="s">
        <v>47</v>
      </c>
      <c r="F4914" s="227" t="s">
        <v>3001</v>
      </c>
    </row>
    <row r="4915" spans="1:6" x14ac:dyDescent="0.25">
      <c r="A4915" s="227" t="str">
        <f>TL[[#This Row],[Société]]&amp;" - "&amp;TL[[#This Row],[Compte]]</f>
        <v>HTR8 - 63350000</v>
      </c>
      <c r="B4915" s="233" t="s">
        <v>2718</v>
      </c>
      <c r="C4915" s="227" t="s">
        <v>331</v>
      </c>
      <c r="D4915" s="233" t="s">
        <v>42</v>
      </c>
      <c r="E4915" s="233" t="s">
        <v>47</v>
      </c>
      <c r="F4915" s="227" t="s">
        <v>3001</v>
      </c>
    </row>
    <row r="4916" spans="1:6" x14ac:dyDescent="0.25">
      <c r="A4916" s="227" t="str">
        <f>TL[[#This Row],[Société]]&amp;" - "&amp;TL[[#This Row],[Compte]]</f>
        <v>HTR8 - 63511100</v>
      </c>
      <c r="B4916" s="233" t="s">
        <v>2719</v>
      </c>
      <c r="C4916" s="227" t="s">
        <v>1229</v>
      </c>
      <c r="D4916" s="233" t="s">
        <v>42</v>
      </c>
      <c r="E4916" s="233" t="s">
        <v>47</v>
      </c>
      <c r="F4916" s="227" t="s">
        <v>3001</v>
      </c>
    </row>
    <row r="4917" spans="1:6" x14ac:dyDescent="0.25">
      <c r="A4917" s="227" t="str">
        <f>TL[[#This Row],[Société]]&amp;" - "&amp;TL[[#This Row],[Compte]]</f>
        <v>HTR8 - 63511200</v>
      </c>
      <c r="B4917" s="233" t="s">
        <v>2720</v>
      </c>
      <c r="C4917" s="227" t="s">
        <v>1230</v>
      </c>
      <c r="D4917" s="233" t="s">
        <v>42</v>
      </c>
      <c r="E4917" s="233" t="s">
        <v>47</v>
      </c>
      <c r="F4917" s="227" t="s">
        <v>3001</v>
      </c>
    </row>
    <row r="4918" spans="1:6" x14ac:dyDescent="0.25">
      <c r="A4918" s="227" t="str">
        <f>TL[[#This Row],[Société]]&amp;" - "&amp;TL[[#This Row],[Compte]]</f>
        <v>HTR8 - 63514000</v>
      </c>
      <c r="B4918" s="233" t="s">
        <v>2721</v>
      </c>
      <c r="C4918" s="227" t="s">
        <v>230</v>
      </c>
      <c r="D4918" s="233" t="s">
        <v>42</v>
      </c>
      <c r="E4918" s="233" t="s">
        <v>47</v>
      </c>
      <c r="F4918" s="227" t="s">
        <v>3001</v>
      </c>
    </row>
    <row r="4919" spans="1:6" x14ac:dyDescent="0.25">
      <c r="A4919" s="227" t="str">
        <f>TL[[#This Row],[Société]]&amp;" - "&amp;TL[[#This Row],[Compte]]</f>
        <v>HTR8 - 63551100</v>
      </c>
      <c r="B4919" s="233" t="s">
        <v>2619</v>
      </c>
      <c r="C4919" s="227" t="s">
        <v>269</v>
      </c>
      <c r="D4919" s="233" t="s">
        <v>71</v>
      </c>
      <c r="E4919" s="233" t="s">
        <v>7</v>
      </c>
      <c r="F4919" s="227" t="s">
        <v>3001</v>
      </c>
    </row>
    <row r="4920" spans="1:6" x14ac:dyDescent="0.25">
      <c r="A4920" s="227" t="str">
        <f>TL[[#This Row],[Société]]&amp;" - "&amp;TL[[#This Row],[Compte]]</f>
        <v>HTR8 - 63553000</v>
      </c>
      <c r="B4920" s="233" t="s">
        <v>2722</v>
      </c>
      <c r="C4920" s="227" t="s">
        <v>1077</v>
      </c>
      <c r="D4920" s="233" t="s">
        <v>42</v>
      </c>
      <c r="E4920" s="233" t="s">
        <v>47</v>
      </c>
      <c r="F4920" s="227" t="s">
        <v>3001</v>
      </c>
    </row>
    <row r="4921" spans="1:6" x14ac:dyDescent="0.25">
      <c r="A4921" s="227" t="str">
        <f>TL[[#This Row],[Société]]&amp;" - "&amp;TL[[#This Row],[Compte]]</f>
        <v>HTR8 - 63710000</v>
      </c>
      <c r="B4921" s="233" t="s">
        <v>3672</v>
      </c>
      <c r="C4921" s="227" t="s">
        <v>1042</v>
      </c>
      <c r="D4921" s="233" t="s">
        <v>42</v>
      </c>
      <c r="E4921" s="233" t="s">
        <v>47</v>
      </c>
      <c r="F4921" s="227" t="s">
        <v>3001</v>
      </c>
    </row>
    <row r="4922" spans="1:6" x14ac:dyDescent="0.25">
      <c r="A4922" s="227" t="str">
        <f>TL[[#This Row],[Société]]&amp;" - "&amp;TL[[#This Row],[Compte]]</f>
        <v>HTR8 - 63730000</v>
      </c>
      <c r="B4922" s="233" t="s">
        <v>2723</v>
      </c>
      <c r="C4922" s="227" t="s">
        <v>2256</v>
      </c>
      <c r="D4922" s="233" t="s">
        <v>42</v>
      </c>
      <c r="E4922" s="233" t="s">
        <v>47</v>
      </c>
      <c r="F4922" s="227" t="s">
        <v>3001</v>
      </c>
    </row>
    <row r="4923" spans="1:6" x14ac:dyDescent="0.25">
      <c r="A4923" s="227" t="str">
        <f>TL[[#This Row],[Société]]&amp;" - "&amp;TL[[#This Row],[Compte]]</f>
        <v>HTR8 - 63780000</v>
      </c>
      <c r="B4923" s="233" t="s">
        <v>6633</v>
      </c>
      <c r="C4923" s="227" t="s">
        <v>773</v>
      </c>
      <c r="D4923" s="233" t="s">
        <v>42</v>
      </c>
      <c r="E4923" s="233" t="s">
        <v>47</v>
      </c>
      <c r="F4923" s="227" t="s">
        <v>3001</v>
      </c>
    </row>
    <row r="4924" spans="1:6" x14ac:dyDescent="0.25">
      <c r="A4924" s="227" t="str">
        <f>TL[[#This Row],[Société]]&amp;" - "&amp;TL[[#This Row],[Compte]]</f>
        <v>HTR8 - 64110000</v>
      </c>
      <c r="B4924" s="233" t="s">
        <v>6634</v>
      </c>
      <c r="C4924" s="227" t="s">
        <v>2145</v>
      </c>
      <c r="F4924" s="227" t="s">
        <v>3001</v>
      </c>
    </row>
    <row r="4925" spans="1:6" x14ac:dyDescent="0.25">
      <c r="A4925" s="227" t="str">
        <f>TL[[#This Row],[Société]]&amp;" - "&amp;TL[[#This Row],[Compte]]</f>
        <v>HTR8 - 64110100</v>
      </c>
      <c r="B4925" s="233" t="s">
        <v>2625</v>
      </c>
      <c r="C4925" s="227" t="s">
        <v>1239</v>
      </c>
      <c r="D4925" s="233" t="s">
        <v>12</v>
      </c>
      <c r="E4925" s="233" t="s">
        <v>3</v>
      </c>
      <c r="F4925" s="227" t="s">
        <v>3001</v>
      </c>
    </row>
    <row r="4926" spans="1:6" x14ac:dyDescent="0.25">
      <c r="A4926" s="227" t="str">
        <f>TL[[#This Row],[Société]]&amp;" - "&amp;TL[[#This Row],[Compte]]</f>
        <v>HTR8 - 64110400</v>
      </c>
      <c r="B4926" s="233" t="s">
        <v>2636</v>
      </c>
      <c r="C4926" s="227" t="s">
        <v>144</v>
      </c>
      <c r="D4926" s="233" t="s">
        <v>13</v>
      </c>
      <c r="E4926" s="233" t="s">
        <v>12</v>
      </c>
      <c r="F4926" s="227" t="s">
        <v>3001</v>
      </c>
    </row>
    <row r="4927" spans="1:6" x14ac:dyDescent="0.25">
      <c r="A4927" s="227" t="str">
        <f>TL[[#This Row],[Société]]&amp;" - "&amp;TL[[#This Row],[Compte]]</f>
        <v>HTR8 - 64120000</v>
      </c>
      <c r="B4927" s="233" t="s">
        <v>2626</v>
      </c>
      <c r="C4927" s="227" t="s">
        <v>2331</v>
      </c>
      <c r="D4927" s="233" t="s">
        <v>12</v>
      </c>
      <c r="E4927" s="233" t="s">
        <v>3</v>
      </c>
      <c r="F4927" s="227" t="s">
        <v>3001</v>
      </c>
    </row>
    <row r="4928" spans="1:6" x14ac:dyDescent="0.25">
      <c r="A4928" s="227" t="str">
        <f>TL[[#This Row],[Société]]&amp;" - "&amp;TL[[#This Row],[Compte]]</f>
        <v>HTR8 - 64121000</v>
      </c>
      <c r="B4928" s="233" t="s">
        <v>2637</v>
      </c>
      <c r="C4928" s="227" t="s">
        <v>1085</v>
      </c>
      <c r="D4928" s="233" t="s">
        <v>13</v>
      </c>
      <c r="E4928" s="233" t="s">
        <v>12</v>
      </c>
      <c r="F4928" s="227" t="s">
        <v>3001</v>
      </c>
    </row>
    <row r="4929" spans="1:6" x14ac:dyDescent="0.25">
      <c r="A4929" s="227" t="str">
        <f>TL[[#This Row],[Société]]&amp;" - "&amp;TL[[#This Row],[Compte]]</f>
        <v>HTR8 - 64130000</v>
      </c>
      <c r="B4929" s="233" t="s">
        <v>3681</v>
      </c>
      <c r="C4929" s="227" t="s">
        <v>615</v>
      </c>
      <c r="D4929" s="233" t="s">
        <v>12</v>
      </c>
      <c r="E4929" s="233" t="s">
        <v>3</v>
      </c>
      <c r="F4929" s="227" t="s">
        <v>3001</v>
      </c>
    </row>
    <row r="4930" spans="1:6" x14ac:dyDescent="0.25">
      <c r="A4930" s="227" t="str">
        <f>TL[[#This Row],[Société]]&amp;" - "&amp;TL[[#This Row],[Compte]]</f>
        <v>HTR8 - 64140000</v>
      </c>
      <c r="B4930" s="233" t="s">
        <v>3683</v>
      </c>
      <c r="C4930" s="227" t="s">
        <v>2145</v>
      </c>
      <c r="F4930" s="227" t="s">
        <v>3001</v>
      </c>
    </row>
    <row r="4931" spans="1:6" x14ac:dyDescent="0.25">
      <c r="A4931" s="227" t="str">
        <f>TL[[#This Row],[Société]]&amp;" - "&amp;TL[[#This Row],[Compte]]</f>
        <v>HTR8 - 64140100</v>
      </c>
      <c r="B4931" s="233" t="s">
        <v>2627</v>
      </c>
      <c r="C4931" s="227" t="s">
        <v>284</v>
      </c>
      <c r="D4931" s="233" t="s">
        <v>12</v>
      </c>
      <c r="E4931" s="233" t="s">
        <v>3</v>
      </c>
      <c r="F4931" s="227" t="s">
        <v>3001</v>
      </c>
    </row>
    <row r="4932" spans="1:6" x14ac:dyDescent="0.25">
      <c r="A4932" s="227" t="str">
        <f>TL[[#This Row],[Société]]&amp;" - "&amp;TL[[#This Row],[Compte]]</f>
        <v>HTR8 - 64140400</v>
      </c>
      <c r="B4932" s="233" t="s">
        <v>2638</v>
      </c>
      <c r="C4932" s="227" t="s">
        <v>272</v>
      </c>
      <c r="D4932" s="233" t="s">
        <v>13</v>
      </c>
      <c r="E4932" s="233" t="s">
        <v>12</v>
      </c>
      <c r="F4932" s="227" t="s">
        <v>3001</v>
      </c>
    </row>
    <row r="4933" spans="1:6" x14ac:dyDescent="0.25">
      <c r="A4933" s="227" t="str">
        <f>TL[[#This Row],[Société]]&amp;" - "&amp;TL[[#This Row],[Compte]]</f>
        <v>HTR8 - 64140500</v>
      </c>
      <c r="B4933" s="233" t="s">
        <v>6178</v>
      </c>
      <c r="C4933" s="227" t="s">
        <v>6349</v>
      </c>
      <c r="D4933" s="233" t="s">
        <v>13</v>
      </c>
      <c r="E4933" s="233" t="s">
        <v>12</v>
      </c>
      <c r="F4933" s="227" t="s">
        <v>3001</v>
      </c>
    </row>
    <row r="4934" spans="1:6" x14ac:dyDescent="0.25">
      <c r="A4934" s="227" t="str">
        <f>TL[[#This Row],[Société]]&amp;" - "&amp;TL[[#This Row],[Compte]]</f>
        <v>HTR8 - 64141100</v>
      </c>
      <c r="B4934" s="233" t="s">
        <v>2628</v>
      </c>
      <c r="C4934" s="227" t="s">
        <v>1245</v>
      </c>
      <c r="D4934" s="233" t="s">
        <v>12</v>
      </c>
      <c r="E4934" s="233" t="s">
        <v>3</v>
      </c>
      <c r="F4934" s="227" t="s">
        <v>3001</v>
      </c>
    </row>
    <row r="4935" spans="1:6" x14ac:dyDescent="0.25">
      <c r="A4935" s="227" t="str">
        <f>TL[[#This Row],[Société]]&amp;" - "&amp;TL[[#This Row],[Compte]]</f>
        <v>HTR8 - 64141200</v>
      </c>
      <c r="B4935" s="233" t="s">
        <v>6636</v>
      </c>
      <c r="C4935" s="227" t="s">
        <v>6637</v>
      </c>
      <c r="D4935" s="233" t="s">
        <v>12</v>
      </c>
      <c r="E4935" s="233" t="s">
        <v>3</v>
      </c>
      <c r="F4935" s="227" t="s">
        <v>3001</v>
      </c>
    </row>
    <row r="4936" spans="1:6" x14ac:dyDescent="0.25">
      <c r="A4936" s="227" t="str">
        <f>TL[[#This Row],[Société]]&amp;" - "&amp;TL[[#This Row],[Compte]]</f>
        <v>HTR8 - 64141400</v>
      </c>
      <c r="B4936" s="233" t="s">
        <v>2639</v>
      </c>
      <c r="C4936" s="227" t="s">
        <v>1246</v>
      </c>
      <c r="D4936" s="233" t="s">
        <v>13</v>
      </c>
      <c r="E4936" s="233" t="s">
        <v>12</v>
      </c>
      <c r="F4936" s="227" t="s">
        <v>3001</v>
      </c>
    </row>
    <row r="4937" spans="1:6" x14ac:dyDescent="0.25">
      <c r="A4937" s="227" t="str">
        <f>TL[[#This Row],[Société]]&amp;" - "&amp;TL[[#This Row],[Compte]]</f>
        <v>HTR8 - 64141500</v>
      </c>
      <c r="B4937" s="233" t="s">
        <v>6638</v>
      </c>
      <c r="C4937" s="227" t="s">
        <v>6639</v>
      </c>
      <c r="D4937" s="233" t="s">
        <v>13</v>
      </c>
      <c r="E4937" s="233" t="s">
        <v>12</v>
      </c>
      <c r="F4937" s="227" t="s">
        <v>3001</v>
      </c>
    </row>
    <row r="4938" spans="1:6" x14ac:dyDescent="0.25">
      <c r="A4938" s="227" t="str">
        <f>TL[[#This Row],[Société]]&amp;" - "&amp;TL[[#This Row],[Compte]]</f>
        <v>HTR8 - 64141600</v>
      </c>
      <c r="B4938" s="233" t="s">
        <v>6640</v>
      </c>
      <c r="C4938" s="227" t="s">
        <v>6356</v>
      </c>
      <c r="D4938" s="233" t="s">
        <v>12</v>
      </c>
      <c r="E4938" s="233" t="s">
        <v>3</v>
      </c>
      <c r="F4938" s="227" t="s">
        <v>3001</v>
      </c>
    </row>
    <row r="4939" spans="1:6" x14ac:dyDescent="0.25">
      <c r="A4939" s="227" t="str">
        <f>TL[[#This Row],[Société]]&amp;" - "&amp;TL[[#This Row],[Compte]]</f>
        <v>HTR8 - 64141700</v>
      </c>
      <c r="B4939" s="233" t="s">
        <v>6641</v>
      </c>
      <c r="C4939" s="227" t="s">
        <v>5951</v>
      </c>
      <c r="D4939" s="233" t="s">
        <v>50</v>
      </c>
      <c r="E4939" s="233" t="s">
        <v>12</v>
      </c>
      <c r="F4939" s="227" t="s">
        <v>3001</v>
      </c>
    </row>
    <row r="4940" spans="1:6" x14ac:dyDescent="0.25">
      <c r="A4940" s="227" t="str">
        <f>TL[[#This Row],[Société]]&amp;" - "&amp;TL[[#This Row],[Compte]]</f>
        <v>HTR8 - 64141800</v>
      </c>
      <c r="B4940" s="233" t="s">
        <v>6642</v>
      </c>
      <c r="C4940" s="227" t="s">
        <v>1550</v>
      </c>
      <c r="D4940" s="233" t="s">
        <v>12</v>
      </c>
      <c r="E4940" s="233" t="s">
        <v>3</v>
      </c>
      <c r="F4940" s="227" t="s">
        <v>3001</v>
      </c>
    </row>
    <row r="4941" spans="1:6" x14ac:dyDescent="0.25">
      <c r="A4941" s="227" t="str">
        <f>TL[[#This Row],[Société]]&amp;" - "&amp;TL[[#This Row],[Compte]]</f>
        <v>HTR8 - 64141900</v>
      </c>
      <c r="B4941" s="233" t="s">
        <v>6643</v>
      </c>
      <c r="C4941" s="227" t="s">
        <v>1551</v>
      </c>
      <c r="D4941" s="233" t="s">
        <v>13</v>
      </c>
      <c r="E4941" s="233" t="s">
        <v>12</v>
      </c>
      <c r="F4941" s="227" t="s">
        <v>3001</v>
      </c>
    </row>
    <row r="4942" spans="1:6" x14ac:dyDescent="0.25">
      <c r="A4942" s="227" t="str">
        <f>TL[[#This Row],[Société]]&amp;" - "&amp;TL[[#This Row],[Compte]]</f>
        <v>HTR8 - 64504100</v>
      </c>
      <c r="B4942" s="233" t="s">
        <v>3684</v>
      </c>
      <c r="C4942" s="227" t="s">
        <v>6644</v>
      </c>
      <c r="D4942" s="233" t="s">
        <v>12</v>
      </c>
      <c r="E4942" s="233" t="s">
        <v>71</v>
      </c>
      <c r="F4942" s="227" t="s">
        <v>3001</v>
      </c>
    </row>
    <row r="4943" spans="1:6" x14ac:dyDescent="0.25">
      <c r="A4943" s="227" t="str">
        <f>TL[[#This Row],[Société]]&amp;" - "&amp;TL[[#This Row],[Compte]]</f>
        <v>HTR8 - 64504400</v>
      </c>
      <c r="B4943" s="233" t="s">
        <v>3685</v>
      </c>
      <c r="C4943" s="227" t="s">
        <v>779</v>
      </c>
      <c r="D4943" s="233" t="s">
        <v>15</v>
      </c>
      <c r="E4943" s="233" t="s">
        <v>13</v>
      </c>
      <c r="F4943" s="227" t="s">
        <v>3001</v>
      </c>
    </row>
    <row r="4944" spans="1:6" x14ac:dyDescent="0.25">
      <c r="A4944" s="227" t="str">
        <f>TL[[#This Row],[Société]]&amp;" - "&amp;TL[[#This Row],[Compte]]</f>
        <v>HTR8 - 64510000</v>
      </c>
      <c r="B4944" s="233" t="s">
        <v>6645</v>
      </c>
      <c r="C4944" s="227" t="s">
        <v>2145</v>
      </c>
      <c r="E4944" s="250" t="s">
        <v>16</v>
      </c>
      <c r="F4944" s="227" t="s">
        <v>3001</v>
      </c>
    </row>
    <row r="4945" spans="1:6" x14ac:dyDescent="0.25">
      <c r="A4945" s="227" t="str">
        <f>TL[[#This Row],[Société]]&amp;" - "&amp;TL[[#This Row],[Compte]]</f>
        <v>HTR8 - 64510100</v>
      </c>
      <c r="B4945" s="233" t="s">
        <v>2630</v>
      </c>
      <c r="C4945" s="227" t="s">
        <v>158</v>
      </c>
      <c r="D4945" s="233" t="s">
        <v>12</v>
      </c>
      <c r="E4945" s="233" t="s">
        <v>71</v>
      </c>
      <c r="F4945" s="227" t="s">
        <v>3001</v>
      </c>
    </row>
    <row r="4946" spans="1:6" x14ac:dyDescent="0.25">
      <c r="A4946" s="227" t="str">
        <f>TL[[#This Row],[Société]]&amp;" - "&amp;TL[[#This Row],[Compte]]</f>
        <v>HTR8 - 64510400</v>
      </c>
      <c r="B4946" s="233" t="s">
        <v>2644</v>
      </c>
      <c r="C4946" s="227" t="s">
        <v>1247</v>
      </c>
      <c r="D4946" s="233" t="s">
        <v>15</v>
      </c>
      <c r="E4946" s="233" t="s">
        <v>13</v>
      </c>
      <c r="F4946" s="227" t="s">
        <v>3001</v>
      </c>
    </row>
    <row r="4947" spans="1:6" x14ac:dyDescent="0.25">
      <c r="A4947" s="227" t="str">
        <f>TL[[#This Row],[Société]]&amp;" - "&amp;TL[[#This Row],[Compte]]</f>
        <v>HTR8 - 64520000</v>
      </c>
      <c r="B4947" s="233" t="s">
        <v>6646</v>
      </c>
      <c r="C4947" s="227" t="s">
        <v>2145</v>
      </c>
      <c r="F4947" s="227" t="s">
        <v>3001</v>
      </c>
    </row>
    <row r="4948" spans="1:6" x14ac:dyDescent="0.25">
      <c r="A4948" s="227" t="str">
        <f>TL[[#This Row],[Société]]&amp;" - "&amp;TL[[#This Row],[Compte]]</f>
        <v>HTR8 - 64520100</v>
      </c>
      <c r="B4948" s="233" t="s">
        <v>2631</v>
      </c>
      <c r="C4948" s="227" t="s">
        <v>271</v>
      </c>
      <c r="D4948" s="233" t="s">
        <v>12</v>
      </c>
      <c r="E4948" s="233" t="s">
        <v>71</v>
      </c>
      <c r="F4948" s="227" t="s">
        <v>3001</v>
      </c>
    </row>
    <row r="4949" spans="1:6" x14ac:dyDescent="0.25">
      <c r="A4949" s="227" t="str">
        <f>TL[[#This Row],[Société]]&amp;" - "&amp;TL[[#This Row],[Compte]]</f>
        <v>HTR8 - 64520400</v>
      </c>
      <c r="B4949" s="233" t="s">
        <v>2645</v>
      </c>
      <c r="C4949" s="227" t="s">
        <v>273</v>
      </c>
      <c r="D4949" s="233" t="s">
        <v>15</v>
      </c>
      <c r="E4949" s="233" t="s">
        <v>13</v>
      </c>
      <c r="F4949" s="227" t="s">
        <v>3001</v>
      </c>
    </row>
    <row r="4950" spans="1:6" x14ac:dyDescent="0.25">
      <c r="A4950" s="227" t="str">
        <f>TL[[#This Row],[Société]]&amp;" - "&amp;TL[[#This Row],[Compte]]</f>
        <v>HTR8 - 64530000</v>
      </c>
      <c r="B4950" s="233" t="s">
        <v>6647</v>
      </c>
      <c r="C4950" s="227" t="s">
        <v>2145</v>
      </c>
      <c r="F4950" s="227" t="s">
        <v>3001</v>
      </c>
    </row>
    <row r="4951" spans="1:6" x14ac:dyDescent="0.25">
      <c r="A4951" s="227" t="str">
        <f>TL[[#This Row],[Société]]&amp;" - "&amp;TL[[#This Row],[Compte]]</f>
        <v>HTR8 - 64530100</v>
      </c>
      <c r="B4951" s="233" t="s">
        <v>2632</v>
      </c>
      <c r="C4951" s="227" t="s">
        <v>281</v>
      </c>
      <c r="D4951" s="233" t="s">
        <v>12</v>
      </c>
      <c r="E4951" s="233" t="s">
        <v>71</v>
      </c>
      <c r="F4951" s="227" t="s">
        <v>3001</v>
      </c>
    </row>
    <row r="4952" spans="1:6" x14ac:dyDescent="0.25">
      <c r="A4952" s="227" t="str">
        <f>TL[[#This Row],[Société]]&amp;" - "&amp;TL[[#This Row],[Compte]]</f>
        <v>HTR8 - 64530400</v>
      </c>
      <c r="B4952" s="233" t="s">
        <v>2646</v>
      </c>
      <c r="C4952" s="227" t="s">
        <v>275</v>
      </c>
      <c r="D4952" s="233" t="s">
        <v>15</v>
      </c>
      <c r="E4952" s="233" t="s">
        <v>13</v>
      </c>
      <c r="F4952" s="227" t="s">
        <v>3001</v>
      </c>
    </row>
    <row r="4953" spans="1:6" x14ac:dyDescent="0.25">
      <c r="A4953" s="227" t="str">
        <f>TL[[#This Row],[Société]]&amp;" - "&amp;TL[[#This Row],[Compte]]</f>
        <v>HTR8 - 64540000</v>
      </c>
      <c r="B4953" s="233" t="s">
        <v>6648</v>
      </c>
      <c r="C4953" s="227" t="s">
        <v>2145</v>
      </c>
      <c r="F4953" s="227" t="s">
        <v>3001</v>
      </c>
    </row>
    <row r="4954" spans="1:6" x14ac:dyDescent="0.25">
      <c r="A4954" s="227" t="str">
        <f>TL[[#This Row],[Société]]&amp;" - "&amp;TL[[#This Row],[Compte]]</f>
        <v>HTR8 - 64540100</v>
      </c>
      <c r="B4954" s="233" t="s">
        <v>2633</v>
      </c>
      <c r="C4954" s="227" t="s">
        <v>270</v>
      </c>
      <c r="D4954" s="233" t="s">
        <v>12</v>
      </c>
      <c r="E4954" s="233" t="s">
        <v>71</v>
      </c>
      <c r="F4954" s="227" t="s">
        <v>3001</v>
      </c>
    </row>
    <row r="4955" spans="1:6" x14ac:dyDescent="0.25">
      <c r="A4955" s="227" t="str">
        <f>TL[[#This Row],[Société]]&amp;" - "&amp;TL[[#This Row],[Compte]]</f>
        <v>HTR8 - 64540400</v>
      </c>
      <c r="B4955" s="233" t="s">
        <v>2647</v>
      </c>
      <c r="C4955" s="227" t="s">
        <v>1248</v>
      </c>
      <c r="D4955" s="233" t="s">
        <v>15</v>
      </c>
      <c r="E4955" s="233" t="s">
        <v>13</v>
      </c>
      <c r="F4955" s="227" t="s">
        <v>3001</v>
      </c>
    </row>
    <row r="4956" spans="1:6" x14ac:dyDescent="0.25">
      <c r="A4956" s="227" t="str">
        <f>TL[[#This Row],[Société]]&amp;" - "&amp;TL[[#This Row],[Compte]]</f>
        <v>HTR8 - 64550400</v>
      </c>
      <c r="B4956" s="233" t="s">
        <v>3686</v>
      </c>
      <c r="C4956" s="227" t="s">
        <v>6649</v>
      </c>
      <c r="D4956" s="233" t="s">
        <v>15</v>
      </c>
      <c r="E4956" s="233" t="s">
        <v>13</v>
      </c>
      <c r="F4956" s="227" t="s">
        <v>3001</v>
      </c>
    </row>
    <row r="4957" spans="1:6" x14ac:dyDescent="0.25">
      <c r="A4957" s="227" t="str">
        <f>TL[[#This Row],[Société]]&amp;" - "&amp;TL[[#This Row],[Compte]]</f>
        <v>HTR8 - 64580000</v>
      </c>
      <c r="B4957" s="233" t="s">
        <v>2634</v>
      </c>
      <c r="C4957" s="227" t="s">
        <v>2419</v>
      </c>
      <c r="D4957" s="233" t="s">
        <v>12</v>
      </c>
      <c r="E4957" s="233" t="s">
        <v>71</v>
      </c>
      <c r="F4957" s="227" t="s">
        <v>3001</v>
      </c>
    </row>
    <row r="4958" spans="1:6" x14ac:dyDescent="0.25">
      <c r="A4958" s="227" t="str">
        <f>TL[[#This Row],[Société]]&amp;" - "&amp;TL[[#This Row],[Compte]]</f>
        <v>HTR8 - 64580100</v>
      </c>
      <c r="B4958" s="233" t="s">
        <v>6650</v>
      </c>
      <c r="C4958" s="227" t="s">
        <v>6651</v>
      </c>
      <c r="D4958" s="233" t="s">
        <v>12</v>
      </c>
      <c r="E4958" s="233" t="s">
        <v>71</v>
      </c>
      <c r="F4958" s="227" t="s">
        <v>3001</v>
      </c>
    </row>
    <row r="4959" spans="1:6" x14ac:dyDescent="0.25">
      <c r="A4959" s="227" t="str">
        <f>TL[[#This Row],[Société]]&amp;" - "&amp;TL[[#This Row],[Compte]]</f>
        <v>HTR8 - 64581000</v>
      </c>
      <c r="B4959" s="233" t="s">
        <v>2648</v>
      </c>
      <c r="C4959" s="227" t="s">
        <v>1087</v>
      </c>
      <c r="D4959" s="233" t="s">
        <v>15</v>
      </c>
      <c r="E4959" s="233" t="s">
        <v>13</v>
      </c>
      <c r="F4959" s="227" t="s">
        <v>3001</v>
      </c>
    </row>
    <row r="4960" spans="1:6" x14ac:dyDescent="0.25">
      <c r="A4960" s="227" t="str">
        <f>TL[[#This Row],[Société]]&amp;" - "&amp;TL[[#This Row],[Compte]]</f>
        <v>HTR8 - 64581100</v>
      </c>
      <c r="B4960" s="233" t="s">
        <v>6652</v>
      </c>
      <c r="C4960" s="227" t="s">
        <v>6653</v>
      </c>
      <c r="D4960" s="233" t="s">
        <v>15</v>
      </c>
      <c r="E4960" s="233" t="s">
        <v>13</v>
      </c>
      <c r="F4960" s="227" t="s">
        <v>3001</v>
      </c>
    </row>
    <row r="4961" spans="1:6" x14ac:dyDescent="0.25">
      <c r="A4961" s="227" t="str">
        <f>TL[[#This Row],[Société]]&amp;" - "&amp;TL[[#This Row],[Compte]]</f>
        <v>HTR8 - 64582000</v>
      </c>
      <c r="B4961" s="233" t="s">
        <v>3687</v>
      </c>
      <c r="C4961" s="227" t="s">
        <v>1251</v>
      </c>
      <c r="D4961" s="233" t="s">
        <v>12</v>
      </c>
      <c r="E4961" s="233" t="s">
        <v>71</v>
      </c>
      <c r="F4961" s="227" t="s">
        <v>3001</v>
      </c>
    </row>
    <row r="4962" spans="1:6" x14ac:dyDescent="0.25">
      <c r="A4962" s="227" t="str">
        <f>TL[[#This Row],[Société]]&amp;" - "&amp;TL[[#This Row],[Compte]]</f>
        <v>HTR8 - 64750000</v>
      </c>
      <c r="B4962" s="233" t="s">
        <v>2692</v>
      </c>
      <c r="C4962" s="227" t="s">
        <v>172</v>
      </c>
      <c r="D4962" s="233" t="s">
        <v>20</v>
      </c>
      <c r="E4962" s="233" t="s">
        <v>25</v>
      </c>
      <c r="F4962" s="227" t="s">
        <v>3001</v>
      </c>
    </row>
    <row r="4963" spans="1:6" x14ac:dyDescent="0.25">
      <c r="A4963" s="227" t="str">
        <f>TL[[#This Row],[Société]]&amp;" - "&amp;TL[[#This Row],[Compte]]</f>
        <v>HTR8 - 64900000</v>
      </c>
      <c r="B4963" s="233" t="s">
        <v>6185</v>
      </c>
      <c r="C4963" s="227" t="s">
        <v>3323</v>
      </c>
      <c r="F4963" s="227" t="s">
        <v>3001</v>
      </c>
    </row>
    <row r="4964" spans="1:6" x14ac:dyDescent="0.25">
      <c r="A4964" s="227" t="str">
        <f>TL[[#This Row],[Société]]&amp;" - "&amp;TL[[#This Row],[Compte]]</f>
        <v>HTR8 - 65100100</v>
      </c>
      <c r="B4964" s="233" t="s">
        <v>2713</v>
      </c>
      <c r="C4964" s="227" t="s">
        <v>276</v>
      </c>
      <c r="D4964" s="233" t="s">
        <v>37</v>
      </c>
      <c r="E4964" s="233" t="s">
        <v>42</v>
      </c>
      <c r="F4964" s="227" t="s">
        <v>3001</v>
      </c>
    </row>
    <row r="4965" spans="1:6" x14ac:dyDescent="0.25">
      <c r="A4965" s="227" t="str">
        <f>TL[[#This Row],[Société]]&amp;" - "&amp;TL[[#This Row],[Compte]]</f>
        <v>HTR8 - 65100300</v>
      </c>
      <c r="B4965" s="233" t="s">
        <v>3690</v>
      </c>
      <c r="C4965" s="227" t="s">
        <v>282</v>
      </c>
      <c r="D4965" s="233" t="s">
        <v>20</v>
      </c>
      <c r="E4965" s="233" t="s">
        <v>25</v>
      </c>
      <c r="F4965" s="227" t="s">
        <v>3001</v>
      </c>
    </row>
    <row r="4966" spans="1:6" x14ac:dyDescent="0.25">
      <c r="A4966" s="227" t="str">
        <f>TL[[#This Row],[Société]]&amp;" - "&amp;TL[[#This Row],[Compte]]</f>
        <v>HTR8 - 65120000</v>
      </c>
      <c r="B4966" s="233" t="s">
        <v>2710</v>
      </c>
      <c r="C4966" s="227" t="s">
        <v>1255</v>
      </c>
      <c r="D4966" s="233" t="s">
        <v>35</v>
      </c>
      <c r="E4966" s="233" t="s">
        <v>37</v>
      </c>
      <c r="F4966" s="227" t="s">
        <v>3001</v>
      </c>
    </row>
    <row r="4967" spans="1:6" x14ac:dyDescent="0.25">
      <c r="A4967" s="227" t="str">
        <f>TL[[#This Row],[Société]]&amp;" - "&amp;TL[[#This Row],[Compte]]</f>
        <v>HTR8 - 65121000</v>
      </c>
      <c r="B4967" s="233" t="s">
        <v>2711</v>
      </c>
      <c r="C4967" s="227" t="s">
        <v>277</v>
      </c>
      <c r="D4967" s="233" t="s">
        <v>37</v>
      </c>
      <c r="E4967" s="233" t="s">
        <v>37</v>
      </c>
      <c r="F4967" s="227" t="s">
        <v>3001</v>
      </c>
    </row>
    <row r="4968" spans="1:6" x14ac:dyDescent="0.25">
      <c r="A4968" s="227" t="str">
        <f>TL[[#This Row],[Société]]&amp;" - "&amp;TL[[#This Row],[Compte]]</f>
        <v>HTR8 - 65130000</v>
      </c>
      <c r="B4968" s="233" t="s">
        <v>3691</v>
      </c>
      <c r="C4968" s="227" t="s">
        <v>6654</v>
      </c>
      <c r="D4968" s="233" t="s">
        <v>35</v>
      </c>
      <c r="E4968" s="233" t="s">
        <v>37</v>
      </c>
      <c r="F4968" s="227" t="s">
        <v>3001</v>
      </c>
    </row>
    <row r="4969" spans="1:6" x14ac:dyDescent="0.25">
      <c r="A4969" s="227" t="str">
        <f>TL[[#This Row],[Société]]&amp;" - "&amp;TL[[#This Row],[Compte]]</f>
        <v>HTR8 - 65131000</v>
      </c>
      <c r="B4969" s="233" t="s">
        <v>3692</v>
      </c>
      <c r="C4969" s="227" t="s">
        <v>6655</v>
      </c>
      <c r="D4969" s="233" t="s">
        <v>37</v>
      </c>
      <c r="E4969" s="233" t="s">
        <v>37</v>
      </c>
      <c r="F4969" s="227" t="s">
        <v>3001</v>
      </c>
    </row>
    <row r="4970" spans="1:6" x14ac:dyDescent="0.25">
      <c r="A4970" s="227" t="str">
        <f>TL[[#This Row],[Société]]&amp;" - "&amp;TL[[#This Row],[Compte]]</f>
        <v>HTR8 - 65800000</v>
      </c>
      <c r="B4970" s="233" t="s">
        <v>3695</v>
      </c>
      <c r="C4970" s="227" t="s">
        <v>164</v>
      </c>
      <c r="D4970" s="233" t="s">
        <v>50</v>
      </c>
      <c r="E4970" s="233" t="s">
        <v>52</v>
      </c>
      <c r="F4970" s="227" t="s">
        <v>3001</v>
      </c>
    </row>
    <row r="4971" spans="1:6" x14ac:dyDescent="0.25">
      <c r="A4971" s="227" t="str">
        <f>TL[[#This Row],[Société]]&amp;" - "&amp;TL[[#This Row],[Compte]]</f>
        <v>HTR8 - 66110000</v>
      </c>
      <c r="B4971" s="233" t="s">
        <v>2737</v>
      </c>
      <c r="C4971" s="227" t="s">
        <v>2420</v>
      </c>
      <c r="D4971" s="233" t="s">
        <v>47</v>
      </c>
      <c r="E4971" s="233" t="s">
        <v>286</v>
      </c>
      <c r="F4971" s="227" t="s">
        <v>3001</v>
      </c>
    </row>
    <row r="4972" spans="1:6" x14ac:dyDescent="0.25">
      <c r="A4972" s="227" t="str">
        <f>TL[[#This Row],[Société]]&amp;" - "&amp;TL[[#This Row],[Compte]]</f>
        <v>HTR8 - 66150000</v>
      </c>
      <c r="B4972" s="233" t="s">
        <v>6656</v>
      </c>
      <c r="C4972" s="227" t="s">
        <v>6657</v>
      </c>
      <c r="D4972" s="233" t="s">
        <v>47</v>
      </c>
      <c r="E4972" s="233" t="s">
        <v>286</v>
      </c>
      <c r="F4972" s="227" t="s">
        <v>3001</v>
      </c>
    </row>
    <row r="4973" spans="1:6" x14ac:dyDescent="0.25">
      <c r="A4973" s="227" t="str">
        <f>TL[[#This Row],[Société]]&amp;" - "&amp;TL[[#This Row],[Compte]]</f>
        <v>HTR8 - 66160000</v>
      </c>
      <c r="B4973" s="233" t="s">
        <v>3700</v>
      </c>
      <c r="C4973" s="227" t="s">
        <v>1259</v>
      </c>
      <c r="D4973" s="233" t="s">
        <v>47</v>
      </c>
      <c r="E4973" s="233" t="s">
        <v>286</v>
      </c>
      <c r="F4973" s="227" t="s">
        <v>3001</v>
      </c>
    </row>
    <row r="4974" spans="1:6" x14ac:dyDescent="0.25">
      <c r="A4974" s="227" t="str">
        <f>TL[[#This Row],[Société]]&amp;" - "&amp;TL[[#This Row],[Compte]]</f>
        <v>HTR8 - 67100000</v>
      </c>
      <c r="B4974" s="233" t="s">
        <v>6658</v>
      </c>
      <c r="C4974" s="227" t="s">
        <v>6659</v>
      </c>
      <c r="D4974" s="233" t="s">
        <v>50</v>
      </c>
      <c r="E4974" s="233" t="s">
        <v>2995</v>
      </c>
      <c r="F4974" s="227" t="s">
        <v>3001</v>
      </c>
    </row>
    <row r="4975" spans="1:6" x14ac:dyDescent="0.25">
      <c r="A4975" s="227" t="str">
        <f>TL[[#This Row],[Société]]&amp;" - "&amp;TL[[#This Row],[Compte]]</f>
        <v>HTR8 - 67110000</v>
      </c>
      <c r="B4975" s="233" t="s">
        <v>2707</v>
      </c>
      <c r="C4975" s="227" t="s">
        <v>1263</v>
      </c>
      <c r="D4975" s="233" t="s">
        <v>30</v>
      </c>
      <c r="E4975" s="233" t="s">
        <v>2982</v>
      </c>
      <c r="F4975" s="227" t="s">
        <v>3001</v>
      </c>
    </row>
    <row r="4976" spans="1:6" x14ac:dyDescent="0.25">
      <c r="A4976" s="227" t="str">
        <f>TL[[#This Row],[Société]]&amp;" - "&amp;TL[[#This Row],[Compte]]</f>
        <v>HTR8 - 67130000</v>
      </c>
      <c r="B4976" s="233" t="s">
        <v>3703</v>
      </c>
      <c r="C4976" s="227" t="s">
        <v>155</v>
      </c>
      <c r="D4976" s="233" t="s">
        <v>50</v>
      </c>
      <c r="E4976" s="233" t="s">
        <v>2995</v>
      </c>
      <c r="F4976" s="227" t="s">
        <v>3001</v>
      </c>
    </row>
    <row r="4977" spans="1:6" x14ac:dyDescent="0.25">
      <c r="A4977" s="227" t="str">
        <f>TL[[#This Row],[Société]]&amp;" - "&amp;TL[[#This Row],[Compte]]</f>
        <v>HTR8 - 67140000</v>
      </c>
      <c r="B4977" s="233" t="s">
        <v>6660</v>
      </c>
      <c r="C4977" s="227" t="s">
        <v>5980</v>
      </c>
      <c r="D4977" s="233" t="s">
        <v>50</v>
      </c>
      <c r="E4977" s="233" t="s">
        <v>2995</v>
      </c>
      <c r="F4977" s="227" t="s">
        <v>3001</v>
      </c>
    </row>
    <row r="4978" spans="1:6" x14ac:dyDescent="0.25">
      <c r="A4978" s="227" t="str">
        <f>TL[[#This Row],[Société]]&amp;" - "&amp;TL[[#This Row],[Compte]]</f>
        <v>HTR8 - 67500000</v>
      </c>
      <c r="B4978" s="233" t="s">
        <v>3707</v>
      </c>
      <c r="C4978" s="227" t="s">
        <v>618</v>
      </c>
      <c r="F4978" s="227" t="s">
        <v>3001</v>
      </c>
    </row>
    <row r="4979" spans="1:6" x14ac:dyDescent="0.25">
      <c r="A4979" s="227" t="str">
        <f>TL[[#This Row],[Société]]&amp;" - "&amp;TL[[#This Row],[Compte]]</f>
        <v>HTR8 - 67520000</v>
      </c>
      <c r="B4979" s="233" t="s">
        <v>3709</v>
      </c>
      <c r="C4979" s="227" t="s">
        <v>6370</v>
      </c>
      <c r="F4979" s="227" t="s">
        <v>3001</v>
      </c>
    </row>
    <row r="4980" spans="1:6" x14ac:dyDescent="0.25">
      <c r="A4980" s="227" t="str">
        <f>TL[[#This Row],[Société]]&amp;" - "&amp;TL[[#This Row],[Compte]]</f>
        <v>HTR8 - 67560000</v>
      </c>
      <c r="B4980" s="233" t="s">
        <v>6661</v>
      </c>
      <c r="C4980" s="227" t="s">
        <v>5318</v>
      </c>
      <c r="F4980" s="227" t="s">
        <v>3001</v>
      </c>
    </row>
    <row r="4981" spans="1:6" x14ac:dyDescent="0.25">
      <c r="A4981" s="227" t="str">
        <f>TL[[#This Row],[Société]]&amp;" - "&amp;TL[[#This Row],[Compte]]</f>
        <v>HTR8 - 68111000</v>
      </c>
      <c r="B4981" s="233" t="s">
        <v>2724</v>
      </c>
      <c r="C4981" s="227" t="s">
        <v>247</v>
      </c>
      <c r="D4981" s="233" t="s">
        <v>45</v>
      </c>
      <c r="E4981" s="233" t="s">
        <v>48</v>
      </c>
      <c r="F4981" s="227" t="s">
        <v>3001</v>
      </c>
    </row>
    <row r="4982" spans="1:6" x14ac:dyDescent="0.25">
      <c r="A4982" s="227" t="str">
        <f>TL[[#This Row],[Société]]&amp;" - "&amp;TL[[#This Row],[Compte]]</f>
        <v>HTR8 - 68112000</v>
      </c>
      <c r="B4982" s="233" t="s">
        <v>3710</v>
      </c>
      <c r="C4982" s="227" t="s">
        <v>173</v>
      </c>
      <c r="D4982" s="233" t="s">
        <v>45</v>
      </c>
      <c r="E4982" s="233" t="s">
        <v>48</v>
      </c>
      <c r="F4982" s="227" t="s">
        <v>3001</v>
      </c>
    </row>
    <row r="4983" spans="1:6" x14ac:dyDescent="0.25">
      <c r="A4983" s="227" t="str">
        <f>TL[[#This Row],[Société]]&amp;" - "&amp;TL[[#This Row],[Compte]]</f>
        <v>HTR8 - 68150000</v>
      </c>
      <c r="B4983" s="233" t="s">
        <v>3711</v>
      </c>
      <c r="C4983" s="227" t="s">
        <v>174</v>
      </c>
      <c r="D4983" s="233" t="s">
        <v>45</v>
      </c>
      <c r="E4983" s="233" t="s">
        <v>48</v>
      </c>
      <c r="F4983" s="227" t="s">
        <v>3001</v>
      </c>
    </row>
    <row r="4984" spans="1:6" x14ac:dyDescent="0.25">
      <c r="A4984" s="227" t="str">
        <f>TL[[#This Row],[Société]]&amp;" - "&amp;TL[[#This Row],[Compte]]</f>
        <v>HTR8 - 68711000</v>
      </c>
      <c r="B4984" s="233" t="s">
        <v>3713</v>
      </c>
      <c r="C4984" s="227" t="s">
        <v>621</v>
      </c>
      <c r="F4984" s="227" t="s">
        <v>3001</v>
      </c>
    </row>
    <row r="4985" spans="1:6" x14ac:dyDescent="0.25">
      <c r="A4985" s="227" t="str">
        <f>TL[[#This Row],[Société]]&amp;" - "&amp;TL[[#This Row],[Compte]]</f>
        <v>HTR8 - 68712000</v>
      </c>
      <c r="B4985" s="233" t="s">
        <v>3714</v>
      </c>
      <c r="C4985" s="227" t="s">
        <v>313</v>
      </c>
      <c r="F4985" s="227" t="s">
        <v>3001</v>
      </c>
    </row>
    <row r="4986" spans="1:6" x14ac:dyDescent="0.25">
      <c r="A4986" s="227" t="str">
        <f>TL[[#This Row],[Société]]&amp;" - "&amp;TL[[#This Row],[Compte]]</f>
        <v>HTR8 - 68725000</v>
      </c>
      <c r="B4986" s="233" t="s">
        <v>3715</v>
      </c>
      <c r="C4986" s="227" t="s">
        <v>622</v>
      </c>
      <c r="D4986" s="233" t="s">
        <v>143</v>
      </c>
      <c r="E4986" s="233" t="s">
        <v>48</v>
      </c>
      <c r="F4986" s="227" t="s">
        <v>3001</v>
      </c>
    </row>
    <row r="4987" spans="1:6" x14ac:dyDescent="0.25">
      <c r="A4987" s="227" t="str">
        <f>TL[[#This Row],[Société]]&amp;" - "&amp;TL[[#This Row],[Compte]]</f>
        <v>HTR8 - 69500000</v>
      </c>
      <c r="B4987" s="233" t="s">
        <v>3716</v>
      </c>
      <c r="C4987" s="227" t="s">
        <v>3335</v>
      </c>
      <c r="F4987" s="227" t="s">
        <v>3001</v>
      </c>
    </row>
    <row r="4988" spans="1:6" x14ac:dyDescent="0.25">
      <c r="A4988" s="227" t="str">
        <f>TL[[#This Row],[Société]]&amp;" - "&amp;TL[[#This Row],[Compte]]</f>
        <v>HTR8 - 69511000</v>
      </c>
      <c r="B4988" s="233" t="s">
        <v>3718</v>
      </c>
      <c r="C4988" s="227" t="s">
        <v>6662</v>
      </c>
      <c r="D4988" s="233" t="s">
        <v>148</v>
      </c>
      <c r="E4988" s="233" t="s">
        <v>1303</v>
      </c>
      <c r="F4988" s="227" t="s">
        <v>3001</v>
      </c>
    </row>
    <row r="4989" spans="1:6" x14ac:dyDescent="0.25">
      <c r="A4989" s="227" t="str">
        <f>TL[[#This Row],[Société]]&amp;" - "&amp;TL[[#This Row],[Compte]]</f>
        <v>HTR8 - 69890000</v>
      </c>
      <c r="B4989" s="233" t="s">
        <v>6663</v>
      </c>
      <c r="C4989" s="227" t="s">
        <v>1271</v>
      </c>
      <c r="D4989" s="233" t="s">
        <v>148</v>
      </c>
      <c r="E4989" s="233" t="s">
        <v>1303</v>
      </c>
      <c r="F4989" s="227" t="s">
        <v>3001</v>
      </c>
    </row>
    <row r="4990" spans="1:6" x14ac:dyDescent="0.25">
      <c r="A4990" s="227" t="str">
        <f>TL[[#This Row],[Société]]&amp;" - "&amp;TL[[#This Row],[Compte]]</f>
        <v>HTR8 - 69891000</v>
      </c>
      <c r="B4990" s="233" t="s">
        <v>3720</v>
      </c>
      <c r="C4990" s="227" t="s">
        <v>237</v>
      </c>
      <c r="D4990" s="233" t="s">
        <v>148</v>
      </c>
      <c r="E4990" s="233" t="s">
        <v>1303</v>
      </c>
      <c r="F4990" s="227" t="s">
        <v>3001</v>
      </c>
    </row>
    <row r="4991" spans="1:6" x14ac:dyDescent="0.25">
      <c r="A4991" s="227" t="str">
        <f>TL[[#This Row],[Société]]&amp;" - "&amp;TL[[#This Row],[Compte]]</f>
        <v>HTR8 - 70100100</v>
      </c>
      <c r="B4991" s="233" t="s">
        <v>2613</v>
      </c>
      <c r="C4991" s="227" t="s">
        <v>283</v>
      </c>
      <c r="D4991" s="233" t="s">
        <v>143</v>
      </c>
      <c r="E4991" s="233" t="s">
        <v>5</v>
      </c>
      <c r="F4991" s="227" t="s">
        <v>3001</v>
      </c>
    </row>
    <row r="4992" spans="1:6" x14ac:dyDescent="0.25">
      <c r="A4992" s="227" t="str">
        <f>TL[[#This Row],[Société]]&amp;" - "&amp;TL[[#This Row],[Compte]]</f>
        <v>HTR8 - 70100200</v>
      </c>
      <c r="B4992" s="233" t="s">
        <v>2614</v>
      </c>
      <c r="C4992" s="227" t="s">
        <v>245</v>
      </c>
      <c r="D4992" s="233" t="s">
        <v>143</v>
      </c>
      <c r="E4992" s="233" t="s">
        <v>5</v>
      </c>
      <c r="F4992" s="227" t="s">
        <v>3001</v>
      </c>
    </row>
    <row r="4993" spans="1:6" x14ac:dyDescent="0.25">
      <c r="A4993" s="227" t="str">
        <f>TL[[#This Row],[Société]]&amp;" - "&amp;TL[[#This Row],[Compte]]</f>
        <v>HTR8 - 70101000</v>
      </c>
      <c r="B4993" s="233" t="s">
        <v>2615</v>
      </c>
      <c r="C4993" s="227" t="s">
        <v>246</v>
      </c>
      <c r="D4993" s="233" t="s">
        <v>143</v>
      </c>
      <c r="E4993" s="233" t="s">
        <v>5</v>
      </c>
      <c r="F4993" s="227" t="s">
        <v>3001</v>
      </c>
    </row>
    <row r="4994" spans="1:6" x14ac:dyDescent="0.25">
      <c r="A4994" s="227" t="str">
        <f>TL[[#This Row],[Société]]&amp;" - "&amp;TL[[#This Row],[Compte]]</f>
        <v>HTR8 - 70101100</v>
      </c>
      <c r="B4994" s="233" t="s">
        <v>6664</v>
      </c>
      <c r="C4994" s="227" t="s">
        <v>6572</v>
      </c>
      <c r="F4994" s="227" t="s">
        <v>3001</v>
      </c>
    </row>
    <row r="4995" spans="1:6" x14ac:dyDescent="0.25">
      <c r="A4995" s="227" t="str">
        <f>TL[[#This Row],[Société]]&amp;" - "&amp;TL[[#This Row],[Compte]]</f>
        <v>HTR8 - 70101500</v>
      </c>
      <c r="B4995" s="233" t="s">
        <v>6665</v>
      </c>
      <c r="C4995" s="227" t="s">
        <v>6572</v>
      </c>
      <c r="F4995" s="227" t="s">
        <v>3001</v>
      </c>
    </row>
    <row r="4996" spans="1:6" x14ac:dyDescent="0.25">
      <c r="A4996" s="227" t="str">
        <f>TL[[#This Row],[Société]]&amp;" - "&amp;TL[[#This Row],[Compte]]</f>
        <v>HTR8 - 70102000</v>
      </c>
      <c r="B4996" s="233" t="s">
        <v>2616</v>
      </c>
      <c r="C4996" s="227" t="s">
        <v>251</v>
      </c>
      <c r="D4996" s="233" t="s">
        <v>143</v>
      </c>
      <c r="E4996" s="233" t="s">
        <v>5</v>
      </c>
      <c r="F4996" s="227" t="s">
        <v>3001</v>
      </c>
    </row>
    <row r="4997" spans="1:6" x14ac:dyDescent="0.25">
      <c r="A4997" s="227" t="str">
        <f>TL[[#This Row],[Société]]&amp;" - "&amp;TL[[#This Row],[Compte]]</f>
        <v>HTR8 - 70110000</v>
      </c>
      <c r="B4997" s="233" t="s">
        <v>6666</v>
      </c>
      <c r="C4997" s="227" t="s">
        <v>6572</v>
      </c>
      <c r="F4997" s="227" t="s">
        <v>3001</v>
      </c>
    </row>
    <row r="4998" spans="1:6" x14ac:dyDescent="0.25">
      <c r="A4998" s="227" t="str">
        <f>TL[[#This Row],[Société]]&amp;" - "&amp;TL[[#This Row],[Compte]]</f>
        <v>HTR8 - 70230000</v>
      </c>
      <c r="B4998" s="233" t="s">
        <v>2740</v>
      </c>
      <c r="C4998" s="227" t="s">
        <v>256</v>
      </c>
      <c r="D4998" s="233" t="s">
        <v>149</v>
      </c>
      <c r="E4998" s="233" t="s">
        <v>3004</v>
      </c>
      <c r="F4998" s="227" t="s">
        <v>3001</v>
      </c>
    </row>
    <row r="4999" spans="1:6" x14ac:dyDescent="0.25">
      <c r="A4999" s="227" t="str">
        <f>TL[[#This Row],[Société]]&amp;" - "&amp;TL[[#This Row],[Compte]]</f>
        <v>HTR8 - 70600500</v>
      </c>
      <c r="B4999" s="233" t="s">
        <v>6667</v>
      </c>
      <c r="C4999" s="227" t="s">
        <v>6668</v>
      </c>
      <c r="D4999" s="233" t="s">
        <v>149</v>
      </c>
      <c r="E4999" s="233" t="s">
        <v>44</v>
      </c>
      <c r="F4999" s="227" t="s">
        <v>3001</v>
      </c>
    </row>
    <row r="5000" spans="1:6" x14ac:dyDescent="0.25">
      <c r="A5000" s="227" t="str">
        <f>TL[[#This Row],[Société]]&amp;" - "&amp;TL[[#This Row],[Compte]]</f>
        <v>HTR8 - 70800000</v>
      </c>
      <c r="B5000" s="233" t="s">
        <v>2620</v>
      </c>
      <c r="C5000" s="227" t="s">
        <v>2179</v>
      </c>
      <c r="D5000" s="233" t="s">
        <v>0</v>
      </c>
      <c r="E5000" s="233" t="s">
        <v>7</v>
      </c>
      <c r="F5000" s="227" t="s">
        <v>3001</v>
      </c>
    </row>
    <row r="5001" spans="1:6" x14ac:dyDescent="0.25">
      <c r="A5001" s="227" t="str">
        <f>TL[[#This Row],[Société]]&amp;" - "&amp;TL[[#This Row],[Compte]]</f>
        <v>HTR8 - 70810000</v>
      </c>
      <c r="B5001" s="233" t="s">
        <v>3729</v>
      </c>
      <c r="C5001" s="227" t="s">
        <v>6669</v>
      </c>
      <c r="D5001" s="233" t="s">
        <v>13</v>
      </c>
      <c r="E5001" s="233" t="s">
        <v>16</v>
      </c>
      <c r="F5001" s="227" t="s">
        <v>3001</v>
      </c>
    </row>
    <row r="5002" spans="1:6" x14ac:dyDescent="0.25">
      <c r="A5002" s="227" t="str">
        <f>TL[[#This Row],[Société]]&amp;" - "&amp;TL[[#This Row],[Compte]]</f>
        <v>HTR8 - 70810200</v>
      </c>
      <c r="B5002" s="233" t="s">
        <v>6195</v>
      </c>
      <c r="C5002" s="227" t="s">
        <v>6670</v>
      </c>
      <c r="D5002" s="233" t="s">
        <v>7</v>
      </c>
      <c r="E5002" s="233" t="s">
        <v>0</v>
      </c>
      <c r="F5002" s="227" t="s">
        <v>3001</v>
      </c>
    </row>
    <row r="5003" spans="1:6" x14ac:dyDescent="0.25">
      <c r="A5003" s="227" t="str">
        <f>TL[[#This Row],[Société]]&amp;" - "&amp;TL[[#This Row],[Compte]]</f>
        <v>HTR8 - 70810300</v>
      </c>
      <c r="B5003" s="233" t="s">
        <v>6671</v>
      </c>
      <c r="C5003" s="227" t="s">
        <v>802</v>
      </c>
      <c r="D5003" s="233" t="s">
        <v>0</v>
      </c>
      <c r="E5003" s="233" t="s">
        <v>7</v>
      </c>
      <c r="F5003" s="227" t="s">
        <v>3001</v>
      </c>
    </row>
    <row r="5004" spans="1:6" x14ac:dyDescent="0.25">
      <c r="A5004" s="227" t="str">
        <f>TL[[#This Row],[Société]]&amp;" - "&amp;TL[[#This Row],[Compte]]</f>
        <v>HTR8 - 70810400</v>
      </c>
      <c r="B5004" s="233" t="s">
        <v>2640</v>
      </c>
      <c r="C5004" s="227" t="s">
        <v>625</v>
      </c>
      <c r="D5004" s="233" t="s">
        <v>13</v>
      </c>
      <c r="E5004" s="233" t="s">
        <v>12</v>
      </c>
      <c r="F5004" s="227" t="s">
        <v>3001</v>
      </c>
    </row>
    <row r="5005" spans="1:6" x14ac:dyDescent="0.25">
      <c r="A5005" s="227" t="str">
        <f>TL[[#This Row],[Société]]&amp;" - "&amp;TL[[#This Row],[Compte]]</f>
        <v>HTR8 - 70810500</v>
      </c>
      <c r="B5005" s="233" t="s">
        <v>6672</v>
      </c>
      <c r="C5005" s="227" t="s">
        <v>6673</v>
      </c>
      <c r="D5005" s="233" t="s">
        <v>25</v>
      </c>
      <c r="E5005" s="233" t="s">
        <v>23</v>
      </c>
      <c r="F5005" s="227" t="s">
        <v>3001</v>
      </c>
    </row>
    <row r="5006" spans="1:6" x14ac:dyDescent="0.25">
      <c r="A5006" s="227" t="str">
        <f>TL[[#This Row],[Société]]&amp;" - "&amp;TL[[#This Row],[Compte]]</f>
        <v>HTR8 - 70810600</v>
      </c>
      <c r="B5006" s="233" t="s">
        <v>6674</v>
      </c>
      <c r="C5006" s="227" t="s">
        <v>6675</v>
      </c>
      <c r="D5006" s="233" t="s">
        <v>27</v>
      </c>
      <c r="E5006" s="233" t="s">
        <v>34</v>
      </c>
      <c r="F5006" s="227" t="s">
        <v>3001</v>
      </c>
    </row>
    <row r="5007" spans="1:6" x14ac:dyDescent="0.25">
      <c r="A5007" s="227" t="str">
        <f>TL[[#This Row],[Société]]&amp;" - "&amp;TL[[#This Row],[Compte]]</f>
        <v>HTR8 - 70810700</v>
      </c>
      <c r="B5007" s="233" t="s">
        <v>6676</v>
      </c>
      <c r="C5007" s="227" t="s">
        <v>6677</v>
      </c>
      <c r="D5007" s="233" t="s">
        <v>50</v>
      </c>
      <c r="E5007" s="233" t="s">
        <v>52</v>
      </c>
      <c r="F5007" s="227" t="s">
        <v>3001</v>
      </c>
    </row>
    <row r="5008" spans="1:6" x14ac:dyDescent="0.25">
      <c r="A5008" s="227" t="str">
        <f>TL[[#This Row],[Société]]&amp;" - "&amp;TL[[#This Row],[Compte]]</f>
        <v>HTR8 - 70810800</v>
      </c>
      <c r="B5008" s="233" t="s">
        <v>6678</v>
      </c>
      <c r="C5008" s="227" t="s">
        <v>6679</v>
      </c>
      <c r="D5008" s="233" t="s">
        <v>42</v>
      </c>
      <c r="E5008" s="233" t="s">
        <v>47</v>
      </c>
      <c r="F5008" s="227" t="s">
        <v>3001</v>
      </c>
    </row>
    <row r="5009" spans="1:6" x14ac:dyDescent="0.25">
      <c r="A5009" s="227" t="str">
        <f>TL[[#This Row],[Société]]&amp;" - "&amp;TL[[#This Row],[Compte]]</f>
        <v>HTR8 - 70810900</v>
      </c>
      <c r="B5009" s="233" t="s">
        <v>6680</v>
      </c>
      <c r="C5009" s="227" t="s">
        <v>3359</v>
      </c>
      <c r="D5009" s="233" t="s">
        <v>50</v>
      </c>
      <c r="E5009" s="233" t="s">
        <v>52</v>
      </c>
      <c r="F5009" s="227" t="s">
        <v>3001</v>
      </c>
    </row>
    <row r="5010" spans="1:6" x14ac:dyDescent="0.25">
      <c r="A5010" s="227" t="str">
        <f>TL[[#This Row],[Société]]&amp;" - "&amp;TL[[#This Row],[Compte]]</f>
        <v>HTR8 - 70811000</v>
      </c>
      <c r="B5010" s="233" t="s">
        <v>6681</v>
      </c>
      <c r="C5010" s="227" t="s">
        <v>6682</v>
      </c>
      <c r="D5010" s="233" t="s">
        <v>0</v>
      </c>
      <c r="E5010" s="233" t="s">
        <v>25</v>
      </c>
      <c r="F5010" s="227" t="s">
        <v>3001</v>
      </c>
    </row>
    <row r="5011" spans="1:6" x14ac:dyDescent="0.25">
      <c r="A5011" s="227" t="str">
        <f>TL[[#This Row],[Société]]&amp;" - "&amp;TL[[#This Row],[Compte]]</f>
        <v>HTR8 - 70811100</v>
      </c>
      <c r="B5011" s="233" t="s">
        <v>6196</v>
      </c>
      <c r="C5011" s="227" t="s">
        <v>6683</v>
      </c>
      <c r="D5011" s="233" t="s">
        <v>25</v>
      </c>
      <c r="E5011" s="233" t="s">
        <v>25</v>
      </c>
      <c r="F5011" s="227" t="s">
        <v>3001</v>
      </c>
    </row>
    <row r="5012" spans="1:6" x14ac:dyDescent="0.25">
      <c r="A5012" s="227" t="str">
        <f>TL[[#This Row],[Société]]&amp;" - "&amp;TL[[#This Row],[Compte]]</f>
        <v>HTR8 - 70811200</v>
      </c>
      <c r="B5012" s="233" t="s">
        <v>6684</v>
      </c>
      <c r="C5012" s="227" t="s">
        <v>6685</v>
      </c>
      <c r="D5012" s="233" t="s">
        <v>50</v>
      </c>
      <c r="E5012" s="233" t="s">
        <v>52</v>
      </c>
      <c r="F5012" s="227" t="s">
        <v>3001</v>
      </c>
    </row>
    <row r="5013" spans="1:6" x14ac:dyDescent="0.25">
      <c r="A5013" s="227" t="str">
        <f>TL[[#This Row],[Société]]&amp;" - "&amp;TL[[#This Row],[Compte]]</f>
        <v>HTR8 - 70811300</v>
      </c>
      <c r="B5013" s="233" t="s">
        <v>6686</v>
      </c>
      <c r="C5013" s="227" t="s">
        <v>6687</v>
      </c>
      <c r="D5013" s="233" t="s">
        <v>25</v>
      </c>
      <c r="E5013" s="233" t="s">
        <v>23</v>
      </c>
      <c r="F5013" s="227" t="s">
        <v>3001</v>
      </c>
    </row>
    <row r="5014" spans="1:6" x14ac:dyDescent="0.25">
      <c r="A5014" s="227" t="str">
        <f>TL[[#This Row],[Société]]&amp;" - "&amp;TL[[#This Row],[Compte]]</f>
        <v>HTR8 - 70811400</v>
      </c>
      <c r="B5014" s="233" t="s">
        <v>6688</v>
      </c>
      <c r="C5014" s="227" t="s">
        <v>6689</v>
      </c>
      <c r="D5014" s="233" t="s">
        <v>50</v>
      </c>
      <c r="E5014" s="233" t="s">
        <v>52</v>
      </c>
      <c r="F5014" s="227" t="s">
        <v>3001</v>
      </c>
    </row>
    <row r="5015" spans="1:6" x14ac:dyDescent="0.25">
      <c r="A5015" s="227" t="str">
        <f>TL[[#This Row],[Société]]&amp;" - "&amp;TL[[#This Row],[Compte]]</f>
        <v>HTR8 - 70812000</v>
      </c>
      <c r="B5015" s="233" t="s">
        <v>6690</v>
      </c>
      <c r="C5015" s="227" t="s">
        <v>6691</v>
      </c>
      <c r="D5015" s="233" t="s">
        <v>18</v>
      </c>
      <c r="E5015" s="233" t="s">
        <v>30</v>
      </c>
      <c r="F5015" s="227" t="s">
        <v>3001</v>
      </c>
    </row>
    <row r="5016" spans="1:6" x14ac:dyDescent="0.25">
      <c r="A5016" s="227" t="str">
        <f>TL[[#This Row],[Société]]&amp;" - "&amp;TL[[#This Row],[Compte]]</f>
        <v>HTR8 - 70813000</v>
      </c>
      <c r="B5016" s="233" t="s">
        <v>6692</v>
      </c>
      <c r="C5016" s="227" t="s">
        <v>6038</v>
      </c>
      <c r="D5016" s="233" t="s">
        <v>32</v>
      </c>
      <c r="E5016" s="233" t="s">
        <v>2982</v>
      </c>
      <c r="F5016" s="227" t="s">
        <v>3001</v>
      </c>
    </row>
    <row r="5017" spans="1:6" x14ac:dyDescent="0.25">
      <c r="A5017" s="227" t="str">
        <f>TL[[#This Row],[Société]]&amp;" - "&amp;TL[[#This Row],[Compte]]</f>
        <v>HTR8 - 70814000</v>
      </c>
      <c r="B5017" s="233" t="s">
        <v>6693</v>
      </c>
      <c r="C5017" s="227" t="s">
        <v>6694</v>
      </c>
      <c r="D5017" s="233" t="s">
        <v>18</v>
      </c>
      <c r="E5017" s="233" t="s">
        <v>32</v>
      </c>
      <c r="F5017" s="227" t="s">
        <v>3001</v>
      </c>
    </row>
    <row r="5018" spans="1:6" x14ac:dyDescent="0.25">
      <c r="A5018" s="227" t="str">
        <f>TL[[#This Row],[Société]]&amp;" - "&amp;TL[[#This Row],[Compte]]</f>
        <v>HTR8 - 70815000</v>
      </c>
      <c r="B5018" s="233" t="s">
        <v>6695</v>
      </c>
      <c r="C5018" s="227" t="s">
        <v>6696</v>
      </c>
      <c r="D5018" s="233" t="s">
        <v>12</v>
      </c>
      <c r="E5018" s="233" t="s">
        <v>3</v>
      </c>
      <c r="F5018" s="227" t="s">
        <v>3001</v>
      </c>
    </row>
    <row r="5019" spans="1:6" x14ac:dyDescent="0.25">
      <c r="A5019" s="227" t="str">
        <f>TL[[#This Row],[Société]]&amp;" - "&amp;TL[[#This Row],[Compte]]</f>
        <v>HTR8 - 70816000</v>
      </c>
      <c r="B5019" s="233" t="s">
        <v>6697</v>
      </c>
      <c r="C5019" s="227" t="s">
        <v>3361</v>
      </c>
      <c r="D5019" s="233" t="s">
        <v>18</v>
      </c>
      <c r="E5019" s="233" t="s">
        <v>30</v>
      </c>
      <c r="F5019" s="227" t="s">
        <v>3001</v>
      </c>
    </row>
    <row r="5020" spans="1:6" x14ac:dyDescent="0.25">
      <c r="A5020" s="227" t="str">
        <f>TL[[#This Row],[Société]]&amp;" - "&amp;TL[[#This Row],[Compte]]</f>
        <v>HTR8 - 70817000</v>
      </c>
      <c r="B5020" s="233" t="s">
        <v>2732</v>
      </c>
      <c r="C5020" s="227" t="s">
        <v>2421</v>
      </c>
      <c r="D5020" s="233" t="s">
        <v>50</v>
      </c>
      <c r="E5020" s="233" t="s">
        <v>52</v>
      </c>
      <c r="F5020" s="227" t="s">
        <v>3001</v>
      </c>
    </row>
    <row r="5021" spans="1:6" x14ac:dyDescent="0.25">
      <c r="A5021" s="227" t="str">
        <f>TL[[#This Row],[Société]]&amp;" - "&amp;TL[[#This Row],[Compte]]</f>
        <v>HTR8 - 70817100</v>
      </c>
      <c r="B5021" s="233" t="s">
        <v>6698</v>
      </c>
      <c r="C5021" s="227" t="s">
        <v>6699</v>
      </c>
      <c r="D5021" s="233" t="s">
        <v>50</v>
      </c>
      <c r="E5021" s="233" t="s">
        <v>52</v>
      </c>
      <c r="F5021" s="227" t="s">
        <v>3001</v>
      </c>
    </row>
    <row r="5022" spans="1:6" x14ac:dyDescent="0.25">
      <c r="A5022" s="227" t="str">
        <f>TL[[#This Row],[Société]]&amp;" - "&amp;TL[[#This Row],[Compte]]</f>
        <v>HTR8 - 70817200</v>
      </c>
      <c r="B5022" s="233" t="s">
        <v>6700</v>
      </c>
      <c r="C5022" s="227" t="s">
        <v>6701</v>
      </c>
      <c r="D5022" s="233" t="s">
        <v>29</v>
      </c>
      <c r="E5022" s="233" t="s">
        <v>2978</v>
      </c>
      <c r="F5022" s="227" t="s">
        <v>3001</v>
      </c>
    </row>
    <row r="5023" spans="1:6" x14ac:dyDescent="0.25">
      <c r="A5023" s="227" t="str">
        <f>TL[[#This Row],[Société]]&amp;" - "&amp;TL[[#This Row],[Compte]]</f>
        <v>HTR8 - 70817300</v>
      </c>
      <c r="B5023" s="233" t="s">
        <v>6702</v>
      </c>
      <c r="C5023" s="227" t="s">
        <v>6703</v>
      </c>
      <c r="D5023" s="233" t="s">
        <v>50</v>
      </c>
      <c r="E5023" s="233" t="s">
        <v>52</v>
      </c>
      <c r="F5023" s="227" t="s">
        <v>3001</v>
      </c>
    </row>
    <row r="5024" spans="1:6" x14ac:dyDescent="0.25">
      <c r="A5024" s="227" t="str">
        <f>TL[[#This Row],[Société]]&amp;" - "&amp;TL[[#This Row],[Compte]]</f>
        <v>HTR8 - 70817400</v>
      </c>
      <c r="B5024" s="233" t="s">
        <v>6704</v>
      </c>
      <c r="C5024" s="227" t="s">
        <v>6705</v>
      </c>
      <c r="D5024" s="233" t="s">
        <v>21</v>
      </c>
      <c r="E5024" s="233" t="s">
        <v>2982</v>
      </c>
      <c r="F5024" s="227" t="s">
        <v>3001</v>
      </c>
    </row>
    <row r="5025" spans="1:6" x14ac:dyDescent="0.25">
      <c r="A5025" s="227" t="str">
        <f>TL[[#This Row],[Société]]&amp;" - "&amp;TL[[#This Row],[Compte]]</f>
        <v>HTR8 - 70817500</v>
      </c>
      <c r="B5025" s="233" t="s">
        <v>6706</v>
      </c>
      <c r="C5025" s="227" t="s">
        <v>6707</v>
      </c>
      <c r="D5025" s="233" t="s">
        <v>16</v>
      </c>
      <c r="E5025" s="233" t="s">
        <v>2979</v>
      </c>
      <c r="F5025" s="227" t="s">
        <v>3001</v>
      </c>
    </row>
    <row r="5026" spans="1:6" x14ac:dyDescent="0.25">
      <c r="A5026" s="227" t="str">
        <f>TL[[#This Row],[Société]]&amp;" - "&amp;TL[[#This Row],[Compte]]</f>
        <v>HTR8 - 70817600</v>
      </c>
      <c r="B5026" s="233" t="s">
        <v>6708</v>
      </c>
      <c r="C5026" s="227" t="s">
        <v>6709</v>
      </c>
      <c r="D5026" s="233" t="s">
        <v>50</v>
      </c>
      <c r="E5026" s="233" t="s">
        <v>52</v>
      </c>
      <c r="F5026" s="227" t="s">
        <v>3001</v>
      </c>
    </row>
    <row r="5027" spans="1:6" x14ac:dyDescent="0.25">
      <c r="A5027" s="227" t="str">
        <f>TL[[#This Row],[Société]]&amp;" - "&amp;TL[[#This Row],[Compte]]</f>
        <v>HTR8 - 70817700</v>
      </c>
      <c r="B5027" s="233" t="s">
        <v>6710</v>
      </c>
      <c r="C5027" s="227" t="s">
        <v>6711</v>
      </c>
      <c r="D5027" s="233" t="s">
        <v>150</v>
      </c>
      <c r="E5027" s="233" t="s">
        <v>3004</v>
      </c>
      <c r="F5027" s="227" t="s">
        <v>3001</v>
      </c>
    </row>
    <row r="5028" spans="1:6" x14ac:dyDescent="0.25">
      <c r="A5028" s="227" t="str">
        <f>TL[[#This Row],[Société]]&amp;" - "&amp;TL[[#This Row],[Compte]]</f>
        <v>HTR8 - 70818000</v>
      </c>
      <c r="B5028" s="233" t="s">
        <v>6712</v>
      </c>
      <c r="C5028" s="227" t="s">
        <v>6713</v>
      </c>
      <c r="D5028" s="233" t="s">
        <v>16</v>
      </c>
      <c r="E5028" s="233" t="s">
        <v>2979</v>
      </c>
      <c r="F5028" s="227" t="s">
        <v>3001</v>
      </c>
    </row>
    <row r="5029" spans="1:6" x14ac:dyDescent="0.25">
      <c r="A5029" s="227" t="str">
        <f>TL[[#This Row],[Société]]&amp;" - "&amp;TL[[#This Row],[Compte]]</f>
        <v>HTR8 - 70819000</v>
      </c>
      <c r="B5029" s="233" t="s">
        <v>6714</v>
      </c>
      <c r="C5029" s="227" t="s">
        <v>6715</v>
      </c>
      <c r="D5029" s="233" t="s">
        <v>50</v>
      </c>
      <c r="E5029" s="233" t="s">
        <v>52</v>
      </c>
      <c r="F5029" s="227" t="s">
        <v>3001</v>
      </c>
    </row>
    <row r="5030" spans="1:6" x14ac:dyDescent="0.25">
      <c r="A5030" s="227" t="str">
        <f>TL[[#This Row],[Société]]&amp;" - "&amp;TL[[#This Row],[Compte]]</f>
        <v>HTR8 - 70819100</v>
      </c>
      <c r="B5030" s="233" t="s">
        <v>2733</v>
      </c>
      <c r="C5030" s="227" t="s">
        <v>2422</v>
      </c>
      <c r="D5030" s="233" t="s">
        <v>50</v>
      </c>
      <c r="E5030" s="233" t="s">
        <v>52</v>
      </c>
      <c r="F5030" s="227" t="s">
        <v>3001</v>
      </c>
    </row>
    <row r="5031" spans="1:6" x14ac:dyDescent="0.25">
      <c r="A5031" s="227" t="str">
        <f>TL[[#This Row],[Société]]&amp;" - "&amp;TL[[#This Row],[Compte]]</f>
        <v>HTR8 - 70819200</v>
      </c>
      <c r="B5031" s="233" t="s">
        <v>2734</v>
      </c>
      <c r="C5031" s="227" t="s">
        <v>2423</v>
      </c>
      <c r="D5031" s="233" t="s">
        <v>50</v>
      </c>
      <c r="E5031" s="233" t="s">
        <v>52</v>
      </c>
      <c r="F5031" s="227" t="s">
        <v>3001</v>
      </c>
    </row>
    <row r="5032" spans="1:6" x14ac:dyDescent="0.25">
      <c r="A5032" s="227" t="str">
        <f>TL[[#This Row],[Société]]&amp;" - "&amp;TL[[#This Row],[Compte]]</f>
        <v>HTR8 - 70819300</v>
      </c>
      <c r="B5032" s="233" t="s">
        <v>2735</v>
      </c>
      <c r="C5032" s="227" t="s">
        <v>2424</v>
      </c>
      <c r="D5032" s="233" t="s">
        <v>50</v>
      </c>
      <c r="E5032" s="233" t="s">
        <v>52</v>
      </c>
      <c r="F5032" s="227" t="s">
        <v>3001</v>
      </c>
    </row>
    <row r="5033" spans="1:6" x14ac:dyDescent="0.25">
      <c r="A5033" s="227" t="str">
        <f>TL[[#This Row],[Société]]&amp;" - "&amp;TL[[#This Row],[Compte]]</f>
        <v>HTR8 - 70819400</v>
      </c>
      <c r="B5033" s="233" t="s">
        <v>2736</v>
      </c>
      <c r="C5033" s="227" t="s">
        <v>2425</v>
      </c>
      <c r="D5033" s="233" t="s">
        <v>50</v>
      </c>
      <c r="E5033" s="233" t="s">
        <v>52</v>
      </c>
      <c r="F5033" s="227" t="s">
        <v>3001</v>
      </c>
    </row>
    <row r="5034" spans="1:6" x14ac:dyDescent="0.25">
      <c r="A5034" s="227" t="str">
        <f>TL[[#This Row],[Société]]&amp;" - "&amp;TL[[#This Row],[Compte]]</f>
        <v>HTR8 - 72610000</v>
      </c>
      <c r="B5034" s="233" t="s">
        <v>2629</v>
      </c>
      <c r="C5034" s="227" t="s">
        <v>2426</v>
      </c>
      <c r="D5034" s="233" t="s">
        <v>12</v>
      </c>
      <c r="E5034" s="233" t="s">
        <v>3</v>
      </c>
      <c r="F5034" s="227" t="s">
        <v>3001</v>
      </c>
    </row>
    <row r="5035" spans="1:6" x14ac:dyDescent="0.25">
      <c r="A5035" s="227" t="str">
        <f>TL[[#This Row],[Société]]&amp;" - "&amp;TL[[#This Row],[Compte]]</f>
        <v>HTR8 - 72611000</v>
      </c>
      <c r="B5035" s="233" t="s">
        <v>2641</v>
      </c>
      <c r="C5035" s="227" t="s">
        <v>1066</v>
      </c>
      <c r="D5035" s="233" t="s">
        <v>13</v>
      </c>
      <c r="E5035" s="233" t="s">
        <v>12</v>
      </c>
      <c r="F5035" s="227" t="s">
        <v>3001</v>
      </c>
    </row>
    <row r="5036" spans="1:6" x14ac:dyDescent="0.25">
      <c r="A5036" s="227" t="str">
        <f>TL[[#This Row],[Société]]&amp;" - "&amp;TL[[#This Row],[Compte]]</f>
        <v>HTR8 - 74000000</v>
      </c>
      <c r="B5036" s="233" t="s">
        <v>6716</v>
      </c>
      <c r="C5036" s="227" t="s">
        <v>6717</v>
      </c>
      <c r="D5036" s="233" t="s">
        <v>50</v>
      </c>
      <c r="E5036" s="233" t="s">
        <v>2995</v>
      </c>
      <c r="F5036" s="227" t="s">
        <v>3001</v>
      </c>
    </row>
    <row r="5037" spans="1:6" x14ac:dyDescent="0.25">
      <c r="A5037" s="227" t="str">
        <f>TL[[#This Row],[Société]]&amp;" - "&amp;TL[[#This Row],[Compte]]</f>
        <v>HTR8 - 74010000</v>
      </c>
      <c r="B5037" s="233" t="s">
        <v>3740</v>
      </c>
      <c r="C5037" s="227" t="s">
        <v>6718</v>
      </c>
      <c r="D5037" s="233" t="s">
        <v>50</v>
      </c>
      <c r="E5037" s="233" t="s">
        <v>2995</v>
      </c>
      <c r="F5037" s="227" t="s">
        <v>3001</v>
      </c>
    </row>
    <row r="5038" spans="1:6" x14ac:dyDescent="0.25">
      <c r="A5038" s="227" t="str">
        <f>TL[[#This Row],[Société]]&amp;" - "&amp;TL[[#This Row],[Compte]]</f>
        <v>HTR8 - 74041000</v>
      </c>
      <c r="B5038" s="233" t="s">
        <v>3744</v>
      </c>
      <c r="C5038" s="227" t="s">
        <v>6719</v>
      </c>
      <c r="D5038" s="233" t="s">
        <v>50</v>
      </c>
      <c r="E5038" s="233" t="s">
        <v>2995</v>
      </c>
      <c r="F5038" s="227" t="s">
        <v>3001</v>
      </c>
    </row>
    <row r="5039" spans="1:6" x14ac:dyDescent="0.25">
      <c r="A5039" s="227" t="str">
        <f>TL[[#This Row],[Société]]&amp;" - "&amp;TL[[#This Row],[Compte]]</f>
        <v>HTR8 - 75800000</v>
      </c>
      <c r="B5039" s="233" t="s">
        <v>3745</v>
      </c>
      <c r="C5039" s="227" t="s">
        <v>163</v>
      </c>
      <c r="D5039" s="233" t="s">
        <v>50</v>
      </c>
      <c r="E5039" s="233" t="s">
        <v>2982</v>
      </c>
      <c r="F5039" s="227" t="s">
        <v>3001</v>
      </c>
    </row>
    <row r="5040" spans="1:6" x14ac:dyDescent="0.25">
      <c r="A5040" s="227" t="str">
        <f>TL[[#This Row],[Société]]&amp;" - "&amp;TL[[#This Row],[Compte]]</f>
        <v>HTR8 - 76150000</v>
      </c>
      <c r="B5040" s="233" t="s">
        <v>6720</v>
      </c>
      <c r="C5040" s="227" t="s">
        <v>6721</v>
      </c>
      <c r="D5040" s="240" t="s">
        <v>48</v>
      </c>
      <c r="E5040" s="240" t="s">
        <v>286</v>
      </c>
      <c r="F5040" s="227" t="s">
        <v>3001</v>
      </c>
    </row>
    <row r="5041" spans="1:6" x14ac:dyDescent="0.25">
      <c r="A5041" s="227" t="str">
        <f>TL[[#This Row],[Société]]&amp;" - "&amp;TL[[#This Row],[Compte]]</f>
        <v>HTR8 - 76400000</v>
      </c>
      <c r="B5041" s="233" t="s">
        <v>3746</v>
      </c>
      <c r="C5041" s="227" t="s">
        <v>6722</v>
      </c>
      <c r="F5041" s="227" t="s">
        <v>3001</v>
      </c>
    </row>
    <row r="5042" spans="1:6" x14ac:dyDescent="0.25">
      <c r="A5042" s="227" t="str">
        <f>TL[[#This Row],[Société]]&amp;" - "&amp;TL[[#This Row],[Compte]]</f>
        <v>HTR8 - 76700000</v>
      </c>
      <c r="B5042" s="233" t="s">
        <v>3748</v>
      </c>
      <c r="C5042" s="227" t="s">
        <v>49</v>
      </c>
      <c r="D5042" s="233" t="s">
        <v>48</v>
      </c>
      <c r="E5042" s="233" t="s">
        <v>286</v>
      </c>
      <c r="F5042" s="227" t="s">
        <v>3001</v>
      </c>
    </row>
    <row r="5043" spans="1:6" x14ac:dyDescent="0.25">
      <c r="A5043" s="227" t="str">
        <f>TL[[#This Row],[Société]]&amp;" - "&amp;TL[[#This Row],[Compte]]</f>
        <v>HTR8 - 76810000</v>
      </c>
      <c r="B5043" s="233" t="s">
        <v>3751</v>
      </c>
      <c r="C5043" s="227" t="s">
        <v>1285</v>
      </c>
      <c r="D5043" s="233" t="s">
        <v>48</v>
      </c>
      <c r="E5043" s="233" t="s">
        <v>286</v>
      </c>
      <c r="F5043" s="227" t="s">
        <v>3001</v>
      </c>
    </row>
    <row r="5044" spans="1:6" x14ac:dyDescent="0.25">
      <c r="A5044" s="227" t="str">
        <f>TL[[#This Row],[Société]]&amp;" - "&amp;TL[[#This Row],[Compte]]</f>
        <v>HTR8 - 77100000</v>
      </c>
      <c r="B5044" s="233" t="s">
        <v>6723</v>
      </c>
      <c r="C5044" s="227" t="s">
        <v>6058</v>
      </c>
      <c r="D5044" s="233" t="s">
        <v>50</v>
      </c>
      <c r="E5044" s="233" t="s">
        <v>2995</v>
      </c>
      <c r="F5044" s="227" t="s">
        <v>3001</v>
      </c>
    </row>
    <row r="5045" spans="1:6" x14ac:dyDescent="0.25">
      <c r="A5045" s="227" t="str">
        <f>TL[[#This Row],[Société]]&amp;" - "&amp;TL[[#This Row],[Compte]]</f>
        <v>HTR8 - 77110000</v>
      </c>
      <c r="B5045" s="233" t="s">
        <v>2708</v>
      </c>
      <c r="C5045" s="227" t="s">
        <v>31</v>
      </c>
      <c r="D5045" s="233" t="s">
        <v>30</v>
      </c>
      <c r="E5045" s="233" t="s">
        <v>2982</v>
      </c>
      <c r="F5045" s="227" t="s">
        <v>3001</v>
      </c>
    </row>
    <row r="5046" spans="1:6" x14ac:dyDescent="0.25">
      <c r="A5046" s="227" t="str">
        <f>TL[[#This Row],[Société]]&amp;" - "&amp;TL[[#This Row],[Compte]]</f>
        <v>HTR8 - 77500000</v>
      </c>
      <c r="B5046" s="233" t="s">
        <v>6204</v>
      </c>
      <c r="C5046" s="227" t="s">
        <v>6724</v>
      </c>
      <c r="F5046" s="227" t="s">
        <v>3001</v>
      </c>
    </row>
    <row r="5047" spans="1:6" x14ac:dyDescent="0.25">
      <c r="A5047" s="227" t="str">
        <f>TL[[#This Row],[Société]]&amp;" - "&amp;TL[[#This Row],[Compte]]</f>
        <v>HTR8 - 78111000</v>
      </c>
      <c r="B5047" s="233" t="s">
        <v>3755</v>
      </c>
      <c r="C5047" s="227" t="s">
        <v>628</v>
      </c>
      <c r="F5047" s="227" t="s">
        <v>3001</v>
      </c>
    </row>
    <row r="5048" spans="1:6" x14ac:dyDescent="0.25">
      <c r="A5048" s="227" t="str">
        <f>TL[[#This Row],[Société]]&amp;" - "&amp;TL[[#This Row],[Compte]]</f>
        <v>HTR8 - 78112000</v>
      </c>
      <c r="B5048" s="233" t="s">
        <v>3756</v>
      </c>
      <c r="C5048" s="227" t="s">
        <v>264</v>
      </c>
      <c r="F5048" s="227" t="s">
        <v>3001</v>
      </c>
    </row>
    <row r="5049" spans="1:6" x14ac:dyDescent="0.25">
      <c r="A5049" s="227" t="str">
        <f>TL[[#This Row],[Société]]&amp;" - "&amp;TL[[#This Row],[Compte]]</f>
        <v>HTR8 - 78150000</v>
      </c>
      <c r="B5049" s="233" t="s">
        <v>3757</v>
      </c>
      <c r="C5049" s="227" t="s">
        <v>176</v>
      </c>
      <c r="D5049" s="233" t="s">
        <v>45</v>
      </c>
      <c r="E5049" s="233" t="s">
        <v>48</v>
      </c>
      <c r="F5049" s="227" t="s">
        <v>3001</v>
      </c>
    </row>
    <row r="5050" spans="1:6" x14ac:dyDescent="0.25">
      <c r="A5050" s="227" t="str">
        <f>TL[[#This Row],[Société]]&amp;" - "&amp;TL[[#This Row],[Compte]]</f>
        <v>HTR8 - 78725000</v>
      </c>
      <c r="B5050" s="233" t="s">
        <v>3760</v>
      </c>
      <c r="C5050" s="227" t="s">
        <v>629</v>
      </c>
      <c r="F5050" s="227" t="s">
        <v>3001</v>
      </c>
    </row>
    <row r="5051" spans="1:6" x14ac:dyDescent="0.25">
      <c r="A5051" s="227" t="str">
        <f>TL[[#This Row],[Société]]&amp;" - "&amp;TL[[#This Row],[Compte]]</f>
        <v>HTR8 - 79100000</v>
      </c>
      <c r="B5051" s="233" t="s">
        <v>3761</v>
      </c>
      <c r="C5051" s="227" t="s">
        <v>1449</v>
      </c>
      <c r="D5051" s="233" t="s">
        <v>12</v>
      </c>
      <c r="E5051" s="233" t="s">
        <v>3</v>
      </c>
      <c r="F5051" s="227" t="s">
        <v>3001</v>
      </c>
    </row>
    <row r="5052" spans="1:6" x14ac:dyDescent="0.25">
      <c r="A5052" s="227" t="str">
        <f>TL[[#This Row],[Société]]&amp;" - "&amp;TL[[#This Row],[Compte]]</f>
        <v>HTR8 - 79110000</v>
      </c>
      <c r="B5052" s="233" t="s">
        <v>3762</v>
      </c>
      <c r="C5052" s="227" t="s">
        <v>5603</v>
      </c>
      <c r="F5052" s="227" t="s">
        <v>3001</v>
      </c>
    </row>
    <row r="5053" spans="1:6" x14ac:dyDescent="0.25">
      <c r="A5053" s="227" t="str">
        <f>TL[[#This Row],[Société]]&amp;" - "&amp;TL[[#This Row],[Compte]]</f>
        <v>HTR8 - 79110100</v>
      </c>
      <c r="B5053" s="233" t="s">
        <v>3763</v>
      </c>
      <c r="C5053" s="227" t="s">
        <v>274</v>
      </c>
      <c r="D5053" s="233" t="s">
        <v>12</v>
      </c>
      <c r="E5053" s="233" t="s">
        <v>3</v>
      </c>
      <c r="F5053" s="227" t="s">
        <v>3001</v>
      </c>
    </row>
    <row r="5054" spans="1:6" x14ac:dyDescent="0.25">
      <c r="A5054" s="227" t="str">
        <f>TL[[#This Row],[Société]]&amp;" - "&amp;TL[[#This Row],[Compte]]</f>
        <v>HTR8 - 79110400</v>
      </c>
      <c r="B5054" s="233" t="s">
        <v>3764</v>
      </c>
      <c r="C5054" s="227" t="s">
        <v>6725</v>
      </c>
      <c r="D5054" s="233" t="s">
        <v>13</v>
      </c>
      <c r="E5054" s="233" t="s">
        <v>12</v>
      </c>
      <c r="F5054" s="227" t="s">
        <v>3001</v>
      </c>
    </row>
    <row r="5055" spans="1:6" x14ac:dyDescent="0.25">
      <c r="A5055" s="227" t="str">
        <f>TL[[#This Row],[Société]]&amp;" - "&amp;TL[[#This Row],[Compte]]</f>
        <v>HTR8 - 79110500</v>
      </c>
      <c r="B5055" s="233" t="s">
        <v>3765</v>
      </c>
      <c r="C5055" s="227" t="s">
        <v>224</v>
      </c>
      <c r="D5055" s="233" t="s">
        <v>13</v>
      </c>
      <c r="E5055" s="233" t="s">
        <v>12</v>
      </c>
      <c r="F5055" s="227" t="s">
        <v>3001</v>
      </c>
    </row>
    <row r="5056" spans="1:6" x14ac:dyDescent="0.25">
      <c r="A5056" s="227" t="str">
        <f>TL[[#This Row],[Société]]&amp;" - "&amp;TL[[#This Row],[Compte]]</f>
        <v>HTR8 - 79111000</v>
      </c>
      <c r="B5056" s="233" t="s">
        <v>3766</v>
      </c>
      <c r="C5056" s="227" t="s">
        <v>1295</v>
      </c>
      <c r="D5056" s="233" t="s">
        <v>12</v>
      </c>
      <c r="E5056" s="233" t="s">
        <v>3</v>
      </c>
      <c r="F5056" s="227" t="s">
        <v>3001</v>
      </c>
    </row>
    <row r="5057" spans="1:6" x14ac:dyDescent="0.25">
      <c r="A5057" s="227" t="str">
        <f>TL[[#This Row],[Société]]&amp;" - "&amp;TL[[#This Row],[Compte]]</f>
        <v>HTR8 - 89000000</v>
      </c>
      <c r="B5057" s="233" t="s">
        <v>3772</v>
      </c>
      <c r="C5057" s="227" t="s">
        <v>631</v>
      </c>
      <c r="F5057" s="227" t="s">
        <v>3001</v>
      </c>
    </row>
    <row r="5058" spans="1:6" x14ac:dyDescent="0.25">
      <c r="A5058" s="227" t="str">
        <f>TL[[#This Row],[Société]]&amp;" - "&amp;TL[[#This Row],[Compte]]</f>
        <v>GLR5 - 101300</v>
      </c>
      <c r="B5058" s="233" t="s">
        <v>1638</v>
      </c>
      <c r="C5058" s="227" t="s">
        <v>6726</v>
      </c>
      <c r="F5058" s="227" t="s">
        <v>2999</v>
      </c>
    </row>
    <row r="5059" spans="1:6" x14ac:dyDescent="0.25">
      <c r="A5059" s="227" t="str">
        <f>TL[[#This Row],[Société]]&amp;" - "&amp;TL[[#This Row],[Compte]]</f>
        <v>GLR5 - 106100</v>
      </c>
      <c r="B5059" s="233" t="s">
        <v>1640</v>
      </c>
      <c r="C5059" s="227" t="s">
        <v>1089</v>
      </c>
      <c r="F5059" s="227" t="s">
        <v>2999</v>
      </c>
    </row>
    <row r="5060" spans="1:6" x14ac:dyDescent="0.25">
      <c r="A5060" s="227" t="str">
        <f>TL[[#This Row],[Société]]&amp;" - "&amp;TL[[#This Row],[Compte]]</f>
        <v>GLR5 - 106800</v>
      </c>
      <c r="B5060" s="233" t="s">
        <v>1641</v>
      </c>
      <c r="C5060" s="227" t="s">
        <v>541</v>
      </c>
      <c r="F5060" s="227" t="s">
        <v>2999</v>
      </c>
    </row>
    <row r="5061" spans="1:6" x14ac:dyDescent="0.25">
      <c r="A5061" s="227" t="str">
        <f>TL[[#This Row],[Société]]&amp;" - "&amp;TL[[#This Row],[Compte]]</f>
        <v>GLR5 - 120000</v>
      </c>
      <c r="B5061" s="233" t="s">
        <v>1643</v>
      </c>
      <c r="C5061" s="227" t="s">
        <v>542</v>
      </c>
      <c r="F5061" s="227" t="s">
        <v>2999</v>
      </c>
    </row>
    <row r="5062" spans="1:6" x14ac:dyDescent="0.25">
      <c r="A5062" s="227" t="str">
        <f>TL[[#This Row],[Société]]&amp;" - "&amp;TL[[#This Row],[Compte]]</f>
        <v>GLR5 - 129000</v>
      </c>
      <c r="B5062" s="233" t="s">
        <v>1637</v>
      </c>
      <c r="C5062" s="227" t="s">
        <v>829</v>
      </c>
      <c r="F5062" s="227" t="s">
        <v>2999</v>
      </c>
    </row>
    <row r="5063" spans="1:6" x14ac:dyDescent="0.25">
      <c r="A5063" s="227" t="str">
        <f>TL[[#This Row],[Société]]&amp;" - "&amp;TL[[#This Row],[Compte]]</f>
        <v>GLR5 - 129600</v>
      </c>
      <c r="B5063" s="233" t="s">
        <v>6727</v>
      </c>
      <c r="C5063" s="227" t="s">
        <v>6211</v>
      </c>
      <c r="F5063" s="227" t="s">
        <v>2999</v>
      </c>
    </row>
    <row r="5064" spans="1:6" x14ac:dyDescent="0.25">
      <c r="A5064" s="227" t="str">
        <f>TL[[#This Row],[Société]]&amp;" - "&amp;TL[[#This Row],[Compte]]</f>
        <v>GLR5 - 131700</v>
      </c>
      <c r="B5064" s="233" t="s">
        <v>5619</v>
      </c>
      <c r="C5064" s="227" t="s">
        <v>5620</v>
      </c>
      <c r="F5064" s="227" t="s">
        <v>2999</v>
      </c>
    </row>
    <row r="5065" spans="1:6" x14ac:dyDescent="0.25">
      <c r="A5065" s="227" t="str">
        <f>TL[[#This Row],[Société]]&amp;" - "&amp;TL[[#This Row],[Compte]]</f>
        <v>GLR5 - 139170</v>
      </c>
      <c r="B5065" s="233" t="s">
        <v>5621</v>
      </c>
      <c r="C5065" s="227" t="s">
        <v>5622</v>
      </c>
      <c r="F5065" s="227" t="s">
        <v>2999</v>
      </c>
    </row>
    <row r="5066" spans="1:6" x14ac:dyDescent="0.25">
      <c r="A5066" s="227" t="str">
        <f>TL[[#This Row],[Société]]&amp;" - "&amp;TL[[#This Row],[Compte]]</f>
        <v>GLR5 - 145000</v>
      </c>
      <c r="B5066" s="233" t="s">
        <v>1805</v>
      </c>
      <c r="C5066" s="227" t="s">
        <v>3056</v>
      </c>
      <c r="F5066" s="227" t="s">
        <v>2999</v>
      </c>
    </row>
    <row r="5067" spans="1:6" x14ac:dyDescent="0.25">
      <c r="A5067" s="227" t="str">
        <f>TL[[#This Row],[Société]]&amp;" - "&amp;TL[[#This Row],[Compte]]</f>
        <v>GLR5 - 153000</v>
      </c>
      <c r="B5067" s="233" t="s">
        <v>1644</v>
      </c>
      <c r="C5067" s="227" t="s">
        <v>5625</v>
      </c>
      <c r="F5067" s="227" t="s">
        <v>2999</v>
      </c>
    </row>
    <row r="5068" spans="1:6" x14ac:dyDescent="0.25">
      <c r="A5068" s="227" t="str">
        <f>TL[[#This Row],[Société]]&amp;" - "&amp;TL[[#This Row],[Compte]]</f>
        <v>GLR5 - 158000</v>
      </c>
      <c r="B5068" s="233" t="s">
        <v>1645</v>
      </c>
      <c r="C5068" s="227" t="s">
        <v>547</v>
      </c>
      <c r="F5068" s="227" t="s">
        <v>2999</v>
      </c>
    </row>
    <row r="5069" spans="1:6" x14ac:dyDescent="0.25">
      <c r="A5069" s="227" t="str">
        <f>TL[[#This Row],[Société]]&amp;" - "&amp;TL[[#This Row],[Compte]]</f>
        <v>GLR5 - 164000</v>
      </c>
      <c r="B5069" s="233" t="s">
        <v>3058</v>
      </c>
      <c r="C5069" s="227" t="s">
        <v>6728</v>
      </c>
      <c r="F5069" s="227" t="s">
        <v>2999</v>
      </c>
    </row>
    <row r="5070" spans="1:6" x14ac:dyDescent="0.25">
      <c r="A5070" s="227" t="str">
        <f>TL[[#This Row],[Société]]&amp;" - "&amp;TL[[#This Row],[Compte]]</f>
        <v>GLR5 - 164300</v>
      </c>
      <c r="B5070" s="233" t="s">
        <v>1646</v>
      </c>
      <c r="C5070" s="227" t="s">
        <v>6729</v>
      </c>
      <c r="F5070" s="227" t="s">
        <v>2999</v>
      </c>
    </row>
    <row r="5071" spans="1:6" x14ac:dyDescent="0.25">
      <c r="A5071" s="227" t="str">
        <f>TL[[#This Row],[Société]]&amp;" - "&amp;TL[[#This Row],[Compte]]</f>
        <v>GLR5 - 164400</v>
      </c>
      <c r="B5071" s="233" t="s">
        <v>1647</v>
      </c>
      <c r="C5071" s="227" t="s">
        <v>6730</v>
      </c>
      <c r="F5071" s="227" t="s">
        <v>2999</v>
      </c>
    </row>
    <row r="5072" spans="1:6" x14ac:dyDescent="0.25">
      <c r="A5072" s="227" t="str">
        <f>TL[[#This Row],[Société]]&amp;" - "&amp;TL[[#This Row],[Compte]]</f>
        <v>GLR5 - 164500</v>
      </c>
      <c r="B5072" s="233" t="s">
        <v>1648</v>
      </c>
      <c r="C5072" s="227" t="s">
        <v>6731</v>
      </c>
      <c r="F5072" s="227" t="s">
        <v>2999</v>
      </c>
    </row>
    <row r="5073" spans="1:6" x14ac:dyDescent="0.25">
      <c r="A5073" s="227" t="str">
        <f>TL[[#This Row],[Société]]&amp;" - "&amp;TL[[#This Row],[Compte]]</f>
        <v>GLR5 - 164800</v>
      </c>
      <c r="B5073" s="233" t="s">
        <v>3923</v>
      </c>
      <c r="C5073" s="227" t="s">
        <v>3924</v>
      </c>
      <c r="F5073" s="227" t="s">
        <v>2999</v>
      </c>
    </row>
    <row r="5074" spans="1:6" x14ac:dyDescent="0.25">
      <c r="A5074" s="227" t="str">
        <f>TL[[#This Row],[Société]]&amp;" - "&amp;TL[[#This Row],[Compte]]</f>
        <v>GLR5 - 168840</v>
      </c>
      <c r="B5074" s="233" t="s">
        <v>3065</v>
      </c>
      <c r="C5074" s="227" t="s">
        <v>2137</v>
      </c>
      <c r="F5074" s="227" t="s">
        <v>2999</v>
      </c>
    </row>
    <row r="5075" spans="1:6" x14ac:dyDescent="0.25">
      <c r="A5075" s="227" t="str">
        <f>TL[[#This Row],[Société]]&amp;" - "&amp;TL[[#This Row],[Compte]]</f>
        <v>GLR5 - 205000</v>
      </c>
      <c r="B5075" s="233" t="s">
        <v>1651</v>
      </c>
      <c r="C5075" s="227" t="s">
        <v>5635</v>
      </c>
      <c r="F5075" s="227" t="s">
        <v>2999</v>
      </c>
    </row>
    <row r="5076" spans="1:6" x14ac:dyDescent="0.25">
      <c r="A5076" s="227" t="str">
        <f>TL[[#This Row],[Société]]&amp;" - "&amp;TL[[#This Row],[Compte]]</f>
        <v>GLR5 - 215100</v>
      </c>
      <c r="B5076" s="233" t="s">
        <v>4067</v>
      </c>
      <c r="C5076" s="227" t="s">
        <v>550</v>
      </c>
      <c r="F5076" s="227" t="s">
        <v>2999</v>
      </c>
    </row>
    <row r="5077" spans="1:6" x14ac:dyDescent="0.25">
      <c r="A5077" s="227" t="str">
        <f>TL[[#This Row],[Société]]&amp;" - "&amp;TL[[#This Row],[Compte]]</f>
        <v>GLR5 - 215400</v>
      </c>
      <c r="B5077" s="233" t="s">
        <v>1652</v>
      </c>
      <c r="C5077" s="227" t="s">
        <v>5639</v>
      </c>
      <c r="F5077" s="227" t="s">
        <v>2999</v>
      </c>
    </row>
    <row r="5078" spans="1:6" x14ac:dyDescent="0.25">
      <c r="A5078" s="227" t="str">
        <f>TL[[#This Row],[Société]]&amp;" - "&amp;TL[[#This Row],[Compte]]</f>
        <v>GLR5 - 218100</v>
      </c>
      <c r="B5078" s="233" t="s">
        <v>1654</v>
      </c>
      <c r="C5078" s="227" t="s">
        <v>552</v>
      </c>
      <c r="F5078" s="227" t="s">
        <v>2999</v>
      </c>
    </row>
    <row r="5079" spans="1:6" x14ac:dyDescent="0.25">
      <c r="A5079" s="227" t="str">
        <f>TL[[#This Row],[Société]]&amp;" - "&amp;TL[[#This Row],[Compte]]</f>
        <v>GLR5 - 218200</v>
      </c>
      <c r="B5079" s="233" t="s">
        <v>1812</v>
      </c>
      <c r="C5079" s="227" t="s">
        <v>553</v>
      </c>
      <c r="F5079" s="227" t="s">
        <v>2999</v>
      </c>
    </row>
    <row r="5080" spans="1:6" x14ac:dyDescent="0.25">
      <c r="A5080" s="227" t="str">
        <f>TL[[#This Row],[Société]]&amp;" - "&amp;TL[[#This Row],[Compte]]</f>
        <v>GLR5 - 218300</v>
      </c>
      <c r="B5080" s="233" t="s">
        <v>1655</v>
      </c>
      <c r="C5080" s="227" t="s">
        <v>554</v>
      </c>
      <c r="F5080" s="227" t="s">
        <v>2999</v>
      </c>
    </row>
    <row r="5081" spans="1:6" x14ac:dyDescent="0.25">
      <c r="A5081" s="227" t="str">
        <f>TL[[#This Row],[Société]]&amp;" - "&amp;TL[[#This Row],[Compte]]</f>
        <v>GLR5 - 218400</v>
      </c>
      <c r="B5081" s="233" t="s">
        <v>1656</v>
      </c>
      <c r="C5081" s="227" t="s">
        <v>3070</v>
      </c>
      <c r="F5081" s="227" t="s">
        <v>2999</v>
      </c>
    </row>
    <row r="5082" spans="1:6" x14ac:dyDescent="0.25">
      <c r="A5082" s="227" t="str">
        <f>TL[[#This Row],[Société]]&amp;" - "&amp;TL[[#This Row],[Compte]]</f>
        <v>GLR5 - 231000</v>
      </c>
      <c r="B5082" s="233" t="s">
        <v>1813</v>
      </c>
      <c r="C5082" s="227" t="s">
        <v>5645</v>
      </c>
      <c r="F5082" s="227" t="s">
        <v>2999</v>
      </c>
    </row>
    <row r="5083" spans="1:6" x14ac:dyDescent="0.25">
      <c r="A5083" s="227" t="str">
        <f>TL[[#This Row],[Société]]&amp;" - "&amp;TL[[#This Row],[Compte]]</f>
        <v>GLR5 - 275000</v>
      </c>
      <c r="B5083" s="233" t="s">
        <v>1815</v>
      </c>
      <c r="C5083" s="227" t="s">
        <v>6732</v>
      </c>
      <c r="F5083" s="227" t="s">
        <v>2999</v>
      </c>
    </row>
    <row r="5084" spans="1:6" x14ac:dyDescent="0.25">
      <c r="A5084" s="227" t="str">
        <f>TL[[#This Row],[Société]]&amp;" - "&amp;TL[[#This Row],[Compte]]</f>
        <v>GLR5 - 280500</v>
      </c>
      <c r="B5084" s="233" t="s">
        <v>1657</v>
      </c>
      <c r="C5084" s="227" t="s">
        <v>5649</v>
      </c>
      <c r="F5084" s="227" t="s">
        <v>2999</v>
      </c>
    </row>
    <row r="5085" spans="1:6" x14ac:dyDescent="0.25">
      <c r="A5085" s="227" t="str">
        <f>TL[[#This Row],[Société]]&amp;" - "&amp;TL[[#This Row],[Compte]]</f>
        <v>GLR5 - 281510</v>
      </c>
      <c r="B5085" s="233" t="s">
        <v>5652</v>
      </c>
      <c r="C5085" s="227" t="s">
        <v>5653</v>
      </c>
      <c r="F5085" s="227" t="s">
        <v>2999</v>
      </c>
    </row>
    <row r="5086" spans="1:6" x14ac:dyDescent="0.25">
      <c r="A5086" s="227" t="str">
        <f>TL[[#This Row],[Société]]&amp;" - "&amp;TL[[#This Row],[Compte]]</f>
        <v>GLR5 - 281540</v>
      </c>
      <c r="B5086" s="233" t="s">
        <v>1658</v>
      </c>
      <c r="C5086" s="227" t="s">
        <v>5654</v>
      </c>
      <c r="F5086" s="227" t="s">
        <v>2999</v>
      </c>
    </row>
    <row r="5087" spans="1:6" x14ac:dyDescent="0.25">
      <c r="A5087" s="227" t="str">
        <f>TL[[#This Row],[Société]]&amp;" - "&amp;TL[[#This Row],[Compte]]</f>
        <v>GLR5 - 281810</v>
      </c>
      <c r="B5087" s="233" t="s">
        <v>1660</v>
      </c>
      <c r="C5087" s="227" t="s">
        <v>560</v>
      </c>
      <c r="F5087" s="227" t="s">
        <v>2999</v>
      </c>
    </row>
    <row r="5088" spans="1:6" x14ac:dyDescent="0.25">
      <c r="A5088" s="227" t="str">
        <f>TL[[#This Row],[Société]]&amp;" - "&amp;TL[[#This Row],[Compte]]</f>
        <v>GLR5 - 281830</v>
      </c>
      <c r="B5088" s="233" t="s">
        <v>1661</v>
      </c>
      <c r="C5088" s="227" t="s">
        <v>561</v>
      </c>
      <c r="F5088" s="227" t="s">
        <v>2999</v>
      </c>
    </row>
    <row r="5089" spans="1:6" x14ac:dyDescent="0.25">
      <c r="A5089" s="227" t="str">
        <f>TL[[#This Row],[Société]]&amp;" - "&amp;TL[[#This Row],[Compte]]</f>
        <v>GLR5 - 281840</v>
      </c>
      <c r="B5089" s="233" t="s">
        <v>1662</v>
      </c>
      <c r="C5089" s="227" t="s">
        <v>659</v>
      </c>
      <c r="F5089" s="227" t="s">
        <v>2999</v>
      </c>
    </row>
    <row r="5090" spans="1:6" x14ac:dyDescent="0.25">
      <c r="A5090" s="227" t="str">
        <f>TL[[#This Row],[Société]]&amp;" - "&amp;TL[[#This Row],[Compte]]</f>
        <v>GLR5 - 283100</v>
      </c>
      <c r="B5090" s="233" t="s">
        <v>3075</v>
      </c>
      <c r="C5090" s="227" t="s">
        <v>3056</v>
      </c>
      <c r="F5090" s="227" t="s">
        <v>2999</v>
      </c>
    </row>
    <row r="5091" spans="1:6" x14ac:dyDescent="0.25">
      <c r="A5091" s="227" t="str">
        <f>TL[[#This Row],[Société]]&amp;" - "&amp;TL[[#This Row],[Compte]]</f>
        <v>GLR5 - 310000</v>
      </c>
      <c r="B5091" s="233" t="s">
        <v>1663</v>
      </c>
      <c r="C5091" s="227" t="s">
        <v>1101</v>
      </c>
      <c r="F5091" s="227" t="s">
        <v>2999</v>
      </c>
    </row>
    <row r="5092" spans="1:6" x14ac:dyDescent="0.25">
      <c r="A5092" s="227" t="str">
        <f>TL[[#This Row],[Société]]&amp;" - "&amp;TL[[#This Row],[Compte]]</f>
        <v>GLR5 - 320000</v>
      </c>
      <c r="B5092" s="233" t="s">
        <v>1664</v>
      </c>
      <c r="C5092" s="227" t="s">
        <v>5661</v>
      </c>
      <c r="F5092" s="227" t="s">
        <v>2999</v>
      </c>
    </row>
    <row r="5093" spans="1:6" x14ac:dyDescent="0.25">
      <c r="A5093" s="227" t="str">
        <f>TL[[#This Row],[Société]]&amp;" - "&amp;TL[[#This Row],[Compte]]</f>
        <v>GLR5 - 321000</v>
      </c>
      <c r="B5093" s="233" t="s">
        <v>1665</v>
      </c>
      <c r="C5093" s="227" t="s">
        <v>5662</v>
      </c>
      <c r="F5093" s="227" t="s">
        <v>2999</v>
      </c>
    </row>
    <row r="5094" spans="1:6" x14ac:dyDescent="0.25">
      <c r="A5094" s="227" t="str">
        <f>TL[[#This Row],[Société]]&amp;" - "&amp;TL[[#This Row],[Compte]]</f>
        <v>GLR5 - 401000</v>
      </c>
      <c r="B5094" s="233" t="s">
        <v>1581</v>
      </c>
      <c r="C5094" s="227" t="s">
        <v>564</v>
      </c>
      <c r="F5094" s="227" t="s">
        <v>2999</v>
      </c>
    </row>
    <row r="5095" spans="1:6" x14ac:dyDescent="0.25">
      <c r="A5095" s="227" t="str">
        <f>TL[[#This Row],[Société]]&amp;" - "&amp;TL[[#This Row],[Compte]]</f>
        <v>GLR5 - 401104</v>
      </c>
      <c r="B5095" s="233" t="s">
        <v>6733</v>
      </c>
      <c r="C5095" s="227" t="s">
        <v>6734</v>
      </c>
      <c r="F5095" s="227" t="s">
        <v>2999</v>
      </c>
    </row>
    <row r="5096" spans="1:6" x14ac:dyDescent="0.25">
      <c r="A5096" s="227" t="str">
        <f>TL[[#This Row],[Société]]&amp;" - "&amp;TL[[#This Row],[Compte]]</f>
        <v>GLR5 - 401120</v>
      </c>
      <c r="B5096" s="233" t="s">
        <v>5667</v>
      </c>
      <c r="C5096" s="227" t="s">
        <v>564</v>
      </c>
      <c r="F5096" s="227" t="s">
        <v>2999</v>
      </c>
    </row>
    <row r="5097" spans="1:6" x14ac:dyDescent="0.25">
      <c r="A5097" s="227" t="str">
        <f>TL[[#This Row],[Société]]&amp;" - "&amp;TL[[#This Row],[Compte]]</f>
        <v>GLR5 - 401999</v>
      </c>
      <c r="B5097" s="233" t="s">
        <v>5669</v>
      </c>
      <c r="C5097" s="227" t="s">
        <v>663</v>
      </c>
      <c r="F5097" s="227" t="s">
        <v>2999</v>
      </c>
    </row>
    <row r="5098" spans="1:6" x14ac:dyDescent="0.25">
      <c r="A5098" s="227" t="str">
        <f>TL[[#This Row],[Société]]&amp;" - "&amp;TL[[#This Row],[Compte]]</f>
        <v>GLR5 - 404000</v>
      </c>
      <c r="B5098" s="233" t="s">
        <v>5670</v>
      </c>
      <c r="C5098" s="227" t="s">
        <v>5671</v>
      </c>
      <c r="F5098" s="227" t="s">
        <v>2999</v>
      </c>
    </row>
    <row r="5099" spans="1:6" x14ac:dyDescent="0.25">
      <c r="A5099" s="227" t="str">
        <f>TL[[#This Row],[Société]]&amp;" - "&amp;TL[[#This Row],[Compte]]</f>
        <v>GLR5 - 408100</v>
      </c>
      <c r="B5099" s="233" t="s">
        <v>1666</v>
      </c>
      <c r="C5099" s="227" t="s">
        <v>537</v>
      </c>
      <c r="F5099" s="227" t="s">
        <v>2999</v>
      </c>
    </row>
    <row r="5100" spans="1:6" x14ac:dyDescent="0.25">
      <c r="A5100" s="227" t="str">
        <f>TL[[#This Row],[Société]]&amp;" - "&amp;TL[[#This Row],[Compte]]</f>
        <v>GLR5 - 408400</v>
      </c>
      <c r="B5100" s="233" t="s">
        <v>3082</v>
      </c>
      <c r="C5100" s="227" t="s">
        <v>976</v>
      </c>
      <c r="F5100" s="227" t="s">
        <v>2999</v>
      </c>
    </row>
    <row r="5101" spans="1:6" x14ac:dyDescent="0.25">
      <c r="A5101" s="227" t="str">
        <f>TL[[#This Row],[Société]]&amp;" - "&amp;TL[[#This Row],[Compte]]</f>
        <v>GLR5 - 409100</v>
      </c>
      <c r="B5101" s="233" t="s">
        <v>1667</v>
      </c>
      <c r="C5101" s="227" t="s">
        <v>5672</v>
      </c>
      <c r="F5101" s="227" t="s">
        <v>2999</v>
      </c>
    </row>
    <row r="5102" spans="1:6" x14ac:dyDescent="0.25">
      <c r="A5102" s="227" t="str">
        <f>TL[[#This Row],[Société]]&amp;" - "&amp;TL[[#This Row],[Compte]]</f>
        <v>GLR5 - 409600</v>
      </c>
      <c r="B5102" s="233" t="s">
        <v>1632</v>
      </c>
      <c r="C5102" s="227" t="s">
        <v>5673</v>
      </c>
      <c r="F5102" s="227" t="s">
        <v>2999</v>
      </c>
    </row>
    <row r="5103" spans="1:6" x14ac:dyDescent="0.25">
      <c r="A5103" s="227" t="str">
        <f>TL[[#This Row],[Société]]&amp;" - "&amp;TL[[#This Row],[Compte]]</f>
        <v>GLR5 - 409700</v>
      </c>
      <c r="B5103" s="233" t="s">
        <v>1825</v>
      </c>
      <c r="C5103" s="227" t="s">
        <v>5675</v>
      </c>
      <c r="F5103" s="227" t="s">
        <v>2999</v>
      </c>
    </row>
    <row r="5104" spans="1:6" x14ac:dyDescent="0.25">
      <c r="A5104" s="227" t="str">
        <f>TL[[#This Row],[Société]]&amp;" - "&amp;TL[[#This Row],[Compte]]</f>
        <v>GLR5 - 409800</v>
      </c>
      <c r="B5104" s="233" t="s">
        <v>1668</v>
      </c>
      <c r="C5104" s="227" t="s">
        <v>567</v>
      </c>
      <c r="F5104" s="227" t="s">
        <v>2999</v>
      </c>
    </row>
    <row r="5105" spans="1:6" x14ac:dyDescent="0.25">
      <c r="A5105" s="227" t="str">
        <f>TL[[#This Row],[Société]]&amp;" - "&amp;TL[[#This Row],[Compte]]</f>
        <v>GLR5 - 411001</v>
      </c>
      <c r="B5105" s="233" t="s">
        <v>1826</v>
      </c>
      <c r="C5105" s="227" t="s">
        <v>6735</v>
      </c>
      <c r="F5105" s="227" t="s">
        <v>2999</v>
      </c>
    </row>
    <row r="5106" spans="1:6" x14ac:dyDescent="0.25">
      <c r="A5106" s="227" t="str">
        <f>TL[[#This Row],[Société]]&amp;" - "&amp;TL[[#This Row],[Compte]]</f>
        <v>GLR5 - 411444</v>
      </c>
      <c r="B5106" s="233" t="s">
        <v>5691</v>
      </c>
      <c r="C5106" s="227" t="s">
        <v>568</v>
      </c>
      <c r="F5106" s="227" t="s">
        <v>2999</v>
      </c>
    </row>
    <row r="5107" spans="1:6" x14ac:dyDescent="0.25">
      <c r="A5107" s="227" t="str">
        <f>TL[[#This Row],[Société]]&amp;" - "&amp;TL[[#This Row],[Compte]]</f>
        <v>GLR5 - 411445</v>
      </c>
      <c r="B5107" s="233" t="s">
        <v>6736</v>
      </c>
      <c r="C5107" s="227" t="s">
        <v>1307</v>
      </c>
      <c r="F5107" s="227" t="s">
        <v>2999</v>
      </c>
    </row>
    <row r="5108" spans="1:6" x14ac:dyDescent="0.25">
      <c r="A5108" s="227" t="str">
        <f>TL[[#This Row],[Société]]&amp;" - "&amp;TL[[#This Row],[Compte]]</f>
        <v>GLR5 - 416100</v>
      </c>
      <c r="B5108" s="233" t="s">
        <v>5692</v>
      </c>
      <c r="C5108" s="227" t="s">
        <v>5693</v>
      </c>
      <c r="F5108" s="227" t="s">
        <v>2999</v>
      </c>
    </row>
    <row r="5109" spans="1:6" x14ac:dyDescent="0.25">
      <c r="A5109" s="227" t="str">
        <f>TL[[#This Row],[Société]]&amp;" - "&amp;TL[[#This Row],[Compte]]</f>
        <v>GLR5 - 418100</v>
      </c>
      <c r="B5109" s="233" t="s">
        <v>1669</v>
      </c>
      <c r="C5109" s="227" t="s">
        <v>5694</v>
      </c>
      <c r="F5109" s="227" t="s">
        <v>2999</v>
      </c>
    </row>
    <row r="5110" spans="1:6" x14ac:dyDescent="0.25">
      <c r="A5110" s="227" t="str">
        <f>TL[[#This Row],[Société]]&amp;" - "&amp;TL[[#This Row],[Compte]]</f>
        <v>GLR5 - 419100</v>
      </c>
      <c r="B5110" s="233" t="s">
        <v>1830</v>
      </c>
      <c r="C5110" s="227" t="s">
        <v>671</v>
      </c>
      <c r="F5110" s="227" t="s">
        <v>2999</v>
      </c>
    </row>
    <row r="5111" spans="1:6" x14ac:dyDescent="0.25">
      <c r="A5111" s="227" t="str">
        <f>TL[[#This Row],[Société]]&amp;" - "&amp;TL[[#This Row],[Compte]]</f>
        <v>GLR5 - 419800</v>
      </c>
      <c r="B5111" s="233" t="s">
        <v>1831</v>
      </c>
      <c r="C5111" s="227" t="s">
        <v>1529</v>
      </c>
      <c r="F5111" s="227" t="s">
        <v>2999</v>
      </c>
    </row>
    <row r="5112" spans="1:6" x14ac:dyDescent="0.25">
      <c r="A5112" s="227" t="str">
        <f>TL[[#This Row],[Société]]&amp;" - "&amp;TL[[#This Row],[Compte]]</f>
        <v>GLR5 - 421000</v>
      </c>
      <c r="B5112" s="233" t="s">
        <v>1670</v>
      </c>
      <c r="C5112" s="227" t="s">
        <v>6737</v>
      </c>
      <c r="F5112" s="227" t="s">
        <v>2999</v>
      </c>
    </row>
    <row r="5113" spans="1:6" x14ac:dyDescent="0.25">
      <c r="A5113" s="227" t="str">
        <f>TL[[#This Row],[Société]]&amp;" - "&amp;TL[[#This Row],[Compte]]</f>
        <v>GLR5 - 421010</v>
      </c>
      <c r="B5113" s="233" t="s">
        <v>1671</v>
      </c>
      <c r="C5113" s="227" t="s">
        <v>6738</v>
      </c>
      <c r="F5113" s="227" t="s">
        <v>2999</v>
      </c>
    </row>
    <row r="5114" spans="1:6" x14ac:dyDescent="0.25">
      <c r="A5114" s="227" t="str">
        <f>TL[[#This Row],[Société]]&amp;" - "&amp;TL[[#This Row],[Compte]]</f>
        <v>GLR5 - 421100</v>
      </c>
      <c r="B5114" s="233" t="s">
        <v>3092</v>
      </c>
      <c r="C5114" s="227" t="s">
        <v>6739</v>
      </c>
      <c r="F5114" s="227" t="s">
        <v>2999</v>
      </c>
    </row>
    <row r="5115" spans="1:6" x14ac:dyDescent="0.25">
      <c r="A5115" s="227" t="str">
        <f>TL[[#This Row],[Société]]&amp;" - "&amp;TL[[#This Row],[Compte]]</f>
        <v>GLR5 - 421444</v>
      </c>
      <c r="B5115" s="233" t="s">
        <v>1832</v>
      </c>
      <c r="C5115" s="227" t="s">
        <v>570</v>
      </c>
      <c r="F5115" s="227" t="s">
        <v>2999</v>
      </c>
    </row>
    <row r="5116" spans="1:6" x14ac:dyDescent="0.25">
      <c r="A5116" s="227" t="str">
        <f>TL[[#This Row],[Société]]&amp;" - "&amp;TL[[#This Row],[Compte]]</f>
        <v>GLR5 - 425000</v>
      </c>
      <c r="B5116" s="233" t="s">
        <v>1672</v>
      </c>
      <c r="C5116" s="227" t="s">
        <v>571</v>
      </c>
      <c r="F5116" s="227" t="s">
        <v>2999</v>
      </c>
    </row>
    <row r="5117" spans="1:6" x14ac:dyDescent="0.25">
      <c r="A5117" s="227" t="str">
        <f>TL[[#This Row],[Société]]&amp;" - "&amp;TL[[#This Row],[Compte]]</f>
        <v>GLR5 - 427000</v>
      </c>
      <c r="B5117" s="233" t="s">
        <v>1710</v>
      </c>
      <c r="C5117" s="227" t="s">
        <v>4451</v>
      </c>
      <c r="F5117" s="227" t="s">
        <v>2999</v>
      </c>
    </row>
    <row r="5118" spans="1:6" x14ac:dyDescent="0.25">
      <c r="A5118" s="227" t="str">
        <f>TL[[#This Row],[Société]]&amp;" - "&amp;TL[[#This Row],[Compte]]</f>
        <v>GLR5 - 428220</v>
      </c>
      <c r="B5118" s="233" t="s">
        <v>3094</v>
      </c>
      <c r="C5118" s="227" t="s">
        <v>5723</v>
      </c>
      <c r="F5118" s="227" t="s">
        <v>2999</v>
      </c>
    </row>
    <row r="5119" spans="1:6" x14ac:dyDescent="0.25">
      <c r="A5119" s="227" t="str">
        <f>TL[[#This Row],[Société]]&amp;" - "&amp;TL[[#This Row],[Compte]]</f>
        <v>GLR5 - 428230</v>
      </c>
      <c r="B5119" s="233" t="s">
        <v>3096</v>
      </c>
      <c r="C5119" s="227" t="s">
        <v>2209</v>
      </c>
      <c r="F5119" s="227" t="s">
        <v>2999</v>
      </c>
    </row>
    <row r="5120" spans="1:6" x14ac:dyDescent="0.25">
      <c r="A5120" s="227" t="str">
        <f>TL[[#This Row],[Société]]&amp;" - "&amp;TL[[#This Row],[Compte]]</f>
        <v>GLR5 - 428600</v>
      </c>
      <c r="B5120" s="233" t="s">
        <v>1834</v>
      </c>
      <c r="C5120" s="227" t="s">
        <v>6740</v>
      </c>
      <c r="F5120" s="227" t="s">
        <v>2999</v>
      </c>
    </row>
    <row r="5121" spans="1:6" x14ac:dyDescent="0.25">
      <c r="A5121" s="227" t="str">
        <f>TL[[#This Row],[Société]]&amp;" - "&amp;TL[[#This Row],[Compte]]</f>
        <v>GLR5 - 431000</v>
      </c>
      <c r="B5121" s="233" t="s">
        <v>1674</v>
      </c>
      <c r="C5121" s="227" t="s">
        <v>6741</v>
      </c>
      <c r="F5121" s="227" t="s">
        <v>2999</v>
      </c>
    </row>
    <row r="5122" spans="1:6" x14ac:dyDescent="0.25">
      <c r="A5122" s="227" t="str">
        <f>TL[[#This Row],[Société]]&amp;" - "&amp;TL[[#This Row],[Compte]]</f>
        <v>GLR5 - 437000</v>
      </c>
      <c r="B5122" s="233" t="s">
        <v>1835</v>
      </c>
      <c r="C5122" s="227" t="s">
        <v>5725</v>
      </c>
      <c r="F5122" s="227" t="s">
        <v>2999</v>
      </c>
    </row>
    <row r="5123" spans="1:6" x14ac:dyDescent="0.25">
      <c r="A5123" s="227" t="str">
        <f>TL[[#This Row],[Société]]&amp;" - "&amp;TL[[#This Row],[Compte]]</f>
        <v>GLR5 - 437010</v>
      </c>
      <c r="B5123" s="233" t="s">
        <v>1675</v>
      </c>
      <c r="C5123" s="227" t="s">
        <v>5726</v>
      </c>
      <c r="F5123" s="227" t="s">
        <v>2999</v>
      </c>
    </row>
    <row r="5124" spans="1:6" x14ac:dyDescent="0.25">
      <c r="A5124" s="227" t="str">
        <f>TL[[#This Row],[Société]]&amp;" - "&amp;TL[[#This Row],[Compte]]</f>
        <v>GLR5 - 437020</v>
      </c>
      <c r="B5124" s="233" t="s">
        <v>1676</v>
      </c>
      <c r="C5124" s="227" t="s">
        <v>6742</v>
      </c>
      <c r="F5124" s="227" t="s">
        <v>2999</v>
      </c>
    </row>
    <row r="5125" spans="1:6" x14ac:dyDescent="0.25">
      <c r="A5125" s="227" t="str">
        <f>TL[[#This Row],[Société]]&amp;" - "&amp;TL[[#This Row],[Compte]]</f>
        <v>GLR5 - 437030</v>
      </c>
      <c r="B5125" s="233" t="s">
        <v>1839</v>
      </c>
      <c r="C5125" s="227" t="s">
        <v>1076</v>
      </c>
      <c r="F5125" s="227" t="s">
        <v>2999</v>
      </c>
    </row>
    <row r="5126" spans="1:6" x14ac:dyDescent="0.25">
      <c r="A5126" s="227" t="str">
        <f>TL[[#This Row],[Société]]&amp;" - "&amp;TL[[#This Row],[Compte]]</f>
        <v>GLR5 - 437070</v>
      </c>
      <c r="B5126" s="233" t="s">
        <v>5727</v>
      </c>
      <c r="C5126" s="227" t="s">
        <v>1461</v>
      </c>
      <c r="F5126" s="227" t="s">
        <v>2999</v>
      </c>
    </row>
    <row r="5127" spans="1:6" x14ac:dyDescent="0.25">
      <c r="A5127" s="227" t="str">
        <f>TL[[#This Row],[Société]]&amp;" - "&amp;TL[[#This Row],[Compte]]</f>
        <v>GLR5 - 437080</v>
      </c>
      <c r="B5127" s="233" t="s">
        <v>3106</v>
      </c>
      <c r="C5127" s="227" t="s">
        <v>1358</v>
      </c>
      <c r="F5127" s="227" t="s">
        <v>2999</v>
      </c>
    </row>
    <row r="5128" spans="1:6" x14ac:dyDescent="0.25">
      <c r="A5128" s="227" t="str">
        <f>TL[[#This Row],[Société]]&amp;" - "&amp;TL[[#This Row],[Compte]]</f>
        <v>GLR5 - 437090</v>
      </c>
      <c r="B5128" s="233" t="s">
        <v>3108</v>
      </c>
      <c r="C5128" s="227" t="s">
        <v>5728</v>
      </c>
      <c r="F5128" s="227" t="s">
        <v>2999</v>
      </c>
    </row>
    <row r="5129" spans="1:6" x14ac:dyDescent="0.25">
      <c r="A5129" s="227" t="str">
        <f>TL[[#This Row],[Société]]&amp;" - "&amp;TL[[#This Row],[Compte]]</f>
        <v>GLR5 - 437091</v>
      </c>
      <c r="B5129" s="233" t="s">
        <v>3110</v>
      </c>
      <c r="C5129" s="227" t="s">
        <v>5729</v>
      </c>
      <c r="F5129" s="227" t="s">
        <v>2999</v>
      </c>
    </row>
    <row r="5130" spans="1:6" x14ac:dyDescent="0.25">
      <c r="A5130" s="227" t="str">
        <f>TL[[#This Row],[Société]]&amp;" - "&amp;TL[[#This Row],[Compte]]</f>
        <v>GLR5 - 437092</v>
      </c>
      <c r="B5130" s="233" t="s">
        <v>6743</v>
      </c>
      <c r="C5130" s="227" t="s">
        <v>6744</v>
      </c>
      <c r="F5130" s="227" t="s">
        <v>2999</v>
      </c>
    </row>
    <row r="5131" spans="1:6" x14ac:dyDescent="0.25">
      <c r="A5131" s="227" t="str">
        <f>TL[[#This Row],[Société]]&amp;" - "&amp;TL[[#This Row],[Compte]]</f>
        <v>GLR5 - 437800</v>
      </c>
      <c r="B5131" s="233" t="s">
        <v>4489</v>
      </c>
      <c r="C5131" s="227" t="s">
        <v>676</v>
      </c>
      <c r="F5131" s="227" t="s">
        <v>2999</v>
      </c>
    </row>
    <row r="5132" spans="1:6" x14ac:dyDescent="0.25">
      <c r="A5132" s="227" t="str">
        <f>TL[[#This Row],[Société]]&amp;" - "&amp;TL[[#This Row],[Compte]]</f>
        <v>GLR5 - 438000</v>
      </c>
      <c r="B5132" s="233" t="s">
        <v>2122</v>
      </c>
      <c r="C5132" s="227" t="s">
        <v>6745</v>
      </c>
      <c r="F5132" s="227" t="s">
        <v>2999</v>
      </c>
    </row>
    <row r="5133" spans="1:6" x14ac:dyDescent="0.25">
      <c r="A5133" s="227" t="str">
        <f>TL[[#This Row],[Société]]&amp;" - "&amp;TL[[#This Row],[Compte]]</f>
        <v>GLR5 - 438220</v>
      </c>
      <c r="B5133" s="233" t="s">
        <v>5736</v>
      </c>
      <c r="C5133" s="227" t="s">
        <v>2210</v>
      </c>
      <c r="F5133" s="227" t="s">
        <v>2999</v>
      </c>
    </row>
    <row r="5134" spans="1:6" x14ac:dyDescent="0.25">
      <c r="A5134" s="227" t="str">
        <f>TL[[#This Row],[Société]]&amp;" - "&amp;TL[[#This Row],[Compte]]</f>
        <v>GLR5 - 438230</v>
      </c>
      <c r="B5134" s="233" t="s">
        <v>5737</v>
      </c>
      <c r="C5134" s="227" t="s">
        <v>5738</v>
      </c>
      <c r="F5134" s="227" t="s">
        <v>2999</v>
      </c>
    </row>
    <row r="5135" spans="1:6" x14ac:dyDescent="0.25">
      <c r="A5135" s="227" t="str">
        <f>TL[[#This Row],[Société]]&amp;" - "&amp;TL[[#This Row],[Compte]]</f>
        <v>GLR5 - 438600</v>
      </c>
      <c r="B5135" s="233" t="s">
        <v>1678</v>
      </c>
      <c r="C5135" s="227" t="s">
        <v>6427</v>
      </c>
      <c r="F5135" s="227" t="s">
        <v>2999</v>
      </c>
    </row>
    <row r="5136" spans="1:6" x14ac:dyDescent="0.25">
      <c r="A5136" s="227" t="str">
        <f>TL[[#This Row],[Société]]&amp;" - "&amp;TL[[#This Row],[Compte]]</f>
        <v>GLR5 - 438700</v>
      </c>
      <c r="B5136" s="233" t="s">
        <v>1679</v>
      </c>
      <c r="C5136" s="227" t="s">
        <v>5741</v>
      </c>
      <c r="F5136" s="227" t="s">
        <v>2999</v>
      </c>
    </row>
    <row r="5137" spans="1:6" x14ac:dyDescent="0.25">
      <c r="A5137" s="227" t="str">
        <f>TL[[#This Row],[Société]]&amp;" - "&amp;TL[[#This Row],[Compte]]</f>
        <v>GLR5 - 442100</v>
      </c>
      <c r="B5137" s="233" t="s">
        <v>1841</v>
      </c>
      <c r="C5137" s="227" t="s">
        <v>6746</v>
      </c>
      <c r="F5137" s="227" t="s">
        <v>2999</v>
      </c>
    </row>
    <row r="5138" spans="1:6" x14ac:dyDescent="0.25">
      <c r="A5138" s="227" t="str">
        <f>TL[[#This Row],[Société]]&amp;" - "&amp;TL[[#This Row],[Compte]]</f>
        <v>GLR5 - 442500</v>
      </c>
      <c r="B5138" s="233" t="s">
        <v>4517</v>
      </c>
      <c r="C5138" s="227" t="s">
        <v>5743</v>
      </c>
      <c r="F5138" s="227" t="s">
        <v>2999</v>
      </c>
    </row>
    <row r="5139" spans="1:6" x14ac:dyDescent="0.25">
      <c r="A5139" s="227" t="str">
        <f>TL[[#This Row],[Société]]&amp;" - "&amp;TL[[#This Row],[Compte]]</f>
        <v>GLR5 - 442510</v>
      </c>
      <c r="B5139" s="233" t="s">
        <v>5744</v>
      </c>
      <c r="C5139" s="227" t="s">
        <v>5745</v>
      </c>
      <c r="F5139" s="227" t="s">
        <v>2999</v>
      </c>
    </row>
    <row r="5140" spans="1:6" x14ac:dyDescent="0.25">
      <c r="A5140" s="227" t="str">
        <f>TL[[#This Row],[Société]]&amp;" - "&amp;TL[[#This Row],[Compte]]</f>
        <v>GLR5 - 442520</v>
      </c>
      <c r="B5140" s="233" t="s">
        <v>5746</v>
      </c>
      <c r="C5140" s="227" t="s">
        <v>5747</v>
      </c>
      <c r="F5140" s="227" t="s">
        <v>2999</v>
      </c>
    </row>
    <row r="5141" spans="1:6" x14ac:dyDescent="0.25">
      <c r="A5141" s="227" t="str">
        <f>TL[[#This Row],[Société]]&amp;" - "&amp;TL[[#This Row],[Compte]]</f>
        <v>GLR5 - 444000</v>
      </c>
      <c r="B5141" s="233" t="s">
        <v>1682</v>
      </c>
      <c r="C5141" s="227" t="s">
        <v>157</v>
      </c>
      <c r="F5141" s="227" t="s">
        <v>2999</v>
      </c>
    </row>
    <row r="5142" spans="1:6" x14ac:dyDescent="0.25">
      <c r="A5142" s="227" t="str">
        <f>TL[[#This Row],[Société]]&amp;" - "&amp;TL[[#This Row],[Compte]]</f>
        <v>GLR5 - 445200</v>
      </c>
      <c r="B5142" s="233" t="s">
        <v>1842</v>
      </c>
      <c r="C5142" s="227" t="s">
        <v>580</v>
      </c>
      <c r="F5142" s="227" t="s">
        <v>2999</v>
      </c>
    </row>
    <row r="5143" spans="1:6" x14ac:dyDescent="0.25">
      <c r="A5143" s="227" t="str">
        <f>TL[[#This Row],[Société]]&amp;" - "&amp;TL[[#This Row],[Compte]]</f>
        <v>GLR5 - 445500</v>
      </c>
      <c r="B5143" s="233" t="s">
        <v>4530</v>
      </c>
      <c r="C5143" s="227" t="s">
        <v>534</v>
      </c>
      <c r="F5143" s="227" t="s">
        <v>2999</v>
      </c>
    </row>
    <row r="5144" spans="1:6" x14ac:dyDescent="0.25">
      <c r="A5144" s="227" t="str">
        <f>TL[[#This Row],[Société]]&amp;" - "&amp;TL[[#This Row],[Compte]]</f>
        <v>GLR5 - 445620</v>
      </c>
      <c r="B5144" s="233" t="s">
        <v>1843</v>
      </c>
      <c r="C5144" s="227" t="s">
        <v>3127</v>
      </c>
      <c r="F5144" s="227" t="s">
        <v>2999</v>
      </c>
    </row>
    <row r="5145" spans="1:6" x14ac:dyDescent="0.25">
      <c r="A5145" s="227" t="str">
        <f>TL[[#This Row],[Société]]&amp;" - "&amp;TL[[#This Row],[Compte]]</f>
        <v>GLR5 - 445621</v>
      </c>
      <c r="B5145" s="233" t="s">
        <v>1844</v>
      </c>
      <c r="C5145" s="227" t="s">
        <v>5749</v>
      </c>
      <c r="F5145" s="227" t="s">
        <v>2999</v>
      </c>
    </row>
    <row r="5146" spans="1:6" x14ac:dyDescent="0.25">
      <c r="A5146" s="227" t="str">
        <f>TL[[#This Row],[Société]]&amp;" - "&amp;TL[[#This Row],[Compte]]</f>
        <v>GLR5 - 445660</v>
      </c>
      <c r="B5146" s="233" t="s">
        <v>1580</v>
      </c>
      <c r="C5146" s="227" t="s">
        <v>6747</v>
      </c>
      <c r="F5146" s="227" t="s">
        <v>2999</v>
      </c>
    </row>
    <row r="5147" spans="1:6" x14ac:dyDescent="0.25">
      <c r="A5147" s="227" t="str">
        <f>TL[[#This Row],[Société]]&amp;" - "&amp;TL[[#This Row],[Compte]]</f>
        <v>GLR5 - 445661</v>
      </c>
      <c r="B5147" s="233" t="s">
        <v>1584</v>
      </c>
      <c r="C5147" s="227" t="s">
        <v>5750</v>
      </c>
      <c r="F5147" s="227" t="s">
        <v>2999</v>
      </c>
    </row>
    <row r="5148" spans="1:6" x14ac:dyDescent="0.25">
      <c r="A5148" s="227" t="str">
        <f>TL[[#This Row],[Société]]&amp;" - "&amp;TL[[#This Row],[Compte]]</f>
        <v>GLR5 - 445662</v>
      </c>
      <c r="B5148" s="233" t="s">
        <v>1845</v>
      </c>
      <c r="C5148" s="227" t="s">
        <v>582</v>
      </c>
      <c r="F5148" s="227" t="s">
        <v>2999</v>
      </c>
    </row>
    <row r="5149" spans="1:6" x14ac:dyDescent="0.25">
      <c r="A5149" s="227" t="str">
        <f>TL[[#This Row],[Société]]&amp;" - "&amp;TL[[#This Row],[Compte]]</f>
        <v>GLR5 - 445670</v>
      </c>
      <c r="B5149" s="233" t="s">
        <v>1846</v>
      </c>
      <c r="C5149" s="227" t="s">
        <v>3131</v>
      </c>
      <c r="F5149" s="227" t="s">
        <v>2999</v>
      </c>
    </row>
    <row r="5150" spans="1:6" x14ac:dyDescent="0.25">
      <c r="A5150" s="227" t="str">
        <f>TL[[#This Row],[Société]]&amp;" - "&amp;TL[[#This Row],[Compte]]</f>
        <v>GLR5 - 445710</v>
      </c>
      <c r="B5150" s="233" t="s">
        <v>1742</v>
      </c>
      <c r="C5150" s="227" t="s">
        <v>6748</v>
      </c>
      <c r="F5150" s="227" t="s">
        <v>2999</v>
      </c>
    </row>
    <row r="5151" spans="1:6" x14ac:dyDescent="0.25">
      <c r="A5151" s="227" t="str">
        <f>TL[[#This Row],[Société]]&amp;" - "&amp;TL[[#This Row],[Compte]]</f>
        <v>GLR5 - 445714</v>
      </c>
      <c r="B5151" s="233" t="s">
        <v>1849</v>
      </c>
      <c r="C5151" s="227" t="s">
        <v>6749</v>
      </c>
      <c r="F5151" s="227" t="s">
        <v>2999</v>
      </c>
    </row>
    <row r="5152" spans="1:6" x14ac:dyDescent="0.25">
      <c r="A5152" s="227" t="str">
        <f>TL[[#This Row],[Société]]&amp;" - "&amp;TL[[#This Row],[Compte]]</f>
        <v>GLR5 - 445715</v>
      </c>
      <c r="B5152" s="233" t="s">
        <v>1850</v>
      </c>
      <c r="C5152" s="227" t="s">
        <v>6749</v>
      </c>
      <c r="F5152" s="227" t="s">
        <v>2999</v>
      </c>
    </row>
    <row r="5153" spans="1:6" x14ac:dyDescent="0.25">
      <c r="A5153" s="227" t="str">
        <f>TL[[#This Row],[Société]]&amp;" - "&amp;TL[[#This Row],[Compte]]</f>
        <v>GLR5 - 445716</v>
      </c>
      <c r="B5153" s="233" t="s">
        <v>1684</v>
      </c>
      <c r="C5153" s="227" t="s">
        <v>1118</v>
      </c>
      <c r="F5153" s="227" t="s">
        <v>2999</v>
      </c>
    </row>
    <row r="5154" spans="1:6" x14ac:dyDescent="0.25">
      <c r="A5154" s="227" t="str">
        <f>TL[[#This Row],[Société]]&amp;" - "&amp;TL[[#This Row],[Compte]]</f>
        <v>GLR5 - 445717</v>
      </c>
      <c r="B5154" s="233" t="s">
        <v>1734</v>
      </c>
      <c r="C5154" s="227" t="s">
        <v>585</v>
      </c>
      <c r="F5154" s="227" t="s">
        <v>2999</v>
      </c>
    </row>
    <row r="5155" spans="1:6" x14ac:dyDescent="0.25">
      <c r="A5155" s="227" t="str">
        <f>TL[[#This Row],[Société]]&amp;" - "&amp;TL[[#This Row],[Compte]]</f>
        <v>GLR5 - 445720</v>
      </c>
      <c r="B5155" s="233" t="s">
        <v>1685</v>
      </c>
      <c r="C5155" s="227" t="s">
        <v>5756</v>
      </c>
      <c r="F5155" s="227" t="s">
        <v>2999</v>
      </c>
    </row>
    <row r="5156" spans="1:6" x14ac:dyDescent="0.25">
      <c r="A5156" s="227" t="str">
        <f>TL[[#This Row],[Société]]&amp;" - "&amp;TL[[#This Row],[Compte]]</f>
        <v>GLR5 - 445730</v>
      </c>
      <c r="B5156" s="233" t="s">
        <v>5757</v>
      </c>
      <c r="C5156" s="227" t="s">
        <v>5758</v>
      </c>
      <c r="F5156" s="227" t="s">
        <v>2999</v>
      </c>
    </row>
    <row r="5157" spans="1:6" x14ac:dyDescent="0.25">
      <c r="A5157" s="227" t="str">
        <f>TL[[#This Row],[Société]]&amp;" - "&amp;TL[[#This Row],[Compte]]</f>
        <v>GLR5 - 445750</v>
      </c>
      <c r="B5157" s="233" t="s">
        <v>3134</v>
      </c>
      <c r="C5157" s="227" t="s">
        <v>5759</v>
      </c>
      <c r="F5157" s="227" t="s">
        <v>2999</v>
      </c>
    </row>
    <row r="5158" spans="1:6" x14ac:dyDescent="0.25">
      <c r="A5158" s="227" t="str">
        <f>TL[[#This Row],[Société]]&amp;" - "&amp;TL[[#This Row],[Compte]]</f>
        <v>GLR5 - 445760</v>
      </c>
      <c r="B5158" s="233" t="s">
        <v>5760</v>
      </c>
      <c r="C5158" s="227" t="s">
        <v>5761</v>
      </c>
      <c r="F5158" s="227" t="s">
        <v>2999</v>
      </c>
    </row>
    <row r="5159" spans="1:6" x14ac:dyDescent="0.25">
      <c r="A5159" s="227" t="str">
        <f>TL[[#This Row],[Société]]&amp;" - "&amp;TL[[#This Row],[Compte]]</f>
        <v>GLR5 - 445770</v>
      </c>
      <c r="B5159" s="233" t="s">
        <v>5762</v>
      </c>
      <c r="C5159" s="227" t="s">
        <v>5763</v>
      </c>
      <c r="F5159" s="227" t="s">
        <v>2999</v>
      </c>
    </row>
    <row r="5160" spans="1:6" x14ac:dyDescent="0.25">
      <c r="A5160" s="227" t="str">
        <f>TL[[#This Row],[Société]]&amp;" - "&amp;TL[[#This Row],[Compte]]</f>
        <v>GLR5 - 445830</v>
      </c>
      <c r="B5160" s="233" t="s">
        <v>1851</v>
      </c>
      <c r="C5160" s="227" t="s">
        <v>1001</v>
      </c>
      <c r="F5160" s="227" t="s">
        <v>2999</v>
      </c>
    </row>
    <row r="5161" spans="1:6" x14ac:dyDescent="0.25">
      <c r="A5161" s="227" t="str">
        <f>TL[[#This Row],[Société]]&amp;" - "&amp;TL[[#This Row],[Compte]]</f>
        <v>GLR5 - 445860</v>
      </c>
      <c r="B5161" s="233" t="s">
        <v>1686</v>
      </c>
      <c r="C5161" s="227" t="s">
        <v>867</v>
      </c>
      <c r="F5161" s="227" t="s">
        <v>2999</v>
      </c>
    </row>
    <row r="5162" spans="1:6" x14ac:dyDescent="0.25">
      <c r="A5162" s="227" t="str">
        <f>TL[[#This Row],[Société]]&amp;" - "&amp;TL[[#This Row],[Compte]]</f>
        <v>GLR5 - 445861</v>
      </c>
      <c r="B5162" s="233" t="s">
        <v>3137</v>
      </c>
      <c r="C5162" s="227" t="s">
        <v>5765</v>
      </c>
      <c r="F5162" s="227" t="s">
        <v>2999</v>
      </c>
    </row>
    <row r="5163" spans="1:6" x14ac:dyDescent="0.25">
      <c r="A5163" s="227" t="str">
        <f>TL[[#This Row],[Société]]&amp;" - "&amp;TL[[#This Row],[Compte]]</f>
        <v>GLR5 - 445862</v>
      </c>
      <c r="B5163" s="233" t="s">
        <v>5766</v>
      </c>
      <c r="C5163" s="227" t="s">
        <v>5767</v>
      </c>
      <c r="F5163" s="227" t="s">
        <v>2999</v>
      </c>
    </row>
    <row r="5164" spans="1:6" x14ac:dyDescent="0.25">
      <c r="A5164" s="227" t="str">
        <f>TL[[#This Row],[Société]]&amp;" - "&amp;TL[[#This Row],[Compte]]</f>
        <v>GLR5 - 445870</v>
      </c>
      <c r="B5164" s="233" t="s">
        <v>1688</v>
      </c>
      <c r="C5164" s="227" t="s">
        <v>5770</v>
      </c>
      <c r="F5164" s="227" t="s">
        <v>2999</v>
      </c>
    </row>
    <row r="5165" spans="1:6" x14ac:dyDescent="0.25">
      <c r="A5165" s="227" t="str">
        <f>TL[[#This Row],[Société]]&amp;" - "&amp;TL[[#This Row],[Compte]]</f>
        <v>GLR5 - 445871</v>
      </c>
      <c r="B5165" s="233" t="s">
        <v>1852</v>
      </c>
      <c r="C5165" s="227" t="s">
        <v>6750</v>
      </c>
      <c r="F5165" s="227" t="s">
        <v>2999</v>
      </c>
    </row>
    <row r="5166" spans="1:6" x14ac:dyDescent="0.25">
      <c r="A5166" s="227" t="str">
        <f>TL[[#This Row],[Société]]&amp;" - "&amp;TL[[#This Row],[Compte]]</f>
        <v>GLR5 - 448600</v>
      </c>
      <c r="B5166" s="233" t="s">
        <v>1689</v>
      </c>
      <c r="C5166" s="227" t="s">
        <v>587</v>
      </c>
      <c r="F5166" s="227" t="s">
        <v>2999</v>
      </c>
    </row>
    <row r="5167" spans="1:6" x14ac:dyDescent="0.25">
      <c r="A5167" s="227" t="str">
        <f>TL[[#This Row],[Société]]&amp;" - "&amp;TL[[#This Row],[Compte]]</f>
        <v>GLR5 - 448700</v>
      </c>
      <c r="B5167" s="233" t="s">
        <v>1853</v>
      </c>
      <c r="C5167" s="227" t="s">
        <v>869</v>
      </c>
      <c r="F5167" s="227" t="s">
        <v>2999</v>
      </c>
    </row>
    <row r="5168" spans="1:6" x14ac:dyDescent="0.25">
      <c r="A5168" s="227" t="str">
        <f>TL[[#This Row],[Société]]&amp;" - "&amp;TL[[#This Row],[Compte]]</f>
        <v>GLR5 - 455000</v>
      </c>
      <c r="B5168" s="233" t="s">
        <v>1854</v>
      </c>
      <c r="C5168" s="227" t="s">
        <v>6751</v>
      </c>
      <c r="F5168" s="227" t="s">
        <v>2999</v>
      </c>
    </row>
    <row r="5169" spans="1:6" x14ac:dyDescent="0.25">
      <c r="A5169" s="227" t="str">
        <f>TL[[#This Row],[Société]]&amp;" - "&amp;TL[[#This Row],[Compte]]</f>
        <v>GLR5 - 455100</v>
      </c>
      <c r="B5169" s="233" t="s">
        <v>1690</v>
      </c>
      <c r="C5169" s="227" t="s">
        <v>6752</v>
      </c>
      <c r="F5169" s="227" t="s">
        <v>2999</v>
      </c>
    </row>
    <row r="5170" spans="1:6" x14ac:dyDescent="0.25">
      <c r="A5170" s="227" t="str">
        <f>TL[[#This Row],[Société]]&amp;" - "&amp;TL[[#This Row],[Compte]]</f>
        <v>GLR5 - 457000</v>
      </c>
      <c r="B5170" s="233" t="s">
        <v>1856</v>
      </c>
      <c r="C5170" s="227" t="s">
        <v>4613</v>
      </c>
      <c r="F5170" s="227" t="s">
        <v>2999</v>
      </c>
    </row>
    <row r="5171" spans="1:6" x14ac:dyDescent="0.25">
      <c r="A5171" s="227" t="str">
        <f>TL[[#This Row],[Société]]&amp;" - "&amp;TL[[#This Row],[Compte]]</f>
        <v>GLR5 - 467000</v>
      </c>
      <c r="B5171" s="233" t="s">
        <v>1857</v>
      </c>
      <c r="C5171" s="227" t="s">
        <v>1132</v>
      </c>
      <c r="F5171" s="227" t="s">
        <v>2999</v>
      </c>
    </row>
    <row r="5172" spans="1:6" x14ac:dyDescent="0.25">
      <c r="A5172" s="227" t="str">
        <f>TL[[#This Row],[Société]]&amp;" - "&amp;TL[[#This Row],[Compte]]</f>
        <v>GLR5 - 467100</v>
      </c>
      <c r="B5172" s="233" t="s">
        <v>1858</v>
      </c>
      <c r="C5172" s="227" t="s">
        <v>6753</v>
      </c>
      <c r="F5172" s="227" t="s">
        <v>2999</v>
      </c>
    </row>
    <row r="5173" spans="1:6" x14ac:dyDescent="0.25">
      <c r="A5173" s="227" t="str">
        <f>TL[[#This Row],[Société]]&amp;" - "&amp;TL[[#This Row],[Compte]]</f>
        <v>GLR5 - 467200</v>
      </c>
      <c r="B5173" s="233" t="s">
        <v>1692</v>
      </c>
      <c r="C5173" s="227" t="s">
        <v>707</v>
      </c>
      <c r="F5173" s="227" t="s">
        <v>2999</v>
      </c>
    </row>
    <row r="5174" spans="1:6" x14ac:dyDescent="0.25">
      <c r="A5174" s="227" t="str">
        <f>TL[[#This Row],[Société]]&amp;" - "&amp;TL[[#This Row],[Compte]]</f>
        <v>GLR5 - 467220</v>
      </c>
      <c r="B5174" s="233" t="s">
        <v>1741</v>
      </c>
      <c r="C5174" s="227" t="s">
        <v>2167</v>
      </c>
      <c r="F5174" s="227" t="s">
        <v>2999</v>
      </c>
    </row>
    <row r="5175" spans="1:6" x14ac:dyDescent="0.25">
      <c r="A5175" s="227" t="str">
        <f>TL[[#This Row],[Société]]&amp;" - "&amp;TL[[#This Row],[Compte]]</f>
        <v>GLR5 - 467230</v>
      </c>
      <c r="B5175" s="233" t="s">
        <v>1740</v>
      </c>
      <c r="C5175" s="227" t="s">
        <v>1080</v>
      </c>
      <c r="F5175" s="227" t="s">
        <v>2999</v>
      </c>
    </row>
    <row r="5176" spans="1:6" x14ac:dyDescent="0.25">
      <c r="A5176" s="227" t="str">
        <f>TL[[#This Row],[Société]]&amp;" - "&amp;TL[[#This Row],[Compte]]</f>
        <v>GLR5 - 467240</v>
      </c>
      <c r="B5176" s="233" t="s">
        <v>1723</v>
      </c>
      <c r="C5176" s="227" t="s">
        <v>1083</v>
      </c>
      <c r="F5176" s="227" t="s">
        <v>2999</v>
      </c>
    </row>
    <row r="5177" spans="1:6" x14ac:dyDescent="0.25">
      <c r="A5177" s="227" t="str">
        <f>TL[[#This Row],[Société]]&amp;" - "&amp;TL[[#This Row],[Compte]]</f>
        <v>GLR5 - 467250</v>
      </c>
      <c r="B5177" s="233" t="s">
        <v>1859</v>
      </c>
      <c r="C5177" s="227" t="s">
        <v>1081</v>
      </c>
      <c r="F5177" s="227" t="s">
        <v>2999</v>
      </c>
    </row>
    <row r="5178" spans="1:6" x14ac:dyDescent="0.25">
      <c r="A5178" s="227" t="str">
        <f>TL[[#This Row],[Société]]&amp;" - "&amp;TL[[#This Row],[Compte]]</f>
        <v>GLR5 - 467260</v>
      </c>
      <c r="B5178" s="233" t="s">
        <v>1860</v>
      </c>
      <c r="C5178" s="227" t="s">
        <v>5785</v>
      </c>
      <c r="F5178" s="227" t="s">
        <v>2999</v>
      </c>
    </row>
    <row r="5179" spans="1:6" x14ac:dyDescent="0.25">
      <c r="A5179" s="227" t="str">
        <f>TL[[#This Row],[Société]]&amp;" - "&amp;TL[[#This Row],[Compte]]</f>
        <v>GLR5 - 467270</v>
      </c>
      <c r="B5179" s="233" t="s">
        <v>1739</v>
      </c>
      <c r="C5179" s="227" t="s">
        <v>5786</v>
      </c>
      <c r="F5179" s="227" t="s">
        <v>2999</v>
      </c>
    </row>
    <row r="5180" spans="1:6" x14ac:dyDescent="0.25">
      <c r="A5180" s="227" t="str">
        <f>TL[[#This Row],[Société]]&amp;" - "&amp;TL[[#This Row],[Compte]]</f>
        <v>GLR5 - 467280</v>
      </c>
      <c r="B5180" s="233" t="s">
        <v>3151</v>
      </c>
      <c r="C5180" s="227" t="s">
        <v>6584</v>
      </c>
      <c r="F5180" s="227" t="s">
        <v>2999</v>
      </c>
    </row>
    <row r="5181" spans="1:6" x14ac:dyDescent="0.25">
      <c r="A5181" s="227" t="str">
        <f>TL[[#This Row],[Société]]&amp;" - "&amp;TL[[#This Row],[Compte]]</f>
        <v>GLR5 - 467300</v>
      </c>
      <c r="B5181" s="233" t="s">
        <v>1861</v>
      </c>
      <c r="C5181" s="227" t="s">
        <v>6754</v>
      </c>
      <c r="F5181" s="227" t="s">
        <v>2999</v>
      </c>
    </row>
    <row r="5182" spans="1:6" x14ac:dyDescent="0.25">
      <c r="A5182" s="227" t="str">
        <f>TL[[#This Row],[Société]]&amp;" - "&amp;TL[[#This Row],[Compte]]</f>
        <v>GLR5 - 467400</v>
      </c>
      <c r="B5182" s="233" t="s">
        <v>1863</v>
      </c>
      <c r="C5182" s="227" t="s">
        <v>6755</v>
      </c>
      <c r="F5182" s="227" t="s">
        <v>2999</v>
      </c>
    </row>
    <row r="5183" spans="1:6" x14ac:dyDescent="0.25">
      <c r="A5183" s="227" t="str">
        <f>TL[[#This Row],[Société]]&amp;" - "&amp;TL[[#This Row],[Compte]]</f>
        <v>GLR5 - 467440</v>
      </c>
      <c r="B5183" s="233" t="s">
        <v>6756</v>
      </c>
      <c r="C5183" s="227" t="s">
        <v>526</v>
      </c>
      <c r="F5183" s="227" t="s">
        <v>2999</v>
      </c>
    </row>
    <row r="5184" spans="1:6" x14ac:dyDescent="0.25">
      <c r="A5184" s="227" t="str">
        <f>TL[[#This Row],[Société]]&amp;" - "&amp;TL[[#This Row],[Compte]]</f>
        <v>GLR5 - 467444</v>
      </c>
      <c r="B5184" s="233" t="s">
        <v>1865</v>
      </c>
      <c r="C5184" s="227" t="s">
        <v>590</v>
      </c>
      <c r="F5184" s="227" t="s">
        <v>2999</v>
      </c>
    </row>
    <row r="5185" spans="1:6" x14ac:dyDescent="0.25">
      <c r="A5185" s="227" t="str">
        <f>TL[[#This Row],[Société]]&amp;" - "&amp;TL[[#This Row],[Compte]]</f>
        <v>GLR5 - 467445</v>
      </c>
      <c r="B5185" s="233" t="s">
        <v>6757</v>
      </c>
      <c r="C5185" s="227" t="s">
        <v>6758</v>
      </c>
      <c r="F5185" s="227" t="s">
        <v>2999</v>
      </c>
    </row>
    <row r="5186" spans="1:6" x14ac:dyDescent="0.25">
      <c r="A5186" s="227" t="str">
        <f>TL[[#This Row],[Société]]&amp;" - "&amp;TL[[#This Row],[Compte]]</f>
        <v>GLR5 - 467446</v>
      </c>
      <c r="B5186" s="233" t="s">
        <v>6759</v>
      </c>
      <c r="C5186" s="227" t="s">
        <v>1433</v>
      </c>
      <c r="F5186" s="227" t="s">
        <v>2999</v>
      </c>
    </row>
    <row r="5187" spans="1:6" x14ac:dyDescent="0.25">
      <c r="A5187" s="227" t="str">
        <f>TL[[#This Row],[Société]]&amp;" - "&amp;TL[[#This Row],[Compte]]</f>
        <v>GLR5 - 467450</v>
      </c>
      <c r="B5187" s="233" t="s">
        <v>6760</v>
      </c>
      <c r="C5187" s="227" t="s">
        <v>526</v>
      </c>
      <c r="F5187" s="227" t="s">
        <v>2999</v>
      </c>
    </row>
    <row r="5188" spans="1:6" x14ac:dyDescent="0.25">
      <c r="A5188" s="227" t="str">
        <f>TL[[#This Row],[Société]]&amp;" - "&amp;TL[[#This Row],[Compte]]</f>
        <v>GLR5 - 467470</v>
      </c>
      <c r="B5188" s="233" t="s">
        <v>6761</v>
      </c>
      <c r="C5188" s="227" t="s">
        <v>6762</v>
      </c>
      <c r="F5188" s="227" t="s">
        <v>2999</v>
      </c>
    </row>
    <row r="5189" spans="1:6" x14ac:dyDescent="0.25">
      <c r="A5189" s="227" t="str">
        <f>TL[[#This Row],[Société]]&amp;" - "&amp;TL[[#This Row],[Compte]]</f>
        <v>GLR5 - 467500</v>
      </c>
      <c r="B5189" s="233" t="s">
        <v>1866</v>
      </c>
      <c r="C5189" s="227" t="s">
        <v>6763</v>
      </c>
      <c r="F5189" s="227" t="s">
        <v>2999</v>
      </c>
    </row>
    <row r="5190" spans="1:6" x14ac:dyDescent="0.25">
      <c r="A5190" s="227" t="str">
        <f>TL[[#This Row],[Société]]&amp;" - "&amp;TL[[#This Row],[Compte]]</f>
        <v>GLR5 - 467555</v>
      </c>
      <c r="B5190" s="233" t="s">
        <v>1867</v>
      </c>
      <c r="C5190" s="227" t="s">
        <v>591</v>
      </c>
      <c r="F5190" s="227" t="s">
        <v>2999</v>
      </c>
    </row>
    <row r="5191" spans="1:6" x14ac:dyDescent="0.25">
      <c r="A5191" s="227" t="str">
        <f>TL[[#This Row],[Société]]&amp;" - "&amp;TL[[#This Row],[Compte]]</f>
        <v>GLR5 - 467666</v>
      </c>
      <c r="B5191" s="233" t="s">
        <v>1868</v>
      </c>
      <c r="C5191" s="227" t="s">
        <v>593</v>
      </c>
      <c r="F5191" s="227" t="s">
        <v>2999</v>
      </c>
    </row>
    <row r="5192" spans="1:6" x14ac:dyDescent="0.25">
      <c r="A5192" s="227" t="str">
        <f>TL[[#This Row],[Société]]&amp;" - "&amp;TL[[#This Row],[Compte]]</f>
        <v>GLR5 - 468700</v>
      </c>
      <c r="B5192" s="233" t="s">
        <v>1693</v>
      </c>
      <c r="C5192" s="227" t="s">
        <v>1137</v>
      </c>
      <c r="F5192" s="227" t="s">
        <v>2999</v>
      </c>
    </row>
    <row r="5193" spans="1:6" x14ac:dyDescent="0.25">
      <c r="A5193" s="227" t="str">
        <f>TL[[#This Row],[Société]]&amp;" - "&amp;TL[[#This Row],[Compte]]</f>
        <v>GLR5 - 471000</v>
      </c>
      <c r="B5193" s="233" t="s">
        <v>1722</v>
      </c>
      <c r="C5193" s="227" t="s">
        <v>6764</v>
      </c>
      <c r="F5193" s="227" t="s">
        <v>2999</v>
      </c>
    </row>
    <row r="5194" spans="1:6" x14ac:dyDescent="0.25">
      <c r="A5194" s="227" t="str">
        <f>TL[[#This Row],[Société]]&amp;" - "&amp;TL[[#This Row],[Compte]]</f>
        <v>GLR5 - 471100</v>
      </c>
      <c r="B5194" s="233" t="s">
        <v>6765</v>
      </c>
      <c r="C5194" s="227" t="s">
        <v>4633</v>
      </c>
      <c r="F5194" s="227" t="s">
        <v>2999</v>
      </c>
    </row>
    <row r="5195" spans="1:6" x14ac:dyDescent="0.25">
      <c r="A5195" s="227" t="str">
        <f>TL[[#This Row],[Société]]&amp;" - "&amp;TL[[#This Row],[Compte]]</f>
        <v>GLR5 - 472000</v>
      </c>
      <c r="B5195" s="233" t="s">
        <v>1870</v>
      </c>
      <c r="C5195" s="227" t="s">
        <v>4633</v>
      </c>
      <c r="F5195" s="227" t="s">
        <v>2999</v>
      </c>
    </row>
    <row r="5196" spans="1:6" x14ac:dyDescent="0.25">
      <c r="A5196" s="227" t="str">
        <f>TL[[#This Row],[Société]]&amp;" - "&amp;TL[[#This Row],[Compte]]</f>
        <v>GLR5 - 486000</v>
      </c>
      <c r="B5196" s="233" t="s">
        <v>1694</v>
      </c>
      <c r="C5196" s="227" t="s">
        <v>711</v>
      </c>
      <c r="F5196" s="227" t="s">
        <v>2999</v>
      </c>
    </row>
    <row r="5197" spans="1:6" x14ac:dyDescent="0.25">
      <c r="A5197" s="227" t="str">
        <f>TL[[#This Row],[Société]]&amp;" - "&amp;TL[[#This Row],[Compte]]</f>
        <v>GLR5 - 487000</v>
      </c>
      <c r="B5197" s="233" t="s">
        <v>1871</v>
      </c>
      <c r="C5197" s="227" t="s">
        <v>595</v>
      </c>
      <c r="F5197" s="227" t="s">
        <v>2999</v>
      </c>
    </row>
    <row r="5198" spans="1:6" x14ac:dyDescent="0.25">
      <c r="A5198" s="227" t="str">
        <f>TL[[#This Row],[Société]]&amp;" - "&amp;TL[[#This Row],[Compte]]</f>
        <v>GLR5 - 500000</v>
      </c>
      <c r="B5198" s="233" t="s">
        <v>6766</v>
      </c>
      <c r="C5198" s="227" t="s">
        <v>6211</v>
      </c>
      <c r="F5198" s="227" t="s">
        <v>2999</v>
      </c>
    </row>
    <row r="5199" spans="1:6" x14ac:dyDescent="0.25">
      <c r="A5199" s="227" t="str">
        <f>TL[[#This Row],[Société]]&amp;" - "&amp;TL[[#This Row],[Compte]]</f>
        <v>GLR5 - 508000</v>
      </c>
      <c r="B5199" s="233" t="s">
        <v>1873</v>
      </c>
      <c r="C5199" s="227" t="s">
        <v>5806</v>
      </c>
      <c r="F5199" s="227" t="s">
        <v>2999</v>
      </c>
    </row>
    <row r="5200" spans="1:6" x14ac:dyDescent="0.25">
      <c r="A5200" s="227" t="str">
        <f>TL[[#This Row],[Société]]&amp;" - "&amp;TL[[#This Row],[Compte]]</f>
        <v>GLR5 - 511200</v>
      </c>
      <c r="B5200" s="233" t="s">
        <v>3162</v>
      </c>
      <c r="C5200" s="227" t="s">
        <v>638</v>
      </c>
      <c r="F5200" s="227" t="s">
        <v>2999</v>
      </c>
    </row>
    <row r="5201" spans="1:6" x14ac:dyDescent="0.25">
      <c r="A5201" s="227" t="str">
        <f>TL[[#This Row],[Société]]&amp;" - "&amp;TL[[#This Row],[Compte]]</f>
        <v>GLR5 - 511210</v>
      </c>
      <c r="B5201" s="233" t="s">
        <v>1876</v>
      </c>
      <c r="C5201" s="227" t="s">
        <v>6767</v>
      </c>
      <c r="F5201" s="227" t="s">
        <v>2999</v>
      </c>
    </row>
    <row r="5202" spans="1:6" x14ac:dyDescent="0.25">
      <c r="A5202" s="227" t="str">
        <f>TL[[#This Row],[Société]]&amp;" - "&amp;TL[[#This Row],[Compte]]</f>
        <v>GLR5 - 511211</v>
      </c>
      <c r="B5202" s="233" t="s">
        <v>1877</v>
      </c>
      <c r="C5202" s="227" t="s">
        <v>6768</v>
      </c>
      <c r="F5202" s="227" t="s">
        <v>2999</v>
      </c>
    </row>
    <row r="5203" spans="1:6" x14ac:dyDescent="0.25">
      <c r="A5203" s="227" t="str">
        <f>TL[[#This Row],[Société]]&amp;" - "&amp;TL[[#This Row],[Compte]]</f>
        <v>GLR5 - 511221</v>
      </c>
      <c r="B5203" s="233" t="s">
        <v>1695</v>
      </c>
      <c r="C5203" s="227" t="s">
        <v>6769</v>
      </c>
      <c r="F5203" s="227" t="s">
        <v>2999</v>
      </c>
    </row>
    <row r="5204" spans="1:6" x14ac:dyDescent="0.25">
      <c r="A5204" s="227" t="str">
        <f>TL[[#This Row],[Société]]&amp;" - "&amp;TL[[#This Row],[Compte]]</f>
        <v>GLR5 - 511230</v>
      </c>
      <c r="B5204" s="233" t="s">
        <v>1879</v>
      </c>
      <c r="C5204" s="227" t="s">
        <v>879</v>
      </c>
      <c r="F5204" s="227" t="s">
        <v>2999</v>
      </c>
    </row>
    <row r="5205" spans="1:6" x14ac:dyDescent="0.25">
      <c r="A5205" s="227" t="str">
        <f>TL[[#This Row],[Société]]&amp;" - "&amp;TL[[#This Row],[Compte]]</f>
        <v>GLR5 - 511231</v>
      </c>
      <c r="B5205" s="233" t="s">
        <v>1696</v>
      </c>
      <c r="C5205" s="227" t="s">
        <v>5839</v>
      </c>
      <c r="F5205" s="227" t="s">
        <v>2999</v>
      </c>
    </row>
    <row r="5206" spans="1:6" x14ac:dyDescent="0.25">
      <c r="A5206" s="227" t="str">
        <f>TL[[#This Row],[Société]]&amp;" - "&amp;TL[[#This Row],[Compte]]</f>
        <v>GLR5 - 511250</v>
      </c>
      <c r="B5206" s="233" t="s">
        <v>1881</v>
      </c>
      <c r="C5206" s="227" t="s">
        <v>825</v>
      </c>
      <c r="F5206" s="227" t="s">
        <v>2999</v>
      </c>
    </row>
    <row r="5207" spans="1:6" x14ac:dyDescent="0.25">
      <c r="A5207" s="227" t="str">
        <f>TL[[#This Row],[Société]]&amp;" - "&amp;TL[[#This Row],[Compte]]</f>
        <v>GLR5 - 511251</v>
      </c>
      <c r="B5207" s="233" t="s">
        <v>1697</v>
      </c>
      <c r="C5207" s="227" t="s">
        <v>6769</v>
      </c>
      <c r="F5207" s="227" t="s">
        <v>2999</v>
      </c>
    </row>
    <row r="5208" spans="1:6" x14ac:dyDescent="0.25">
      <c r="A5208" s="227" t="str">
        <f>TL[[#This Row],[Société]]&amp;" - "&amp;TL[[#This Row],[Compte]]</f>
        <v>GLR5 - 511252</v>
      </c>
      <c r="B5208" s="233" t="s">
        <v>1882</v>
      </c>
      <c r="C5208" s="227" t="s">
        <v>6770</v>
      </c>
      <c r="F5208" s="227" t="s">
        <v>2999</v>
      </c>
    </row>
    <row r="5209" spans="1:6" x14ac:dyDescent="0.25">
      <c r="A5209" s="227" t="str">
        <f>TL[[#This Row],[Société]]&amp;" - "&amp;TL[[#This Row],[Compte]]</f>
        <v>GLR5 - 511253</v>
      </c>
      <c r="B5209" s="233" t="s">
        <v>3166</v>
      </c>
      <c r="C5209" s="227" t="s">
        <v>6589</v>
      </c>
      <c r="F5209" s="227" t="s">
        <v>2999</v>
      </c>
    </row>
    <row r="5210" spans="1:6" x14ac:dyDescent="0.25">
      <c r="A5210" s="227" t="str">
        <f>TL[[#This Row],[Société]]&amp;" - "&amp;TL[[#This Row],[Compte]]</f>
        <v>GLR5 - 511260</v>
      </c>
      <c r="B5210" s="233" t="s">
        <v>1883</v>
      </c>
      <c r="C5210" s="227" t="s">
        <v>718</v>
      </c>
      <c r="F5210" s="227" t="s">
        <v>2999</v>
      </c>
    </row>
    <row r="5211" spans="1:6" x14ac:dyDescent="0.25">
      <c r="A5211" s="227" t="str">
        <f>TL[[#This Row],[Société]]&amp;" - "&amp;TL[[#This Row],[Compte]]</f>
        <v>GLR5 - 511261</v>
      </c>
      <c r="B5211" s="233" t="s">
        <v>1698</v>
      </c>
      <c r="C5211" s="227" t="s">
        <v>6771</v>
      </c>
      <c r="F5211" s="227" t="s">
        <v>2999</v>
      </c>
    </row>
    <row r="5212" spans="1:6" x14ac:dyDescent="0.25">
      <c r="A5212" s="227" t="str">
        <f>TL[[#This Row],[Société]]&amp;" - "&amp;TL[[#This Row],[Compte]]</f>
        <v>GLR5 - 511701</v>
      </c>
      <c r="B5212" s="233" t="s">
        <v>1700</v>
      </c>
      <c r="C5212" s="227" t="s">
        <v>6772</v>
      </c>
      <c r="F5212" s="227" t="s">
        <v>2999</v>
      </c>
    </row>
    <row r="5213" spans="1:6" x14ac:dyDescent="0.25">
      <c r="A5213" s="227" t="str">
        <f>TL[[#This Row],[Société]]&amp;" - "&amp;TL[[#This Row],[Compte]]</f>
        <v>GLR5 - 511702</v>
      </c>
      <c r="B5213" s="233" t="s">
        <v>3171</v>
      </c>
      <c r="C5213" s="227" t="s">
        <v>3172</v>
      </c>
      <c r="F5213" s="227" t="s">
        <v>2999</v>
      </c>
    </row>
    <row r="5214" spans="1:6" x14ac:dyDescent="0.25">
      <c r="A5214" s="227" t="str">
        <f>TL[[#This Row],[Société]]&amp;" - "&amp;TL[[#This Row],[Compte]]</f>
        <v>GLR5 - 511703</v>
      </c>
      <c r="B5214" s="233" t="s">
        <v>3173</v>
      </c>
      <c r="C5214" s="227" t="s">
        <v>3174</v>
      </c>
      <c r="F5214" s="227" t="s">
        <v>2999</v>
      </c>
    </row>
    <row r="5215" spans="1:6" x14ac:dyDescent="0.25">
      <c r="A5215" s="227" t="str">
        <f>TL[[#This Row],[Société]]&amp;" - "&amp;TL[[#This Row],[Compte]]</f>
        <v>GLR5 - 512100</v>
      </c>
      <c r="B5215" s="233" t="s">
        <v>1886</v>
      </c>
      <c r="C5215" s="227" t="s">
        <v>635</v>
      </c>
      <c r="F5215" s="227" t="s">
        <v>2999</v>
      </c>
    </row>
    <row r="5216" spans="1:6" x14ac:dyDescent="0.25">
      <c r="A5216" s="227" t="str">
        <f>TL[[#This Row],[Société]]&amp;" - "&amp;TL[[#This Row],[Compte]]</f>
        <v>GLR5 - 512210</v>
      </c>
      <c r="B5216" s="233" t="s">
        <v>3175</v>
      </c>
      <c r="C5216" s="227" t="s">
        <v>6773</v>
      </c>
      <c r="F5216" s="227" t="s">
        <v>2999</v>
      </c>
    </row>
    <row r="5217" spans="1:6" x14ac:dyDescent="0.25">
      <c r="A5217" s="227" t="str">
        <f>TL[[#This Row],[Société]]&amp;" - "&amp;TL[[#This Row],[Compte]]</f>
        <v>GLR5 - 512300</v>
      </c>
      <c r="B5217" s="233" t="s">
        <v>1701</v>
      </c>
      <c r="C5217" s="227" t="s">
        <v>6774</v>
      </c>
      <c r="F5217" s="227" t="s">
        <v>2999</v>
      </c>
    </row>
    <row r="5218" spans="1:6" x14ac:dyDescent="0.25">
      <c r="A5218" s="227" t="str">
        <f>TL[[#This Row],[Société]]&amp;" - "&amp;TL[[#This Row],[Compte]]</f>
        <v>GLR5 - 512400</v>
      </c>
      <c r="B5218" s="233" t="s">
        <v>1702</v>
      </c>
      <c r="C5218" s="227" t="s">
        <v>6775</v>
      </c>
      <c r="F5218" s="227" t="s">
        <v>2999</v>
      </c>
    </row>
    <row r="5219" spans="1:6" x14ac:dyDescent="0.25">
      <c r="A5219" s="227" t="str">
        <f>TL[[#This Row],[Société]]&amp;" - "&amp;TL[[#This Row],[Compte]]</f>
        <v>GLR5 - 512500</v>
      </c>
      <c r="B5219" s="233" t="s">
        <v>6776</v>
      </c>
      <c r="C5219" s="227" t="s">
        <v>3372</v>
      </c>
      <c r="F5219" s="227" t="s">
        <v>2999</v>
      </c>
    </row>
    <row r="5220" spans="1:6" x14ac:dyDescent="0.25">
      <c r="A5220" s="227" t="str">
        <f>TL[[#This Row],[Société]]&amp;" - "&amp;TL[[#This Row],[Compte]]</f>
        <v>GLR5 - 512600</v>
      </c>
      <c r="B5220" s="233" t="s">
        <v>3177</v>
      </c>
      <c r="C5220" s="227" t="s">
        <v>3178</v>
      </c>
      <c r="F5220" s="227" t="s">
        <v>2999</v>
      </c>
    </row>
    <row r="5221" spans="1:6" x14ac:dyDescent="0.25">
      <c r="A5221" s="227" t="str">
        <f>TL[[#This Row],[Société]]&amp;" - "&amp;TL[[#This Row],[Compte]]</f>
        <v>GLR5 - 512700</v>
      </c>
      <c r="B5221" s="233" t="s">
        <v>3179</v>
      </c>
      <c r="C5221" s="227" t="s">
        <v>3180</v>
      </c>
      <c r="F5221" s="227" t="s">
        <v>2999</v>
      </c>
    </row>
    <row r="5222" spans="1:6" x14ac:dyDescent="0.25">
      <c r="A5222" s="227" t="str">
        <f>TL[[#This Row],[Société]]&amp;" - "&amp;TL[[#This Row],[Compte]]</f>
        <v>GLR5 - 512800</v>
      </c>
      <c r="B5222" s="233" t="s">
        <v>3181</v>
      </c>
      <c r="C5222" s="227" t="s">
        <v>601</v>
      </c>
      <c r="F5222" s="227" t="s">
        <v>2999</v>
      </c>
    </row>
    <row r="5223" spans="1:6" x14ac:dyDescent="0.25">
      <c r="A5223" s="227" t="str">
        <f>TL[[#This Row],[Société]]&amp;" - "&amp;TL[[#This Row],[Compte]]</f>
        <v>GLR5 - 512900</v>
      </c>
      <c r="B5223" s="233" t="s">
        <v>6777</v>
      </c>
      <c r="C5223" s="227" t="s">
        <v>6778</v>
      </c>
      <c r="F5223" s="227" t="s">
        <v>2999</v>
      </c>
    </row>
    <row r="5224" spans="1:6" x14ac:dyDescent="0.25">
      <c r="A5224" s="227" t="str">
        <f>TL[[#This Row],[Société]]&amp;" - "&amp;TL[[#This Row],[Compte]]</f>
        <v>GLR5 - 518800</v>
      </c>
      <c r="B5224" s="233" t="s">
        <v>1887</v>
      </c>
      <c r="C5224" s="227" t="s">
        <v>1016</v>
      </c>
      <c r="F5224" s="227" t="s">
        <v>2999</v>
      </c>
    </row>
    <row r="5225" spans="1:6" x14ac:dyDescent="0.25">
      <c r="A5225" s="227" t="str">
        <f>TL[[#This Row],[Société]]&amp;" - "&amp;TL[[#This Row],[Compte]]</f>
        <v>GLR5 - 519100</v>
      </c>
      <c r="B5225" s="233" t="s">
        <v>1888</v>
      </c>
      <c r="C5225" s="227" t="s">
        <v>6274</v>
      </c>
      <c r="F5225" s="227" t="s">
        <v>2999</v>
      </c>
    </row>
    <row r="5226" spans="1:6" x14ac:dyDescent="0.25">
      <c r="A5226" s="227" t="str">
        <f>TL[[#This Row],[Société]]&amp;" - "&amp;TL[[#This Row],[Compte]]</f>
        <v>GLR5 - 530000</v>
      </c>
      <c r="B5226" s="233" t="s">
        <v>3184</v>
      </c>
      <c r="C5226" s="227" t="s">
        <v>532</v>
      </c>
      <c r="F5226" s="227" t="s">
        <v>2999</v>
      </c>
    </row>
    <row r="5227" spans="1:6" x14ac:dyDescent="0.25">
      <c r="A5227" s="227" t="str">
        <f>TL[[#This Row],[Société]]&amp;" - "&amp;TL[[#This Row],[Compte]]</f>
        <v>GLR5 - 530200</v>
      </c>
      <c r="B5227" s="233" t="s">
        <v>1704</v>
      </c>
      <c r="C5227" s="227" t="s">
        <v>725</v>
      </c>
      <c r="F5227" s="227" t="s">
        <v>2999</v>
      </c>
    </row>
    <row r="5228" spans="1:6" x14ac:dyDescent="0.25">
      <c r="A5228" s="227" t="str">
        <f>TL[[#This Row],[Société]]&amp;" - "&amp;TL[[#This Row],[Compte]]</f>
        <v>GLR5 - 531000</v>
      </c>
      <c r="B5228" s="233" t="s">
        <v>1705</v>
      </c>
      <c r="C5228" s="227" t="s">
        <v>532</v>
      </c>
      <c r="F5228" s="227" t="s">
        <v>2999</v>
      </c>
    </row>
    <row r="5229" spans="1:6" x14ac:dyDescent="0.25">
      <c r="A5229" s="227" t="str">
        <f>TL[[#This Row],[Société]]&amp;" - "&amp;TL[[#This Row],[Compte]]</f>
        <v>GLR5 - 580000</v>
      </c>
      <c r="B5229" s="233" t="s">
        <v>1889</v>
      </c>
      <c r="C5229" s="227" t="s">
        <v>5828</v>
      </c>
      <c r="F5229" s="227" t="s">
        <v>2999</v>
      </c>
    </row>
    <row r="5230" spans="1:6" x14ac:dyDescent="0.25">
      <c r="A5230" s="227" t="str">
        <f>TL[[#This Row],[Société]]&amp;" - "&amp;TL[[#This Row],[Compte]]</f>
        <v>GLR5 - 581000</v>
      </c>
      <c r="B5230" s="233" t="s">
        <v>1890</v>
      </c>
      <c r="C5230" s="227" t="s">
        <v>634</v>
      </c>
      <c r="F5230" s="227" t="s">
        <v>2999</v>
      </c>
    </row>
    <row r="5231" spans="1:6" x14ac:dyDescent="0.25">
      <c r="A5231" s="227" t="str">
        <f>TL[[#This Row],[Société]]&amp;" - "&amp;TL[[#This Row],[Compte]]</f>
        <v>GLR5 - 581100</v>
      </c>
      <c r="B5231" s="233" t="s">
        <v>1706</v>
      </c>
      <c r="C5231" s="227" t="s">
        <v>726</v>
      </c>
      <c r="F5231" s="227" t="s">
        <v>2999</v>
      </c>
    </row>
    <row r="5232" spans="1:6" x14ac:dyDescent="0.25">
      <c r="A5232" s="227" t="str">
        <f>TL[[#This Row],[Société]]&amp;" - "&amp;TL[[#This Row],[Compte]]</f>
        <v>GLR5 - 583000</v>
      </c>
      <c r="B5232" s="233" t="s">
        <v>1891</v>
      </c>
      <c r="C5232" s="227" t="s">
        <v>728</v>
      </c>
      <c r="F5232" s="227" t="s">
        <v>2999</v>
      </c>
    </row>
    <row r="5233" spans="1:6" x14ac:dyDescent="0.25">
      <c r="A5233" s="227" t="str">
        <f>TL[[#This Row],[Société]]&amp;" - "&amp;TL[[#This Row],[Compte]]</f>
        <v>GLR5 - 601100</v>
      </c>
      <c r="B5233" s="233" t="s">
        <v>1607</v>
      </c>
      <c r="C5233" s="227" t="s">
        <v>2211</v>
      </c>
      <c r="D5233" s="233" t="s">
        <v>0</v>
      </c>
      <c r="E5233" s="233" t="s">
        <v>7</v>
      </c>
      <c r="F5233" s="227" t="s">
        <v>2999</v>
      </c>
    </row>
    <row r="5234" spans="1:6" x14ac:dyDescent="0.25">
      <c r="A5234" s="227" t="str">
        <f>TL[[#This Row],[Société]]&amp;" - "&amp;TL[[#This Row],[Compte]]</f>
        <v>GLR5 - 601102</v>
      </c>
      <c r="B5234" s="233" t="s">
        <v>1790</v>
      </c>
      <c r="C5234" s="227" t="s">
        <v>225</v>
      </c>
      <c r="D5234" s="233" t="s">
        <v>1</v>
      </c>
      <c r="E5234" s="233" t="s">
        <v>11</v>
      </c>
      <c r="F5234" s="227" t="s">
        <v>2999</v>
      </c>
    </row>
    <row r="5235" spans="1:6" x14ac:dyDescent="0.25">
      <c r="A5235" s="227" t="str">
        <f>TL[[#This Row],[Société]]&amp;" - "&amp;TL[[#This Row],[Compte]]</f>
        <v>GLR5 - 601103</v>
      </c>
      <c r="B5235" s="233" t="s">
        <v>1789</v>
      </c>
      <c r="C5235" s="227" t="s">
        <v>160</v>
      </c>
      <c r="D5235" s="233" t="s">
        <v>3</v>
      </c>
      <c r="E5235" s="233" t="s">
        <v>9</v>
      </c>
      <c r="F5235" s="227" t="s">
        <v>2999</v>
      </c>
    </row>
    <row r="5236" spans="1:6" x14ac:dyDescent="0.25">
      <c r="A5236" s="227" t="str">
        <f>TL[[#This Row],[Société]]&amp;" - "&amp;TL[[#This Row],[Compte]]</f>
        <v>GLR5 - 602155</v>
      </c>
      <c r="B5236" s="233" t="s">
        <v>3188</v>
      </c>
      <c r="C5236" s="227" t="s">
        <v>6779</v>
      </c>
      <c r="D5236" s="233" t="s">
        <v>150</v>
      </c>
      <c r="E5236" s="233" t="s">
        <v>147</v>
      </c>
      <c r="F5236" s="227" t="s">
        <v>2999</v>
      </c>
    </row>
    <row r="5237" spans="1:6" x14ac:dyDescent="0.25">
      <c r="A5237" s="227" t="str">
        <f>TL[[#This Row],[Société]]&amp;" - "&amp;TL[[#This Row],[Compte]]</f>
        <v>GLR5 - 602201</v>
      </c>
      <c r="B5237" s="233" t="s">
        <v>1630</v>
      </c>
      <c r="C5237" s="227" t="s">
        <v>2212</v>
      </c>
      <c r="D5237" s="233" t="s">
        <v>7</v>
      </c>
      <c r="E5237" s="233" t="s">
        <v>0</v>
      </c>
      <c r="F5237" s="227" t="s">
        <v>2999</v>
      </c>
    </row>
    <row r="5238" spans="1:6" x14ac:dyDescent="0.25">
      <c r="A5238" s="227" t="str">
        <f>TL[[#This Row],[Société]]&amp;" - "&amp;TL[[#This Row],[Compte]]</f>
        <v>GLR5 - 602202</v>
      </c>
      <c r="B5238" s="233" t="s">
        <v>1631</v>
      </c>
      <c r="C5238" s="227" t="s">
        <v>2213</v>
      </c>
      <c r="D5238" s="233" t="s">
        <v>150</v>
      </c>
      <c r="E5238" s="233" t="s">
        <v>147</v>
      </c>
      <c r="F5238" s="227" t="s">
        <v>2999</v>
      </c>
    </row>
    <row r="5239" spans="1:6" x14ac:dyDescent="0.25">
      <c r="A5239" s="227" t="str">
        <f>TL[[#This Row],[Société]]&amp;" - "&amp;TL[[#This Row],[Compte]]</f>
        <v>GLR5 - 602610</v>
      </c>
      <c r="B5239" s="233" t="s">
        <v>1634</v>
      </c>
      <c r="C5239" s="227" t="s">
        <v>161</v>
      </c>
      <c r="D5239" s="233" t="s">
        <v>23</v>
      </c>
      <c r="E5239" s="233" t="s">
        <v>0</v>
      </c>
      <c r="F5239" s="227" t="s">
        <v>2999</v>
      </c>
    </row>
    <row r="5240" spans="1:6" x14ac:dyDescent="0.25">
      <c r="A5240" s="227" t="str">
        <f>TL[[#This Row],[Société]]&amp;" - "&amp;TL[[#This Row],[Compte]]</f>
        <v>GLR5 - 602612</v>
      </c>
      <c r="B5240" s="233" t="s">
        <v>6279</v>
      </c>
      <c r="C5240" s="227" t="s">
        <v>3549</v>
      </c>
      <c r="D5240" s="235" t="s">
        <v>0</v>
      </c>
      <c r="E5240" s="241" t="s">
        <v>2964</v>
      </c>
      <c r="F5240" s="227" t="s">
        <v>2999</v>
      </c>
    </row>
    <row r="5241" spans="1:6" x14ac:dyDescent="0.25">
      <c r="A5241" s="227" t="str">
        <f>TL[[#This Row],[Société]]&amp;" - "&amp;TL[[#This Row],[Compte]]</f>
        <v>GLR5 - 602630</v>
      </c>
      <c r="B5241" s="233" t="s">
        <v>3191</v>
      </c>
      <c r="C5241" s="227" t="s">
        <v>2212</v>
      </c>
      <c r="D5241" s="233" t="s">
        <v>7</v>
      </c>
      <c r="E5241" s="233" t="s">
        <v>0</v>
      </c>
      <c r="F5241" s="227" t="s">
        <v>2999</v>
      </c>
    </row>
    <row r="5242" spans="1:6" x14ac:dyDescent="0.25">
      <c r="A5242" s="227" t="str">
        <f>TL[[#This Row],[Société]]&amp;" - "&amp;TL[[#This Row],[Compte]]</f>
        <v>GLR5 - 603100</v>
      </c>
      <c r="B5242" s="233" t="s">
        <v>1780</v>
      </c>
      <c r="C5242" s="227" t="s">
        <v>2214</v>
      </c>
      <c r="D5242" s="233" t="s">
        <v>0</v>
      </c>
      <c r="E5242" s="233" t="s">
        <v>7</v>
      </c>
      <c r="F5242" s="227" t="s">
        <v>2999</v>
      </c>
    </row>
    <row r="5243" spans="1:6" x14ac:dyDescent="0.25">
      <c r="A5243" s="227" t="str">
        <f>TL[[#This Row],[Société]]&amp;" - "&amp;TL[[#This Row],[Compte]]</f>
        <v>GLR5 - 603200</v>
      </c>
      <c r="B5243" s="233" t="s">
        <v>1781</v>
      </c>
      <c r="C5243" s="227" t="s">
        <v>2215</v>
      </c>
      <c r="D5243" s="233" t="s">
        <v>7</v>
      </c>
      <c r="E5243" s="233" t="s">
        <v>0</v>
      </c>
      <c r="F5243" s="227" t="s">
        <v>2999</v>
      </c>
    </row>
    <row r="5244" spans="1:6" x14ac:dyDescent="0.25">
      <c r="A5244" s="227" t="str">
        <f>TL[[#This Row],[Société]]&amp;" - "&amp;TL[[#This Row],[Compte]]</f>
        <v>GLR5 - 603210</v>
      </c>
      <c r="B5244" s="233" t="s">
        <v>1894</v>
      </c>
      <c r="C5244" s="227" t="s">
        <v>2216</v>
      </c>
      <c r="D5244" s="233" t="s">
        <v>150</v>
      </c>
      <c r="E5244" s="233" t="s">
        <v>147</v>
      </c>
      <c r="F5244" s="227" t="s">
        <v>2999</v>
      </c>
    </row>
    <row r="5245" spans="1:6" x14ac:dyDescent="0.25">
      <c r="A5245" s="227" t="str">
        <f>TL[[#This Row],[Société]]&amp;" - "&amp;TL[[#This Row],[Compte]]</f>
        <v>GLR5 - 606101</v>
      </c>
      <c r="B5245" s="233" t="s">
        <v>1765</v>
      </c>
      <c r="C5245" s="227" t="s">
        <v>2217</v>
      </c>
      <c r="D5245" s="233" t="s">
        <v>27</v>
      </c>
      <c r="E5245" s="233" t="s">
        <v>34</v>
      </c>
      <c r="F5245" s="227" t="s">
        <v>2999</v>
      </c>
    </row>
    <row r="5246" spans="1:6" x14ac:dyDescent="0.25">
      <c r="A5246" s="227" t="str">
        <f>TL[[#This Row],[Société]]&amp;" - "&amp;TL[[#This Row],[Compte]]</f>
        <v>GLR5 - 606105</v>
      </c>
      <c r="B5246" s="233" t="s">
        <v>1588</v>
      </c>
      <c r="C5246" s="227" t="s">
        <v>6780</v>
      </c>
      <c r="D5246" s="233" t="s">
        <v>27</v>
      </c>
      <c r="E5246" s="233" t="s">
        <v>34</v>
      </c>
      <c r="F5246" s="227" t="s">
        <v>2999</v>
      </c>
    </row>
    <row r="5247" spans="1:6" x14ac:dyDescent="0.25">
      <c r="A5247" s="227" t="str">
        <f>TL[[#This Row],[Société]]&amp;" - "&amp;TL[[#This Row],[Compte]]</f>
        <v>GLR5 - 606110</v>
      </c>
      <c r="B5247" s="233" t="s">
        <v>2573</v>
      </c>
      <c r="C5247" s="227" t="s">
        <v>2217</v>
      </c>
      <c r="D5247" s="233" t="s">
        <v>27</v>
      </c>
      <c r="E5247" s="233" t="s">
        <v>34</v>
      </c>
      <c r="F5247" s="227" t="s">
        <v>2999</v>
      </c>
    </row>
    <row r="5248" spans="1:6" x14ac:dyDescent="0.25">
      <c r="A5248" s="227" t="str">
        <f>TL[[#This Row],[Société]]&amp;" - "&amp;TL[[#This Row],[Compte]]</f>
        <v>GLR5 - 606120</v>
      </c>
      <c r="B5248" s="233" t="s">
        <v>2574</v>
      </c>
      <c r="C5248" s="227" t="s">
        <v>2218</v>
      </c>
      <c r="D5248" s="233" t="s">
        <v>27</v>
      </c>
      <c r="E5248" s="233" t="s">
        <v>34</v>
      </c>
      <c r="F5248" s="227" t="s">
        <v>2999</v>
      </c>
    </row>
    <row r="5249" spans="1:6" x14ac:dyDescent="0.25">
      <c r="A5249" s="227" t="str">
        <f>TL[[#This Row],[Société]]&amp;" - "&amp;TL[[#This Row],[Compte]]</f>
        <v>GLR5 - 606150</v>
      </c>
      <c r="B5249" s="233" t="s">
        <v>2575</v>
      </c>
      <c r="C5249" s="227" t="s">
        <v>4889</v>
      </c>
      <c r="D5249" s="233" t="s">
        <v>27</v>
      </c>
      <c r="E5249" s="233" t="s">
        <v>34</v>
      </c>
      <c r="F5249" s="227" t="s">
        <v>2999</v>
      </c>
    </row>
    <row r="5250" spans="1:6" x14ac:dyDescent="0.25">
      <c r="A5250" s="227" t="str">
        <f>TL[[#This Row],[Société]]&amp;" - "&amp;TL[[#This Row],[Compte]]</f>
        <v>GLR5 - 606300</v>
      </c>
      <c r="B5250" s="233" t="s">
        <v>1586</v>
      </c>
      <c r="C5250" s="227" t="s">
        <v>1153</v>
      </c>
      <c r="D5250" s="233" t="s">
        <v>25</v>
      </c>
      <c r="E5250" s="233" t="s">
        <v>23</v>
      </c>
      <c r="F5250" s="227" t="s">
        <v>2999</v>
      </c>
    </row>
    <row r="5251" spans="1:6" x14ac:dyDescent="0.25">
      <c r="A5251" s="227" t="str">
        <f>TL[[#This Row],[Société]]&amp;" - "&amp;TL[[#This Row],[Compte]]</f>
        <v>GLR5 - 606301</v>
      </c>
      <c r="B5251" s="233" t="s">
        <v>1895</v>
      </c>
      <c r="C5251" s="227" t="s">
        <v>6781</v>
      </c>
      <c r="D5251" s="233" t="s">
        <v>23</v>
      </c>
      <c r="E5251" s="233" t="s">
        <v>2978</v>
      </c>
      <c r="F5251" s="227" t="s">
        <v>2999</v>
      </c>
    </row>
    <row r="5252" spans="1:6" x14ac:dyDescent="0.25">
      <c r="A5252" s="227" t="str">
        <f>TL[[#This Row],[Société]]&amp;" - "&amp;TL[[#This Row],[Compte]]</f>
        <v>GLR5 - 606302</v>
      </c>
      <c r="B5252" s="233" t="s">
        <v>1616</v>
      </c>
      <c r="C5252" s="227" t="s">
        <v>2220</v>
      </c>
      <c r="D5252" s="233" t="s">
        <v>23</v>
      </c>
      <c r="E5252" s="233" t="s">
        <v>2978</v>
      </c>
      <c r="F5252" s="227" t="s">
        <v>2999</v>
      </c>
    </row>
    <row r="5253" spans="1:6" x14ac:dyDescent="0.25">
      <c r="A5253" s="227" t="str">
        <f>TL[[#This Row],[Société]]&amp;" - "&amp;TL[[#This Row],[Compte]]</f>
        <v>GLR5 - 606303</v>
      </c>
      <c r="B5253" s="233" t="s">
        <v>1609</v>
      </c>
      <c r="C5253" s="227" t="s">
        <v>146</v>
      </c>
      <c r="D5253" s="233" t="s">
        <v>21</v>
      </c>
      <c r="E5253" s="233" t="s">
        <v>2982</v>
      </c>
      <c r="F5253" s="227" t="s">
        <v>2999</v>
      </c>
    </row>
    <row r="5254" spans="1:6" x14ac:dyDescent="0.25">
      <c r="A5254" s="227" t="str">
        <f>TL[[#This Row],[Société]]&amp;" - "&amp;TL[[#This Row],[Compte]]</f>
        <v>GLR5 - 606315</v>
      </c>
      <c r="B5254" s="233" t="s">
        <v>6782</v>
      </c>
      <c r="C5254" s="227" t="s">
        <v>6783</v>
      </c>
      <c r="D5254" s="233" t="s">
        <v>23</v>
      </c>
      <c r="E5254" s="233" t="s">
        <v>2978</v>
      </c>
      <c r="F5254" s="227" t="s">
        <v>2999</v>
      </c>
    </row>
    <row r="5255" spans="1:6" x14ac:dyDescent="0.25">
      <c r="A5255" s="227" t="str">
        <f>TL[[#This Row],[Société]]&amp;" - "&amp;TL[[#This Row],[Compte]]</f>
        <v>GLR5 - 606400</v>
      </c>
      <c r="B5255" s="233" t="s">
        <v>1898</v>
      </c>
      <c r="C5255" s="227" t="s">
        <v>6784</v>
      </c>
      <c r="D5255" s="233" t="s">
        <v>29</v>
      </c>
      <c r="E5255" s="233" t="s">
        <v>2978</v>
      </c>
      <c r="F5255" s="227" t="s">
        <v>2999</v>
      </c>
    </row>
    <row r="5256" spans="1:6" x14ac:dyDescent="0.25">
      <c r="A5256" s="227" t="str">
        <f>TL[[#This Row],[Société]]&amp;" - "&amp;TL[[#This Row],[Compte]]</f>
        <v>GLR5 - 606401</v>
      </c>
      <c r="B5256" s="233" t="s">
        <v>1612</v>
      </c>
      <c r="C5256" s="227" t="s">
        <v>214</v>
      </c>
      <c r="D5256" s="233" t="s">
        <v>29</v>
      </c>
      <c r="E5256" s="233" t="s">
        <v>2978</v>
      </c>
      <c r="F5256" s="227" t="s">
        <v>2999</v>
      </c>
    </row>
    <row r="5257" spans="1:6" x14ac:dyDescent="0.25">
      <c r="A5257" s="227" t="str">
        <f>TL[[#This Row],[Société]]&amp;" - "&amp;TL[[#This Row],[Compte]]</f>
        <v>GLR5 - 606613</v>
      </c>
      <c r="B5257" s="233" t="s">
        <v>2595</v>
      </c>
      <c r="C5257" s="227" t="s">
        <v>2221</v>
      </c>
      <c r="D5257" s="233" t="s">
        <v>16</v>
      </c>
      <c r="E5257" s="233" t="s">
        <v>52</v>
      </c>
      <c r="F5257" s="227" t="s">
        <v>2999</v>
      </c>
    </row>
    <row r="5258" spans="1:6" x14ac:dyDescent="0.25">
      <c r="A5258" s="227" t="str">
        <f>TL[[#This Row],[Société]]&amp;" - "&amp;TL[[#This Row],[Compte]]</f>
        <v>GLR5 - 606614</v>
      </c>
      <c r="B5258" s="233" t="s">
        <v>3200</v>
      </c>
      <c r="C5258" s="227" t="s">
        <v>5842</v>
      </c>
      <c r="D5258" s="233" t="s">
        <v>50</v>
      </c>
      <c r="E5258" s="233" t="s">
        <v>7</v>
      </c>
      <c r="F5258" s="227" t="s">
        <v>2999</v>
      </c>
    </row>
    <row r="5259" spans="1:6" x14ac:dyDescent="0.25">
      <c r="A5259" s="227" t="str">
        <f>TL[[#This Row],[Société]]&amp;" - "&amp;TL[[#This Row],[Compte]]</f>
        <v>GLR5 - 606810</v>
      </c>
      <c r="B5259" s="233" t="s">
        <v>3202</v>
      </c>
      <c r="C5259" s="227" t="s">
        <v>6785</v>
      </c>
      <c r="D5259" s="233" t="s">
        <v>152</v>
      </c>
      <c r="E5259" s="233" t="s">
        <v>25</v>
      </c>
      <c r="F5259" s="227" t="s">
        <v>2999</v>
      </c>
    </row>
    <row r="5260" spans="1:6" x14ac:dyDescent="0.25">
      <c r="A5260" s="227" t="str">
        <f>TL[[#This Row],[Société]]&amp;" - "&amp;TL[[#This Row],[Compte]]</f>
        <v>GLR5 - 609000</v>
      </c>
      <c r="B5260" s="233" t="s">
        <v>3203</v>
      </c>
      <c r="C5260" s="227" t="s">
        <v>6786</v>
      </c>
      <c r="D5260" s="233" t="s">
        <v>0</v>
      </c>
      <c r="E5260" s="233" t="s">
        <v>7</v>
      </c>
      <c r="F5260" s="227" t="s">
        <v>2999</v>
      </c>
    </row>
    <row r="5261" spans="1:6" x14ac:dyDescent="0.25">
      <c r="A5261" s="227" t="str">
        <f>TL[[#This Row],[Société]]&amp;" - "&amp;TL[[#This Row],[Compte]]</f>
        <v>GLR5 - 609100</v>
      </c>
      <c r="B5261" s="233" t="s">
        <v>1636</v>
      </c>
      <c r="C5261" s="227" t="s">
        <v>216</v>
      </c>
      <c r="D5261" s="233" t="s">
        <v>0</v>
      </c>
      <c r="E5261" s="233" t="s">
        <v>7</v>
      </c>
      <c r="F5261" s="227" t="s">
        <v>2999</v>
      </c>
    </row>
    <row r="5262" spans="1:6" x14ac:dyDescent="0.25">
      <c r="A5262" s="227" t="str">
        <f>TL[[#This Row],[Société]]&amp;" - "&amp;TL[[#This Row],[Compte]]</f>
        <v>GLR5 - 611012</v>
      </c>
      <c r="B5262" s="233" t="s">
        <v>2548</v>
      </c>
      <c r="C5262" s="227" t="s">
        <v>1572</v>
      </c>
      <c r="D5262" s="233" t="s">
        <v>39</v>
      </c>
      <c r="E5262" s="233" t="s">
        <v>25</v>
      </c>
      <c r="F5262" s="227" t="s">
        <v>2999</v>
      </c>
    </row>
    <row r="5263" spans="1:6" x14ac:dyDescent="0.25">
      <c r="A5263" s="227" t="str">
        <f>TL[[#This Row],[Société]]&amp;" - "&amp;TL[[#This Row],[Compte]]</f>
        <v>GLR5 - 611013</v>
      </c>
      <c r="B5263" s="233" t="s">
        <v>2542</v>
      </c>
      <c r="C5263" s="227" t="s">
        <v>2543</v>
      </c>
      <c r="D5263" s="233" t="s">
        <v>20</v>
      </c>
      <c r="E5263" s="233" t="s">
        <v>18</v>
      </c>
      <c r="F5263" s="227" t="s">
        <v>2999</v>
      </c>
    </row>
    <row r="5264" spans="1:6" x14ac:dyDescent="0.25">
      <c r="A5264" s="227" t="str">
        <f>TL[[#This Row],[Société]]&amp;" - "&amp;TL[[#This Row],[Compte]]</f>
        <v>GLR5 - 613000</v>
      </c>
      <c r="B5264" s="233" t="s">
        <v>1904</v>
      </c>
      <c r="C5264" s="227" t="s">
        <v>2207</v>
      </c>
      <c r="D5264" s="233" t="s">
        <v>35</v>
      </c>
      <c r="E5264" s="233" t="s">
        <v>2985</v>
      </c>
      <c r="F5264" s="227" t="s">
        <v>2999</v>
      </c>
    </row>
    <row r="5265" spans="1:6" x14ac:dyDescent="0.25">
      <c r="A5265" s="227" t="str">
        <f>TL[[#This Row],[Société]]&amp;" - "&amp;TL[[#This Row],[Compte]]</f>
        <v>GLR5 - 613100</v>
      </c>
      <c r="B5265" s="233" t="s">
        <v>1918</v>
      </c>
      <c r="C5265" s="227" t="s">
        <v>6787</v>
      </c>
      <c r="D5265" s="233" t="s">
        <v>50</v>
      </c>
      <c r="E5265" s="233" t="s">
        <v>40</v>
      </c>
      <c r="F5265" s="227" t="s">
        <v>2999</v>
      </c>
    </row>
    <row r="5266" spans="1:6" x14ac:dyDescent="0.25">
      <c r="A5266" s="227" t="str">
        <f>TL[[#This Row],[Société]]&amp;" - "&amp;TL[[#This Row],[Compte]]</f>
        <v>GLR5 - 613200</v>
      </c>
      <c r="B5266" s="233" t="s">
        <v>1587</v>
      </c>
      <c r="C5266" s="227" t="s">
        <v>1177</v>
      </c>
      <c r="D5266" s="233" t="s">
        <v>20</v>
      </c>
      <c r="E5266" s="233" t="s">
        <v>25</v>
      </c>
      <c r="F5266" s="227" t="s">
        <v>2999</v>
      </c>
    </row>
    <row r="5267" spans="1:6" x14ac:dyDescent="0.25">
      <c r="A5267" s="227" t="str">
        <f>TL[[#This Row],[Société]]&amp;" - "&amp;TL[[#This Row],[Compte]]</f>
        <v>GLR5 - 613250</v>
      </c>
      <c r="B5267" s="233" t="s">
        <v>5855</v>
      </c>
      <c r="C5267" s="227" t="s">
        <v>6788</v>
      </c>
      <c r="D5267" s="233" t="s">
        <v>50</v>
      </c>
      <c r="E5267" s="233" t="s">
        <v>50</v>
      </c>
      <c r="F5267" s="227" t="s">
        <v>2999</v>
      </c>
    </row>
    <row r="5268" spans="1:6" x14ac:dyDescent="0.25">
      <c r="A5268" s="227" t="str">
        <f>TL[[#This Row],[Société]]&amp;" - "&amp;TL[[#This Row],[Compte]]</f>
        <v>GLR5 - 613260</v>
      </c>
      <c r="B5268" s="233" t="s">
        <v>5857</v>
      </c>
      <c r="C5268" s="227" t="s">
        <v>6789</v>
      </c>
      <c r="D5268" s="233" t="s">
        <v>50</v>
      </c>
      <c r="E5268" s="233" t="s">
        <v>50</v>
      </c>
      <c r="F5268" s="227" t="s">
        <v>2999</v>
      </c>
    </row>
    <row r="5269" spans="1:6" x14ac:dyDescent="0.25">
      <c r="A5269" s="227" t="str">
        <f>TL[[#This Row],[Société]]&amp;" - "&amp;TL[[#This Row],[Compte]]</f>
        <v>GLR5 - 613261</v>
      </c>
      <c r="B5269" s="233" t="s">
        <v>2827</v>
      </c>
      <c r="C5269" s="227" t="s">
        <v>2222</v>
      </c>
      <c r="D5269" s="233" t="s">
        <v>50</v>
      </c>
      <c r="E5269" s="233" t="s">
        <v>50</v>
      </c>
      <c r="F5269" s="227" t="s">
        <v>2999</v>
      </c>
    </row>
    <row r="5270" spans="1:6" x14ac:dyDescent="0.25">
      <c r="A5270" s="227" t="str">
        <f>TL[[#This Row],[Société]]&amp;" - "&amp;TL[[#This Row],[Compte]]</f>
        <v>GLR5 - 613262</v>
      </c>
      <c r="B5270" s="233" t="s">
        <v>2549</v>
      </c>
      <c r="C5270" s="227" t="s">
        <v>2223</v>
      </c>
      <c r="D5270" s="233" t="s">
        <v>20</v>
      </c>
      <c r="E5270" s="233" t="s">
        <v>25</v>
      </c>
      <c r="F5270" s="227" t="s">
        <v>2999</v>
      </c>
    </row>
    <row r="5271" spans="1:6" x14ac:dyDescent="0.25">
      <c r="A5271" s="227" t="str">
        <f>TL[[#This Row],[Société]]&amp;" - "&amp;TL[[#This Row],[Compte]]</f>
        <v>GLR5 - 613263</v>
      </c>
      <c r="B5271" s="233" t="s">
        <v>2596</v>
      </c>
      <c r="C5271" s="227" t="s">
        <v>2170</v>
      </c>
      <c r="D5271" s="233" t="s">
        <v>50</v>
      </c>
      <c r="E5271" s="233" t="s">
        <v>52</v>
      </c>
      <c r="F5271" s="227" t="s">
        <v>2999</v>
      </c>
    </row>
    <row r="5272" spans="1:6" x14ac:dyDescent="0.25">
      <c r="A5272" s="227" t="str">
        <f>TL[[#This Row],[Société]]&amp;" - "&amp;TL[[#This Row],[Compte]]</f>
        <v>GLR5 - 613270</v>
      </c>
      <c r="B5272" s="233" t="s">
        <v>6461</v>
      </c>
      <c r="C5272" s="227" t="s">
        <v>6790</v>
      </c>
      <c r="D5272" s="233" t="s">
        <v>50</v>
      </c>
      <c r="E5272" s="233" t="s">
        <v>52</v>
      </c>
      <c r="F5272" s="227" t="s">
        <v>2999</v>
      </c>
    </row>
    <row r="5273" spans="1:6" x14ac:dyDescent="0.25">
      <c r="A5273" s="227" t="str">
        <f>TL[[#This Row],[Société]]&amp;" - "&amp;TL[[#This Row],[Compte]]</f>
        <v>GLR5 - 613280</v>
      </c>
      <c r="B5273" s="233" t="s">
        <v>6791</v>
      </c>
      <c r="C5273" s="227" t="s">
        <v>6792</v>
      </c>
      <c r="D5273" s="233" t="s">
        <v>50</v>
      </c>
      <c r="E5273" s="233" t="s">
        <v>52</v>
      </c>
      <c r="F5273" s="227" t="s">
        <v>2999</v>
      </c>
    </row>
    <row r="5274" spans="1:6" x14ac:dyDescent="0.25">
      <c r="A5274" s="227" t="str">
        <f>TL[[#This Row],[Société]]&amp;" - "&amp;TL[[#This Row],[Compte]]</f>
        <v>GLR5 - 613281</v>
      </c>
      <c r="B5274" s="233" t="s">
        <v>6793</v>
      </c>
      <c r="C5274" s="227" t="s">
        <v>6610</v>
      </c>
      <c r="D5274" s="233" t="s">
        <v>50</v>
      </c>
      <c r="E5274" s="233" t="s">
        <v>52</v>
      </c>
      <c r="F5274" s="227" t="s">
        <v>2999</v>
      </c>
    </row>
    <row r="5275" spans="1:6" x14ac:dyDescent="0.25">
      <c r="A5275" s="227" t="str">
        <f>TL[[#This Row],[Société]]&amp;" - "&amp;TL[[#This Row],[Compte]]</f>
        <v>GLR5 - 613282</v>
      </c>
      <c r="B5275" s="233" t="s">
        <v>6794</v>
      </c>
      <c r="C5275" s="227" t="s">
        <v>6795</v>
      </c>
      <c r="D5275" s="233" t="s">
        <v>50</v>
      </c>
      <c r="E5275" s="233" t="s">
        <v>52</v>
      </c>
      <c r="F5275" s="227" t="s">
        <v>2999</v>
      </c>
    </row>
    <row r="5276" spans="1:6" x14ac:dyDescent="0.25">
      <c r="A5276" s="227" t="str">
        <f>TL[[#This Row],[Société]]&amp;" - "&amp;TL[[#This Row],[Compte]]</f>
        <v>GLR5 - 613283</v>
      </c>
      <c r="B5276" s="233" t="s">
        <v>6796</v>
      </c>
      <c r="C5276" s="227" t="s">
        <v>6797</v>
      </c>
      <c r="D5276" s="233" t="s">
        <v>50</v>
      </c>
      <c r="E5276" s="233" t="s">
        <v>52</v>
      </c>
      <c r="F5276" s="227" t="s">
        <v>2999</v>
      </c>
    </row>
    <row r="5277" spans="1:6" x14ac:dyDescent="0.25">
      <c r="A5277" s="227" t="str">
        <f>TL[[#This Row],[Société]]&amp;" - "&amp;TL[[#This Row],[Compte]]</f>
        <v>GLR5 - 613284</v>
      </c>
      <c r="B5277" s="233" t="s">
        <v>2597</v>
      </c>
      <c r="C5277" s="227" t="s">
        <v>2171</v>
      </c>
      <c r="D5277" s="233" t="s">
        <v>50</v>
      </c>
      <c r="E5277" s="233" t="s">
        <v>52</v>
      </c>
      <c r="F5277" s="227" t="s">
        <v>2999</v>
      </c>
    </row>
    <row r="5278" spans="1:6" x14ac:dyDescent="0.25">
      <c r="A5278" s="227" t="str">
        <f>TL[[#This Row],[Société]]&amp;" - "&amp;TL[[#This Row],[Compte]]</f>
        <v>GLR5 - 613285</v>
      </c>
      <c r="B5278" s="233" t="s">
        <v>2598</v>
      </c>
      <c r="C5278" s="227" t="s">
        <v>2173</v>
      </c>
      <c r="D5278" s="233" t="s">
        <v>50</v>
      </c>
      <c r="E5278" s="233" t="s">
        <v>52</v>
      </c>
      <c r="F5278" s="227" t="s">
        <v>2999</v>
      </c>
    </row>
    <row r="5279" spans="1:6" x14ac:dyDescent="0.25">
      <c r="A5279" s="227" t="str">
        <f>TL[[#This Row],[Société]]&amp;" - "&amp;TL[[#This Row],[Compte]]</f>
        <v>GLR5 - 613286</v>
      </c>
      <c r="B5279" s="233" t="s">
        <v>2599</v>
      </c>
      <c r="C5279" s="227" t="s">
        <v>2172</v>
      </c>
      <c r="D5279" s="233" t="s">
        <v>50</v>
      </c>
      <c r="E5279" s="233" t="s">
        <v>52</v>
      </c>
      <c r="F5279" s="227" t="s">
        <v>2999</v>
      </c>
    </row>
    <row r="5280" spans="1:6" x14ac:dyDescent="0.25">
      <c r="A5280" s="227" t="str">
        <f>TL[[#This Row],[Société]]&amp;" - "&amp;TL[[#This Row],[Compte]]</f>
        <v>GLR5 - 613287</v>
      </c>
      <c r="B5280" s="233" t="s">
        <v>2600</v>
      </c>
      <c r="C5280" s="227" t="s">
        <v>2224</v>
      </c>
      <c r="D5280" s="233" t="s">
        <v>50</v>
      </c>
      <c r="E5280" s="233" t="s">
        <v>52</v>
      </c>
      <c r="F5280" s="227" t="s">
        <v>2999</v>
      </c>
    </row>
    <row r="5281" spans="1:6" x14ac:dyDescent="0.25">
      <c r="A5281" s="227" t="str">
        <f>TL[[#This Row],[Société]]&amp;" - "&amp;TL[[#This Row],[Compte]]</f>
        <v>GLR5 - 613288</v>
      </c>
      <c r="B5281" s="233" t="s">
        <v>2601</v>
      </c>
      <c r="C5281" s="227" t="s">
        <v>2225</v>
      </c>
      <c r="D5281" s="233" t="s">
        <v>50</v>
      </c>
      <c r="E5281" s="233" t="s">
        <v>52</v>
      </c>
      <c r="F5281" s="227" t="s">
        <v>2999</v>
      </c>
    </row>
    <row r="5282" spans="1:6" x14ac:dyDescent="0.25">
      <c r="A5282" s="227" t="str">
        <f>TL[[#This Row],[Société]]&amp;" - "&amp;TL[[#This Row],[Compte]]</f>
        <v>GLR5 - 613289</v>
      </c>
      <c r="B5282" s="233" t="s">
        <v>2828</v>
      </c>
      <c r="C5282" s="227" t="s">
        <v>6798</v>
      </c>
      <c r="D5282" s="233" t="s">
        <v>50</v>
      </c>
      <c r="E5282" s="233" t="s">
        <v>52</v>
      </c>
      <c r="F5282" s="227" t="s">
        <v>2999</v>
      </c>
    </row>
    <row r="5283" spans="1:6" x14ac:dyDescent="0.25">
      <c r="A5283" s="227" t="str">
        <f>TL[[#This Row],[Société]]&amp;" - "&amp;TL[[#This Row],[Compte]]</f>
        <v>GLR5 - 613290</v>
      </c>
      <c r="B5283" s="233" t="s">
        <v>2829</v>
      </c>
      <c r="C5283" s="227" t="s">
        <v>3233</v>
      </c>
      <c r="D5283" s="233" t="s">
        <v>50</v>
      </c>
      <c r="E5283" s="233" t="s">
        <v>52</v>
      </c>
      <c r="F5283" s="227" t="s">
        <v>2999</v>
      </c>
    </row>
    <row r="5284" spans="1:6" x14ac:dyDescent="0.25">
      <c r="A5284" s="227" t="str">
        <f>TL[[#This Row],[Société]]&amp;" - "&amp;TL[[#This Row],[Compte]]</f>
        <v>GLR5 - 613330</v>
      </c>
      <c r="B5284" s="233" t="s">
        <v>2550</v>
      </c>
      <c r="C5284" s="227" t="s">
        <v>219</v>
      </c>
      <c r="D5284" s="233" t="s">
        <v>20</v>
      </c>
      <c r="E5284" s="233" t="s">
        <v>25</v>
      </c>
      <c r="F5284" s="227" t="s">
        <v>2999</v>
      </c>
    </row>
    <row r="5285" spans="1:6" x14ac:dyDescent="0.25">
      <c r="A5285" s="227" t="str">
        <f>TL[[#This Row],[Société]]&amp;" - "&amp;TL[[#This Row],[Compte]]</f>
        <v>GLR5 - 613340</v>
      </c>
      <c r="B5285" s="233" t="s">
        <v>5863</v>
      </c>
      <c r="C5285" s="227" t="s">
        <v>2226</v>
      </c>
      <c r="D5285" s="233" t="s">
        <v>20</v>
      </c>
      <c r="E5285" s="233" t="s">
        <v>25</v>
      </c>
      <c r="F5285" s="227" t="s">
        <v>2999</v>
      </c>
    </row>
    <row r="5286" spans="1:6" x14ac:dyDescent="0.25">
      <c r="A5286" s="227" t="str">
        <f>TL[[#This Row],[Société]]&amp;" - "&amp;TL[[#This Row],[Compte]]</f>
        <v>GLR5 - 613350</v>
      </c>
      <c r="B5286" s="233" t="s">
        <v>2551</v>
      </c>
      <c r="C5286" s="227" t="s">
        <v>2227</v>
      </c>
      <c r="D5286" s="233" t="s">
        <v>20</v>
      </c>
      <c r="E5286" s="233" t="s">
        <v>25</v>
      </c>
      <c r="F5286" s="227" t="s">
        <v>2999</v>
      </c>
    </row>
    <row r="5287" spans="1:6" x14ac:dyDescent="0.25">
      <c r="A5287" s="227" t="str">
        <f>TL[[#This Row],[Société]]&amp;" - "&amp;TL[[#This Row],[Compte]]</f>
        <v>GLR5 - 613360</v>
      </c>
      <c r="B5287" s="233" t="s">
        <v>2552</v>
      </c>
      <c r="C5287" s="227" t="s">
        <v>1440</v>
      </c>
      <c r="D5287" s="233" t="s">
        <v>20</v>
      </c>
      <c r="E5287" s="233" t="s">
        <v>25</v>
      </c>
      <c r="F5287" s="227" t="s">
        <v>2999</v>
      </c>
    </row>
    <row r="5288" spans="1:6" x14ac:dyDescent="0.25">
      <c r="A5288" s="227" t="str">
        <f>TL[[#This Row],[Société]]&amp;" - "&amp;TL[[#This Row],[Compte]]</f>
        <v>GLR5 - 613500</v>
      </c>
      <c r="B5288" s="233" t="s">
        <v>1920</v>
      </c>
      <c r="C5288" s="227" t="s">
        <v>221</v>
      </c>
      <c r="D5288" s="233" t="s">
        <v>50</v>
      </c>
      <c r="E5288" s="233" t="s">
        <v>52</v>
      </c>
      <c r="F5288" s="227" t="s">
        <v>2999</v>
      </c>
    </row>
    <row r="5289" spans="1:6" x14ac:dyDescent="0.25">
      <c r="A5289" s="227" t="str">
        <f>TL[[#This Row],[Société]]&amp;" - "&amp;TL[[#This Row],[Compte]]</f>
        <v>GLR5 - 613530</v>
      </c>
      <c r="B5289" s="233" t="s">
        <v>2779</v>
      </c>
      <c r="C5289" s="227" t="s">
        <v>6799</v>
      </c>
      <c r="D5289" s="233" t="s">
        <v>20</v>
      </c>
      <c r="E5289" s="233" t="s">
        <v>25</v>
      </c>
      <c r="F5289" s="227" t="s">
        <v>2999</v>
      </c>
    </row>
    <row r="5290" spans="1:6" x14ac:dyDescent="0.25">
      <c r="A5290" s="227" t="str">
        <f>TL[[#This Row],[Société]]&amp;" - "&amp;TL[[#This Row],[Compte]]</f>
        <v>GLR5 - 614000</v>
      </c>
      <c r="B5290" s="233" t="s">
        <v>1921</v>
      </c>
      <c r="C5290" s="227" t="s">
        <v>6800</v>
      </c>
      <c r="D5290" s="233" t="s">
        <v>42</v>
      </c>
      <c r="E5290" s="233" t="s">
        <v>47</v>
      </c>
      <c r="F5290" s="227" t="s">
        <v>2999</v>
      </c>
    </row>
    <row r="5291" spans="1:6" x14ac:dyDescent="0.25">
      <c r="A5291" s="227" t="str">
        <f>TL[[#This Row],[Société]]&amp;" - "&amp;TL[[#This Row],[Compte]]</f>
        <v>GLR5 - 614100</v>
      </c>
      <c r="B5291" s="233" t="s">
        <v>1784</v>
      </c>
      <c r="C5291" s="227" t="s">
        <v>2228</v>
      </c>
      <c r="D5291" s="233" t="s">
        <v>42</v>
      </c>
      <c r="E5291" s="233" t="s">
        <v>40</v>
      </c>
      <c r="F5291" s="227" t="s">
        <v>2999</v>
      </c>
    </row>
    <row r="5292" spans="1:6" x14ac:dyDescent="0.25">
      <c r="A5292" s="227" t="str">
        <f>TL[[#This Row],[Société]]&amp;" - "&amp;TL[[#This Row],[Compte]]</f>
        <v>GLR5 - 615200</v>
      </c>
      <c r="B5292" s="233" t="s">
        <v>1629</v>
      </c>
      <c r="C5292" s="227" t="s">
        <v>154</v>
      </c>
      <c r="D5292" s="233" t="s">
        <v>20</v>
      </c>
      <c r="E5292" s="233" t="s">
        <v>25</v>
      </c>
      <c r="F5292" s="227" t="s">
        <v>2999</v>
      </c>
    </row>
    <row r="5293" spans="1:6" x14ac:dyDescent="0.25">
      <c r="A5293" s="227" t="str">
        <f>TL[[#This Row],[Société]]&amp;" - "&amp;TL[[#This Row],[Compte]]</f>
        <v>GLR5 - 615300</v>
      </c>
      <c r="B5293" s="233" t="s">
        <v>3237</v>
      </c>
      <c r="C5293" s="227" t="s">
        <v>6801</v>
      </c>
      <c r="D5293" s="233" t="s">
        <v>152</v>
      </c>
      <c r="E5293" s="233" t="s">
        <v>23</v>
      </c>
      <c r="F5293" s="227" t="s">
        <v>2999</v>
      </c>
    </row>
    <row r="5294" spans="1:6" x14ac:dyDescent="0.25">
      <c r="A5294" s="227" t="str">
        <f>TL[[#This Row],[Société]]&amp;" - "&amp;TL[[#This Row],[Compte]]</f>
        <v>GLR5 - 615500</v>
      </c>
      <c r="B5294" s="233" t="s">
        <v>1589</v>
      </c>
      <c r="C5294" s="227" t="s">
        <v>212</v>
      </c>
      <c r="D5294" s="233" t="s">
        <v>25</v>
      </c>
      <c r="E5294" s="233" t="s">
        <v>23</v>
      </c>
      <c r="F5294" s="227" t="s">
        <v>2999</v>
      </c>
    </row>
    <row r="5295" spans="1:6" x14ac:dyDescent="0.25">
      <c r="A5295" s="227" t="str">
        <f>TL[[#This Row],[Société]]&amp;" - "&amp;TL[[#This Row],[Compte]]</f>
        <v>GLR5 - 615520</v>
      </c>
      <c r="B5295" s="233" t="s">
        <v>1935</v>
      </c>
      <c r="C5295" s="227" t="s">
        <v>2229</v>
      </c>
      <c r="D5295" s="233" t="s">
        <v>50</v>
      </c>
      <c r="E5295" s="233" t="s">
        <v>52</v>
      </c>
      <c r="F5295" s="227" t="s">
        <v>2999</v>
      </c>
    </row>
    <row r="5296" spans="1:6" x14ac:dyDescent="0.25">
      <c r="A5296" s="227" t="str">
        <f>TL[[#This Row],[Société]]&amp;" - "&amp;TL[[#This Row],[Compte]]</f>
        <v>GLR5 - 615563</v>
      </c>
      <c r="B5296" s="233" t="s">
        <v>6802</v>
      </c>
      <c r="C5296" s="227" t="s">
        <v>2758</v>
      </c>
      <c r="F5296" s="227" t="s">
        <v>2999</v>
      </c>
    </row>
    <row r="5297" spans="1:6" x14ac:dyDescent="0.25">
      <c r="A5297" s="227" t="str">
        <f>TL[[#This Row],[Société]]&amp;" - "&amp;TL[[#This Row],[Compte]]</f>
        <v>GLR5 - 615600</v>
      </c>
      <c r="B5297" s="233" t="s">
        <v>1627</v>
      </c>
      <c r="C5297" s="227" t="s">
        <v>2230</v>
      </c>
      <c r="D5297" s="233" t="s">
        <v>20</v>
      </c>
      <c r="E5297" s="233" t="s">
        <v>25</v>
      </c>
      <c r="F5297" s="227" t="s">
        <v>2999</v>
      </c>
    </row>
    <row r="5298" spans="1:6" x14ac:dyDescent="0.25">
      <c r="A5298" s="227" t="str">
        <f>TL[[#This Row],[Société]]&amp;" - "&amp;TL[[#This Row],[Compte]]</f>
        <v>GLR5 - 615609</v>
      </c>
      <c r="B5298" s="233" t="s">
        <v>2553</v>
      </c>
      <c r="C5298" s="227" t="s">
        <v>2175</v>
      </c>
      <c r="D5298" s="233" t="s">
        <v>20</v>
      </c>
      <c r="E5298" s="233" t="s">
        <v>25</v>
      </c>
      <c r="F5298" s="227" t="s">
        <v>2999</v>
      </c>
    </row>
    <row r="5299" spans="1:6" x14ac:dyDescent="0.25">
      <c r="A5299" s="227" t="str">
        <f>TL[[#This Row],[Société]]&amp;" - "&amp;TL[[#This Row],[Compte]]</f>
        <v>GLR5 - 615610</v>
      </c>
      <c r="B5299" s="233" t="s">
        <v>1779</v>
      </c>
      <c r="C5299" s="227" t="s">
        <v>234</v>
      </c>
      <c r="D5299" s="233" t="s">
        <v>20</v>
      </c>
      <c r="E5299" s="233" t="s">
        <v>25</v>
      </c>
      <c r="F5299" s="227" t="s">
        <v>2999</v>
      </c>
    </row>
    <row r="5300" spans="1:6" x14ac:dyDescent="0.25">
      <c r="A5300" s="227" t="str">
        <f>TL[[#This Row],[Société]]&amp;" - "&amp;TL[[#This Row],[Compte]]</f>
        <v>GLR5 - 615611</v>
      </c>
      <c r="B5300" s="233" t="s">
        <v>1608</v>
      </c>
      <c r="C5300" s="227" t="s">
        <v>5869</v>
      </c>
      <c r="D5300" s="233" t="s">
        <v>20</v>
      </c>
      <c r="E5300" s="233" t="s">
        <v>25</v>
      </c>
      <c r="F5300" s="227" t="s">
        <v>2999</v>
      </c>
    </row>
    <row r="5301" spans="1:6" x14ac:dyDescent="0.25">
      <c r="A5301" s="227" t="str">
        <f>TL[[#This Row],[Société]]&amp;" - "&amp;TL[[#This Row],[Compte]]</f>
        <v>GLR5 - 615614</v>
      </c>
      <c r="B5301" s="233" t="s">
        <v>1620</v>
      </c>
      <c r="C5301" s="227" t="s">
        <v>3247</v>
      </c>
      <c r="D5301" s="233" t="s">
        <v>20</v>
      </c>
      <c r="E5301" s="233" t="s">
        <v>25</v>
      </c>
      <c r="F5301" s="227" t="s">
        <v>2999</v>
      </c>
    </row>
    <row r="5302" spans="1:6" x14ac:dyDescent="0.25">
      <c r="A5302" s="227" t="str">
        <f>TL[[#This Row],[Société]]&amp;" - "&amp;TL[[#This Row],[Compte]]</f>
        <v>GLR5 - 615615</v>
      </c>
      <c r="B5302" s="233" t="s">
        <v>1598</v>
      </c>
      <c r="C5302" s="227" t="s">
        <v>240</v>
      </c>
      <c r="D5302" s="233" t="s">
        <v>20</v>
      </c>
      <c r="E5302" s="233" t="s">
        <v>25</v>
      </c>
      <c r="F5302" s="227" t="s">
        <v>2999</v>
      </c>
    </row>
    <row r="5303" spans="1:6" x14ac:dyDescent="0.25">
      <c r="A5303" s="227" t="str">
        <f>TL[[#This Row],[Société]]&amp;" - "&amp;TL[[#This Row],[Compte]]</f>
        <v>GLR5 - 615616</v>
      </c>
      <c r="B5303" s="233" t="s">
        <v>1625</v>
      </c>
      <c r="C5303" s="227" t="s">
        <v>229</v>
      </c>
      <c r="D5303" s="233" t="s">
        <v>20</v>
      </c>
      <c r="E5303" s="233" t="s">
        <v>25</v>
      </c>
      <c r="F5303" s="227" t="s">
        <v>2999</v>
      </c>
    </row>
    <row r="5304" spans="1:6" x14ac:dyDescent="0.25">
      <c r="A5304" s="227" t="str">
        <f>TL[[#This Row],[Société]]&amp;" - "&amp;TL[[#This Row],[Compte]]</f>
        <v>GLR5 - 615617</v>
      </c>
      <c r="B5304" s="233" t="s">
        <v>1611</v>
      </c>
      <c r="C5304" s="227" t="s">
        <v>3241</v>
      </c>
      <c r="D5304" s="233" t="s">
        <v>20</v>
      </c>
      <c r="E5304" s="233" t="s">
        <v>25</v>
      </c>
      <c r="F5304" s="227" t="s">
        <v>2999</v>
      </c>
    </row>
    <row r="5305" spans="1:6" x14ac:dyDescent="0.25">
      <c r="A5305" s="227" t="str">
        <f>TL[[#This Row],[Société]]&amp;" - "&amp;TL[[#This Row],[Compte]]</f>
        <v>GLR5 - 615618</v>
      </c>
      <c r="B5305" s="233" t="s">
        <v>1582</v>
      </c>
      <c r="C5305" s="227" t="s">
        <v>5870</v>
      </c>
      <c r="D5305" s="233" t="s">
        <v>20</v>
      </c>
      <c r="E5305" s="233" t="s">
        <v>25</v>
      </c>
      <c r="F5305" s="227" t="s">
        <v>2999</v>
      </c>
    </row>
    <row r="5306" spans="1:6" x14ac:dyDescent="0.25">
      <c r="A5306" s="227" t="str">
        <f>TL[[#This Row],[Société]]&amp;" - "&amp;TL[[#This Row],[Compte]]</f>
        <v>GLR5 - 615619</v>
      </c>
      <c r="B5306" s="233" t="s">
        <v>1936</v>
      </c>
      <c r="C5306" s="227" t="s">
        <v>2203</v>
      </c>
      <c r="D5306" s="233" t="s">
        <v>20</v>
      </c>
      <c r="E5306" s="233" t="s">
        <v>18</v>
      </c>
      <c r="F5306" s="227" t="s">
        <v>2999</v>
      </c>
    </row>
    <row r="5307" spans="1:6" x14ac:dyDescent="0.25">
      <c r="A5307" s="227" t="str">
        <f>TL[[#This Row],[Société]]&amp;" - "&amp;TL[[#This Row],[Compte]]</f>
        <v>GLR5 - 615620</v>
      </c>
      <c r="B5307" s="233" t="s">
        <v>1583</v>
      </c>
      <c r="C5307" s="227" t="s">
        <v>5871</v>
      </c>
      <c r="D5307" s="233" t="s">
        <v>20</v>
      </c>
      <c r="E5307" s="233" t="s">
        <v>18</v>
      </c>
      <c r="F5307" s="227" t="s">
        <v>2999</v>
      </c>
    </row>
    <row r="5308" spans="1:6" x14ac:dyDescent="0.25">
      <c r="A5308" s="227" t="str">
        <f>TL[[#This Row],[Société]]&amp;" - "&amp;TL[[#This Row],[Compte]]</f>
        <v>GLR5 - 615621</v>
      </c>
      <c r="B5308" s="233" t="s">
        <v>1595</v>
      </c>
      <c r="C5308" s="227" t="s">
        <v>211</v>
      </c>
      <c r="D5308" s="233" t="s">
        <v>20</v>
      </c>
      <c r="E5308" s="233" t="s">
        <v>25</v>
      </c>
      <c r="F5308" s="227" t="s">
        <v>2999</v>
      </c>
    </row>
    <row r="5309" spans="1:6" x14ac:dyDescent="0.25">
      <c r="A5309" s="227" t="str">
        <f>TL[[#This Row],[Société]]&amp;" - "&amp;TL[[#This Row],[Compte]]</f>
        <v>GLR5 - 615622</v>
      </c>
      <c r="B5309" s="233" t="s">
        <v>1614</v>
      </c>
      <c r="C5309" s="227" t="s">
        <v>6803</v>
      </c>
      <c r="D5309" s="233" t="s">
        <v>20</v>
      </c>
      <c r="E5309" s="233" t="s">
        <v>25</v>
      </c>
      <c r="F5309" s="227" t="s">
        <v>2999</v>
      </c>
    </row>
    <row r="5310" spans="1:6" x14ac:dyDescent="0.25">
      <c r="A5310" s="227" t="str">
        <f>TL[[#This Row],[Société]]&amp;" - "&amp;TL[[#This Row],[Compte]]</f>
        <v>GLR5 - 615623</v>
      </c>
      <c r="B5310" s="233" t="s">
        <v>1626</v>
      </c>
      <c r="C5310" s="227" t="s">
        <v>6804</v>
      </c>
      <c r="D5310" s="233" t="s">
        <v>20</v>
      </c>
      <c r="E5310" s="233" t="s">
        <v>25</v>
      </c>
      <c r="F5310" s="227" t="s">
        <v>2999</v>
      </c>
    </row>
    <row r="5311" spans="1:6" x14ac:dyDescent="0.25">
      <c r="A5311" s="227" t="str">
        <f>TL[[#This Row],[Société]]&amp;" - "&amp;TL[[#This Row],[Compte]]</f>
        <v>GLR5 - 615624</v>
      </c>
      <c r="B5311" s="233" t="s">
        <v>1937</v>
      </c>
      <c r="C5311" s="227" t="s">
        <v>2231</v>
      </c>
      <c r="D5311" s="233" t="s">
        <v>20</v>
      </c>
      <c r="E5311" s="233" t="s">
        <v>25</v>
      </c>
      <c r="F5311" s="227" t="s">
        <v>2999</v>
      </c>
    </row>
    <row r="5312" spans="1:6" x14ac:dyDescent="0.25">
      <c r="A5312" s="227" t="str">
        <f>TL[[#This Row],[Société]]&amp;" - "&amp;TL[[#This Row],[Compte]]</f>
        <v>GLR5 - 615625</v>
      </c>
      <c r="B5312" s="233" t="s">
        <v>1785</v>
      </c>
      <c r="C5312" s="227" t="s">
        <v>5872</v>
      </c>
      <c r="D5312" s="233" t="s">
        <v>20</v>
      </c>
      <c r="E5312" s="233" t="s">
        <v>25</v>
      </c>
      <c r="F5312" s="227" t="s">
        <v>2999</v>
      </c>
    </row>
    <row r="5313" spans="1:6" x14ac:dyDescent="0.25">
      <c r="A5313" s="227" t="str">
        <f>TL[[#This Row],[Société]]&amp;" - "&amp;TL[[#This Row],[Compte]]</f>
        <v>GLR5 - 615626</v>
      </c>
      <c r="B5313" s="233" t="s">
        <v>1938</v>
      </c>
      <c r="C5313" s="227" t="s">
        <v>1401</v>
      </c>
      <c r="D5313" s="233" t="s">
        <v>20</v>
      </c>
      <c r="E5313" s="233" t="s">
        <v>25</v>
      </c>
      <c r="F5313" s="227" t="s">
        <v>2999</v>
      </c>
    </row>
    <row r="5314" spans="1:6" x14ac:dyDescent="0.25">
      <c r="A5314" s="227" t="str">
        <f>TL[[#This Row],[Société]]&amp;" - "&amp;TL[[#This Row],[Compte]]</f>
        <v>GLR5 - 615627</v>
      </c>
      <c r="B5314" s="233" t="s">
        <v>1624</v>
      </c>
      <c r="C5314" s="227" t="s">
        <v>6805</v>
      </c>
      <c r="D5314" s="233" t="s">
        <v>20</v>
      </c>
      <c r="E5314" s="233" t="s">
        <v>25</v>
      </c>
      <c r="F5314" s="227" t="s">
        <v>2999</v>
      </c>
    </row>
    <row r="5315" spans="1:6" x14ac:dyDescent="0.25">
      <c r="A5315" s="227" t="str">
        <f>TL[[#This Row],[Société]]&amp;" - "&amp;TL[[#This Row],[Compte]]</f>
        <v>GLR5 - 615628</v>
      </c>
      <c r="B5315" s="233" t="s">
        <v>1593</v>
      </c>
      <c r="C5315" s="227" t="s">
        <v>3244</v>
      </c>
      <c r="D5315" s="233" t="s">
        <v>20</v>
      </c>
      <c r="E5315" s="233" t="s">
        <v>25</v>
      </c>
      <c r="F5315" s="227" t="s">
        <v>2999</v>
      </c>
    </row>
    <row r="5316" spans="1:6" x14ac:dyDescent="0.25">
      <c r="A5316" s="227" t="str">
        <f>TL[[#This Row],[Société]]&amp;" - "&amp;TL[[#This Row],[Compte]]</f>
        <v>GLR5 - 615629</v>
      </c>
      <c r="B5316" s="233" t="s">
        <v>1939</v>
      </c>
      <c r="C5316" s="227" t="s">
        <v>2232</v>
      </c>
      <c r="D5316" s="233" t="s">
        <v>20</v>
      </c>
      <c r="E5316" s="233" t="s">
        <v>20</v>
      </c>
      <c r="F5316" s="227" t="s">
        <v>2999</v>
      </c>
    </row>
    <row r="5317" spans="1:6" x14ac:dyDescent="0.25">
      <c r="A5317" s="227" t="str">
        <f>TL[[#This Row],[Société]]&amp;" - "&amp;TL[[#This Row],[Compte]]</f>
        <v>GLR5 - 615630</v>
      </c>
      <c r="B5317" s="233" t="s">
        <v>1597</v>
      </c>
      <c r="C5317" s="227" t="s">
        <v>5873</v>
      </c>
      <c r="D5317" s="233" t="s">
        <v>20</v>
      </c>
      <c r="E5317" s="233" t="s">
        <v>25</v>
      </c>
      <c r="F5317" s="227" t="s">
        <v>2999</v>
      </c>
    </row>
    <row r="5318" spans="1:6" x14ac:dyDescent="0.25">
      <c r="A5318" s="227" t="str">
        <f>TL[[#This Row],[Société]]&amp;" - "&amp;TL[[#This Row],[Compte]]</f>
        <v>GLR5 - 615631</v>
      </c>
      <c r="B5318" s="233" t="s">
        <v>1768</v>
      </c>
      <c r="C5318" s="227" t="s">
        <v>5874</v>
      </c>
      <c r="D5318" s="233" t="s">
        <v>20</v>
      </c>
      <c r="E5318" s="233" t="s">
        <v>25</v>
      </c>
      <c r="F5318" s="227" t="s">
        <v>2999</v>
      </c>
    </row>
    <row r="5319" spans="1:6" x14ac:dyDescent="0.25">
      <c r="A5319" s="227" t="str">
        <f>TL[[#This Row],[Société]]&amp;" - "&amp;TL[[#This Row],[Compte]]</f>
        <v>GLR5 - 615632</v>
      </c>
      <c r="B5319" s="233" t="s">
        <v>1613</v>
      </c>
      <c r="C5319" s="227" t="s">
        <v>2233</v>
      </c>
      <c r="D5319" s="233" t="s">
        <v>20</v>
      </c>
      <c r="E5319" s="233" t="s">
        <v>25</v>
      </c>
      <c r="F5319" s="227" t="s">
        <v>2999</v>
      </c>
    </row>
    <row r="5320" spans="1:6" x14ac:dyDescent="0.25">
      <c r="A5320" s="227" t="str">
        <f>TL[[#This Row],[Société]]&amp;" - "&amp;TL[[#This Row],[Compte]]</f>
        <v>GLR5 - 615633</v>
      </c>
      <c r="B5320" s="233" t="s">
        <v>1771</v>
      </c>
      <c r="C5320" s="227" t="s">
        <v>2234</v>
      </c>
      <c r="D5320" s="233" t="s">
        <v>20</v>
      </c>
      <c r="E5320" s="233" t="s">
        <v>20</v>
      </c>
      <c r="F5320" s="227" t="s">
        <v>2999</v>
      </c>
    </row>
    <row r="5321" spans="1:6" x14ac:dyDescent="0.25">
      <c r="A5321" s="227" t="str">
        <f>TL[[#This Row],[Société]]&amp;" - "&amp;TL[[#This Row],[Compte]]</f>
        <v>GLR5 - 615634</v>
      </c>
      <c r="B5321" s="233" t="s">
        <v>1795</v>
      </c>
      <c r="C5321" s="227" t="s">
        <v>233</v>
      </c>
      <c r="D5321" s="233" t="s">
        <v>20</v>
      </c>
      <c r="E5321" s="233" t="s">
        <v>25</v>
      </c>
      <c r="F5321" s="227" t="s">
        <v>2999</v>
      </c>
    </row>
    <row r="5322" spans="1:6" x14ac:dyDescent="0.25">
      <c r="A5322" s="227" t="str">
        <f>TL[[#This Row],[Société]]&amp;" - "&amp;TL[[#This Row],[Compte]]</f>
        <v>GLR5 - 615636</v>
      </c>
      <c r="B5322" s="233" t="s">
        <v>1772</v>
      </c>
      <c r="C5322" s="227" t="s">
        <v>2235</v>
      </c>
      <c r="D5322" s="233" t="s">
        <v>20</v>
      </c>
      <c r="E5322" s="233" t="s">
        <v>25</v>
      </c>
      <c r="F5322" s="227" t="s">
        <v>2999</v>
      </c>
    </row>
    <row r="5323" spans="1:6" x14ac:dyDescent="0.25">
      <c r="A5323" s="227" t="str">
        <f>TL[[#This Row],[Société]]&amp;" - "&amp;TL[[#This Row],[Compte]]</f>
        <v>GLR5 - 615637</v>
      </c>
      <c r="B5323" s="233" t="s">
        <v>1628</v>
      </c>
      <c r="C5323" s="227" t="s">
        <v>2236</v>
      </c>
      <c r="D5323" s="233" t="s">
        <v>20</v>
      </c>
      <c r="E5323" s="233" t="s">
        <v>25</v>
      </c>
      <c r="F5323" s="227" t="s">
        <v>2999</v>
      </c>
    </row>
    <row r="5324" spans="1:6" x14ac:dyDescent="0.25">
      <c r="A5324" s="227" t="str">
        <f>TL[[#This Row],[Société]]&amp;" - "&amp;TL[[#This Row],[Compte]]</f>
        <v>GLR5 - 615641</v>
      </c>
      <c r="B5324" s="233" t="s">
        <v>2096</v>
      </c>
      <c r="C5324" s="227" t="s">
        <v>3247</v>
      </c>
      <c r="D5324" s="233" t="s">
        <v>20</v>
      </c>
      <c r="E5324" s="233" t="s">
        <v>25</v>
      </c>
      <c r="F5324" s="227" t="s">
        <v>2999</v>
      </c>
    </row>
    <row r="5325" spans="1:6" x14ac:dyDescent="0.25">
      <c r="A5325" s="227" t="str">
        <f>TL[[#This Row],[Société]]&amp;" - "&amp;TL[[#This Row],[Compte]]</f>
        <v>GLR5 - 615642</v>
      </c>
      <c r="B5325" s="233" t="s">
        <v>2097</v>
      </c>
      <c r="C5325" s="227" t="s">
        <v>3248</v>
      </c>
      <c r="D5325" s="233" t="s">
        <v>20</v>
      </c>
      <c r="E5325" s="233" t="s">
        <v>25</v>
      </c>
      <c r="F5325" s="227" t="s">
        <v>2999</v>
      </c>
    </row>
    <row r="5326" spans="1:6" x14ac:dyDescent="0.25">
      <c r="A5326" s="227" t="str">
        <f>TL[[#This Row],[Société]]&amp;" - "&amp;TL[[#This Row],[Compte]]</f>
        <v>GLR5 - 615643</v>
      </c>
      <c r="B5326" s="233" t="s">
        <v>3246</v>
      </c>
      <c r="C5326" s="227" t="s">
        <v>6806</v>
      </c>
      <c r="D5326" s="233" t="s">
        <v>152</v>
      </c>
      <c r="E5326" s="233" t="s">
        <v>25</v>
      </c>
      <c r="F5326" s="227" t="s">
        <v>2999</v>
      </c>
    </row>
    <row r="5327" spans="1:6" x14ac:dyDescent="0.25">
      <c r="A5327" s="227" t="str">
        <f>TL[[#This Row],[Société]]&amp;" - "&amp;TL[[#This Row],[Compte]]</f>
        <v>GLR5 - 615645</v>
      </c>
      <c r="B5327" s="233" t="s">
        <v>2554</v>
      </c>
      <c r="C5327" s="227" t="s">
        <v>2202</v>
      </c>
      <c r="D5327" s="233" t="s">
        <v>20</v>
      </c>
      <c r="E5327" s="233" t="s">
        <v>25</v>
      </c>
      <c r="F5327" s="227" t="s">
        <v>2999</v>
      </c>
    </row>
    <row r="5328" spans="1:6" x14ac:dyDescent="0.25">
      <c r="A5328" s="227" t="str">
        <f>TL[[#This Row],[Société]]&amp;" - "&amp;TL[[#This Row],[Compte]]</f>
        <v>GLR5 - 615646</v>
      </c>
      <c r="B5328" s="233" t="s">
        <v>6316</v>
      </c>
      <c r="C5328" s="227" t="s">
        <v>6807</v>
      </c>
      <c r="D5328" s="233" t="s">
        <v>20</v>
      </c>
      <c r="E5328" s="233" t="s">
        <v>25</v>
      </c>
      <c r="F5328" s="227" t="s">
        <v>2999</v>
      </c>
    </row>
    <row r="5329" spans="1:6" x14ac:dyDescent="0.25">
      <c r="A5329" s="227" t="str">
        <f>TL[[#This Row],[Société]]&amp;" - "&amp;TL[[#This Row],[Compte]]</f>
        <v>GLR5 - 615647</v>
      </c>
      <c r="B5329" s="233" t="s">
        <v>2555</v>
      </c>
      <c r="C5329" s="227" t="s">
        <v>2204</v>
      </c>
      <c r="D5329" s="233" t="s">
        <v>20</v>
      </c>
      <c r="E5329" s="233" t="s">
        <v>25</v>
      </c>
      <c r="F5329" s="227" t="s">
        <v>2999</v>
      </c>
    </row>
    <row r="5330" spans="1:6" x14ac:dyDescent="0.25">
      <c r="A5330" s="227" t="str">
        <f>TL[[#This Row],[Société]]&amp;" - "&amp;TL[[#This Row],[Compte]]</f>
        <v>GLR5 - 615649</v>
      </c>
      <c r="B5330" s="233" t="s">
        <v>2749</v>
      </c>
      <c r="C5330" s="227" t="s">
        <v>6808</v>
      </c>
      <c r="D5330" s="233" t="s">
        <v>20</v>
      </c>
      <c r="E5330" s="233" t="s">
        <v>25</v>
      </c>
      <c r="F5330" s="227" t="s">
        <v>2999</v>
      </c>
    </row>
    <row r="5331" spans="1:6" x14ac:dyDescent="0.25">
      <c r="A5331" s="227" t="str">
        <f>TL[[#This Row],[Société]]&amp;" - "&amp;TL[[#This Row],[Compte]]</f>
        <v>GLR5 - 615650</v>
      </c>
      <c r="B5331" s="233" t="s">
        <v>2750</v>
      </c>
      <c r="C5331" s="227" t="s">
        <v>5876</v>
      </c>
      <c r="D5331" s="233" t="s">
        <v>20</v>
      </c>
      <c r="E5331" s="233" t="s">
        <v>25</v>
      </c>
      <c r="F5331" s="227" t="s">
        <v>2999</v>
      </c>
    </row>
    <row r="5332" spans="1:6" x14ac:dyDescent="0.25">
      <c r="A5332" s="227" t="str">
        <f>TL[[#This Row],[Société]]&amp;" - "&amp;TL[[#This Row],[Compte]]</f>
        <v>GLR5 - 615651</v>
      </c>
      <c r="B5332" s="233" t="s">
        <v>2556</v>
      </c>
      <c r="C5332" s="227" t="s">
        <v>2237</v>
      </c>
      <c r="D5332" s="233" t="s">
        <v>20</v>
      </c>
      <c r="E5332" s="233" t="s">
        <v>25</v>
      </c>
      <c r="F5332" s="227" t="s">
        <v>2999</v>
      </c>
    </row>
    <row r="5333" spans="1:6" x14ac:dyDescent="0.25">
      <c r="A5333" s="227" t="str">
        <f>TL[[#This Row],[Société]]&amp;" - "&amp;TL[[#This Row],[Compte]]</f>
        <v>GLR5 - 615652</v>
      </c>
      <c r="B5333" s="233" t="s">
        <v>2557</v>
      </c>
      <c r="C5333" s="227" t="s">
        <v>2238</v>
      </c>
      <c r="D5333" s="233" t="s">
        <v>20</v>
      </c>
      <c r="E5333" s="233" t="s">
        <v>25</v>
      </c>
      <c r="F5333" s="227" t="s">
        <v>2999</v>
      </c>
    </row>
    <row r="5334" spans="1:6" x14ac:dyDescent="0.25">
      <c r="A5334" s="227" t="str">
        <f>TL[[#This Row],[Société]]&amp;" - "&amp;TL[[#This Row],[Compte]]</f>
        <v>GLR5 - 615653</v>
      </c>
      <c r="B5334" s="233" t="s">
        <v>2558</v>
      </c>
      <c r="C5334" s="227" t="s">
        <v>2239</v>
      </c>
      <c r="D5334" s="233" t="s">
        <v>20</v>
      </c>
      <c r="E5334" s="233" t="s">
        <v>25</v>
      </c>
      <c r="F5334" s="227" t="s">
        <v>2999</v>
      </c>
    </row>
    <row r="5335" spans="1:6" x14ac:dyDescent="0.25">
      <c r="A5335" s="227" t="str">
        <f>TL[[#This Row],[Société]]&amp;" - "&amp;TL[[#This Row],[Compte]]</f>
        <v>GLR5 - 615654</v>
      </c>
      <c r="B5335" s="233" t="s">
        <v>2559</v>
      </c>
      <c r="C5335" s="227" t="s">
        <v>1486</v>
      </c>
      <c r="D5335" s="233" t="s">
        <v>20</v>
      </c>
      <c r="E5335" s="233" t="s">
        <v>25</v>
      </c>
      <c r="F5335" s="227" t="s">
        <v>2999</v>
      </c>
    </row>
    <row r="5336" spans="1:6" x14ac:dyDescent="0.25">
      <c r="A5336" s="227" t="str">
        <f>TL[[#This Row],[Société]]&amp;" - "&amp;TL[[#This Row],[Compte]]</f>
        <v>GLR5 - 615655</v>
      </c>
      <c r="B5336" s="233" t="s">
        <v>2560</v>
      </c>
      <c r="C5336" s="227" t="s">
        <v>2240</v>
      </c>
      <c r="D5336" s="233" t="s">
        <v>20</v>
      </c>
      <c r="E5336" s="233" t="s">
        <v>25</v>
      </c>
      <c r="F5336" s="227" t="s">
        <v>2999</v>
      </c>
    </row>
    <row r="5337" spans="1:6" x14ac:dyDescent="0.25">
      <c r="A5337" s="227" t="str">
        <f>TL[[#This Row],[Société]]&amp;" - "&amp;TL[[#This Row],[Compte]]</f>
        <v>GLR5 - 615656</v>
      </c>
      <c r="B5337" s="233" t="s">
        <v>2561</v>
      </c>
      <c r="C5337" s="227" t="s">
        <v>2241</v>
      </c>
      <c r="D5337" s="233" t="s">
        <v>20</v>
      </c>
      <c r="E5337" s="233" t="s">
        <v>25</v>
      </c>
      <c r="F5337" s="227" t="s">
        <v>2999</v>
      </c>
    </row>
    <row r="5338" spans="1:6" x14ac:dyDescent="0.25">
      <c r="A5338" s="227" t="str">
        <f>TL[[#This Row],[Société]]&amp;" - "&amp;TL[[#This Row],[Compte]]</f>
        <v>GLR5 - 615657</v>
      </c>
      <c r="B5338" s="233" t="s">
        <v>2562</v>
      </c>
      <c r="C5338" s="227" t="s">
        <v>2242</v>
      </c>
      <c r="D5338" s="233" t="s">
        <v>20</v>
      </c>
      <c r="E5338" s="233" t="s">
        <v>25</v>
      </c>
      <c r="F5338" s="227" t="s">
        <v>2999</v>
      </c>
    </row>
    <row r="5339" spans="1:6" x14ac:dyDescent="0.25">
      <c r="A5339" s="227" t="str">
        <f>TL[[#This Row],[Société]]&amp;" - "&amp;TL[[#This Row],[Compte]]</f>
        <v>GLR5 - 615658</v>
      </c>
      <c r="B5339" s="233" t="s">
        <v>2563</v>
      </c>
      <c r="C5339" s="227" t="s">
        <v>1482</v>
      </c>
      <c r="D5339" s="233" t="s">
        <v>20</v>
      </c>
      <c r="E5339" s="233" t="s">
        <v>25</v>
      </c>
      <c r="F5339" s="227" t="s">
        <v>2999</v>
      </c>
    </row>
    <row r="5340" spans="1:6" x14ac:dyDescent="0.25">
      <c r="A5340" s="227" t="str">
        <f>TL[[#This Row],[Société]]&amp;" - "&amp;TL[[#This Row],[Compte]]</f>
        <v>GLR5 - 615659</v>
      </c>
      <c r="B5340" s="233" t="s">
        <v>2564</v>
      </c>
      <c r="C5340" s="227" t="s">
        <v>2243</v>
      </c>
      <c r="D5340" s="233" t="s">
        <v>20</v>
      </c>
      <c r="E5340" s="233" t="s">
        <v>25</v>
      </c>
      <c r="F5340" s="227" t="s">
        <v>2999</v>
      </c>
    </row>
    <row r="5341" spans="1:6" x14ac:dyDescent="0.25">
      <c r="A5341" s="227" t="str">
        <f>TL[[#This Row],[Société]]&amp;" - "&amp;TL[[#This Row],[Compte]]</f>
        <v>GLR5 - 615660</v>
      </c>
      <c r="B5341" s="233" t="s">
        <v>2565</v>
      </c>
      <c r="C5341" s="227" t="s">
        <v>2208</v>
      </c>
      <c r="D5341" s="233" t="s">
        <v>20</v>
      </c>
      <c r="E5341" s="233" t="s">
        <v>25</v>
      </c>
      <c r="F5341" s="227" t="s">
        <v>2999</v>
      </c>
    </row>
    <row r="5342" spans="1:6" x14ac:dyDescent="0.25">
      <c r="A5342" s="227" t="str">
        <f>TL[[#This Row],[Société]]&amp;" - "&amp;TL[[#This Row],[Compte]]</f>
        <v>GLR5 - 615661</v>
      </c>
      <c r="B5342" s="233" t="s">
        <v>2752</v>
      </c>
      <c r="C5342" s="227" t="s">
        <v>1547</v>
      </c>
      <c r="D5342" s="233" t="s">
        <v>20</v>
      </c>
      <c r="E5342" s="233" t="s">
        <v>25</v>
      </c>
      <c r="F5342" s="227" t="s">
        <v>2999</v>
      </c>
    </row>
    <row r="5343" spans="1:6" x14ac:dyDescent="0.25">
      <c r="A5343" s="227" t="str">
        <f>TL[[#This Row],[Société]]&amp;" - "&amp;TL[[#This Row],[Compte]]</f>
        <v>GLR5 - 615662</v>
      </c>
      <c r="B5343" s="233" t="s">
        <v>2566</v>
      </c>
      <c r="C5343" s="227" t="s">
        <v>2095</v>
      </c>
      <c r="D5343" s="233" t="s">
        <v>20</v>
      </c>
      <c r="E5343" s="233" t="s">
        <v>25</v>
      </c>
      <c r="F5343" s="227" t="s">
        <v>2999</v>
      </c>
    </row>
    <row r="5344" spans="1:6" x14ac:dyDescent="0.25">
      <c r="A5344" s="227" t="str">
        <f>TL[[#This Row],[Société]]&amp;" - "&amp;TL[[#This Row],[Compte]]</f>
        <v>GLR5 - 616000</v>
      </c>
      <c r="B5344" s="233" t="s">
        <v>3255</v>
      </c>
      <c r="C5344" s="227" t="s">
        <v>3256</v>
      </c>
      <c r="D5344" s="233" t="s">
        <v>40</v>
      </c>
      <c r="E5344" s="233" t="s">
        <v>45</v>
      </c>
      <c r="F5344" s="227" t="s">
        <v>2999</v>
      </c>
    </row>
    <row r="5345" spans="1:6" x14ac:dyDescent="0.25">
      <c r="A5345" s="227" t="str">
        <f>TL[[#This Row],[Société]]&amp;" - "&amp;TL[[#This Row],[Compte]]</f>
        <v>GLR5 - 616001</v>
      </c>
      <c r="B5345" s="233" t="s">
        <v>1720</v>
      </c>
      <c r="C5345" s="227" t="s">
        <v>2198</v>
      </c>
      <c r="D5345" s="233" t="s">
        <v>40</v>
      </c>
      <c r="E5345" s="233" t="s">
        <v>45</v>
      </c>
      <c r="F5345" s="227" t="s">
        <v>2999</v>
      </c>
    </row>
    <row r="5346" spans="1:6" x14ac:dyDescent="0.25">
      <c r="A5346" s="227" t="str">
        <f>TL[[#This Row],[Société]]&amp;" - "&amp;TL[[#This Row],[Compte]]</f>
        <v>GLR5 - 616002</v>
      </c>
      <c r="B5346" s="233" t="s">
        <v>1942</v>
      </c>
      <c r="C5346" s="227" t="s">
        <v>2244</v>
      </c>
      <c r="D5346" s="233" t="s">
        <v>40</v>
      </c>
      <c r="E5346" s="233" t="s">
        <v>45</v>
      </c>
      <c r="F5346" s="227" t="s">
        <v>2999</v>
      </c>
    </row>
    <row r="5347" spans="1:6" x14ac:dyDescent="0.25">
      <c r="A5347" s="227" t="str">
        <f>TL[[#This Row],[Société]]&amp;" - "&amp;TL[[#This Row],[Compte]]</f>
        <v>GLR5 - 616003</v>
      </c>
      <c r="B5347" s="233" t="s">
        <v>1731</v>
      </c>
      <c r="C5347" s="227" t="s">
        <v>217</v>
      </c>
      <c r="D5347" s="233" t="s">
        <v>40</v>
      </c>
      <c r="E5347" s="233" t="s">
        <v>45</v>
      </c>
      <c r="F5347" s="227" t="s">
        <v>2999</v>
      </c>
    </row>
    <row r="5348" spans="1:6" x14ac:dyDescent="0.25">
      <c r="A5348" s="227" t="str">
        <f>TL[[#This Row],[Société]]&amp;" - "&amp;TL[[#This Row],[Compte]]</f>
        <v>GLR5 - 616004</v>
      </c>
      <c r="B5348" s="233" t="s">
        <v>1719</v>
      </c>
      <c r="C5348" s="227" t="s">
        <v>2199</v>
      </c>
      <c r="D5348" s="233" t="s">
        <v>50</v>
      </c>
      <c r="E5348" s="233" t="s">
        <v>52</v>
      </c>
      <c r="F5348" s="227" t="s">
        <v>2999</v>
      </c>
    </row>
    <row r="5349" spans="1:6" x14ac:dyDescent="0.25">
      <c r="A5349" s="227" t="str">
        <f>TL[[#This Row],[Société]]&amp;" - "&amp;TL[[#This Row],[Compte]]</f>
        <v>GLR5 - 616006</v>
      </c>
      <c r="B5349" s="233" t="s">
        <v>1770</v>
      </c>
      <c r="C5349" s="227" t="s">
        <v>1199</v>
      </c>
      <c r="D5349" s="233" t="s">
        <v>40</v>
      </c>
      <c r="E5349" s="233" t="s">
        <v>45</v>
      </c>
      <c r="F5349" s="227" t="s">
        <v>2999</v>
      </c>
    </row>
    <row r="5350" spans="1:6" x14ac:dyDescent="0.25">
      <c r="A5350" s="227" t="str">
        <f>TL[[#This Row],[Société]]&amp;" - "&amp;TL[[#This Row],[Compte]]</f>
        <v>GLR5 - 616008</v>
      </c>
      <c r="B5350" s="233" t="s">
        <v>6809</v>
      </c>
      <c r="C5350" s="227" t="s">
        <v>6810</v>
      </c>
      <c r="D5350" s="233" t="s">
        <v>40</v>
      </c>
      <c r="E5350" s="233" t="s">
        <v>45</v>
      </c>
      <c r="F5350" s="227" t="s">
        <v>2999</v>
      </c>
    </row>
    <row r="5351" spans="1:6" x14ac:dyDescent="0.25">
      <c r="A5351" s="227" t="str">
        <f>TL[[#This Row],[Société]]&amp;" - "&amp;TL[[#This Row],[Compte]]</f>
        <v>GLR5 - 616100</v>
      </c>
      <c r="B5351" s="233" t="s">
        <v>5005</v>
      </c>
      <c r="C5351" s="227" t="s">
        <v>6467</v>
      </c>
      <c r="D5351" s="233" t="s">
        <v>40</v>
      </c>
      <c r="E5351" s="233" t="s">
        <v>45</v>
      </c>
      <c r="F5351" s="227" t="s">
        <v>2999</v>
      </c>
    </row>
    <row r="5352" spans="1:6" x14ac:dyDescent="0.25">
      <c r="A5352" s="227" t="str">
        <f>TL[[#This Row],[Société]]&amp;" - "&amp;TL[[#This Row],[Compte]]</f>
        <v>GLR5 - 616200</v>
      </c>
      <c r="B5352" s="233" t="s">
        <v>2762</v>
      </c>
      <c r="C5352" s="227" t="s">
        <v>6468</v>
      </c>
      <c r="D5352" s="233" t="s">
        <v>40</v>
      </c>
      <c r="E5352" s="233" t="s">
        <v>45</v>
      </c>
      <c r="F5352" s="227" t="s">
        <v>2999</v>
      </c>
    </row>
    <row r="5353" spans="1:6" x14ac:dyDescent="0.25">
      <c r="A5353" s="227" t="str">
        <f>TL[[#This Row],[Société]]&amp;" - "&amp;TL[[#This Row],[Compte]]</f>
        <v>GLR5 - 616300</v>
      </c>
      <c r="B5353" s="233" t="s">
        <v>2763</v>
      </c>
      <c r="C5353" s="227" t="s">
        <v>6811</v>
      </c>
      <c r="D5353" s="233" t="s">
        <v>40</v>
      </c>
      <c r="E5353" s="233" t="s">
        <v>45</v>
      </c>
      <c r="F5353" s="227" t="s">
        <v>2999</v>
      </c>
    </row>
    <row r="5354" spans="1:6" x14ac:dyDescent="0.25">
      <c r="A5354" s="227" t="str">
        <f>TL[[#This Row],[Société]]&amp;" - "&amp;TL[[#This Row],[Compte]]</f>
        <v>GLR5 - 618100</v>
      </c>
      <c r="B5354" s="233" t="s">
        <v>1943</v>
      </c>
      <c r="C5354" s="227" t="s">
        <v>5886</v>
      </c>
      <c r="D5354" s="233" t="s">
        <v>20</v>
      </c>
      <c r="E5354" s="233" t="s">
        <v>25</v>
      </c>
      <c r="F5354" s="227" t="s">
        <v>2999</v>
      </c>
    </row>
    <row r="5355" spans="1:6" x14ac:dyDescent="0.25">
      <c r="A5355" s="227" t="str">
        <f>TL[[#This Row],[Société]]&amp;" - "&amp;TL[[#This Row],[Compte]]</f>
        <v>GLR5 - 618110</v>
      </c>
      <c r="B5355" s="233" t="s">
        <v>5887</v>
      </c>
      <c r="C5355" s="227" t="s">
        <v>5888</v>
      </c>
      <c r="D5355" s="233" t="s">
        <v>32</v>
      </c>
      <c r="E5355" s="233" t="s">
        <v>2982</v>
      </c>
      <c r="F5355" s="227" t="s">
        <v>2999</v>
      </c>
    </row>
    <row r="5356" spans="1:6" x14ac:dyDescent="0.25">
      <c r="A5356" s="227" t="str">
        <f>TL[[#This Row],[Société]]&amp;" - "&amp;TL[[#This Row],[Compte]]</f>
        <v>GLR5 - 621000</v>
      </c>
      <c r="B5356" s="233" t="s">
        <v>1944</v>
      </c>
      <c r="C5356" s="227" t="s">
        <v>6812</v>
      </c>
      <c r="D5356" s="233" t="s">
        <v>12</v>
      </c>
      <c r="E5356" s="233" t="s">
        <v>16</v>
      </c>
      <c r="F5356" s="227" t="s">
        <v>2999</v>
      </c>
    </row>
    <row r="5357" spans="1:6" x14ac:dyDescent="0.25">
      <c r="A5357" s="227" t="str">
        <f>TL[[#This Row],[Société]]&amp;" - "&amp;TL[[#This Row],[Compte]]</f>
        <v>GLR5 - 621010</v>
      </c>
      <c r="B5357" s="233" t="s">
        <v>2540</v>
      </c>
      <c r="C5357" s="227" t="s">
        <v>2245</v>
      </c>
      <c r="D5357" s="233" t="s">
        <v>50</v>
      </c>
      <c r="E5357" s="233" t="s">
        <v>16</v>
      </c>
      <c r="F5357" s="227" t="s">
        <v>2999</v>
      </c>
    </row>
    <row r="5358" spans="1:6" x14ac:dyDescent="0.25">
      <c r="A5358" s="227" t="str">
        <f>TL[[#This Row],[Société]]&amp;" - "&amp;TL[[#This Row],[Compte]]</f>
        <v>GLR5 - 621011</v>
      </c>
      <c r="B5358" s="233" t="s">
        <v>3263</v>
      </c>
      <c r="C5358" s="227" t="s">
        <v>6813</v>
      </c>
      <c r="D5358" s="233" t="s">
        <v>147</v>
      </c>
      <c r="E5358" s="233" t="s">
        <v>288</v>
      </c>
      <c r="F5358" s="227" t="s">
        <v>2999</v>
      </c>
    </row>
    <row r="5359" spans="1:6" x14ac:dyDescent="0.25">
      <c r="A5359" s="227" t="str">
        <f>TL[[#This Row],[Société]]&amp;" - "&amp;TL[[#This Row],[Compte]]</f>
        <v>GLR5 - 621012</v>
      </c>
      <c r="B5359" s="233" t="s">
        <v>3265</v>
      </c>
      <c r="C5359" s="227" t="s">
        <v>5891</v>
      </c>
      <c r="D5359" s="233" t="s">
        <v>50</v>
      </c>
      <c r="E5359" s="233" t="s">
        <v>16</v>
      </c>
      <c r="F5359" s="227" t="s">
        <v>2999</v>
      </c>
    </row>
    <row r="5360" spans="1:6" x14ac:dyDescent="0.25">
      <c r="A5360" s="227" t="str">
        <f>TL[[#This Row],[Société]]&amp;" - "&amp;TL[[#This Row],[Compte]]</f>
        <v>GLR5 - 621013</v>
      </c>
      <c r="B5360" s="233" t="s">
        <v>3266</v>
      </c>
      <c r="C5360" s="227" t="s">
        <v>5892</v>
      </c>
      <c r="D5360" s="233" t="s">
        <v>50</v>
      </c>
      <c r="E5360" s="233" t="s">
        <v>16</v>
      </c>
      <c r="F5360" s="227" t="s">
        <v>2999</v>
      </c>
    </row>
    <row r="5361" spans="1:6" x14ac:dyDescent="0.25">
      <c r="A5361" s="227" t="str">
        <f>TL[[#This Row],[Société]]&amp;" - "&amp;TL[[#This Row],[Compte]]</f>
        <v>GLR5 - 621020</v>
      </c>
      <c r="B5361" s="233" t="s">
        <v>6327</v>
      </c>
      <c r="C5361" s="227" t="s">
        <v>6814</v>
      </c>
      <c r="D5361" s="233" t="s">
        <v>12</v>
      </c>
      <c r="E5361" s="233" t="s">
        <v>16</v>
      </c>
      <c r="F5361" s="227" t="s">
        <v>2999</v>
      </c>
    </row>
    <row r="5362" spans="1:6" x14ac:dyDescent="0.25">
      <c r="A5362" s="227" t="str">
        <f>TL[[#This Row],[Société]]&amp;" - "&amp;TL[[#This Row],[Compte]]</f>
        <v>GLR5 - 621402</v>
      </c>
      <c r="B5362" s="233" t="s">
        <v>1947</v>
      </c>
      <c r="C5362" s="227" t="s">
        <v>2246</v>
      </c>
      <c r="D5362" s="233" t="s">
        <v>13</v>
      </c>
      <c r="E5362" s="233" t="s">
        <v>16</v>
      </c>
      <c r="F5362" s="227" t="s">
        <v>2999</v>
      </c>
    </row>
    <row r="5363" spans="1:6" x14ac:dyDescent="0.25">
      <c r="A5363" s="227" t="str">
        <f>TL[[#This Row],[Société]]&amp;" - "&amp;TL[[#This Row],[Compte]]</f>
        <v>GLR5 - 621403</v>
      </c>
      <c r="B5363" s="233" t="s">
        <v>5894</v>
      </c>
      <c r="C5363" s="227" t="s">
        <v>5895</v>
      </c>
      <c r="D5363" s="233" t="s">
        <v>12</v>
      </c>
      <c r="E5363" s="233" t="s">
        <v>16</v>
      </c>
      <c r="F5363" s="227" t="s">
        <v>2999</v>
      </c>
    </row>
    <row r="5364" spans="1:6" x14ac:dyDescent="0.25">
      <c r="A5364" s="227" t="str">
        <f>TL[[#This Row],[Société]]&amp;" - "&amp;TL[[#This Row],[Compte]]</f>
        <v>GLR5 - 621404</v>
      </c>
      <c r="B5364" s="233" t="s">
        <v>1615</v>
      </c>
      <c r="C5364" s="227" t="s">
        <v>6815</v>
      </c>
      <c r="D5364" s="233" t="s">
        <v>50</v>
      </c>
      <c r="E5364" s="233" t="s">
        <v>16</v>
      </c>
      <c r="F5364" s="227" t="s">
        <v>2999</v>
      </c>
    </row>
    <row r="5365" spans="1:6" x14ac:dyDescent="0.25">
      <c r="A5365" s="227" t="str">
        <f>TL[[#This Row],[Société]]&amp;" - "&amp;TL[[#This Row],[Compte]]</f>
        <v>GLR5 - 621405</v>
      </c>
      <c r="B5365" s="233" t="s">
        <v>1603</v>
      </c>
      <c r="C5365" s="227" t="s">
        <v>2247</v>
      </c>
      <c r="D5365" s="233" t="s">
        <v>50</v>
      </c>
      <c r="E5365" s="233" t="s">
        <v>16</v>
      </c>
      <c r="F5365" s="227" t="s">
        <v>2999</v>
      </c>
    </row>
    <row r="5366" spans="1:6" x14ac:dyDescent="0.25">
      <c r="A5366" s="227" t="str">
        <f>TL[[#This Row],[Société]]&amp;" - "&amp;TL[[#This Row],[Compte]]</f>
        <v>GLR5 - 621406</v>
      </c>
      <c r="B5366" s="233" t="s">
        <v>1948</v>
      </c>
      <c r="C5366" s="227" t="s">
        <v>2533</v>
      </c>
      <c r="D5366" s="233" t="s">
        <v>15</v>
      </c>
      <c r="E5366" s="233" t="s">
        <v>13</v>
      </c>
      <c r="F5366" s="227" t="s">
        <v>2999</v>
      </c>
    </row>
    <row r="5367" spans="1:6" x14ac:dyDescent="0.25">
      <c r="A5367" s="227" t="str">
        <f>TL[[#This Row],[Société]]&amp;" - "&amp;TL[[#This Row],[Compte]]</f>
        <v>GLR5 - 622600</v>
      </c>
      <c r="B5367" s="233" t="s">
        <v>1622</v>
      </c>
      <c r="C5367" s="227" t="s">
        <v>1203</v>
      </c>
      <c r="D5367" s="233" t="s">
        <v>39</v>
      </c>
      <c r="E5367" s="233" t="s">
        <v>44</v>
      </c>
      <c r="F5367" s="227" t="s">
        <v>2999</v>
      </c>
    </row>
    <row r="5368" spans="1:6" x14ac:dyDescent="0.25">
      <c r="A5368" s="227" t="str">
        <f>TL[[#This Row],[Société]]&amp;" - "&amp;TL[[#This Row],[Compte]]</f>
        <v>GLR5 - 622610</v>
      </c>
      <c r="B5368" s="233" t="s">
        <v>1764</v>
      </c>
      <c r="C5368" s="227" t="s">
        <v>614</v>
      </c>
      <c r="D5368" s="233" t="s">
        <v>39</v>
      </c>
      <c r="F5368" s="227" t="s">
        <v>2999</v>
      </c>
    </row>
    <row r="5369" spans="1:6" x14ac:dyDescent="0.25">
      <c r="A5369" s="227" t="str">
        <f>TL[[#This Row],[Société]]&amp;" - "&amp;TL[[#This Row],[Compte]]</f>
        <v>GLR5 - 622620</v>
      </c>
      <c r="B5369" s="233" t="s">
        <v>1766</v>
      </c>
      <c r="C5369" s="227" t="s">
        <v>1205</v>
      </c>
      <c r="D5369" s="233" t="s">
        <v>39</v>
      </c>
      <c r="E5369" s="233" t="s">
        <v>44</v>
      </c>
      <c r="F5369" s="227" t="s">
        <v>2999</v>
      </c>
    </row>
    <row r="5370" spans="1:6" x14ac:dyDescent="0.25">
      <c r="A5370" s="227" t="str">
        <f>TL[[#This Row],[Société]]&amp;" - "&amp;TL[[#This Row],[Compte]]</f>
        <v>GLR5 - 622650</v>
      </c>
      <c r="B5370" s="233" t="s">
        <v>6816</v>
      </c>
      <c r="C5370" s="227" t="s">
        <v>1204</v>
      </c>
      <c r="D5370" s="233" t="s">
        <v>39</v>
      </c>
      <c r="E5370" s="233" t="s">
        <v>44</v>
      </c>
      <c r="F5370" s="227" t="s">
        <v>2999</v>
      </c>
    </row>
    <row r="5371" spans="1:6" x14ac:dyDescent="0.25">
      <c r="A5371" s="227" t="str">
        <f>TL[[#This Row],[Société]]&amp;" - "&amp;TL[[#This Row],[Compte]]</f>
        <v>GLR5 - 622660</v>
      </c>
      <c r="B5371" s="233" t="s">
        <v>2589</v>
      </c>
      <c r="C5371" s="227" t="s">
        <v>162</v>
      </c>
      <c r="D5371" s="233" t="s">
        <v>39</v>
      </c>
      <c r="E5371" s="233" t="s">
        <v>44</v>
      </c>
      <c r="F5371" s="227" t="s">
        <v>2999</v>
      </c>
    </row>
    <row r="5372" spans="1:6" x14ac:dyDescent="0.25">
      <c r="A5372" s="227" t="str">
        <f>TL[[#This Row],[Société]]&amp;" - "&amp;TL[[#This Row],[Compte]]</f>
        <v>GLR5 - 622661</v>
      </c>
      <c r="B5372" s="233" t="s">
        <v>2590</v>
      </c>
      <c r="C5372" s="227" t="s">
        <v>227</v>
      </c>
      <c r="D5372" s="233" t="s">
        <v>39</v>
      </c>
      <c r="E5372" s="233" t="s">
        <v>44</v>
      </c>
      <c r="F5372" s="227" t="s">
        <v>2999</v>
      </c>
    </row>
    <row r="5373" spans="1:6" x14ac:dyDescent="0.25">
      <c r="A5373" s="227" t="str">
        <f>TL[[#This Row],[Société]]&amp;" - "&amp;TL[[#This Row],[Compte]]</f>
        <v>GLR5 - 622700</v>
      </c>
      <c r="B5373" s="233" t="s">
        <v>1952</v>
      </c>
      <c r="C5373" s="227" t="s">
        <v>5897</v>
      </c>
      <c r="D5373" s="233" t="s">
        <v>39</v>
      </c>
      <c r="E5373" s="233" t="s">
        <v>44</v>
      </c>
      <c r="F5373" s="227" t="s">
        <v>2999</v>
      </c>
    </row>
    <row r="5374" spans="1:6" x14ac:dyDescent="0.25">
      <c r="A5374" s="227" t="str">
        <f>TL[[#This Row],[Société]]&amp;" - "&amp;TL[[#This Row],[Compte]]</f>
        <v>GLR5 - 622800</v>
      </c>
      <c r="B5374" s="233" t="s">
        <v>1738</v>
      </c>
      <c r="C5374" s="227" t="s">
        <v>2180</v>
      </c>
      <c r="D5374" s="233" t="s">
        <v>39</v>
      </c>
      <c r="E5374" s="233" t="s">
        <v>29</v>
      </c>
      <c r="F5374" s="227" t="s">
        <v>2999</v>
      </c>
    </row>
    <row r="5375" spans="1:6" x14ac:dyDescent="0.25">
      <c r="A5375" s="227" t="str">
        <f>TL[[#This Row],[Société]]&amp;" - "&amp;TL[[#This Row],[Compte]]</f>
        <v>GLR5 - 622810</v>
      </c>
      <c r="B5375" s="233" t="s">
        <v>2760</v>
      </c>
      <c r="C5375" s="227" t="s">
        <v>2181</v>
      </c>
      <c r="D5375" s="233" t="s">
        <v>39</v>
      </c>
      <c r="E5375" s="233" t="s">
        <v>29</v>
      </c>
      <c r="F5375" s="227" t="s">
        <v>2999</v>
      </c>
    </row>
    <row r="5376" spans="1:6" x14ac:dyDescent="0.25">
      <c r="A5376" s="227" t="str">
        <f>TL[[#This Row],[Société]]&amp;" - "&amp;TL[[#This Row],[Compte]]</f>
        <v>GLR5 - 622900</v>
      </c>
      <c r="B5376" s="233" t="s">
        <v>1953</v>
      </c>
      <c r="C5376" s="227" t="s">
        <v>6817</v>
      </c>
      <c r="D5376" s="233" t="s">
        <v>50</v>
      </c>
      <c r="E5376" s="233" t="s">
        <v>52</v>
      </c>
      <c r="F5376" s="227" t="s">
        <v>2999</v>
      </c>
    </row>
    <row r="5377" spans="1:6" x14ac:dyDescent="0.25">
      <c r="A5377" s="227" t="str">
        <f>TL[[#This Row],[Société]]&amp;" - "&amp;TL[[#This Row],[Compte]]</f>
        <v>GLR5 - 623000</v>
      </c>
      <c r="B5377" s="233" t="s">
        <v>1594</v>
      </c>
      <c r="C5377" s="227" t="s">
        <v>153</v>
      </c>
      <c r="D5377" s="233" t="s">
        <v>17</v>
      </c>
      <c r="E5377" s="233" t="s">
        <v>30</v>
      </c>
      <c r="F5377" s="227" t="s">
        <v>2999</v>
      </c>
    </row>
    <row r="5378" spans="1:6" x14ac:dyDescent="0.25">
      <c r="A5378" s="227" t="str">
        <f>TL[[#This Row],[Société]]&amp;" - "&amp;TL[[#This Row],[Compte]]</f>
        <v>GLR5 - 623002</v>
      </c>
      <c r="B5378" s="233" t="s">
        <v>1596</v>
      </c>
      <c r="C5378" s="227" t="s">
        <v>6818</v>
      </c>
      <c r="D5378" s="233" t="s">
        <v>18</v>
      </c>
      <c r="E5378" s="233" t="s">
        <v>32</v>
      </c>
      <c r="F5378" s="227" t="s">
        <v>2999</v>
      </c>
    </row>
    <row r="5379" spans="1:6" x14ac:dyDescent="0.25">
      <c r="A5379" s="227" t="str">
        <f>TL[[#This Row],[Société]]&amp;" - "&amp;TL[[#This Row],[Compte]]</f>
        <v>GLR5 - 623050</v>
      </c>
      <c r="B5379" s="233" t="s">
        <v>2570</v>
      </c>
      <c r="C5379" s="227" t="s">
        <v>2248</v>
      </c>
      <c r="D5379" s="233" t="s">
        <v>18</v>
      </c>
      <c r="E5379" s="233" t="s">
        <v>32</v>
      </c>
      <c r="F5379" s="227" t="s">
        <v>2999</v>
      </c>
    </row>
    <row r="5380" spans="1:6" x14ac:dyDescent="0.25">
      <c r="A5380" s="227" t="str">
        <f>TL[[#This Row],[Société]]&amp;" - "&amp;TL[[#This Row],[Compte]]</f>
        <v>GLR5 - 623110</v>
      </c>
      <c r="B5380" s="233" t="s">
        <v>5907</v>
      </c>
      <c r="C5380" s="227" t="s">
        <v>5908</v>
      </c>
      <c r="D5380" s="233" t="s">
        <v>29</v>
      </c>
      <c r="E5380" s="233" t="s">
        <v>32</v>
      </c>
      <c r="F5380" s="227" t="s">
        <v>2999</v>
      </c>
    </row>
    <row r="5381" spans="1:6" x14ac:dyDescent="0.25">
      <c r="A5381" s="227" t="str">
        <f>TL[[#This Row],[Société]]&amp;" - "&amp;TL[[#This Row],[Compte]]</f>
        <v>GLR5 - 623400</v>
      </c>
      <c r="B5381" s="233" t="s">
        <v>1601</v>
      </c>
      <c r="C5381" s="227" t="s">
        <v>228</v>
      </c>
      <c r="D5381" s="233" t="s">
        <v>32</v>
      </c>
      <c r="E5381" s="233" t="s">
        <v>32</v>
      </c>
      <c r="F5381" s="227" t="s">
        <v>2999</v>
      </c>
    </row>
    <row r="5382" spans="1:6" x14ac:dyDescent="0.25">
      <c r="A5382" s="227" t="str">
        <f>TL[[#This Row],[Société]]&amp;" - "&amp;TL[[#This Row],[Compte]]</f>
        <v>GLR5 - 623401</v>
      </c>
      <c r="B5382" s="233" t="s">
        <v>1788</v>
      </c>
      <c r="C5382" s="227" t="s">
        <v>226</v>
      </c>
      <c r="D5382" s="233" t="s">
        <v>18</v>
      </c>
      <c r="E5382" s="233" t="s">
        <v>32</v>
      </c>
      <c r="F5382" s="227" t="s">
        <v>2999</v>
      </c>
    </row>
    <row r="5383" spans="1:6" x14ac:dyDescent="0.25">
      <c r="A5383" s="227" t="str">
        <f>TL[[#This Row],[Société]]&amp;" - "&amp;TL[[#This Row],[Compte]]</f>
        <v>GLR5 - 623415</v>
      </c>
      <c r="B5383" s="233" t="s">
        <v>1633</v>
      </c>
      <c r="C5383" s="227" t="s">
        <v>2249</v>
      </c>
      <c r="D5383" s="233" t="s">
        <v>18</v>
      </c>
      <c r="E5383" s="233" t="s">
        <v>32</v>
      </c>
      <c r="F5383" s="227" t="s">
        <v>2999</v>
      </c>
    </row>
    <row r="5384" spans="1:6" x14ac:dyDescent="0.25">
      <c r="A5384" s="227" t="str">
        <f>TL[[#This Row],[Société]]&amp;" - "&amp;TL[[#This Row],[Compte]]</f>
        <v>GLR5 - 623800</v>
      </c>
      <c r="B5384" s="233" t="s">
        <v>1956</v>
      </c>
      <c r="C5384" s="227" t="s">
        <v>5909</v>
      </c>
      <c r="D5384" s="233" t="s">
        <v>18</v>
      </c>
      <c r="E5384" s="233" t="s">
        <v>32</v>
      </c>
      <c r="F5384" s="227" t="s">
        <v>2999</v>
      </c>
    </row>
    <row r="5385" spans="1:6" x14ac:dyDescent="0.25">
      <c r="A5385" s="227" t="str">
        <f>TL[[#This Row],[Société]]&amp;" - "&amp;TL[[#This Row],[Compte]]</f>
        <v>GLR5 - 624100</v>
      </c>
      <c r="B5385" s="233" t="s">
        <v>1957</v>
      </c>
      <c r="C5385" s="227" t="s">
        <v>5910</v>
      </c>
      <c r="D5385" s="233" t="s">
        <v>50</v>
      </c>
      <c r="E5385" s="233" t="s">
        <v>52</v>
      </c>
      <c r="F5385" s="227" t="s">
        <v>2999</v>
      </c>
    </row>
    <row r="5386" spans="1:6" x14ac:dyDescent="0.25">
      <c r="A5386" s="227" t="str">
        <f>TL[[#This Row],[Société]]&amp;" - "&amp;TL[[#This Row],[Compte]]</f>
        <v>GLR5 - 625200</v>
      </c>
      <c r="B5386" s="233" t="s">
        <v>2579</v>
      </c>
      <c r="C5386" s="227" t="s">
        <v>2250</v>
      </c>
      <c r="D5386" s="233" t="s">
        <v>16</v>
      </c>
      <c r="E5386" s="233" t="s">
        <v>2979</v>
      </c>
      <c r="F5386" s="227" t="s">
        <v>2999</v>
      </c>
    </row>
    <row r="5387" spans="1:6" x14ac:dyDescent="0.25">
      <c r="A5387" s="227" t="str">
        <f>TL[[#This Row],[Société]]&amp;" - "&amp;TL[[#This Row],[Compte]]</f>
        <v>GLR5 - 625210</v>
      </c>
      <c r="B5387" s="233" t="s">
        <v>5913</v>
      </c>
      <c r="C5387" s="227" t="s">
        <v>5914</v>
      </c>
      <c r="D5387" s="233" t="s">
        <v>50</v>
      </c>
      <c r="E5387" s="233" t="s">
        <v>52</v>
      </c>
      <c r="F5387" s="227" t="s">
        <v>2999</v>
      </c>
    </row>
    <row r="5388" spans="1:6" x14ac:dyDescent="0.25">
      <c r="A5388" s="227" t="str">
        <f>TL[[#This Row],[Société]]&amp;" - "&amp;TL[[#This Row],[Compte]]</f>
        <v>GLR5 - 625300</v>
      </c>
      <c r="B5388" s="233" t="s">
        <v>2581</v>
      </c>
      <c r="C5388" s="227" t="s">
        <v>2582</v>
      </c>
      <c r="D5388" s="233" t="s">
        <v>50</v>
      </c>
      <c r="E5388" s="233" t="s">
        <v>2982</v>
      </c>
      <c r="F5388" s="227" t="s">
        <v>2999</v>
      </c>
    </row>
    <row r="5389" spans="1:6" x14ac:dyDescent="0.25">
      <c r="A5389" s="227" t="str">
        <f>TL[[#This Row],[Société]]&amp;" - "&amp;TL[[#This Row],[Compte]]</f>
        <v>GLR5 - 625400</v>
      </c>
      <c r="B5389" s="233" t="s">
        <v>3273</v>
      </c>
      <c r="C5389" s="227" t="s">
        <v>6819</v>
      </c>
      <c r="D5389" s="233" t="s">
        <v>16</v>
      </c>
      <c r="E5389" s="233" t="s">
        <v>2979</v>
      </c>
      <c r="F5389" s="227" t="s">
        <v>2999</v>
      </c>
    </row>
    <row r="5390" spans="1:6" x14ac:dyDescent="0.25">
      <c r="A5390" s="227" t="str">
        <f>TL[[#This Row],[Société]]&amp;" - "&amp;TL[[#This Row],[Compte]]</f>
        <v>GLR5 - 626000</v>
      </c>
      <c r="B5390" s="233" t="s">
        <v>3277</v>
      </c>
      <c r="C5390" s="227" t="s">
        <v>5918</v>
      </c>
      <c r="D5390" s="233" t="s">
        <v>27</v>
      </c>
      <c r="E5390" s="233" t="s">
        <v>34</v>
      </c>
      <c r="F5390" s="227" t="s">
        <v>2999</v>
      </c>
    </row>
    <row r="5391" spans="1:6" x14ac:dyDescent="0.25">
      <c r="A5391" s="227" t="str">
        <f>TL[[#This Row],[Société]]&amp;" - "&amp;TL[[#This Row],[Compte]]</f>
        <v>GLR5 - 626100</v>
      </c>
      <c r="B5391" s="233" t="s">
        <v>1967</v>
      </c>
      <c r="C5391" s="227" t="s">
        <v>6820</v>
      </c>
      <c r="D5391" s="233" t="s">
        <v>27</v>
      </c>
      <c r="E5391" s="233" t="s">
        <v>34</v>
      </c>
      <c r="F5391" s="227" t="s">
        <v>2999</v>
      </c>
    </row>
    <row r="5392" spans="1:6" x14ac:dyDescent="0.25">
      <c r="A5392" s="227" t="str">
        <f>TL[[#This Row],[Société]]&amp;" - "&amp;TL[[#This Row],[Compte]]</f>
        <v>GLR5 - 626200</v>
      </c>
      <c r="B5392" s="233" t="s">
        <v>1590</v>
      </c>
      <c r="C5392" s="227" t="s">
        <v>167</v>
      </c>
      <c r="D5392" s="233" t="s">
        <v>27</v>
      </c>
      <c r="E5392" s="233" t="s">
        <v>34</v>
      </c>
      <c r="F5392" s="227" t="s">
        <v>2999</v>
      </c>
    </row>
    <row r="5393" spans="1:6" x14ac:dyDescent="0.25">
      <c r="A5393" s="227" t="str">
        <f>TL[[#This Row],[Société]]&amp;" - "&amp;TL[[#This Row],[Compte]]</f>
        <v>GLR5 - 627000</v>
      </c>
      <c r="B5393" s="233" t="s">
        <v>3279</v>
      </c>
      <c r="C5393" s="227" t="s">
        <v>5924</v>
      </c>
      <c r="D5393" s="233" t="s">
        <v>47</v>
      </c>
      <c r="E5393" s="233" t="s">
        <v>21</v>
      </c>
      <c r="F5393" s="227" t="s">
        <v>2999</v>
      </c>
    </row>
    <row r="5394" spans="1:6" x14ac:dyDescent="0.25">
      <c r="A5394" s="227" t="str">
        <f>TL[[#This Row],[Société]]&amp;" - "&amp;TL[[#This Row],[Compte]]</f>
        <v>GLR5 - 627002</v>
      </c>
      <c r="B5394" s="233" t="s">
        <v>1969</v>
      </c>
      <c r="C5394" s="227" t="s">
        <v>6821</v>
      </c>
      <c r="D5394" s="233" t="s">
        <v>47</v>
      </c>
      <c r="E5394" s="233" t="s">
        <v>21</v>
      </c>
      <c r="F5394" s="227" t="s">
        <v>2999</v>
      </c>
    </row>
    <row r="5395" spans="1:6" x14ac:dyDescent="0.25">
      <c r="A5395" s="227" t="str">
        <f>TL[[#This Row],[Société]]&amp;" - "&amp;TL[[#This Row],[Compte]]</f>
        <v>GLR5 - 627003</v>
      </c>
      <c r="B5395" s="233" t="s">
        <v>1970</v>
      </c>
      <c r="C5395" s="227" t="s">
        <v>6822</v>
      </c>
      <c r="D5395" s="233" t="s">
        <v>47</v>
      </c>
      <c r="E5395" s="233" t="s">
        <v>21</v>
      </c>
      <c r="F5395" s="227" t="s">
        <v>2999</v>
      </c>
    </row>
    <row r="5396" spans="1:6" x14ac:dyDescent="0.25">
      <c r="A5396" s="227" t="str">
        <f>TL[[#This Row],[Société]]&amp;" - "&amp;TL[[#This Row],[Compte]]</f>
        <v>GLR5 - 627005</v>
      </c>
      <c r="B5396" s="233" t="s">
        <v>1972</v>
      </c>
      <c r="C5396" s="227" t="s">
        <v>6823</v>
      </c>
      <c r="D5396" s="233" t="s">
        <v>47</v>
      </c>
      <c r="E5396" s="233" t="s">
        <v>21</v>
      </c>
      <c r="F5396" s="227" t="s">
        <v>2999</v>
      </c>
    </row>
    <row r="5397" spans="1:6" x14ac:dyDescent="0.25">
      <c r="A5397" s="227" t="str">
        <f>TL[[#This Row],[Société]]&amp;" - "&amp;TL[[#This Row],[Compte]]</f>
        <v>GLR5 - 627200</v>
      </c>
      <c r="B5397" s="233" t="s">
        <v>2117</v>
      </c>
      <c r="C5397" s="227" t="s">
        <v>1574</v>
      </c>
      <c r="D5397" s="233" t="s">
        <v>47</v>
      </c>
      <c r="E5397" s="233" t="s">
        <v>21</v>
      </c>
      <c r="F5397" s="227" t="s">
        <v>2999</v>
      </c>
    </row>
    <row r="5398" spans="1:6" x14ac:dyDescent="0.25">
      <c r="A5398" s="227" t="str">
        <f>TL[[#This Row],[Société]]&amp;" - "&amp;TL[[#This Row],[Compte]]</f>
        <v>GLR5 - 627801</v>
      </c>
      <c r="B5398" s="233" t="s">
        <v>1711</v>
      </c>
      <c r="C5398" s="227" t="s">
        <v>2251</v>
      </c>
      <c r="D5398" s="233" t="s">
        <v>47</v>
      </c>
      <c r="E5398" s="233" t="s">
        <v>21</v>
      </c>
      <c r="F5398" s="227" t="s">
        <v>2999</v>
      </c>
    </row>
    <row r="5399" spans="1:6" x14ac:dyDescent="0.25">
      <c r="A5399" s="227" t="str">
        <f>TL[[#This Row],[Société]]&amp;" - "&amp;TL[[#This Row],[Compte]]</f>
        <v>GLR5 - 627802</v>
      </c>
      <c r="B5399" s="233" t="s">
        <v>1600</v>
      </c>
      <c r="C5399" s="227" t="s">
        <v>6167</v>
      </c>
      <c r="D5399" s="233" t="s">
        <v>47</v>
      </c>
      <c r="E5399" s="233" t="s">
        <v>21</v>
      </c>
      <c r="F5399" s="227" t="s">
        <v>2999</v>
      </c>
    </row>
    <row r="5400" spans="1:6" x14ac:dyDescent="0.25">
      <c r="A5400" s="227" t="str">
        <f>TL[[#This Row],[Société]]&amp;" - "&amp;TL[[#This Row],[Compte]]</f>
        <v>GLR5 - 627803</v>
      </c>
      <c r="B5400" s="233" t="s">
        <v>1716</v>
      </c>
      <c r="C5400" s="227" t="s">
        <v>6168</v>
      </c>
      <c r="D5400" s="233" t="s">
        <v>47</v>
      </c>
      <c r="E5400" s="233" t="s">
        <v>21</v>
      </c>
      <c r="F5400" s="227" t="s">
        <v>2999</v>
      </c>
    </row>
    <row r="5401" spans="1:6" x14ac:dyDescent="0.25">
      <c r="A5401" s="227" t="str">
        <f>TL[[#This Row],[Société]]&amp;" - "&amp;TL[[#This Row],[Compte]]</f>
        <v>GLR5 - 627805</v>
      </c>
      <c r="B5401" s="233" t="s">
        <v>1714</v>
      </c>
      <c r="C5401" s="227" t="s">
        <v>6169</v>
      </c>
      <c r="D5401" s="233" t="s">
        <v>47</v>
      </c>
      <c r="E5401" s="233" t="s">
        <v>21</v>
      </c>
      <c r="F5401" s="227" t="s">
        <v>2999</v>
      </c>
    </row>
    <row r="5402" spans="1:6" x14ac:dyDescent="0.25">
      <c r="A5402" s="227" t="str">
        <f>TL[[#This Row],[Société]]&amp;" - "&amp;TL[[#This Row],[Compte]]</f>
        <v>GLR5 - 628023</v>
      </c>
      <c r="B5402" s="233" t="s">
        <v>1974</v>
      </c>
      <c r="C5402" s="227" t="s">
        <v>2252</v>
      </c>
      <c r="D5402" s="233" t="s">
        <v>32</v>
      </c>
      <c r="E5402" s="233" t="s">
        <v>2982</v>
      </c>
      <c r="F5402" s="227" t="s">
        <v>2999</v>
      </c>
    </row>
    <row r="5403" spans="1:6" x14ac:dyDescent="0.25">
      <c r="A5403" s="227" t="str">
        <f>TL[[#This Row],[Société]]&amp;" - "&amp;TL[[#This Row],[Compte]]</f>
        <v>GLR5 - 628024</v>
      </c>
      <c r="B5403" s="233" t="s">
        <v>2610</v>
      </c>
      <c r="C5403" s="227" t="s">
        <v>2253</v>
      </c>
      <c r="D5403" s="233" t="s">
        <v>150</v>
      </c>
      <c r="E5403" s="233" t="s">
        <v>147</v>
      </c>
      <c r="F5403" s="227" t="s">
        <v>2999</v>
      </c>
    </row>
    <row r="5404" spans="1:6" x14ac:dyDescent="0.25">
      <c r="A5404" s="227" t="str">
        <f>TL[[#This Row],[Société]]&amp;" - "&amp;TL[[#This Row],[Compte]]</f>
        <v>GLR5 - 628200</v>
      </c>
      <c r="B5404" s="233" t="s">
        <v>1591</v>
      </c>
      <c r="C5404" s="227" t="s">
        <v>6824</v>
      </c>
      <c r="D5404" s="233" t="s">
        <v>50</v>
      </c>
      <c r="E5404" s="233" t="s">
        <v>25</v>
      </c>
      <c r="F5404" s="227" t="s">
        <v>2999</v>
      </c>
    </row>
    <row r="5405" spans="1:6" x14ac:dyDescent="0.25">
      <c r="A5405" s="227" t="str">
        <f>TL[[#This Row],[Société]]&amp;" - "&amp;TL[[#This Row],[Compte]]</f>
        <v>GLR5 - 628210</v>
      </c>
      <c r="B5405" s="233" t="s">
        <v>2773</v>
      </c>
      <c r="C5405" s="227" t="s">
        <v>3283</v>
      </c>
      <c r="D5405" s="233" t="s">
        <v>147</v>
      </c>
      <c r="E5405" s="233" t="s">
        <v>288</v>
      </c>
      <c r="F5405" s="227" t="s">
        <v>2999</v>
      </c>
    </row>
    <row r="5406" spans="1:6" x14ac:dyDescent="0.25">
      <c r="A5406" s="227" t="str">
        <f>TL[[#This Row],[Société]]&amp;" - "&amp;TL[[#This Row],[Compte]]</f>
        <v>GLR5 - 628220</v>
      </c>
      <c r="B5406" s="233" t="s">
        <v>2605</v>
      </c>
      <c r="C5406" s="227" t="s">
        <v>2200</v>
      </c>
      <c r="D5406" s="233" t="s">
        <v>147</v>
      </c>
      <c r="E5406" s="233" t="s">
        <v>288</v>
      </c>
      <c r="F5406" s="227" t="s">
        <v>2999</v>
      </c>
    </row>
    <row r="5407" spans="1:6" x14ac:dyDescent="0.25">
      <c r="A5407" s="227" t="str">
        <f>TL[[#This Row],[Société]]&amp;" - "&amp;TL[[#This Row],[Compte]]</f>
        <v>GLR5 - 628300</v>
      </c>
      <c r="B5407" s="233" t="s">
        <v>1619</v>
      </c>
      <c r="C5407" s="227" t="s">
        <v>33</v>
      </c>
      <c r="F5407" s="227" t="s">
        <v>2999</v>
      </c>
    </row>
    <row r="5408" spans="1:6" x14ac:dyDescent="0.25">
      <c r="A5408" s="227" t="str">
        <f>TL[[#This Row],[Société]]&amp;" - "&amp;TL[[#This Row],[Compte]]</f>
        <v>GLR5 - 628400</v>
      </c>
      <c r="B5408" s="233" t="s">
        <v>1623</v>
      </c>
      <c r="C5408" s="227" t="s">
        <v>2254</v>
      </c>
      <c r="D5408" s="233" t="s">
        <v>42</v>
      </c>
      <c r="E5408" s="233" t="s">
        <v>25</v>
      </c>
      <c r="F5408" s="227" t="s">
        <v>2999</v>
      </c>
    </row>
    <row r="5409" spans="1:6" x14ac:dyDescent="0.25">
      <c r="A5409" s="227" t="str">
        <f>TL[[#This Row],[Société]]&amp;" - "&amp;TL[[#This Row],[Compte]]</f>
        <v>GLR5 - 628500</v>
      </c>
      <c r="B5409" s="233" t="s">
        <v>2606</v>
      </c>
      <c r="C5409" s="227" t="s">
        <v>2255</v>
      </c>
      <c r="D5409" s="233" t="s">
        <v>147</v>
      </c>
      <c r="E5409" s="233" t="s">
        <v>288</v>
      </c>
      <c r="F5409" s="227" t="s">
        <v>2999</v>
      </c>
    </row>
    <row r="5410" spans="1:6" x14ac:dyDescent="0.25">
      <c r="A5410" s="227" t="str">
        <f>TL[[#This Row],[Société]]&amp;" - "&amp;TL[[#This Row],[Compte]]</f>
        <v>GLR5 - 628800</v>
      </c>
      <c r="B5410" s="233" t="s">
        <v>5109</v>
      </c>
      <c r="C5410" s="227" t="s">
        <v>6825</v>
      </c>
      <c r="D5410" s="233" t="s">
        <v>16</v>
      </c>
      <c r="E5410" s="233" t="s">
        <v>2979</v>
      </c>
      <c r="F5410" s="227" t="s">
        <v>2999</v>
      </c>
    </row>
    <row r="5411" spans="1:6" x14ac:dyDescent="0.25">
      <c r="A5411" s="227" t="str">
        <f>TL[[#This Row],[Société]]&amp;" - "&amp;TL[[#This Row],[Compte]]</f>
        <v>GLR5 - 631310</v>
      </c>
      <c r="B5411" s="233" t="s">
        <v>5935</v>
      </c>
      <c r="C5411" s="227" t="s">
        <v>2256</v>
      </c>
      <c r="D5411" s="233" t="s">
        <v>42</v>
      </c>
      <c r="E5411" s="233" t="s">
        <v>47</v>
      </c>
      <c r="F5411" s="227" t="s">
        <v>2999</v>
      </c>
    </row>
    <row r="5412" spans="1:6" x14ac:dyDescent="0.25">
      <c r="A5412" s="227" t="str">
        <f>TL[[#This Row],[Société]]&amp;" - "&amp;TL[[#This Row],[Compte]]</f>
        <v>GLR5 - 633300</v>
      </c>
      <c r="B5412" s="233" t="s">
        <v>1730</v>
      </c>
      <c r="C5412" s="227" t="s">
        <v>2257</v>
      </c>
      <c r="D5412" s="233" t="s">
        <v>42</v>
      </c>
      <c r="E5412" s="233" t="s">
        <v>47</v>
      </c>
      <c r="F5412" s="227" t="s">
        <v>2999</v>
      </c>
    </row>
    <row r="5413" spans="1:6" x14ac:dyDescent="0.25">
      <c r="A5413" s="227" t="str">
        <f>TL[[#This Row],[Société]]&amp;" - "&amp;TL[[#This Row],[Compte]]</f>
        <v>GLR5 - 633400</v>
      </c>
      <c r="B5413" s="233" t="s">
        <v>1976</v>
      </c>
      <c r="C5413" s="227" t="s">
        <v>220</v>
      </c>
      <c r="D5413" s="233" t="s">
        <v>42</v>
      </c>
      <c r="E5413" s="233" t="s">
        <v>47</v>
      </c>
      <c r="F5413" s="227" t="s">
        <v>2999</v>
      </c>
    </row>
    <row r="5414" spans="1:6" x14ac:dyDescent="0.25">
      <c r="A5414" s="227" t="str">
        <f>TL[[#This Row],[Société]]&amp;" - "&amp;TL[[#This Row],[Compte]]</f>
        <v>GLR5 - 633500</v>
      </c>
      <c r="B5414" s="233" t="s">
        <v>1729</v>
      </c>
      <c r="C5414" s="227" t="s">
        <v>2258</v>
      </c>
      <c r="D5414" s="233" t="s">
        <v>42</v>
      </c>
      <c r="E5414" s="233" t="s">
        <v>47</v>
      </c>
      <c r="F5414" s="227" t="s">
        <v>2999</v>
      </c>
    </row>
    <row r="5415" spans="1:6" x14ac:dyDescent="0.25">
      <c r="A5415" s="227" t="str">
        <f>TL[[#This Row],[Société]]&amp;" - "&amp;TL[[#This Row],[Compte]]</f>
        <v>GLR5 - 635110</v>
      </c>
      <c r="B5415" s="233" t="s">
        <v>1977</v>
      </c>
      <c r="C5415" s="227" t="s">
        <v>612</v>
      </c>
      <c r="D5415" s="233" t="s">
        <v>42</v>
      </c>
      <c r="E5415" s="233" t="s">
        <v>47</v>
      </c>
      <c r="F5415" s="227" t="s">
        <v>2999</v>
      </c>
    </row>
    <row r="5416" spans="1:6" x14ac:dyDescent="0.25">
      <c r="A5416" s="227" t="str">
        <f>TL[[#This Row],[Société]]&amp;" - "&amp;TL[[#This Row],[Compte]]</f>
        <v>GLR5 - 635111</v>
      </c>
      <c r="B5416" s="233" t="s">
        <v>1786</v>
      </c>
      <c r="C5416" s="227" t="s">
        <v>168</v>
      </c>
      <c r="D5416" s="233" t="s">
        <v>42</v>
      </c>
      <c r="E5416" s="233" t="s">
        <v>47</v>
      </c>
      <c r="F5416" s="227" t="s">
        <v>2999</v>
      </c>
    </row>
    <row r="5417" spans="1:6" x14ac:dyDescent="0.25">
      <c r="A5417" s="227" t="str">
        <f>TL[[#This Row],[Société]]&amp;" - "&amp;TL[[#This Row],[Compte]]</f>
        <v>GLR5 - 635112</v>
      </c>
      <c r="B5417" s="233" t="s">
        <v>1732</v>
      </c>
      <c r="C5417" s="227" t="s">
        <v>165</v>
      </c>
      <c r="D5417" s="233" t="s">
        <v>42</v>
      </c>
      <c r="E5417" s="233" t="s">
        <v>47</v>
      </c>
      <c r="F5417" s="227" t="s">
        <v>2999</v>
      </c>
    </row>
    <row r="5418" spans="1:6" x14ac:dyDescent="0.25">
      <c r="A5418" s="227" t="str">
        <f>TL[[#This Row],[Société]]&amp;" - "&amp;TL[[#This Row],[Compte]]</f>
        <v>GLR5 - 635130</v>
      </c>
      <c r="B5418" s="233" t="s">
        <v>1978</v>
      </c>
      <c r="C5418" s="227" t="s">
        <v>2259</v>
      </c>
      <c r="D5418" s="233" t="s">
        <v>42</v>
      </c>
      <c r="E5418" s="233" t="s">
        <v>47</v>
      </c>
      <c r="F5418" s="227" t="s">
        <v>2999</v>
      </c>
    </row>
    <row r="5419" spans="1:6" x14ac:dyDescent="0.25">
      <c r="A5419" s="227" t="str">
        <f>TL[[#This Row],[Société]]&amp;" - "&amp;TL[[#This Row],[Compte]]</f>
        <v>GLR5 - 635140</v>
      </c>
      <c r="B5419" s="233" t="s">
        <v>1979</v>
      </c>
      <c r="C5419" s="227" t="s">
        <v>230</v>
      </c>
      <c r="D5419" s="233" t="s">
        <v>42</v>
      </c>
      <c r="E5419" s="233" t="s">
        <v>47</v>
      </c>
      <c r="F5419" s="227" t="s">
        <v>2999</v>
      </c>
    </row>
    <row r="5420" spans="1:6" x14ac:dyDescent="0.25">
      <c r="A5420" s="227" t="str">
        <f>TL[[#This Row],[Société]]&amp;" - "&amp;TL[[#This Row],[Compte]]</f>
        <v>GLR5 - 635500</v>
      </c>
      <c r="B5420" s="233" t="s">
        <v>1981</v>
      </c>
      <c r="C5420" s="227" t="s">
        <v>218</v>
      </c>
      <c r="D5420" s="233" t="s">
        <v>42</v>
      </c>
      <c r="E5420" s="233" t="s">
        <v>47</v>
      </c>
      <c r="F5420" s="227" t="s">
        <v>2999</v>
      </c>
    </row>
    <row r="5421" spans="1:6" x14ac:dyDescent="0.25">
      <c r="A5421" s="227" t="str">
        <f>TL[[#This Row],[Société]]&amp;" - "&amp;TL[[#This Row],[Compte]]</f>
        <v>GLR5 - 635520</v>
      </c>
      <c r="B5421" s="233" t="s">
        <v>1983</v>
      </c>
      <c r="C5421" s="227" t="s">
        <v>1235</v>
      </c>
      <c r="D5421" s="233" t="s">
        <v>42</v>
      </c>
      <c r="E5421" s="233" t="s">
        <v>47</v>
      </c>
      <c r="F5421" s="227" t="s">
        <v>2999</v>
      </c>
    </row>
    <row r="5422" spans="1:6" x14ac:dyDescent="0.25">
      <c r="A5422" s="227" t="str">
        <f>TL[[#This Row],[Société]]&amp;" - "&amp;TL[[#This Row],[Compte]]</f>
        <v>GLR5 - 635800</v>
      </c>
      <c r="B5422" s="233" t="s">
        <v>1986</v>
      </c>
      <c r="C5422" s="227" t="s">
        <v>320</v>
      </c>
      <c r="D5422" s="233" t="s">
        <v>42</v>
      </c>
      <c r="E5422" s="233" t="s">
        <v>47</v>
      </c>
      <c r="F5422" s="227" t="s">
        <v>2999</v>
      </c>
    </row>
    <row r="5423" spans="1:6" x14ac:dyDescent="0.25">
      <c r="A5423" s="227" t="str">
        <f>TL[[#This Row],[Société]]&amp;" - "&amp;TL[[#This Row],[Compte]]</f>
        <v>GLR5 - 635810</v>
      </c>
      <c r="B5423" s="233" t="s">
        <v>1987</v>
      </c>
      <c r="C5423" s="227" t="s">
        <v>6826</v>
      </c>
      <c r="D5423" s="233" t="s">
        <v>42</v>
      </c>
      <c r="E5423" s="233" t="s">
        <v>47</v>
      </c>
      <c r="F5423" s="227" t="s">
        <v>2999</v>
      </c>
    </row>
    <row r="5424" spans="1:6" x14ac:dyDescent="0.25">
      <c r="A5424" s="227" t="str">
        <f>TL[[#This Row],[Société]]&amp;" - "&amp;TL[[#This Row],[Compte]]</f>
        <v>GLR5 - 637100</v>
      </c>
      <c r="B5424" s="233" t="s">
        <v>1988</v>
      </c>
      <c r="C5424" s="227" t="s">
        <v>6827</v>
      </c>
      <c r="D5424" s="233" t="s">
        <v>42</v>
      </c>
      <c r="E5424" s="233" t="s">
        <v>47</v>
      </c>
      <c r="F5424" s="227" t="s">
        <v>2999</v>
      </c>
    </row>
    <row r="5425" spans="1:6" x14ac:dyDescent="0.25">
      <c r="A5425" s="227" t="str">
        <f>TL[[#This Row],[Société]]&amp;" - "&amp;TL[[#This Row],[Compte]]</f>
        <v>GLR5 - 637300</v>
      </c>
      <c r="B5425" s="233" t="s">
        <v>1777</v>
      </c>
      <c r="C5425" s="227" t="s">
        <v>2256</v>
      </c>
      <c r="D5425" s="233" t="s">
        <v>42</v>
      </c>
      <c r="E5425" s="233" t="s">
        <v>47</v>
      </c>
      <c r="F5425" s="227" t="s">
        <v>2999</v>
      </c>
    </row>
    <row r="5426" spans="1:6" x14ac:dyDescent="0.25">
      <c r="A5426" s="227" t="str">
        <f>TL[[#This Row],[Société]]&amp;" - "&amp;TL[[#This Row],[Compte]]</f>
        <v>GLR5 - 637400</v>
      </c>
      <c r="B5426" s="233" t="s">
        <v>2515</v>
      </c>
      <c r="C5426" s="227" t="s">
        <v>2176</v>
      </c>
      <c r="D5426" s="233" t="s">
        <v>71</v>
      </c>
      <c r="E5426" s="233" t="s">
        <v>7</v>
      </c>
      <c r="F5426" s="227" t="s">
        <v>2999</v>
      </c>
    </row>
    <row r="5427" spans="1:6" x14ac:dyDescent="0.25">
      <c r="A5427" s="227" t="str">
        <f>TL[[#This Row],[Société]]&amp;" - "&amp;TL[[#This Row],[Compte]]</f>
        <v>GLR5 - 637900</v>
      </c>
      <c r="B5427" s="233" t="s">
        <v>3285</v>
      </c>
      <c r="C5427" s="227" t="s">
        <v>6828</v>
      </c>
      <c r="D5427" s="233" t="s">
        <v>42</v>
      </c>
      <c r="E5427" s="233" t="s">
        <v>47</v>
      </c>
      <c r="F5427" s="227" t="s">
        <v>2999</v>
      </c>
    </row>
    <row r="5428" spans="1:6" x14ac:dyDescent="0.25">
      <c r="A5428" s="227" t="str">
        <f>TL[[#This Row],[Société]]&amp;" - "&amp;TL[[#This Row],[Compte]]</f>
        <v>GLR5 - 641020</v>
      </c>
      <c r="B5428" s="233" t="s">
        <v>2530</v>
      </c>
      <c r="C5428" s="227" t="s">
        <v>2184</v>
      </c>
      <c r="D5428" s="233" t="s">
        <v>13</v>
      </c>
      <c r="E5428" s="233" t="s">
        <v>12</v>
      </c>
      <c r="F5428" s="227" t="s">
        <v>2999</v>
      </c>
    </row>
    <row r="5429" spans="1:6" x14ac:dyDescent="0.25">
      <c r="A5429" s="227" t="str">
        <f>TL[[#This Row],[Société]]&amp;" - "&amp;TL[[#This Row],[Compte]]</f>
        <v>GLR5 - 641030</v>
      </c>
      <c r="B5429" s="233" t="s">
        <v>2520</v>
      </c>
      <c r="C5429" s="227" t="s">
        <v>2190</v>
      </c>
      <c r="D5429" s="233" t="s">
        <v>12</v>
      </c>
      <c r="E5429" s="233" t="s">
        <v>3</v>
      </c>
      <c r="F5429" s="227" t="s">
        <v>2999</v>
      </c>
    </row>
    <row r="5430" spans="1:6" x14ac:dyDescent="0.25">
      <c r="A5430" s="227" t="str">
        <f>TL[[#This Row],[Société]]&amp;" - "&amp;TL[[#This Row],[Compte]]</f>
        <v>GLR5 - 641040</v>
      </c>
      <c r="B5430" s="233" t="s">
        <v>5939</v>
      </c>
      <c r="C5430" s="227" t="s">
        <v>616</v>
      </c>
      <c r="D5430" s="233" t="s">
        <v>147</v>
      </c>
      <c r="E5430" s="233" t="s">
        <v>288</v>
      </c>
      <c r="F5430" s="227" t="s">
        <v>2999</v>
      </c>
    </row>
    <row r="5431" spans="1:6" x14ac:dyDescent="0.25">
      <c r="A5431" s="227" t="str">
        <f>TL[[#This Row],[Société]]&amp;" - "&amp;TL[[#This Row],[Compte]]</f>
        <v>GLR5 - 641063</v>
      </c>
      <c r="B5431" s="233" t="s">
        <v>2521</v>
      </c>
      <c r="C5431" s="227" t="s">
        <v>1295</v>
      </c>
      <c r="D5431" s="233" t="s">
        <v>12</v>
      </c>
      <c r="E5431" s="233" t="s">
        <v>3</v>
      </c>
      <c r="F5431" s="227" t="s">
        <v>2999</v>
      </c>
    </row>
    <row r="5432" spans="1:6" x14ac:dyDescent="0.25">
      <c r="A5432" s="227" t="str">
        <f>TL[[#This Row],[Société]]&amp;" - "&amp;TL[[#This Row],[Compte]]</f>
        <v>GLR5 - 641064</v>
      </c>
      <c r="B5432" s="233" t="s">
        <v>2531</v>
      </c>
      <c r="C5432" s="227" t="s">
        <v>2187</v>
      </c>
      <c r="D5432" s="233" t="s">
        <v>13</v>
      </c>
      <c r="E5432" s="233" t="s">
        <v>12</v>
      </c>
      <c r="F5432" s="227" t="s">
        <v>2999</v>
      </c>
    </row>
    <row r="5433" spans="1:6" x14ac:dyDescent="0.25">
      <c r="A5433" s="227" t="str">
        <f>TL[[#This Row],[Société]]&amp;" - "&amp;TL[[#This Row],[Compte]]</f>
        <v>GLR5 - 641101</v>
      </c>
      <c r="B5433" s="233" t="s">
        <v>1749</v>
      </c>
      <c r="C5433" s="227" t="s">
        <v>6829</v>
      </c>
      <c r="F5433" s="227" t="s">
        <v>2999</v>
      </c>
    </row>
    <row r="5434" spans="1:6" x14ac:dyDescent="0.25">
      <c r="A5434" s="227" t="str">
        <f>TL[[#This Row],[Société]]&amp;" - "&amp;TL[[#This Row],[Compte]]</f>
        <v>GLR5 - 641104</v>
      </c>
      <c r="B5434" s="233" t="s">
        <v>1750</v>
      </c>
      <c r="C5434" s="227" t="s">
        <v>6829</v>
      </c>
      <c r="F5434" s="227" t="s">
        <v>2999</v>
      </c>
    </row>
    <row r="5435" spans="1:6" x14ac:dyDescent="0.25">
      <c r="A5435" s="227" t="str">
        <f>TL[[#This Row],[Société]]&amp;" - "&amp;TL[[#This Row],[Compte]]</f>
        <v>GLR5 - 641120</v>
      </c>
      <c r="B5435" s="233" t="s">
        <v>3288</v>
      </c>
      <c r="C5435" s="227" t="s">
        <v>6830</v>
      </c>
      <c r="D5435" s="233" t="s">
        <v>50</v>
      </c>
      <c r="E5435" s="233" t="s">
        <v>13</v>
      </c>
      <c r="F5435" s="227" t="s">
        <v>2999</v>
      </c>
    </row>
    <row r="5436" spans="1:6" x14ac:dyDescent="0.25">
      <c r="A5436" s="227" t="str">
        <f>TL[[#This Row],[Société]]&amp;" - "&amp;TL[[#This Row],[Compte]]</f>
        <v>GLR5 - 641204</v>
      </c>
      <c r="B5436" s="233" t="s">
        <v>2819</v>
      </c>
      <c r="C5436" s="227" t="s">
        <v>224</v>
      </c>
      <c r="D5436" s="233" t="s">
        <v>13</v>
      </c>
      <c r="E5436" s="233" t="s">
        <v>12</v>
      </c>
      <c r="F5436" s="227" t="s">
        <v>2999</v>
      </c>
    </row>
    <row r="5437" spans="1:6" x14ac:dyDescent="0.25">
      <c r="A5437" s="227" t="str">
        <f>TL[[#This Row],[Société]]&amp;" - "&amp;TL[[#This Row],[Compte]]</f>
        <v>GLR5 - 641220</v>
      </c>
      <c r="B5437" s="233" t="s">
        <v>1783</v>
      </c>
      <c r="C5437" s="227" t="s">
        <v>2260</v>
      </c>
      <c r="D5437" s="233" t="s">
        <v>13</v>
      </c>
      <c r="E5437" s="233" t="s">
        <v>12</v>
      </c>
      <c r="F5437" s="227" t="s">
        <v>2999</v>
      </c>
    </row>
    <row r="5438" spans="1:6" x14ac:dyDescent="0.25">
      <c r="A5438" s="227" t="str">
        <f>TL[[#This Row],[Société]]&amp;" - "&amp;TL[[#This Row],[Compte]]</f>
        <v>GLR5 - 641230</v>
      </c>
      <c r="B5438" s="233" t="s">
        <v>1996</v>
      </c>
      <c r="C5438" s="227" t="s">
        <v>2209</v>
      </c>
      <c r="D5438" s="233" t="s">
        <v>12</v>
      </c>
      <c r="E5438" s="233" t="s">
        <v>3</v>
      </c>
      <c r="F5438" s="227" t="s">
        <v>2999</v>
      </c>
    </row>
    <row r="5439" spans="1:6" x14ac:dyDescent="0.25">
      <c r="A5439" s="227" t="str">
        <f>TL[[#This Row],[Société]]&amp;" - "&amp;TL[[#This Row],[Compte]]</f>
        <v>GLR5 - 641320</v>
      </c>
      <c r="B5439" s="233" t="s">
        <v>3295</v>
      </c>
      <c r="C5439" s="227" t="s">
        <v>920</v>
      </c>
      <c r="D5439" s="233" t="s">
        <v>13</v>
      </c>
      <c r="E5439" s="233" t="s">
        <v>12</v>
      </c>
      <c r="F5439" s="227" t="s">
        <v>2999</v>
      </c>
    </row>
    <row r="5440" spans="1:6" x14ac:dyDescent="0.25">
      <c r="A5440" s="227" t="str">
        <f>TL[[#This Row],[Société]]&amp;" - "&amp;TL[[#This Row],[Compte]]</f>
        <v>GLR5 - 641340</v>
      </c>
      <c r="B5440" s="233" t="s">
        <v>5948</v>
      </c>
      <c r="C5440" s="227" t="s">
        <v>5949</v>
      </c>
      <c r="D5440" s="233" t="s">
        <v>13</v>
      </c>
      <c r="E5440" s="233" t="s">
        <v>12</v>
      </c>
      <c r="F5440" s="227" t="s">
        <v>2999</v>
      </c>
    </row>
    <row r="5441" spans="1:6" x14ac:dyDescent="0.25">
      <c r="A5441" s="227" t="str">
        <f>TL[[#This Row],[Société]]&amp;" - "&amp;TL[[#This Row],[Compte]]</f>
        <v>GLR5 - 641341</v>
      </c>
      <c r="B5441" s="233" t="s">
        <v>5950</v>
      </c>
      <c r="C5441" s="227" t="s">
        <v>6831</v>
      </c>
      <c r="D5441" s="233" t="s">
        <v>13</v>
      </c>
      <c r="E5441" s="233" t="s">
        <v>12</v>
      </c>
      <c r="F5441" s="227" t="s">
        <v>2999</v>
      </c>
    </row>
    <row r="5442" spans="1:6" x14ac:dyDescent="0.25">
      <c r="A5442" s="227" t="str">
        <f>TL[[#This Row],[Société]]&amp;" - "&amp;TL[[#This Row],[Compte]]</f>
        <v>GLR5 - 641410</v>
      </c>
      <c r="B5442" s="233" t="s">
        <v>2522</v>
      </c>
      <c r="C5442" s="227" t="s">
        <v>2182</v>
      </c>
      <c r="D5442" s="233" t="s">
        <v>12</v>
      </c>
      <c r="E5442" s="233" t="s">
        <v>3</v>
      </c>
      <c r="F5442" s="227" t="s">
        <v>2999</v>
      </c>
    </row>
    <row r="5443" spans="1:6" x14ac:dyDescent="0.25">
      <c r="A5443" s="227" t="str">
        <f>TL[[#This Row],[Société]]&amp;" - "&amp;TL[[#This Row],[Compte]]</f>
        <v>GLR5 - 641411</v>
      </c>
      <c r="B5443" s="233" t="s">
        <v>1751</v>
      </c>
      <c r="C5443" s="227" t="s">
        <v>2196</v>
      </c>
      <c r="D5443" s="233" t="s">
        <v>13</v>
      </c>
      <c r="E5443" s="233" t="s">
        <v>12</v>
      </c>
      <c r="F5443" s="227" t="s">
        <v>2999</v>
      </c>
    </row>
    <row r="5444" spans="1:6" x14ac:dyDescent="0.25">
      <c r="A5444" s="227" t="str">
        <f>TL[[#This Row],[Société]]&amp;" - "&amp;TL[[#This Row],[Compte]]</f>
        <v>GLR5 - 641412</v>
      </c>
      <c r="B5444" s="233" t="s">
        <v>3301</v>
      </c>
      <c r="C5444" s="227" t="s">
        <v>5956</v>
      </c>
      <c r="D5444" s="233" t="s">
        <v>12</v>
      </c>
      <c r="E5444" s="233" t="s">
        <v>3</v>
      </c>
      <c r="F5444" s="227" t="s">
        <v>2999</v>
      </c>
    </row>
    <row r="5445" spans="1:6" x14ac:dyDescent="0.25">
      <c r="A5445" s="227" t="str">
        <f>TL[[#This Row],[Société]]&amp;" - "&amp;TL[[#This Row],[Compte]]</f>
        <v>GLR5 - 641413</v>
      </c>
      <c r="B5445" s="233" t="s">
        <v>5174</v>
      </c>
      <c r="C5445" s="227" t="s">
        <v>6832</v>
      </c>
      <c r="D5445" s="233" t="s">
        <v>13</v>
      </c>
      <c r="E5445" s="233" t="s">
        <v>12</v>
      </c>
      <c r="F5445" s="227" t="s">
        <v>2999</v>
      </c>
    </row>
    <row r="5446" spans="1:6" x14ac:dyDescent="0.25">
      <c r="A5446" s="227" t="str">
        <f>TL[[#This Row],[Société]]&amp;" - "&amp;TL[[#This Row],[Compte]]</f>
        <v>GLR5 - 641414</v>
      </c>
      <c r="B5446" s="233" t="s">
        <v>1752</v>
      </c>
      <c r="C5446" s="227" t="s">
        <v>6833</v>
      </c>
      <c r="D5446" s="233" t="s">
        <v>12</v>
      </c>
      <c r="E5446" s="233" t="s">
        <v>3</v>
      </c>
      <c r="F5446" s="227" t="s">
        <v>2999</v>
      </c>
    </row>
    <row r="5447" spans="1:6" x14ac:dyDescent="0.25">
      <c r="A5447" s="227" t="str">
        <f>TL[[#This Row],[Société]]&amp;" - "&amp;TL[[#This Row],[Compte]]</f>
        <v>GLR5 - 641415</v>
      </c>
      <c r="B5447" s="233" t="s">
        <v>6355</v>
      </c>
      <c r="C5447" s="227" t="s">
        <v>6834</v>
      </c>
      <c r="D5447" s="233" t="s">
        <v>13</v>
      </c>
      <c r="E5447" s="233" t="s">
        <v>12</v>
      </c>
      <c r="F5447" s="227" t="s">
        <v>2999</v>
      </c>
    </row>
    <row r="5448" spans="1:6" x14ac:dyDescent="0.25">
      <c r="A5448" s="227" t="str">
        <f>TL[[#This Row],[Société]]&amp;" - "&amp;TL[[#This Row],[Compte]]</f>
        <v>GLR5 - 645101</v>
      </c>
      <c r="B5448" s="233" t="s">
        <v>1755</v>
      </c>
      <c r="C5448" s="227" t="s">
        <v>6835</v>
      </c>
      <c r="F5448" s="227" t="s">
        <v>2999</v>
      </c>
    </row>
    <row r="5449" spans="1:6" x14ac:dyDescent="0.25">
      <c r="A5449" s="227" t="str">
        <f>TL[[#This Row],[Société]]&amp;" - "&amp;TL[[#This Row],[Compte]]</f>
        <v>GLR5 - 645104</v>
      </c>
      <c r="B5449" s="233" t="s">
        <v>1756</v>
      </c>
      <c r="C5449" s="227" t="s">
        <v>6835</v>
      </c>
      <c r="F5449" s="227" t="s">
        <v>2999</v>
      </c>
    </row>
    <row r="5450" spans="1:6" x14ac:dyDescent="0.25">
      <c r="A5450" s="227" t="str">
        <f>TL[[#This Row],[Société]]&amp;" - "&amp;TL[[#This Row],[Compte]]</f>
        <v>GLR5 - 645120</v>
      </c>
      <c r="B5450" s="233" t="s">
        <v>2534</v>
      </c>
      <c r="C5450" s="227" t="s">
        <v>2197</v>
      </c>
      <c r="D5450" s="233" t="s">
        <v>15</v>
      </c>
      <c r="E5450" s="233" t="s">
        <v>13</v>
      </c>
      <c r="F5450" s="227" t="s">
        <v>2999</v>
      </c>
    </row>
    <row r="5451" spans="1:6" x14ac:dyDescent="0.25">
      <c r="A5451" s="227" t="str">
        <f>TL[[#This Row],[Société]]&amp;" - "&amp;TL[[#This Row],[Compte]]</f>
        <v>GLR5 - 645130</v>
      </c>
      <c r="B5451" s="233" t="s">
        <v>2524</v>
      </c>
      <c r="C5451" s="227" t="s">
        <v>2194</v>
      </c>
      <c r="D5451" s="233" t="s">
        <v>12</v>
      </c>
      <c r="E5451" s="233" t="s">
        <v>71</v>
      </c>
      <c r="F5451" s="227" t="s">
        <v>2999</v>
      </c>
    </row>
    <row r="5452" spans="1:6" x14ac:dyDescent="0.25">
      <c r="A5452" s="227" t="str">
        <f>TL[[#This Row],[Société]]&amp;" - "&amp;TL[[#This Row],[Compte]]</f>
        <v>GLR5 - 645320</v>
      </c>
      <c r="B5452" s="233" t="s">
        <v>2535</v>
      </c>
      <c r="C5452" s="227" t="s">
        <v>2191</v>
      </c>
      <c r="D5452" s="233" t="s">
        <v>15</v>
      </c>
      <c r="E5452" s="233" t="s">
        <v>13</v>
      </c>
      <c r="F5452" s="227" t="s">
        <v>2999</v>
      </c>
    </row>
    <row r="5453" spans="1:6" x14ac:dyDescent="0.25">
      <c r="A5453" s="227" t="str">
        <f>TL[[#This Row],[Société]]&amp;" - "&amp;TL[[#This Row],[Compte]]</f>
        <v>GLR5 - 645330</v>
      </c>
      <c r="B5453" s="233" t="s">
        <v>2525</v>
      </c>
      <c r="C5453" s="227" t="s">
        <v>2193</v>
      </c>
      <c r="D5453" s="233" t="s">
        <v>12</v>
      </c>
      <c r="E5453" s="233" t="s">
        <v>71</v>
      </c>
      <c r="F5453" s="227" t="s">
        <v>2999</v>
      </c>
    </row>
    <row r="5454" spans="1:6" x14ac:dyDescent="0.25">
      <c r="A5454" s="227" t="str">
        <f>TL[[#This Row],[Société]]&amp;" - "&amp;TL[[#This Row],[Compte]]</f>
        <v>GLR5 - 645420</v>
      </c>
      <c r="B5454" s="233" t="s">
        <v>2536</v>
      </c>
      <c r="C5454" s="227" t="s">
        <v>2183</v>
      </c>
      <c r="D5454" s="233" t="s">
        <v>15</v>
      </c>
      <c r="E5454" s="233" t="s">
        <v>13</v>
      </c>
      <c r="F5454" s="227" t="s">
        <v>2999</v>
      </c>
    </row>
    <row r="5455" spans="1:6" x14ac:dyDescent="0.25">
      <c r="A5455" s="227" t="str">
        <f>TL[[#This Row],[Société]]&amp;" - "&amp;TL[[#This Row],[Compte]]</f>
        <v>GLR5 - 645430</v>
      </c>
      <c r="B5455" s="233" t="s">
        <v>2526</v>
      </c>
      <c r="C5455" s="227" t="s">
        <v>2188</v>
      </c>
      <c r="D5455" s="233" t="s">
        <v>12</v>
      </c>
      <c r="E5455" s="233" t="s">
        <v>71</v>
      </c>
      <c r="F5455" s="227" t="s">
        <v>2999</v>
      </c>
    </row>
    <row r="5456" spans="1:6" x14ac:dyDescent="0.25">
      <c r="A5456" s="227" t="str">
        <f>TL[[#This Row],[Société]]&amp;" - "&amp;TL[[#This Row],[Compte]]</f>
        <v>GLR5 - 645520</v>
      </c>
      <c r="B5456" s="233" t="s">
        <v>2537</v>
      </c>
      <c r="C5456" s="227" t="s">
        <v>2192</v>
      </c>
      <c r="D5456" s="233" t="s">
        <v>15</v>
      </c>
      <c r="E5456" s="233" t="s">
        <v>13</v>
      </c>
      <c r="F5456" s="227" t="s">
        <v>2999</v>
      </c>
    </row>
    <row r="5457" spans="1:6" x14ac:dyDescent="0.25">
      <c r="A5457" s="227" t="str">
        <f>TL[[#This Row],[Société]]&amp;" - "&amp;TL[[#This Row],[Compte]]</f>
        <v>GLR5 - 645530</v>
      </c>
      <c r="B5457" s="233" t="s">
        <v>2527</v>
      </c>
      <c r="C5457" s="227" t="s">
        <v>231</v>
      </c>
      <c r="D5457" s="233" t="s">
        <v>12</v>
      </c>
      <c r="E5457" s="233" t="s">
        <v>71</v>
      </c>
      <c r="F5457" s="227" t="s">
        <v>2999</v>
      </c>
    </row>
    <row r="5458" spans="1:6" x14ac:dyDescent="0.25">
      <c r="A5458" s="227" t="str">
        <f>TL[[#This Row],[Société]]&amp;" - "&amp;TL[[#This Row],[Compte]]</f>
        <v>GLR5 - 645620</v>
      </c>
      <c r="B5458" s="233" t="s">
        <v>3310</v>
      </c>
      <c r="C5458" s="227" t="s">
        <v>6836</v>
      </c>
      <c r="D5458" s="233" t="s">
        <v>15</v>
      </c>
      <c r="E5458" s="233" t="s">
        <v>13</v>
      </c>
      <c r="F5458" s="227" t="s">
        <v>2999</v>
      </c>
    </row>
    <row r="5459" spans="1:6" x14ac:dyDescent="0.25">
      <c r="A5459" s="227" t="str">
        <f>TL[[#This Row],[Société]]&amp;" - "&amp;TL[[#This Row],[Compte]]</f>
        <v>GLR5 - 645810</v>
      </c>
      <c r="B5459" s="233" t="s">
        <v>1776</v>
      </c>
      <c r="C5459" s="227" t="s">
        <v>1253</v>
      </c>
      <c r="D5459" s="233" t="s">
        <v>20</v>
      </c>
      <c r="E5459" s="233" t="s">
        <v>25</v>
      </c>
      <c r="F5459" s="227" t="s">
        <v>2999</v>
      </c>
    </row>
    <row r="5460" spans="1:6" x14ac:dyDescent="0.25">
      <c r="A5460" s="227" t="str">
        <f>TL[[#This Row],[Société]]&amp;" - "&amp;TL[[#This Row],[Compte]]</f>
        <v>GLR5 - 645820</v>
      </c>
      <c r="B5460" s="233" t="s">
        <v>2008</v>
      </c>
      <c r="C5460" s="227" t="s">
        <v>2261</v>
      </c>
      <c r="D5460" s="233" t="s">
        <v>15</v>
      </c>
      <c r="E5460" s="233" t="s">
        <v>13</v>
      </c>
      <c r="F5460" s="227" t="s">
        <v>2999</v>
      </c>
    </row>
    <row r="5461" spans="1:6" x14ac:dyDescent="0.25">
      <c r="A5461" s="227" t="str">
        <f>TL[[#This Row],[Société]]&amp;" - "&amp;TL[[#This Row],[Compte]]</f>
        <v>GLR5 - 645830</v>
      </c>
      <c r="B5461" s="233" t="s">
        <v>2009</v>
      </c>
      <c r="C5461" s="227" t="s">
        <v>2262</v>
      </c>
      <c r="D5461" s="233" t="s">
        <v>12</v>
      </c>
      <c r="E5461" s="233" t="s">
        <v>71</v>
      </c>
      <c r="F5461" s="227" t="s">
        <v>2999</v>
      </c>
    </row>
    <row r="5462" spans="1:6" x14ac:dyDescent="0.25">
      <c r="A5462" s="227" t="str">
        <f>TL[[#This Row],[Société]]&amp;" - "&amp;TL[[#This Row],[Compte]]</f>
        <v>GLR5 - 645840</v>
      </c>
      <c r="B5462" s="233" t="s">
        <v>5217</v>
      </c>
      <c r="C5462" s="227" t="s">
        <v>5968</v>
      </c>
      <c r="D5462" s="233" t="s">
        <v>15</v>
      </c>
      <c r="E5462" s="233" t="s">
        <v>13</v>
      </c>
      <c r="F5462" s="227" t="s">
        <v>2999</v>
      </c>
    </row>
    <row r="5463" spans="1:6" x14ac:dyDescent="0.25">
      <c r="A5463" s="227" t="str">
        <f>TL[[#This Row],[Société]]&amp;" - "&amp;TL[[#This Row],[Compte]]</f>
        <v>GLR5 - 645920</v>
      </c>
      <c r="B5463" s="233" t="s">
        <v>2538</v>
      </c>
      <c r="C5463" s="227" t="s">
        <v>2186</v>
      </c>
      <c r="D5463" s="233" t="s">
        <v>15</v>
      </c>
      <c r="E5463" s="233" t="s">
        <v>13</v>
      </c>
      <c r="F5463" s="227" t="s">
        <v>2999</v>
      </c>
    </row>
    <row r="5464" spans="1:6" x14ac:dyDescent="0.25">
      <c r="A5464" s="227" t="str">
        <f>TL[[#This Row],[Société]]&amp;" - "&amp;TL[[#This Row],[Compte]]</f>
        <v>GLR5 - 645930</v>
      </c>
      <c r="B5464" s="233" t="s">
        <v>2528</v>
      </c>
      <c r="C5464" s="227" t="s">
        <v>2185</v>
      </c>
      <c r="D5464" s="233" t="s">
        <v>12</v>
      </c>
      <c r="E5464" s="233" t="s">
        <v>71</v>
      </c>
      <c r="F5464" s="227" t="s">
        <v>2999</v>
      </c>
    </row>
    <row r="5465" spans="1:6" x14ac:dyDescent="0.25">
      <c r="A5465" s="227" t="str">
        <f>TL[[#This Row],[Société]]&amp;" - "&amp;TL[[#This Row],[Compte]]</f>
        <v>GLR5 - 646300</v>
      </c>
      <c r="B5465" s="233" t="s">
        <v>2011</v>
      </c>
      <c r="C5465" s="227" t="s">
        <v>6837</v>
      </c>
      <c r="F5465" s="227" t="s">
        <v>2999</v>
      </c>
    </row>
    <row r="5466" spans="1:6" x14ac:dyDescent="0.25">
      <c r="A5466" s="227" t="str">
        <f>TL[[#This Row],[Société]]&amp;" - "&amp;TL[[#This Row],[Compte]]</f>
        <v>GLR5 - 647500</v>
      </c>
      <c r="B5466" s="233" t="s">
        <v>1610</v>
      </c>
      <c r="C5466" s="227" t="s">
        <v>6838</v>
      </c>
      <c r="D5466" s="233" t="s">
        <v>20</v>
      </c>
      <c r="E5466" s="233" t="s">
        <v>25</v>
      </c>
      <c r="F5466" s="227" t="s">
        <v>2999</v>
      </c>
    </row>
    <row r="5467" spans="1:6" x14ac:dyDescent="0.25">
      <c r="A5467" s="227" t="str">
        <f>TL[[#This Row],[Société]]&amp;" - "&amp;TL[[#This Row],[Compte]]</f>
        <v>GLR5 - 647516</v>
      </c>
      <c r="B5467" s="233" t="s">
        <v>2759</v>
      </c>
      <c r="C5467" s="227" t="s">
        <v>1253</v>
      </c>
      <c r="D5467" s="233" t="s">
        <v>20</v>
      </c>
      <c r="E5467" s="233" t="s">
        <v>25</v>
      </c>
      <c r="F5467" s="227" t="s">
        <v>2999</v>
      </c>
    </row>
    <row r="5468" spans="1:6" x14ac:dyDescent="0.25">
      <c r="A5468" s="227" t="str">
        <f>TL[[#This Row],[Société]]&amp;" - "&amp;TL[[#This Row],[Compte]]</f>
        <v>GLR5 - 649000</v>
      </c>
      <c r="B5468" s="233" t="s">
        <v>2012</v>
      </c>
      <c r="C5468" s="227" t="s">
        <v>3323</v>
      </c>
      <c r="D5468" s="233" t="s">
        <v>152</v>
      </c>
      <c r="E5468" s="233" t="s">
        <v>1303</v>
      </c>
      <c r="F5468" s="227" t="s">
        <v>2999</v>
      </c>
    </row>
    <row r="5469" spans="1:6" x14ac:dyDescent="0.25">
      <c r="A5469" s="227" t="str">
        <f>TL[[#This Row],[Société]]&amp;" - "&amp;TL[[#This Row],[Compte]]</f>
        <v>GLR5 - 651001</v>
      </c>
      <c r="B5469" s="233" t="s">
        <v>1605</v>
      </c>
      <c r="C5469" s="227" t="s">
        <v>6363</v>
      </c>
      <c r="F5469" s="227" t="s">
        <v>2999</v>
      </c>
    </row>
    <row r="5470" spans="1:6" x14ac:dyDescent="0.25">
      <c r="A5470" s="227" t="str">
        <f>TL[[#This Row],[Société]]&amp;" - "&amp;TL[[#This Row],[Compte]]</f>
        <v>GLR5 - 651003</v>
      </c>
      <c r="B5470" s="233" t="s">
        <v>1796</v>
      </c>
      <c r="C5470" s="227" t="s">
        <v>6839</v>
      </c>
      <c r="F5470" s="227" t="s">
        <v>2999</v>
      </c>
    </row>
    <row r="5471" spans="1:6" x14ac:dyDescent="0.25">
      <c r="A5471" s="227" t="str">
        <f>TL[[#This Row],[Société]]&amp;" - "&amp;TL[[#This Row],[Compte]]</f>
        <v>GLR5 - 651110</v>
      </c>
      <c r="B5471" s="233" t="s">
        <v>2587</v>
      </c>
      <c r="C5471" s="227" t="s">
        <v>2205</v>
      </c>
      <c r="D5471" s="233" t="s">
        <v>37</v>
      </c>
      <c r="E5471" s="233" t="s">
        <v>42</v>
      </c>
      <c r="F5471" s="227" t="s">
        <v>2999</v>
      </c>
    </row>
    <row r="5472" spans="1:6" x14ac:dyDescent="0.25">
      <c r="A5472" s="227" t="str">
        <f>TL[[#This Row],[Société]]&amp;" - "&amp;TL[[#This Row],[Compte]]</f>
        <v>GLR5 - 651200</v>
      </c>
      <c r="B5472" s="233" t="s">
        <v>1604</v>
      </c>
      <c r="C5472" s="227" t="s">
        <v>2206</v>
      </c>
      <c r="D5472" s="233" t="s">
        <v>35</v>
      </c>
      <c r="E5472" s="233" t="s">
        <v>37</v>
      </c>
      <c r="F5472" s="227" t="s">
        <v>2999</v>
      </c>
    </row>
    <row r="5473" spans="1:6" x14ac:dyDescent="0.25">
      <c r="A5473" s="227" t="str">
        <f>TL[[#This Row],[Société]]&amp;" - "&amp;TL[[#This Row],[Compte]]</f>
        <v>GLR5 - 651210</v>
      </c>
      <c r="B5473" s="233" t="s">
        <v>1606</v>
      </c>
      <c r="C5473" s="227" t="s">
        <v>2201</v>
      </c>
      <c r="D5473" s="233" t="s">
        <v>37</v>
      </c>
      <c r="E5473" s="233" t="s">
        <v>37</v>
      </c>
      <c r="F5473" s="227" t="s">
        <v>2999</v>
      </c>
    </row>
    <row r="5474" spans="1:6" x14ac:dyDescent="0.25">
      <c r="A5474" s="227" t="str">
        <f>TL[[#This Row],[Société]]&amp;" - "&amp;TL[[#This Row],[Compte]]</f>
        <v>GLR5 - 651300</v>
      </c>
      <c r="B5474" s="233" t="s">
        <v>5257</v>
      </c>
      <c r="C5474" s="227" t="s">
        <v>1502</v>
      </c>
      <c r="D5474" s="233" t="s">
        <v>35</v>
      </c>
      <c r="E5474" s="233" t="s">
        <v>37</v>
      </c>
      <c r="F5474" s="227" t="s">
        <v>2999</v>
      </c>
    </row>
    <row r="5475" spans="1:6" x14ac:dyDescent="0.25">
      <c r="A5475" s="227" t="str">
        <f>TL[[#This Row],[Société]]&amp;" - "&amp;TL[[#This Row],[Compte]]</f>
        <v>GLR5 - 651310</v>
      </c>
      <c r="B5475" s="233" t="s">
        <v>5973</v>
      </c>
      <c r="C5475" s="227" t="s">
        <v>5974</v>
      </c>
      <c r="D5475" s="233" t="s">
        <v>37</v>
      </c>
      <c r="E5475" s="233" t="s">
        <v>37</v>
      </c>
      <c r="F5475" s="227" t="s">
        <v>2999</v>
      </c>
    </row>
    <row r="5476" spans="1:6" x14ac:dyDescent="0.25">
      <c r="A5476" s="227" t="str">
        <f>TL[[#This Row],[Société]]&amp;" - "&amp;TL[[#This Row],[Compte]]</f>
        <v>GLR5 - 651600</v>
      </c>
      <c r="B5476" s="233" t="s">
        <v>5259</v>
      </c>
      <c r="C5476" s="227" t="s">
        <v>6840</v>
      </c>
      <c r="F5476" s="227" t="s">
        <v>2999</v>
      </c>
    </row>
    <row r="5477" spans="1:6" x14ac:dyDescent="0.25">
      <c r="A5477" s="227" t="str">
        <f>TL[[#This Row],[Société]]&amp;" - "&amp;TL[[#This Row],[Compte]]</f>
        <v>GLR5 - 658000</v>
      </c>
      <c r="B5477" s="233" t="s">
        <v>1743</v>
      </c>
      <c r="C5477" s="227" t="s">
        <v>6841</v>
      </c>
      <c r="D5477" s="233" t="s">
        <v>50</v>
      </c>
      <c r="E5477" s="233" t="s">
        <v>2982</v>
      </c>
      <c r="F5477" s="227" t="s">
        <v>2999</v>
      </c>
    </row>
    <row r="5478" spans="1:6" x14ac:dyDescent="0.25">
      <c r="A5478" s="227" t="str">
        <f>TL[[#This Row],[Société]]&amp;" - "&amp;TL[[#This Row],[Compte]]</f>
        <v>GLR5 - 661100</v>
      </c>
      <c r="B5478" s="233" t="s">
        <v>1721</v>
      </c>
      <c r="C5478" s="227" t="s">
        <v>2263</v>
      </c>
      <c r="D5478" s="233" t="s">
        <v>47</v>
      </c>
      <c r="E5478" s="233" t="s">
        <v>286</v>
      </c>
      <c r="F5478" s="227" t="s">
        <v>2999</v>
      </c>
    </row>
    <row r="5479" spans="1:6" x14ac:dyDescent="0.25">
      <c r="A5479" s="227" t="str">
        <f>TL[[#This Row],[Société]]&amp;" - "&amp;TL[[#This Row],[Compte]]</f>
        <v>GLR5 - 661600</v>
      </c>
      <c r="B5479" s="233" t="s">
        <v>2016</v>
      </c>
      <c r="C5479" s="227" t="s">
        <v>6491</v>
      </c>
      <c r="D5479" s="233" t="s">
        <v>47</v>
      </c>
      <c r="E5479" s="233" t="s">
        <v>21</v>
      </c>
      <c r="F5479" s="227" t="s">
        <v>2999</v>
      </c>
    </row>
    <row r="5480" spans="1:6" x14ac:dyDescent="0.25">
      <c r="A5480" s="227" t="str">
        <f>TL[[#This Row],[Société]]&amp;" - "&amp;TL[[#This Row],[Compte]]</f>
        <v>GLR5 - 671100</v>
      </c>
      <c r="B5480" s="233" t="s">
        <v>1801</v>
      </c>
      <c r="C5480" s="227" t="s">
        <v>31</v>
      </c>
      <c r="D5480" s="233" t="s">
        <v>30</v>
      </c>
      <c r="E5480" s="233" t="s">
        <v>2982</v>
      </c>
      <c r="F5480" s="227" t="s">
        <v>2999</v>
      </c>
    </row>
    <row r="5481" spans="1:6" x14ac:dyDescent="0.25">
      <c r="A5481" s="227" t="str">
        <f>TL[[#This Row],[Société]]&amp;" - "&amp;TL[[#This Row],[Compte]]</f>
        <v>GLR5 - 671200</v>
      </c>
      <c r="B5481" s="233" t="s">
        <v>2020</v>
      </c>
      <c r="C5481" s="227" t="s">
        <v>5980</v>
      </c>
      <c r="D5481" s="233" t="s">
        <v>42</v>
      </c>
      <c r="E5481" s="233" t="s">
        <v>2995</v>
      </c>
      <c r="F5481" s="227" t="s">
        <v>2999</v>
      </c>
    </row>
    <row r="5482" spans="1:6" x14ac:dyDescent="0.25">
      <c r="A5482" s="227" t="str">
        <f>TL[[#This Row],[Société]]&amp;" - "&amp;TL[[#This Row],[Compte]]</f>
        <v>GLR5 - 671300</v>
      </c>
      <c r="B5482" s="233" t="s">
        <v>1725</v>
      </c>
      <c r="C5482" s="227" t="s">
        <v>31</v>
      </c>
      <c r="D5482" s="233" t="s">
        <v>50</v>
      </c>
      <c r="E5482" s="233" t="s">
        <v>2982</v>
      </c>
      <c r="F5482" s="227" t="s">
        <v>2999</v>
      </c>
    </row>
    <row r="5483" spans="1:6" x14ac:dyDescent="0.25">
      <c r="A5483" s="227" t="str">
        <f>TL[[#This Row],[Société]]&amp;" - "&amp;TL[[#This Row],[Compte]]</f>
        <v>GLR5 - 671310</v>
      </c>
      <c r="B5483" s="233" t="s">
        <v>2021</v>
      </c>
      <c r="C5483" s="227" t="s">
        <v>223</v>
      </c>
      <c r="D5483" s="233" t="s">
        <v>50</v>
      </c>
      <c r="E5483" s="233" t="s">
        <v>2995</v>
      </c>
      <c r="F5483" s="227" t="s">
        <v>2999</v>
      </c>
    </row>
    <row r="5484" spans="1:6" x14ac:dyDescent="0.25">
      <c r="A5484" s="227" t="str">
        <f>TL[[#This Row],[Société]]&amp;" - "&amp;TL[[#This Row],[Compte]]</f>
        <v>GLR5 - 671320</v>
      </c>
      <c r="B5484" s="233" t="s">
        <v>5981</v>
      </c>
      <c r="C5484" s="227" t="s">
        <v>155</v>
      </c>
      <c r="D5484" s="233" t="s">
        <v>50</v>
      </c>
      <c r="E5484" s="233" t="s">
        <v>2995</v>
      </c>
      <c r="F5484" s="227" t="s">
        <v>2999</v>
      </c>
    </row>
    <row r="5485" spans="1:6" x14ac:dyDescent="0.25">
      <c r="A5485" s="227" t="str">
        <f>TL[[#This Row],[Société]]&amp;" - "&amp;TL[[#This Row],[Compte]]</f>
        <v>GLR5 - 675000</v>
      </c>
      <c r="B5485" s="233" t="s">
        <v>3330</v>
      </c>
      <c r="C5485" s="227" t="s">
        <v>618</v>
      </c>
      <c r="D5485" s="233" t="s">
        <v>44</v>
      </c>
      <c r="E5485" s="233" t="s">
        <v>2995</v>
      </c>
      <c r="F5485" s="227" t="s">
        <v>2999</v>
      </c>
    </row>
    <row r="5486" spans="1:6" x14ac:dyDescent="0.25">
      <c r="A5486" s="227" t="str">
        <f>TL[[#This Row],[Société]]&amp;" - "&amp;TL[[#This Row],[Compte]]</f>
        <v>GLR5 - 675600</v>
      </c>
      <c r="B5486" s="233" t="s">
        <v>3331</v>
      </c>
      <c r="C5486" s="227" t="s">
        <v>5983</v>
      </c>
      <c r="F5486" s="227" t="s">
        <v>2999</v>
      </c>
    </row>
    <row r="5487" spans="1:6" x14ac:dyDescent="0.25">
      <c r="A5487" s="227" t="str">
        <f>TL[[#This Row],[Société]]&amp;" - "&amp;TL[[#This Row],[Compte]]</f>
        <v>GLR5 - 681110</v>
      </c>
      <c r="B5487" s="233" t="s">
        <v>1787</v>
      </c>
      <c r="C5487" s="227" t="s">
        <v>236</v>
      </c>
      <c r="D5487" s="233" t="s">
        <v>45</v>
      </c>
      <c r="E5487" s="233" t="s">
        <v>48</v>
      </c>
      <c r="F5487" s="227" t="s">
        <v>2999</v>
      </c>
    </row>
    <row r="5488" spans="1:6" x14ac:dyDescent="0.25">
      <c r="A5488" s="227" t="str">
        <f>TL[[#This Row],[Société]]&amp;" - "&amp;TL[[#This Row],[Compte]]</f>
        <v>GLR5 - 681120</v>
      </c>
      <c r="B5488" s="233" t="s">
        <v>2026</v>
      </c>
      <c r="C5488" s="227" t="s">
        <v>2264</v>
      </c>
      <c r="D5488" s="233" t="s">
        <v>45</v>
      </c>
      <c r="E5488" s="233" t="s">
        <v>48</v>
      </c>
      <c r="F5488" s="227" t="s">
        <v>2999</v>
      </c>
    </row>
    <row r="5489" spans="1:6" x14ac:dyDescent="0.25">
      <c r="A5489" s="227" t="str">
        <f>TL[[#This Row],[Société]]&amp;" - "&amp;TL[[#This Row],[Compte]]</f>
        <v>GLR5 - 681500</v>
      </c>
      <c r="B5489" s="233" t="s">
        <v>2027</v>
      </c>
      <c r="C5489" s="227" t="s">
        <v>5984</v>
      </c>
      <c r="D5489" s="233" t="s">
        <v>45</v>
      </c>
      <c r="E5489" s="233" t="s">
        <v>48</v>
      </c>
      <c r="F5489" s="227" t="s">
        <v>2999</v>
      </c>
    </row>
    <row r="5490" spans="1:6" x14ac:dyDescent="0.25">
      <c r="A5490" s="227" t="str">
        <f>TL[[#This Row],[Société]]&amp;" - "&amp;TL[[#This Row],[Compte]]</f>
        <v>GLR5 - 681520</v>
      </c>
      <c r="B5490" s="233" t="s">
        <v>2028</v>
      </c>
      <c r="C5490" s="227" t="s">
        <v>6842</v>
      </c>
      <c r="D5490" s="233" t="s">
        <v>13</v>
      </c>
      <c r="E5490" s="233" t="s">
        <v>48</v>
      </c>
      <c r="F5490" s="227" t="s">
        <v>2999</v>
      </c>
    </row>
    <row r="5491" spans="1:6" x14ac:dyDescent="0.25">
      <c r="A5491" s="227" t="str">
        <f>TL[[#This Row],[Société]]&amp;" - "&amp;TL[[#This Row],[Compte]]</f>
        <v>GLR5 - 681530</v>
      </c>
      <c r="B5491" s="233" t="s">
        <v>2029</v>
      </c>
      <c r="C5491" s="227" t="s">
        <v>6843</v>
      </c>
      <c r="D5491" s="233" t="s">
        <v>13</v>
      </c>
      <c r="E5491" s="233" t="s">
        <v>48</v>
      </c>
      <c r="F5491" s="227" t="s">
        <v>2999</v>
      </c>
    </row>
    <row r="5492" spans="1:6" x14ac:dyDescent="0.25">
      <c r="A5492" s="227" t="str">
        <f>TL[[#This Row],[Société]]&amp;" - "&amp;TL[[#This Row],[Compte]]</f>
        <v>GLR5 - 687100</v>
      </c>
      <c r="B5492" s="233" t="s">
        <v>2032</v>
      </c>
      <c r="C5492" s="227" t="s">
        <v>6844</v>
      </c>
      <c r="D5492" s="233" t="s">
        <v>45</v>
      </c>
      <c r="E5492" s="233" t="s">
        <v>48</v>
      </c>
      <c r="F5492" s="227" t="s">
        <v>2999</v>
      </c>
    </row>
    <row r="5493" spans="1:6" x14ac:dyDescent="0.25">
      <c r="A5493" s="227" t="str">
        <f>TL[[#This Row],[Société]]&amp;" - "&amp;TL[[#This Row],[Compte]]</f>
        <v>GLR5 - 687110</v>
      </c>
      <c r="B5493" s="233" t="s">
        <v>2033</v>
      </c>
      <c r="C5493" s="227" t="s">
        <v>3056</v>
      </c>
      <c r="F5493" s="227" t="s">
        <v>2999</v>
      </c>
    </row>
    <row r="5494" spans="1:6" x14ac:dyDescent="0.25">
      <c r="A5494" s="227" t="str">
        <f>TL[[#This Row],[Société]]&amp;" - "&amp;TL[[#This Row],[Compte]]</f>
        <v>GLR5 - 687120</v>
      </c>
      <c r="B5494" s="233" t="s">
        <v>2034</v>
      </c>
      <c r="C5494" s="227" t="s">
        <v>5985</v>
      </c>
      <c r="D5494" s="233" t="s">
        <v>45</v>
      </c>
      <c r="E5494" s="233" t="s">
        <v>48</v>
      </c>
      <c r="F5494" s="227" t="s">
        <v>2999</v>
      </c>
    </row>
    <row r="5495" spans="1:6" x14ac:dyDescent="0.25">
      <c r="A5495" s="227" t="str">
        <f>TL[[#This Row],[Société]]&amp;" - "&amp;TL[[#This Row],[Compte]]</f>
        <v>GLR5 - 687250</v>
      </c>
      <c r="B5495" s="233" t="s">
        <v>2035</v>
      </c>
      <c r="C5495" s="227" t="s">
        <v>3056</v>
      </c>
      <c r="F5495" s="227" t="s">
        <v>2999</v>
      </c>
    </row>
    <row r="5496" spans="1:6" x14ac:dyDescent="0.25">
      <c r="A5496" s="227" t="str">
        <f>TL[[#This Row],[Société]]&amp;" - "&amp;TL[[#This Row],[Compte]]</f>
        <v>GLR5 - 687500</v>
      </c>
      <c r="B5496" s="233" t="s">
        <v>5350</v>
      </c>
      <c r="C5496" s="227" t="s">
        <v>5351</v>
      </c>
      <c r="F5496" s="227" t="s">
        <v>2999</v>
      </c>
    </row>
    <row r="5497" spans="1:6" x14ac:dyDescent="0.25">
      <c r="A5497" s="227" t="str">
        <f>TL[[#This Row],[Société]]&amp;" - "&amp;TL[[#This Row],[Compte]]</f>
        <v>GLR5 - 695000</v>
      </c>
      <c r="B5497" s="233" t="s">
        <v>2036</v>
      </c>
      <c r="C5497" s="227" t="s">
        <v>157</v>
      </c>
      <c r="D5497" s="233" t="s">
        <v>152</v>
      </c>
      <c r="E5497" s="233" t="s">
        <v>1303</v>
      </c>
      <c r="F5497" s="227" t="s">
        <v>2999</v>
      </c>
    </row>
    <row r="5498" spans="1:6" x14ac:dyDescent="0.25">
      <c r="A5498" s="227" t="str">
        <f>TL[[#This Row],[Société]]&amp;" - "&amp;TL[[#This Row],[Compte]]</f>
        <v>GLR5 - 695100</v>
      </c>
      <c r="B5498" s="233" t="s">
        <v>2037</v>
      </c>
      <c r="C5498" s="227" t="s">
        <v>1055</v>
      </c>
      <c r="D5498" s="233" t="s">
        <v>152</v>
      </c>
      <c r="E5498" s="233" t="s">
        <v>1303</v>
      </c>
      <c r="F5498" s="227" t="s">
        <v>2999</v>
      </c>
    </row>
    <row r="5499" spans="1:6" x14ac:dyDescent="0.25">
      <c r="A5499" s="227" t="str">
        <f>TL[[#This Row],[Société]]&amp;" - "&amp;TL[[#This Row],[Compte]]</f>
        <v>GLR5 - 698910</v>
      </c>
      <c r="B5499" s="233" t="s">
        <v>2041</v>
      </c>
      <c r="C5499" s="227" t="s">
        <v>5988</v>
      </c>
      <c r="F5499" s="227" t="s">
        <v>2999</v>
      </c>
    </row>
    <row r="5500" spans="1:6" x14ac:dyDescent="0.25">
      <c r="A5500" s="227" t="str">
        <f>TL[[#This Row],[Société]]&amp;" - "&amp;TL[[#This Row],[Compte]]</f>
        <v>GLR5 - 698920</v>
      </c>
      <c r="B5500" s="233" t="s">
        <v>2042</v>
      </c>
      <c r="C5500" s="227" t="s">
        <v>237</v>
      </c>
      <c r="F5500" s="227" t="s">
        <v>2999</v>
      </c>
    </row>
    <row r="5501" spans="1:6" x14ac:dyDescent="0.25">
      <c r="A5501" s="227" t="str">
        <f>TL[[#This Row],[Société]]&amp;" - "&amp;TL[[#This Row],[Compte]]</f>
        <v>GLR5 - 701001</v>
      </c>
      <c r="B5501" s="233" t="s">
        <v>1793</v>
      </c>
      <c r="C5501" s="227" t="s">
        <v>64</v>
      </c>
      <c r="D5501" s="233" t="s">
        <v>143</v>
      </c>
      <c r="E5501" s="233" t="s">
        <v>5</v>
      </c>
      <c r="F5501" s="227" t="s">
        <v>2999</v>
      </c>
    </row>
    <row r="5502" spans="1:6" x14ac:dyDescent="0.25">
      <c r="A5502" s="227" t="str">
        <f>TL[[#This Row],[Société]]&amp;" - "&amp;TL[[#This Row],[Compte]]</f>
        <v>GLR5 - 701002</v>
      </c>
      <c r="B5502" s="233" t="s">
        <v>1797</v>
      </c>
      <c r="C5502" s="227" t="s">
        <v>6845</v>
      </c>
      <c r="D5502" s="233" t="s">
        <v>143</v>
      </c>
      <c r="E5502" s="233" t="s">
        <v>5</v>
      </c>
      <c r="F5502" s="227" t="s">
        <v>2999</v>
      </c>
    </row>
    <row r="5503" spans="1:6" x14ac:dyDescent="0.25">
      <c r="A5503" s="227" t="str">
        <f>TL[[#This Row],[Société]]&amp;" - "&amp;TL[[#This Row],[Compte]]</f>
        <v>GLR5 - 701010</v>
      </c>
      <c r="B5503" s="233" t="s">
        <v>2047</v>
      </c>
      <c r="C5503" s="227" t="s">
        <v>5992</v>
      </c>
      <c r="D5503" s="233" t="s">
        <v>143</v>
      </c>
      <c r="E5503" s="233" t="s">
        <v>5</v>
      </c>
      <c r="F5503" s="227" t="s">
        <v>2999</v>
      </c>
    </row>
    <row r="5504" spans="1:6" x14ac:dyDescent="0.25">
      <c r="A5504" s="227" t="str">
        <f>TL[[#This Row],[Société]]&amp;" - "&amp;TL[[#This Row],[Compte]]</f>
        <v>GLR5 - 701011</v>
      </c>
      <c r="B5504" s="233" t="s">
        <v>2048</v>
      </c>
      <c r="C5504" s="227" t="s">
        <v>2265</v>
      </c>
      <c r="D5504" s="233" t="s">
        <v>143</v>
      </c>
      <c r="E5504" s="233" t="s">
        <v>5</v>
      </c>
      <c r="F5504" s="227" t="s">
        <v>2999</v>
      </c>
    </row>
    <row r="5505" spans="1:6" x14ac:dyDescent="0.25">
      <c r="A5505" s="227" t="str">
        <f>TL[[#This Row],[Société]]&amp;" - "&amp;TL[[#This Row],[Compte]]</f>
        <v>GLR5 - 701015</v>
      </c>
      <c r="B5505" s="233" t="s">
        <v>2513</v>
      </c>
      <c r="C5505" s="227" t="s">
        <v>2266</v>
      </c>
      <c r="D5505" s="233" t="s">
        <v>143</v>
      </c>
      <c r="E5505" s="233" t="s">
        <v>5</v>
      </c>
      <c r="F5505" s="227" t="s">
        <v>2999</v>
      </c>
    </row>
    <row r="5506" spans="1:6" x14ac:dyDescent="0.25">
      <c r="A5506" s="227" t="str">
        <f>TL[[#This Row],[Société]]&amp;" - "&amp;TL[[#This Row],[Compte]]</f>
        <v>GLR5 - 701020</v>
      </c>
      <c r="B5506" s="233" t="s">
        <v>2049</v>
      </c>
      <c r="C5506" s="227" t="s">
        <v>2267</v>
      </c>
      <c r="D5506" s="233" t="s">
        <v>143</v>
      </c>
      <c r="E5506" s="233" t="s">
        <v>5</v>
      </c>
      <c r="F5506" s="227" t="s">
        <v>2999</v>
      </c>
    </row>
    <row r="5507" spans="1:6" x14ac:dyDescent="0.25">
      <c r="A5507" s="227" t="str">
        <f>TL[[#This Row],[Société]]&amp;" - "&amp;TL[[#This Row],[Compte]]</f>
        <v>GLR5 - 701040</v>
      </c>
      <c r="B5507" s="233" t="s">
        <v>2813</v>
      </c>
      <c r="C5507" s="227" t="s">
        <v>5993</v>
      </c>
      <c r="D5507" s="233" t="s">
        <v>143</v>
      </c>
      <c r="E5507" s="233" t="s">
        <v>5</v>
      </c>
      <c r="F5507" s="227" t="s">
        <v>2999</v>
      </c>
    </row>
    <row r="5508" spans="1:6" x14ac:dyDescent="0.25">
      <c r="A5508" s="227" t="str">
        <f>TL[[#This Row],[Société]]&amp;" - "&amp;TL[[#This Row],[Compte]]</f>
        <v>GLR5 - 701100</v>
      </c>
      <c r="B5508" s="233" t="s">
        <v>2050</v>
      </c>
      <c r="C5508" s="227" t="s">
        <v>2268</v>
      </c>
      <c r="D5508" s="233" t="s">
        <v>143</v>
      </c>
      <c r="E5508" s="233" t="s">
        <v>5</v>
      </c>
      <c r="F5508" s="227" t="s">
        <v>2999</v>
      </c>
    </row>
    <row r="5509" spans="1:6" x14ac:dyDescent="0.25">
      <c r="A5509" s="227" t="str">
        <f>TL[[#This Row],[Société]]&amp;" - "&amp;TL[[#This Row],[Compte]]</f>
        <v>GLR5 - 701200</v>
      </c>
      <c r="B5509" s="233" t="s">
        <v>2814</v>
      </c>
      <c r="C5509" s="227" t="s">
        <v>5993</v>
      </c>
      <c r="D5509" s="233" t="s">
        <v>143</v>
      </c>
      <c r="E5509" s="233" t="s">
        <v>5</v>
      </c>
      <c r="F5509" s="227" t="s">
        <v>2999</v>
      </c>
    </row>
    <row r="5510" spans="1:6" x14ac:dyDescent="0.25">
      <c r="A5510" s="227" t="str">
        <f>TL[[#This Row],[Société]]&amp;" - "&amp;TL[[#This Row],[Compte]]</f>
        <v>GLR5 - 701220</v>
      </c>
      <c r="B5510" s="233" t="s">
        <v>2051</v>
      </c>
      <c r="C5510" s="227" t="s">
        <v>6846</v>
      </c>
      <c r="F5510" s="227" t="s">
        <v>2999</v>
      </c>
    </row>
    <row r="5511" spans="1:6" x14ac:dyDescent="0.25">
      <c r="A5511" s="227" t="str">
        <f>TL[[#This Row],[Société]]&amp;" - "&amp;TL[[#This Row],[Compte]]</f>
        <v>GLR5 - 702300</v>
      </c>
      <c r="B5511" s="233" t="s">
        <v>1794</v>
      </c>
      <c r="C5511" s="227" t="s">
        <v>64</v>
      </c>
      <c r="D5511" s="233" t="s">
        <v>149</v>
      </c>
      <c r="E5511" s="233" t="s">
        <v>3004</v>
      </c>
      <c r="F5511" s="227" t="s">
        <v>2999</v>
      </c>
    </row>
    <row r="5512" spans="1:6" x14ac:dyDescent="0.25">
      <c r="A5512" s="227" t="str">
        <f>TL[[#This Row],[Société]]&amp;" - "&amp;TL[[#This Row],[Compte]]</f>
        <v>GLR5 - 703100</v>
      </c>
      <c r="B5512" s="233" t="s">
        <v>3339</v>
      </c>
      <c r="C5512" s="227" t="s">
        <v>3340</v>
      </c>
      <c r="D5512" s="233" t="s">
        <v>0</v>
      </c>
      <c r="E5512" s="233" t="s">
        <v>25</v>
      </c>
      <c r="F5512" s="227" t="s">
        <v>2999</v>
      </c>
    </row>
    <row r="5513" spans="1:6" x14ac:dyDescent="0.25">
      <c r="A5513" s="227" t="str">
        <f>TL[[#This Row],[Société]]&amp;" - "&amp;TL[[#This Row],[Compte]]</f>
        <v>GLR5 - 706005</v>
      </c>
      <c r="B5513" s="233" t="s">
        <v>2052</v>
      </c>
      <c r="C5513" s="227" t="s">
        <v>6000</v>
      </c>
      <c r="D5513" s="233" t="s">
        <v>50</v>
      </c>
      <c r="E5513" s="233" t="s">
        <v>52</v>
      </c>
      <c r="F5513" s="227" t="s">
        <v>2999</v>
      </c>
    </row>
    <row r="5514" spans="1:6" x14ac:dyDescent="0.25">
      <c r="A5514" s="227" t="str">
        <f>TL[[#This Row],[Société]]&amp;" - "&amp;TL[[#This Row],[Compte]]</f>
        <v>GLR5 - 708000</v>
      </c>
      <c r="B5514" s="233" t="s">
        <v>1735</v>
      </c>
      <c r="C5514" s="227" t="s">
        <v>2179</v>
      </c>
      <c r="D5514" s="233" t="s">
        <v>0</v>
      </c>
      <c r="E5514" s="233" t="s">
        <v>7</v>
      </c>
      <c r="F5514" s="227" t="s">
        <v>2999</v>
      </c>
    </row>
    <row r="5515" spans="1:6" x14ac:dyDescent="0.25">
      <c r="A5515" s="227" t="str">
        <f>TL[[#This Row],[Société]]&amp;" - "&amp;TL[[#This Row],[Compte]]</f>
        <v>GLR5 - 708801</v>
      </c>
      <c r="B5515" s="233" t="s">
        <v>5451</v>
      </c>
      <c r="C5515" s="227" t="s">
        <v>6001</v>
      </c>
      <c r="D5515" s="233" t="s">
        <v>152</v>
      </c>
      <c r="E5515" s="233" t="s">
        <v>2982</v>
      </c>
      <c r="F5515" s="227" t="s">
        <v>2999</v>
      </c>
    </row>
    <row r="5516" spans="1:6" x14ac:dyDescent="0.25">
      <c r="A5516" s="227" t="str">
        <f>TL[[#This Row],[Société]]&amp;" - "&amp;TL[[#This Row],[Compte]]</f>
        <v>GLR5 - 708810</v>
      </c>
      <c r="B5516" s="233" t="s">
        <v>2061</v>
      </c>
      <c r="C5516" s="227" t="s">
        <v>6002</v>
      </c>
      <c r="D5516" s="233" t="s">
        <v>0</v>
      </c>
      <c r="E5516" s="233" t="s">
        <v>7</v>
      </c>
      <c r="F5516" s="227" t="s">
        <v>2999</v>
      </c>
    </row>
    <row r="5517" spans="1:6" x14ac:dyDescent="0.25">
      <c r="A5517" s="227" t="str">
        <f>TL[[#This Row],[Société]]&amp;" - "&amp;TL[[#This Row],[Compte]]</f>
        <v>GLR5 - 708820</v>
      </c>
      <c r="B5517" s="233" t="s">
        <v>3350</v>
      </c>
      <c r="C5517" s="227" t="s">
        <v>6004</v>
      </c>
      <c r="D5517" s="233" t="s">
        <v>0</v>
      </c>
      <c r="E5517" s="233" t="s">
        <v>7</v>
      </c>
      <c r="F5517" s="227" t="s">
        <v>2999</v>
      </c>
    </row>
    <row r="5518" spans="1:6" x14ac:dyDescent="0.25">
      <c r="A5518" s="227" t="str">
        <f>TL[[#This Row],[Société]]&amp;" - "&amp;TL[[#This Row],[Compte]]</f>
        <v>GLR5 - 708821</v>
      </c>
      <c r="B5518" s="233" t="s">
        <v>6005</v>
      </c>
      <c r="C5518" s="227" t="s">
        <v>2269</v>
      </c>
      <c r="D5518" s="233" t="s">
        <v>50</v>
      </c>
      <c r="E5518" s="233" t="s">
        <v>16</v>
      </c>
      <c r="F5518" s="227" t="s">
        <v>2999</v>
      </c>
    </row>
    <row r="5519" spans="1:6" x14ac:dyDescent="0.25">
      <c r="A5519" s="227" t="str">
        <f>TL[[#This Row],[Société]]&amp;" - "&amp;TL[[#This Row],[Compte]]</f>
        <v>GLR5 - 708830</v>
      </c>
      <c r="B5519" s="233" t="s">
        <v>3352</v>
      </c>
      <c r="C5519" s="227" t="s">
        <v>2270</v>
      </c>
      <c r="D5519" s="233" t="s">
        <v>15</v>
      </c>
      <c r="E5519" s="233" t="s">
        <v>13</v>
      </c>
      <c r="F5519" s="227" t="s">
        <v>2999</v>
      </c>
    </row>
    <row r="5520" spans="1:6" x14ac:dyDescent="0.25">
      <c r="A5520" s="227" t="str">
        <f>TL[[#This Row],[Société]]&amp;" - "&amp;TL[[#This Row],[Compte]]</f>
        <v>GLR5 - 708831</v>
      </c>
      <c r="B5520" s="233" t="s">
        <v>6009</v>
      </c>
      <c r="C5520" s="227" t="s">
        <v>6010</v>
      </c>
      <c r="D5520" s="233" t="s">
        <v>13</v>
      </c>
      <c r="E5520" s="233" t="s">
        <v>12</v>
      </c>
      <c r="F5520" s="227" t="s">
        <v>2999</v>
      </c>
    </row>
    <row r="5521" spans="1:6" x14ac:dyDescent="0.25">
      <c r="A5521" s="227" t="str">
        <f>TL[[#This Row],[Société]]&amp;" - "&amp;TL[[#This Row],[Compte]]</f>
        <v>GLR5 - 708840</v>
      </c>
      <c r="B5521" s="233" t="s">
        <v>3354</v>
      </c>
      <c r="C5521" s="227" t="s">
        <v>2271</v>
      </c>
      <c r="D5521" s="233" t="s">
        <v>13</v>
      </c>
      <c r="E5521" s="233" t="s">
        <v>12</v>
      </c>
      <c r="F5521" s="227" t="s">
        <v>2999</v>
      </c>
    </row>
    <row r="5522" spans="1:6" x14ac:dyDescent="0.25">
      <c r="A5522" s="227" t="str">
        <f>TL[[#This Row],[Société]]&amp;" - "&amp;TL[[#This Row],[Compte]]</f>
        <v>GLR5 - 708845</v>
      </c>
      <c r="B5522" s="233" t="s">
        <v>6015</v>
      </c>
      <c r="C5522" s="227" t="s">
        <v>1329</v>
      </c>
      <c r="D5522" s="233" t="s">
        <v>21</v>
      </c>
      <c r="E5522" s="233" t="s">
        <v>2978</v>
      </c>
      <c r="F5522" s="227" t="s">
        <v>2999</v>
      </c>
    </row>
    <row r="5523" spans="1:6" x14ac:dyDescent="0.25">
      <c r="A5523" s="227" t="str">
        <f>TL[[#This Row],[Société]]&amp;" - "&amp;TL[[#This Row],[Compte]]</f>
        <v>GLR5 - 708850</v>
      </c>
      <c r="B5523" s="233" t="s">
        <v>2745</v>
      </c>
      <c r="C5523" s="227" t="s">
        <v>6017</v>
      </c>
      <c r="D5523" s="233" t="s">
        <v>12</v>
      </c>
      <c r="E5523" s="233" t="s">
        <v>3</v>
      </c>
      <c r="F5523" s="227" t="s">
        <v>2999</v>
      </c>
    </row>
    <row r="5524" spans="1:6" x14ac:dyDescent="0.25">
      <c r="A5524" s="227" t="str">
        <f>TL[[#This Row],[Société]]&amp;" - "&amp;TL[[#This Row],[Compte]]</f>
        <v>GLR5 - 708855</v>
      </c>
      <c r="B5524" s="233" t="s">
        <v>6020</v>
      </c>
      <c r="C5524" s="227" t="s">
        <v>802</v>
      </c>
      <c r="D5524" s="233" t="s">
        <v>0</v>
      </c>
      <c r="E5524" s="233" t="s">
        <v>7</v>
      </c>
      <c r="F5524" s="227" t="s">
        <v>2999</v>
      </c>
    </row>
    <row r="5525" spans="1:6" x14ac:dyDescent="0.25">
      <c r="A5525" s="227" t="str">
        <f>TL[[#This Row],[Société]]&amp;" - "&amp;TL[[#This Row],[Compte]]</f>
        <v>GLR5 - 708856</v>
      </c>
      <c r="B5525" s="233" t="s">
        <v>2577</v>
      </c>
      <c r="C5525" s="227" t="s">
        <v>2272</v>
      </c>
      <c r="D5525" s="233" t="s">
        <v>25</v>
      </c>
      <c r="E5525" s="233" t="s">
        <v>2978</v>
      </c>
      <c r="F5525" s="227" t="s">
        <v>2999</v>
      </c>
    </row>
    <row r="5526" spans="1:6" x14ac:dyDescent="0.25">
      <c r="A5526" s="227" t="str">
        <f>TL[[#This Row],[Société]]&amp;" - "&amp;TL[[#This Row],[Compte]]</f>
        <v>GLR5 - 708857</v>
      </c>
      <c r="B5526" s="233" t="s">
        <v>6021</v>
      </c>
      <c r="C5526" s="227" t="s">
        <v>6022</v>
      </c>
      <c r="D5526" s="233" t="s">
        <v>23</v>
      </c>
      <c r="E5526" s="233" t="s">
        <v>2978</v>
      </c>
      <c r="F5526" s="227" t="s">
        <v>2999</v>
      </c>
    </row>
    <row r="5527" spans="1:6" x14ac:dyDescent="0.25">
      <c r="A5527" s="227" t="str">
        <f>TL[[#This Row],[Société]]&amp;" - "&amp;TL[[#This Row],[Compte]]</f>
        <v>GLR5 - 708858</v>
      </c>
      <c r="B5527" s="233" t="s">
        <v>6023</v>
      </c>
      <c r="C5527" s="227" t="s">
        <v>6024</v>
      </c>
      <c r="D5527" s="233" t="s">
        <v>7</v>
      </c>
      <c r="E5527" s="233" t="s">
        <v>0</v>
      </c>
      <c r="F5527" s="227" t="s">
        <v>2999</v>
      </c>
    </row>
    <row r="5528" spans="1:6" x14ac:dyDescent="0.25">
      <c r="A5528" s="227" t="str">
        <f>TL[[#This Row],[Société]]&amp;" - "&amp;TL[[#This Row],[Compte]]</f>
        <v>GLR5 - 708859</v>
      </c>
      <c r="B5528" s="233" t="s">
        <v>6025</v>
      </c>
      <c r="C5528" s="227" t="s">
        <v>6026</v>
      </c>
      <c r="D5528" s="233" t="s">
        <v>50</v>
      </c>
      <c r="E5528" s="233" t="s">
        <v>16</v>
      </c>
      <c r="F5528" s="227" t="s">
        <v>2999</v>
      </c>
    </row>
    <row r="5529" spans="1:6" x14ac:dyDescent="0.25">
      <c r="A5529" s="227" t="str">
        <f>TL[[#This Row],[Société]]&amp;" - "&amp;TL[[#This Row],[Compte]]</f>
        <v>GLR5 - 708860</v>
      </c>
      <c r="B5529" s="233" t="s">
        <v>2602</v>
      </c>
      <c r="C5529" s="227" t="s">
        <v>2273</v>
      </c>
      <c r="D5529" s="233" t="s">
        <v>50</v>
      </c>
      <c r="E5529" s="233" t="s">
        <v>52</v>
      </c>
      <c r="F5529" s="227" t="s">
        <v>2999</v>
      </c>
    </row>
    <row r="5530" spans="1:6" x14ac:dyDescent="0.25">
      <c r="A5530" s="227" t="str">
        <f>TL[[#This Row],[Société]]&amp;" - "&amp;TL[[#This Row],[Compte]]</f>
        <v>GLR5 - 708861</v>
      </c>
      <c r="B5530" s="233" t="s">
        <v>6027</v>
      </c>
      <c r="C5530" s="227" t="s">
        <v>6028</v>
      </c>
      <c r="D5530" s="233" t="s">
        <v>29</v>
      </c>
      <c r="E5530" s="233" t="s">
        <v>2978</v>
      </c>
      <c r="F5530" s="227" t="s">
        <v>2999</v>
      </c>
    </row>
    <row r="5531" spans="1:6" x14ac:dyDescent="0.25">
      <c r="A5531" s="227" t="str">
        <f>TL[[#This Row],[Société]]&amp;" - "&amp;TL[[#This Row],[Compte]]</f>
        <v>GLR5 - 708862</v>
      </c>
      <c r="B5531" s="233" t="s">
        <v>6029</v>
      </c>
      <c r="C5531" s="227" t="s">
        <v>6030</v>
      </c>
      <c r="D5531" s="233" t="s">
        <v>16</v>
      </c>
      <c r="E5531" s="233" t="s">
        <v>2979</v>
      </c>
      <c r="F5531" s="227" t="s">
        <v>2999</v>
      </c>
    </row>
    <row r="5532" spans="1:6" x14ac:dyDescent="0.25">
      <c r="A5532" s="227" t="str">
        <f>TL[[#This Row],[Société]]&amp;" - "&amp;TL[[#This Row],[Compte]]</f>
        <v>GLR5 - 708863</v>
      </c>
      <c r="B5532" s="233" t="s">
        <v>6031</v>
      </c>
      <c r="C5532" s="227" t="s">
        <v>6032</v>
      </c>
      <c r="D5532" s="233" t="s">
        <v>27</v>
      </c>
      <c r="E5532" s="233" t="s">
        <v>2978</v>
      </c>
      <c r="F5532" s="227" t="s">
        <v>2999</v>
      </c>
    </row>
    <row r="5533" spans="1:6" x14ac:dyDescent="0.25">
      <c r="A5533" s="227" t="str">
        <f>TL[[#This Row],[Société]]&amp;" - "&amp;TL[[#This Row],[Compte]]</f>
        <v>GLR5 - 708864</v>
      </c>
      <c r="B5533" s="233" t="s">
        <v>6033</v>
      </c>
      <c r="C5533" s="227" t="s">
        <v>6034</v>
      </c>
      <c r="D5533" s="233" t="s">
        <v>25</v>
      </c>
      <c r="E5533" s="233" t="s">
        <v>2978</v>
      </c>
      <c r="F5533" s="227" t="s">
        <v>2999</v>
      </c>
    </row>
    <row r="5534" spans="1:6" x14ac:dyDescent="0.25">
      <c r="A5534" s="227" t="str">
        <f>TL[[#This Row],[Société]]&amp;" - "&amp;TL[[#This Row],[Compte]]</f>
        <v>GLR5 - 708865</v>
      </c>
      <c r="B5534" s="233" t="s">
        <v>6035</v>
      </c>
      <c r="C5534" s="227" t="s">
        <v>6036</v>
      </c>
      <c r="D5534" s="233" t="s">
        <v>39</v>
      </c>
      <c r="E5534" s="233" t="s">
        <v>44</v>
      </c>
      <c r="F5534" s="227" t="s">
        <v>2999</v>
      </c>
    </row>
    <row r="5535" spans="1:6" x14ac:dyDescent="0.25">
      <c r="A5535" s="227" t="str">
        <f>TL[[#This Row],[Société]]&amp;" - "&amp;TL[[#This Row],[Compte]]</f>
        <v>GLR5 - 708866</v>
      </c>
      <c r="B5535" s="233" t="s">
        <v>6037</v>
      </c>
      <c r="C5535" s="227" t="s">
        <v>6038</v>
      </c>
      <c r="D5535" s="233" t="s">
        <v>32</v>
      </c>
      <c r="E5535" s="233" t="s">
        <v>2982</v>
      </c>
      <c r="F5535" s="227" t="s">
        <v>2999</v>
      </c>
    </row>
    <row r="5536" spans="1:6" x14ac:dyDescent="0.25">
      <c r="A5536" s="227" t="str">
        <f>TL[[#This Row],[Société]]&amp;" - "&amp;TL[[#This Row],[Compte]]</f>
        <v>GLR5 - 708867</v>
      </c>
      <c r="B5536" s="233" t="s">
        <v>6039</v>
      </c>
      <c r="C5536" s="227" t="s">
        <v>6040</v>
      </c>
      <c r="D5536" s="233" t="s">
        <v>50</v>
      </c>
      <c r="E5536" s="233" t="s">
        <v>52</v>
      </c>
      <c r="F5536" s="227" t="s">
        <v>2999</v>
      </c>
    </row>
    <row r="5537" spans="1:6" x14ac:dyDescent="0.25">
      <c r="A5537" s="227" t="str">
        <f>TL[[#This Row],[Société]]&amp;" - "&amp;TL[[#This Row],[Compte]]</f>
        <v>GLR5 - 708870</v>
      </c>
      <c r="B5537" s="233" t="s">
        <v>2571</v>
      </c>
      <c r="C5537" s="227" t="s">
        <v>2274</v>
      </c>
      <c r="D5537" s="233" t="s">
        <v>18</v>
      </c>
      <c r="E5537" s="233" t="s">
        <v>32</v>
      </c>
      <c r="F5537" s="227" t="s">
        <v>2999</v>
      </c>
    </row>
    <row r="5538" spans="1:6" x14ac:dyDescent="0.25">
      <c r="A5538" s="227" t="str">
        <f>TL[[#This Row],[Société]]&amp;" - "&amp;TL[[#This Row],[Compte]]</f>
        <v>GLR5 - 708880</v>
      </c>
      <c r="B5538" s="233" t="s">
        <v>2608</v>
      </c>
      <c r="C5538" s="227" t="s">
        <v>2275</v>
      </c>
      <c r="D5538" s="233" t="s">
        <v>150</v>
      </c>
      <c r="E5538" s="233" t="s">
        <v>3004</v>
      </c>
      <c r="F5538" s="227" t="s">
        <v>2999</v>
      </c>
    </row>
    <row r="5539" spans="1:6" x14ac:dyDescent="0.25">
      <c r="A5539" s="227" t="str">
        <f>TL[[#This Row],[Société]]&amp;" - "&amp;TL[[#This Row],[Compte]]</f>
        <v>GLR5 - 708881</v>
      </c>
      <c r="B5539" s="233" t="s">
        <v>3358</v>
      </c>
      <c r="C5539" s="227" t="s">
        <v>6041</v>
      </c>
      <c r="D5539" s="233" t="s">
        <v>32</v>
      </c>
      <c r="E5539" s="233" t="s">
        <v>2982</v>
      </c>
      <c r="F5539" s="227" t="s">
        <v>2999</v>
      </c>
    </row>
    <row r="5540" spans="1:6" x14ac:dyDescent="0.25">
      <c r="A5540" s="227" t="str">
        <f>TL[[#This Row],[Société]]&amp;" - "&amp;TL[[#This Row],[Compte]]</f>
        <v>GLR5 - 708882</v>
      </c>
      <c r="B5540" s="233" t="s">
        <v>2770</v>
      </c>
      <c r="C5540" s="227" t="s">
        <v>6847</v>
      </c>
      <c r="D5540" s="233" t="s">
        <v>50</v>
      </c>
      <c r="E5540" s="233" t="s">
        <v>52</v>
      </c>
      <c r="F5540" s="227" t="s">
        <v>2999</v>
      </c>
    </row>
    <row r="5541" spans="1:6" x14ac:dyDescent="0.25">
      <c r="A5541" s="227" t="str">
        <f>TL[[#This Row],[Société]]&amp;" - "&amp;TL[[#This Row],[Compte]]</f>
        <v>GLR5 - 708883</v>
      </c>
      <c r="B5541" s="233" t="s">
        <v>6043</v>
      </c>
      <c r="C5541" s="227" t="s">
        <v>6848</v>
      </c>
      <c r="D5541" s="233" t="s">
        <v>21</v>
      </c>
      <c r="E5541" s="233" t="s">
        <v>2978</v>
      </c>
      <c r="F5541" s="227" t="s">
        <v>2999</v>
      </c>
    </row>
    <row r="5542" spans="1:6" x14ac:dyDescent="0.25">
      <c r="A5542" s="227" t="str">
        <f>TL[[#This Row],[Société]]&amp;" - "&amp;TL[[#This Row],[Compte]]</f>
        <v>GLR5 - 708884</v>
      </c>
      <c r="B5542" s="233" t="s">
        <v>6045</v>
      </c>
      <c r="C5542" s="227" t="s">
        <v>6849</v>
      </c>
      <c r="D5542" s="233" t="s">
        <v>16</v>
      </c>
      <c r="E5542" s="233" t="s">
        <v>2979</v>
      </c>
      <c r="F5542" s="227" t="s">
        <v>2999</v>
      </c>
    </row>
    <row r="5543" spans="1:6" x14ac:dyDescent="0.25">
      <c r="A5543" s="227" t="str">
        <f>TL[[#This Row],[Société]]&amp;" - "&amp;TL[[#This Row],[Compte]]</f>
        <v>GLR5 - 708885</v>
      </c>
      <c r="B5543" s="233" t="s">
        <v>6047</v>
      </c>
      <c r="C5543" s="227" t="s">
        <v>6402</v>
      </c>
      <c r="D5543" s="233" t="s">
        <v>50</v>
      </c>
      <c r="E5543" s="233" t="s">
        <v>20</v>
      </c>
      <c r="F5543" s="227" t="s">
        <v>2999</v>
      </c>
    </row>
    <row r="5544" spans="1:6" x14ac:dyDescent="0.25">
      <c r="A5544" s="227" t="str">
        <f>TL[[#This Row],[Société]]&amp;" - "&amp;TL[[#This Row],[Compte]]</f>
        <v>GLR5 - 708890</v>
      </c>
      <c r="B5544" s="233" t="s">
        <v>3360</v>
      </c>
      <c r="C5544" s="227" t="s">
        <v>3361</v>
      </c>
      <c r="D5544" s="233" t="s">
        <v>18</v>
      </c>
      <c r="E5544" s="233" t="s">
        <v>30</v>
      </c>
      <c r="F5544" s="227" t="s">
        <v>2999</v>
      </c>
    </row>
    <row r="5545" spans="1:6" x14ac:dyDescent="0.25">
      <c r="A5545" s="227" t="str">
        <f>TL[[#This Row],[Société]]&amp;" - "&amp;TL[[#This Row],[Compte]]</f>
        <v>GLR5 - 726100</v>
      </c>
      <c r="B5545" s="233" t="s">
        <v>1746</v>
      </c>
      <c r="C5545" s="227" t="s">
        <v>2189</v>
      </c>
      <c r="D5545" s="233" t="s">
        <v>12</v>
      </c>
      <c r="E5545" s="233" t="s">
        <v>3</v>
      </c>
      <c r="F5545" s="227" t="s">
        <v>2999</v>
      </c>
    </row>
    <row r="5546" spans="1:6" x14ac:dyDescent="0.25">
      <c r="A5546" s="227" t="str">
        <f>TL[[#This Row],[Société]]&amp;" - "&amp;TL[[#This Row],[Compte]]</f>
        <v>GLR5 - 726110</v>
      </c>
      <c r="B5546" s="233" t="s">
        <v>1748</v>
      </c>
      <c r="C5546" s="227" t="s">
        <v>2195</v>
      </c>
      <c r="D5546" s="233" t="s">
        <v>13</v>
      </c>
      <c r="E5546" s="233" t="s">
        <v>12</v>
      </c>
      <c r="F5546" s="227" t="s">
        <v>2999</v>
      </c>
    </row>
    <row r="5547" spans="1:6" x14ac:dyDescent="0.25">
      <c r="A5547" s="227" t="str">
        <f>TL[[#This Row],[Société]]&amp;" - "&amp;TL[[#This Row],[Compte]]</f>
        <v>GLR5 - 740100</v>
      </c>
      <c r="B5547" s="233" t="s">
        <v>1712</v>
      </c>
      <c r="C5547" s="227" t="s">
        <v>6048</v>
      </c>
      <c r="D5547" s="236" t="s">
        <v>12</v>
      </c>
      <c r="E5547" s="233" t="s">
        <v>2995</v>
      </c>
      <c r="F5547" s="227" t="s">
        <v>2999</v>
      </c>
    </row>
    <row r="5548" spans="1:6" x14ac:dyDescent="0.25">
      <c r="A5548" s="227" t="str">
        <f>TL[[#This Row],[Société]]&amp;" - "&amp;TL[[#This Row],[Compte]]</f>
        <v>GLR5 - 740200</v>
      </c>
      <c r="B5548" s="233" t="s">
        <v>2065</v>
      </c>
      <c r="C5548" s="227" t="s">
        <v>6049</v>
      </c>
      <c r="D5548" s="233" t="s">
        <v>50</v>
      </c>
      <c r="E5548" s="233" t="s">
        <v>2995</v>
      </c>
      <c r="F5548" s="227" t="s">
        <v>2999</v>
      </c>
    </row>
    <row r="5549" spans="1:6" x14ac:dyDescent="0.25">
      <c r="A5549" s="227" t="str">
        <f>TL[[#This Row],[Société]]&amp;" - "&amp;TL[[#This Row],[Compte]]</f>
        <v>GLR5 - 740410</v>
      </c>
      <c r="B5549" s="233" t="s">
        <v>3366</v>
      </c>
      <c r="C5549" s="227" t="s">
        <v>1510</v>
      </c>
      <c r="D5549" s="233" t="s">
        <v>50</v>
      </c>
      <c r="E5549" s="233" t="s">
        <v>2995</v>
      </c>
      <c r="F5549" s="227" t="s">
        <v>2999</v>
      </c>
    </row>
    <row r="5550" spans="1:6" x14ac:dyDescent="0.25">
      <c r="A5550" s="227" t="str">
        <f>TL[[#This Row],[Société]]&amp;" - "&amp;TL[[#This Row],[Compte]]</f>
        <v>GLR5 - 758000</v>
      </c>
      <c r="B5550" s="233" t="s">
        <v>1744</v>
      </c>
      <c r="C5550" s="227" t="s">
        <v>2276</v>
      </c>
      <c r="D5550" s="233" t="s">
        <v>50</v>
      </c>
      <c r="E5550" s="233" t="s">
        <v>2982</v>
      </c>
      <c r="F5550" s="227" t="s">
        <v>2999</v>
      </c>
    </row>
    <row r="5551" spans="1:6" x14ac:dyDescent="0.25">
      <c r="A5551" s="227" t="str">
        <f>TL[[#This Row],[Société]]&amp;" - "&amp;TL[[#This Row],[Compte]]</f>
        <v>GLR5 - 767000</v>
      </c>
      <c r="B5551" s="233" t="s">
        <v>2070</v>
      </c>
      <c r="C5551" s="227" t="s">
        <v>6053</v>
      </c>
      <c r="D5551" s="233" t="s">
        <v>152</v>
      </c>
      <c r="E5551" s="233" t="s">
        <v>286</v>
      </c>
      <c r="F5551" s="227" t="s">
        <v>2999</v>
      </c>
    </row>
    <row r="5552" spans="1:6" x14ac:dyDescent="0.25">
      <c r="A5552" s="227" t="str">
        <f>TL[[#This Row],[Société]]&amp;" - "&amp;TL[[#This Row],[Compte]]</f>
        <v>GLR5 - 768200</v>
      </c>
      <c r="B5552" s="233" t="s">
        <v>6055</v>
      </c>
      <c r="C5552" s="227" t="s">
        <v>6056</v>
      </c>
      <c r="D5552" s="233" t="s">
        <v>48</v>
      </c>
      <c r="E5552" s="233" t="s">
        <v>21</v>
      </c>
      <c r="F5552" s="227" t="s">
        <v>2999</v>
      </c>
    </row>
    <row r="5553" spans="1:6" x14ac:dyDescent="0.25">
      <c r="A5553" s="227" t="str">
        <f>TL[[#This Row],[Société]]&amp;" - "&amp;TL[[#This Row],[Compte]]</f>
        <v>GLR5 - 771100</v>
      </c>
      <c r="B5553" s="233" t="s">
        <v>1798</v>
      </c>
      <c r="C5553" s="227" t="s">
        <v>31</v>
      </c>
      <c r="D5553" s="233" t="s">
        <v>30</v>
      </c>
      <c r="E5553" s="233" t="s">
        <v>2982</v>
      </c>
      <c r="F5553" s="227" t="s">
        <v>2999</v>
      </c>
    </row>
    <row r="5554" spans="1:6" x14ac:dyDescent="0.25">
      <c r="A5554" s="227" t="str">
        <f>TL[[#This Row],[Société]]&amp;" - "&amp;TL[[#This Row],[Compte]]</f>
        <v>GLR5 - 771200</v>
      </c>
      <c r="B5554" s="233" t="s">
        <v>6057</v>
      </c>
      <c r="C5554" s="227" t="s">
        <v>6058</v>
      </c>
      <c r="D5554" s="233" t="s">
        <v>50</v>
      </c>
      <c r="E5554" s="233" t="s">
        <v>2995</v>
      </c>
      <c r="F5554" s="227" t="s">
        <v>2999</v>
      </c>
    </row>
    <row r="5555" spans="1:6" x14ac:dyDescent="0.25">
      <c r="A5555" s="227" t="str">
        <f>TL[[#This Row],[Société]]&amp;" - "&amp;TL[[#This Row],[Compte]]</f>
        <v>GLR5 - 771300</v>
      </c>
      <c r="B5555" s="233" t="s">
        <v>3376</v>
      </c>
      <c r="C5555" s="227" t="s">
        <v>31</v>
      </c>
      <c r="D5555" s="233" t="s">
        <v>30</v>
      </c>
      <c r="E5555" s="233" t="s">
        <v>2982</v>
      </c>
      <c r="F5555" s="227" t="s">
        <v>2999</v>
      </c>
    </row>
    <row r="5556" spans="1:6" x14ac:dyDescent="0.25">
      <c r="A5556" s="227" t="str">
        <f>TL[[#This Row],[Société]]&amp;" - "&amp;TL[[#This Row],[Compte]]</f>
        <v>GLR5 - 775000</v>
      </c>
      <c r="B5556" s="233" t="s">
        <v>5557</v>
      </c>
      <c r="C5556" s="227" t="s">
        <v>2133</v>
      </c>
      <c r="F5556" s="227" t="s">
        <v>2999</v>
      </c>
    </row>
    <row r="5557" spans="1:6" x14ac:dyDescent="0.25">
      <c r="A5557" s="227" t="str">
        <f>TL[[#This Row],[Société]]&amp;" - "&amp;TL[[#This Row],[Compte]]</f>
        <v>GLR5 - 775200</v>
      </c>
      <c r="B5557" s="233" t="s">
        <v>2132</v>
      </c>
      <c r="C5557" s="227" t="s">
        <v>437</v>
      </c>
      <c r="F5557" s="227" t="s">
        <v>2999</v>
      </c>
    </row>
    <row r="5558" spans="1:6" x14ac:dyDescent="0.25">
      <c r="A5558" s="227" t="str">
        <f>TL[[#This Row],[Société]]&amp;" - "&amp;TL[[#This Row],[Compte]]</f>
        <v>GLR5 - 777170</v>
      </c>
      <c r="B5558" s="233" t="s">
        <v>6060</v>
      </c>
      <c r="C5558" s="227" t="s">
        <v>6061</v>
      </c>
      <c r="D5558" s="233" t="s">
        <v>50</v>
      </c>
      <c r="E5558" s="233" t="s">
        <v>286</v>
      </c>
      <c r="F5558" s="227" t="s">
        <v>2999</v>
      </c>
    </row>
    <row r="5559" spans="1:6" x14ac:dyDescent="0.25">
      <c r="A5559" s="227" t="str">
        <f>TL[[#This Row],[Société]]&amp;" - "&amp;TL[[#This Row],[Compte]]</f>
        <v>GLR5 - 781110</v>
      </c>
      <c r="B5559" s="233" t="s">
        <v>2076</v>
      </c>
      <c r="C5559" s="227" t="s">
        <v>3056</v>
      </c>
      <c r="F5559" s="227" t="s">
        <v>2999</v>
      </c>
    </row>
    <row r="5560" spans="1:6" x14ac:dyDescent="0.25">
      <c r="A5560" s="227" t="str">
        <f>TL[[#This Row],[Société]]&amp;" - "&amp;TL[[#This Row],[Compte]]</f>
        <v>GLR5 - 781120</v>
      </c>
      <c r="B5560" s="233" t="s">
        <v>2077</v>
      </c>
      <c r="C5560" s="227" t="s">
        <v>6062</v>
      </c>
      <c r="F5560" s="227" t="s">
        <v>2999</v>
      </c>
    </row>
    <row r="5561" spans="1:6" x14ac:dyDescent="0.25">
      <c r="A5561" s="227" t="str">
        <f>TL[[#This Row],[Société]]&amp;" - "&amp;TL[[#This Row],[Compte]]</f>
        <v>GLR5 - 787250</v>
      </c>
      <c r="B5561" s="233" t="s">
        <v>2082</v>
      </c>
      <c r="C5561" s="227" t="s">
        <v>3056</v>
      </c>
      <c r="F5561" s="227" t="s">
        <v>2999</v>
      </c>
    </row>
    <row r="5562" spans="1:6" x14ac:dyDescent="0.25">
      <c r="A5562" s="227" t="str">
        <f>TL[[#This Row],[Société]]&amp;" - "&amp;TL[[#This Row],[Compte]]</f>
        <v>GLR5 - 787500</v>
      </c>
      <c r="B5562" s="233" t="s">
        <v>5596</v>
      </c>
      <c r="C5562" s="227" t="s">
        <v>5597</v>
      </c>
      <c r="D5562" s="233" t="s">
        <v>50</v>
      </c>
      <c r="E5562" s="233" t="s">
        <v>48</v>
      </c>
      <c r="F5562" s="227" t="s">
        <v>2999</v>
      </c>
    </row>
    <row r="5563" spans="1:6" x14ac:dyDescent="0.25">
      <c r="A5563" s="227" t="str">
        <f>TL[[#This Row],[Société]]&amp;" - "&amp;TL[[#This Row],[Compte]]</f>
        <v>GLR5 - 791000</v>
      </c>
      <c r="B5563" s="233" t="s">
        <v>2083</v>
      </c>
      <c r="C5563" s="227" t="s">
        <v>1291</v>
      </c>
      <c r="D5563" s="233" t="s">
        <v>50</v>
      </c>
      <c r="E5563" s="233" t="s">
        <v>52</v>
      </c>
      <c r="F5563" s="227" t="s">
        <v>2999</v>
      </c>
    </row>
    <row r="5564" spans="1:6" x14ac:dyDescent="0.25">
      <c r="A5564" s="227" t="str">
        <f>TL[[#This Row],[Société]]&amp;" - "&amp;TL[[#This Row],[Compte]]</f>
        <v>GLR5 - 791010</v>
      </c>
      <c r="B5564" s="233" t="s">
        <v>3378</v>
      </c>
      <c r="C5564" s="227" t="s">
        <v>6066</v>
      </c>
      <c r="D5564" s="233" t="s">
        <v>12</v>
      </c>
      <c r="E5564" s="233" t="s">
        <v>3</v>
      </c>
      <c r="F5564" s="227" t="s">
        <v>2999</v>
      </c>
    </row>
    <row r="5565" spans="1:6" x14ac:dyDescent="0.25">
      <c r="A5565" s="227" t="str">
        <f>TL[[#This Row],[Société]]&amp;" - "&amp;TL[[#This Row],[Compte]]</f>
        <v>GLR5 - 791100</v>
      </c>
      <c r="B5565" s="233" t="s">
        <v>2084</v>
      </c>
      <c r="C5565" s="227" t="s">
        <v>1295</v>
      </c>
      <c r="D5565" s="233" t="s">
        <v>12</v>
      </c>
      <c r="E5565" s="233" t="s">
        <v>3</v>
      </c>
      <c r="F5565" s="227" t="s">
        <v>2999</v>
      </c>
    </row>
    <row r="5566" spans="1:6" x14ac:dyDescent="0.25">
      <c r="A5566" s="227" t="str">
        <f>TL[[#This Row],[Société]]&amp;" - "&amp;TL[[#This Row],[Compte]]</f>
        <v>GLR5 - 791104</v>
      </c>
      <c r="B5566" s="233" t="s">
        <v>2086</v>
      </c>
      <c r="C5566" s="227" t="s">
        <v>224</v>
      </c>
      <c r="D5566" s="233" t="s">
        <v>13</v>
      </c>
      <c r="E5566" s="233" t="s">
        <v>12</v>
      </c>
      <c r="F5566" s="227" t="s">
        <v>2999</v>
      </c>
    </row>
    <row r="5567" spans="1:6" x14ac:dyDescent="0.25">
      <c r="A5567" s="227" t="str">
        <f>TL[[#This Row],[Société]]&amp;" - "&amp;TL[[#This Row],[Compte]]</f>
        <v>GLR5 - 791110</v>
      </c>
      <c r="B5567" s="233" t="s">
        <v>2087</v>
      </c>
      <c r="C5567" s="227" t="s">
        <v>2277</v>
      </c>
      <c r="D5567" s="233" t="s">
        <v>13</v>
      </c>
      <c r="E5567" s="233" t="s">
        <v>12</v>
      </c>
      <c r="F5567" s="227" t="s">
        <v>2999</v>
      </c>
    </row>
    <row r="5568" spans="1:6" x14ac:dyDescent="0.25">
      <c r="A5568" s="227" t="str">
        <f>TL[[#This Row],[Société]]&amp;" - "&amp;TL[[#This Row],[Compte]]</f>
        <v>GLR5 - 890000</v>
      </c>
      <c r="B5568" s="233" t="s">
        <v>2092</v>
      </c>
      <c r="C5568" s="227" t="s">
        <v>631</v>
      </c>
      <c r="F5568" s="227" t="s">
        <v>2999</v>
      </c>
    </row>
    <row r="5569" spans="1:6" x14ac:dyDescent="0.25">
      <c r="A5569" s="227" t="str">
        <f>TL[[#This Row],[Société]]&amp;" - "&amp;TL[[#This Row],[Compte]]</f>
        <v>GLR5 - 603211</v>
      </c>
      <c r="B5569" s="234" t="s">
        <v>6857</v>
      </c>
      <c r="C5569" s="230" t="s">
        <v>6858</v>
      </c>
      <c r="D5569" s="234" t="s">
        <v>0</v>
      </c>
      <c r="E5569" s="234" t="s">
        <v>2964</v>
      </c>
      <c r="F5569" s="230" t="s">
        <v>2999</v>
      </c>
    </row>
    <row r="5570" spans="1:6" x14ac:dyDescent="0.25">
      <c r="A5570" s="227" t="str">
        <f>TL[[#This Row],[Société]]&amp;" - "&amp;TL[[#This Row],[Compte]]</f>
        <v>GLR5 - 708100</v>
      </c>
      <c r="B5570" s="234" t="s">
        <v>2053</v>
      </c>
      <c r="C5570" s="230" t="s">
        <v>3340</v>
      </c>
      <c r="D5570" s="234" t="s">
        <v>0</v>
      </c>
      <c r="E5570" s="234" t="s">
        <v>25</v>
      </c>
      <c r="F5570" s="230" t="s">
        <v>2999</v>
      </c>
    </row>
    <row r="5571" spans="1:6" x14ac:dyDescent="0.25">
      <c r="A5571" s="227" t="str">
        <f>TL[[#This Row],[Société]]&amp;" - "&amp;TL[[#This Row],[Compte]]</f>
        <v>HART - 641064</v>
      </c>
      <c r="B5571" s="235" t="s">
        <v>2531</v>
      </c>
      <c r="C5571" s="227" t="s">
        <v>2187</v>
      </c>
      <c r="D5571" s="235" t="s">
        <v>13</v>
      </c>
      <c r="E5571" s="235" t="s">
        <v>12</v>
      </c>
      <c r="F5571" s="231" t="s">
        <v>3000</v>
      </c>
    </row>
    <row r="5572" spans="1:6" x14ac:dyDescent="0.25">
      <c r="A5572" s="227" t="str">
        <f>TL[[#This Row],[Société]]&amp;" - "&amp;TL[[#This Row],[Compte]]</f>
        <v>HART - 641064</v>
      </c>
      <c r="B5572" s="235" t="s">
        <v>2531</v>
      </c>
      <c r="C5572" s="227" t="s">
        <v>2187</v>
      </c>
      <c r="D5572" s="235" t="s">
        <v>13</v>
      </c>
      <c r="E5572" s="235" t="s">
        <v>12</v>
      </c>
      <c r="F5572" s="231" t="s">
        <v>3000</v>
      </c>
    </row>
    <row r="5573" spans="1:6" x14ac:dyDescent="0.25">
      <c r="A5573" s="227" t="str">
        <f>TL[[#This Row],[Société]]&amp;" - "&amp;TL[[#This Row],[Compte]]</f>
        <v>HART - 603210</v>
      </c>
      <c r="B5573" s="235" t="s">
        <v>1894</v>
      </c>
      <c r="C5573" s="227" t="s">
        <v>2216</v>
      </c>
      <c r="D5573" s="235" t="s">
        <v>150</v>
      </c>
      <c r="E5573" s="233" t="s">
        <v>147</v>
      </c>
      <c r="F5573" s="231" t="s">
        <v>3000</v>
      </c>
    </row>
    <row r="5574" spans="1:6" x14ac:dyDescent="0.25">
      <c r="A5574" s="227" t="str">
        <f>TL[[#This Row],[Société]]&amp;" - "&amp;TL[[#This Row],[Compte]]</f>
        <v>R314 - 60321100</v>
      </c>
      <c r="B5574" s="236" t="s">
        <v>6905</v>
      </c>
      <c r="C5574" s="227" t="s">
        <v>6885</v>
      </c>
      <c r="D5574" s="235" t="s">
        <v>0</v>
      </c>
      <c r="E5574" s="233" t="s">
        <v>2964</v>
      </c>
      <c r="F5574" s="231" t="s">
        <v>301</v>
      </c>
    </row>
    <row r="5575" spans="1:6" x14ac:dyDescent="0.25">
      <c r="A5575" s="227" t="str">
        <f>TL[[#This Row],[Société]]&amp;" - "&amp;TL[[#This Row],[Compte]]</f>
        <v>R314 - 61566500</v>
      </c>
      <c r="B5575" s="236" t="s">
        <v>6906</v>
      </c>
      <c r="C5575" s="227" t="s">
        <v>6860</v>
      </c>
      <c r="D5575" s="235" t="s">
        <v>20</v>
      </c>
      <c r="E5575" s="233" t="s">
        <v>25</v>
      </c>
      <c r="F5575" s="231" t="s">
        <v>301</v>
      </c>
    </row>
    <row r="5576" spans="1:6" x14ac:dyDescent="0.25">
      <c r="A5576" s="227" t="str">
        <f>TL[[#This Row],[Société]]&amp;" - "&amp;TL[[#This Row],[Compte]]</f>
        <v>R314 - 61354200</v>
      </c>
      <c r="B5576" s="236" t="s">
        <v>3585</v>
      </c>
      <c r="C5576" s="227" t="s">
        <v>6886</v>
      </c>
      <c r="D5576" s="235" t="s">
        <v>50</v>
      </c>
      <c r="E5576" s="233" t="s">
        <v>52</v>
      </c>
      <c r="F5576" s="231" t="s">
        <v>301</v>
      </c>
    </row>
    <row r="5577" spans="1:6" x14ac:dyDescent="0.25">
      <c r="A5577" s="227" t="str">
        <f>TL[[#This Row],[Société]]&amp;" - "&amp;TL[[#This Row],[Compte]]</f>
        <v>R314 - 62621000</v>
      </c>
      <c r="B5577" s="236" t="s">
        <v>6907</v>
      </c>
      <c r="C5577" s="227" t="s">
        <v>6887</v>
      </c>
      <c r="D5577" s="235" t="s">
        <v>50</v>
      </c>
      <c r="E5577" s="233" t="s">
        <v>52</v>
      </c>
      <c r="F5577" s="231" t="s">
        <v>301</v>
      </c>
    </row>
    <row r="5578" spans="1:6" x14ac:dyDescent="0.25">
      <c r="A5578" s="227" t="str">
        <f>TL[[#This Row],[Société]]&amp;" - "&amp;TL[[#This Row],[Compte]]</f>
        <v>R314 - 64110300</v>
      </c>
      <c r="B5578" s="236" t="s">
        <v>3673</v>
      </c>
      <c r="C5578" s="227" t="s">
        <v>6888</v>
      </c>
      <c r="D5578" s="235" t="s">
        <v>50</v>
      </c>
      <c r="E5578" s="233" t="s">
        <v>52</v>
      </c>
      <c r="F5578" s="231" t="s">
        <v>301</v>
      </c>
    </row>
    <row r="5579" spans="1:6" x14ac:dyDescent="0.25">
      <c r="A5579" s="227" t="str">
        <f>TL[[#This Row],[Société]]&amp;" - "&amp;TL[[#This Row],[Compte]]</f>
        <v>R314 - 70883010</v>
      </c>
      <c r="B5579" s="236" t="s">
        <v>6908</v>
      </c>
      <c r="C5579" s="227" t="s">
        <v>2273</v>
      </c>
      <c r="D5579" s="235" t="s">
        <v>50</v>
      </c>
      <c r="E5579" s="233" t="s">
        <v>52</v>
      </c>
      <c r="F5579" s="231" t="s">
        <v>301</v>
      </c>
    </row>
    <row r="5580" spans="1:6" x14ac:dyDescent="0.25">
      <c r="A5580" s="227" t="str">
        <f>TL[[#This Row],[Société]]&amp;" - "&amp;TL[[#This Row],[Compte]]</f>
        <v>R314 - 70883020</v>
      </c>
      <c r="B5580" s="236" t="s">
        <v>6909</v>
      </c>
      <c r="C5580" s="227" t="s">
        <v>6889</v>
      </c>
      <c r="D5580" s="235" t="s">
        <v>50</v>
      </c>
      <c r="E5580" s="233" t="s">
        <v>52</v>
      </c>
      <c r="F5580" s="231" t="s">
        <v>301</v>
      </c>
    </row>
    <row r="5581" spans="1:6" x14ac:dyDescent="0.25">
      <c r="A5581" s="227" t="str">
        <f>TL[[#This Row],[Société]]&amp;" - "&amp;TL[[#This Row],[Compte]]</f>
        <v>R314 - 70883030</v>
      </c>
      <c r="B5581" s="236" t="s">
        <v>6910</v>
      </c>
      <c r="C5581" s="227" t="s">
        <v>6890</v>
      </c>
      <c r="D5581" s="235" t="s">
        <v>50</v>
      </c>
      <c r="E5581" s="233" t="s">
        <v>52</v>
      </c>
      <c r="F5581" s="231" t="s">
        <v>301</v>
      </c>
    </row>
    <row r="5582" spans="1:6" x14ac:dyDescent="0.25">
      <c r="A5582" s="227" t="str">
        <f>TL[[#This Row],[Société]]&amp;" - "&amp;TL[[#This Row],[Compte]]</f>
        <v>HTR8 - 70810410</v>
      </c>
      <c r="B5582" s="236" t="s">
        <v>6904</v>
      </c>
      <c r="C5582" s="227" t="s">
        <v>6859</v>
      </c>
      <c r="D5582" s="236" t="s">
        <v>15</v>
      </c>
      <c r="E5582" s="236" t="s">
        <v>13</v>
      </c>
      <c r="F5582" s="232" t="s">
        <v>3001</v>
      </c>
    </row>
    <row r="5583" spans="1:6" x14ac:dyDescent="0.25">
      <c r="A5583" s="227" t="str">
        <f>TL[[#This Row],[Société]]&amp;" - "&amp;TL[[#This Row],[Compte]]</f>
        <v>TIRR - 625210</v>
      </c>
      <c r="B5583" s="236" t="s">
        <v>5913</v>
      </c>
      <c r="C5583" s="227" t="s">
        <v>6471</v>
      </c>
      <c r="D5583" s="236" t="s">
        <v>16</v>
      </c>
      <c r="E5583" s="236" t="s">
        <v>2979</v>
      </c>
      <c r="F5583" s="232" t="s">
        <v>210</v>
      </c>
    </row>
    <row r="5584" spans="1:6" x14ac:dyDescent="0.25">
      <c r="A5584" s="227" t="str">
        <f>TL[[#This Row],[Société]]&amp;" - "&amp;TL[[#This Row],[Compte]]</f>
        <v>TIRR - 613527</v>
      </c>
      <c r="B5584" s="236" t="s">
        <v>6911</v>
      </c>
      <c r="C5584" s="227" t="s">
        <v>6861</v>
      </c>
      <c r="D5584" s="236" t="s">
        <v>50</v>
      </c>
      <c r="E5584" s="236" t="s">
        <v>52</v>
      </c>
      <c r="F5584" s="232" t="s">
        <v>210</v>
      </c>
    </row>
    <row r="5585" spans="1:6" x14ac:dyDescent="0.25">
      <c r="A5585" s="227" t="str">
        <f>TL[[#This Row],[Société]]&amp;" - "&amp;TL[[#This Row],[Compte]]</f>
        <v>VR7 - 602612</v>
      </c>
      <c r="B5585" s="233" t="s">
        <v>6279</v>
      </c>
      <c r="C5585" s="227" t="s">
        <v>6862</v>
      </c>
      <c r="D5585" s="236" t="s">
        <v>0</v>
      </c>
      <c r="E5585" s="236" t="s">
        <v>2964</v>
      </c>
      <c r="F5585" s="232" t="s">
        <v>3003</v>
      </c>
    </row>
    <row r="5586" spans="1:6" x14ac:dyDescent="0.25">
      <c r="A5586" s="227" t="str">
        <f>TL[[#This Row],[Société]]&amp;" - "&amp;TL[[#This Row],[Compte]]</f>
        <v>VR7 - 603220</v>
      </c>
      <c r="B5586" s="233" t="s">
        <v>4871</v>
      </c>
      <c r="C5586" s="227" t="s">
        <v>6863</v>
      </c>
      <c r="D5586" s="236" t="s">
        <v>0</v>
      </c>
      <c r="E5586" s="236" t="s">
        <v>2964</v>
      </c>
      <c r="F5586" s="232" t="s">
        <v>3003</v>
      </c>
    </row>
    <row r="5587" spans="1:6" x14ac:dyDescent="0.25">
      <c r="A5587" s="227" t="str">
        <f>TL[[#This Row],[Société]]&amp;" - "&amp;TL[[#This Row],[Compte]]</f>
        <v>TURVILLA - 602612</v>
      </c>
      <c r="B5587" s="236" t="s">
        <v>6279</v>
      </c>
      <c r="C5587" s="227" t="s">
        <v>2965</v>
      </c>
      <c r="D5587" s="233" t="s">
        <v>0</v>
      </c>
      <c r="E5587" s="233" t="s">
        <v>2964</v>
      </c>
      <c r="F5587" s="232" t="s">
        <v>2156</v>
      </c>
    </row>
    <row r="5588" spans="1:6" x14ac:dyDescent="0.25">
      <c r="A5588" s="227" t="str">
        <f>TL[[#This Row],[Société]]&amp;" - "&amp;TL[[#This Row],[Compte]]</f>
        <v>TURVILLA - 603201</v>
      </c>
      <c r="B5588" s="236" t="s">
        <v>1782</v>
      </c>
      <c r="C5588" s="227" t="s">
        <v>6864</v>
      </c>
      <c r="D5588" s="233" t="s">
        <v>0</v>
      </c>
      <c r="E5588" s="233" t="s">
        <v>2964</v>
      </c>
      <c r="F5588" s="232" t="s">
        <v>2156</v>
      </c>
    </row>
    <row r="5589" spans="1:6" x14ac:dyDescent="0.25">
      <c r="A5589" s="227" t="str">
        <f>TL[[#This Row],[Société]]&amp;" - "&amp;TL[[#This Row],[Compte]]</f>
        <v>HART - 606612</v>
      </c>
      <c r="B5589" s="233" t="s">
        <v>6865</v>
      </c>
      <c r="C5589" s="227" t="s">
        <v>6862</v>
      </c>
      <c r="D5589" s="236" t="s">
        <v>0</v>
      </c>
      <c r="E5589" s="236" t="s">
        <v>2964</v>
      </c>
      <c r="F5589" s="232" t="s">
        <v>3000</v>
      </c>
    </row>
    <row r="5590" spans="1:6" x14ac:dyDescent="0.25">
      <c r="A5590" s="227" t="str">
        <f>TL[[#This Row],[Société]]&amp;" - "&amp;TL[[#This Row],[Compte]]</f>
        <v>HART - 651003</v>
      </c>
      <c r="B5590" s="233" t="s">
        <v>1796</v>
      </c>
      <c r="C5590" s="227" t="s">
        <v>6866</v>
      </c>
      <c r="D5590" s="236" t="s">
        <v>20</v>
      </c>
      <c r="E5590" s="236" t="s">
        <v>25</v>
      </c>
      <c r="F5590" s="232" t="s">
        <v>3000</v>
      </c>
    </row>
    <row r="5591" spans="1:6" x14ac:dyDescent="0.25">
      <c r="A5591" s="227" t="str">
        <f>TL[[#This Row],[Société]]&amp;" - "&amp;TL[[#This Row],[Compte]]</f>
        <v>VICTOIRE - 602612</v>
      </c>
      <c r="B5591" s="233" t="s">
        <v>6279</v>
      </c>
      <c r="C5591" s="227" t="s">
        <v>2965</v>
      </c>
      <c r="D5591" s="236" t="s">
        <v>0</v>
      </c>
      <c r="E5591" s="236" t="s">
        <v>2964</v>
      </c>
      <c r="F5591" s="232" t="s">
        <v>3002</v>
      </c>
    </row>
    <row r="5592" spans="1:6" x14ac:dyDescent="0.25">
      <c r="A5592" s="227" t="str">
        <f>TL[[#This Row],[Société]]&amp;" - "&amp;TL[[#This Row],[Compte]]</f>
        <v>VICTOIRE - 603201</v>
      </c>
      <c r="B5592" s="233" t="s">
        <v>1782</v>
      </c>
      <c r="C5592" s="227" t="s">
        <v>6870</v>
      </c>
      <c r="D5592" s="236" t="s">
        <v>0</v>
      </c>
      <c r="E5592" s="236" t="s">
        <v>2964</v>
      </c>
      <c r="F5592" s="227" t="s">
        <v>3002</v>
      </c>
    </row>
    <row r="5593" spans="1:6" x14ac:dyDescent="0.25">
      <c r="A5593" s="227" t="str">
        <f>TL[[#This Row],[Société]]&amp;" - "&amp;TL[[#This Row],[Compte]]</f>
        <v>VICTOIRE - 621401</v>
      </c>
      <c r="B5593" s="233" t="s">
        <v>1946</v>
      </c>
      <c r="C5593" s="227" t="s">
        <v>6871</v>
      </c>
      <c r="D5593" s="236" t="s">
        <v>12</v>
      </c>
      <c r="E5593" s="236" t="s">
        <v>12</v>
      </c>
      <c r="F5593" s="227" t="s">
        <v>3002</v>
      </c>
    </row>
    <row r="5594" spans="1:6" x14ac:dyDescent="0.25">
      <c r="A5594" s="227" t="str">
        <f>TL[[#This Row],[Société]]&amp;" - "&amp;TL[[#This Row],[Compte]]</f>
        <v>VICTOIRE - 621405</v>
      </c>
      <c r="B5594" s="233" t="s">
        <v>1603</v>
      </c>
      <c r="C5594" s="227" t="s">
        <v>6872</v>
      </c>
      <c r="D5594" s="236" t="s">
        <v>12</v>
      </c>
      <c r="E5594" s="236" t="s">
        <v>16</v>
      </c>
      <c r="F5594" s="227" t="s">
        <v>3002</v>
      </c>
    </row>
    <row r="5595" spans="1:6" x14ac:dyDescent="0.25">
      <c r="A5595" s="227" t="str">
        <f>TL[[#This Row],[Société]]&amp;" - "&amp;TL[[#This Row],[Compte]]</f>
        <v>VICTOIRE - 611111</v>
      </c>
      <c r="B5595" s="233" t="s">
        <v>6923</v>
      </c>
      <c r="C5595" s="227" t="s">
        <v>6873</v>
      </c>
      <c r="D5595" s="236" t="s">
        <v>20</v>
      </c>
      <c r="E5595" s="236" t="s">
        <v>25</v>
      </c>
      <c r="F5595" s="227" t="s">
        <v>3002</v>
      </c>
    </row>
    <row r="5596" spans="1:6" x14ac:dyDescent="0.25">
      <c r="A5596" s="227" t="str">
        <f>TL[[#This Row],[Société]]&amp;" - "&amp;TL[[#This Row],[Compte]]</f>
        <v>VICTOIRE - 615625</v>
      </c>
      <c r="B5596" s="233" t="s">
        <v>1785</v>
      </c>
      <c r="C5596" s="227" t="s">
        <v>6874</v>
      </c>
      <c r="D5596" s="236" t="s">
        <v>20</v>
      </c>
      <c r="E5596" s="236" t="s">
        <v>25</v>
      </c>
      <c r="F5596" s="227" t="s">
        <v>3002</v>
      </c>
    </row>
    <row r="5597" spans="1:6" x14ac:dyDescent="0.25">
      <c r="A5597" s="227" t="str">
        <f>TL[[#This Row],[Société]]&amp;" - "&amp;TL[[#This Row],[Compte]]</f>
        <v>VICTOIRE - 623415</v>
      </c>
      <c r="B5597" s="233" t="s">
        <v>1633</v>
      </c>
      <c r="C5597" s="227" t="s">
        <v>254</v>
      </c>
      <c r="D5597" s="236" t="s">
        <v>18</v>
      </c>
      <c r="E5597" s="236" t="s">
        <v>32</v>
      </c>
      <c r="F5597" s="227" t="s">
        <v>3002</v>
      </c>
    </row>
    <row r="5598" spans="1:6" x14ac:dyDescent="0.25">
      <c r="A5598" s="227" t="str">
        <f>TL[[#This Row],[Société]]&amp;" - "&amp;TL[[#This Row],[Compte]]</f>
        <v>VICTOIRE - 613260</v>
      </c>
      <c r="B5598" s="233" t="s">
        <v>5857</v>
      </c>
      <c r="C5598" s="227" t="s">
        <v>6875</v>
      </c>
      <c r="D5598" s="236" t="s">
        <v>50</v>
      </c>
      <c r="E5598" s="236" t="s">
        <v>52</v>
      </c>
      <c r="F5598" s="227" t="s">
        <v>3002</v>
      </c>
    </row>
    <row r="5599" spans="1:6" x14ac:dyDescent="0.25">
      <c r="A5599" s="227" t="str">
        <f>TL[[#This Row],[Société]]&amp;" - "&amp;TL[[#This Row],[Compte]]</f>
        <v>VICTOIRE - 613261</v>
      </c>
      <c r="B5599" s="233" t="s">
        <v>2827</v>
      </c>
      <c r="C5599" s="227" t="s">
        <v>6876</v>
      </c>
      <c r="D5599" s="236" t="s">
        <v>50</v>
      </c>
      <c r="E5599" s="236" t="s">
        <v>52</v>
      </c>
      <c r="F5599" s="227" t="s">
        <v>3002</v>
      </c>
    </row>
    <row r="5600" spans="1:6" x14ac:dyDescent="0.25">
      <c r="A5600" s="227" t="str">
        <f>TL[[#This Row],[Société]]&amp;" - "&amp;TL[[#This Row],[Compte]]</f>
        <v>VICTOIRE - 613262</v>
      </c>
      <c r="B5600" s="233" t="s">
        <v>2549</v>
      </c>
      <c r="C5600" s="227" t="s">
        <v>6877</v>
      </c>
      <c r="D5600" s="233" t="s">
        <v>50</v>
      </c>
      <c r="E5600" s="236" t="s">
        <v>52</v>
      </c>
      <c r="F5600" s="227" t="s">
        <v>3002</v>
      </c>
    </row>
    <row r="5601" spans="1:6" x14ac:dyDescent="0.25">
      <c r="A5601" s="227" t="str">
        <f>TL[[#This Row],[Société]]&amp;" - "&amp;TL[[#This Row],[Compte]]</f>
        <v>VICTOIRE - 613264</v>
      </c>
      <c r="B5601" s="233" t="s">
        <v>5859</v>
      </c>
      <c r="C5601" s="227" t="s">
        <v>6878</v>
      </c>
      <c r="D5601" s="233" t="s">
        <v>50</v>
      </c>
      <c r="E5601" s="236" t="s">
        <v>52</v>
      </c>
      <c r="F5601" s="227" t="s">
        <v>3002</v>
      </c>
    </row>
    <row r="5602" spans="1:6" x14ac:dyDescent="0.25">
      <c r="A5602" s="227" t="str">
        <f>TL[[#This Row],[Société]]&amp;" - "&amp;TL[[#This Row],[Compte]]</f>
        <v>VICTOIRE - 625220</v>
      </c>
      <c r="B5602" s="233" t="s">
        <v>5915</v>
      </c>
      <c r="C5602" s="227" t="s">
        <v>6879</v>
      </c>
      <c r="D5602" s="233" t="s">
        <v>50</v>
      </c>
      <c r="E5602" s="236" t="s">
        <v>52</v>
      </c>
      <c r="F5602" s="227" t="s">
        <v>3002</v>
      </c>
    </row>
    <row r="5603" spans="1:6" x14ac:dyDescent="0.25">
      <c r="A5603" s="227" t="str">
        <f>TL[[#This Row],[Société]]&amp;" - "&amp;TL[[#This Row],[Compte]]</f>
        <v>TH4 - 60321000</v>
      </c>
      <c r="B5603" s="233" t="s">
        <v>6111</v>
      </c>
      <c r="C5603" s="227" t="s">
        <v>6880</v>
      </c>
      <c r="D5603" s="236" t="s">
        <v>0</v>
      </c>
      <c r="E5603" s="236" t="s">
        <v>2964</v>
      </c>
      <c r="F5603" s="232" t="s">
        <v>297</v>
      </c>
    </row>
    <row r="5604" spans="1:6" x14ac:dyDescent="0.25">
      <c r="A5604" s="227" t="str">
        <f>TL[[#This Row],[Société]]&amp;" - "&amp;TL[[#This Row],[Compte]]</f>
        <v>LYSE - 606612</v>
      </c>
      <c r="B5604" s="233" t="s">
        <v>6865</v>
      </c>
      <c r="C5604" s="227" t="s">
        <v>3549</v>
      </c>
      <c r="D5604" s="233" t="s">
        <v>0</v>
      </c>
      <c r="E5604" s="233" t="s">
        <v>2964</v>
      </c>
      <c r="F5604" s="232" t="s">
        <v>294</v>
      </c>
    </row>
    <row r="5605" spans="1:6" x14ac:dyDescent="0.25">
      <c r="A5605" s="227" t="str">
        <f>TL[[#This Row],[Société]]&amp;" - "&amp;TL[[#This Row],[Compte]]</f>
        <v>DIVES - 10130000</v>
      </c>
      <c r="B5605" s="233" t="s">
        <v>3383</v>
      </c>
      <c r="C5605" s="227" t="s">
        <v>827</v>
      </c>
      <c r="F5605" s="237" t="s">
        <v>2998</v>
      </c>
    </row>
    <row r="5606" spans="1:6" x14ac:dyDescent="0.25">
      <c r="A5606" s="227" t="str">
        <f>TL[[#This Row],[Société]]&amp;" - "&amp;TL[[#This Row],[Compte]]</f>
        <v>DIVES - 10610000</v>
      </c>
      <c r="B5606" s="233" t="s">
        <v>3384</v>
      </c>
      <c r="C5606" s="227" t="s">
        <v>642</v>
      </c>
      <c r="F5606" s="237" t="s">
        <v>2998</v>
      </c>
    </row>
    <row r="5607" spans="1:6" x14ac:dyDescent="0.25">
      <c r="A5607" s="227" t="str">
        <f>TL[[#This Row],[Société]]&amp;" - "&amp;TL[[#This Row],[Compte]]</f>
        <v>DIVES - 10680000</v>
      </c>
      <c r="B5607" s="233" t="s">
        <v>3386</v>
      </c>
      <c r="C5607" s="227" t="s">
        <v>541</v>
      </c>
      <c r="F5607" s="237" t="s">
        <v>2998</v>
      </c>
    </row>
    <row r="5608" spans="1:6" x14ac:dyDescent="0.25">
      <c r="A5608" s="227" t="str">
        <f>TL[[#This Row],[Société]]&amp;" - "&amp;TL[[#This Row],[Compte]]</f>
        <v>DIVES - 10681000</v>
      </c>
      <c r="B5608" s="233" t="s">
        <v>3387</v>
      </c>
      <c r="C5608" s="227" t="s">
        <v>828</v>
      </c>
      <c r="F5608" s="237" t="s">
        <v>2998</v>
      </c>
    </row>
    <row r="5609" spans="1:6" x14ac:dyDescent="0.25">
      <c r="A5609" s="227" t="str">
        <f>TL[[#This Row],[Société]]&amp;" - "&amp;TL[[#This Row],[Compte]]</f>
        <v>DIVES - 12000000</v>
      </c>
      <c r="B5609" s="233" t="s">
        <v>3389</v>
      </c>
      <c r="C5609" s="227" t="s">
        <v>542</v>
      </c>
      <c r="F5609" s="237" t="s">
        <v>2998</v>
      </c>
    </row>
    <row r="5610" spans="1:6" x14ac:dyDescent="0.25">
      <c r="A5610" s="227" t="str">
        <f>TL[[#This Row],[Société]]&amp;" - "&amp;TL[[#This Row],[Compte]]</f>
        <v>DIVES - 12900000</v>
      </c>
      <c r="B5610" s="233" t="s">
        <v>3390</v>
      </c>
      <c r="C5610" s="227" t="s">
        <v>829</v>
      </c>
      <c r="F5610" s="237" t="s">
        <v>2998</v>
      </c>
    </row>
    <row r="5611" spans="1:6" x14ac:dyDescent="0.25">
      <c r="A5611" s="227" t="str">
        <f>TL[[#This Row],[Société]]&amp;" - "&amp;TL[[#This Row],[Compte]]</f>
        <v>DIVES - 14500000</v>
      </c>
      <c r="B5611" s="233" t="s">
        <v>3391</v>
      </c>
      <c r="C5611" s="227" t="s">
        <v>544</v>
      </c>
      <c r="F5611" s="237" t="s">
        <v>2998</v>
      </c>
    </row>
    <row r="5612" spans="1:6" x14ac:dyDescent="0.25">
      <c r="A5612" s="227" t="str">
        <f>TL[[#This Row],[Société]]&amp;" - "&amp;TL[[#This Row],[Compte]]</f>
        <v>DIVES - 15180000</v>
      </c>
      <c r="B5612" s="233" t="s">
        <v>3392</v>
      </c>
      <c r="C5612" s="227" t="s">
        <v>830</v>
      </c>
      <c r="F5612" s="237" t="s">
        <v>2998</v>
      </c>
    </row>
    <row r="5613" spans="1:6" x14ac:dyDescent="0.25">
      <c r="A5613" s="227" t="str">
        <f>TL[[#This Row],[Société]]&amp;" - "&amp;TL[[#This Row],[Compte]]</f>
        <v>DIVES - 15300000</v>
      </c>
      <c r="B5613" s="233" t="s">
        <v>3393</v>
      </c>
      <c r="C5613" s="227" t="s">
        <v>546</v>
      </c>
      <c r="F5613" s="237" t="s">
        <v>2998</v>
      </c>
    </row>
    <row r="5614" spans="1:6" x14ac:dyDescent="0.25">
      <c r="A5614" s="227" t="str">
        <f>TL[[#This Row],[Société]]&amp;" - "&amp;TL[[#This Row],[Compte]]</f>
        <v>DIVES - 15800000</v>
      </c>
      <c r="B5614" s="233" t="s">
        <v>3394</v>
      </c>
      <c r="C5614" s="227" t="s">
        <v>547</v>
      </c>
      <c r="F5614" s="237" t="s">
        <v>2998</v>
      </c>
    </row>
    <row r="5615" spans="1:6" x14ac:dyDescent="0.25">
      <c r="A5615" s="227" t="str">
        <f>TL[[#This Row],[Société]]&amp;" - "&amp;TL[[#This Row],[Compte]]</f>
        <v>DIVES - 16400000</v>
      </c>
      <c r="B5615" s="233" t="s">
        <v>6074</v>
      </c>
      <c r="C5615" s="227" t="s">
        <v>821</v>
      </c>
      <c r="F5615" s="237" t="s">
        <v>2998</v>
      </c>
    </row>
    <row r="5616" spans="1:6" x14ac:dyDescent="0.25">
      <c r="A5616" s="227" t="str">
        <f>TL[[#This Row],[Société]]&amp;" - "&amp;TL[[#This Row],[Compte]]</f>
        <v>DIVES - 16410000</v>
      </c>
      <c r="B5616" s="233" t="s">
        <v>3395</v>
      </c>
      <c r="C5616" s="227" t="s">
        <v>1359</v>
      </c>
      <c r="F5616" s="237" t="s">
        <v>2998</v>
      </c>
    </row>
    <row r="5617" spans="1:6" x14ac:dyDescent="0.25">
      <c r="A5617" s="227" t="str">
        <f>TL[[#This Row],[Société]]&amp;" - "&amp;TL[[#This Row],[Compte]]</f>
        <v>DIVES - 16420000</v>
      </c>
      <c r="B5617" s="233" t="s">
        <v>3396</v>
      </c>
      <c r="C5617" s="227" t="s">
        <v>1511</v>
      </c>
      <c r="F5617" s="237" t="s">
        <v>2998</v>
      </c>
    </row>
    <row r="5618" spans="1:6" x14ac:dyDescent="0.25">
      <c r="A5618" s="227" t="str">
        <f>TL[[#This Row],[Société]]&amp;" - "&amp;TL[[#This Row],[Compte]]</f>
        <v>DIVES - 16880000</v>
      </c>
      <c r="B5618" s="233" t="s">
        <v>3400</v>
      </c>
      <c r="C5618" s="227" t="s">
        <v>548</v>
      </c>
      <c r="F5618" s="237" t="s">
        <v>2998</v>
      </c>
    </row>
    <row r="5619" spans="1:6" x14ac:dyDescent="0.25">
      <c r="A5619" s="227" t="str">
        <f>TL[[#This Row],[Société]]&amp;" - "&amp;TL[[#This Row],[Compte]]</f>
        <v>DIVES - 20110000</v>
      </c>
      <c r="B5619" s="233" t="s">
        <v>3401</v>
      </c>
      <c r="C5619" s="227" t="s">
        <v>831</v>
      </c>
      <c r="F5619" s="237" t="s">
        <v>2998</v>
      </c>
    </row>
    <row r="5620" spans="1:6" x14ac:dyDescent="0.25">
      <c r="A5620" s="227" t="str">
        <f>TL[[#This Row],[Société]]&amp;" - "&amp;TL[[#This Row],[Compte]]</f>
        <v>DIVES - 20500000</v>
      </c>
      <c r="B5620" s="233" t="s">
        <v>3402</v>
      </c>
      <c r="C5620" s="227" t="s">
        <v>650</v>
      </c>
      <c r="F5620" s="237" t="s">
        <v>2998</v>
      </c>
    </row>
    <row r="5621" spans="1:6" x14ac:dyDescent="0.25">
      <c r="A5621" s="227" t="str">
        <f>TL[[#This Row],[Société]]&amp;" - "&amp;TL[[#This Row],[Compte]]</f>
        <v>DIVES - 21530000</v>
      </c>
      <c r="B5621" s="233" t="s">
        <v>6499</v>
      </c>
      <c r="C5621" s="227" t="s">
        <v>832</v>
      </c>
      <c r="F5621" s="237" t="s">
        <v>2998</v>
      </c>
    </row>
    <row r="5622" spans="1:6" x14ac:dyDescent="0.25">
      <c r="A5622" s="227" t="str">
        <f>TL[[#This Row],[Société]]&amp;" - "&amp;TL[[#This Row],[Compte]]</f>
        <v>DIVES - 21540000</v>
      </c>
      <c r="B5622" s="233" t="s">
        <v>3403</v>
      </c>
      <c r="C5622" s="227" t="s">
        <v>550</v>
      </c>
      <c r="F5622" s="237" t="s">
        <v>2998</v>
      </c>
    </row>
    <row r="5623" spans="1:6" x14ac:dyDescent="0.25">
      <c r="A5623" s="227" t="str">
        <f>TL[[#This Row],[Société]]&amp;" - "&amp;TL[[#This Row],[Compte]]</f>
        <v>DIVES - 21550000</v>
      </c>
      <c r="B5623" s="233" t="s">
        <v>3404</v>
      </c>
      <c r="C5623" s="227" t="s">
        <v>551</v>
      </c>
      <c r="F5623" s="237" t="s">
        <v>2998</v>
      </c>
    </row>
    <row r="5624" spans="1:6" x14ac:dyDescent="0.25">
      <c r="A5624" s="227" t="str">
        <f>TL[[#This Row],[Société]]&amp;" - "&amp;TL[[#This Row],[Compte]]</f>
        <v>DIVES - 21810000</v>
      </c>
      <c r="B5624" s="233" t="s">
        <v>3406</v>
      </c>
      <c r="C5624" s="227" t="s">
        <v>552</v>
      </c>
      <c r="F5624" s="237" t="s">
        <v>2998</v>
      </c>
    </row>
    <row r="5625" spans="1:6" x14ac:dyDescent="0.25">
      <c r="A5625" s="227" t="str">
        <f>TL[[#This Row],[Société]]&amp;" - "&amp;TL[[#This Row],[Compte]]</f>
        <v>DIVES - 21820000</v>
      </c>
      <c r="B5625" s="233" t="s">
        <v>6077</v>
      </c>
      <c r="C5625" s="227" t="s">
        <v>553</v>
      </c>
      <c r="F5625" s="237" t="s">
        <v>2998</v>
      </c>
    </row>
    <row r="5626" spans="1:6" x14ac:dyDescent="0.25">
      <c r="A5626" s="227" t="str">
        <f>TL[[#This Row],[Société]]&amp;" - "&amp;TL[[#This Row],[Compte]]</f>
        <v>DIVES - 21830000</v>
      </c>
      <c r="B5626" s="233" t="s">
        <v>3407</v>
      </c>
      <c r="C5626" s="227" t="s">
        <v>833</v>
      </c>
      <c r="F5626" s="237" t="s">
        <v>2998</v>
      </c>
    </row>
    <row r="5627" spans="1:6" x14ac:dyDescent="0.25">
      <c r="A5627" s="227" t="str">
        <f>TL[[#This Row],[Société]]&amp;" - "&amp;TL[[#This Row],[Compte]]</f>
        <v>DIVES - 21840000</v>
      </c>
      <c r="B5627" s="233" t="s">
        <v>3408</v>
      </c>
      <c r="C5627" s="227" t="s">
        <v>555</v>
      </c>
      <c r="F5627" s="237" t="s">
        <v>2998</v>
      </c>
    </row>
    <row r="5628" spans="1:6" x14ac:dyDescent="0.25">
      <c r="A5628" s="227" t="str">
        <f>TL[[#This Row],[Société]]&amp;" - "&amp;TL[[#This Row],[Compte]]</f>
        <v>DIVES - 23150000</v>
      </c>
      <c r="B5628" s="233" t="s">
        <v>6500</v>
      </c>
      <c r="C5628" s="227" t="s">
        <v>834</v>
      </c>
      <c r="F5628" s="237" t="s">
        <v>2998</v>
      </c>
    </row>
    <row r="5629" spans="1:6" x14ac:dyDescent="0.25">
      <c r="A5629" s="227" t="str">
        <f>TL[[#This Row],[Société]]&amp;" - "&amp;TL[[#This Row],[Compte]]</f>
        <v>DIVES - 23850000</v>
      </c>
      <c r="B5629" s="233" t="s">
        <v>6501</v>
      </c>
      <c r="C5629" s="227" t="s">
        <v>835</v>
      </c>
      <c r="F5629" s="237" t="s">
        <v>2998</v>
      </c>
    </row>
    <row r="5630" spans="1:6" x14ac:dyDescent="0.25">
      <c r="A5630" s="227" t="str">
        <f>TL[[#This Row],[Société]]&amp;" - "&amp;TL[[#This Row],[Compte]]</f>
        <v>DIVES - 27510000</v>
      </c>
      <c r="B5630" s="233" t="s">
        <v>3413</v>
      </c>
      <c r="C5630" s="227" t="s">
        <v>836</v>
      </c>
      <c r="F5630" s="237" t="s">
        <v>2998</v>
      </c>
    </row>
    <row r="5631" spans="1:6" x14ac:dyDescent="0.25">
      <c r="A5631" s="227" t="str">
        <f>TL[[#This Row],[Société]]&amp;" - "&amp;TL[[#This Row],[Compte]]</f>
        <v>DIVES - 27550000</v>
      </c>
      <c r="B5631" s="233" t="s">
        <v>3414</v>
      </c>
      <c r="C5631" s="227" t="s">
        <v>837</v>
      </c>
      <c r="F5631" s="237" t="s">
        <v>2998</v>
      </c>
    </row>
    <row r="5632" spans="1:6" x14ac:dyDescent="0.25">
      <c r="A5632" s="227" t="str">
        <f>TL[[#This Row],[Société]]&amp;" - "&amp;TL[[#This Row],[Compte]]</f>
        <v>DIVES - 28011000</v>
      </c>
      <c r="B5632" s="233" t="s">
        <v>3415</v>
      </c>
      <c r="C5632" s="227" t="s">
        <v>838</v>
      </c>
      <c r="F5632" s="237" t="s">
        <v>2998</v>
      </c>
    </row>
    <row r="5633" spans="1:6" x14ac:dyDescent="0.25">
      <c r="A5633" s="227" t="str">
        <f>TL[[#This Row],[Société]]&amp;" - "&amp;TL[[#This Row],[Compte]]</f>
        <v>DIVES - 28050000</v>
      </c>
      <c r="B5633" s="233" t="s">
        <v>3416</v>
      </c>
      <c r="C5633" s="227" t="s">
        <v>839</v>
      </c>
      <c r="F5633" s="237" t="s">
        <v>2998</v>
      </c>
    </row>
    <row r="5634" spans="1:6" x14ac:dyDescent="0.25">
      <c r="A5634" s="227" t="str">
        <f>TL[[#This Row],[Société]]&amp;" - "&amp;TL[[#This Row],[Compte]]</f>
        <v>DIVES - 28154000</v>
      </c>
      <c r="B5634" s="233" t="s">
        <v>3417</v>
      </c>
      <c r="C5634" s="227" t="s">
        <v>840</v>
      </c>
      <c r="F5634" s="237" t="s">
        <v>2998</v>
      </c>
    </row>
    <row r="5635" spans="1:6" x14ac:dyDescent="0.25">
      <c r="A5635" s="227" t="str">
        <f>TL[[#This Row],[Société]]&amp;" - "&amp;TL[[#This Row],[Compte]]</f>
        <v>DIVES - 28155000</v>
      </c>
      <c r="B5635" s="233" t="s">
        <v>3418</v>
      </c>
      <c r="C5635" s="227" t="s">
        <v>559</v>
      </c>
      <c r="F5635" s="237" t="s">
        <v>2998</v>
      </c>
    </row>
    <row r="5636" spans="1:6" x14ac:dyDescent="0.25">
      <c r="A5636" s="227" t="str">
        <f>TL[[#This Row],[Société]]&amp;" - "&amp;TL[[#This Row],[Compte]]</f>
        <v>DIVES - 28181000</v>
      </c>
      <c r="B5636" s="233" t="s">
        <v>3420</v>
      </c>
      <c r="C5636" s="227" t="s">
        <v>560</v>
      </c>
      <c r="F5636" s="237" t="s">
        <v>2998</v>
      </c>
    </row>
    <row r="5637" spans="1:6" x14ac:dyDescent="0.25">
      <c r="A5637" s="227" t="str">
        <f>TL[[#This Row],[Société]]&amp;" - "&amp;TL[[#This Row],[Compte]]</f>
        <v>DIVES - 28183000</v>
      </c>
      <c r="B5637" s="233" t="s">
        <v>3421</v>
      </c>
      <c r="C5637" s="227" t="s">
        <v>841</v>
      </c>
      <c r="F5637" s="237" t="s">
        <v>2998</v>
      </c>
    </row>
    <row r="5638" spans="1:6" x14ac:dyDescent="0.25">
      <c r="A5638" s="227" t="str">
        <f>TL[[#This Row],[Société]]&amp;" - "&amp;TL[[#This Row],[Compte]]</f>
        <v>DIVES - 28184000</v>
      </c>
      <c r="B5638" s="233" t="s">
        <v>3422</v>
      </c>
      <c r="C5638" s="227" t="s">
        <v>842</v>
      </c>
      <c r="F5638" s="237" t="s">
        <v>2998</v>
      </c>
    </row>
    <row r="5639" spans="1:6" x14ac:dyDescent="0.25">
      <c r="A5639" s="227" t="str">
        <f>TL[[#This Row],[Société]]&amp;" - "&amp;TL[[#This Row],[Compte]]</f>
        <v>DIVES - 31000000</v>
      </c>
      <c r="B5639" s="233" t="s">
        <v>3423</v>
      </c>
      <c r="C5639" s="227" t="s">
        <v>843</v>
      </c>
      <c r="F5639" s="237" t="s">
        <v>2998</v>
      </c>
    </row>
    <row r="5640" spans="1:6" x14ac:dyDescent="0.25">
      <c r="A5640" s="227" t="str">
        <f>TL[[#This Row],[Société]]&amp;" - "&amp;TL[[#This Row],[Compte]]</f>
        <v>DIVES - 32000000</v>
      </c>
      <c r="B5640" s="233" t="s">
        <v>3424</v>
      </c>
      <c r="C5640" s="227" t="s">
        <v>844</v>
      </c>
      <c r="F5640" s="237" t="s">
        <v>2998</v>
      </c>
    </row>
    <row r="5641" spans="1:6" x14ac:dyDescent="0.25">
      <c r="A5641" s="227" t="str">
        <f>TL[[#This Row],[Société]]&amp;" - "&amp;TL[[#This Row],[Compte]]</f>
        <v>DIVES - 32100000</v>
      </c>
      <c r="B5641" s="233" t="s">
        <v>3425</v>
      </c>
      <c r="C5641" s="227" t="s">
        <v>845</v>
      </c>
      <c r="F5641" s="237" t="s">
        <v>2998</v>
      </c>
    </row>
    <row r="5642" spans="1:6" x14ac:dyDescent="0.25">
      <c r="A5642" s="227" t="str">
        <f>TL[[#This Row],[Société]]&amp;" - "&amp;TL[[#This Row],[Compte]]</f>
        <v>DIVES - 40100000</v>
      </c>
      <c r="B5642" s="233" t="s">
        <v>3427</v>
      </c>
      <c r="C5642" s="227" t="s">
        <v>564</v>
      </c>
      <c r="F5642" s="237" t="s">
        <v>2998</v>
      </c>
    </row>
    <row r="5643" spans="1:6" x14ac:dyDescent="0.25">
      <c r="A5643" s="227" t="str">
        <f>TL[[#This Row],[Société]]&amp;" - "&amp;TL[[#This Row],[Compte]]</f>
        <v>DIVES - 40400000</v>
      </c>
      <c r="B5643" s="233" t="s">
        <v>6502</v>
      </c>
      <c r="C5643" s="227" t="s">
        <v>846</v>
      </c>
      <c r="F5643" s="237" t="s">
        <v>2998</v>
      </c>
    </row>
    <row r="5644" spans="1:6" x14ac:dyDescent="0.25">
      <c r="A5644" s="227" t="str">
        <f>TL[[#This Row],[Société]]&amp;" - "&amp;TL[[#This Row],[Compte]]</f>
        <v>DIVES - 40810000</v>
      </c>
      <c r="B5644" s="233" t="s">
        <v>3429</v>
      </c>
      <c r="C5644" s="227" t="s">
        <v>537</v>
      </c>
      <c r="F5644" s="237" t="s">
        <v>2998</v>
      </c>
    </row>
    <row r="5645" spans="1:6" x14ac:dyDescent="0.25">
      <c r="A5645" s="227" t="str">
        <f>TL[[#This Row],[Société]]&amp;" - "&amp;TL[[#This Row],[Compte]]</f>
        <v>DIVES - 40910000</v>
      </c>
      <c r="B5645" s="233" t="s">
        <v>3431</v>
      </c>
      <c r="C5645" s="227" t="s">
        <v>847</v>
      </c>
      <c r="F5645" s="237" t="s">
        <v>2998</v>
      </c>
    </row>
    <row r="5646" spans="1:6" x14ac:dyDescent="0.25">
      <c r="A5646" s="227" t="str">
        <f>TL[[#This Row],[Société]]&amp;" - "&amp;TL[[#This Row],[Compte]]</f>
        <v>DIVES - 40960000</v>
      </c>
      <c r="B5646" s="233" t="s">
        <v>3432</v>
      </c>
      <c r="C5646" s="227" t="s">
        <v>848</v>
      </c>
      <c r="F5646" s="237" t="s">
        <v>2998</v>
      </c>
    </row>
    <row r="5647" spans="1:6" x14ac:dyDescent="0.25">
      <c r="A5647" s="227" t="str">
        <f>TL[[#This Row],[Société]]&amp;" - "&amp;TL[[#This Row],[Compte]]</f>
        <v>DIVES - 40970000</v>
      </c>
      <c r="B5647" s="233" t="s">
        <v>3433</v>
      </c>
      <c r="C5647" s="227" t="s">
        <v>566</v>
      </c>
      <c r="F5647" s="237" t="s">
        <v>2998</v>
      </c>
    </row>
    <row r="5648" spans="1:6" x14ac:dyDescent="0.25">
      <c r="A5648" s="227" t="str">
        <f>TL[[#This Row],[Société]]&amp;" - "&amp;TL[[#This Row],[Compte]]</f>
        <v>DIVES - 40980000</v>
      </c>
      <c r="B5648" s="233" t="s">
        <v>3434</v>
      </c>
      <c r="C5648" s="227" t="s">
        <v>849</v>
      </c>
      <c r="F5648" s="237" t="s">
        <v>2998</v>
      </c>
    </row>
    <row r="5649" spans="1:6" x14ac:dyDescent="0.25">
      <c r="A5649" s="227" t="str">
        <f>TL[[#This Row],[Société]]&amp;" - "&amp;TL[[#This Row],[Compte]]</f>
        <v>DIVES - 41100000</v>
      </c>
      <c r="B5649" s="233" t="s">
        <v>1575</v>
      </c>
      <c r="C5649" s="227" t="s">
        <v>568</v>
      </c>
      <c r="F5649" s="237" t="s">
        <v>2998</v>
      </c>
    </row>
    <row r="5650" spans="1:6" x14ac:dyDescent="0.25">
      <c r="A5650" s="227" t="str">
        <f>TL[[#This Row],[Société]]&amp;" - "&amp;TL[[#This Row],[Compte]]</f>
        <v>DIVES - 41110000</v>
      </c>
      <c r="B5650" s="233" t="s">
        <v>6503</v>
      </c>
      <c r="C5650" s="227" t="s">
        <v>850</v>
      </c>
      <c r="F5650" s="237" t="s">
        <v>2998</v>
      </c>
    </row>
    <row r="5651" spans="1:6" x14ac:dyDescent="0.25">
      <c r="A5651" s="227" t="str">
        <f>TL[[#This Row],[Société]]&amp;" - "&amp;TL[[#This Row],[Compte]]</f>
        <v>DIVES - 41600000</v>
      </c>
      <c r="B5651" s="233" t="s">
        <v>3436</v>
      </c>
      <c r="C5651" s="227" t="s">
        <v>569</v>
      </c>
      <c r="F5651" s="237" t="s">
        <v>2998</v>
      </c>
    </row>
    <row r="5652" spans="1:6" x14ac:dyDescent="0.25">
      <c r="A5652" s="227" t="str">
        <f>TL[[#This Row],[Société]]&amp;" - "&amp;TL[[#This Row],[Compte]]</f>
        <v>DIVES - 41810000</v>
      </c>
      <c r="B5652" s="233" t="s">
        <v>3437</v>
      </c>
      <c r="C5652" s="227" t="s">
        <v>851</v>
      </c>
      <c r="F5652" s="237" t="s">
        <v>2998</v>
      </c>
    </row>
    <row r="5653" spans="1:6" x14ac:dyDescent="0.25">
      <c r="A5653" s="227" t="str">
        <f>TL[[#This Row],[Société]]&amp;" - "&amp;TL[[#This Row],[Compte]]</f>
        <v>DIVES - 42046673</v>
      </c>
      <c r="B5653" s="233" t="s">
        <v>6504</v>
      </c>
      <c r="C5653" s="227" t="s">
        <v>852</v>
      </c>
      <c r="F5653" s="237" t="s">
        <v>2998</v>
      </c>
    </row>
    <row r="5654" spans="1:6" x14ac:dyDescent="0.25">
      <c r="A5654" s="227" t="str">
        <f>TL[[#This Row],[Société]]&amp;" - "&amp;TL[[#This Row],[Compte]]</f>
        <v>DIVES - 42100000</v>
      </c>
      <c r="B5654" s="233" t="s">
        <v>3438</v>
      </c>
      <c r="C5654" s="227" t="s">
        <v>530</v>
      </c>
      <c r="F5654" s="237" t="s">
        <v>2998</v>
      </c>
    </row>
    <row r="5655" spans="1:6" x14ac:dyDescent="0.25">
      <c r="A5655" s="227" t="str">
        <f>TL[[#This Row],[Société]]&amp;" - "&amp;TL[[#This Row],[Compte]]</f>
        <v>DIVES - 42101000</v>
      </c>
      <c r="B5655" s="233" t="s">
        <v>3439</v>
      </c>
      <c r="C5655" s="227" t="s">
        <v>1360</v>
      </c>
      <c r="F5655" s="237" t="s">
        <v>2998</v>
      </c>
    </row>
    <row r="5656" spans="1:6" x14ac:dyDescent="0.25">
      <c r="A5656" s="227" t="str">
        <f>TL[[#This Row],[Société]]&amp;" - "&amp;TL[[#This Row],[Compte]]</f>
        <v>DIVES - 42144400</v>
      </c>
      <c r="B5656" s="233" t="s">
        <v>3440</v>
      </c>
      <c r="C5656" s="227" t="s">
        <v>570</v>
      </c>
      <c r="F5656" s="237" t="s">
        <v>2998</v>
      </c>
    </row>
    <row r="5657" spans="1:6" x14ac:dyDescent="0.25">
      <c r="A5657" s="227" t="str">
        <f>TL[[#This Row],[Société]]&amp;" - "&amp;TL[[#This Row],[Compte]]</f>
        <v>DIVES - 42400000</v>
      </c>
      <c r="B5657" s="233" t="s">
        <v>6505</v>
      </c>
      <c r="C5657" s="227" t="s">
        <v>2145</v>
      </c>
      <c r="F5657" s="237" t="s">
        <v>2998</v>
      </c>
    </row>
    <row r="5658" spans="1:6" x14ac:dyDescent="0.25">
      <c r="A5658" s="227" t="str">
        <f>TL[[#This Row],[Société]]&amp;" - "&amp;TL[[#This Row],[Compte]]</f>
        <v>DIVES - 42500000</v>
      </c>
      <c r="B5658" s="233" t="s">
        <v>3441</v>
      </c>
      <c r="C5658" s="227" t="s">
        <v>571</v>
      </c>
      <c r="F5658" s="237" t="s">
        <v>2998</v>
      </c>
    </row>
    <row r="5659" spans="1:6" x14ac:dyDescent="0.25">
      <c r="A5659" s="227" t="str">
        <f>TL[[#This Row],[Société]]&amp;" - "&amp;TL[[#This Row],[Compte]]</f>
        <v>DIVES - 42700000</v>
      </c>
      <c r="B5659" s="233" t="s">
        <v>3442</v>
      </c>
      <c r="C5659" s="227" t="s">
        <v>853</v>
      </c>
      <c r="F5659" s="237" t="s">
        <v>2998</v>
      </c>
    </row>
    <row r="5660" spans="1:6" x14ac:dyDescent="0.25">
      <c r="A5660" s="227" t="str">
        <f>TL[[#This Row],[Société]]&amp;" - "&amp;TL[[#This Row],[Compte]]</f>
        <v>DIVES - 42820000</v>
      </c>
      <c r="B5660" s="233" t="s">
        <v>3443</v>
      </c>
      <c r="C5660" s="227" t="s">
        <v>854</v>
      </c>
      <c r="F5660" s="237" t="s">
        <v>2998</v>
      </c>
    </row>
    <row r="5661" spans="1:6" x14ac:dyDescent="0.25">
      <c r="A5661" s="227" t="str">
        <f>TL[[#This Row],[Société]]&amp;" - "&amp;TL[[#This Row],[Compte]]</f>
        <v>DIVES - 42860000</v>
      </c>
      <c r="B5661" s="233" t="s">
        <v>6082</v>
      </c>
      <c r="C5661" s="227" t="s">
        <v>855</v>
      </c>
      <c r="F5661" s="237" t="s">
        <v>2998</v>
      </c>
    </row>
    <row r="5662" spans="1:6" x14ac:dyDescent="0.25">
      <c r="A5662" s="227" t="str">
        <f>TL[[#This Row],[Société]]&amp;" - "&amp;TL[[#This Row],[Compte]]</f>
        <v>DIVES - 43100000</v>
      </c>
      <c r="B5662" s="233" t="s">
        <v>3445</v>
      </c>
      <c r="C5662" s="227" t="s">
        <v>573</v>
      </c>
      <c r="F5662" s="237" t="s">
        <v>2998</v>
      </c>
    </row>
    <row r="5663" spans="1:6" x14ac:dyDescent="0.25">
      <c r="A5663" s="227" t="str">
        <f>TL[[#This Row],[Société]]&amp;" - "&amp;TL[[#This Row],[Compte]]</f>
        <v>DIVES - 43700000</v>
      </c>
      <c r="B5663" s="233" t="s">
        <v>3446</v>
      </c>
      <c r="C5663" s="227" t="s">
        <v>676</v>
      </c>
      <c r="F5663" s="237" t="s">
        <v>2998</v>
      </c>
    </row>
    <row r="5664" spans="1:6" x14ac:dyDescent="0.25">
      <c r="A5664" s="227" t="str">
        <f>TL[[#This Row],[Société]]&amp;" - "&amp;TL[[#This Row],[Compte]]</f>
        <v>DIVES - 43701000</v>
      </c>
      <c r="B5664" s="233" t="s">
        <v>3447</v>
      </c>
      <c r="C5664" s="227" t="s">
        <v>574</v>
      </c>
      <c r="F5664" s="237" t="s">
        <v>2998</v>
      </c>
    </row>
    <row r="5665" spans="1:6" x14ac:dyDescent="0.25">
      <c r="A5665" s="227" t="str">
        <f>TL[[#This Row],[Société]]&amp;" - "&amp;TL[[#This Row],[Compte]]</f>
        <v>DIVES - 43702000</v>
      </c>
      <c r="B5665" s="233" t="s">
        <v>3449</v>
      </c>
      <c r="C5665" s="227" t="s">
        <v>6423</v>
      </c>
      <c r="F5665" s="237" t="s">
        <v>2998</v>
      </c>
    </row>
    <row r="5666" spans="1:6" x14ac:dyDescent="0.25">
      <c r="A5666" s="227" t="str">
        <f>TL[[#This Row],[Société]]&amp;" - "&amp;TL[[#This Row],[Compte]]</f>
        <v>DIVES - 43702500</v>
      </c>
      <c r="B5666" s="233" t="s">
        <v>3450</v>
      </c>
      <c r="C5666" s="227" t="s">
        <v>856</v>
      </c>
      <c r="F5666" s="237" t="s">
        <v>2998</v>
      </c>
    </row>
    <row r="5667" spans="1:6" x14ac:dyDescent="0.25">
      <c r="A5667" s="227" t="str">
        <f>TL[[#This Row],[Société]]&amp;" - "&amp;TL[[#This Row],[Compte]]</f>
        <v>DIVES - 43703000</v>
      </c>
      <c r="B5667" s="233" t="s">
        <v>3453</v>
      </c>
      <c r="C5667" s="227" t="s">
        <v>576</v>
      </c>
      <c r="F5667" s="237" t="s">
        <v>2998</v>
      </c>
    </row>
    <row r="5668" spans="1:6" x14ac:dyDescent="0.25">
      <c r="A5668" s="227" t="str">
        <f>TL[[#This Row],[Société]]&amp;" - "&amp;TL[[#This Row],[Compte]]</f>
        <v>DIVES - 43704000</v>
      </c>
      <c r="B5668" s="233" t="s">
        <v>3454</v>
      </c>
      <c r="C5668" s="227" t="s">
        <v>1358</v>
      </c>
      <c r="F5668" s="237" t="s">
        <v>2998</v>
      </c>
    </row>
    <row r="5669" spans="1:6" x14ac:dyDescent="0.25">
      <c r="A5669" s="227" t="str">
        <f>TL[[#This Row],[Société]]&amp;" - "&amp;TL[[#This Row],[Compte]]</f>
        <v>DIVES - 43705000</v>
      </c>
      <c r="B5669" s="233" t="s">
        <v>3455</v>
      </c>
      <c r="C5669" s="227" t="s">
        <v>536</v>
      </c>
      <c r="F5669" s="237" t="s">
        <v>2998</v>
      </c>
    </row>
    <row r="5670" spans="1:6" x14ac:dyDescent="0.25">
      <c r="A5670" s="227" t="str">
        <f>TL[[#This Row],[Société]]&amp;" - "&amp;TL[[#This Row],[Compte]]</f>
        <v>DIVES - 43706000</v>
      </c>
      <c r="B5670" s="233" t="s">
        <v>3456</v>
      </c>
      <c r="C5670" s="227" t="s">
        <v>578</v>
      </c>
      <c r="F5670" s="237" t="s">
        <v>2998</v>
      </c>
    </row>
    <row r="5671" spans="1:6" x14ac:dyDescent="0.25">
      <c r="A5671" s="227" t="str">
        <f>TL[[#This Row],[Société]]&amp;" - "&amp;TL[[#This Row],[Compte]]</f>
        <v>DIVES - 43707000</v>
      </c>
      <c r="B5671" s="233" t="s">
        <v>6083</v>
      </c>
      <c r="C5671" s="227" t="s">
        <v>1361</v>
      </c>
      <c r="F5671" s="237" t="s">
        <v>2998</v>
      </c>
    </row>
    <row r="5672" spans="1:6" x14ac:dyDescent="0.25">
      <c r="A5672" s="227" t="str">
        <f>TL[[#This Row],[Société]]&amp;" - "&amp;TL[[#This Row],[Compte]]</f>
        <v>DIVES - 43708000</v>
      </c>
      <c r="B5672" s="233" t="s">
        <v>3457</v>
      </c>
      <c r="C5672" s="227" t="s">
        <v>2103</v>
      </c>
      <c r="F5672" s="237" t="s">
        <v>2998</v>
      </c>
    </row>
    <row r="5673" spans="1:6" x14ac:dyDescent="0.25">
      <c r="A5673" s="227" t="str">
        <f>TL[[#This Row],[Société]]&amp;" - "&amp;TL[[#This Row],[Compte]]</f>
        <v>DIVES - 43780000</v>
      </c>
      <c r="B5673" s="233" t="s">
        <v>6506</v>
      </c>
      <c r="C5673" s="227" t="s">
        <v>857</v>
      </c>
      <c r="F5673" s="237" t="s">
        <v>2998</v>
      </c>
    </row>
    <row r="5674" spans="1:6" x14ac:dyDescent="0.25">
      <c r="A5674" s="227" t="str">
        <f>TL[[#This Row],[Société]]&amp;" - "&amp;TL[[#This Row],[Compte]]</f>
        <v>DIVES - 43800000</v>
      </c>
      <c r="B5674" s="233" t="s">
        <v>3458</v>
      </c>
      <c r="C5674" s="227" t="s">
        <v>2103</v>
      </c>
      <c r="F5674" s="237" t="s">
        <v>2998</v>
      </c>
    </row>
    <row r="5675" spans="1:6" x14ac:dyDescent="0.25">
      <c r="A5675" s="227" t="str">
        <f>TL[[#This Row],[Société]]&amp;" - "&amp;TL[[#This Row],[Compte]]</f>
        <v>DIVES - 43820000</v>
      </c>
      <c r="B5675" s="233" t="s">
        <v>3459</v>
      </c>
      <c r="C5675" s="227" t="s">
        <v>858</v>
      </c>
      <c r="F5675" s="237" t="s">
        <v>2998</v>
      </c>
    </row>
    <row r="5676" spans="1:6" x14ac:dyDescent="0.25">
      <c r="A5676" s="227" t="str">
        <f>TL[[#This Row],[Société]]&amp;" - "&amp;TL[[#This Row],[Compte]]</f>
        <v>DIVES - 43860000</v>
      </c>
      <c r="B5676" s="233" t="s">
        <v>3460</v>
      </c>
      <c r="C5676" s="227" t="s">
        <v>859</v>
      </c>
      <c r="F5676" s="237" t="s">
        <v>2998</v>
      </c>
    </row>
    <row r="5677" spans="1:6" x14ac:dyDescent="0.25">
      <c r="A5677" s="227" t="str">
        <f>TL[[#This Row],[Société]]&amp;" - "&amp;TL[[#This Row],[Compte]]</f>
        <v>DIVES - 44200000</v>
      </c>
      <c r="B5677" s="233" t="s">
        <v>3461</v>
      </c>
      <c r="C5677" s="227" t="s">
        <v>860</v>
      </c>
      <c r="F5677" s="237" t="s">
        <v>2998</v>
      </c>
    </row>
    <row r="5678" spans="1:6" x14ac:dyDescent="0.25">
      <c r="A5678" s="227" t="str">
        <f>TL[[#This Row],[Société]]&amp;" - "&amp;TL[[#This Row],[Compte]]</f>
        <v>DIVES - 44210000</v>
      </c>
      <c r="B5678" s="233" t="s">
        <v>3462</v>
      </c>
      <c r="C5678" s="227" t="s">
        <v>579</v>
      </c>
      <c r="F5678" s="237" t="s">
        <v>2998</v>
      </c>
    </row>
    <row r="5679" spans="1:6" x14ac:dyDescent="0.25">
      <c r="A5679" s="227" t="str">
        <f>TL[[#This Row],[Société]]&amp;" - "&amp;TL[[#This Row],[Compte]]</f>
        <v>DIVES - 44300000</v>
      </c>
      <c r="B5679" s="233" t="s">
        <v>3463</v>
      </c>
      <c r="C5679" s="227" t="s">
        <v>1512</v>
      </c>
      <c r="F5679" s="237" t="s">
        <v>2998</v>
      </c>
    </row>
    <row r="5680" spans="1:6" x14ac:dyDescent="0.25">
      <c r="A5680" s="227" t="str">
        <f>TL[[#This Row],[Société]]&amp;" - "&amp;TL[[#This Row],[Compte]]</f>
        <v>DIVES - 44400000</v>
      </c>
      <c r="B5680" s="233" t="s">
        <v>3464</v>
      </c>
      <c r="C5680" s="227" t="s">
        <v>157</v>
      </c>
      <c r="F5680" s="237" t="s">
        <v>2998</v>
      </c>
    </row>
    <row r="5681" spans="1:6" x14ac:dyDescent="0.25">
      <c r="A5681" s="227" t="str">
        <f>TL[[#This Row],[Société]]&amp;" - "&amp;TL[[#This Row],[Compte]]</f>
        <v>DIVES - 44520000</v>
      </c>
      <c r="B5681" s="233" t="s">
        <v>3465</v>
      </c>
      <c r="C5681" s="227" t="s">
        <v>580</v>
      </c>
      <c r="F5681" s="237" t="s">
        <v>2998</v>
      </c>
    </row>
    <row r="5682" spans="1:6" x14ac:dyDescent="0.25">
      <c r="A5682" s="227" t="str">
        <f>TL[[#This Row],[Société]]&amp;" - "&amp;TL[[#This Row],[Compte]]</f>
        <v>DIVES - 44551000</v>
      </c>
      <c r="B5682" s="233" t="s">
        <v>3466</v>
      </c>
      <c r="C5682" s="227" t="s">
        <v>534</v>
      </c>
      <c r="F5682" s="237" t="s">
        <v>2998</v>
      </c>
    </row>
    <row r="5683" spans="1:6" x14ac:dyDescent="0.25">
      <c r="A5683" s="227" t="str">
        <f>TL[[#This Row],[Société]]&amp;" - "&amp;TL[[#This Row],[Compte]]</f>
        <v>DIVES - 44562000</v>
      </c>
      <c r="B5683" s="233" t="s">
        <v>3467</v>
      </c>
      <c r="C5683" s="227" t="s">
        <v>861</v>
      </c>
      <c r="F5683" s="237" t="s">
        <v>2998</v>
      </c>
    </row>
    <row r="5684" spans="1:6" x14ac:dyDescent="0.25">
      <c r="A5684" s="227" t="str">
        <f>TL[[#This Row],[Société]]&amp;" - "&amp;TL[[#This Row],[Compte]]</f>
        <v>DIVES - 44562100</v>
      </c>
      <c r="B5684" s="233" t="s">
        <v>3468</v>
      </c>
      <c r="C5684" s="227" t="s">
        <v>862</v>
      </c>
      <c r="F5684" s="237" t="s">
        <v>2998</v>
      </c>
    </row>
    <row r="5685" spans="1:6" x14ac:dyDescent="0.25">
      <c r="A5685" s="227" t="str">
        <f>TL[[#This Row],[Société]]&amp;" - "&amp;TL[[#This Row],[Compte]]</f>
        <v>DIVES - 44566000</v>
      </c>
      <c r="B5685" s="233" t="s">
        <v>3469</v>
      </c>
      <c r="C5685" s="227" t="s">
        <v>863</v>
      </c>
      <c r="F5685" s="237" t="s">
        <v>2998</v>
      </c>
    </row>
    <row r="5686" spans="1:6" x14ac:dyDescent="0.25">
      <c r="A5686" s="227" t="str">
        <f>TL[[#This Row],[Société]]&amp;" - "&amp;TL[[#This Row],[Compte]]</f>
        <v>DIVES - 44566100</v>
      </c>
      <c r="B5686" s="233" t="s">
        <v>3470</v>
      </c>
      <c r="C5686" s="227" t="s">
        <v>686</v>
      </c>
      <c r="F5686" s="237" t="s">
        <v>2998</v>
      </c>
    </row>
    <row r="5687" spans="1:6" x14ac:dyDescent="0.25">
      <c r="A5687" s="227" t="str">
        <f>TL[[#This Row],[Société]]&amp;" - "&amp;TL[[#This Row],[Compte]]</f>
        <v>DIVES - 44566200</v>
      </c>
      <c r="B5687" s="233" t="s">
        <v>3471</v>
      </c>
      <c r="C5687" s="227" t="s">
        <v>582</v>
      </c>
      <c r="F5687" s="237" t="s">
        <v>2998</v>
      </c>
    </row>
    <row r="5688" spans="1:6" x14ac:dyDescent="0.25">
      <c r="A5688" s="227" t="str">
        <f>TL[[#This Row],[Société]]&amp;" - "&amp;TL[[#This Row],[Compte]]</f>
        <v>DIVES - 44567000</v>
      </c>
      <c r="B5688" s="233" t="s">
        <v>3472</v>
      </c>
      <c r="C5688" s="227" t="s">
        <v>824</v>
      </c>
      <c r="F5688" s="237" t="s">
        <v>2998</v>
      </c>
    </row>
    <row r="5689" spans="1:6" x14ac:dyDescent="0.25">
      <c r="A5689" s="227" t="str">
        <f>TL[[#This Row],[Société]]&amp;" - "&amp;TL[[#This Row],[Compte]]</f>
        <v>DIVES - 44571000</v>
      </c>
      <c r="B5689" s="233" t="s">
        <v>3473</v>
      </c>
      <c r="C5689" s="227" t="s">
        <v>687</v>
      </c>
      <c r="F5689" s="237" t="s">
        <v>2998</v>
      </c>
    </row>
    <row r="5690" spans="1:6" x14ac:dyDescent="0.25">
      <c r="A5690" s="227" t="str">
        <f>TL[[#This Row],[Société]]&amp;" - "&amp;TL[[#This Row],[Compte]]</f>
        <v>DIVES - 44571100</v>
      </c>
      <c r="B5690" s="233" t="s">
        <v>3474</v>
      </c>
      <c r="C5690" s="227" t="s">
        <v>864</v>
      </c>
      <c r="F5690" s="237" t="s">
        <v>2998</v>
      </c>
    </row>
    <row r="5691" spans="1:6" x14ac:dyDescent="0.25">
      <c r="A5691" s="227" t="str">
        <f>TL[[#This Row],[Société]]&amp;" - "&amp;TL[[#This Row],[Compte]]</f>
        <v>DIVES - 44571200</v>
      </c>
      <c r="B5691" s="233" t="s">
        <v>6507</v>
      </c>
      <c r="C5691" s="227" t="s">
        <v>850</v>
      </c>
      <c r="F5691" s="237" t="s">
        <v>2998</v>
      </c>
    </row>
    <row r="5692" spans="1:6" x14ac:dyDescent="0.25">
      <c r="A5692" s="227" t="str">
        <f>TL[[#This Row],[Société]]&amp;" - "&amp;TL[[#This Row],[Compte]]</f>
        <v>DIVES - 44571300</v>
      </c>
      <c r="B5692" s="233" t="s">
        <v>3475</v>
      </c>
      <c r="C5692" s="227" t="s">
        <v>865</v>
      </c>
      <c r="F5692" s="237" t="s">
        <v>2998</v>
      </c>
    </row>
    <row r="5693" spans="1:6" x14ac:dyDescent="0.25">
      <c r="A5693" s="227" t="str">
        <f>TL[[#This Row],[Société]]&amp;" - "&amp;TL[[#This Row],[Compte]]</f>
        <v>DIVES - 44571400</v>
      </c>
      <c r="B5693" s="233" t="s">
        <v>3476</v>
      </c>
      <c r="C5693" s="227" t="s">
        <v>583</v>
      </c>
      <c r="F5693" s="237" t="s">
        <v>2998</v>
      </c>
    </row>
    <row r="5694" spans="1:6" x14ac:dyDescent="0.25">
      <c r="A5694" s="227" t="str">
        <f>TL[[#This Row],[Société]]&amp;" - "&amp;TL[[#This Row],[Compte]]</f>
        <v>DIVES - 44571500</v>
      </c>
      <c r="B5694" s="233" t="s">
        <v>3477</v>
      </c>
      <c r="C5694" s="227" t="s">
        <v>866</v>
      </c>
      <c r="F5694" s="237" t="s">
        <v>2998</v>
      </c>
    </row>
    <row r="5695" spans="1:6" x14ac:dyDescent="0.25">
      <c r="A5695" s="227" t="str">
        <f>TL[[#This Row],[Société]]&amp;" - "&amp;TL[[#This Row],[Compte]]</f>
        <v>DIVES - 44571600</v>
      </c>
      <c r="B5695" s="233" t="s">
        <v>3478</v>
      </c>
      <c r="C5695" s="227" t="s">
        <v>689</v>
      </c>
      <c r="F5695" s="237" t="s">
        <v>2998</v>
      </c>
    </row>
    <row r="5696" spans="1:6" x14ac:dyDescent="0.25">
      <c r="A5696" s="227" t="str">
        <f>TL[[#This Row],[Société]]&amp;" - "&amp;TL[[#This Row],[Compte]]</f>
        <v>DIVES - 44571700</v>
      </c>
      <c r="B5696" s="233" t="s">
        <v>3479</v>
      </c>
      <c r="C5696" s="227" t="s">
        <v>2135</v>
      </c>
      <c r="F5696" s="237" t="s">
        <v>2998</v>
      </c>
    </row>
    <row r="5697" spans="1:6" x14ac:dyDescent="0.25">
      <c r="A5697" s="227" t="str">
        <f>TL[[#This Row],[Société]]&amp;" - "&amp;TL[[#This Row],[Compte]]</f>
        <v>DIVES - 44572000</v>
      </c>
      <c r="B5697" s="233" t="s">
        <v>3480</v>
      </c>
      <c r="C5697" s="227" t="s">
        <v>1337</v>
      </c>
      <c r="F5697" s="237" t="s">
        <v>2998</v>
      </c>
    </row>
    <row r="5698" spans="1:6" x14ac:dyDescent="0.25">
      <c r="A5698" s="227" t="str">
        <f>TL[[#This Row],[Société]]&amp;" - "&amp;TL[[#This Row],[Compte]]</f>
        <v>DIVES - 44580000</v>
      </c>
      <c r="B5698" s="233" t="s">
        <v>3481</v>
      </c>
      <c r="C5698" s="227" t="s">
        <v>823</v>
      </c>
      <c r="F5698" s="237" t="s">
        <v>2998</v>
      </c>
    </row>
    <row r="5699" spans="1:6" x14ac:dyDescent="0.25">
      <c r="A5699" s="227" t="str">
        <f>TL[[#This Row],[Société]]&amp;" - "&amp;TL[[#This Row],[Compte]]</f>
        <v>DIVES - 44586000</v>
      </c>
      <c r="B5699" s="233" t="s">
        <v>3483</v>
      </c>
      <c r="C5699" s="227" t="s">
        <v>6867</v>
      </c>
      <c r="F5699" s="237" t="s">
        <v>2998</v>
      </c>
    </row>
    <row r="5700" spans="1:6" x14ac:dyDescent="0.25">
      <c r="A5700" s="227" t="str">
        <f>TL[[#This Row],[Société]]&amp;" - "&amp;TL[[#This Row],[Compte]]</f>
        <v>DIVES - 44586100</v>
      </c>
      <c r="B5700" s="233" t="s">
        <v>3484</v>
      </c>
      <c r="C5700" s="227" t="s">
        <v>6868</v>
      </c>
      <c r="F5700" s="237" t="s">
        <v>2998</v>
      </c>
    </row>
    <row r="5701" spans="1:6" x14ac:dyDescent="0.25">
      <c r="A5701" s="227" t="str">
        <f>TL[[#This Row],[Société]]&amp;" - "&amp;TL[[#This Row],[Compte]]</f>
        <v>DIVES - 44587000</v>
      </c>
      <c r="B5701" s="233" t="s">
        <v>3485</v>
      </c>
      <c r="C5701" s="227" t="s">
        <v>6869</v>
      </c>
      <c r="F5701" s="237" t="s">
        <v>2998</v>
      </c>
    </row>
    <row r="5702" spans="1:6" x14ac:dyDescent="0.25">
      <c r="A5702" s="227" t="str">
        <f>TL[[#This Row],[Société]]&amp;" - "&amp;TL[[#This Row],[Compte]]</f>
        <v>DIVES - 44860000</v>
      </c>
      <c r="B5702" s="233" t="s">
        <v>3486</v>
      </c>
      <c r="C5702" s="227" t="s">
        <v>587</v>
      </c>
      <c r="F5702" s="237" t="s">
        <v>2998</v>
      </c>
    </row>
    <row r="5703" spans="1:6" x14ac:dyDescent="0.25">
      <c r="A5703" s="227" t="str">
        <f>TL[[#This Row],[Société]]&amp;" - "&amp;TL[[#This Row],[Compte]]</f>
        <v>DIVES - 44863000</v>
      </c>
      <c r="B5703" s="233" t="s">
        <v>6090</v>
      </c>
      <c r="C5703" s="227" t="s">
        <v>6091</v>
      </c>
      <c r="F5703" s="237" t="s">
        <v>2998</v>
      </c>
    </row>
    <row r="5704" spans="1:6" x14ac:dyDescent="0.25">
      <c r="A5704" s="227" t="str">
        <f>TL[[#This Row],[Société]]&amp;" - "&amp;TL[[#This Row],[Compte]]</f>
        <v>DIVES - 44870000</v>
      </c>
      <c r="B5704" s="233" t="s">
        <v>3487</v>
      </c>
      <c r="C5704" s="227" t="s">
        <v>869</v>
      </c>
      <c r="F5704" s="237" t="s">
        <v>2998</v>
      </c>
    </row>
    <row r="5705" spans="1:6" x14ac:dyDescent="0.25">
      <c r="A5705" s="227" t="str">
        <f>TL[[#This Row],[Société]]&amp;" - "&amp;TL[[#This Row],[Compte]]</f>
        <v>DIVES - 45500000</v>
      </c>
      <c r="B5705" s="233" t="s">
        <v>3488</v>
      </c>
      <c r="C5705" s="227" t="s">
        <v>870</v>
      </c>
      <c r="F5705" s="237" t="s">
        <v>2998</v>
      </c>
    </row>
    <row r="5706" spans="1:6" x14ac:dyDescent="0.25">
      <c r="A5706" s="227" t="str">
        <f>TL[[#This Row],[Société]]&amp;" - "&amp;TL[[#This Row],[Compte]]</f>
        <v>DIVES - 45510000</v>
      </c>
      <c r="B5706" s="233" t="s">
        <v>6574</v>
      </c>
      <c r="C5706" s="227" t="s">
        <v>6919</v>
      </c>
      <c r="F5706" s="237" t="s">
        <v>2998</v>
      </c>
    </row>
    <row r="5707" spans="1:6" x14ac:dyDescent="0.25">
      <c r="A5707" s="227" t="str">
        <f>TL[[#This Row],[Société]]&amp;" - "&amp;TL[[#This Row],[Compte]]</f>
        <v>DIVES - 45700000</v>
      </c>
      <c r="B5707" s="233" t="s">
        <v>3489</v>
      </c>
      <c r="C5707" s="227" t="s">
        <v>588</v>
      </c>
      <c r="F5707" s="237" t="s">
        <v>2998</v>
      </c>
    </row>
    <row r="5708" spans="1:6" x14ac:dyDescent="0.25">
      <c r="A5708" s="227" t="str">
        <f>TL[[#This Row],[Société]]&amp;" - "&amp;TL[[#This Row],[Compte]]</f>
        <v>DIVES - 45710000</v>
      </c>
      <c r="B5708" s="233" t="s">
        <v>6508</v>
      </c>
      <c r="C5708" s="227" t="s">
        <v>871</v>
      </c>
      <c r="F5708" s="237" t="s">
        <v>2998</v>
      </c>
    </row>
    <row r="5709" spans="1:6" x14ac:dyDescent="0.25">
      <c r="A5709" s="227" t="str">
        <f>TL[[#This Row],[Société]]&amp;" - "&amp;TL[[#This Row],[Compte]]</f>
        <v>DIVES - 46700000</v>
      </c>
      <c r="B5709" s="233" t="s">
        <v>3490</v>
      </c>
      <c r="C5709" s="227" t="s">
        <v>699</v>
      </c>
      <c r="F5709" s="237" t="s">
        <v>2998</v>
      </c>
    </row>
    <row r="5710" spans="1:6" x14ac:dyDescent="0.25">
      <c r="A5710" s="227" t="str">
        <f>TL[[#This Row],[Société]]&amp;" - "&amp;TL[[#This Row],[Compte]]</f>
        <v>DIVES - 46721000</v>
      </c>
      <c r="B5710" s="233" t="s">
        <v>3493</v>
      </c>
      <c r="C5710" s="227" t="s">
        <v>700</v>
      </c>
      <c r="F5710" s="237" t="s">
        <v>2998</v>
      </c>
    </row>
    <row r="5711" spans="1:6" x14ac:dyDescent="0.25">
      <c r="A5711" s="227" t="str">
        <f>TL[[#This Row],[Société]]&amp;" - "&amp;TL[[#This Row],[Compte]]</f>
        <v>DIVES - 46722000</v>
      </c>
      <c r="B5711" s="233" t="s">
        <v>3494</v>
      </c>
      <c r="C5711" s="227" t="s">
        <v>701</v>
      </c>
      <c r="F5711" s="237" t="s">
        <v>2998</v>
      </c>
    </row>
    <row r="5712" spans="1:6" x14ac:dyDescent="0.25">
      <c r="A5712" s="227" t="str">
        <f>TL[[#This Row],[Société]]&amp;" - "&amp;TL[[#This Row],[Compte]]</f>
        <v>DIVES - 46723000</v>
      </c>
      <c r="B5712" s="233" t="s">
        <v>3495</v>
      </c>
      <c r="C5712" s="227" t="s">
        <v>702</v>
      </c>
      <c r="F5712" s="237" t="s">
        <v>2998</v>
      </c>
    </row>
    <row r="5713" spans="1:6" x14ac:dyDescent="0.25">
      <c r="A5713" s="227" t="str">
        <f>TL[[#This Row],[Société]]&amp;" - "&amp;TL[[#This Row],[Compte]]</f>
        <v>DIVES - 46724000</v>
      </c>
      <c r="B5713" s="233" t="s">
        <v>3496</v>
      </c>
      <c r="C5713" s="227" t="s">
        <v>822</v>
      </c>
      <c r="F5713" s="237" t="s">
        <v>2998</v>
      </c>
    </row>
    <row r="5714" spans="1:6" x14ac:dyDescent="0.25">
      <c r="A5714" s="227" t="str">
        <f>TL[[#This Row],[Société]]&amp;" - "&amp;TL[[#This Row],[Compte]]</f>
        <v>DIVES - 46730000</v>
      </c>
      <c r="B5714" s="233" t="s">
        <v>3500</v>
      </c>
      <c r="C5714" s="227" t="s">
        <v>872</v>
      </c>
      <c r="F5714" s="237" t="s">
        <v>2998</v>
      </c>
    </row>
    <row r="5715" spans="1:6" x14ac:dyDescent="0.25">
      <c r="A5715" s="227" t="str">
        <f>TL[[#This Row],[Société]]&amp;" - "&amp;TL[[#This Row],[Compte]]</f>
        <v>DIVES - 46740000</v>
      </c>
      <c r="B5715" s="233" t="s">
        <v>3501</v>
      </c>
      <c r="C5715" s="227" t="s">
        <v>526</v>
      </c>
      <c r="F5715" s="237" t="s">
        <v>2998</v>
      </c>
    </row>
    <row r="5716" spans="1:6" x14ac:dyDescent="0.25">
      <c r="A5716" s="227" t="str">
        <f>TL[[#This Row],[Société]]&amp;" - "&amp;TL[[#This Row],[Compte]]</f>
        <v>DIVES - 46741000</v>
      </c>
      <c r="B5716" s="233" t="s">
        <v>6509</v>
      </c>
      <c r="C5716" s="227" t="s">
        <v>826</v>
      </c>
      <c r="F5716" s="237" t="s">
        <v>2998</v>
      </c>
    </row>
    <row r="5717" spans="1:6" x14ac:dyDescent="0.25">
      <c r="A5717" s="227" t="str">
        <f>TL[[#This Row],[Société]]&amp;" - "&amp;TL[[#This Row],[Compte]]</f>
        <v>DIVES - 46744400</v>
      </c>
      <c r="B5717" s="233" t="s">
        <v>3502</v>
      </c>
      <c r="C5717" s="227" t="s">
        <v>590</v>
      </c>
      <c r="F5717" s="237" t="s">
        <v>2998</v>
      </c>
    </row>
    <row r="5718" spans="1:6" x14ac:dyDescent="0.25">
      <c r="A5718" s="227" t="str">
        <f>TL[[#This Row],[Société]]&amp;" - "&amp;TL[[#This Row],[Compte]]</f>
        <v>DIVES - 46750000</v>
      </c>
      <c r="B5718" s="233" t="s">
        <v>6100</v>
      </c>
      <c r="C5718" s="227" t="s">
        <v>6918</v>
      </c>
      <c r="F5718" s="237" t="s">
        <v>2998</v>
      </c>
    </row>
    <row r="5719" spans="1:6" x14ac:dyDescent="0.25">
      <c r="A5719" s="227" t="str">
        <f>TL[[#This Row],[Société]]&amp;" - "&amp;TL[[#This Row],[Compte]]</f>
        <v>DIVES - 46755500</v>
      </c>
      <c r="B5719" s="233" t="s">
        <v>3503</v>
      </c>
      <c r="C5719" s="227" t="s">
        <v>873</v>
      </c>
      <c r="F5719" s="237" t="s">
        <v>2998</v>
      </c>
    </row>
    <row r="5720" spans="1:6" x14ac:dyDescent="0.25">
      <c r="A5720" s="227" t="str">
        <f>TL[[#This Row],[Société]]&amp;" - "&amp;TL[[#This Row],[Compte]]</f>
        <v>DIVES - 46760000</v>
      </c>
      <c r="B5720" s="233" t="s">
        <v>6510</v>
      </c>
      <c r="C5720" s="227" t="s">
        <v>592</v>
      </c>
      <c r="F5720" s="237" t="s">
        <v>2998</v>
      </c>
    </row>
    <row r="5721" spans="1:6" x14ac:dyDescent="0.25">
      <c r="A5721" s="227" t="str">
        <f>TL[[#This Row],[Société]]&amp;" - "&amp;TL[[#This Row],[Compte]]</f>
        <v>DIVES - 46766600</v>
      </c>
      <c r="B5721" s="233" t="s">
        <v>3504</v>
      </c>
      <c r="C5721" s="227" t="s">
        <v>593</v>
      </c>
      <c r="F5721" s="237" t="s">
        <v>2998</v>
      </c>
    </row>
    <row r="5722" spans="1:6" x14ac:dyDescent="0.25">
      <c r="A5722" s="227" t="str">
        <f>TL[[#This Row],[Société]]&amp;" - "&amp;TL[[#This Row],[Compte]]</f>
        <v>DIVES - 46860000</v>
      </c>
      <c r="B5722" s="233" t="s">
        <v>3505</v>
      </c>
      <c r="C5722" s="227" t="s">
        <v>709</v>
      </c>
      <c r="F5722" s="237" t="s">
        <v>2998</v>
      </c>
    </row>
    <row r="5723" spans="1:6" x14ac:dyDescent="0.25">
      <c r="A5723" s="227" t="str">
        <f>TL[[#This Row],[Société]]&amp;" - "&amp;TL[[#This Row],[Compte]]</f>
        <v>DIVES - 46870000</v>
      </c>
      <c r="B5723" s="233" t="s">
        <v>3506</v>
      </c>
      <c r="C5723" s="227" t="s">
        <v>874</v>
      </c>
      <c r="F5723" s="237" t="s">
        <v>2998</v>
      </c>
    </row>
    <row r="5724" spans="1:6" x14ac:dyDescent="0.25">
      <c r="A5724" s="227" t="str">
        <f>TL[[#This Row],[Société]]&amp;" - "&amp;TL[[#This Row],[Compte]]</f>
        <v>DIVES - 47100000</v>
      </c>
      <c r="B5724" s="233" t="s">
        <v>3507</v>
      </c>
      <c r="C5724" s="227" t="s">
        <v>594</v>
      </c>
      <c r="F5724" s="237" t="s">
        <v>2998</v>
      </c>
    </row>
    <row r="5725" spans="1:6" x14ac:dyDescent="0.25">
      <c r="A5725" s="227" t="str">
        <f>TL[[#This Row],[Société]]&amp;" - "&amp;TL[[#This Row],[Compte]]</f>
        <v>DIVES - 47200000</v>
      </c>
      <c r="B5725" s="233" t="s">
        <v>3508</v>
      </c>
      <c r="C5725" s="227" t="s">
        <v>875</v>
      </c>
      <c r="F5725" s="237" t="s">
        <v>2998</v>
      </c>
    </row>
    <row r="5726" spans="1:6" x14ac:dyDescent="0.25">
      <c r="A5726" s="227" t="str">
        <f>TL[[#This Row],[Société]]&amp;" - "&amp;TL[[#This Row],[Compte]]</f>
        <v>DIVES - 48600000</v>
      </c>
      <c r="B5726" s="233" t="s">
        <v>3509</v>
      </c>
      <c r="C5726" s="227" t="s">
        <v>876</v>
      </c>
      <c r="F5726" s="237" t="s">
        <v>2998</v>
      </c>
    </row>
    <row r="5727" spans="1:6" x14ac:dyDescent="0.25">
      <c r="A5727" s="227" t="str">
        <f>TL[[#This Row],[Société]]&amp;" - "&amp;TL[[#This Row],[Compte]]</f>
        <v>DIVES - 48700000</v>
      </c>
      <c r="B5727" s="233" t="s">
        <v>3510</v>
      </c>
      <c r="C5727" s="227" t="s">
        <v>595</v>
      </c>
      <c r="F5727" s="237" t="s">
        <v>2998</v>
      </c>
    </row>
    <row r="5728" spans="1:6" x14ac:dyDescent="0.25">
      <c r="A5728" s="227" t="str">
        <f>TL[[#This Row],[Société]]&amp;" - "&amp;TL[[#This Row],[Compte]]</f>
        <v>DIVES - 50800000</v>
      </c>
      <c r="B5728" s="233" t="s">
        <v>3512</v>
      </c>
      <c r="C5728" s="227" t="s">
        <v>877</v>
      </c>
      <c r="F5728" s="237" t="s">
        <v>2998</v>
      </c>
    </row>
    <row r="5729" spans="1:6" x14ac:dyDescent="0.25">
      <c r="A5729" s="227" t="str">
        <f>TL[[#This Row],[Société]]&amp;" - "&amp;TL[[#This Row],[Compte]]</f>
        <v>DIVES - 50810000</v>
      </c>
      <c r="B5729" s="233" t="s">
        <v>3513</v>
      </c>
      <c r="C5729" s="227" t="s">
        <v>878</v>
      </c>
      <c r="F5729" s="237" t="s">
        <v>2998</v>
      </c>
    </row>
    <row r="5730" spans="1:6" x14ac:dyDescent="0.25">
      <c r="A5730" s="227" t="str">
        <f>TL[[#This Row],[Société]]&amp;" - "&amp;TL[[#This Row],[Compte]]</f>
        <v>DIVES - 51121000</v>
      </c>
      <c r="B5730" s="233" t="s">
        <v>3515</v>
      </c>
      <c r="C5730" s="227" t="s">
        <v>879</v>
      </c>
      <c r="F5730" s="237" t="s">
        <v>2998</v>
      </c>
    </row>
    <row r="5731" spans="1:6" x14ac:dyDescent="0.25">
      <c r="A5731" s="227" t="str">
        <f>TL[[#This Row],[Société]]&amp;" - "&amp;TL[[#This Row],[Compte]]</f>
        <v>DIVES - 51121100</v>
      </c>
      <c r="B5731" s="233" t="s">
        <v>3516</v>
      </c>
      <c r="C5731" s="227" t="s">
        <v>879</v>
      </c>
      <c r="F5731" s="237" t="s">
        <v>2998</v>
      </c>
    </row>
    <row r="5732" spans="1:6" x14ac:dyDescent="0.25">
      <c r="A5732" s="227" t="str">
        <f>TL[[#This Row],[Société]]&amp;" - "&amp;TL[[#This Row],[Compte]]</f>
        <v>DIVES - 51122000</v>
      </c>
      <c r="B5732" s="233" t="s">
        <v>3517</v>
      </c>
      <c r="C5732" s="227" t="s">
        <v>715</v>
      </c>
      <c r="F5732" s="237" t="s">
        <v>2998</v>
      </c>
    </row>
    <row r="5733" spans="1:6" x14ac:dyDescent="0.25">
      <c r="A5733" s="227" t="str">
        <f>TL[[#This Row],[Société]]&amp;" - "&amp;TL[[#This Row],[Compte]]</f>
        <v>DIVES - 51122100</v>
      </c>
      <c r="B5733" s="233" t="s">
        <v>3518</v>
      </c>
      <c r="C5733" s="227" t="s">
        <v>825</v>
      </c>
      <c r="F5733" s="237" t="s">
        <v>2998</v>
      </c>
    </row>
    <row r="5734" spans="1:6" x14ac:dyDescent="0.25">
      <c r="A5734" s="227" t="str">
        <f>TL[[#This Row],[Société]]&amp;" - "&amp;TL[[#This Row],[Compte]]</f>
        <v>DIVES - 51123000</v>
      </c>
      <c r="B5734" s="233" t="s">
        <v>3519</v>
      </c>
      <c r="C5734" s="227" t="s">
        <v>638</v>
      </c>
      <c r="F5734" s="237" t="s">
        <v>2998</v>
      </c>
    </row>
    <row r="5735" spans="1:6" x14ac:dyDescent="0.25">
      <c r="A5735" s="227" t="str">
        <f>TL[[#This Row],[Société]]&amp;" - "&amp;TL[[#This Row],[Compte]]</f>
        <v>DIVES - 51123100</v>
      </c>
      <c r="B5735" s="233" t="s">
        <v>3520</v>
      </c>
      <c r="C5735" s="227" t="s">
        <v>638</v>
      </c>
      <c r="F5735" s="237" t="s">
        <v>2998</v>
      </c>
    </row>
    <row r="5736" spans="1:6" x14ac:dyDescent="0.25">
      <c r="A5736" s="227" t="str">
        <f>TL[[#This Row],[Société]]&amp;" - "&amp;TL[[#This Row],[Compte]]</f>
        <v>DIVES - 51125000</v>
      </c>
      <c r="B5736" s="233" t="s">
        <v>3521</v>
      </c>
      <c r="C5736" s="227" t="s">
        <v>598</v>
      </c>
      <c r="F5736" s="237" t="s">
        <v>2998</v>
      </c>
    </row>
    <row r="5737" spans="1:6" x14ac:dyDescent="0.25">
      <c r="A5737" s="227" t="str">
        <f>TL[[#This Row],[Société]]&amp;" - "&amp;TL[[#This Row],[Compte]]</f>
        <v>DIVES - 51125100</v>
      </c>
      <c r="B5737" s="233" t="s">
        <v>3522</v>
      </c>
      <c r="C5737" s="227" t="s">
        <v>598</v>
      </c>
      <c r="F5737" s="237" t="s">
        <v>2998</v>
      </c>
    </row>
    <row r="5738" spans="1:6" x14ac:dyDescent="0.25">
      <c r="A5738" s="227" t="str">
        <f>TL[[#This Row],[Société]]&amp;" - "&amp;TL[[#This Row],[Compte]]</f>
        <v>DIVES - 51126000</v>
      </c>
      <c r="B5738" s="233" t="s">
        <v>3523</v>
      </c>
      <c r="C5738" s="227" t="s">
        <v>538</v>
      </c>
      <c r="F5738" s="237" t="s">
        <v>2998</v>
      </c>
    </row>
    <row r="5739" spans="1:6" x14ac:dyDescent="0.25">
      <c r="A5739" s="227" t="str">
        <f>TL[[#This Row],[Société]]&amp;" - "&amp;TL[[#This Row],[Compte]]</f>
        <v>DIVES - 51126100</v>
      </c>
      <c r="B5739" s="233" t="s">
        <v>3524</v>
      </c>
      <c r="C5739" s="227" t="s">
        <v>720</v>
      </c>
      <c r="F5739" s="237" t="s">
        <v>2998</v>
      </c>
    </row>
    <row r="5740" spans="1:6" x14ac:dyDescent="0.25">
      <c r="A5740" s="227" t="str">
        <f>TL[[#This Row],[Société]]&amp;" - "&amp;TL[[#This Row],[Compte]]</f>
        <v>DIVES - 51170000</v>
      </c>
      <c r="B5740" s="233" t="s">
        <v>3526</v>
      </c>
      <c r="C5740" s="227" t="s">
        <v>599</v>
      </c>
      <c r="F5740" s="237" t="s">
        <v>2998</v>
      </c>
    </row>
    <row r="5741" spans="1:6" x14ac:dyDescent="0.25">
      <c r="A5741" s="227" t="str">
        <f>TL[[#This Row],[Société]]&amp;" - "&amp;TL[[#This Row],[Compte]]</f>
        <v>DIVES - 51170100</v>
      </c>
      <c r="B5741" s="233" t="s">
        <v>3527</v>
      </c>
      <c r="C5741" s="227" t="s">
        <v>531</v>
      </c>
      <c r="F5741" s="237" t="s">
        <v>2998</v>
      </c>
    </row>
    <row r="5742" spans="1:6" x14ac:dyDescent="0.25">
      <c r="A5742" s="227" t="str">
        <f>TL[[#This Row],[Société]]&amp;" - "&amp;TL[[#This Row],[Compte]]</f>
        <v>DIVES - 51200000</v>
      </c>
      <c r="B5742" s="233" t="s">
        <v>3528</v>
      </c>
      <c r="C5742" s="227" t="s">
        <v>635</v>
      </c>
      <c r="F5742" s="237" t="s">
        <v>2998</v>
      </c>
    </row>
    <row r="5743" spans="1:6" x14ac:dyDescent="0.25">
      <c r="A5743" s="227" t="str">
        <f>TL[[#This Row],[Société]]&amp;" - "&amp;TL[[#This Row],[Compte]]</f>
        <v>DIVES - 51210000</v>
      </c>
      <c r="B5743" s="233" t="s">
        <v>3529</v>
      </c>
      <c r="C5743" s="227" t="s">
        <v>600</v>
      </c>
      <c r="F5743" s="237" t="s">
        <v>2998</v>
      </c>
    </row>
    <row r="5744" spans="1:6" x14ac:dyDescent="0.25">
      <c r="A5744" s="227" t="str">
        <f>TL[[#This Row],[Société]]&amp;" - "&amp;TL[[#This Row],[Compte]]</f>
        <v>DIVES - 51220000</v>
      </c>
      <c r="B5744" s="233" t="s">
        <v>3530</v>
      </c>
      <c r="C5744" s="227" t="s">
        <v>601</v>
      </c>
      <c r="F5744" s="237" t="s">
        <v>2998</v>
      </c>
    </row>
    <row r="5745" spans="1:6" x14ac:dyDescent="0.25">
      <c r="A5745" s="227" t="str">
        <f>TL[[#This Row],[Société]]&amp;" - "&amp;TL[[#This Row],[Compte]]</f>
        <v>DIVES - 51230000</v>
      </c>
      <c r="B5745" s="233" t="s">
        <v>3531</v>
      </c>
      <c r="C5745" s="227" t="s">
        <v>1362</v>
      </c>
      <c r="F5745" s="237" t="s">
        <v>2998</v>
      </c>
    </row>
    <row r="5746" spans="1:6" x14ac:dyDescent="0.25">
      <c r="A5746" s="227" t="str">
        <f>TL[[#This Row],[Société]]&amp;" - "&amp;TL[[#This Row],[Compte]]</f>
        <v>DIVES - 51810000</v>
      </c>
      <c r="B5746" s="233" t="s">
        <v>3533</v>
      </c>
      <c r="C5746" s="227" t="s">
        <v>880</v>
      </c>
      <c r="F5746" s="237" t="s">
        <v>2998</v>
      </c>
    </row>
    <row r="5747" spans="1:6" x14ac:dyDescent="0.25">
      <c r="A5747" s="227" t="str">
        <f>TL[[#This Row],[Société]]&amp;" - "&amp;TL[[#This Row],[Compte]]</f>
        <v>DIVES - 51860000</v>
      </c>
      <c r="B5747" s="233" t="s">
        <v>3534</v>
      </c>
      <c r="C5747" s="227" t="s">
        <v>881</v>
      </c>
      <c r="F5747" s="237" t="s">
        <v>2998</v>
      </c>
    </row>
    <row r="5748" spans="1:6" x14ac:dyDescent="0.25">
      <c r="A5748" s="227" t="str">
        <f>TL[[#This Row],[Société]]&amp;" - "&amp;TL[[#This Row],[Compte]]</f>
        <v>DIVES - 51880000</v>
      </c>
      <c r="B5748" s="233" t="s">
        <v>3535</v>
      </c>
      <c r="C5748" s="227" t="s">
        <v>1363</v>
      </c>
      <c r="F5748" s="237" t="s">
        <v>2998</v>
      </c>
    </row>
    <row r="5749" spans="1:6" x14ac:dyDescent="0.25">
      <c r="A5749" s="227" t="str">
        <f>TL[[#This Row],[Société]]&amp;" - "&amp;TL[[#This Row],[Compte]]</f>
        <v>DIVES - 51910000</v>
      </c>
      <c r="B5749" s="233" t="s">
        <v>3536</v>
      </c>
      <c r="C5749" s="227" t="s">
        <v>882</v>
      </c>
      <c r="F5749" s="237" t="s">
        <v>2998</v>
      </c>
    </row>
    <row r="5750" spans="1:6" x14ac:dyDescent="0.25">
      <c r="A5750" s="227" t="str">
        <f>TL[[#This Row],[Société]]&amp;" - "&amp;TL[[#This Row],[Compte]]</f>
        <v>DIVES - 51920000</v>
      </c>
      <c r="B5750" s="233" t="s">
        <v>3537</v>
      </c>
      <c r="C5750" s="227" t="s">
        <v>1362</v>
      </c>
      <c r="F5750" s="237" t="s">
        <v>2998</v>
      </c>
    </row>
    <row r="5751" spans="1:6" x14ac:dyDescent="0.25">
      <c r="A5751" s="227" t="str">
        <f>TL[[#This Row],[Société]]&amp;" - "&amp;TL[[#This Row],[Compte]]</f>
        <v>DIVES - 53020000</v>
      </c>
      <c r="B5751" s="233" t="s">
        <v>3538</v>
      </c>
      <c r="C5751" s="227" t="s">
        <v>604</v>
      </c>
      <c r="F5751" s="237" t="s">
        <v>2998</v>
      </c>
    </row>
    <row r="5752" spans="1:6" x14ac:dyDescent="0.25">
      <c r="A5752" s="227" t="str">
        <f>TL[[#This Row],[Société]]&amp;" - "&amp;TL[[#This Row],[Compte]]</f>
        <v>DIVES - 53100000</v>
      </c>
      <c r="B5752" s="233" t="s">
        <v>3539</v>
      </c>
      <c r="C5752" s="227" t="s">
        <v>532</v>
      </c>
      <c r="F5752" s="237" t="s">
        <v>2998</v>
      </c>
    </row>
    <row r="5753" spans="1:6" x14ac:dyDescent="0.25">
      <c r="A5753" s="227" t="str">
        <f>TL[[#This Row],[Société]]&amp;" - "&amp;TL[[#This Row],[Compte]]</f>
        <v>DIVES - 58000000</v>
      </c>
      <c r="B5753" s="233" t="s">
        <v>3540</v>
      </c>
      <c r="C5753" s="227" t="s">
        <v>726</v>
      </c>
      <c r="F5753" s="237" t="s">
        <v>2998</v>
      </c>
    </row>
    <row r="5754" spans="1:6" x14ac:dyDescent="0.25">
      <c r="A5754" s="227" t="str">
        <f>TL[[#This Row],[Société]]&amp;" - "&amp;TL[[#This Row],[Compte]]</f>
        <v>DIVES - 58020000</v>
      </c>
      <c r="B5754" s="233" t="s">
        <v>6511</v>
      </c>
      <c r="C5754" s="227" t="s">
        <v>726</v>
      </c>
      <c r="F5754" s="237" t="s">
        <v>2998</v>
      </c>
    </row>
    <row r="5755" spans="1:6" x14ac:dyDescent="0.25">
      <c r="A5755" s="227" t="str">
        <f>TL[[#This Row],[Société]]&amp;" - "&amp;TL[[#This Row],[Compte]]</f>
        <v>DIVES - 58100000</v>
      </c>
      <c r="B5755" s="233" t="s">
        <v>3542</v>
      </c>
      <c r="C5755" s="227" t="s">
        <v>883</v>
      </c>
      <c r="F5755" s="237" t="s">
        <v>2998</v>
      </c>
    </row>
    <row r="5756" spans="1:6" x14ac:dyDescent="0.25">
      <c r="A5756" s="227" t="str">
        <f>TL[[#This Row],[Société]]&amp;" - "&amp;TL[[#This Row],[Compte]]</f>
        <v>DIVES - 58110000</v>
      </c>
      <c r="B5756" s="233" t="s">
        <v>3543</v>
      </c>
      <c r="C5756" s="227" t="s">
        <v>539</v>
      </c>
      <c r="F5756" s="237" t="s">
        <v>2998</v>
      </c>
    </row>
    <row r="5757" spans="1:6" x14ac:dyDescent="0.25">
      <c r="A5757" s="227" t="str">
        <f>TL[[#This Row],[Société]]&amp;" - "&amp;TL[[#This Row],[Compte]]</f>
        <v>DIVES - 58300000</v>
      </c>
      <c r="B5757" s="233" t="s">
        <v>3544</v>
      </c>
      <c r="C5757" s="227" t="s">
        <v>728</v>
      </c>
      <c r="F5757" s="237" t="s">
        <v>2998</v>
      </c>
    </row>
    <row r="5758" spans="1:6" x14ac:dyDescent="0.25">
      <c r="A5758" s="227" t="str">
        <f>TL[[#This Row],[Société]]&amp;" - "&amp;TL[[#This Row],[Compte]]</f>
        <v>DIVES - 60100000</v>
      </c>
      <c r="B5758" s="233" t="s">
        <v>3545</v>
      </c>
      <c r="C5758" s="227" t="s">
        <v>729</v>
      </c>
      <c r="D5758" s="233" t="s">
        <v>152</v>
      </c>
      <c r="E5758" s="233" t="s">
        <v>123</v>
      </c>
      <c r="F5758" s="237" t="s">
        <v>2998</v>
      </c>
    </row>
    <row r="5759" spans="1:6" x14ac:dyDescent="0.25">
      <c r="A5759" s="227" t="str">
        <f>TL[[#This Row],[Société]]&amp;" - "&amp;TL[[#This Row],[Compte]]</f>
        <v>DIVES - 60110000</v>
      </c>
      <c r="B5759" s="233" t="s">
        <v>2617</v>
      </c>
      <c r="C5759" s="227" t="s">
        <v>171</v>
      </c>
      <c r="D5759" s="233" t="s">
        <v>126</v>
      </c>
      <c r="E5759" s="233" t="s">
        <v>123</v>
      </c>
      <c r="F5759" s="237" t="s">
        <v>2998</v>
      </c>
    </row>
    <row r="5760" spans="1:6" x14ac:dyDescent="0.25">
      <c r="A5760" s="227" t="str">
        <f>TL[[#This Row],[Société]]&amp;" - "&amp;TL[[#This Row],[Compte]]</f>
        <v>DIVES - 60110200</v>
      </c>
      <c r="B5760" s="233" t="s">
        <v>2622</v>
      </c>
      <c r="C5760" s="227" t="s">
        <v>422</v>
      </c>
      <c r="D5760" s="233" t="s">
        <v>127</v>
      </c>
      <c r="E5760" s="233" t="s">
        <v>125</v>
      </c>
      <c r="F5760" s="237" t="s">
        <v>2998</v>
      </c>
    </row>
    <row r="5761" spans="1:6" x14ac:dyDescent="0.25">
      <c r="A5761" s="227" t="str">
        <f>TL[[#This Row],[Société]]&amp;" - "&amp;TL[[#This Row],[Compte]]</f>
        <v>DIVES - 60110300</v>
      </c>
      <c r="B5761" s="233" t="s">
        <v>2621</v>
      </c>
      <c r="C5761" s="227" t="s">
        <v>435</v>
      </c>
      <c r="D5761" s="233" t="s">
        <v>128</v>
      </c>
      <c r="E5761" s="233" t="s">
        <v>124</v>
      </c>
      <c r="F5761" s="237" t="s">
        <v>2998</v>
      </c>
    </row>
    <row r="5762" spans="1:6" x14ac:dyDescent="0.25">
      <c r="A5762" s="227" t="str">
        <f>TL[[#This Row],[Société]]&amp;" - "&amp;TL[[#This Row],[Compte]]</f>
        <v>DIVES - 60111000</v>
      </c>
      <c r="B5762" s="233" t="s">
        <v>6110</v>
      </c>
      <c r="C5762" s="227" t="s">
        <v>1364</v>
      </c>
      <c r="D5762" s="233" t="s">
        <v>126</v>
      </c>
      <c r="E5762" s="233" t="s">
        <v>34</v>
      </c>
      <c r="F5762" s="237" t="s">
        <v>2998</v>
      </c>
    </row>
    <row r="5763" spans="1:6" x14ac:dyDescent="0.25">
      <c r="A5763" s="227" t="str">
        <f>TL[[#This Row],[Société]]&amp;" - "&amp;TL[[#This Row],[Compte]]</f>
        <v>DIVES - 60220100</v>
      </c>
      <c r="B5763" s="233" t="s">
        <v>2623</v>
      </c>
      <c r="C5763" s="227" t="s">
        <v>265</v>
      </c>
      <c r="D5763" s="233" t="s">
        <v>123</v>
      </c>
      <c r="E5763" s="233" t="s">
        <v>126</v>
      </c>
      <c r="F5763" s="237" t="s">
        <v>2998</v>
      </c>
    </row>
    <row r="5764" spans="1:6" x14ac:dyDescent="0.25">
      <c r="A5764" s="227" t="str">
        <f>TL[[#This Row],[Société]]&amp;" - "&amp;TL[[#This Row],[Compte]]</f>
        <v>DIVES - 60220200</v>
      </c>
      <c r="B5764" s="233" t="s">
        <v>2741</v>
      </c>
      <c r="C5764" s="227" t="s">
        <v>268</v>
      </c>
      <c r="D5764" s="233" t="s">
        <v>150</v>
      </c>
      <c r="E5764" s="233" t="s">
        <v>147</v>
      </c>
      <c r="F5764" s="237" t="s">
        <v>2998</v>
      </c>
    </row>
    <row r="5765" spans="1:6" x14ac:dyDescent="0.25">
      <c r="A5765" s="227" t="str">
        <f>TL[[#This Row],[Société]]&amp;" - "&amp;TL[[#This Row],[Compte]]</f>
        <v>DIVES - 60261000</v>
      </c>
      <c r="B5765" s="233" t="s">
        <v>3547</v>
      </c>
      <c r="C5765" s="227" t="s">
        <v>452</v>
      </c>
      <c r="D5765" s="233" t="s">
        <v>23</v>
      </c>
      <c r="E5765" s="233" t="s">
        <v>126</v>
      </c>
      <c r="F5765" s="237" t="s">
        <v>2998</v>
      </c>
    </row>
    <row r="5766" spans="1:6" x14ac:dyDescent="0.25">
      <c r="A5766" s="227" t="str">
        <f>TL[[#This Row],[Société]]&amp;" - "&amp;TL[[#This Row],[Compte]]</f>
        <v>DIVES - 60261200</v>
      </c>
      <c r="B5766" s="233" t="s">
        <v>3548</v>
      </c>
      <c r="C5766" s="227" t="s">
        <v>6881</v>
      </c>
      <c r="D5766" s="242" t="s">
        <v>0</v>
      </c>
      <c r="E5766" s="243" t="s">
        <v>2964</v>
      </c>
      <c r="F5766" s="237" t="s">
        <v>2998</v>
      </c>
    </row>
    <row r="5767" spans="1:6" x14ac:dyDescent="0.25">
      <c r="A5767" s="227" t="str">
        <f>TL[[#This Row],[Société]]&amp;" - "&amp;TL[[#This Row],[Compte]]</f>
        <v>DIVES - 60310000</v>
      </c>
      <c r="B5767" s="233" t="s">
        <v>2618</v>
      </c>
      <c r="C5767" s="227" t="s">
        <v>310</v>
      </c>
      <c r="D5767" s="233" t="s">
        <v>126</v>
      </c>
      <c r="E5767" s="233" t="s">
        <v>123</v>
      </c>
      <c r="F5767" s="237" t="s">
        <v>2998</v>
      </c>
    </row>
    <row r="5768" spans="1:6" x14ac:dyDescent="0.25">
      <c r="A5768" s="227" t="str">
        <f>TL[[#This Row],[Société]]&amp;" - "&amp;TL[[#This Row],[Compte]]</f>
        <v>DIVES - 60320000</v>
      </c>
      <c r="B5768" s="233" t="s">
        <v>2624</v>
      </c>
      <c r="C5768" s="227" t="s">
        <v>396</v>
      </c>
      <c r="D5768" s="233" t="s">
        <v>123</v>
      </c>
      <c r="E5768" s="233" t="s">
        <v>126</v>
      </c>
      <c r="F5768" s="237" t="s">
        <v>2998</v>
      </c>
    </row>
    <row r="5769" spans="1:6" x14ac:dyDescent="0.25">
      <c r="A5769" s="227" t="str">
        <f>TL[[#This Row],[Société]]&amp;" - "&amp;TL[[#This Row],[Compte]]</f>
        <v>DIVES - 60320100</v>
      </c>
      <c r="B5769" s="233" t="s">
        <v>2742</v>
      </c>
      <c r="C5769" s="227" t="s">
        <v>6884</v>
      </c>
      <c r="D5769" s="233" t="s">
        <v>150</v>
      </c>
      <c r="E5769" s="233" t="s">
        <v>147</v>
      </c>
      <c r="F5769" s="237" t="s">
        <v>2998</v>
      </c>
    </row>
    <row r="5770" spans="1:6" x14ac:dyDescent="0.25">
      <c r="A5770" s="227" t="str">
        <f>TL[[#This Row],[Société]]&amp;" - "&amp;TL[[#This Row],[Compte]]</f>
        <v>DIVES - 60321000</v>
      </c>
      <c r="B5770" s="233" t="s">
        <v>6111</v>
      </c>
      <c r="C5770" s="227" t="s">
        <v>6882</v>
      </c>
      <c r="D5770" s="242" t="s">
        <v>0</v>
      </c>
      <c r="E5770" s="243" t="s">
        <v>2964</v>
      </c>
      <c r="F5770" s="237" t="s">
        <v>2998</v>
      </c>
    </row>
    <row r="5771" spans="1:6" x14ac:dyDescent="0.25">
      <c r="A5771" s="227" t="str">
        <f>TL[[#This Row],[Société]]&amp;" - "&amp;TL[[#This Row],[Compte]]</f>
        <v>DIVES - 60610100</v>
      </c>
      <c r="B5771" s="233" t="s">
        <v>2700</v>
      </c>
      <c r="C5771" s="227" t="s">
        <v>156</v>
      </c>
      <c r="D5771" s="233" t="s">
        <v>27</v>
      </c>
      <c r="E5771" s="233" t="s">
        <v>34</v>
      </c>
      <c r="F5771" s="237" t="s">
        <v>2998</v>
      </c>
    </row>
    <row r="5772" spans="1:6" x14ac:dyDescent="0.25">
      <c r="A5772" s="227" t="str">
        <f>TL[[#This Row],[Société]]&amp;" - "&amp;TL[[#This Row],[Compte]]</f>
        <v>DIVES - 60610300</v>
      </c>
      <c r="B5772" s="233" t="s">
        <v>2701</v>
      </c>
      <c r="C5772" s="227" t="s">
        <v>241</v>
      </c>
      <c r="D5772" s="233" t="s">
        <v>27</v>
      </c>
      <c r="E5772" s="233" t="s">
        <v>34</v>
      </c>
      <c r="F5772" s="237" t="s">
        <v>2998</v>
      </c>
    </row>
    <row r="5773" spans="1:6" x14ac:dyDescent="0.25">
      <c r="A5773" s="227" t="str">
        <f>TL[[#This Row],[Société]]&amp;" - "&amp;TL[[#This Row],[Compte]]</f>
        <v>DIVES - 60610500</v>
      </c>
      <c r="B5773" s="233" t="s">
        <v>3552</v>
      </c>
      <c r="C5773" s="227" t="s">
        <v>322</v>
      </c>
      <c r="D5773" s="233" t="s">
        <v>27</v>
      </c>
      <c r="E5773" s="233" t="s">
        <v>34</v>
      </c>
      <c r="F5773" s="237" t="s">
        <v>2998</v>
      </c>
    </row>
    <row r="5774" spans="1:6" x14ac:dyDescent="0.25">
      <c r="A5774" s="227" t="str">
        <f>TL[[#This Row],[Société]]&amp;" - "&amp;TL[[#This Row],[Compte]]</f>
        <v>DIVES - 60612000</v>
      </c>
      <c r="B5774" s="233" t="s">
        <v>6512</v>
      </c>
      <c r="C5774" s="227" t="s">
        <v>884</v>
      </c>
      <c r="F5774" s="237" t="s">
        <v>2998</v>
      </c>
    </row>
    <row r="5775" spans="1:6" x14ac:dyDescent="0.25">
      <c r="A5775" s="227" t="str">
        <f>TL[[#This Row],[Société]]&amp;" - "&amp;TL[[#This Row],[Compte]]</f>
        <v>DIVES - 60630000</v>
      </c>
      <c r="B5775" s="233" t="s">
        <v>2660</v>
      </c>
      <c r="C5775" s="227" t="s">
        <v>1153</v>
      </c>
      <c r="D5775" s="233" t="s">
        <v>25</v>
      </c>
      <c r="E5775" s="233" t="s">
        <v>23</v>
      </c>
      <c r="F5775" s="237" t="s">
        <v>2998</v>
      </c>
    </row>
    <row r="5776" spans="1:6" x14ac:dyDescent="0.25">
      <c r="A5776" s="227" t="str">
        <f>TL[[#This Row],[Société]]&amp;" - "&amp;TL[[#This Row],[Compte]]</f>
        <v>DIVES - 60630100</v>
      </c>
      <c r="B5776" s="233" t="s">
        <v>3553</v>
      </c>
      <c r="C5776" s="227" t="s">
        <v>885</v>
      </c>
      <c r="D5776" s="233" t="s">
        <v>23</v>
      </c>
      <c r="E5776" s="233" t="s">
        <v>2978</v>
      </c>
      <c r="F5776" s="237" t="s">
        <v>2998</v>
      </c>
    </row>
    <row r="5777" spans="1:6" x14ac:dyDescent="0.25">
      <c r="A5777" s="227" t="str">
        <f>TL[[#This Row],[Société]]&amp;" - "&amp;TL[[#This Row],[Compte]]</f>
        <v>DIVES - 60630200</v>
      </c>
      <c r="B5777" s="233" t="s">
        <v>2703</v>
      </c>
      <c r="C5777" s="227" t="s">
        <v>1365</v>
      </c>
      <c r="D5777" s="233" t="s">
        <v>23</v>
      </c>
      <c r="E5777" s="233" t="s">
        <v>2978</v>
      </c>
      <c r="F5777" s="237" t="s">
        <v>2998</v>
      </c>
    </row>
    <row r="5778" spans="1:6" x14ac:dyDescent="0.25">
      <c r="A5778" s="227" t="str">
        <f>TL[[#This Row],[Société]]&amp;" - "&amp;TL[[#This Row],[Compte]]</f>
        <v>DIVES - 60630300</v>
      </c>
      <c r="B5778" s="233" t="s">
        <v>3554</v>
      </c>
      <c r="C5778" s="227" t="s">
        <v>146</v>
      </c>
      <c r="D5778" s="233" t="s">
        <v>21</v>
      </c>
      <c r="E5778" s="233" t="s">
        <v>2982</v>
      </c>
      <c r="F5778" s="237" t="s">
        <v>2998</v>
      </c>
    </row>
    <row r="5779" spans="1:6" x14ac:dyDescent="0.25">
      <c r="A5779" s="227" t="str">
        <f>TL[[#This Row],[Société]]&amp;" - "&amp;TL[[#This Row],[Compte]]</f>
        <v>DIVES - 60630500</v>
      </c>
      <c r="B5779" s="233" t="s">
        <v>3555</v>
      </c>
      <c r="C5779" s="227" t="s">
        <v>1513</v>
      </c>
      <c r="D5779" s="233" t="s">
        <v>23</v>
      </c>
      <c r="E5779" s="233" t="s">
        <v>2978</v>
      </c>
      <c r="F5779" s="237" t="s">
        <v>2998</v>
      </c>
    </row>
    <row r="5780" spans="1:6" x14ac:dyDescent="0.25">
      <c r="A5780" s="227" t="str">
        <f>TL[[#This Row],[Société]]&amp;" - "&amp;TL[[#This Row],[Compte]]</f>
        <v>DIVES - 60640000</v>
      </c>
      <c r="B5780" s="233" t="s">
        <v>6113</v>
      </c>
      <c r="C5780" s="227" t="s">
        <v>886</v>
      </c>
      <c r="D5780" s="233" t="s">
        <v>147</v>
      </c>
      <c r="E5780" s="233" t="s">
        <v>288</v>
      </c>
      <c r="F5780" s="237" t="s">
        <v>2998</v>
      </c>
    </row>
    <row r="5781" spans="1:6" x14ac:dyDescent="0.25">
      <c r="A5781" s="227" t="str">
        <f>TL[[#This Row],[Société]]&amp;" - "&amp;TL[[#This Row],[Compte]]</f>
        <v>DIVES - 60640100</v>
      </c>
      <c r="B5781" s="233" t="s">
        <v>2704</v>
      </c>
      <c r="C5781" s="227" t="s">
        <v>382</v>
      </c>
      <c r="D5781" s="233" t="s">
        <v>29</v>
      </c>
      <c r="E5781" s="233" t="s">
        <v>2978</v>
      </c>
      <c r="F5781" s="237" t="s">
        <v>2998</v>
      </c>
    </row>
    <row r="5782" spans="1:6" x14ac:dyDescent="0.25">
      <c r="A5782" s="227" t="str">
        <f>TL[[#This Row],[Société]]&amp;" - "&amp;TL[[#This Row],[Compte]]</f>
        <v>DIVES - 60680000</v>
      </c>
      <c r="B5782" s="233" t="s">
        <v>3557</v>
      </c>
      <c r="C5782" s="227" t="s">
        <v>267</v>
      </c>
      <c r="D5782" s="233" t="s">
        <v>50</v>
      </c>
      <c r="E5782" s="233" t="s">
        <v>52</v>
      </c>
      <c r="F5782" s="237" t="s">
        <v>2998</v>
      </c>
    </row>
    <row r="5783" spans="1:6" x14ac:dyDescent="0.25">
      <c r="A5783" s="227" t="str">
        <f>TL[[#This Row],[Société]]&amp;" - "&amp;TL[[#This Row],[Compte]]</f>
        <v>DIVES - 60910000</v>
      </c>
      <c r="B5783" s="233" t="s">
        <v>3558</v>
      </c>
      <c r="C5783" s="227" t="s">
        <v>401</v>
      </c>
      <c r="D5783" s="233" t="s">
        <v>126</v>
      </c>
      <c r="E5783" s="233" t="s">
        <v>123</v>
      </c>
      <c r="F5783" s="237" t="s">
        <v>2998</v>
      </c>
    </row>
    <row r="5784" spans="1:6" x14ac:dyDescent="0.25">
      <c r="A5784" s="227" t="str">
        <f>TL[[#This Row],[Société]]&amp;" - "&amp;TL[[#This Row],[Compte]]</f>
        <v>DIVES - 61100100</v>
      </c>
      <c r="B5784" s="233" t="s">
        <v>3560</v>
      </c>
      <c r="C5784" s="227" t="s">
        <v>887</v>
      </c>
      <c r="D5784" s="233" t="s">
        <v>20</v>
      </c>
      <c r="E5784" s="233" t="s">
        <v>25</v>
      </c>
      <c r="F5784" s="237" t="s">
        <v>2998</v>
      </c>
    </row>
    <row r="5785" spans="1:6" x14ac:dyDescent="0.25">
      <c r="A5785" s="227" t="str">
        <f>TL[[#This Row],[Société]]&amp;" - "&amp;TL[[#This Row],[Compte]]</f>
        <v>DIVES - 61100500</v>
      </c>
      <c r="B5785" s="233" t="s">
        <v>3562</v>
      </c>
      <c r="C5785" s="227" t="s">
        <v>1158</v>
      </c>
      <c r="D5785" s="233" t="s">
        <v>20</v>
      </c>
      <c r="E5785" s="233" t="s">
        <v>25</v>
      </c>
      <c r="F5785" s="237" t="s">
        <v>2998</v>
      </c>
    </row>
    <row r="5786" spans="1:6" x14ac:dyDescent="0.25">
      <c r="A5786" s="227" t="str">
        <f>TL[[#This Row],[Société]]&amp;" - "&amp;TL[[#This Row],[Compte]]</f>
        <v>DIVES - 61110000</v>
      </c>
      <c r="B5786" s="233" t="s">
        <v>3563</v>
      </c>
      <c r="C5786" s="227" t="s">
        <v>1555</v>
      </c>
      <c r="D5786" s="233" t="s">
        <v>39</v>
      </c>
      <c r="E5786" s="233" t="s">
        <v>25</v>
      </c>
      <c r="F5786" s="237" t="s">
        <v>2998</v>
      </c>
    </row>
    <row r="5787" spans="1:6" x14ac:dyDescent="0.25">
      <c r="A5787" s="227" t="str">
        <f>TL[[#This Row],[Société]]&amp;" - "&amp;TL[[#This Row],[Compte]]</f>
        <v>DIVES - 61300000</v>
      </c>
      <c r="B5787" s="233" t="s">
        <v>3564</v>
      </c>
      <c r="C5787" s="227" t="s">
        <v>888</v>
      </c>
      <c r="F5787" s="237" t="s">
        <v>2998</v>
      </c>
    </row>
    <row r="5788" spans="1:6" x14ac:dyDescent="0.25">
      <c r="A5788" s="227" t="str">
        <f>TL[[#This Row],[Société]]&amp;" - "&amp;TL[[#This Row],[Compte]]</f>
        <v>DIVES - 61300300</v>
      </c>
      <c r="B5788" s="233" t="s">
        <v>6513</v>
      </c>
      <c r="C5788" s="227" t="s">
        <v>318</v>
      </c>
      <c r="D5788" s="233" t="s">
        <v>20</v>
      </c>
      <c r="E5788" s="233" t="s">
        <v>25</v>
      </c>
      <c r="F5788" s="237" t="s">
        <v>2998</v>
      </c>
    </row>
    <row r="5789" spans="1:6" x14ac:dyDescent="0.25">
      <c r="A5789" s="227" t="str">
        <f>TL[[#This Row],[Société]]&amp;" - "&amp;TL[[#This Row],[Compte]]</f>
        <v>DIVES - 61300400</v>
      </c>
      <c r="B5789" s="233" t="s">
        <v>3565</v>
      </c>
      <c r="C5789" s="227" t="s">
        <v>1366</v>
      </c>
      <c r="D5789" s="233" t="s">
        <v>35</v>
      </c>
      <c r="E5789" s="233" t="s">
        <v>42</v>
      </c>
      <c r="F5789" s="237" t="s">
        <v>2998</v>
      </c>
    </row>
    <row r="5790" spans="1:6" x14ac:dyDescent="0.25">
      <c r="A5790" s="227" t="str">
        <f>TL[[#This Row],[Société]]&amp;" - "&amp;TL[[#This Row],[Compte]]</f>
        <v>DIVES - 61300500</v>
      </c>
      <c r="B5790" s="233" t="s">
        <v>3566</v>
      </c>
      <c r="C5790" s="227" t="s">
        <v>889</v>
      </c>
      <c r="D5790" s="233" t="s">
        <v>20</v>
      </c>
      <c r="E5790" s="233" t="s">
        <v>25</v>
      </c>
      <c r="F5790" s="237" t="s">
        <v>2998</v>
      </c>
    </row>
    <row r="5791" spans="1:6" x14ac:dyDescent="0.25">
      <c r="A5791" s="227" t="str">
        <f>TL[[#This Row],[Société]]&amp;" - "&amp;TL[[#This Row],[Compte]]</f>
        <v>DIVES - 61300600</v>
      </c>
      <c r="B5791" s="233" t="s">
        <v>3567</v>
      </c>
      <c r="C5791" s="227" t="s">
        <v>890</v>
      </c>
      <c r="D5791" s="233" t="s">
        <v>20</v>
      </c>
      <c r="E5791" s="233" t="s">
        <v>25</v>
      </c>
      <c r="F5791" s="237" t="s">
        <v>2998</v>
      </c>
    </row>
    <row r="5792" spans="1:6" x14ac:dyDescent="0.25">
      <c r="A5792" s="227" t="str">
        <f>TL[[#This Row],[Société]]&amp;" - "&amp;TL[[#This Row],[Compte]]</f>
        <v>DIVES - 61300700</v>
      </c>
      <c r="B5792" s="233" t="s">
        <v>3568</v>
      </c>
      <c r="C5792" s="227" t="s">
        <v>891</v>
      </c>
      <c r="D5792" s="233" t="s">
        <v>20</v>
      </c>
      <c r="E5792" s="233" t="s">
        <v>25</v>
      </c>
      <c r="F5792" s="237" t="s">
        <v>2998</v>
      </c>
    </row>
    <row r="5793" spans="1:6" x14ac:dyDescent="0.25">
      <c r="A5793" s="227" t="str">
        <f>TL[[#This Row],[Société]]&amp;" - "&amp;TL[[#This Row],[Compte]]</f>
        <v>DIVES - 61300800</v>
      </c>
      <c r="B5793" s="233" t="s">
        <v>3569</v>
      </c>
      <c r="C5793" s="227" t="s">
        <v>219</v>
      </c>
      <c r="D5793" s="233" t="s">
        <v>20</v>
      </c>
      <c r="E5793" s="233" t="s">
        <v>25</v>
      </c>
      <c r="F5793" s="237" t="s">
        <v>2998</v>
      </c>
    </row>
    <row r="5794" spans="1:6" x14ac:dyDescent="0.25">
      <c r="A5794" s="227" t="str">
        <f>TL[[#This Row],[Société]]&amp;" - "&amp;TL[[#This Row],[Compte]]</f>
        <v>DIVES - 61300900</v>
      </c>
      <c r="B5794" s="233" t="s">
        <v>3570</v>
      </c>
      <c r="C5794" s="227" t="s">
        <v>414</v>
      </c>
      <c r="D5794" s="233" t="s">
        <v>50</v>
      </c>
      <c r="E5794" s="233" t="s">
        <v>50</v>
      </c>
      <c r="F5794" s="237" t="s">
        <v>2998</v>
      </c>
    </row>
    <row r="5795" spans="1:6" x14ac:dyDescent="0.25">
      <c r="A5795" s="227" t="str">
        <f>TL[[#This Row],[Société]]&amp;" - "&amp;TL[[#This Row],[Compte]]</f>
        <v>DIVES - 61301000</v>
      </c>
      <c r="B5795" s="233" t="s">
        <v>6514</v>
      </c>
      <c r="C5795" s="227" t="s">
        <v>394</v>
      </c>
      <c r="D5795" s="233" t="s">
        <v>20</v>
      </c>
      <c r="E5795" s="233" t="s">
        <v>25</v>
      </c>
      <c r="F5795" s="237" t="s">
        <v>2998</v>
      </c>
    </row>
    <row r="5796" spans="1:6" x14ac:dyDescent="0.25">
      <c r="A5796" s="227" t="str">
        <f>TL[[#This Row],[Société]]&amp;" - "&amp;TL[[#This Row],[Compte]]</f>
        <v>DIVES - 61301100</v>
      </c>
      <c r="B5796" s="233" t="s">
        <v>6515</v>
      </c>
      <c r="C5796" s="227" t="s">
        <v>393</v>
      </c>
      <c r="D5796" s="233" t="s">
        <v>50</v>
      </c>
      <c r="E5796" s="233" t="s">
        <v>50</v>
      </c>
      <c r="F5796" s="237" t="s">
        <v>2998</v>
      </c>
    </row>
    <row r="5797" spans="1:6" x14ac:dyDescent="0.25">
      <c r="A5797" s="227" t="str">
        <f>TL[[#This Row],[Société]]&amp;" - "&amp;TL[[#This Row],[Compte]]</f>
        <v>DIVES - 61301200</v>
      </c>
      <c r="B5797" s="233" t="s">
        <v>6516</v>
      </c>
      <c r="C5797" s="227" t="s">
        <v>441</v>
      </c>
      <c r="D5797" s="233" t="s">
        <v>50</v>
      </c>
      <c r="E5797" s="233" t="s">
        <v>52</v>
      </c>
      <c r="F5797" s="237" t="s">
        <v>2998</v>
      </c>
    </row>
    <row r="5798" spans="1:6" x14ac:dyDescent="0.25">
      <c r="A5798" s="227" t="str">
        <f>TL[[#This Row],[Société]]&amp;" - "&amp;TL[[#This Row],[Compte]]</f>
        <v>DIVES - 61301300</v>
      </c>
      <c r="B5798" s="233" t="s">
        <v>6517</v>
      </c>
      <c r="C5798" s="227" t="s">
        <v>1514</v>
      </c>
      <c r="D5798" s="233" t="s">
        <v>50</v>
      </c>
      <c r="E5798" s="233" t="s">
        <v>52</v>
      </c>
      <c r="F5798" s="237" t="s">
        <v>2998</v>
      </c>
    </row>
    <row r="5799" spans="1:6" x14ac:dyDescent="0.25">
      <c r="A5799" s="227" t="str">
        <f>TL[[#This Row],[Société]]&amp;" - "&amp;TL[[#This Row],[Compte]]</f>
        <v>DIVES - 61301400</v>
      </c>
      <c r="B5799" s="233" t="s">
        <v>6518</v>
      </c>
      <c r="C5799" s="227" t="s">
        <v>1515</v>
      </c>
      <c r="D5799" s="233" t="s">
        <v>50</v>
      </c>
      <c r="E5799" s="233" t="s">
        <v>50</v>
      </c>
      <c r="F5799" s="237" t="s">
        <v>2998</v>
      </c>
    </row>
    <row r="5800" spans="1:6" x14ac:dyDescent="0.25">
      <c r="A5800" s="227" t="str">
        <f>TL[[#This Row],[Société]]&amp;" - "&amp;TL[[#This Row],[Compte]]</f>
        <v>DIVES - 61301500</v>
      </c>
      <c r="B5800" s="233" t="s">
        <v>2726</v>
      </c>
      <c r="C5800" s="227" t="s">
        <v>2106</v>
      </c>
      <c r="D5800" s="233" t="s">
        <v>50</v>
      </c>
      <c r="E5800" s="233" t="s">
        <v>52</v>
      </c>
      <c r="F5800" s="237" t="s">
        <v>2998</v>
      </c>
    </row>
    <row r="5801" spans="1:6" x14ac:dyDescent="0.25">
      <c r="A5801" s="227" t="str">
        <f>TL[[#This Row],[Société]]&amp;" - "&amp;TL[[#This Row],[Compte]]</f>
        <v>DIVES - 61301600</v>
      </c>
      <c r="B5801" s="233" t="s">
        <v>6519</v>
      </c>
      <c r="C5801" s="227" t="s">
        <v>2108</v>
      </c>
      <c r="D5801" s="233" t="s">
        <v>50</v>
      </c>
      <c r="E5801" s="233" t="s">
        <v>52</v>
      </c>
      <c r="F5801" s="237" t="s">
        <v>2998</v>
      </c>
    </row>
    <row r="5802" spans="1:6" x14ac:dyDescent="0.25">
      <c r="A5802" s="227" t="str">
        <f>TL[[#This Row],[Société]]&amp;" - "&amp;TL[[#This Row],[Compte]]</f>
        <v>DIVES - 61301700</v>
      </c>
      <c r="B5802" s="233" t="s">
        <v>2727</v>
      </c>
      <c r="C5802" s="227" t="s">
        <v>2109</v>
      </c>
      <c r="D5802" s="233" t="s">
        <v>50</v>
      </c>
      <c r="E5802" s="233" t="s">
        <v>52</v>
      </c>
      <c r="F5802" s="237" t="s">
        <v>2998</v>
      </c>
    </row>
    <row r="5803" spans="1:6" x14ac:dyDescent="0.25">
      <c r="A5803" s="227" t="str">
        <f>TL[[#This Row],[Société]]&amp;" - "&amp;TL[[#This Row],[Compte]]</f>
        <v>DIVES - 61310100</v>
      </c>
      <c r="B5803" s="233" t="s">
        <v>6520</v>
      </c>
      <c r="C5803" s="227" t="s">
        <v>892</v>
      </c>
      <c r="F5803" s="237" t="s">
        <v>2998</v>
      </c>
    </row>
    <row r="5804" spans="1:6" x14ac:dyDescent="0.25">
      <c r="A5804" s="227" t="str">
        <f>TL[[#This Row],[Société]]&amp;" - "&amp;TL[[#This Row],[Compte]]</f>
        <v>DIVES - 61320000</v>
      </c>
      <c r="B5804" s="233" t="s">
        <v>2709</v>
      </c>
      <c r="C5804" s="227" t="s">
        <v>1516</v>
      </c>
      <c r="D5804" s="233" t="s">
        <v>35</v>
      </c>
      <c r="E5804" s="233" t="s">
        <v>2985</v>
      </c>
      <c r="F5804" s="237" t="s">
        <v>2998</v>
      </c>
    </row>
    <row r="5805" spans="1:6" x14ac:dyDescent="0.25">
      <c r="A5805" s="227" t="str">
        <f>TL[[#This Row],[Société]]&amp;" - "&amp;TL[[#This Row],[Compte]]</f>
        <v>DIVES - 61321000</v>
      </c>
      <c r="B5805" s="233" t="s">
        <v>2663</v>
      </c>
      <c r="C5805" s="227" t="s">
        <v>1440</v>
      </c>
      <c r="D5805" s="233" t="s">
        <v>20</v>
      </c>
      <c r="E5805" s="233" t="s">
        <v>25</v>
      </c>
      <c r="F5805" s="237" t="s">
        <v>2998</v>
      </c>
    </row>
    <row r="5806" spans="1:6" x14ac:dyDescent="0.25">
      <c r="A5806" s="227" t="str">
        <f>TL[[#This Row],[Société]]&amp;" - "&amp;TL[[#This Row],[Compte]]</f>
        <v>DIVES - 61322000</v>
      </c>
      <c r="B5806" s="233" t="s">
        <v>6521</v>
      </c>
      <c r="C5806" s="227" t="s">
        <v>1517</v>
      </c>
      <c r="D5806" s="233" t="s">
        <v>50</v>
      </c>
      <c r="E5806" s="233" t="s">
        <v>52</v>
      </c>
      <c r="F5806" s="237" t="s">
        <v>2998</v>
      </c>
    </row>
    <row r="5807" spans="1:6" x14ac:dyDescent="0.25">
      <c r="A5807" s="227" t="str">
        <f>TL[[#This Row],[Société]]&amp;" - "&amp;TL[[#This Row],[Compte]]</f>
        <v>DIVES - 61322300</v>
      </c>
      <c r="B5807" s="233" t="s">
        <v>6924</v>
      </c>
      <c r="C5807" s="227" t="s">
        <v>6920</v>
      </c>
      <c r="D5807" s="233" t="s">
        <v>20</v>
      </c>
      <c r="E5807" s="233" t="s">
        <v>25</v>
      </c>
      <c r="F5807" s="237" t="s">
        <v>2998</v>
      </c>
    </row>
    <row r="5808" spans="1:6" x14ac:dyDescent="0.25">
      <c r="A5808" s="227" t="str">
        <f>TL[[#This Row],[Société]]&amp;" - "&amp;TL[[#This Row],[Compte]]</f>
        <v>DIVES - 61400000</v>
      </c>
      <c r="B5808" s="233" t="s">
        <v>3587</v>
      </c>
      <c r="C5808" s="227" t="s">
        <v>1343</v>
      </c>
      <c r="D5808" s="233" t="s">
        <v>42</v>
      </c>
      <c r="E5808" s="233" t="s">
        <v>40</v>
      </c>
      <c r="F5808" s="237" t="s">
        <v>2998</v>
      </c>
    </row>
    <row r="5809" spans="1:6" x14ac:dyDescent="0.25">
      <c r="A5809" s="227" t="str">
        <f>TL[[#This Row],[Société]]&amp;" - "&amp;TL[[#This Row],[Compte]]</f>
        <v>DIVES - 61410000</v>
      </c>
      <c r="B5809" s="233" t="s">
        <v>2712</v>
      </c>
      <c r="C5809" s="227" t="s">
        <v>434</v>
      </c>
      <c r="D5809" s="233" t="s">
        <v>42</v>
      </c>
      <c r="E5809" s="233" t="s">
        <v>40</v>
      </c>
      <c r="F5809" s="237" t="s">
        <v>2998</v>
      </c>
    </row>
    <row r="5810" spans="1:6" x14ac:dyDescent="0.25">
      <c r="A5810" s="227" t="str">
        <f>TL[[#This Row],[Société]]&amp;" - "&amp;TL[[#This Row],[Compte]]</f>
        <v>DIVES - 61500100</v>
      </c>
      <c r="B5810" s="233" t="s">
        <v>3589</v>
      </c>
      <c r="C5810" s="227" t="s">
        <v>893</v>
      </c>
      <c r="D5810" s="233" t="s">
        <v>25</v>
      </c>
      <c r="E5810" s="233" t="s">
        <v>23</v>
      </c>
      <c r="F5810" s="237" t="s">
        <v>2998</v>
      </c>
    </row>
    <row r="5811" spans="1:6" x14ac:dyDescent="0.25">
      <c r="A5811" s="227" t="str">
        <f>TL[[#This Row],[Société]]&amp;" - "&amp;TL[[#This Row],[Compte]]</f>
        <v>DIVES - 61500200</v>
      </c>
      <c r="B5811" s="233" t="s">
        <v>6522</v>
      </c>
      <c r="C5811" s="227" t="s">
        <v>894</v>
      </c>
      <c r="D5811" s="233" t="s">
        <v>25</v>
      </c>
      <c r="E5811" s="233" t="s">
        <v>23</v>
      </c>
      <c r="F5811" s="237" t="s">
        <v>2998</v>
      </c>
    </row>
    <row r="5812" spans="1:6" x14ac:dyDescent="0.25">
      <c r="A5812" s="227" t="str">
        <f>TL[[#This Row],[Société]]&amp;" - "&amp;TL[[#This Row],[Compte]]</f>
        <v>DIVES - 61500300</v>
      </c>
      <c r="B5812" s="233" t="s">
        <v>3590</v>
      </c>
      <c r="C5812" s="227" t="s">
        <v>895</v>
      </c>
      <c r="D5812" s="233" t="s">
        <v>25</v>
      </c>
      <c r="E5812" s="233" t="s">
        <v>25</v>
      </c>
      <c r="F5812" s="237" t="s">
        <v>2998</v>
      </c>
    </row>
    <row r="5813" spans="1:6" x14ac:dyDescent="0.25">
      <c r="A5813" s="227" t="str">
        <f>TL[[#This Row],[Société]]&amp;" - "&amp;TL[[#This Row],[Compte]]</f>
        <v>DIVES - 61500400</v>
      </c>
      <c r="B5813" s="233" t="s">
        <v>3591</v>
      </c>
      <c r="C5813" s="227" t="s">
        <v>1313</v>
      </c>
      <c r="D5813" s="233" t="s">
        <v>20</v>
      </c>
      <c r="E5813" s="233" t="s">
        <v>20</v>
      </c>
      <c r="F5813" s="237" t="s">
        <v>2998</v>
      </c>
    </row>
    <row r="5814" spans="1:6" x14ac:dyDescent="0.25">
      <c r="A5814" s="227" t="str">
        <f>TL[[#This Row],[Société]]&amp;" - "&amp;TL[[#This Row],[Compte]]</f>
        <v>DIVES - 61500500</v>
      </c>
      <c r="B5814" s="233" t="s">
        <v>6135</v>
      </c>
      <c r="C5814" s="227" t="s">
        <v>608</v>
      </c>
      <c r="D5814" s="233" t="s">
        <v>20</v>
      </c>
      <c r="E5814" s="233" t="s">
        <v>25</v>
      </c>
      <c r="F5814" s="237" t="s">
        <v>2998</v>
      </c>
    </row>
    <row r="5815" spans="1:6" x14ac:dyDescent="0.25">
      <c r="A5815" s="227" t="str">
        <f>TL[[#This Row],[Société]]&amp;" - "&amp;TL[[#This Row],[Compte]]</f>
        <v>DIVES - 61500600</v>
      </c>
      <c r="B5815" s="233" t="s">
        <v>3592</v>
      </c>
      <c r="C5815" s="227" t="s">
        <v>742</v>
      </c>
      <c r="D5815" s="233" t="s">
        <v>20</v>
      </c>
      <c r="E5815" s="233" t="s">
        <v>25</v>
      </c>
      <c r="F5815" s="237" t="s">
        <v>2998</v>
      </c>
    </row>
    <row r="5816" spans="1:6" x14ac:dyDescent="0.25">
      <c r="A5816" s="227" t="str">
        <f>TL[[#This Row],[Société]]&amp;" - "&amp;TL[[#This Row],[Compte]]</f>
        <v>DIVES - 61501100</v>
      </c>
      <c r="B5816" s="233" t="s">
        <v>3593</v>
      </c>
      <c r="C5816" s="227" t="s">
        <v>609</v>
      </c>
      <c r="D5816" s="233" t="s">
        <v>20</v>
      </c>
      <c r="E5816" s="233" t="s">
        <v>25</v>
      </c>
      <c r="F5816" s="237" t="s">
        <v>2998</v>
      </c>
    </row>
    <row r="5817" spans="1:6" x14ac:dyDescent="0.25">
      <c r="A5817" s="227" t="str">
        <f>TL[[#This Row],[Société]]&amp;" - "&amp;TL[[#This Row],[Compte]]</f>
        <v>DIVES - 61501200</v>
      </c>
      <c r="B5817" s="233" t="s">
        <v>3594</v>
      </c>
      <c r="C5817" s="227" t="s">
        <v>1367</v>
      </c>
      <c r="D5817" s="233" t="s">
        <v>20</v>
      </c>
      <c r="E5817" s="233" t="s">
        <v>25</v>
      </c>
      <c r="F5817" s="237" t="s">
        <v>2998</v>
      </c>
    </row>
    <row r="5818" spans="1:6" x14ac:dyDescent="0.25">
      <c r="A5818" s="227" t="str">
        <f>TL[[#This Row],[Société]]&amp;" - "&amp;TL[[#This Row],[Compte]]</f>
        <v>DIVES - 61501600</v>
      </c>
      <c r="B5818" s="233" t="s">
        <v>3595</v>
      </c>
      <c r="C5818" s="227" t="s">
        <v>1316</v>
      </c>
      <c r="D5818" s="233" t="s">
        <v>20</v>
      </c>
      <c r="E5818" s="233" t="s">
        <v>25</v>
      </c>
      <c r="F5818" s="237" t="s">
        <v>2998</v>
      </c>
    </row>
    <row r="5819" spans="1:6" x14ac:dyDescent="0.25">
      <c r="A5819" s="227" t="str">
        <f>TL[[#This Row],[Société]]&amp;" - "&amp;TL[[#This Row],[Compte]]</f>
        <v>DIVES - 61501700</v>
      </c>
      <c r="B5819" s="233" t="s">
        <v>3596</v>
      </c>
      <c r="C5819" s="227" t="s">
        <v>896</v>
      </c>
      <c r="D5819" s="233" t="s">
        <v>20</v>
      </c>
      <c r="E5819" s="233" t="s">
        <v>25</v>
      </c>
      <c r="F5819" s="237" t="s">
        <v>2998</v>
      </c>
    </row>
    <row r="5820" spans="1:6" x14ac:dyDescent="0.25">
      <c r="A5820" s="227" t="str">
        <f>TL[[#This Row],[Société]]&amp;" - "&amp;TL[[#This Row],[Compte]]</f>
        <v>DIVES - 61520000</v>
      </c>
      <c r="B5820" s="233" t="s">
        <v>3597</v>
      </c>
      <c r="C5820" s="227" t="s">
        <v>154</v>
      </c>
      <c r="D5820" s="233" t="s">
        <v>20</v>
      </c>
      <c r="E5820" s="233" t="s">
        <v>25</v>
      </c>
      <c r="F5820" s="237" t="s">
        <v>2998</v>
      </c>
    </row>
    <row r="5821" spans="1:6" x14ac:dyDescent="0.25">
      <c r="A5821" s="227" t="str">
        <f>TL[[#This Row],[Société]]&amp;" - "&amp;TL[[#This Row],[Compte]]</f>
        <v>DIVES - 61521000</v>
      </c>
      <c r="B5821" s="233" t="s">
        <v>2651</v>
      </c>
      <c r="C5821" s="227" t="s">
        <v>260</v>
      </c>
      <c r="D5821" s="233" t="s">
        <v>20</v>
      </c>
      <c r="E5821" s="233" t="s">
        <v>18</v>
      </c>
      <c r="F5821" s="237" t="s">
        <v>2998</v>
      </c>
    </row>
    <row r="5822" spans="1:6" x14ac:dyDescent="0.25">
      <c r="A5822" s="227" t="str">
        <f>TL[[#This Row],[Société]]&amp;" - "&amp;TL[[#This Row],[Compte]]</f>
        <v>DIVES - 61550000</v>
      </c>
      <c r="B5822" s="233" t="s">
        <v>3599</v>
      </c>
      <c r="C5822" s="227" t="s">
        <v>387</v>
      </c>
      <c r="D5822" s="233" t="s">
        <v>25</v>
      </c>
      <c r="E5822" s="233" t="s">
        <v>23</v>
      </c>
      <c r="F5822" s="237" t="s">
        <v>2998</v>
      </c>
    </row>
    <row r="5823" spans="1:6" x14ac:dyDescent="0.25">
      <c r="A5823" s="227" t="str">
        <f>TL[[#This Row],[Société]]&amp;" - "&amp;TL[[#This Row],[Compte]]</f>
        <v>DIVES - 61552000</v>
      </c>
      <c r="B5823" s="233" t="s">
        <v>3600</v>
      </c>
      <c r="C5823" s="227" t="s">
        <v>308</v>
      </c>
      <c r="D5823" s="233" t="s">
        <v>25</v>
      </c>
      <c r="E5823" s="233" t="s">
        <v>23</v>
      </c>
      <c r="F5823" s="237" t="s">
        <v>2998</v>
      </c>
    </row>
    <row r="5824" spans="1:6" x14ac:dyDescent="0.25">
      <c r="A5824" s="227" t="str">
        <f>TL[[#This Row],[Société]]&amp;" - "&amp;TL[[#This Row],[Compte]]</f>
        <v>DIVES - 61552100</v>
      </c>
      <c r="B5824" s="233" t="s">
        <v>3601</v>
      </c>
      <c r="C5824" s="227" t="s">
        <v>897</v>
      </c>
      <c r="D5824" s="233" t="s">
        <v>50</v>
      </c>
      <c r="E5824" s="233" t="s">
        <v>23</v>
      </c>
      <c r="F5824" s="237" t="s">
        <v>2998</v>
      </c>
    </row>
    <row r="5825" spans="1:6" x14ac:dyDescent="0.25">
      <c r="A5825" s="227" t="str">
        <f>TL[[#This Row],[Société]]&amp;" - "&amp;TL[[#This Row],[Compte]]</f>
        <v>DIVES - 61560000</v>
      </c>
      <c r="B5825" s="233" t="s">
        <v>2666</v>
      </c>
      <c r="C5825" s="227" t="s">
        <v>419</v>
      </c>
      <c r="D5825" s="233" t="s">
        <v>20</v>
      </c>
      <c r="E5825" s="233" t="s">
        <v>25</v>
      </c>
      <c r="F5825" s="237" t="s">
        <v>2998</v>
      </c>
    </row>
    <row r="5826" spans="1:6" x14ac:dyDescent="0.25">
      <c r="A5826" s="227" t="str">
        <f>TL[[#This Row],[Société]]&amp;" - "&amp;TL[[#This Row],[Compte]]</f>
        <v>DIVES - 61561000</v>
      </c>
      <c r="B5826" s="233" t="s">
        <v>2667</v>
      </c>
      <c r="C5826" s="227" t="s">
        <v>234</v>
      </c>
      <c r="D5826" s="233" t="s">
        <v>20</v>
      </c>
      <c r="E5826" s="233" t="s">
        <v>25</v>
      </c>
      <c r="F5826" s="237" t="s">
        <v>2998</v>
      </c>
    </row>
    <row r="5827" spans="1:6" x14ac:dyDescent="0.25">
      <c r="A5827" s="227" t="str">
        <f>TL[[#This Row],[Société]]&amp;" - "&amp;TL[[#This Row],[Compte]]</f>
        <v>DIVES - 61561100</v>
      </c>
      <c r="B5827" s="233" t="s">
        <v>2668</v>
      </c>
      <c r="C5827" s="227" t="s">
        <v>1368</v>
      </c>
      <c r="D5827" s="233" t="s">
        <v>20</v>
      </c>
      <c r="E5827" s="233" t="s">
        <v>25</v>
      </c>
      <c r="F5827" s="237" t="s">
        <v>2998</v>
      </c>
    </row>
    <row r="5828" spans="1:6" x14ac:dyDescent="0.25">
      <c r="A5828" s="227" t="str">
        <f>TL[[#This Row],[Société]]&amp;" - "&amp;TL[[#This Row],[Compte]]</f>
        <v>DIVES - 61561200</v>
      </c>
      <c r="B5828" s="233" t="s">
        <v>2669</v>
      </c>
      <c r="C5828" s="227" t="s">
        <v>404</v>
      </c>
      <c r="D5828" s="233" t="s">
        <v>20</v>
      </c>
      <c r="E5828" s="233" t="s">
        <v>25</v>
      </c>
      <c r="F5828" s="237" t="s">
        <v>2998</v>
      </c>
    </row>
    <row r="5829" spans="1:6" x14ac:dyDescent="0.25">
      <c r="A5829" s="227" t="str">
        <f>TL[[#This Row],[Société]]&amp;" - "&amp;TL[[#This Row],[Compte]]</f>
        <v>DIVES - 61561300</v>
      </c>
      <c r="B5829" s="233" t="s">
        <v>2670</v>
      </c>
      <c r="C5829" s="227" t="s">
        <v>239</v>
      </c>
      <c r="D5829" s="233" t="s">
        <v>20</v>
      </c>
      <c r="E5829" s="233" t="s">
        <v>25</v>
      </c>
      <c r="F5829" s="237" t="s">
        <v>2998</v>
      </c>
    </row>
    <row r="5830" spans="1:6" x14ac:dyDescent="0.25">
      <c r="A5830" s="227" t="str">
        <f>TL[[#This Row],[Société]]&amp;" - "&amp;TL[[#This Row],[Compte]]</f>
        <v>DIVES - 61561400</v>
      </c>
      <c r="B5830" s="233" t="s">
        <v>3603</v>
      </c>
      <c r="C5830" s="227" t="s">
        <v>1317</v>
      </c>
      <c r="D5830" s="233" t="s">
        <v>20</v>
      </c>
      <c r="E5830" s="233" t="s">
        <v>25</v>
      </c>
      <c r="F5830" s="237" t="s">
        <v>2998</v>
      </c>
    </row>
    <row r="5831" spans="1:6" x14ac:dyDescent="0.25">
      <c r="A5831" s="227" t="str">
        <f>TL[[#This Row],[Société]]&amp;" - "&amp;TL[[#This Row],[Compte]]</f>
        <v>DIVES - 61561500</v>
      </c>
      <c r="B5831" s="233" t="s">
        <v>2652</v>
      </c>
      <c r="C5831" s="227" t="s">
        <v>240</v>
      </c>
      <c r="D5831" s="233" t="s">
        <v>20</v>
      </c>
      <c r="E5831" s="233" t="s">
        <v>25</v>
      </c>
      <c r="F5831" s="237" t="s">
        <v>2998</v>
      </c>
    </row>
    <row r="5832" spans="1:6" x14ac:dyDescent="0.25">
      <c r="A5832" s="227" t="str">
        <f>TL[[#This Row],[Société]]&amp;" - "&amp;TL[[#This Row],[Compte]]</f>
        <v>DIVES - 61561600</v>
      </c>
      <c r="B5832" s="233" t="s">
        <v>2671</v>
      </c>
      <c r="C5832" s="227" t="s">
        <v>229</v>
      </c>
      <c r="D5832" s="233" t="s">
        <v>20</v>
      </c>
      <c r="E5832" s="233" t="s">
        <v>25</v>
      </c>
      <c r="F5832" s="237" t="s">
        <v>2998</v>
      </c>
    </row>
    <row r="5833" spans="1:6" x14ac:dyDescent="0.25">
      <c r="A5833" s="227" t="str">
        <f>TL[[#This Row],[Société]]&amp;" - "&amp;TL[[#This Row],[Compte]]</f>
        <v>DIVES - 61561700</v>
      </c>
      <c r="B5833" s="233" t="s">
        <v>3604</v>
      </c>
      <c r="C5833" s="227" t="s">
        <v>285</v>
      </c>
      <c r="D5833" s="233" t="s">
        <v>20</v>
      </c>
      <c r="E5833" s="233" t="s">
        <v>25</v>
      </c>
      <c r="F5833" s="237" t="s">
        <v>2998</v>
      </c>
    </row>
    <row r="5834" spans="1:6" x14ac:dyDescent="0.25">
      <c r="A5834" s="227" t="str">
        <f>TL[[#This Row],[Société]]&amp;" - "&amp;TL[[#This Row],[Compte]]</f>
        <v>DIVES - 61561800</v>
      </c>
      <c r="B5834" s="233" t="s">
        <v>2672</v>
      </c>
      <c r="C5834" s="227" t="s">
        <v>233</v>
      </c>
      <c r="D5834" s="233" t="s">
        <v>20</v>
      </c>
      <c r="E5834" s="233" t="s">
        <v>25</v>
      </c>
      <c r="F5834" s="237" t="s">
        <v>2998</v>
      </c>
    </row>
    <row r="5835" spans="1:6" x14ac:dyDescent="0.25">
      <c r="A5835" s="227" t="str">
        <f>TL[[#This Row],[Société]]&amp;" - "&amp;TL[[#This Row],[Compte]]</f>
        <v>DIVES - 61561900</v>
      </c>
      <c r="B5835" s="233" t="s">
        <v>3605</v>
      </c>
      <c r="C5835" s="227" t="s">
        <v>6921</v>
      </c>
      <c r="D5835" s="233" t="s">
        <v>20</v>
      </c>
      <c r="E5835" s="233" t="s">
        <v>18</v>
      </c>
      <c r="F5835" s="237" t="s">
        <v>2998</v>
      </c>
    </row>
    <row r="5836" spans="1:6" x14ac:dyDescent="0.25">
      <c r="A5836" s="227" t="str">
        <f>TL[[#This Row],[Société]]&amp;" - "&amp;TL[[#This Row],[Compte]]</f>
        <v>DIVES - 61562000</v>
      </c>
      <c r="B5836" s="233" t="s">
        <v>2653</v>
      </c>
      <c r="C5836" s="227" t="s">
        <v>266</v>
      </c>
      <c r="D5836" s="233" t="s">
        <v>20</v>
      </c>
      <c r="E5836" s="233" t="s">
        <v>20</v>
      </c>
      <c r="F5836" s="237" t="s">
        <v>2998</v>
      </c>
    </row>
    <row r="5837" spans="1:6" x14ac:dyDescent="0.25">
      <c r="A5837" s="227" t="str">
        <f>TL[[#This Row],[Société]]&amp;" - "&amp;TL[[#This Row],[Compte]]</f>
        <v>DIVES - 61562100</v>
      </c>
      <c r="B5837" s="233" t="s">
        <v>2673</v>
      </c>
      <c r="C5837" s="227" t="s">
        <v>488</v>
      </c>
      <c r="D5837" s="233" t="s">
        <v>20</v>
      </c>
      <c r="E5837" s="233" t="s">
        <v>25</v>
      </c>
      <c r="F5837" s="237" t="s">
        <v>2998</v>
      </c>
    </row>
    <row r="5838" spans="1:6" x14ac:dyDescent="0.25">
      <c r="A5838" s="227" t="str">
        <f>TL[[#This Row],[Société]]&amp;" - "&amp;TL[[#This Row],[Compte]]</f>
        <v>DIVES - 61562200</v>
      </c>
      <c r="B5838" s="233" t="s">
        <v>3606</v>
      </c>
      <c r="C5838" s="227" t="s">
        <v>280</v>
      </c>
      <c r="D5838" s="233" t="s">
        <v>20</v>
      </c>
      <c r="E5838" s="233" t="s">
        <v>25</v>
      </c>
      <c r="F5838" s="237" t="s">
        <v>2998</v>
      </c>
    </row>
    <row r="5839" spans="1:6" x14ac:dyDescent="0.25">
      <c r="A5839" s="227" t="str">
        <f>TL[[#This Row],[Société]]&amp;" - "&amp;TL[[#This Row],[Compte]]</f>
        <v>DIVES - 61562300</v>
      </c>
      <c r="B5839" s="233" t="s">
        <v>2674</v>
      </c>
      <c r="C5839" s="227" t="s">
        <v>242</v>
      </c>
      <c r="D5839" s="233" t="s">
        <v>20</v>
      </c>
      <c r="E5839" s="233" t="s">
        <v>25</v>
      </c>
      <c r="F5839" s="237" t="s">
        <v>2998</v>
      </c>
    </row>
    <row r="5840" spans="1:6" x14ac:dyDescent="0.25">
      <c r="A5840" s="227" t="str">
        <f>TL[[#This Row],[Société]]&amp;" - "&amp;TL[[#This Row],[Compte]]</f>
        <v>DIVES - 61562400</v>
      </c>
      <c r="B5840" s="233" t="s">
        <v>2654</v>
      </c>
      <c r="C5840" s="227" t="s">
        <v>1369</v>
      </c>
      <c r="D5840" s="233" t="s">
        <v>20</v>
      </c>
      <c r="E5840" s="233" t="s">
        <v>25</v>
      </c>
      <c r="F5840" s="237" t="s">
        <v>2998</v>
      </c>
    </row>
    <row r="5841" spans="1:6" x14ac:dyDescent="0.25">
      <c r="A5841" s="227" t="str">
        <f>TL[[#This Row],[Société]]&amp;" - "&amp;TL[[#This Row],[Compte]]</f>
        <v>DIVES - 61562500</v>
      </c>
      <c r="B5841" s="233" t="s">
        <v>2676</v>
      </c>
      <c r="C5841" s="227" t="s">
        <v>898</v>
      </c>
      <c r="D5841" s="233" t="s">
        <v>152</v>
      </c>
      <c r="F5841" s="237" t="s">
        <v>2998</v>
      </c>
    </row>
    <row r="5842" spans="1:6" x14ac:dyDescent="0.25">
      <c r="A5842" s="227" t="str">
        <f>TL[[#This Row],[Société]]&amp;" - "&amp;TL[[#This Row],[Compte]]</f>
        <v>DIVES - 61562600</v>
      </c>
      <c r="B5842" s="233" t="s">
        <v>3607</v>
      </c>
      <c r="C5842" s="227" t="s">
        <v>316</v>
      </c>
      <c r="D5842" s="233" t="s">
        <v>20</v>
      </c>
      <c r="E5842" s="233" t="s">
        <v>25</v>
      </c>
      <c r="F5842" s="237" t="s">
        <v>2998</v>
      </c>
    </row>
    <row r="5843" spans="1:6" x14ac:dyDescent="0.25">
      <c r="A5843" s="227" t="str">
        <f>TL[[#This Row],[Société]]&amp;" - "&amp;TL[[#This Row],[Compte]]</f>
        <v>DIVES - 61562700</v>
      </c>
      <c r="B5843" s="233" t="s">
        <v>3608</v>
      </c>
      <c r="C5843" s="227" t="s">
        <v>1402</v>
      </c>
      <c r="D5843" s="233" t="s">
        <v>20</v>
      </c>
      <c r="E5843" s="233" t="s">
        <v>25</v>
      </c>
      <c r="F5843" s="237" t="s">
        <v>2998</v>
      </c>
    </row>
    <row r="5844" spans="1:6" x14ac:dyDescent="0.25">
      <c r="A5844" s="227" t="str">
        <f>TL[[#This Row],[Société]]&amp;" - "&amp;TL[[#This Row],[Compte]]</f>
        <v>DIVES - 61562800</v>
      </c>
      <c r="B5844" s="233" t="s">
        <v>2677</v>
      </c>
      <c r="C5844" s="227" t="s">
        <v>418</v>
      </c>
      <c r="D5844" s="233" t="s">
        <v>20</v>
      </c>
      <c r="E5844" s="233" t="s">
        <v>20</v>
      </c>
      <c r="F5844" s="237" t="s">
        <v>2998</v>
      </c>
    </row>
    <row r="5845" spans="1:6" x14ac:dyDescent="0.25">
      <c r="A5845" s="227" t="str">
        <f>TL[[#This Row],[Société]]&amp;" - "&amp;TL[[#This Row],[Compte]]</f>
        <v>DIVES - 61562900</v>
      </c>
      <c r="B5845" s="233" t="s">
        <v>3609</v>
      </c>
      <c r="C5845" s="227" t="s">
        <v>1031</v>
      </c>
      <c r="D5845" s="233" t="s">
        <v>20</v>
      </c>
      <c r="E5845" s="233" t="s">
        <v>25</v>
      </c>
      <c r="F5845" s="237" t="s">
        <v>2998</v>
      </c>
    </row>
    <row r="5846" spans="1:6" x14ac:dyDescent="0.25">
      <c r="A5846" s="227" t="str">
        <f>TL[[#This Row],[Société]]&amp;" - "&amp;TL[[#This Row],[Compte]]</f>
        <v>DIVES - 61563000</v>
      </c>
      <c r="B5846" s="233" t="s">
        <v>2678</v>
      </c>
      <c r="C5846" s="227" t="s">
        <v>259</v>
      </c>
      <c r="D5846" s="233" t="s">
        <v>20</v>
      </c>
      <c r="E5846" s="233" t="s">
        <v>25</v>
      </c>
      <c r="F5846" s="237" t="s">
        <v>2998</v>
      </c>
    </row>
    <row r="5847" spans="1:6" x14ac:dyDescent="0.25">
      <c r="A5847" s="227" t="str">
        <f>TL[[#This Row],[Société]]&amp;" - "&amp;TL[[#This Row],[Compte]]</f>
        <v>DIVES - 61563100</v>
      </c>
      <c r="B5847" s="233" t="s">
        <v>3610</v>
      </c>
      <c r="C5847" s="227" t="s">
        <v>899</v>
      </c>
      <c r="D5847" s="233" t="s">
        <v>20</v>
      </c>
      <c r="E5847" s="233" t="s">
        <v>25</v>
      </c>
      <c r="F5847" s="237" t="s">
        <v>2998</v>
      </c>
    </row>
    <row r="5848" spans="1:6" x14ac:dyDescent="0.25">
      <c r="A5848" s="227" t="str">
        <f>TL[[#This Row],[Société]]&amp;" - "&amp;TL[[#This Row],[Compte]]</f>
        <v>DIVES - 61563200</v>
      </c>
      <c r="B5848" s="233" t="s">
        <v>2679</v>
      </c>
      <c r="C5848" s="227" t="s">
        <v>900</v>
      </c>
      <c r="D5848" s="233" t="s">
        <v>20</v>
      </c>
      <c r="E5848" s="233" t="s">
        <v>25</v>
      </c>
      <c r="F5848" s="237" t="s">
        <v>2998</v>
      </c>
    </row>
    <row r="5849" spans="1:6" x14ac:dyDescent="0.25">
      <c r="A5849" s="227" t="str">
        <f>TL[[#This Row],[Société]]&amp;" - "&amp;TL[[#This Row],[Compte]]</f>
        <v>DIVES - 61563300</v>
      </c>
      <c r="B5849" s="233" t="s">
        <v>3612</v>
      </c>
      <c r="C5849" s="227" t="s">
        <v>337</v>
      </c>
      <c r="D5849" s="233" t="s">
        <v>20</v>
      </c>
      <c r="E5849" s="233" t="s">
        <v>25</v>
      </c>
      <c r="F5849" s="237" t="s">
        <v>2998</v>
      </c>
    </row>
    <row r="5850" spans="1:6" x14ac:dyDescent="0.25">
      <c r="A5850" s="227" t="str">
        <f>TL[[#This Row],[Société]]&amp;" - "&amp;TL[[#This Row],[Compte]]</f>
        <v>DIVES - 61563400</v>
      </c>
      <c r="B5850" s="233" t="s">
        <v>3613</v>
      </c>
      <c r="C5850" s="227" t="s">
        <v>252</v>
      </c>
      <c r="D5850" s="233" t="s">
        <v>20</v>
      </c>
      <c r="E5850" s="233" t="s">
        <v>25</v>
      </c>
      <c r="F5850" s="237" t="s">
        <v>2998</v>
      </c>
    </row>
    <row r="5851" spans="1:6" x14ac:dyDescent="0.25">
      <c r="A5851" s="227" t="str">
        <f>TL[[#This Row],[Société]]&amp;" - "&amp;TL[[#This Row],[Compte]]</f>
        <v>DIVES - 61563500</v>
      </c>
      <c r="B5851" s="233" t="s">
        <v>2680</v>
      </c>
      <c r="C5851" s="227" t="s">
        <v>249</v>
      </c>
      <c r="D5851" s="233" t="s">
        <v>20</v>
      </c>
      <c r="E5851" s="233" t="s">
        <v>25</v>
      </c>
      <c r="F5851" s="237" t="s">
        <v>2998</v>
      </c>
    </row>
    <row r="5852" spans="1:6" x14ac:dyDescent="0.25">
      <c r="A5852" s="227" t="str">
        <f>TL[[#This Row],[Société]]&amp;" - "&amp;TL[[#This Row],[Compte]]</f>
        <v>DIVES - 61563600</v>
      </c>
      <c r="B5852" s="233" t="s">
        <v>2681</v>
      </c>
      <c r="C5852" s="227" t="s">
        <v>373</v>
      </c>
      <c r="D5852" s="233" t="s">
        <v>20</v>
      </c>
      <c r="E5852" s="233" t="s">
        <v>25</v>
      </c>
      <c r="F5852" s="237" t="s">
        <v>2998</v>
      </c>
    </row>
    <row r="5853" spans="1:6" x14ac:dyDescent="0.25">
      <c r="A5853" s="227" t="str">
        <f>TL[[#This Row],[Société]]&amp;" - "&amp;TL[[#This Row],[Compte]]</f>
        <v>DIVES - 61563700</v>
      </c>
      <c r="B5853" s="233" t="s">
        <v>2682</v>
      </c>
      <c r="C5853" s="227" t="s">
        <v>1442</v>
      </c>
      <c r="D5853" s="233" t="s">
        <v>20</v>
      </c>
      <c r="E5853" s="233" t="s">
        <v>25</v>
      </c>
      <c r="F5853" s="237" t="s">
        <v>2998</v>
      </c>
    </row>
    <row r="5854" spans="1:6" x14ac:dyDescent="0.25">
      <c r="A5854" s="227" t="str">
        <f>TL[[#This Row],[Société]]&amp;" - "&amp;TL[[#This Row],[Compte]]</f>
        <v>DIVES - 61563800</v>
      </c>
      <c r="B5854" s="233" t="s">
        <v>2683</v>
      </c>
      <c r="C5854" s="227" t="s">
        <v>1443</v>
      </c>
      <c r="D5854" s="233" t="s">
        <v>20</v>
      </c>
      <c r="E5854" s="233" t="s">
        <v>25</v>
      </c>
      <c r="F5854" s="237" t="s">
        <v>2998</v>
      </c>
    </row>
    <row r="5855" spans="1:6" x14ac:dyDescent="0.25">
      <c r="A5855" s="227" t="str">
        <f>TL[[#This Row],[Société]]&amp;" - "&amp;TL[[#This Row],[Compte]]</f>
        <v>DIVES - 61563900</v>
      </c>
      <c r="B5855" s="233" t="s">
        <v>3614</v>
      </c>
      <c r="C5855" s="227" t="s">
        <v>1518</v>
      </c>
      <c r="D5855" s="233" t="s">
        <v>20</v>
      </c>
      <c r="E5855" s="233" t="s">
        <v>25</v>
      </c>
      <c r="F5855" s="237" t="s">
        <v>2998</v>
      </c>
    </row>
    <row r="5856" spans="1:6" x14ac:dyDescent="0.25">
      <c r="A5856" s="227" t="str">
        <f>TL[[#This Row],[Société]]&amp;" - "&amp;TL[[#This Row],[Compte]]</f>
        <v>DIVES - 61564000</v>
      </c>
      <c r="B5856" s="233" t="s">
        <v>3615</v>
      </c>
      <c r="C5856" s="227" t="s">
        <v>1547</v>
      </c>
      <c r="D5856" s="233" t="s">
        <v>20</v>
      </c>
      <c r="E5856" s="233" t="s">
        <v>25</v>
      </c>
      <c r="F5856" s="237" t="s">
        <v>2998</v>
      </c>
    </row>
    <row r="5857" spans="1:6" x14ac:dyDescent="0.25">
      <c r="A5857" s="227" t="str">
        <f>TL[[#This Row],[Société]]&amp;" - "&amp;TL[[#This Row],[Compte]]</f>
        <v>DIVES - 61564100</v>
      </c>
      <c r="B5857" s="233" t="s">
        <v>2684</v>
      </c>
      <c r="C5857" s="227" t="s">
        <v>1488</v>
      </c>
      <c r="D5857" s="233" t="s">
        <v>20</v>
      </c>
      <c r="E5857" s="233" t="s">
        <v>25</v>
      </c>
      <c r="F5857" s="237" t="s">
        <v>2998</v>
      </c>
    </row>
    <row r="5858" spans="1:6" x14ac:dyDescent="0.25">
      <c r="A5858" s="227" t="str">
        <f>TL[[#This Row],[Société]]&amp;" - "&amp;TL[[#This Row],[Compte]]</f>
        <v>DIVES - 61564200</v>
      </c>
      <c r="B5858" s="233" t="s">
        <v>3616</v>
      </c>
      <c r="C5858" s="227" t="s">
        <v>2099</v>
      </c>
      <c r="D5858" s="233" t="s">
        <v>20</v>
      </c>
      <c r="E5858" s="233" t="s">
        <v>25</v>
      </c>
      <c r="F5858" s="237" t="s">
        <v>2998</v>
      </c>
    </row>
    <row r="5859" spans="1:6" x14ac:dyDescent="0.25">
      <c r="A5859" s="227" t="str">
        <f>TL[[#This Row],[Société]]&amp;" - "&amp;TL[[#This Row],[Compte]]</f>
        <v>DIVES - 61566100</v>
      </c>
      <c r="B5859" s="233" t="s">
        <v>6147</v>
      </c>
      <c r="C5859" s="227" t="s">
        <v>901</v>
      </c>
      <c r="F5859" s="237" t="s">
        <v>2998</v>
      </c>
    </row>
    <row r="5860" spans="1:6" x14ac:dyDescent="0.25">
      <c r="A5860" s="227" t="str">
        <f>TL[[#This Row],[Société]]&amp;" - "&amp;TL[[#This Row],[Compte]]</f>
        <v>DIVES - 61600100</v>
      </c>
      <c r="B5860" s="233" t="s">
        <v>2716</v>
      </c>
      <c r="C5860" s="227" t="s">
        <v>400</v>
      </c>
      <c r="D5860" s="233" t="s">
        <v>40</v>
      </c>
      <c r="E5860" s="233" t="s">
        <v>45</v>
      </c>
      <c r="F5860" s="237" t="s">
        <v>2998</v>
      </c>
    </row>
    <row r="5861" spans="1:6" x14ac:dyDescent="0.25">
      <c r="A5861" s="227" t="str">
        <f>TL[[#This Row],[Société]]&amp;" - "&amp;TL[[#This Row],[Compte]]</f>
        <v>DIVES - 61600200</v>
      </c>
      <c r="B5861" s="233" t="s">
        <v>2731</v>
      </c>
      <c r="C5861" s="227" t="s">
        <v>1519</v>
      </c>
      <c r="D5861" s="233" t="s">
        <v>20</v>
      </c>
      <c r="E5861" s="233" t="s">
        <v>45</v>
      </c>
      <c r="F5861" s="237" t="s">
        <v>2998</v>
      </c>
    </row>
    <row r="5862" spans="1:6" x14ac:dyDescent="0.25">
      <c r="A5862" s="227" t="str">
        <f>TL[[#This Row],[Société]]&amp;" - "&amp;TL[[#This Row],[Compte]]</f>
        <v>DIVES - 61600300</v>
      </c>
      <c r="B5862" s="233" t="s">
        <v>3618</v>
      </c>
      <c r="C5862" s="227" t="s">
        <v>217</v>
      </c>
      <c r="D5862" s="233" t="s">
        <v>40</v>
      </c>
      <c r="E5862" s="233" t="s">
        <v>45</v>
      </c>
      <c r="F5862" s="237" t="s">
        <v>2998</v>
      </c>
    </row>
    <row r="5863" spans="1:6" x14ac:dyDescent="0.25">
      <c r="A5863" s="227" t="str">
        <f>TL[[#This Row],[Société]]&amp;" - "&amp;TL[[#This Row],[Compte]]</f>
        <v>DIVES - 61600400</v>
      </c>
      <c r="B5863" s="233" t="s">
        <v>3619</v>
      </c>
      <c r="C5863" s="227" t="s">
        <v>383</v>
      </c>
      <c r="D5863" s="233" t="s">
        <v>40</v>
      </c>
      <c r="E5863" s="233" t="s">
        <v>52</v>
      </c>
      <c r="F5863" s="237" t="s">
        <v>2998</v>
      </c>
    </row>
    <row r="5864" spans="1:6" x14ac:dyDescent="0.25">
      <c r="A5864" s="227" t="str">
        <f>TL[[#This Row],[Société]]&amp;" - "&amp;TL[[#This Row],[Compte]]</f>
        <v>DIVES - 61600500</v>
      </c>
      <c r="B5864" s="233" t="s">
        <v>3620</v>
      </c>
      <c r="C5864" s="227" t="s">
        <v>1370</v>
      </c>
      <c r="D5864" s="233" t="s">
        <v>40</v>
      </c>
      <c r="E5864" s="233" t="s">
        <v>45</v>
      </c>
      <c r="F5864" s="237" t="s">
        <v>2998</v>
      </c>
    </row>
    <row r="5865" spans="1:6" x14ac:dyDescent="0.25">
      <c r="A5865" s="227" t="str">
        <f>TL[[#This Row],[Société]]&amp;" - "&amp;TL[[#This Row],[Compte]]</f>
        <v>DIVES - 61600600</v>
      </c>
      <c r="B5865" s="233" t="s">
        <v>3621</v>
      </c>
      <c r="C5865" s="227" t="s">
        <v>302</v>
      </c>
      <c r="D5865" s="233" t="s">
        <v>40</v>
      </c>
      <c r="E5865" s="233" t="s">
        <v>45</v>
      </c>
      <c r="F5865" s="237" t="s">
        <v>2998</v>
      </c>
    </row>
    <row r="5866" spans="1:6" x14ac:dyDescent="0.25">
      <c r="A5866" s="227" t="str">
        <f>TL[[#This Row],[Société]]&amp;" - "&amp;TL[[#This Row],[Compte]]</f>
        <v>DIVES - 61800000</v>
      </c>
      <c r="B5866" s="233" t="s">
        <v>6523</v>
      </c>
      <c r="C5866" s="227" t="s">
        <v>902</v>
      </c>
      <c r="F5866" s="237" t="s">
        <v>2998</v>
      </c>
    </row>
    <row r="5867" spans="1:6" x14ac:dyDescent="0.25">
      <c r="A5867" s="227" t="str">
        <f>TL[[#This Row],[Société]]&amp;" - "&amp;TL[[#This Row],[Compte]]</f>
        <v>DIVES - 61810000</v>
      </c>
      <c r="B5867" s="233" t="s">
        <v>3623</v>
      </c>
      <c r="C5867" s="227" t="s">
        <v>305</v>
      </c>
      <c r="D5867" s="233" t="s">
        <v>20</v>
      </c>
      <c r="E5867" s="233" t="s">
        <v>25</v>
      </c>
      <c r="F5867" s="237" t="s">
        <v>2998</v>
      </c>
    </row>
    <row r="5868" spans="1:6" x14ac:dyDescent="0.25">
      <c r="A5868" s="227" t="str">
        <f>TL[[#This Row],[Société]]&amp;" - "&amp;TL[[#This Row],[Compte]]</f>
        <v>DIVES - 62140000</v>
      </c>
      <c r="B5868" s="233" t="s">
        <v>3624</v>
      </c>
      <c r="C5868" s="227" t="s">
        <v>1371</v>
      </c>
      <c r="D5868" s="233" t="s">
        <v>12</v>
      </c>
      <c r="E5868" s="233" t="s">
        <v>16</v>
      </c>
      <c r="F5868" s="237" t="s">
        <v>2998</v>
      </c>
    </row>
    <row r="5869" spans="1:6" x14ac:dyDescent="0.25">
      <c r="A5869" s="227" t="str">
        <f>TL[[#This Row],[Société]]&amp;" - "&amp;TL[[#This Row],[Compte]]</f>
        <v>DIVES - 62140100</v>
      </c>
      <c r="B5869" s="233" t="s">
        <v>3625</v>
      </c>
      <c r="C5869" s="227" t="s">
        <v>391</v>
      </c>
      <c r="D5869" s="233" t="s">
        <v>12</v>
      </c>
      <c r="E5869" s="233" t="s">
        <v>128</v>
      </c>
      <c r="F5869" s="237" t="s">
        <v>2998</v>
      </c>
    </row>
    <row r="5870" spans="1:6" x14ac:dyDescent="0.25">
      <c r="A5870" s="227" t="str">
        <f>TL[[#This Row],[Société]]&amp;" - "&amp;TL[[#This Row],[Compte]]</f>
        <v>DIVES - 62140400</v>
      </c>
      <c r="B5870" s="233" t="s">
        <v>3626</v>
      </c>
      <c r="C5870" s="227" t="s">
        <v>1372</v>
      </c>
      <c r="D5870" s="233" t="s">
        <v>13</v>
      </c>
      <c r="E5870" s="233" t="s">
        <v>12</v>
      </c>
      <c r="F5870" s="237" t="s">
        <v>2998</v>
      </c>
    </row>
    <row r="5871" spans="1:6" x14ac:dyDescent="0.25">
      <c r="A5871" s="227" t="str">
        <f>TL[[#This Row],[Société]]&amp;" - "&amp;TL[[#This Row],[Compte]]</f>
        <v>DIVES - 62140500</v>
      </c>
      <c r="B5871" s="233" t="s">
        <v>2649</v>
      </c>
      <c r="C5871" s="227" t="s">
        <v>2956</v>
      </c>
      <c r="D5871" s="233" t="s">
        <v>50</v>
      </c>
      <c r="E5871" s="233" t="s">
        <v>16</v>
      </c>
      <c r="F5871" s="237" t="s">
        <v>2998</v>
      </c>
    </row>
    <row r="5872" spans="1:6" x14ac:dyDescent="0.25">
      <c r="A5872" s="227" t="str">
        <f>TL[[#This Row],[Société]]&amp;" - "&amp;TL[[#This Row],[Compte]]</f>
        <v>DIVES - 62140600</v>
      </c>
      <c r="B5872" s="233" t="s">
        <v>2650</v>
      </c>
      <c r="C5872" s="227" t="s">
        <v>1556</v>
      </c>
      <c r="D5872" s="233" t="s">
        <v>50</v>
      </c>
      <c r="E5872" s="233" t="s">
        <v>52</v>
      </c>
      <c r="F5872" s="237" t="s">
        <v>2998</v>
      </c>
    </row>
    <row r="5873" spans="1:6" x14ac:dyDescent="0.25">
      <c r="A5873" s="227" t="str">
        <f>TL[[#This Row],[Société]]&amp;" - "&amp;TL[[#This Row],[Compte]]</f>
        <v>DIVES - 62141100</v>
      </c>
      <c r="B5873" s="233" t="s">
        <v>3627</v>
      </c>
      <c r="C5873" s="227" t="s">
        <v>429</v>
      </c>
      <c r="D5873" s="233" t="s">
        <v>50</v>
      </c>
      <c r="E5873" s="233" t="s">
        <v>16</v>
      </c>
      <c r="F5873" s="237" t="s">
        <v>2998</v>
      </c>
    </row>
    <row r="5874" spans="1:6" x14ac:dyDescent="0.25">
      <c r="A5874" s="227" t="str">
        <f>TL[[#This Row],[Société]]&amp;" - "&amp;TL[[#This Row],[Compte]]</f>
        <v>DIVES - 62200000</v>
      </c>
      <c r="B5874" s="233" t="s">
        <v>3630</v>
      </c>
      <c r="C5874" s="227" t="s">
        <v>399</v>
      </c>
      <c r="D5874" s="233" t="s">
        <v>20</v>
      </c>
      <c r="E5874" s="233" t="s">
        <v>44</v>
      </c>
      <c r="F5874" s="237" t="s">
        <v>2998</v>
      </c>
    </row>
    <row r="5875" spans="1:6" x14ac:dyDescent="0.25">
      <c r="A5875" s="227" t="str">
        <f>TL[[#This Row],[Société]]&amp;" - "&amp;TL[[#This Row],[Compte]]</f>
        <v>DIVES - 62260000</v>
      </c>
      <c r="B5875" s="233" t="s">
        <v>2714</v>
      </c>
      <c r="C5875" s="227" t="s">
        <v>392</v>
      </c>
      <c r="D5875" s="233" t="s">
        <v>39</v>
      </c>
      <c r="E5875" s="233" t="s">
        <v>44</v>
      </c>
      <c r="F5875" s="237" t="s">
        <v>2998</v>
      </c>
    </row>
    <row r="5876" spans="1:6" x14ac:dyDescent="0.25">
      <c r="A5876" s="227" t="str">
        <f>TL[[#This Row],[Société]]&amp;" - "&amp;TL[[#This Row],[Compte]]</f>
        <v>DIVES - 62261000</v>
      </c>
      <c r="B5876" s="233" t="s">
        <v>2715</v>
      </c>
      <c r="C5876" s="227" t="s">
        <v>427</v>
      </c>
      <c r="D5876" s="233" t="s">
        <v>39</v>
      </c>
      <c r="E5876" s="233" t="s">
        <v>44</v>
      </c>
      <c r="F5876" s="237" t="s">
        <v>2998</v>
      </c>
    </row>
    <row r="5877" spans="1:6" x14ac:dyDescent="0.25">
      <c r="A5877" s="227" t="str">
        <f>TL[[#This Row],[Société]]&amp;" - "&amp;TL[[#This Row],[Compte]]</f>
        <v>DIVES - 62262000</v>
      </c>
      <c r="B5877" s="233" t="s">
        <v>3631</v>
      </c>
      <c r="C5877" s="227" t="s">
        <v>903</v>
      </c>
      <c r="D5877" s="233" t="s">
        <v>39</v>
      </c>
      <c r="E5877" s="233" t="s">
        <v>44</v>
      </c>
      <c r="F5877" s="237" t="s">
        <v>2998</v>
      </c>
    </row>
    <row r="5878" spans="1:6" x14ac:dyDescent="0.25">
      <c r="A5878" s="227" t="str">
        <f>TL[[#This Row],[Société]]&amp;" - "&amp;TL[[#This Row],[Compte]]</f>
        <v>DIVES - 62270000</v>
      </c>
      <c r="B5878" s="233" t="s">
        <v>3634</v>
      </c>
      <c r="C5878" s="227" t="s">
        <v>317</v>
      </c>
      <c r="D5878" s="233" t="s">
        <v>39</v>
      </c>
      <c r="E5878" s="233" t="s">
        <v>44</v>
      </c>
      <c r="F5878" s="237" t="s">
        <v>2998</v>
      </c>
    </row>
    <row r="5879" spans="1:6" x14ac:dyDescent="0.25">
      <c r="A5879" s="227" t="str">
        <f>TL[[#This Row],[Société]]&amp;" - "&amp;TL[[#This Row],[Compte]]</f>
        <v>DIVES - 62300000</v>
      </c>
      <c r="B5879" s="233" t="s">
        <v>2695</v>
      </c>
      <c r="C5879" s="227" t="s">
        <v>6883</v>
      </c>
      <c r="D5879" s="233" t="s">
        <v>17</v>
      </c>
      <c r="E5879" s="233" t="s">
        <v>30</v>
      </c>
      <c r="F5879" s="237" t="s">
        <v>2998</v>
      </c>
    </row>
    <row r="5880" spans="1:6" x14ac:dyDescent="0.25">
      <c r="A5880" s="227" t="str">
        <f>TL[[#This Row],[Société]]&amp;" - "&amp;TL[[#This Row],[Compte]]</f>
        <v>DIVES - 62300200</v>
      </c>
      <c r="B5880" s="233" t="s">
        <v>2696</v>
      </c>
      <c r="C5880" s="227" t="s">
        <v>215</v>
      </c>
      <c r="D5880" s="233" t="s">
        <v>18</v>
      </c>
      <c r="E5880" s="233" t="s">
        <v>32</v>
      </c>
      <c r="F5880" s="237" t="s">
        <v>2998</v>
      </c>
    </row>
    <row r="5881" spans="1:6" x14ac:dyDescent="0.25">
      <c r="A5881" s="227" t="str">
        <f>TL[[#This Row],[Société]]&amp;" - "&amp;TL[[#This Row],[Compte]]</f>
        <v>DIVES - 62310000</v>
      </c>
      <c r="B5881" s="233" t="s">
        <v>3636</v>
      </c>
      <c r="C5881" s="227" t="s">
        <v>904</v>
      </c>
      <c r="D5881" s="233" t="s">
        <v>18</v>
      </c>
      <c r="E5881" s="233" t="s">
        <v>32</v>
      </c>
      <c r="F5881" s="237" t="s">
        <v>2998</v>
      </c>
    </row>
    <row r="5882" spans="1:6" x14ac:dyDescent="0.25">
      <c r="A5882" s="227" t="str">
        <f>TL[[#This Row],[Société]]&amp;" - "&amp;TL[[#This Row],[Compte]]</f>
        <v>DIVES - 62320000</v>
      </c>
      <c r="B5882" s="233" t="s">
        <v>3637</v>
      </c>
      <c r="C5882" s="227" t="s">
        <v>1373</v>
      </c>
      <c r="D5882" s="233" t="s">
        <v>18</v>
      </c>
      <c r="E5882" s="233" t="s">
        <v>32</v>
      </c>
      <c r="F5882" s="237" t="s">
        <v>2998</v>
      </c>
    </row>
    <row r="5883" spans="1:6" x14ac:dyDescent="0.25">
      <c r="A5883" s="227" t="str">
        <f>TL[[#This Row],[Société]]&amp;" - "&amp;TL[[#This Row],[Compte]]</f>
        <v>DIVES - 62340000</v>
      </c>
      <c r="B5883" s="233" t="s">
        <v>2697</v>
      </c>
      <c r="C5883" s="227" t="s">
        <v>905</v>
      </c>
      <c r="F5883" s="237" t="s">
        <v>2998</v>
      </c>
    </row>
    <row r="5884" spans="1:6" x14ac:dyDescent="0.25">
      <c r="A5884" s="227" t="str">
        <f>TL[[#This Row],[Société]]&amp;" - "&amp;TL[[#This Row],[Compte]]</f>
        <v>DIVES - 62340100</v>
      </c>
      <c r="B5884" s="233" t="s">
        <v>2698</v>
      </c>
      <c r="C5884" s="227" t="s">
        <v>425</v>
      </c>
      <c r="D5884" s="233" t="s">
        <v>18</v>
      </c>
      <c r="E5884" s="233" t="s">
        <v>32</v>
      </c>
      <c r="F5884" s="237" t="s">
        <v>2998</v>
      </c>
    </row>
    <row r="5885" spans="1:6" x14ac:dyDescent="0.25">
      <c r="A5885" s="227" t="str">
        <f>TL[[#This Row],[Société]]&amp;" - "&amp;TL[[#This Row],[Compte]]</f>
        <v>DIVES - 62340500</v>
      </c>
      <c r="B5885" s="233" t="s">
        <v>3639</v>
      </c>
      <c r="C5885" s="227" t="s">
        <v>228</v>
      </c>
      <c r="D5885" s="233" t="s">
        <v>18</v>
      </c>
      <c r="E5885" s="233" t="s">
        <v>32</v>
      </c>
      <c r="F5885" s="237" t="s">
        <v>2998</v>
      </c>
    </row>
    <row r="5886" spans="1:6" x14ac:dyDescent="0.25">
      <c r="A5886" s="227" t="str">
        <f>TL[[#This Row],[Société]]&amp;" - "&amp;TL[[#This Row],[Compte]]</f>
        <v>DIVES - 62340600</v>
      </c>
      <c r="B5886" s="233" t="s">
        <v>6524</v>
      </c>
      <c r="C5886" s="227" t="s">
        <v>906</v>
      </c>
      <c r="D5886" s="233" t="s">
        <v>50</v>
      </c>
      <c r="E5886" s="233" t="s">
        <v>32</v>
      </c>
      <c r="F5886" s="237" t="s">
        <v>2998</v>
      </c>
    </row>
    <row r="5887" spans="1:6" x14ac:dyDescent="0.25">
      <c r="A5887" s="227" t="str">
        <f>TL[[#This Row],[Société]]&amp;" - "&amp;TL[[#This Row],[Compte]]</f>
        <v>DIVES - 62341500</v>
      </c>
      <c r="B5887" s="233" t="s">
        <v>2699</v>
      </c>
      <c r="C5887" s="227" t="s">
        <v>254</v>
      </c>
      <c r="D5887" s="233" t="s">
        <v>18</v>
      </c>
      <c r="E5887" s="233" t="s">
        <v>32</v>
      </c>
      <c r="F5887" s="237" t="s">
        <v>2998</v>
      </c>
    </row>
    <row r="5888" spans="1:6" x14ac:dyDescent="0.25">
      <c r="A5888" s="227" t="str">
        <f>TL[[#This Row],[Société]]&amp;" - "&amp;TL[[#This Row],[Compte]]</f>
        <v>DIVES - 62380000</v>
      </c>
      <c r="B5888" s="233" t="s">
        <v>3641</v>
      </c>
      <c r="C5888" s="227" t="s">
        <v>436</v>
      </c>
      <c r="D5888" s="233" t="s">
        <v>18</v>
      </c>
      <c r="E5888" s="233" t="s">
        <v>32</v>
      </c>
      <c r="F5888" s="237" t="s">
        <v>2998</v>
      </c>
    </row>
    <row r="5889" spans="1:6" x14ac:dyDescent="0.25">
      <c r="A5889" s="227" t="str">
        <f>TL[[#This Row],[Société]]&amp;" - "&amp;TL[[#This Row],[Compte]]</f>
        <v>DIVES - 62410000</v>
      </c>
      <c r="B5889" s="233" t="s">
        <v>3642</v>
      </c>
      <c r="C5889" s="227" t="s">
        <v>907</v>
      </c>
      <c r="D5889" s="233" t="s">
        <v>126</v>
      </c>
      <c r="E5889" s="233" t="s">
        <v>123</v>
      </c>
      <c r="F5889" s="237" t="s">
        <v>2998</v>
      </c>
    </row>
    <row r="5890" spans="1:6" x14ac:dyDescent="0.25">
      <c r="A5890" s="227" t="str">
        <f>TL[[#This Row],[Société]]&amp;" - "&amp;TL[[#This Row],[Compte]]</f>
        <v>DIVES - 62411000</v>
      </c>
      <c r="B5890" s="233" t="s">
        <v>6525</v>
      </c>
      <c r="C5890" s="227" t="s">
        <v>261</v>
      </c>
      <c r="D5890" s="233" t="s">
        <v>20</v>
      </c>
      <c r="E5890" s="233" t="s">
        <v>25</v>
      </c>
      <c r="F5890" s="237" t="s">
        <v>2998</v>
      </c>
    </row>
    <row r="5891" spans="1:6" x14ac:dyDescent="0.25">
      <c r="A5891" s="227" t="str">
        <f>TL[[#This Row],[Société]]&amp;" - "&amp;TL[[#This Row],[Compte]]</f>
        <v>DIVES - 62500000</v>
      </c>
      <c r="B5891" s="233" t="s">
        <v>3643</v>
      </c>
      <c r="C5891" s="227" t="s">
        <v>2157</v>
      </c>
      <c r="F5891" s="237" t="s">
        <v>2998</v>
      </c>
    </row>
    <row r="5892" spans="1:6" x14ac:dyDescent="0.25">
      <c r="A5892" s="227" t="str">
        <f>TL[[#This Row],[Société]]&amp;" - "&amp;TL[[#This Row],[Compte]]</f>
        <v>DIVES - 62510300</v>
      </c>
      <c r="B5892" s="233" t="s">
        <v>3644</v>
      </c>
      <c r="C5892" s="227" t="s">
        <v>908</v>
      </c>
      <c r="D5892" s="233" t="s">
        <v>147</v>
      </c>
      <c r="E5892" s="233" t="s">
        <v>288</v>
      </c>
      <c r="F5892" s="237" t="s">
        <v>2998</v>
      </c>
    </row>
    <row r="5893" spans="1:6" x14ac:dyDescent="0.25">
      <c r="A5893" s="227" t="str">
        <f>TL[[#This Row],[Société]]&amp;" - "&amp;TL[[#This Row],[Compte]]</f>
        <v>DIVES - 62520100</v>
      </c>
      <c r="B5893" s="233" t="s">
        <v>3646</v>
      </c>
      <c r="C5893" s="227" t="s">
        <v>279</v>
      </c>
      <c r="D5893" s="233" t="s">
        <v>16</v>
      </c>
      <c r="E5893" s="233" t="s">
        <v>2979</v>
      </c>
      <c r="F5893" s="237" t="s">
        <v>2998</v>
      </c>
    </row>
    <row r="5894" spans="1:6" x14ac:dyDescent="0.25">
      <c r="A5894" s="227" t="str">
        <f>TL[[#This Row],[Société]]&amp;" - "&amp;TL[[#This Row],[Compte]]</f>
        <v>DIVES - 62520400</v>
      </c>
      <c r="B5894" s="233" t="s">
        <v>3647</v>
      </c>
      <c r="C5894" s="227" t="s">
        <v>390</v>
      </c>
      <c r="D5894" s="233" t="s">
        <v>16</v>
      </c>
      <c r="E5894" s="233" t="s">
        <v>2979</v>
      </c>
      <c r="F5894" s="237" t="s">
        <v>2998</v>
      </c>
    </row>
    <row r="5895" spans="1:6" x14ac:dyDescent="0.25">
      <c r="A5895" s="227" t="str">
        <f>TL[[#This Row],[Société]]&amp;" - "&amp;TL[[#This Row],[Compte]]</f>
        <v>DIVES - 62570100</v>
      </c>
      <c r="B5895" s="233" t="s">
        <v>3648</v>
      </c>
      <c r="C5895" s="227" t="s">
        <v>909</v>
      </c>
      <c r="D5895" s="233" t="s">
        <v>32</v>
      </c>
      <c r="E5895" s="233" t="s">
        <v>2982</v>
      </c>
      <c r="F5895" s="237" t="s">
        <v>2998</v>
      </c>
    </row>
    <row r="5896" spans="1:6" x14ac:dyDescent="0.25">
      <c r="A5896" s="227" t="str">
        <f>TL[[#This Row],[Société]]&amp;" - "&amp;TL[[#This Row],[Compte]]</f>
        <v>DIVES - 62600100</v>
      </c>
      <c r="B5896" s="233" t="s">
        <v>3649</v>
      </c>
      <c r="C5896" s="227" t="s">
        <v>611</v>
      </c>
      <c r="D5896" s="233" t="s">
        <v>27</v>
      </c>
      <c r="E5896" s="233" t="s">
        <v>34</v>
      </c>
      <c r="F5896" s="237" t="s">
        <v>2998</v>
      </c>
    </row>
    <row r="5897" spans="1:6" x14ac:dyDescent="0.25">
      <c r="A5897" s="227" t="str">
        <f>TL[[#This Row],[Société]]&amp;" - "&amp;TL[[#This Row],[Compte]]</f>
        <v>DIVES - 62600300</v>
      </c>
      <c r="B5897" s="233" t="s">
        <v>3650</v>
      </c>
      <c r="C5897" s="227" t="s">
        <v>910</v>
      </c>
      <c r="D5897" s="233" t="s">
        <v>27</v>
      </c>
      <c r="E5897" s="233" t="s">
        <v>34</v>
      </c>
      <c r="F5897" s="237" t="s">
        <v>2998</v>
      </c>
    </row>
    <row r="5898" spans="1:6" x14ac:dyDescent="0.25">
      <c r="A5898" s="227" t="str">
        <f>TL[[#This Row],[Société]]&amp;" - "&amp;TL[[#This Row],[Compte]]</f>
        <v>DIVES - 62610000</v>
      </c>
      <c r="B5898" s="233" t="s">
        <v>3651</v>
      </c>
      <c r="C5898" s="227" t="s">
        <v>170</v>
      </c>
      <c r="D5898" s="233" t="s">
        <v>27</v>
      </c>
      <c r="E5898" s="233" t="s">
        <v>34</v>
      </c>
      <c r="F5898" s="237" t="s">
        <v>2998</v>
      </c>
    </row>
    <row r="5899" spans="1:6" x14ac:dyDescent="0.25">
      <c r="A5899" s="227" t="str">
        <f>TL[[#This Row],[Société]]&amp;" - "&amp;TL[[#This Row],[Compte]]</f>
        <v>DIVES - 62620000</v>
      </c>
      <c r="B5899" s="233" t="s">
        <v>2702</v>
      </c>
      <c r="C5899" s="227" t="s">
        <v>388</v>
      </c>
      <c r="D5899" s="233" t="s">
        <v>27</v>
      </c>
      <c r="E5899" s="233" t="s">
        <v>34</v>
      </c>
      <c r="F5899" s="237" t="s">
        <v>2998</v>
      </c>
    </row>
    <row r="5900" spans="1:6" x14ac:dyDescent="0.25">
      <c r="A5900" s="227" t="str">
        <f>TL[[#This Row],[Société]]&amp;" - "&amp;TL[[#This Row],[Compte]]</f>
        <v>DIVES - 62700100</v>
      </c>
      <c r="B5900" s="233" t="s">
        <v>3652</v>
      </c>
      <c r="C5900" s="227" t="s">
        <v>911</v>
      </c>
      <c r="D5900" s="233" t="s">
        <v>47</v>
      </c>
      <c r="E5900" s="233" t="s">
        <v>21</v>
      </c>
      <c r="F5900" s="237" t="s">
        <v>2998</v>
      </c>
    </row>
    <row r="5901" spans="1:6" x14ac:dyDescent="0.25">
      <c r="A5901" s="227" t="str">
        <f>TL[[#This Row],[Société]]&amp;" - "&amp;TL[[#This Row],[Compte]]</f>
        <v>DIVES - 62700200</v>
      </c>
      <c r="B5901" s="233" t="s">
        <v>3653</v>
      </c>
      <c r="C5901" s="227" t="s">
        <v>912</v>
      </c>
      <c r="D5901" s="233" t="s">
        <v>47</v>
      </c>
      <c r="E5901" s="233" t="s">
        <v>21</v>
      </c>
      <c r="F5901" s="237" t="s">
        <v>2998</v>
      </c>
    </row>
    <row r="5902" spans="1:6" x14ac:dyDescent="0.25">
      <c r="A5902" s="227" t="str">
        <f>TL[[#This Row],[Société]]&amp;" - "&amp;TL[[#This Row],[Compte]]</f>
        <v>DIVES - 62700300</v>
      </c>
      <c r="B5902" s="233" t="s">
        <v>3654</v>
      </c>
      <c r="C5902" s="227" t="s">
        <v>913</v>
      </c>
      <c r="D5902" s="233" t="s">
        <v>47</v>
      </c>
      <c r="E5902" s="233" t="s">
        <v>21</v>
      </c>
      <c r="F5902" s="237" t="s">
        <v>2998</v>
      </c>
    </row>
    <row r="5903" spans="1:6" x14ac:dyDescent="0.25">
      <c r="A5903" s="227" t="str">
        <f>TL[[#This Row],[Société]]&amp;" - "&amp;TL[[#This Row],[Compte]]</f>
        <v>DIVES - 62700500</v>
      </c>
      <c r="B5903" s="233" t="s">
        <v>3655</v>
      </c>
      <c r="C5903" s="227" t="s">
        <v>914</v>
      </c>
      <c r="D5903" s="233" t="s">
        <v>47</v>
      </c>
      <c r="E5903" s="233" t="s">
        <v>21</v>
      </c>
      <c r="F5903" s="237" t="s">
        <v>2998</v>
      </c>
    </row>
    <row r="5904" spans="1:6" x14ac:dyDescent="0.25">
      <c r="A5904" s="227" t="str">
        <f>TL[[#This Row],[Société]]&amp;" - "&amp;TL[[#This Row],[Compte]]</f>
        <v>DIVES - 62700700</v>
      </c>
      <c r="B5904" s="233" t="s">
        <v>6166</v>
      </c>
      <c r="C5904" s="227" t="s">
        <v>915</v>
      </c>
      <c r="D5904" s="233" t="s">
        <v>47</v>
      </c>
      <c r="E5904" s="233" t="s">
        <v>21</v>
      </c>
      <c r="F5904" s="237" t="s">
        <v>2998</v>
      </c>
    </row>
    <row r="5905" spans="1:6" x14ac:dyDescent="0.25">
      <c r="A5905" s="227" t="str">
        <f>TL[[#This Row],[Société]]&amp;" - "&amp;TL[[#This Row],[Compte]]</f>
        <v>DIVES - 62780100</v>
      </c>
      <c r="B5905" s="233" t="s">
        <v>2656</v>
      </c>
      <c r="C5905" s="227" t="s">
        <v>258</v>
      </c>
      <c r="D5905" s="233" t="s">
        <v>47</v>
      </c>
      <c r="E5905" s="233" t="s">
        <v>21</v>
      </c>
      <c r="F5905" s="237" t="s">
        <v>2998</v>
      </c>
    </row>
    <row r="5906" spans="1:6" x14ac:dyDescent="0.25">
      <c r="A5906" s="227" t="str">
        <f>TL[[#This Row],[Société]]&amp;" - "&amp;TL[[#This Row],[Compte]]</f>
        <v>DIVES - 62780200</v>
      </c>
      <c r="B5906" s="233" t="s">
        <v>2657</v>
      </c>
      <c r="C5906" s="227" t="s">
        <v>238</v>
      </c>
      <c r="D5906" s="233" t="s">
        <v>47</v>
      </c>
      <c r="E5906" s="233" t="s">
        <v>21</v>
      </c>
      <c r="F5906" s="237" t="s">
        <v>2998</v>
      </c>
    </row>
    <row r="5907" spans="1:6" x14ac:dyDescent="0.25">
      <c r="A5907" s="227" t="str">
        <f>TL[[#This Row],[Société]]&amp;" - "&amp;TL[[#This Row],[Compte]]</f>
        <v>DIVES - 62780300</v>
      </c>
      <c r="B5907" s="233" t="s">
        <v>2658</v>
      </c>
      <c r="C5907" s="227" t="s">
        <v>363</v>
      </c>
      <c r="D5907" s="233" t="s">
        <v>47</v>
      </c>
      <c r="E5907" s="233" t="s">
        <v>21</v>
      </c>
      <c r="F5907" s="237" t="s">
        <v>2998</v>
      </c>
    </row>
    <row r="5908" spans="1:6" x14ac:dyDescent="0.25">
      <c r="A5908" s="227" t="str">
        <f>TL[[#This Row],[Société]]&amp;" - "&amp;TL[[#This Row],[Compte]]</f>
        <v>DIVES - 62780500</v>
      </c>
      <c r="B5908" s="233" t="s">
        <v>3656</v>
      </c>
      <c r="C5908" s="227" t="s">
        <v>340</v>
      </c>
      <c r="D5908" s="233" t="s">
        <v>47</v>
      </c>
      <c r="E5908" s="233" t="s">
        <v>21</v>
      </c>
      <c r="F5908" s="237" t="s">
        <v>2998</v>
      </c>
    </row>
    <row r="5909" spans="1:6" x14ac:dyDescent="0.25">
      <c r="A5909" s="227" t="str">
        <f>TL[[#This Row],[Société]]&amp;" - "&amp;TL[[#This Row],[Compte]]</f>
        <v>DIVES - 62780700</v>
      </c>
      <c r="B5909" s="233" t="s">
        <v>6170</v>
      </c>
      <c r="C5909" s="227" t="s">
        <v>416</v>
      </c>
      <c r="D5909" s="233" t="s">
        <v>47</v>
      </c>
      <c r="E5909" s="233" t="s">
        <v>21</v>
      </c>
      <c r="F5909" s="237" t="s">
        <v>2998</v>
      </c>
    </row>
    <row r="5910" spans="1:6" x14ac:dyDescent="0.25">
      <c r="A5910" s="227" t="str">
        <f>TL[[#This Row],[Société]]&amp;" - "&amp;TL[[#This Row],[Compte]]</f>
        <v>DIVES - 62802300</v>
      </c>
      <c r="B5910" s="233" t="s">
        <v>2706</v>
      </c>
      <c r="C5910" s="227" t="s">
        <v>303</v>
      </c>
      <c r="D5910" s="233" t="s">
        <v>32</v>
      </c>
      <c r="E5910" s="233" t="s">
        <v>2982</v>
      </c>
      <c r="F5910" s="237" t="s">
        <v>2998</v>
      </c>
    </row>
    <row r="5911" spans="1:6" x14ac:dyDescent="0.25">
      <c r="A5911" s="227" t="str">
        <f>TL[[#This Row],[Société]]&amp;" - "&amp;TL[[#This Row],[Compte]]</f>
        <v>DIVES - 62820000</v>
      </c>
      <c r="B5911" s="233" t="s">
        <v>3658</v>
      </c>
      <c r="C5911" s="227" t="s">
        <v>304</v>
      </c>
      <c r="D5911" s="233" t="s">
        <v>32</v>
      </c>
      <c r="E5911" s="233" t="s">
        <v>2982</v>
      </c>
      <c r="F5911" s="237" t="s">
        <v>2998</v>
      </c>
    </row>
    <row r="5912" spans="1:6" x14ac:dyDescent="0.25">
      <c r="A5912" s="227" t="str">
        <f>TL[[#This Row],[Société]]&amp;" - "&amp;TL[[#This Row],[Compte]]</f>
        <v>DIVES - 62830000</v>
      </c>
      <c r="B5912" s="233" t="s">
        <v>3659</v>
      </c>
      <c r="C5912" s="227" t="s">
        <v>2153</v>
      </c>
      <c r="D5912" s="233" t="s">
        <v>147</v>
      </c>
      <c r="E5912" s="233" t="s">
        <v>288</v>
      </c>
      <c r="F5912" s="237" t="s">
        <v>2998</v>
      </c>
    </row>
    <row r="5913" spans="1:6" x14ac:dyDescent="0.25">
      <c r="A5913" s="227" t="str">
        <f>TL[[#This Row],[Société]]&amp;" - "&amp;TL[[#This Row],[Compte]]</f>
        <v>DIVES - 62840000</v>
      </c>
      <c r="B5913" s="233" t="s">
        <v>2691</v>
      </c>
      <c r="C5913" s="227" t="s">
        <v>166</v>
      </c>
      <c r="D5913" s="233" t="s">
        <v>16</v>
      </c>
      <c r="E5913" s="233" t="s">
        <v>25</v>
      </c>
      <c r="F5913" s="237" t="s">
        <v>2998</v>
      </c>
    </row>
    <row r="5914" spans="1:6" x14ac:dyDescent="0.25">
      <c r="A5914" s="227" t="str">
        <f>TL[[#This Row],[Société]]&amp;" - "&amp;TL[[#This Row],[Compte]]</f>
        <v>DIVES - 62850000</v>
      </c>
      <c r="B5914" s="233" t="s">
        <v>2739</v>
      </c>
      <c r="C5914" s="227" t="s">
        <v>2154</v>
      </c>
      <c r="D5914" s="233" t="s">
        <v>147</v>
      </c>
      <c r="E5914" s="233" t="s">
        <v>288</v>
      </c>
      <c r="F5914" s="237" t="s">
        <v>2998</v>
      </c>
    </row>
    <row r="5915" spans="1:6" x14ac:dyDescent="0.25">
      <c r="A5915" s="227" t="str">
        <f>TL[[#This Row],[Société]]&amp;" - "&amp;TL[[#This Row],[Compte]]</f>
        <v>DIVES - 63120000</v>
      </c>
      <c r="B5915" s="233" t="s">
        <v>3661</v>
      </c>
      <c r="C5915" s="227" t="s">
        <v>2103</v>
      </c>
      <c r="F5915" s="237" t="s">
        <v>2998</v>
      </c>
    </row>
    <row r="5916" spans="1:6" x14ac:dyDescent="0.25">
      <c r="A5916" s="227" t="str">
        <f>TL[[#This Row],[Société]]&amp;" - "&amp;TL[[#This Row],[Compte]]</f>
        <v>DIVES - 63330000</v>
      </c>
      <c r="B5916" s="233" t="s">
        <v>2717</v>
      </c>
      <c r="C5916" s="227" t="s">
        <v>397</v>
      </c>
      <c r="D5916" s="233" t="s">
        <v>42</v>
      </c>
      <c r="E5916" s="233" t="s">
        <v>47</v>
      </c>
      <c r="F5916" s="237" t="s">
        <v>2998</v>
      </c>
    </row>
    <row r="5917" spans="1:6" x14ac:dyDescent="0.25">
      <c r="A5917" s="227" t="str">
        <f>TL[[#This Row],[Société]]&amp;" - "&amp;TL[[#This Row],[Compte]]</f>
        <v>DIVES - 63340000</v>
      </c>
      <c r="B5917" s="233" t="s">
        <v>3662</v>
      </c>
      <c r="C5917" s="227" t="s">
        <v>220</v>
      </c>
      <c r="D5917" s="233" t="s">
        <v>42</v>
      </c>
      <c r="E5917" s="233" t="s">
        <v>47</v>
      </c>
      <c r="F5917" s="237" t="s">
        <v>2998</v>
      </c>
    </row>
    <row r="5918" spans="1:6" x14ac:dyDescent="0.25">
      <c r="A5918" s="227" t="str">
        <f>TL[[#This Row],[Société]]&amp;" - "&amp;TL[[#This Row],[Compte]]</f>
        <v>DIVES - 63350000</v>
      </c>
      <c r="B5918" s="233" t="s">
        <v>2718</v>
      </c>
      <c r="C5918" s="227" t="s">
        <v>307</v>
      </c>
      <c r="D5918" s="233" t="s">
        <v>42</v>
      </c>
      <c r="E5918" s="233" t="s">
        <v>47</v>
      </c>
      <c r="F5918" s="237" t="s">
        <v>2998</v>
      </c>
    </row>
    <row r="5919" spans="1:6" x14ac:dyDescent="0.25">
      <c r="A5919" s="227" t="str">
        <f>TL[[#This Row],[Société]]&amp;" - "&amp;TL[[#This Row],[Compte]]</f>
        <v>DIVES - 63511000</v>
      </c>
      <c r="B5919" s="233" t="s">
        <v>3663</v>
      </c>
      <c r="C5919" s="227" t="s">
        <v>612</v>
      </c>
      <c r="D5919" s="233" t="s">
        <v>42</v>
      </c>
      <c r="E5919" s="233" t="s">
        <v>47</v>
      </c>
      <c r="F5919" s="237" t="s">
        <v>2998</v>
      </c>
    </row>
    <row r="5920" spans="1:6" x14ac:dyDescent="0.25">
      <c r="A5920" s="227" t="str">
        <f>TL[[#This Row],[Société]]&amp;" - "&amp;TL[[#This Row],[Compte]]</f>
        <v>DIVES - 63511100</v>
      </c>
      <c r="B5920" s="233" t="s">
        <v>2719</v>
      </c>
      <c r="C5920" s="227" t="s">
        <v>168</v>
      </c>
      <c r="D5920" s="233" t="s">
        <v>42</v>
      </c>
      <c r="E5920" s="233" t="s">
        <v>47</v>
      </c>
      <c r="F5920" s="237" t="s">
        <v>2998</v>
      </c>
    </row>
    <row r="5921" spans="1:6" x14ac:dyDescent="0.25">
      <c r="A5921" s="227" t="str">
        <f>TL[[#This Row],[Société]]&amp;" - "&amp;TL[[#This Row],[Compte]]</f>
        <v>DIVES - 63511200</v>
      </c>
      <c r="B5921" s="233" t="s">
        <v>2720</v>
      </c>
      <c r="C5921" s="227" t="s">
        <v>165</v>
      </c>
      <c r="D5921" s="233" t="s">
        <v>42</v>
      </c>
      <c r="E5921" s="233" t="s">
        <v>47</v>
      </c>
      <c r="F5921" s="237" t="s">
        <v>2998</v>
      </c>
    </row>
    <row r="5922" spans="1:6" x14ac:dyDescent="0.25">
      <c r="A5922" s="227" t="str">
        <f>TL[[#This Row],[Société]]&amp;" - "&amp;TL[[#This Row],[Compte]]</f>
        <v>DIVES - 63513000</v>
      </c>
      <c r="B5922" s="233" t="s">
        <v>3665</v>
      </c>
      <c r="C5922" s="227" t="s">
        <v>916</v>
      </c>
      <c r="D5922" s="233" t="s">
        <v>42</v>
      </c>
      <c r="E5922" s="233" t="s">
        <v>47</v>
      </c>
      <c r="F5922" s="237" t="s">
        <v>2998</v>
      </c>
    </row>
    <row r="5923" spans="1:6" x14ac:dyDescent="0.25">
      <c r="A5923" s="227" t="str">
        <f>TL[[#This Row],[Société]]&amp;" - "&amp;TL[[#This Row],[Compte]]</f>
        <v>DIVES - 63514000</v>
      </c>
      <c r="B5923" s="233" t="s">
        <v>2721</v>
      </c>
      <c r="C5923" s="227" t="s">
        <v>230</v>
      </c>
      <c r="D5923" s="233" t="s">
        <v>42</v>
      </c>
      <c r="E5923" s="233" t="s">
        <v>47</v>
      </c>
      <c r="F5923" s="237" t="s">
        <v>2998</v>
      </c>
    </row>
    <row r="5924" spans="1:6" x14ac:dyDescent="0.25">
      <c r="A5924" s="227" t="str">
        <f>TL[[#This Row],[Société]]&amp;" - "&amp;TL[[#This Row],[Compte]]</f>
        <v>DIVES - 63550000</v>
      </c>
      <c r="B5924" s="233" t="s">
        <v>3666</v>
      </c>
      <c r="C5924" s="227" t="s">
        <v>218</v>
      </c>
      <c r="D5924" s="233" t="s">
        <v>42</v>
      </c>
      <c r="E5924" s="233" t="s">
        <v>47</v>
      </c>
      <c r="F5924" s="237" t="s">
        <v>2998</v>
      </c>
    </row>
    <row r="5925" spans="1:6" x14ac:dyDescent="0.25">
      <c r="A5925" s="227" t="str">
        <f>TL[[#This Row],[Société]]&amp;" - "&amp;TL[[#This Row],[Compte]]</f>
        <v>DIVES - 63551000</v>
      </c>
      <c r="B5925" s="233" t="s">
        <v>3667</v>
      </c>
      <c r="C5925" s="227" t="s">
        <v>917</v>
      </c>
      <c r="D5925" s="233" t="s">
        <v>42</v>
      </c>
      <c r="E5925" s="233" t="s">
        <v>47</v>
      </c>
      <c r="F5925" s="237" t="s">
        <v>2998</v>
      </c>
    </row>
    <row r="5926" spans="1:6" x14ac:dyDescent="0.25">
      <c r="A5926" s="227" t="str">
        <f>TL[[#This Row],[Société]]&amp;" - "&amp;TL[[#This Row],[Compte]]</f>
        <v>DIVES - 63551100</v>
      </c>
      <c r="B5926" s="233" t="s">
        <v>2619</v>
      </c>
      <c r="C5926" s="227" t="s">
        <v>269</v>
      </c>
      <c r="D5926" s="233" t="s">
        <v>129</v>
      </c>
      <c r="E5926" s="233" t="s">
        <v>123</v>
      </c>
      <c r="F5926" s="237" t="s">
        <v>2998</v>
      </c>
    </row>
    <row r="5927" spans="1:6" x14ac:dyDescent="0.25">
      <c r="A5927" s="227" t="str">
        <f>TL[[#This Row],[Société]]&amp;" - "&amp;TL[[#This Row],[Compte]]</f>
        <v>DIVES - 63552000</v>
      </c>
      <c r="B5927" s="233" t="s">
        <v>3668</v>
      </c>
      <c r="C5927" s="227" t="s">
        <v>769</v>
      </c>
      <c r="D5927" s="233" t="s">
        <v>42</v>
      </c>
      <c r="E5927" s="233" t="s">
        <v>47</v>
      </c>
      <c r="F5927" s="237" t="s">
        <v>2998</v>
      </c>
    </row>
    <row r="5928" spans="1:6" x14ac:dyDescent="0.25">
      <c r="A5928" s="227" t="str">
        <f>TL[[#This Row],[Société]]&amp;" - "&amp;TL[[#This Row],[Compte]]</f>
        <v>DIVES - 63553000</v>
      </c>
      <c r="B5928" s="233" t="s">
        <v>2722</v>
      </c>
      <c r="C5928" s="227" t="s">
        <v>430</v>
      </c>
      <c r="D5928" s="233" t="s">
        <v>42</v>
      </c>
      <c r="E5928" s="233" t="s">
        <v>47</v>
      </c>
      <c r="F5928" s="237" t="s">
        <v>2998</v>
      </c>
    </row>
    <row r="5929" spans="1:6" x14ac:dyDescent="0.25">
      <c r="A5929" s="227" t="str">
        <f>TL[[#This Row],[Société]]&amp;" - "&amp;TL[[#This Row],[Compte]]</f>
        <v>DIVES - 63554000</v>
      </c>
      <c r="B5929" s="233" t="s">
        <v>3669</v>
      </c>
      <c r="C5929" s="227" t="s">
        <v>1374</v>
      </c>
      <c r="D5929" s="233" t="s">
        <v>42</v>
      </c>
      <c r="E5929" s="233" t="s">
        <v>47</v>
      </c>
      <c r="F5929" s="237" t="s">
        <v>2998</v>
      </c>
    </row>
    <row r="5930" spans="1:6" x14ac:dyDescent="0.25">
      <c r="A5930" s="227" t="str">
        <f>TL[[#This Row],[Société]]&amp;" - "&amp;TL[[#This Row],[Compte]]</f>
        <v>DIVES - 63570000</v>
      </c>
      <c r="B5930" s="233" t="s">
        <v>3671</v>
      </c>
      <c r="C5930" s="227" t="s">
        <v>771</v>
      </c>
      <c r="D5930" s="233" t="s">
        <v>42</v>
      </c>
      <c r="E5930" s="233" t="s">
        <v>47</v>
      </c>
      <c r="F5930" s="237" t="s">
        <v>2998</v>
      </c>
    </row>
    <row r="5931" spans="1:6" x14ac:dyDescent="0.25">
      <c r="A5931" s="227" t="str">
        <f>TL[[#This Row],[Société]]&amp;" - "&amp;TL[[#This Row],[Compte]]</f>
        <v>DIVES - 63581000</v>
      </c>
      <c r="B5931" s="233" t="s">
        <v>6175</v>
      </c>
      <c r="C5931" s="227" t="s">
        <v>771</v>
      </c>
      <c r="D5931" s="233" t="s">
        <v>42</v>
      </c>
      <c r="E5931" s="233" t="s">
        <v>47</v>
      </c>
      <c r="F5931" s="237" t="s">
        <v>2998</v>
      </c>
    </row>
    <row r="5932" spans="1:6" x14ac:dyDescent="0.25">
      <c r="A5932" s="227" t="str">
        <f>TL[[#This Row],[Société]]&amp;" - "&amp;TL[[#This Row],[Compte]]</f>
        <v>DIVES - 63710000</v>
      </c>
      <c r="B5932" s="233" t="s">
        <v>3672</v>
      </c>
      <c r="C5932" s="227" t="s">
        <v>613</v>
      </c>
      <c r="D5932" s="233" t="s">
        <v>42</v>
      </c>
      <c r="E5932" s="233" t="s">
        <v>47</v>
      </c>
      <c r="F5932" s="237" t="s">
        <v>2998</v>
      </c>
    </row>
    <row r="5933" spans="1:6" x14ac:dyDescent="0.25">
      <c r="A5933" s="227" t="str">
        <f>TL[[#This Row],[Société]]&amp;" - "&amp;TL[[#This Row],[Compte]]</f>
        <v>DIVES - 63730000</v>
      </c>
      <c r="B5933" s="233" t="s">
        <v>2723</v>
      </c>
      <c r="C5933" s="227" t="s">
        <v>432</v>
      </c>
      <c r="D5933" s="233" t="s">
        <v>42</v>
      </c>
      <c r="E5933" s="233" t="s">
        <v>47</v>
      </c>
      <c r="F5933" s="237" t="s">
        <v>2998</v>
      </c>
    </row>
    <row r="5934" spans="1:6" x14ac:dyDescent="0.25">
      <c r="A5934" s="227" t="str">
        <f>TL[[#This Row],[Société]]&amp;" - "&amp;TL[[#This Row],[Compte]]</f>
        <v>DIVES - 64110100</v>
      </c>
      <c r="B5934" s="233" t="s">
        <v>2625</v>
      </c>
      <c r="C5934" s="227" t="s">
        <v>406</v>
      </c>
      <c r="D5934" s="233" t="s">
        <v>12</v>
      </c>
      <c r="E5934" s="233" t="s">
        <v>128</v>
      </c>
      <c r="F5934" s="237" t="s">
        <v>2998</v>
      </c>
    </row>
    <row r="5935" spans="1:6" x14ac:dyDescent="0.25">
      <c r="A5935" s="227" t="str">
        <f>TL[[#This Row],[Société]]&amp;" - "&amp;TL[[#This Row],[Compte]]</f>
        <v>DIVES - 64110400</v>
      </c>
      <c r="B5935" s="233" t="s">
        <v>2636</v>
      </c>
      <c r="C5935" s="227" t="s">
        <v>395</v>
      </c>
      <c r="D5935" s="233" t="s">
        <v>13</v>
      </c>
      <c r="E5935" s="233" t="s">
        <v>12</v>
      </c>
      <c r="F5935" s="237" t="s">
        <v>2998</v>
      </c>
    </row>
    <row r="5936" spans="1:6" x14ac:dyDescent="0.25">
      <c r="A5936" s="227" t="str">
        <f>TL[[#This Row],[Société]]&amp;" - "&amp;TL[[#This Row],[Compte]]</f>
        <v>DIVES - 64111000</v>
      </c>
      <c r="B5936" s="233" t="s">
        <v>3675</v>
      </c>
      <c r="C5936" s="227" t="s">
        <v>918</v>
      </c>
      <c r="D5936" s="233" t="s">
        <v>50</v>
      </c>
      <c r="E5936" s="233" t="s">
        <v>12</v>
      </c>
      <c r="F5936" s="237" t="s">
        <v>2998</v>
      </c>
    </row>
    <row r="5937" spans="1:6" x14ac:dyDescent="0.25">
      <c r="A5937" s="227" t="str">
        <f>TL[[#This Row],[Société]]&amp;" - "&amp;TL[[#This Row],[Compte]]</f>
        <v>DIVES - 64111100</v>
      </c>
      <c r="B5937" s="233" t="s">
        <v>6526</v>
      </c>
      <c r="C5937" s="227" t="s">
        <v>423</v>
      </c>
      <c r="D5937" s="233" t="s">
        <v>12</v>
      </c>
      <c r="E5937" s="233" t="s">
        <v>128</v>
      </c>
      <c r="F5937" s="237" t="s">
        <v>2998</v>
      </c>
    </row>
    <row r="5938" spans="1:6" x14ac:dyDescent="0.25">
      <c r="A5938" s="227" t="str">
        <f>TL[[#This Row],[Société]]&amp;" - "&amp;TL[[#This Row],[Compte]]</f>
        <v>DIVES - 64111400</v>
      </c>
      <c r="B5938" s="233" t="s">
        <v>6527</v>
      </c>
      <c r="C5938" s="227" t="s">
        <v>919</v>
      </c>
      <c r="D5938" s="233" t="s">
        <v>50</v>
      </c>
      <c r="E5938" s="233" t="s">
        <v>12</v>
      </c>
      <c r="F5938" s="237" t="s">
        <v>2998</v>
      </c>
    </row>
    <row r="5939" spans="1:6" x14ac:dyDescent="0.25">
      <c r="A5939" s="227" t="str">
        <f>TL[[#This Row],[Société]]&amp;" - "&amp;TL[[#This Row],[Compte]]</f>
        <v>DIVES - 64111500</v>
      </c>
      <c r="B5939" s="233" t="s">
        <v>6528</v>
      </c>
      <c r="C5939" s="227" t="s">
        <v>1550</v>
      </c>
      <c r="D5939" s="233" t="s">
        <v>12</v>
      </c>
      <c r="E5939" s="233" t="s">
        <v>128</v>
      </c>
      <c r="F5939" s="237" t="s">
        <v>2998</v>
      </c>
    </row>
    <row r="5940" spans="1:6" x14ac:dyDescent="0.25">
      <c r="A5940" s="227" t="str">
        <f>TL[[#This Row],[Société]]&amp;" - "&amp;TL[[#This Row],[Compte]]</f>
        <v>DIVES - 64111600</v>
      </c>
      <c r="B5940" s="233" t="s">
        <v>6529</v>
      </c>
      <c r="C5940" s="227" t="s">
        <v>1551</v>
      </c>
      <c r="D5940" s="233" t="s">
        <v>13</v>
      </c>
      <c r="E5940" s="233" t="s">
        <v>12</v>
      </c>
      <c r="F5940" s="237" t="s">
        <v>2998</v>
      </c>
    </row>
    <row r="5941" spans="1:6" x14ac:dyDescent="0.25">
      <c r="A5941" s="227" t="str">
        <f>TL[[#This Row],[Société]]&amp;" - "&amp;TL[[#This Row],[Compte]]</f>
        <v>DIVES - 64120000</v>
      </c>
      <c r="B5941" s="233" t="s">
        <v>2626</v>
      </c>
      <c r="C5941" s="227" t="s">
        <v>776</v>
      </c>
      <c r="D5941" s="233" t="s">
        <v>12</v>
      </c>
      <c r="E5941" s="233" t="s">
        <v>128</v>
      </c>
      <c r="F5941" s="237" t="s">
        <v>2998</v>
      </c>
    </row>
    <row r="5942" spans="1:6" x14ac:dyDescent="0.25">
      <c r="A5942" s="227" t="str">
        <f>TL[[#This Row],[Société]]&amp;" - "&amp;TL[[#This Row],[Compte]]</f>
        <v>DIVES - 64121000</v>
      </c>
      <c r="B5942" s="233" t="s">
        <v>2637</v>
      </c>
      <c r="C5942" s="227" t="s">
        <v>428</v>
      </c>
      <c r="D5942" s="233" t="s">
        <v>13</v>
      </c>
      <c r="E5942" s="233" t="s">
        <v>12</v>
      </c>
      <c r="F5942" s="237" t="s">
        <v>2998</v>
      </c>
    </row>
    <row r="5943" spans="1:6" x14ac:dyDescent="0.25">
      <c r="A5943" s="227" t="str">
        <f>TL[[#This Row],[Société]]&amp;" - "&amp;TL[[#This Row],[Compte]]</f>
        <v>DIVES - 64122000</v>
      </c>
      <c r="B5943" s="233" t="s">
        <v>3679</v>
      </c>
      <c r="C5943" s="227" t="s">
        <v>920</v>
      </c>
      <c r="D5943" s="233" t="s">
        <v>13</v>
      </c>
      <c r="E5943" s="233" t="s">
        <v>12</v>
      </c>
      <c r="F5943" s="237" t="s">
        <v>2998</v>
      </c>
    </row>
    <row r="5944" spans="1:6" x14ac:dyDescent="0.25">
      <c r="A5944" s="227" t="str">
        <f>TL[[#This Row],[Société]]&amp;" - "&amp;TL[[#This Row],[Compte]]</f>
        <v>DIVES - 64123000</v>
      </c>
      <c r="B5944" s="233" t="s">
        <v>3680</v>
      </c>
      <c r="C5944" s="227" t="s">
        <v>614</v>
      </c>
      <c r="D5944" s="233" t="s">
        <v>152</v>
      </c>
      <c r="F5944" s="237" t="s">
        <v>2998</v>
      </c>
    </row>
    <row r="5945" spans="1:6" x14ac:dyDescent="0.25">
      <c r="A5945" s="227" t="str">
        <f>TL[[#This Row],[Société]]&amp;" - "&amp;TL[[#This Row],[Compte]]</f>
        <v>DIVES - 64130000</v>
      </c>
      <c r="B5945" s="233" t="s">
        <v>3681</v>
      </c>
      <c r="C5945" s="227" t="s">
        <v>2145</v>
      </c>
      <c r="F5945" s="237" t="s">
        <v>2998</v>
      </c>
    </row>
    <row r="5946" spans="1:6" x14ac:dyDescent="0.25">
      <c r="A5946" s="227" t="str">
        <f>TL[[#This Row],[Société]]&amp;" - "&amp;TL[[#This Row],[Compte]]</f>
        <v>DIVES - 64131000</v>
      </c>
      <c r="B5946" s="233" t="s">
        <v>6530</v>
      </c>
      <c r="C5946" s="227" t="s">
        <v>921</v>
      </c>
      <c r="F5946" s="237" t="s">
        <v>2998</v>
      </c>
    </row>
    <row r="5947" spans="1:6" x14ac:dyDescent="0.25">
      <c r="A5947" s="227" t="str">
        <f>TL[[#This Row],[Société]]&amp;" - "&amp;TL[[#This Row],[Compte]]</f>
        <v>DIVES - 64134000</v>
      </c>
      <c r="B5947" s="233" t="s">
        <v>6531</v>
      </c>
      <c r="C5947" s="227" t="s">
        <v>922</v>
      </c>
      <c r="F5947" s="237" t="s">
        <v>2998</v>
      </c>
    </row>
    <row r="5948" spans="1:6" x14ac:dyDescent="0.25">
      <c r="A5948" s="227" t="str">
        <f>TL[[#This Row],[Société]]&amp;" - "&amp;TL[[#This Row],[Compte]]</f>
        <v>DIVES - 64140000</v>
      </c>
      <c r="B5948" s="233" t="s">
        <v>3683</v>
      </c>
      <c r="C5948" s="227" t="s">
        <v>2103</v>
      </c>
      <c r="F5948" s="237" t="s">
        <v>2998</v>
      </c>
    </row>
    <row r="5949" spans="1:6" x14ac:dyDescent="0.25">
      <c r="A5949" s="227" t="str">
        <f>TL[[#This Row],[Société]]&amp;" - "&amp;TL[[#This Row],[Compte]]</f>
        <v>DIVES - 64140100</v>
      </c>
      <c r="B5949" s="233" t="s">
        <v>2627</v>
      </c>
      <c r="C5949" s="227" t="s">
        <v>433</v>
      </c>
      <c r="D5949" s="233" t="s">
        <v>12</v>
      </c>
      <c r="E5949" s="233" t="s">
        <v>128</v>
      </c>
      <c r="F5949" s="237" t="s">
        <v>2998</v>
      </c>
    </row>
    <row r="5950" spans="1:6" x14ac:dyDescent="0.25">
      <c r="A5950" s="227" t="str">
        <f>TL[[#This Row],[Société]]&amp;" - "&amp;TL[[#This Row],[Compte]]</f>
        <v>DIVES - 64140200</v>
      </c>
      <c r="B5950" s="233" t="s">
        <v>6176</v>
      </c>
      <c r="C5950" s="227" t="s">
        <v>1520</v>
      </c>
      <c r="D5950" s="233" t="s">
        <v>12</v>
      </c>
      <c r="E5950" s="233" t="s">
        <v>128</v>
      </c>
      <c r="F5950" s="237" t="s">
        <v>2998</v>
      </c>
    </row>
    <row r="5951" spans="1:6" x14ac:dyDescent="0.25">
      <c r="A5951" s="227" t="str">
        <f>TL[[#This Row],[Société]]&amp;" - "&amp;TL[[#This Row],[Compte]]</f>
        <v>DIVES - 64140300</v>
      </c>
      <c r="B5951" s="233" t="s">
        <v>6177</v>
      </c>
      <c r="C5951" s="227" t="s">
        <v>1521</v>
      </c>
      <c r="D5951" s="233" t="s">
        <v>13</v>
      </c>
      <c r="E5951" s="233" t="s">
        <v>12</v>
      </c>
      <c r="F5951" s="237" t="s">
        <v>2998</v>
      </c>
    </row>
    <row r="5952" spans="1:6" x14ac:dyDescent="0.25">
      <c r="A5952" s="227" t="str">
        <f>TL[[#This Row],[Société]]&amp;" - "&amp;TL[[#This Row],[Compte]]</f>
        <v>DIVES - 64140400</v>
      </c>
      <c r="B5952" s="233" t="s">
        <v>2638</v>
      </c>
      <c r="C5952" s="227" t="s">
        <v>272</v>
      </c>
      <c r="D5952" s="233" t="s">
        <v>13</v>
      </c>
      <c r="E5952" s="233" t="s">
        <v>12</v>
      </c>
      <c r="F5952" s="237" t="s">
        <v>2998</v>
      </c>
    </row>
    <row r="5953" spans="1:6" x14ac:dyDescent="0.25">
      <c r="A5953" s="227" t="str">
        <f>TL[[#This Row],[Société]]&amp;" - "&amp;TL[[#This Row],[Compte]]</f>
        <v>DIVES - 64141100</v>
      </c>
      <c r="B5953" s="233" t="s">
        <v>2628</v>
      </c>
      <c r="C5953" s="227" t="s">
        <v>408</v>
      </c>
      <c r="D5953" s="233" t="s">
        <v>12</v>
      </c>
      <c r="E5953" s="233" t="s">
        <v>128</v>
      </c>
      <c r="F5953" s="237" t="s">
        <v>2998</v>
      </c>
    </row>
    <row r="5954" spans="1:6" x14ac:dyDescent="0.25">
      <c r="A5954" s="227" t="str">
        <f>TL[[#This Row],[Société]]&amp;" - "&amp;TL[[#This Row],[Compte]]</f>
        <v>DIVES - 64141400</v>
      </c>
      <c r="B5954" s="233" t="s">
        <v>2639</v>
      </c>
      <c r="C5954" s="227" t="s">
        <v>412</v>
      </c>
      <c r="D5954" s="233" t="s">
        <v>13</v>
      </c>
      <c r="E5954" s="233" t="s">
        <v>12</v>
      </c>
      <c r="F5954" s="237" t="s">
        <v>2998</v>
      </c>
    </row>
    <row r="5955" spans="1:6" x14ac:dyDescent="0.25">
      <c r="A5955" s="227" t="str">
        <f>TL[[#This Row],[Société]]&amp;" - "&amp;TL[[#This Row],[Compte]]</f>
        <v>DIVES - 64400000</v>
      </c>
      <c r="B5955" s="233" t="s">
        <v>6181</v>
      </c>
      <c r="C5955" s="227" t="s">
        <v>616</v>
      </c>
      <c r="D5955" s="233" t="s">
        <v>147</v>
      </c>
      <c r="E5955" s="233" t="s">
        <v>288</v>
      </c>
      <c r="F5955" s="237" t="s">
        <v>2998</v>
      </c>
    </row>
    <row r="5956" spans="1:6" x14ac:dyDescent="0.25">
      <c r="A5956" s="227" t="str">
        <f>TL[[#This Row],[Société]]&amp;" - "&amp;TL[[#This Row],[Compte]]</f>
        <v>DIVES - 64504100</v>
      </c>
      <c r="B5956" s="233" t="s">
        <v>3684</v>
      </c>
      <c r="C5956" s="227" t="s">
        <v>271</v>
      </c>
      <c r="D5956" s="233" t="s">
        <v>12</v>
      </c>
      <c r="E5956" s="233" t="s">
        <v>129</v>
      </c>
      <c r="F5956" s="237" t="s">
        <v>2998</v>
      </c>
    </row>
    <row r="5957" spans="1:6" x14ac:dyDescent="0.25">
      <c r="A5957" s="227" t="str">
        <f>TL[[#This Row],[Société]]&amp;" - "&amp;TL[[#This Row],[Compte]]</f>
        <v>DIVES - 64504400</v>
      </c>
      <c r="B5957" s="233" t="s">
        <v>3685</v>
      </c>
      <c r="C5957" s="227" t="s">
        <v>273</v>
      </c>
      <c r="D5957" s="233" t="s">
        <v>15</v>
      </c>
      <c r="E5957" s="233" t="s">
        <v>13</v>
      </c>
      <c r="F5957" s="237" t="s">
        <v>2998</v>
      </c>
    </row>
    <row r="5958" spans="1:6" x14ac:dyDescent="0.25">
      <c r="A5958" s="227" t="str">
        <f>TL[[#This Row],[Société]]&amp;" - "&amp;TL[[#This Row],[Compte]]</f>
        <v>DIVES - 64510100</v>
      </c>
      <c r="B5958" s="233" t="s">
        <v>2630</v>
      </c>
      <c r="C5958" s="227" t="s">
        <v>407</v>
      </c>
      <c r="D5958" s="233" t="s">
        <v>12</v>
      </c>
      <c r="E5958" s="233" t="s">
        <v>129</v>
      </c>
      <c r="F5958" s="237" t="s">
        <v>2998</v>
      </c>
    </row>
    <row r="5959" spans="1:6" x14ac:dyDescent="0.25">
      <c r="A5959" s="227" t="str">
        <f>TL[[#This Row],[Société]]&amp;" - "&amp;TL[[#This Row],[Compte]]</f>
        <v>DIVES - 64510400</v>
      </c>
      <c r="B5959" s="233" t="s">
        <v>2644</v>
      </c>
      <c r="C5959" s="227" t="s">
        <v>345</v>
      </c>
      <c r="D5959" s="233" t="s">
        <v>15</v>
      </c>
      <c r="E5959" s="233" t="s">
        <v>13</v>
      </c>
      <c r="F5959" s="237" t="s">
        <v>2998</v>
      </c>
    </row>
    <row r="5960" spans="1:6" x14ac:dyDescent="0.25">
      <c r="A5960" s="227" t="str">
        <f>TL[[#This Row],[Société]]&amp;" - "&amp;TL[[#This Row],[Compte]]</f>
        <v>DIVES - 64520100</v>
      </c>
      <c r="B5960" s="233" t="s">
        <v>2631</v>
      </c>
      <c r="C5960" s="227" t="s">
        <v>231</v>
      </c>
      <c r="D5960" s="233" t="s">
        <v>12</v>
      </c>
      <c r="E5960" s="233" t="s">
        <v>129</v>
      </c>
      <c r="F5960" s="237" t="s">
        <v>2998</v>
      </c>
    </row>
    <row r="5961" spans="1:6" x14ac:dyDescent="0.25">
      <c r="A5961" s="227" t="str">
        <f>TL[[#This Row],[Société]]&amp;" - "&amp;TL[[#This Row],[Compte]]</f>
        <v>DIVES - 64520400</v>
      </c>
      <c r="B5961" s="233" t="s">
        <v>2645</v>
      </c>
      <c r="C5961" s="227" t="s">
        <v>273</v>
      </c>
      <c r="D5961" s="233" t="s">
        <v>15</v>
      </c>
      <c r="E5961" s="233" t="s">
        <v>13</v>
      </c>
      <c r="F5961" s="237" t="s">
        <v>2998</v>
      </c>
    </row>
    <row r="5962" spans="1:6" x14ac:dyDescent="0.25">
      <c r="A5962" s="227" t="str">
        <f>TL[[#This Row],[Société]]&amp;" - "&amp;TL[[#This Row],[Compte]]</f>
        <v>DIVES - 64530100</v>
      </c>
      <c r="B5962" s="233" t="s">
        <v>2632</v>
      </c>
      <c r="C5962" s="227" t="s">
        <v>398</v>
      </c>
      <c r="D5962" s="233" t="s">
        <v>12</v>
      </c>
      <c r="E5962" s="233" t="s">
        <v>129</v>
      </c>
      <c r="F5962" s="237" t="s">
        <v>2998</v>
      </c>
    </row>
    <row r="5963" spans="1:6" x14ac:dyDescent="0.25">
      <c r="A5963" s="227" t="str">
        <f>TL[[#This Row],[Société]]&amp;" - "&amp;TL[[#This Row],[Compte]]</f>
        <v>DIVES - 64530400</v>
      </c>
      <c r="B5963" s="233" t="s">
        <v>2646</v>
      </c>
      <c r="C5963" s="227" t="s">
        <v>410</v>
      </c>
      <c r="D5963" s="233" t="s">
        <v>15</v>
      </c>
      <c r="E5963" s="233" t="s">
        <v>13</v>
      </c>
      <c r="F5963" s="237" t="s">
        <v>2998</v>
      </c>
    </row>
    <row r="5964" spans="1:6" x14ac:dyDescent="0.25">
      <c r="A5964" s="227" t="str">
        <f>TL[[#This Row],[Société]]&amp;" - "&amp;TL[[#This Row],[Compte]]</f>
        <v>DIVES - 64530500</v>
      </c>
      <c r="B5964" s="233" t="s">
        <v>6182</v>
      </c>
      <c r="C5964" s="227" t="s">
        <v>417</v>
      </c>
      <c r="D5964" s="233" t="s">
        <v>15</v>
      </c>
      <c r="E5964" s="233" t="s">
        <v>13</v>
      </c>
      <c r="F5964" s="237" t="s">
        <v>2998</v>
      </c>
    </row>
    <row r="5965" spans="1:6" x14ac:dyDescent="0.25">
      <c r="A5965" s="227" t="str">
        <f>TL[[#This Row],[Société]]&amp;" - "&amp;TL[[#This Row],[Compte]]</f>
        <v>DIVES - 64540100</v>
      </c>
      <c r="B5965" s="233" t="s">
        <v>2633</v>
      </c>
      <c r="C5965" s="227" t="s">
        <v>413</v>
      </c>
      <c r="D5965" s="233" t="s">
        <v>12</v>
      </c>
      <c r="E5965" s="233" t="s">
        <v>129</v>
      </c>
      <c r="F5965" s="237" t="s">
        <v>2998</v>
      </c>
    </row>
    <row r="5966" spans="1:6" x14ac:dyDescent="0.25">
      <c r="A5966" s="227" t="str">
        <f>TL[[#This Row],[Société]]&amp;" - "&amp;TL[[#This Row],[Compte]]</f>
        <v>DIVES - 64540400</v>
      </c>
      <c r="B5966" s="233" t="s">
        <v>2647</v>
      </c>
      <c r="C5966" s="227" t="s">
        <v>409</v>
      </c>
      <c r="D5966" s="233" t="s">
        <v>15</v>
      </c>
      <c r="E5966" s="233" t="s">
        <v>13</v>
      </c>
      <c r="F5966" s="237" t="s">
        <v>2998</v>
      </c>
    </row>
    <row r="5967" spans="1:6" x14ac:dyDescent="0.25">
      <c r="A5967" s="227" t="str">
        <f>TL[[#This Row],[Société]]&amp;" - "&amp;TL[[#This Row],[Compte]]</f>
        <v>DIVES - 64550400</v>
      </c>
      <c r="B5967" s="233" t="s">
        <v>3686</v>
      </c>
      <c r="C5967" s="227" t="s">
        <v>420</v>
      </c>
      <c r="D5967" s="233" t="s">
        <v>15</v>
      </c>
      <c r="E5967" s="233" t="s">
        <v>13</v>
      </c>
      <c r="F5967" s="237" t="s">
        <v>2998</v>
      </c>
    </row>
    <row r="5968" spans="1:6" x14ac:dyDescent="0.25">
      <c r="A5968" s="227" t="str">
        <f>TL[[#This Row],[Société]]&amp;" - "&amp;TL[[#This Row],[Compte]]</f>
        <v>DIVES - 64580000</v>
      </c>
      <c r="B5968" s="233" t="s">
        <v>2634</v>
      </c>
      <c r="C5968" s="227" t="s">
        <v>411</v>
      </c>
      <c r="D5968" s="233" t="s">
        <v>12</v>
      </c>
      <c r="E5968" s="233" t="s">
        <v>129</v>
      </c>
      <c r="F5968" s="237" t="s">
        <v>2998</v>
      </c>
    </row>
    <row r="5969" spans="1:6" x14ac:dyDescent="0.25">
      <c r="A5969" s="227" t="str">
        <f>TL[[#This Row],[Société]]&amp;" - "&amp;TL[[#This Row],[Compte]]</f>
        <v>DIVES - 64581000</v>
      </c>
      <c r="B5969" s="233" t="s">
        <v>2648</v>
      </c>
      <c r="C5969" s="227" t="s">
        <v>421</v>
      </c>
      <c r="D5969" s="233" t="s">
        <v>15</v>
      </c>
      <c r="E5969" s="233" t="s">
        <v>13</v>
      </c>
      <c r="F5969" s="237" t="s">
        <v>2998</v>
      </c>
    </row>
    <row r="5970" spans="1:6" x14ac:dyDescent="0.25">
      <c r="A5970" s="227" t="str">
        <f>TL[[#This Row],[Société]]&amp;" - "&amp;TL[[#This Row],[Compte]]</f>
        <v>DIVES - 64582000</v>
      </c>
      <c r="B5970" s="233" t="s">
        <v>3687</v>
      </c>
      <c r="C5970" s="227" t="s">
        <v>923</v>
      </c>
      <c r="D5970" s="233" t="s">
        <v>12</v>
      </c>
      <c r="E5970" s="233" t="s">
        <v>129</v>
      </c>
      <c r="F5970" s="237" t="s">
        <v>2998</v>
      </c>
    </row>
    <row r="5971" spans="1:6" x14ac:dyDescent="0.25">
      <c r="A5971" s="227" t="str">
        <f>TL[[#This Row],[Société]]&amp;" - "&amp;TL[[#This Row],[Compte]]</f>
        <v>DIVES - 64582100</v>
      </c>
      <c r="B5971" s="233" t="s">
        <v>6532</v>
      </c>
      <c r="C5971" s="227" t="s">
        <v>924</v>
      </c>
      <c r="F5971" s="237" t="s">
        <v>2998</v>
      </c>
    </row>
    <row r="5972" spans="1:6" x14ac:dyDescent="0.25">
      <c r="A5972" s="227" t="str">
        <f>TL[[#This Row],[Société]]&amp;" - "&amp;TL[[#This Row],[Compte]]</f>
        <v>DIVES - 64582400</v>
      </c>
      <c r="B5972" s="233" t="s">
        <v>6533</v>
      </c>
      <c r="C5972" s="227" t="s">
        <v>925</v>
      </c>
      <c r="F5972" s="237" t="s">
        <v>2998</v>
      </c>
    </row>
    <row r="5973" spans="1:6" x14ac:dyDescent="0.25">
      <c r="A5973" s="227" t="str">
        <f>TL[[#This Row],[Société]]&amp;" - "&amp;TL[[#This Row],[Compte]]</f>
        <v>DIVES - 64583000</v>
      </c>
      <c r="B5973" s="233" t="s">
        <v>6184</v>
      </c>
      <c r="C5973" s="227" t="s">
        <v>926</v>
      </c>
      <c r="D5973" s="233" t="s">
        <v>15</v>
      </c>
      <c r="E5973" s="233" t="s">
        <v>13</v>
      </c>
      <c r="F5973" s="237" t="s">
        <v>2998</v>
      </c>
    </row>
    <row r="5974" spans="1:6" x14ac:dyDescent="0.25">
      <c r="A5974" s="227" t="str">
        <f>TL[[#This Row],[Société]]&amp;" - "&amp;TL[[#This Row],[Compte]]</f>
        <v>DIVES - 64610000</v>
      </c>
      <c r="B5974" s="233" t="s">
        <v>3688</v>
      </c>
      <c r="C5974" s="227" t="s">
        <v>1045</v>
      </c>
      <c r="D5974" s="233" t="s">
        <v>152</v>
      </c>
      <c r="E5974" s="233" t="s">
        <v>15</v>
      </c>
      <c r="F5974" s="237" t="s">
        <v>2998</v>
      </c>
    </row>
    <row r="5975" spans="1:6" x14ac:dyDescent="0.25">
      <c r="A5975" s="227" t="str">
        <f>TL[[#This Row],[Société]]&amp;" - "&amp;TL[[#This Row],[Compte]]</f>
        <v>DIVES - 64750000</v>
      </c>
      <c r="B5975" s="233" t="s">
        <v>2692</v>
      </c>
      <c r="C5975" s="227" t="s">
        <v>402</v>
      </c>
      <c r="D5975" s="233" t="s">
        <v>20</v>
      </c>
      <c r="E5975" s="233" t="s">
        <v>25</v>
      </c>
      <c r="F5975" s="237" t="s">
        <v>2998</v>
      </c>
    </row>
    <row r="5976" spans="1:6" x14ac:dyDescent="0.25">
      <c r="A5976" s="227" t="str">
        <f>TL[[#This Row],[Société]]&amp;" - "&amp;TL[[#This Row],[Compte]]</f>
        <v>DIVES - 64910000</v>
      </c>
      <c r="B5976" s="233" t="s">
        <v>3689</v>
      </c>
      <c r="C5976" s="227" t="s">
        <v>438</v>
      </c>
      <c r="F5976" s="237" t="s">
        <v>2998</v>
      </c>
    </row>
    <row r="5977" spans="1:6" x14ac:dyDescent="0.25">
      <c r="A5977" s="227" t="str">
        <f>TL[[#This Row],[Société]]&amp;" - "&amp;TL[[#This Row],[Compte]]</f>
        <v>DIVES - 65100100</v>
      </c>
      <c r="B5977" s="233" t="s">
        <v>2713</v>
      </c>
      <c r="C5977" s="227" t="s">
        <v>276</v>
      </c>
      <c r="D5977" s="233" t="s">
        <v>37</v>
      </c>
      <c r="E5977" s="233" t="s">
        <v>42</v>
      </c>
      <c r="F5977" s="237" t="s">
        <v>2998</v>
      </c>
    </row>
    <row r="5978" spans="1:6" x14ac:dyDescent="0.25">
      <c r="A5978" s="227" t="str">
        <f>TL[[#This Row],[Société]]&amp;" - "&amp;TL[[#This Row],[Compte]]</f>
        <v>DIVES - 65100300</v>
      </c>
      <c r="B5978" s="233" t="s">
        <v>3690</v>
      </c>
      <c r="C5978" s="227" t="s">
        <v>282</v>
      </c>
      <c r="D5978" s="233" t="s">
        <v>20</v>
      </c>
      <c r="E5978" s="233" t="s">
        <v>25</v>
      </c>
      <c r="F5978" s="237" t="s">
        <v>2998</v>
      </c>
    </row>
    <row r="5979" spans="1:6" x14ac:dyDescent="0.25">
      <c r="A5979" s="227" t="str">
        <f>TL[[#This Row],[Société]]&amp;" - "&amp;TL[[#This Row],[Compte]]</f>
        <v>DIVES - 65111000</v>
      </c>
      <c r="B5979" s="233" t="s">
        <v>6534</v>
      </c>
      <c r="C5979" s="227" t="s">
        <v>927</v>
      </c>
      <c r="F5979" s="237" t="s">
        <v>2998</v>
      </c>
    </row>
    <row r="5980" spans="1:6" x14ac:dyDescent="0.25">
      <c r="A5980" s="227" t="str">
        <f>TL[[#This Row],[Société]]&amp;" - "&amp;TL[[#This Row],[Compte]]</f>
        <v>DIVES - 65120000</v>
      </c>
      <c r="B5980" s="233" t="s">
        <v>2710</v>
      </c>
      <c r="C5980" s="227" t="s">
        <v>1557</v>
      </c>
      <c r="D5980" s="233" t="s">
        <v>35</v>
      </c>
      <c r="E5980" s="233" t="s">
        <v>37</v>
      </c>
      <c r="F5980" s="237" t="s">
        <v>2998</v>
      </c>
    </row>
    <row r="5981" spans="1:6" x14ac:dyDescent="0.25">
      <c r="A5981" s="227" t="str">
        <f>TL[[#This Row],[Société]]&amp;" - "&amp;TL[[#This Row],[Compte]]</f>
        <v>DIVES - 65121000</v>
      </c>
      <c r="B5981" s="233" t="s">
        <v>2711</v>
      </c>
      <c r="C5981" s="227" t="s">
        <v>1558</v>
      </c>
      <c r="D5981" s="233" t="s">
        <v>37</v>
      </c>
      <c r="E5981" s="233" t="s">
        <v>37</v>
      </c>
      <c r="F5981" s="237" t="s">
        <v>2998</v>
      </c>
    </row>
    <row r="5982" spans="1:6" x14ac:dyDescent="0.25">
      <c r="A5982" s="227" t="str">
        <f>TL[[#This Row],[Société]]&amp;" - "&amp;TL[[#This Row],[Compte]]</f>
        <v>DIVES - 65500000</v>
      </c>
      <c r="B5982" s="233" t="s">
        <v>3694</v>
      </c>
      <c r="C5982" s="227" t="s">
        <v>617</v>
      </c>
      <c r="D5982" s="233" t="s">
        <v>152</v>
      </c>
      <c r="E5982" s="233" t="s">
        <v>52</v>
      </c>
      <c r="F5982" s="237" t="s">
        <v>2998</v>
      </c>
    </row>
    <row r="5983" spans="1:6" x14ac:dyDescent="0.25">
      <c r="A5983" s="227" t="str">
        <f>TL[[#This Row],[Société]]&amp;" - "&amp;TL[[#This Row],[Compte]]</f>
        <v>DIVES - 65800000</v>
      </c>
      <c r="B5983" s="233" t="s">
        <v>3695</v>
      </c>
      <c r="C5983" s="227" t="s">
        <v>306</v>
      </c>
      <c r="D5983" s="233" t="s">
        <v>50</v>
      </c>
      <c r="E5983" s="233" t="s">
        <v>52</v>
      </c>
      <c r="F5983" s="237" t="s">
        <v>2998</v>
      </c>
    </row>
    <row r="5984" spans="1:6" x14ac:dyDescent="0.25">
      <c r="A5984" s="227" t="str">
        <f>TL[[#This Row],[Société]]&amp;" - "&amp;TL[[#This Row],[Compte]]</f>
        <v>DIVES - 66110000</v>
      </c>
      <c r="B5984" s="233" t="s">
        <v>2737</v>
      </c>
      <c r="C5984" s="227" t="s">
        <v>386</v>
      </c>
      <c r="D5984" s="233" t="s">
        <v>47</v>
      </c>
      <c r="E5984" s="233" t="s">
        <v>286</v>
      </c>
      <c r="F5984" s="237" t="s">
        <v>2998</v>
      </c>
    </row>
    <row r="5985" spans="1:6" x14ac:dyDescent="0.25">
      <c r="A5985" s="227" t="str">
        <f>TL[[#This Row],[Société]]&amp;" - "&amp;TL[[#This Row],[Compte]]</f>
        <v>DIVES - 66160000</v>
      </c>
      <c r="B5985" s="233" t="s">
        <v>3700</v>
      </c>
      <c r="C5985" s="227" t="s">
        <v>384</v>
      </c>
      <c r="D5985" s="233" t="s">
        <v>47</v>
      </c>
      <c r="E5985" s="233" t="s">
        <v>21</v>
      </c>
      <c r="F5985" s="237" t="s">
        <v>2998</v>
      </c>
    </row>
    <row r="5986" spans="1:6" x14ac:dyDescent="0.25">
      <c r="A5986" s="227" t="str">
        <f>TL[[#This Row],[Société]]&amp;" - "&amp;TL[[#This Row],[Compte]]</f>
        <v>DIVES - 66161000</v>
      </c>
      <c r="B5986" s="233" t="s">
        <v>6535</v>
      </c>
      <c r="C5986" s="227" t="s">
        <v>384</v>
      </c>
      <c r="D5986" s="233" t="s">
        <v>47</v>
      </c>
      <c r="E5986" s="233" t="s">
        <v>286</v>
      </c>
      <c r="F5986" s="237" t="s">
        <v>2998</v>
      </c>
    </row>
    <row r="5987" spans="1:6" x14ac:dyDescent="0.25">
      <c r="A5987" s="227" t="str">
        <f>TL[[#This Row],[Société]]&amp;" - "&amp;TL[[#This Row],[Compte]]</f>
        <v>DIVES - 66600000</v>
      </c>
      <c r="B5987" s="233" t="s">
        <v>6188</v>
      </c>
      <c r="C5987" s="227" t="s">
        <v>1260</v>
      </c>
      <c r="D5987" s="233" t="s">
        <v>47</v>
      </c>
      <c r="E5987" s="233" t="s">
        <v>286</v>
      </c>
      <c r="F5987" s="237" t="s">
        <v>2998</v>
      </c>
    </row>
    <row r="5988" spans="1:6" x14ac:dyDescent="0.25">
      <c r="A5988" s="227" t="str">
        <f>TL[[#This Row],[Société]]&amp;" - "&amp;TL[[#This Row],[Compte]]</f>
        <v>DIVES - 66880000</v>
      </c>
      <c r="B5988" s="233" t="s">
        <v>6190</v>
      </c>
      <c r="C5988" s="227" t="s">
        <v>1375</v>
      </c>
      <c r="D5988" s="233" t="s">
        <v>47</v>
      </c>
      <c r="E5988" s="233" t="s">
        <v>21</v>
      </c>
      <c r="F5988" s="237" t="s">
        <v>2998</v>
      </c>
    </row>
    <row r="5989" spans="1:6" x14ac:dyDescent="0.25">
      <c r="A5989" s="227" t="str">
        <f>TL[[#This Row],[Société]]&amp;" - "&amp;TL[[#This Row],[Compte]]</f>
        <v>DIVES - 67110000</v>
      </c>
      <c r="B5989" s="233" t="s">
        <v>2707</v>
      </c>
      <c r="C5989" s="227" t="s">
        <v>385</v>
      </c>
      <c r="D5989" s="233" t="s">
        <v>30</v>
      </c>
      <c r="E5989" s="233" t="s">
        <v>2982</v>
      </c>
      <c r="F5989" s="237" t="s">
        <v>2998</v>
      </c>
    </row>
    <row r="5990" spans="1:6" x14ac:dyDescent="0.25">
      <c r="A5990" s="227" t="str">
        <f>TL[[#This Row],[Société]]&amp;" - "&amp;TL[[#This Row],[Compte]]</f>
        <v>DIVES - 67120000</v>
      </c>
      <c r="B5990" s="233" t="s">
        <v>3702</v>
      </c>
      <c r="C5990" s="227" t="s">
        <v>369</v>
      </c>
      <c r="D5990" s="233" t="s">
        <v>50</v>
      </c>
      <c r="E5990" s="233" t="s">
        <v>2995</v>
      </c>
      <c r="F5990" s="237" t="s">
        <v>2998</v>
      </c>
    </row>
    <row r="5991" spans="1:6" x14ac:dyDescent="0.25">
      <c r="A5991" s="227" t="str">
        <f>TL[[#This Row],[Société]]&amp;" - "&amp;TL[[#This Row],[Compte]]</f>
        <v>DIVES - 67130000</v>
      </c>
      <c r="B5991" s="233" t="s">
        <v>3703</v>
      </c>
      <c r="C5991" s="227" t="s">
        <v>155</v>
      </c>
      <c r="D5991" s="233" t="s">
        <v>50</v>
      </c>
      <c r="E5991" s="233" t="s">
        <v>2995</v>
      </c>
      <c r="F5991" s="237" t="s">
        <v>2998</v>
      </c>
    </row>
    <row r="5992" spans="1:6" x14ac:dyDescent="0.25">
      <c r="A5992" s="227" t="str">
        <f>TL[[#This Row],[Société]]&amp;" - "&amp;TL[[#This Row],[Compte]]</f>
        <v>DIVES - 67180000</v>
      </c>
      <c r="B5992" s="233" t="s">
        <v>3705</v>
      </c>
      <c r="C5992" s="227" t="s">
        <v>1376</v>
      </c>
      <c r="D5992" s="233" t="s">
        <v>50</v>
      </c>
      <c r="E5992" s="233" t="s">
        <v>2995</v>
      </c>
      <c r="F5992" s="237" t="s">
        <v>2998</v>
      </c>
    </row>
    <row r="5993" spans="1:6" x14ac:dyDescent="0.25">
      <c r="A5993" s="227" t="str">
        <f>TL[[#This Row],[Société]]&amp;" - "&amp;TL[[#This Row],[Compte]]</f>
        <v>DIVES - 67200000</v>
      </c>
      <c r="B5993" s="233" t="s">
        <v>3706</v>
      </c>
      <c r="C5993" s="227" t="s">
        <v>928</v>
      </c>
      <c r="D5993" s="233" t="s">
        <v>152</v>
      </c>
      <c r="E5993" s="233" t="s">
        <v>2995</v>
      </c>
      <c r="F5993" s="237" t="s">
        <v>2998</v>
      </c>
    </row>
    <row r="5994" spans="1:6" x14ac:dyDescent="0.25">
      <c r="A5994" s="227" t="str">
        <f>TL[[#This Row],[Société]]&amp;" - "&amp;TL[[#This Row],[Compte]]</f>
        <v>DIVES - 67510000</v>
      </c>
      <c r="B5994" s="233" t="s">
        <v>3708</v>
      </c>
      <c r="C5994" s="227" t="s">
        <v>929</v>
      </c>
      <c r="D5994" s="233" t="s">
        <v>44</v>
      </c>
      <c r="E5994" s="233" t="s">
        <v>2995</v>
      </c>
      <c r="F5994" s="237" t="s">
        <v>2998</v>
      </c>
    </row>
    <row r="5995" spans="1:6" x14ac:dyDescent="0.25">
      <c r="A5995" s="227" t="str">
        <f>TL[[#This Row],[Société]]&amp;" - "&amp;TL[[#This Row],[Compte]]</f>
        <v>DIVES - 67520000</v>
      </c>
      <c r="B5995" s="233" t="s">
        <v>3709</v>
      </c>
      <c r="C5995" s="227" t="s">
        <v>930</v>
      </c>
      <c r="D5995" s="233" t="s">
        <v>44</v>
      </c>
      <c r="E5995" s="233" t="s">
        <v>2995</v>
      </c>
      <c r="F5995" s="237" t="s">
        <v>2998</v>
      </c>
    </row>
    <row r="5996" spans="1:6" x14ac:dyDescent="0.25">
      <c r="A5996" s="227" t="str">
        <f>TL[[#This Row],[Société]]&amp;" - "&amp;TL[[#This Row],[Compte]]</f>
        <v>DIVES - 68111000</v>
      </c>
      <c r="B5996" s="233" t="s">
        <v>2724</v>
      </c>
      <c r="C5996" s="227" t="s">
        <v>424</v>
      </c>
      <c r="D5996" s="233" t="s">
        <v>45</v>
      </c>
      <c r="E5996" s="233" t="s">
        <v>48</v>
      </c>
      <c r="F5996" s="237" t="s">
        <v>2998</v>
      </c>
    </row>
    <row r="5997" spans="1:6" x14ac:dyDescent="0.25">
      <c r="A5997" s="227" t="str">
        <f>TL[[#This Row],[Société]]&amp;" - "&amp;TL[[#This Row],[Compte]]</f>
        <v>DIVES - 68112000</v>
      </c>
      <c r="B5997" s="233" t="s">
        <v>3710</v>
      </c>
      <c r="C5997" s="227" t="s">
        <v>431</v>
      </c>
      <c r="D5997" s="233" t="s">
        <v>45</v>
      </c>
      <c r="E5997" s="233" t="s">
        <v>48</v>
      </c>
      <c r="F5997" s="237" t="s">
        <v>2998</v>
      </c>
    </row>
    <row r="5998" spans="1:6" x14ac:dyDescent="0.25">
      <c r="A5998" s="227" t="str">
        <f>TL[[#This Row],[Société]]&amp;" - "&amp;TL[[#This Row],[Compte]]</f>
        <v>DIVES - 68150000</v>
      </c>
      <c r="B5998" s="233" t="s">
        <v>3711</v>
      </c>
      <c r="C5998" s="227" t="s">
        <v>319</v>
      </c>
      <c r="D5998" s="233" t="s">
        <v>45</v>
      </c>
      <c r="E5998" s="233" t="s">
        <v>48</v>
      </c>
      <c r="F5998" s="237" t="s">
        <v>2998</v>
      </c>
    </row>
    <row r="5999" spans="1:6" x14ac:dyDescent="0.25">
      <c r="A5999" s="227" t="str">
        <f>TL[[#This Row],[Société]]&amp;" - "&amp;TL[[#This Row],[Compte]]</f>
        <v>DIVES - 68152000</v>
      </c>
      <c r="B5999" s="233" t="s">
        <v>6536</v>
      </c>
      <c r="C5999" s="227" t="s">
        <v>614</v>
      </c>
      <c r="D5999" s="233" t="s">
        <v>152</v>
      </c>
      <c r="F5999" s="237" t="s">
        <v>2998</v>
      </c>
    </row>
    <row r="6000" spans="1:6" x14ac:dyDescent="0.25">
      <c r="A6000" s="227" t="str">
        <f>TL[[#This Row],[Société]]&amp;" - "&amp;TL[[#This Row],[Compte]]</f>
        <v>DIVES - 68153000</v>
      </c>
      <c r="B6000" s="233" t="s">
        <v>6537</v>
      </c>
      <c r="C6000" s="227" t="s">
        <v>614</v>
      </c>
      <c r="D6000" s="233" t="s">
        <v>152</v>
      </c>
      <c r="F6000" s="237" t="s">
        <v>2998</v>
      </c>
    </row>
    <row r="6001" spans="1:6" x14ac:dyDescent="0.25">
      <c r="A6001" s="227" t="str">
        <f>TL[[#This Row],[Société]]&amp;" - "&amp;TL[[#This Row],[Compte]]</f>
        <v>DIVES - 68711000</v>
      </c>
      <c r="B6001" s="233" t="s">
        <v>3713</v>
      </c>
      <c r="C6001" s="227" t="s">
        <v>621</v>
      </c>
      <c r="D6001" s="233" t="s">
        <v>45</v>
      </c>
      <c r="E6001" s="233" t="s">
        <v>48</v>
      </c>
      <c r="F6001" s="237" t="s">
        <v>2998</v>
      </c>
    </row>
    <row r="6002" spans="1:6" x14ac:dyDescent="0.25">
      <c r="A6002" s="227" t="str">
        <f>TL[[#This Row],[Société]]&amp;" - "&amp;TL[[#This Row],[Compte]]</f>
        <v>DIVES - 68712000</v>
      </c>
      <c r="B6002" s="233" t="s">
        <v>3714</v>
      </c>
      <c r="C6002" s="227" t="s">
        <v>313</v>
      </c>
      <c r="D6002" s="233" t="s">
        <v>45</v>
      </c>
      <c r="E6002" s="233" t="s">
        <v>48</v>
      </c>
      <c r="F6002" s="237" t="s">
        <v>2998</v>
      </c>
    </row>
    <row r="6003" spans="1:6" x14ac:dyDescent="0.25">
      <c r="A6003" s="227" t="str">
        <f>TL[[#This Row],[Société]]&amp;" - "&amp;TL[[#This Row],[Compte]]</f>
        <v>DIVES - 68725000</v>
      </c>
      <c r="B6003" s="233" t="s">
        <v>3715</v>
      </c>
      <c r="C6003" s="227" t="s">
        <v>931</v>
      </c>
      <c r="F6003" s="237" t="s">
        <v>2998</v>
      </c>
    </row>
    <row r="6004" spans="1:6" x14ac:dyDescent="0.25">
      <c r="A6004" s="227" t="str">
        <f>TL[[#This Row],[Société]]&amp;" - "&amp;TL[[#This Row],[Compte]]</f>
        <v>DIVES - 69510000</v>
      </c>
      <c r="B6004" s="233" t="s">
        <v>3717</v>
      </c>
      <c r="C6004" s="227" t="s">
        <v>157</v>
      </c>
      <c r="D6004" s="233" t="s">
        <v>152</v>
      </c>
      <c r="E6004" s="233" t="s">
        <v>1303</v>
      </c>
      <c r="F6004" s="237" t="s">
        <v>2998</v>
      </c>
    </row>
    <row r="6005" spans="1:6" x14ac:dyDescent="0.25">
      <c r="A6005" s="227" t="str">
        <f>TL[[#This Row],[Société]]&amp;" - "&amp;TL[[#This Row],[Compte]]</f>
        <v>DIVES - 69511000</v>
      </c>
      <c r="B6005" s="233" t="s">
        <v>3718</v>
      </c>
      <c r="C6005" s="227" t="s">
        <v>377</v>
      </c>
      <c r="D6005" s="233" t="s">
        <v>148</v>
      </c>
      <c r="E6005" s="233" t="s">
        <v>1303</v>
      </c>
      <c r="F6005" s="237" t="s">
        <v>2998</v>
      </c>
    </row>
    <row r="6006" spans="1:6" x14ac:dyDescent="0.25">
      <c r="A6006" s="227" t="str">
        <f>TL[[#This Row],[Société]]&amp;" - "&amp;TL[[#This Row],[Compte]]</f>
        <v>DIVES - 69891000</v>
      </c>
      <c r="B6006" s="233" t="s">
        <v>3720</v>
      </c>
      <c r="C6006" s="227" t="s">
        <v>442</v>
      </c>
      <c r="F6006" s="237" t="s">
        <v>2998</v>
      </c>
    </row>
    <row r="6007" spans="1:6" x14ac:dyDescent="0.25">
      <c r="A6007" s="227" t="str">
        <f>TL[[#This Row],[Société]]&amp;" - "&amp;TL[[#This Row],[Compte]]</f>
        <v>DIVES - 69892000</v>
      </c>
      <c r="B6007" s="233" t="s">
        <v>3721</v>
      </c>
      <c r="C6007" s="227" t="s">
        <v>440</v>
      </c>
      <c r="F6007" s="237" t="s">
        <v>2998</v>
      </c>
    </row>
    <row r="6008" spans="1:6" x14ac:dyDescent="0.25">
      <c r="A6008" s="227" t="str">
        <f>TL[[#This Row],[Société]]&amp;" - "&amp;TL[[#This Row],[Compte]]</f>
        <v>DIVES - 69899900</v>
      </c>
      <c r="B6008" s="233" t="s">
        <v>3722</v>
      </c>
      <c r="C6008" s="227" t="s">
        <v>932</v>
      </c>
      <c r="F6008" s="237" t="s">
        <v>2998</v>
      </c>
    </row>
    <row r="6009" spans="1:6" x14ac:dyDescent="0.25">
      <c r="A6009" s="227" t="str">
        <f>TL[[#This Row],[Société]]&amp;" - "&amp;TL[[#This Row],[Compte]]</f>
        <v>DIVES - 69910000</v>
      </c>
      <c r="B6009" s="233" t="s">
        <v>3723</v>
      </c>
      <c r="C6009" s="227" t="s">
        <v>933</v>
      </c>
      <c r="D6009" s="233" t="s">
        <v>152</v>
      </c>
      <c r="E6009" s="233" t="s">
        <v>1303</v>
      </c>
      <c r="F6009" s="237" t="s">
        <v>2998</v>
      </c>
    </row>
    <row r="6010" spans="1:6" x14ac:dyDescent="0.25">
      <c r="A6010" s="227" t="str">
        <f>TL[[#This Row],[Société]]&amp;" - "&amp;TL[[#This Row],[Compte]]</f>
        <v>DIVES - 70100100</v>
      </c>
      <c r="B6010" s="233" t="s">
        <v>2613</v>
      </c>
      <c r="C6010" s="227" t="s">
        <v>283</v>
      </c>
      <c r="D6010" s="233" t="s">
        <v>122</v>
      </c>
      <c r="E6010" s="233" t="s">
        <v>68</v>
      </c>
      <c r="F6010" s="237" t="s">
        <v>2998</v>
      </c>
    </row>
    <row r="6011" spans="1:6" x14ac:dyDescent="0.25">
      <c r="A6011" s="227" t="str">
        <f>TL[[#This Row],[Société]]&amp;" - "&amp;TL[[#This Row],[Compte]]</f>
        <v>DIVES - 70100200</v>
      </c>
      <c r="B6011" s="233" t="s">
        <v>2614</v>
      </c>
      <c r="C6011" s="227" t="s">
        <v>439</v>
      </c>
      <c r="D6011" s="233" t="s">
        <v>122</v>
      </c>
      <c r="E6011" s="233" t="s">
        <v>68</v>
      </c>
      <c r="F6011" s="237" t="s">
        <v>2998</v>
      </c>
    </row>
    <row r="6012" spans="1:6" x14ac:dyDescent="0.25">
      <c r="A6012" s="227" t="str">
        <f>TL[[#This Row],[Société]]&amp;" - "&amp;TL[[#This Row],[Compte]]</f>
        <v>DIVES - 70100300</v>
      </c>
      <c r="B6012" s="233" t="s">
        <v>3724</v>
      </c>
      <c r="C6012" s="227" t="s">
        <v>934</v>
      </c>
      <c r="D6012" s="233" t="s">
        <v>122</v>
      </c>
      <c r="E6012" s="233" t="s">
        <v>122</v>
      </c>
      <c r="F6012" s="237" t="s">
        <v>2998</v>
      </c>
    </row>
    <row r="6013" spans="1:6" x14ac:dyDescent="0.25">
      <c r="A6013" s="227" t="str">
        <f>TL[[#This Row],[Société]]&amp;" - "&amp;TL[[#This Row],[Compte]]</f>
        <v>DIVES - 70100400</v>
      </c>
      <c r="B6013" s="233" t="s">
        <v>3725</v>
      </c>
      <c r="C6013" s="227" t="s">
        <v>935</v>
      </c>
      <c r="D6013" s="233" t="s">
        <v>122</v>
      </c>
      <c r="E6013" s="233" t="s">
        <v>122</v>
      </c>
      <c r="F6013" s="237" t="s">
        <v>2998</v>
      </c>
    </row>
    <row r="6014" spans="1:6" x14ac:dyDescent="0.25">
      <c r="A6014" s="227" t="str">
        <f>TL[[#This Row],[Société]]&amp;" - "&amp;TL[[#This Row],[Compte]]</f>
        <v>DIVES - 70100500</v>
      </c>
      <c r="B6014" s="233" t="s">
        <v>3726</v>
      </c>
      <c r="C6014" s="227" t="s">
        <v>539</v>
      </c>
      <c r="F6014" s="237" t="s">
        <v>2998</v>
      </c>
    </row>
    <row r="6015" spans="1:6" x14ac:dyDescent="0.25">
      <c r="A6015" s="227" t="str">
        <f>TL[[#This Row],[Société]]&amp;" - "&amp;TL[[#This Row],[Compte]]</f>
        <v>DIVES - 70100600</v>
      </c>
      <c r="B6015" s="233" t="s">
        <v>3727</v>
      </c>
      <c r="C6015" s="227" t="s">
        <v>539</v>
      </c>
      <c r="F6015" s="237" t="s">
        <v>2998</v>
      </c>
    </row>
    <row r="6016" spans="1:6" x14ac:dyDescent="0.25">
      <c r="A6016" s="227" t="str">
        <f>TL[[#This Row],[Société]]&amp;" - "&amp;TL[[#This Row],[Compte]]</f>
        <v>DIVES - 70101000</v>
      </c>
      <c r="B6016" s="233" t="s">
        <v>2615</v>
      </c>
      <c r="C6016" s="227" t="s">
        <v>378</v>
      </c>
      <c r="D6016" s="233" t="s">
        <v>122</v>
      </c>
      <c r="E6016" s="233" t="s">
        <v>68</v>
      </c>
      <c r="F6016" s="237" t="s">
        <v>2998</v>
      </c>
    </row>
    <row r="6017" spans="1:6" x14ac:dyDescent="0.25">
      <c r="A6017" s="227" t="str">
        <f>TL[[#This Row],[Société]]&amp;" - "&amp;TL[[#This Row],[Compte]]</f>
        <v>DIVES - 70102000</v>
      </c>
      <c r="B6017" s="233" t="s">
        <v>2616</v>
      </c>
      <c r="C6017" s="227" t="s">
        <v>1377</v>
      </c>
      <c r="D6017" s="233" t="s">
        <v>122</v>
      </c>
      <c r="E6017" s="233" t="s">
        <v>68</v>
      </c>
      <c r="F6017" s="237" t="s">
        <v>2998</v>
      </c>
    </row>
    <row r="6018" spans="1:6" x14ac:dyDescent="0.25">
      <c r="A6018" s="227" t="str">
        <f>TL[[#This Row],[Société]]&amp;" - "&amp;TL[[#This Row],[Compte]]</f>
        <v>DIVES - 70230000</v>
      </c>
      <c r="B6018" s="233" t="s">
        <v>2740</v>
      </c>
      <c r="C6018" s="227" t="s">
        <v>256</v>
      </c>
      <c r="D6018" s="233" t="s">
        <v>149</v>
      </c>
      <c r="E6018" s="233" t="s">
        <v>3004</v>
      </c>
      <c r="F6018" s="237" t="s">
        <v>2998</v>
      </c>
    </row>
    <row r="6019" spans="1:6" x14ac:dyDescent="0.25">
      <c r="A6019" s="227" t="str">
        <f>TL[[#This Row],[Société]]&amp;" - "&amp;TL[[#This Row],[Compte]]</f>
        <v>DIVES - 70630000</v>
      </c>
      <c r="B6019" s="233" t="s">
        <v>6538</v>
      </c>
      <c r="C6019" s="227" t="s">
        <v>850</v>
      </c>
      <c r="F6019" s="237" t="s">
        <v>2998</v>
      </c>
    </row>
    <row r="6020" spans="1:6" x14ac:dyDescent="0.25">
      <c r="A6020" s="227" t="str">
        <f>TL[[#This Row],[Société]]&amp;" - "&amp;TL[[#This Row],[Compte]]</f>
        <v>DIVES - 70800000</v>
      </c>
      <c r="B6020" s="233" t="s">
        <v>2620</v>
      </c>
      <c r="C6020" s="227" t="s">
        <v>1509</v>
      </c>
      <c r="D6020" s="233" t="s">
        <v>126</v>
      </c>
      <c r="E6020" s="233" t="s">
        <v>123</v>
      </c>
      <c r="F6020" s="237" t="s">
        <v>2998</v>
      </c>
    </row>
    <row r="6021" spans="1:6" x14ac:dyDescent="0.25">
      <c r="A6021" s="227" t="str">
        <f>TL[[#This Row],[Société]]&amp;" - "&amp;TL[[#This Row],[Compte]]</f>
        <v>DIVES - 70810000</v>
      </c>
      <c r="B6021" s="233" t="s">
        <v>3729</v>
      </c>
      <c r="C6021" s="227" t="s">
        <v>1371</v>
      </c>
      <c r="D6021" s="233" t="s">
        <v>13</v>
      </c>
      <c r="E6021" s="233" t="s">
        <v>16</v>
      </c>
      <c r="F6021" s="237" t="s">
        <v>2998</v>
      </c>
    </row>
    <row r="6022" spans="1:6" x14ac:dyDescent="0.25">
      <c r="A6022" s="227" t="str">
        <f>TL[[#This Row],[Société]]&amp;" - "&amp;TL[[#This Row],[Compte]]</f>
        <v>DIVES - 70810100</v>
      </c>
      <c r="B6022" s="233" t="s">
        <v>6194</v>
      </c>
      <c r="C6022" s="227" t="s">
        <v>936</v>
      </c>
      <c r="D6022" s="233" t="s">
        <v>12</v>
      </c>
      <c r="E6022" s="233" t="s">
        <v>128</v>
      </c>
      <c r="F6022" s="237" t="s">
        <v>2998</v>
      </c>
    </row>
    <row r="6023" spans="1:6" x14ac:dyDescent="0.25">
      <c r="A6023" s="227" t="str">
        <f>TL[[#This Row],[Société]]&amp;" - "&amp;TL[[#This Row],[Compte]]</f>
        <v>DIVES - 70810400</v>
      </c>
      <c r="B6023" s="233" t="s">
        <v>2640</v>
      </c>
      <c r="C6023" s="227" t="s">
        <v>1378</v>
      </c>
      <c r="D6023" s="233" t="s">
        <v>13</v>
      </c>
      <c r="E6023" s="233" t="s">
        <v>12</v>
      </c>
      <c r="F6023" s="237" t="s">
        <v>2998</v>
      </c>
    </row>
    <row r="6024" spans="1:6" x14ac:dyDescent="0.25">
      <c r="A6024" s="227" t="str">
        <f>TL[[#This Row],[Société]]&amp;" - "&amp;TL[[#This Row],[Compte]]</f>
        <v>DIVES - 70820000</v>
      </c>
      <c r="B6024" s="233" t="s">
        <v>3730</v>
      </c>
      <c r="C6024" s="227" t="s">
        <v>802</v>
      </c>
      <c r="D6024" s="233" t="s">
        <v>126</v>
      </c>
      <c r="E6024" s="233" t="s">
        <v>123</v>
      </c>
      <c r="F6024" s="237" t="s">
        <v>2998</v>
      </c>
    </row>
    <row r="6025" spans="1:6" x14ac:dyDescent="0.25">
      <c r="A6025" s="227" t="str">
        <f>TL[[#This Row],[Société]]&amp;" - "&amp;TL[[#This Row],[Compte]]</f>
        <v>DIVES - 70830000</v>
      </c>
      <c r="B6025" s="233" t="s">
        <v>3731</v>
      </c>
      <c r="C6025" s="227" t="s">
        <v>803</v>
      </c>
      <c r="D6025" s="233" t="s">
        <v>123</v>
      </c>
      <c r="E6025" s="233" t="s">
        <v>126</v>
      </c>
      <c r="F6025" s="237" t="s">
        <v>2998</v>
      </c>
    </row>
    <row r="6026" spans="1:6" x14ac:dyDescent="0.25">
      <c r="A6026" s="227" t="str">
        <f>TL[[#This Row],[Société]]&amp;" - "&amp;TL[[#This Row],[Compte]]</f>
        <v>DIVES - 70840000</v>
      </c>
      <c r="B6026" s="233" t="s">
        <v>3732</v>
      </c>
      <c r="C6026" s="227" t="s">
        <v>937</v>
      </c>
      <c r="D6026" s="233" t="s">
        <v>23</v>
      </c>
      <c r="E6026" s="233" t="s">
        <v>2978</v>
      </c>
      <c r="F6026" s="237" t="s">
        <v>2998</v>
      </c>
    </row>
    <row r="6027" spans="1:6" x14ac:dyDescent="0.25">
      <c r="A6027" s="227" t="str">
        <f>TL[[#This Row],[Société]]&amp;" - "&amp;TL[[#This Row],[Compte]]</f>
        <v>DIVES - 70850000</v>
      </c>
      <c r="B6027" s="233" t="s">
        <v>3733</v>
      </c>
      <c r="C6027" s="227" t="s">
        <v>1379</v>
      </c>
      <c r="D6027" s="233" t="s">
        <v>150</v>
      </c>
      <c r="E6027" s="233" t="s">
        <v>54</v>
      </c>
      <c r="F6027" s="237" t="s">
        <v>2998</v>
      </c>
    </row>
    <row r="6028" spans="1:6" x14ac:dyDescent="0.25">
      <c r="A6028" s="227" t="str">
        <f>TL[[#This Row],[Société]]&amp;" - "&amp;TL[[#This Row],[Compte]]</f>
        <v>DIVES - 70860000</v>
      </c>
      <c r="B6028" s="233" t="s">
        <v>3734</v>
      </c>
      <c r="C6028" s="227" t="s">
        <v>1327</v>
      </c>
      <c r="D6028" s="233" t="s">
        <v>18</v>
      </c>
      <c r="E6028" s="233" t="s">
        <v>30</v>
      </c>
      <c r="F6028" s="237" t="s">
        <v>2998</v>
      </c>
    </row>
    <row r="6029" spans="1:6" x14ac:dyDescent="0.25">
      <c r="A6029" s="227" t="str">
        <f>TL[[#This Row],[Société]]&amp;" - "&amp;TL[[#This Row],[Compte]]</f>
        <v>DIVES - 70880000</v>
      </c>
      <c r="B6029" s="233" t="s">
        <v>3736</v>
      </c>
      <c r="C6029" s="227" t="s">
        <v>1280</v>
      </c>
      <c r="D6029" s="233" t="s">
        <v>126</v>
      </c>
      <c r="E6029" s="233" t="s">
        <v>25</v>
      </c>
      <c r="F6029" s="237" t="s">
        <v>2998</v>
      </c>
    </row>
    <row r="6030" spans="1:6" x14ac:dyDescent="0.25">
      <c r="A6030" s="227" t="str">
        <f>TL[[#This Row],[Société]]&amp;" - "&amp;TL[[#This Row],[Compte]]</f>
        <v>DIVES - 70881000</v>
      </c>
      <c r="B6030" s="233" t="s">
        <v>3737</v>
      </c>
      <c r="C6030" s="227" t="s">
        <v>426</v>
      </c>
      <c r="D6030" s="233" t="s">
        <v>13</v>
      </c>
      <c r="E6030" s="233" t="s">
        <v>12</v>
      </c>
      <c r="F6030" s="237" t="s">
        <v>2998</v>
      </c>
    </row>
    <row r="6031" spans="1:6" x14ac:dyDescent="0.25">
      <c r="A6031" s="227" t="str">
        <f>TL[[#This Row],[Société]]&amp;" - "&amp;TL[[#This Row],[Compte]]</f>
        <v>DIVES - 70881100</v>
      </c>
      <c r="B6031" s="233" t="s">
        <v>3738</v>
      </c>
      <c r="C6031" s="227" t="s">
        <v>938</v>
      </c>
      <c r="D6031" s="233" t="s">
        <v>12</v>
      </c>
      <c r="E6031" s="233" t="s">
        <v>128</v>
      </c>
      <c r="F6031" s="237" t="s">
        <v>2998</v>
      </c>
    </row>
    <row r="6032" spans="1:6" x14ac:dyDescent="0.25">
      <c r="A6032" s="227" t="str">
        <f>TL[[#This Row],[Société]]&amp;" - "&amp;TL[[#This Row],[Compte]]</f>
        <v>DIVES - 70881200</v>
      </c>
      <c r="B6032" s="233" t="s">
        <v>3739</v>
      </c>
      <c r="C6032" s="227" t="s">
        <v>1380</v>
      </c>
      <c r="D6032" s="233" t="s">
        <v>18</v>
      </c>
      <c r="E6032" s="233" t="s">
        <v>32</v>
      </c>
      <c r="F6032" s="237" t="s">
        <v>2998</v>
      </c>
    </row>
    <row r="6033" spans="1:6" x14ac:dyDescent="0.25">
      <c r="A6033" s="227" t="str">
        <f>TL[[#This Row],[Société]]&amp;" - "&amp;TL[[#This Row],[Compte]]</f>
        <v>DIVES - 72610000</v>
      </c>
      <c r="B6033" s="233" t="s">
        <v>2629</v>
      </c>
      <c r="C6033" s="227" t="s">
        <v>1355</v>
      </c>
      <c r="D6033" s="233" t="s">
        <v>12</v>
      </c>
      <c r="E6033" s="233" t="s">
        <v>128</v>
      </c>
      <c r="F6033" s="237" t="s">
        <v>2998</v>
      </c>
    </row>
    <row r="6034" spans="1:6" x14ac:dyDescent="0.25">
      <c r="A6034" s="227" t="str">
        <f>TL[[#This Row],[Société]]&amp;" - "&amp;TL[[#This Row],[Compte]]</f>
        <v>DIVES - 72611000</v>
      </c>
      <c r="B6034" s="233" t="s">
        <v>2641</v>
      </c>
      <c r="C6034" s="227" t="s">
        <v>1381</v>
      </c>
      <c r="D6034" s="233" t="s">
        <v>13</v>
      </c>
      <c r="E6034" s="233" t="s">
        <v>12</v>
      </c>
      <c r="F6034" s="237" t="s">
        <v>2998</v>
      </c>
    </row>
    <row r="6035" spans="1:6" x14ac:dyDescent="0.25">
      <c r="A6035" s="227" t="str">
        <f>TL[[#This Row],[Société]]&amp;" - "&amp;TL[[#This Row],[Compte]]</f>
        <v>DIVES - 74010000</v>
      </c>
      <c r="B6035" s="233" t="s">
        <v>3740</v>
      </c>
      <c r="C6035" s="227" t="s">
        <v>1559</v>
      </c>
      <c r="D6035" s="233" t="s">
        <v>50</v>
      </c>
      <c r="E6035" s="233" t="s">
        <v>129</v>
      </c>
      <c r="F6035" s="237" t="s">
        <v>2998</v>
      </c>
    </row>
    <row r="6036" spans="1:6" x14ac:dyDescent="0.25">
      <c r="A6036" s="227" t="str">
        <f>TL[[#This Row],[Société]]&amp;" - "&amp;TL[[#This Row],[Compte]]</f>
        <v>DIVES - 74020000</v>
      </c>
      <c r="B6036" s="233" t="s">
        <v>3741</v>
      </c>
      <c r="C6036" s="227" t="s">
        <v>6922</v>
      </c>
      <c r="D6036" s="233" t="s">
        <v>50</v>
      </c>
      <c r="E6036" s="233" t="s">
        <v>2995</v>
      </c>
      <c r="F6036" s="237" t="s">
        <v>2998</v>
      </c>
    </row>
    <row r="6037" spans="1:6" x14ac:dyDescent="0.25">
      <c r="A6037" s="227" t="str">
        <f>TL[[#This Row],[Société]]&amp;" - "&amp;TL[[#This Row],[Compte]]</f>
        <v>DIVES - 74041000</v>
      </c>
      <c r="B6037" s="233" t="s">
        <v>3744</v>
      </c>
      <c r="C6037" s="227" t="s">
        <v>1510</v>
      </c>
      <c r="D6037" s="233" t="s">
        <v>50</v>
      </c>
      <c r="E6037" s="233" t="s">
        <v>2995</v>
      </c>
      <c r="F6037" s="237" t="s">
        <v>2998</v>
      </c>
    </row>
    <row r="6038" spans="1:6" x14ac:dyDescent="0.25">
      <c r="A6038" s="227" t="str">
        <f>TL[[#This Row],[Société]]&amp;" - "&amp;TL[[#This Row],[Compte]]</f>
        <v>DIVES - 75800000</v>
      </c>
      <c r="B6038" s="233" t="s">
        <v>3745</v>
      </c>
      <c r="C6038" s="227" t="s">
        <v>311</v>
      </c>
      <c r="D6038" s="233" t="s">
        <v>50</v>
      </c>
      <c r="E6038" s="233" t="s">
        <v>2982</v>
      </c>
      <c r="F6038" s="237" t="s">
        <v>2998</v>
      </c>
    </row>
    <row r="6039" spans="1:6" x14ac:dyDescent="0.25">
      <c r="A6039" s="227" t="str">
        <f>TL[[#This Row],[Société]]&amp;" - "&amp;TL[[#This Row],[Compte]]</f>
        <v>DIVES - 76380000</v>
      </c>
      <c r="B6039" s="233" t="s">
        <v>6539</v>
      </c>
      <c r="C6039" s="227" t="s">
        <v>939</v>
      </c>
      <c r="D6039" s="233" t="s">
        <v>47</v>
      </c>
      <c r="E6039" s="233" t="s">
        <v>286</v>
      </c>
      <c r="F6039" s="237" t="s">
        <v>2998</v>
      </c>
    </row>
    <row r="6040" spans="1:6" x14ac:dyDescent="0.25">
      <c r="A6040" s="227" t="str">
        <f>TL[[#This Row],[Société]]&amp;" - "&amp;TL[[#This Row],[Compte]]</f>
        <v>DIVES - 76400000</v>
      </c>
      <c r="B6040" s="233" t="s">
        <v>3746</v>
      </c>
      <c r="C6040" s="227" t="s">
        <v>627</v>
      </c>
      <c r="D6040" s="233" t="s">
        <v>152</v>
      </c>
      <c r="E6040" s="233" t="s">
        <v>286</v>
      </c>
      <c r="F6040" s="237" t="s">
        <v>2998</v>
      </c>
    </row>
    <row r="6041" spans="1:6" x14ac:dyDescent="0.25">
      <c r="A6041" s="227" t="str">
        <f>TL[[#This Row],[Société]]&amp;" - "&amp;TL[[#This Row],[Compte]]</f>
        <v>DIVES - 76600000</v>
      </c>
      <c r="B6041" s="233" t="s">
        <v>3747</v>
      </c>
      <c r="C6041" s="227" t="s">
        <v>940</v>
      </c>
      <c r="F6041" s="237" t="s">
        <v>2998</v>
      </c>
    </row>
    <row r="6042" spans="1:6" x14ac:dyDescent="0.25">
      <c r="A6042" s="227" t="str">
        <f>TL[[#This Row],[Société]]&amp;" - "&amp;TL[[#This Row],[Compte]]</f>
        <v>DIVES - 76700000</v>
      </c>
      <c r="B6042" s="233" t="s">
        <v>3748</v>
      </c>
      <c r="C6042" s="227" t="s">
        <v>315</v>
      </c>
      <c r="D6042" s="233" t="s">
        <v>48</v>
      </c>
      <c r="E6042" s="233" t="s">
        <v>286</v>
      </c>
      <c r="F6042" s="237" t="s">
        <v>2998</v>
      </c>
    </row>
    <row r="6043" spans="1:6" x14ac:dyDescent="0.25">
      <c r="A6043" s="227" t="str">
        <f>TL[[#This Row],[Société]]&amp;" - "&amp;TL[[#This Row],[Compte]]</f>
        <v>DIVES - 76800000</v>
      </c>
      <c r="B6043" s="233" t="s">
        <v>3750</v>
      </c>
      <c r="C6043" s="227" t="s">
        <v>941</v>
      </c>
      <c r="D6043" s="233" t="s">
        <v>48</v>
      </c>
      <c r="E6043" s="233" t="s">
        <v>286</v>
      </c>
      <c r="F6043" s="237" t="s">
        <v>2998</v>
      </c>
    </row>
    <row r="6044" spans="1:6" x14ac:dyDescent="0.25">
      <c r="A6044" s="227" t="str">
        <f>TL[[#This Row],[Société]]&amp;" - "&amp;TL[[#This Row],[Compte]]</f>
        <v>DIVES - 76810000</v>
      </c>
      <c r="B6044" s="233" t="s">
        <v>3751</v>
      </c>
      <c r="C6044" s="227" t="s">
        <v>942</v>
      </c>
      <c r="D6044" s="233" t="s">
        <v>47</v>
      </c>
      <c r="E6044" s="233" t="s">
        <v>286</v>
      </c>
      <c r="F6044" s="237" t="s">
        <v>2998</v>
      </c>
    </row>
    <row r="6045" spans="1:6" x14ac:dyDescent="0.25">
      <c r="A6045" s="227" t="str">
        <f>TL[[#This Row],[Société]]&amp;" - "&amp;TL[[#This Row],[Compte]]</f>
        <v>DIVES - 76880000</v>
      </c>
      <c r="B6045" s="233" t="s">
        <v>6540</v>
      </c>
      <c r="C6045" s="227" t="s">
        <v>1375</v>
      </c>
      <c r="F6045" s="237" t="s">
        <v>2998</v>
      </c>
    </row>
    <row r="6046" spans="1:6" x14ac:dyDescent="0.25">
      <c r="A6046" s="227" t="str">
        <f>TL[[#This Row],[Société]]&amp;" - "&amp;TL[[#This Row],[Compte]]</f>
        <v>DIVES - 77110000</v>
      </c>
      <c r="B6046" s="233" t="s">
        <v>2708</v>
      </c>
      <c r="C6046" s="227" t="s">
        <v>385</v>
      </c>
      <c r="D6046" s="233" t="s">
        <v>30</v>
      </c>
      <c r="E6046" s="233" t="s">
        <v>2982</v>
      </c>
      <c r="F6046" s="237" t="s">
        <v>2998</v>
      </c>
    </row>
    <row r="6047" spans="1:6" x14ac:dyDescent="0.25">
      <c r="A6047" s="227" t="str">
        <f>TL[[#This Row],[Société]]&amp;" - "&amp;TL[[#This Row],[Compte]]</f>
        <v>DIVES - 77180000</v>
      </c>
      <c r="B6047" s="233" t="s">
        <v>3752</v>
      </c>
      <c r="C6047" s="227" t="s">
        <v>943</v>
      </c>
      <c r="D6047" s="233" t="s">
        <v>50</v>
      </c>
      <c r="E6047" s="233" t="s">
        <v>2995</v>
      </c>
      <c r="F6047" s="237" t="s">
        <v>2998</v>
      </c>
    </row>
    <row r="6048" spans="1:6" x14ac:dyDescent="0.25">
      <c r="A6048" s="227" t="str">
        <f>TL[[#This Row],[Société]]&amp;" - "&amp;TL[[#This Row],[Compte]]</f>
        <v>DIVES - 77200000</v>
      </c>
      <c r="B6048" s="233" t="s">
        <v>3753</v>
      </c>
      <c r="C6048" s="227" t="s">
        <v>944</v>
      </c>
      <c r="D6048" s="233" t="s">
        <v>50</v>
      </c>
      <c r="E6048" s="233" t="s">
        <v>2995</v>
      </c>
      <c r="F6048" s="237" t="s">
        <v>2998</v>
      </c>
    </row>
    <row r="6049" spans="1:6" x14ac:dyDescent="0.25">
      <c r="A6049" s="227" t="str">
        <f>TL[[#This Row],[Société]]&amp;" - "&amp;TL[[#This Row],[Compte]]</f>
        <v>DIVES - 77520000</v>
      </c>
      <c r="B6049" s="233" t="s">
        <v>3754</v>
      </c>
      <c r="C6049" s="227" t="s">
        <v>437</v>
      </c>
      <c r="D6049" s="233" t="s">
        <v>50</v>
      </c>
      <c r="E6049" s="233" t="s">
        <v>2995</v>
      </c>
      <c r="F6049" s="237" t="s">
        <v>2998</v>
      </c>
    </row>
    <row r="6050" spans="1:6" x14ac:dyDescent="0.25">
      <c r="A6050" s="227" t="str">
        <f>TL[[#This Row],[Société]]&amp;" - "&amp;TL[[#This Row],[Compte]]</f>
        <v>DIVES - 77800000</v>
      </c>
      <c r="B6050" s="233" t="s">
        <v>6541</v>
      </c>
      <c r="C6050" s="227" t="s">
        <v>1382</v>
      </c>
      <c r="F6050" s="237" t="s">
        <v>2998</v>
      </c>
    </row>
    <row r="6051" spans="1:6" x14ac:dyDescent="0.25">
      <c r="A6051" s="227" t="str">
        <f>TL[[#This Row],[Société]]&amp;" - "&amp;TL[[#This Row],[Compte]]</f>
        <v>DIVES - 78111000</v>
      </c>
      <c r="B6051" s="233" t="s">
        <v>3755</v>
      </c>
      <c r="C6051" s="227" t="s">
        <v>628</v>
      </c>
      <c r="D6051" s="233" t="s">
        <v>45</v>
      </c>
      <c r="E6051" s="233" t="s">
        <v>48</v>
      </c>
      <c r="F6051" s="237" t="s">
        <v>2998</v>
      </c>
    </row>
    <row r="6052" spans="1:6" x14ac:dyDescent="0.25">
      <c r="A6052" s="227" t="str">
        <f>TL[[#This Row],[Société]]&amp;" - "&amp;TL[[#This Row],[Compte]]</f>
        <v>DIVES - 78112000</v>
      </c>
      <c r="B6052" s="233" t="s">
        <v>3756</v>
      </c>
      <c r="C6052" s="227" t="s">
        <v>264</v>
      </c>
      <c r="D6052" s="233" t="s">
        <v>45</v>
      </c>
      <c r="E6052" s="233" t="s">
        <v>48</v>
      </c>
      <c r="F6052" s="237" t="s">
        <v>2998</v>
      </c>
    </row>
    <row r="6053" spans="1:6" x14ac:dyDescent="0.25">
      <c r="A6053" s="227" t="str">
        <f>TL[[#This Row],[Société]]&amp;" - "&amp;TL[[#This Row],[Compte]]</f>
        <v>DIVES - 78150000</v>
      </c>
      <c r="B6053" s="233" t="s">
        <v>3757</v>
      </c>
      <c r="C6053" s="227" t="s">
        <v>176</v>
      </c>
      <c r="D6053" s="233" t="s">
        <v>45</v>
      </c>
      <c r="E6053" s="233" t="s">
        <v>48</v>
      </c>
      <c r="F6053" s="237" t="s">
        <v>2998</v>
      </c>
    </row>
    <row r="6054" spans="1:6" x14ac:dyDescent="0.25">
      <c r="A6054" s="227" t="str">
        <f>TL[[#This Row],[Société]]&amp;" - "&amp;TL[[#This Row],[Compte]]</f>
        <v>DIVES - 78711000</v>
      </c>
      <c r="B6054" s="233" t="s">
        <v>3758</v>
      </c>
      <c r="C6054" s="227" t="s">
        <v>812</v>
      </c>
      <c r="F6054" s="237" t="s">
        <v>2998</v>
      </c>
    </row>
    <row r="6055" spans="1:6" x14ac:dyDescent="0.25">
      <c r="A6055" s="227" t="str">
        <f>TL[[#This Row],[Société]]&amp;" - "&amp;TL[[#This Row],[Compte]]</f>
        <v>DIVES - 78712000</v>
      </c>
      <c r="B6055" s="233" t="s">
        <v>3759</v>
      </c>
      <c r="C6055" s="227" t="s">
        <v>813</v>
      </c>
      <c r="F6055" s="237" t="s">
        <v>2998</v>
      </c>
    </row>
    <row r="6056" spans="1:6" x14ac:dyDescent="0.25">
      <c r="A6056" s="227" t="str">
        <f>TL[[#This Row],[Société]]&amp;" - "&amp;TL[[#This Row],[Compte]]</f>
        <v>DIVES - 78725000</v>
      </c>
      <c r="B6056" s="233" t="s">
        <v>3760</v>
      </c>
      <c r="C6056" s="227" t="s">
        <v>629</v>
      </c>
      <c r="D6056" s="233" t="s">
        <v>45</v>
      </c>
      <c r="E6056" s="233" t="s">
        <v>48</v>
      </c>
      <c r="F6056" s="237" t="s">
        <v>2998</v>
      </c>
    </row>
    <row r="6057" spans="1:6" x14ac:dyDescent="0.25">
      <c r="A6057" s="227" t="str">
        <f>TL[[#This Row],[Société]]&amp;" - "&amp;TL[[#This Row],[Compte]]</f>
        <v>DIVES - 79100000</v>
      </c>
      <c r="B6057" s="233" t="s">
        <v>3761</v>
      </c>
      <c r="C6057" s="227" t="s">
        <v>415</v>
      </c>
      <c r="D6057" s="233" t="s">
        <v>50</v>
      </c>
      <c r="E6057" s="233" t="s">
        <v>52</v>
      </c>
      <c r="F6057" s="237" t="s">
        <v>2998</v>
      </c>
    </row>
    <row r="6058" spans="1:6" x14ac:dyDescent="0.25">
      <c r="A6058" s="227" t="str">
        <f>TL[[#This Row],[Société]]&amp;" - "&amp;TL[[#This Row],[Compte]]</f>
        <v>DIVES - 79110000</v>
      </c>
      <c r="B6058" s="233" t="s">
        <v>3762</v>
      </c>
      <c r="C6058" s="227" t="s">
        <v>630</v>
      </c>
      <c r="D6058" s="233" t="s">
        <v>13</v>
      </c>
      <c r="E6058" s="233" t="s">
        <v>12</v>
      </c>
      <c r="F6058" s="237" t="s">
        <v>2998</v>
      </c>
    </row>
    <row r="6059" spans="1:6" x14ac:dyDescent="0.25">
      <c r="A6059" s="227" t="str">
        <f>TL[[#This Row],[Société]]&amp;" - "&amp;TL[[#This Row],[Compte]]</f>
        <v>DIVES - 79110100</v>
      </c>
      <c r="B6059" s="233" t="s">
        <v>3763</v>
      </c>
      <c r="C6059" s="227" t="s">
        <v>274</v>
      </c>
      <c r="D6059" s="233" t="s">
        <v>12</v>
      </c>
      <c r="E6059" s="233" t="s">
        <v>128</v>
      </c>
      <c r="F6059" s="237" t="s">
        <v>2998</v>
      </c>
    </row>
    <row r="6060" spans="1:6" x14ac:dyDescent="0.25">
      <c r="A6060" s="227" t="str">
        <f>TL[[#This Row],[Société]]&amp;" - "&amp;TL[[#This Row],[Compte]]</f>
        <v>DIVES - 79110400</v>
      </c>
      <c r="B6060" s="233" t="s">
        <v>3764</v>
      </c>
      <c r="C6060" s="227" t="s">
        <v>344</v>
      </c>
      <c r="D6060" s="233" t="s">
        <v>13</v>
      </c>
      <c r="E6060" s="233" t="s">
        <v>12</v>
      </c>
      <c r="F6060" s="237" t="s">
        <v>2998</v>
      </c>
    </row>
    <row r="6061" spans="1:6" x14ac:dyDescent="0.25">
      <c r="A6061" s="227" t="str">
        <f>TL[[#This Row],[Société]]&amp;" - "&amp;TL[[#This Row],[Compte]]</f>
        <v>DIVES - 79111000</v>
      </c>
      <c r="B6061" s="233" t="s">
        <v>3766</v>
      </c>
      <c r="C6061" s="227" t="s">
        <v>945</v>
      </c>
      <c r="D6061" s="233" t="s">
        <v>12</v>
      </c>
      <c r="E6061" s="233" t="s">
        <v>128</v>
      </c>
      <c r="F6061" s="237" t="s">
        <v>2998</v>
      </c>
    </row>
    <row r="6062" spans="1:6" x14ac:dyDescent="0.25">
      <c r="A6062" s="227" t="str">
        <f>TL[[#This Row],[Société]]&amp;" - "&amp;TL[[#This Row],[Compte]]</f>
        <v>DIVES - 79112000</v>
      </c>
      <c r="B6062" s="233" t="s">
        <v>6542</v>
      </c>
      <c r="C6062" s="227" t="s">
        <v>946</v>
      </c>
      <c r="F6062" s="237" t="s">
        <v>2998</v>
      </c>
    </row>
    <row r="6063" spans="1:6" x14ac:dyDescent="0.25">
      <c r="A6063" s="227" t="str">
        <f>TL[[#This Row],[Société]]&amp;" - "&amp;TL[[#This Row],[Compte]]</f>
        <v>DIVES - 79120000</v>
      </c>
      <c r="B6063" s="233" t="s">
        <v>3767</v>
      </c>
      <c r="C6063" s="227" t="s">
        <v>1383</v>
      </c>
      <c r="D6063" s="233" t="s">
        <v>152</v>
      </c>
      <c r="E6063" s="233" t="s">
        <v>52</v>
      </c>
      <c r="F6063" s="237" t="s">
        <v>2998</v>
      </c>
    </row>
    <row r="6064" spans="1:6" x14ac:dyDescent="0.25">
      <c r="A6064" s="227" t="str">
        <f>TL[[#This Row],[Société]]&amp;" - "&amp;TL[[#This Row],[Compte]]</f>
        <v>DIVES - 79121000</v>
      </c>
      <c r="B6064" s="233" t="s">
        <v>3768</v>
      </c>
      <c r="C6064" s="227" t="s">
        <v>1384</v>
      </c>
      <c r="F6064" s="237" t="s">
        <v>2998</v>
      </c>
    </row>
    <row r="6065" spans="1:6" x14ac:dyDescent="0.25">
      <c r="A6065" s="227" t="str">
        <f>TL[[#This Row],[Société]]&amp;" - "&amp;TL[[#This Row],[Compte]]</f>
        <v>DIVES - 79700000</v>
      </c>
      <c r="B6065" s="233" t="s">
        <v>6543</v>
      </c>
      <c r="C6065" s="227" t="s">
        <v>947</v>
      </c>
      <c r="F6065" s="237" t="s">
        <v>2998</v>
      </c>
    </row>
    <row r="6066" spans="1:6" x14ac:dyDescent="0.25">
      <c r="A6066" s="227" t="str">
        <f>TL[[#This Row],[Société]]&amp;" - "&amp;TL[[#This Row],[Compte]]</f>
        <v>DIVES - 89000000</v>
      </c>
      <c r="B6066" s="233" t="s">
        <v>3772</v>
      </c>
      <c r="C6066" s="227" t="s">
        <v>631</v>
      </c>
      <c r="F6066" s="237" t="s">
        <v>2998</v>
      </c>
    </row>
    <row r="6067" spans="1:6" x14ac:dyDescent="0.25">
      <c r="A6067" s="227" t="str">
        <f>TL[[#This Row],[Société]]&amp;" - "&amp;TL[[#This Row],[Compte]]</f>
        <v>GLR5 - 621407</v>
      </c>
      <c r="B6067" s="242" t="s">
        <v>6469</v>
      </c>
      <c r="C6067" s="237" t="s">
        <v>6925</v>
      </c>
      <c r="D6067" s="242" t="s">
        <v>50</v>
      </c>
      <c r="E6067" s="242" t="s">
        <v>52</v>
      </c>
      <c r="F6067" s="237" t="s">
        <v>2999</v>
      </c>
    </row>
    <row r="6068" spans="1:6" x14ac:dyDescent="0.25">
      <c r="A6068" s="227" t="str">
        <f>TL[[#This Row],[Société]]&amp;" - "&amp;TL[[#This Row],[Compte]]</f>
        <v>GLR5 - 625211</v>
      </c>
      <c r="B6068" s="242" t="s">
        <v>6926</v>
      </c>
      <c r="C6068" s="227" t="s">
        <v>6912</v>
      </c>
      <c r="D6068" s="227" t="s">
        <v>50</v>
      </c>
      <c r="E6068" s="227" t="s">
        <v>52</v>
      </c>
      <c r="F6068" s="227" t="s">
        <v>2999</v>
      </c>
    </row>
    <row r="6069" spans="1:6" x14ac:dyDescent="0.25">
      <c r="A6069" s="227" t="str">
        <f>TL[[#This Row],[Société]]&amp;" - "&amp;TL[[#This Row],[Compte]]</f>
        <v>HTR8 - 61302400</v>
      </c>
      <c r="B6069" s="227" t="s">
        <v>6913</v>
      </c>
      <c r="C6069" s="227" t="s">
        <v>6914</v>
      </c>
      <c r="D6069" s="227" t="s">
        <v>50</v>
      </c>
      <c r="E6069" s="227" t="s">
        <v>52</v>
      </c>
      <c r="F6069" s="237" t="s">
        <v>3001</v>
      </c>
    </row>
    <row r="6070" spans="1:6" x14ac:dyDescent="0.25">
      <c r="A6070" s="227" t="str">
        <f>TL[[#This Row],[Société]]&amp;" - "&amp;TL[[#This Row],[Compte]]</f>
        <v>TURVILLA - 613267</v>
      </c>
      <c r="B6070" s="242" t="s">
        <v>6927</v>
      </c>
      <c r="C6070" s="227" t="s">
        <v>6915</v>
      </c>
      <c r="D6070" s="227" t="s">
        <v>50</v>
      </c>
      <c r="E6070" s="227" t="s">
        <v>52</v>
      </c>
      <c r="F6070" s="237" t="s">
        <v>2156</v>
      </c>
    </row>
    <row r="6071" spans="1:6" x14ac:dyDescent="0.25">
      <c r="A6071" s="227" t="str">
        <f>TL[[#This Row],[Société]]&amp;" - "&amp;TL[[#This Row],[Compte]]</f>
        <v>TURVILLA - 613268</v>
      </c>
      <c r="B6071" s="242" t="s">
        <v>6928</v>
      </c>
      <c r="C6071" s="227" t="s">
        <v>6916</v>
      </c>
      <c r="D6071" s="227" t="s">
        <v>50</v>
      </c>
      <c r="E6071" s="227" t="s">
        <v>52</v>
      </c>
      <c r="F6071" s="237" t="s">
        <v>2156</v>
      </c>
    </row>
    <row r="6072" spans="1:6" x14ac:dyDescent="0.25">
      <c r="A6072" s="227" t="str">
        <f>TL[[#This Row],[Société]]&amp;" - "&amp;TL[[#This Row],[Compte]]</f>
        <v>HART - 602612</v>
      </c>
      <c r="B6072" s="227" t="s">
        <v>6279</v>
      </c>
      <c r="C6072" s="227" t="s">
        <v>2965</v>
      </c>
      <c r="D6072" s="227" t="s">
        <v>0</v>
      </c>
      <c r="E6072" s="227" t="s">
        <v>2964</v>
      </c>
      <c r="F6072" s="237" t="s">
        <v>3000</v>
      </c>
    </row>
    <row r="6073" spans="1:6" x14ac:dyDescent="0.25">
      <c r="A6073" s="227" t="str">
        <f>TL[[#This Row],[Société]]&amp;" - "&amp;TL[[#This Row],[Compte]]</f>
        <v>VICTOIRE - 621404</v>
      </c>
      <c r="B6073" s="244" t="s">
        <v>1615</v>
      </c>
      <c r="C6073" s="227" t="s">
        <v>6917</v>
      </c>
      <c r="D6073" s="242" t="s">
        <v>50</v>
      </c>
      <c r="E6073" s="242" t="s">
        <v>52</v>
      </c>
      <c r="F6073" s="237" t="s">
        <v>3002</v>
      </c>
    </row>
    <row r="6074" spans="1:6" x14ac:dyDescent="0.25">
      <c r="A6074" s="227" t="str">
        <f>TL[[#This Row],[Société]]&amp;" - "&amp;TL[[#This Row],[Compte]]</f>
        <v>HART - 626000</v>
      </c>
      <c r="B6074" s="227" t="s">
        <v>3277</v>
      </c>
      <c r="C6074" s="227" t="s">
        <v>6929</v>
      </c>
      <c r="D6074" s="227" t="s">
        <v>27</v>
      </c>
      <c r="E6074" s="227" t="s">
        <v>34</v>
      </c>
      <c r="F6074" s="227" t="s">
        <v>3000</v>
      </c>
    </row>
    <row r="6075" spans="1:6" x14ac:dyDescent="0.25">
      <c r="A6075" s="227" t="str">
        <f>TL[[#This Row],[Société]]&amp;" - "&amp;TL[[#This Row],[Compte]]</f>
        <v>TIRR - 708841</v>
      </c>
      <c r="B6075" s="224" t="s">
        <v>6011</v>
      </c>
      <c r="C6075" s="245" t="s">
        <v>6930</v>
      </c>
      <c r="D6075" s="227" t="s">
        <v>12</v>
      </c>
      <c r="E6075" s="227" t="s">
        <v>129</v>
      </c>
      <c r="F6075" s="245" t="s">
        <v>210</v>
      </c>
    </row>
    <row r="6076" spans="1:6" x14ac:dyDescent="0.25">
      <c r="A6076" s="227" t="str">
        <f>TL[[#This Row],[Société]]&amp;" - "&amp;TL[[#This Row],[Compte]]</f>
        <v>GLR5 - 606402</v>
      </c>
      <c r="B6076" s="227" t="s">
        <v>6931</v>
      </c>
      <c r="C6076" s="227" t="s">
        <v>6932</v>
      </c>
      <c r="D6076" s="247" t="s">
        <v>29</v>
      </c>
      <c r="E6076" s="247" t="s">
        <v>2978</v>
      </c>
      <c r="F6076" s="246" t="s">
        <v>2999</v>
      </c>
    </row>
    <row r="6077" spans="1:6" x14ac:dyDescent="0.25">
      <c r="A6077" s="227" t="str">
        <f>TL[[#This Row],[Société]]&amp;" - "&amp;TL[[#This Row],[Compte]]</f>
        <v>VR7 - 708200</v>
      </c>
      <c r="B6077" s="227" t="s">
        <v>2056</v>
      </c>
      <c r="C6077" s="227" t="s">
        <v>6935</v>
      </c>
      <c r="D6077" s="247" t="s">
        <v>50</v>
      </c>
      <c r="E6077" s="247" t="s">
        <v>52</v>
      </c>
      <c r="F6077" s="246" t="s">
        <v>3003</v>
      </c>
    </row>
    <row r="6078" spans="1:6" x14ac:dyDescent="0.25">
      <c r="A6078" s="227" t="str">
        <f>TL[[#This Row],[Société]]&amp;" - "&amp;TL[[#This Row],[Compte]]</f>
        <v>VICTOIRE - 609000</v>
      </c>
      <c r="B6078" s="227" t="s">
        <v>3203</v>
      </c>
      <c r="C6078" s="227" t="s">
        <v>3204</v>
      </c>
      <c r="D6078" s="247" t="s">
        <v>0</v>
      </c>
      <c r="E6078" s="247" t="s">
        <v>7</v>
      </c>
      <c r="F6078" s="246" t="s">
        <v>3002</v>
      </c>
    </row>
    <row r="6079" spans="1:6" x14ac:dyDescent="0.25">
      <c r="A6079" s="227" t="str">
        <f>TL[[#This Row],[Société]]&amp;" - "&amp;TL[[#This Row],[Compte]]</f>
        <v>LYSE - 603211</v>
      </c>
      <c r="B6079" s="227" t="s">
        <v>6857</v>
      </c>
      <c r="C6079" s="227" t="s">
        <v>6858</v>
      </c>
      <c r="D6079" s="247" t="s">
        <v>0</v>
      </c>
      <c r="E6079" s="247" t="s">
        <v>2964</v>
      </c>
      <c r="F6079" s="246" t="s">
        <v>294</v>
      </c>
    </row>
    <row r="6080" spans="1:6" x14ac:dyDescent="0.25">
      <c r="A6080" s="227" t="str">
        <f>TL[[#This Row],[Société]]&amp;" - "&amp;TL[[#This Row],[Compte]]</f>
        <v>HTR8 - 65140000</v>
      </c>
      <c r="B6080" s="227" t="s">
        <v>6937</v>
      </c>
      <c r="C6080" s="227" t="s">
        <v>6933</v>
      </c>
      <c r="D6080" s="248" t="s">
        <v>35</v>
      </c>
      <c r="E6080" s="248" t="s">
        <v>37</v>
      </c>
      <c r="F6080" s="249" t="s">
        <v>3001</v>
      </c>
    </row>
    <row r="6081" spans="1:6" x14ac:dyDescent="0.25">
      <c r="A6081" s="227" t="str">
        <f>TL[[#This Row],[Société]]&amp;" - "&amp;TL[[#This Row],[Compte]]</f>
        <v>TIRR - 651400</v>
      </c>
      <c r="B6081" s="227" t="s">
        <v>6934</v>
      </c>
      <c r="C6081" s="227" t="s">
        <v>6938</v>
      </c>
      <c r="D6081" s="227" t="s">
        <v>35</v>
      </c>
      <c r="E6081" s="227" t="s">
        <v>37</v>
      </c>
      <c r="F6081" s="249" t="s">
        <v>210</v>
      </c>
    </row>
    <row r="6082" spans="1:6" x14ac:dyDescent="0.25">
      <c r="A6082" s="227" t="str">
        <f>TL[[#This Row],[Société]]&amp;" - "&amp;TL[[#This Row],[Compte]]</f>
        <v>VR7 - 651300</v>
      </c>
      <c r="B6082" s="227" t="s">
        <v>5257</v>
      </c>
      <c r="C6082" s="227" t="s">
        <v>6933</v>
      </c>
      <c r="D6082" s="227" t="s">
        <v>35</v>
      </c>
      <c r="E6082" s="227" t="s">
        <v>37</v>
      </c>
      <c r="F6082" s="249" t="s">
        <v>3003</v>
      </c>
    </row>
    <row r="6083" spans="1:6" x14ac:dyDescent="0.25">
      <c r="A6083" s="227" t="str">
        <f>TL[[#This Row],[Société]]&amp;" - "&amp;TL[[#This Row],[Compte]]</f>
        <v>TURVILLA - 651400</v>
      </c>
      <c r="B6083" s="227" t="s">
        <v>6934</v>
      </c>
      <c r="C6083" s="227" t="s">
        <v>6933</v>
      </c>
      <c r="D6083" s="227" t="s">
        <v>35</v>
      </c>
      <c r="E6083" s="227" t="s">
        <v>37</v>
      </c>
      <c r="F6083" s="249" t="s">
        <v>2156</v>
      </c>
    </row>
    <row r="6084" spans="1:6" x14ac:dyDescent="0.25">
      <c r="A6084" s="227" t="str">
        <f>TL[[#This Row],[Société]]&amp;" - "&amp;TL[[#This Row],[Compte]]</f>
        <v>VICTOIRE - 613100</v>
      </c>
      <c r="B6084" s="227" t="s">
        <v>1918</v>
      </c>
      <c r="C6084" s="227" t="s">
        <v>6936</v>
      </c>
      <c r="D6084" s="248" t="s">
        <v>50</v>
      </c>
      <c r="E6084" s="227">
        <v>40</v>
      </c>
      <c r="F6084" s="249" t="s">
        <v>3002</v>
      </c>
    </row>
    <row r="6085" spans="1:6" x14ac:dyDescent="0.25">
      <c r="A6085" s="227" t="str">
        <f>TL[[#This Row],[Société]]&amp;" - "&amp;TL[[#This Row],[Compte]]</f>
        <v>TH4 - 65132000</v>
      </c>
      <c r="B6085" s="227" t="s">
        <v>6939</v>
      </c>
      <c r="C6085" s="227" t="s">
        <v>6940</v>
      </c>
      <c r="D6085" s="227" t="s">
        <v>35</v>
      </c>
      <c r="E6085" s="227" t="s">
        <v>37</v>
      </c>
      <c r="F6085" s="249" t="s">
        <v>297</v>
      </c>
    </row>
    <row r="6086" spans="1:6" x14ac:dyDescent="0.25">
      <c r="A6086" s="227" t="str">
        <f>TL[[#This Row],[Société]]&amp;" - "&amp;TL[[#This Row],[Compte]]</f>
        <v>R314 - 65130000</v>
      </c>
      <c r="B6086" s="227" t="s">
        <v>3691</v>
      </c>
      <c r="C6086" s="227" t="s">
        <v>6940</v>
      </c>
      <c r="D6086" s="227" t="s">
        <v>35</v>
      </c>
      <c r="E6086" s="227" t="s">
        <v>37</v>
      </c>
      <c r="F6086" s="249" t="s">
        <v>301</v>
      </c>
    </row>
    <row r="6087" spans="1:6" x14ac:dyDescent="0.25">
      <c r="A6087" s="227" t="str">
        <f>TL[[#This Row],[Société]]&amp;" - "&amp;TL[[#This Row],[Compte]]</f>
        <v>LYSE - 615643</v>
      </c>
      <c r="B6087" s="227" t="s">
        <v>3246</v>
      </c>
      <c r="C6087" s="227" t="s">
        <v>6941</v>
      </c>
      <c r="D6087" s="248" t="s">
        <v>20</v>
      </c>
      <c r="E6087" s="248" t="s">
        <v>25</v>
      </c>
      <c r="F6087" s="249" t="s">
        <v>294</v>
      </c>
    </row>
    <row r="6088" spans="1:6" x14ac:dyDescent="0.25">
      <c r="A6088" s="227" t="str">
        <f>TL[[#This Row],[Société]]&amp;" - "&amp;TL[[#This Row],[Compte]]</f>
        <v>LYSE - 651300</v>
      </c>
      <c r="B6088" s="227" t="s">
        <v>5257</v>
      </c>
      <c r="C6088" s="227" t="s">
        <v>6940</v>
      </c>
      <c r="D6088" s="227" t="s">
        <v>35</v>
      </c>
      <c r="E6088" s="227" t="s">
        <v>37</v>
      </c>
      <c r="F6088" s="249" t="s">
        <v>294</v>
      </c>
    </row>
    <row r="6089" spans="1:6" x14ac:dyDescent="0.25">
      <c r="A6089" s="227" t="str">
        <f>TL[[#This Row],[Société]]&amp;" - "&amp;TL[[#This Row],[Compte]]</f>
        <v>HTR8 - 64115000</v>
      </c>
      <c r="B6089" s="227" t="s">
        <v>6635</v>
      </c>
      <c r="C6089" s="251" t="s">
        <v>6943</v>
      </c>
      <c r="D6089" s="250" t="s">
        <v>16</v>
      </c>
      <c r="E6089" s="250" t="s">
        <v>16</v>
      </c>
      <c r="F6089" s="251" t="s">
        <v>3001</v>
      </c>
    </row>
    <row r="6090" spans="1:6" x14ac:dyDescent="0.25">
      <c r="A6090" s="227" t="str">
        <f>TL[[#This Row],[Société]]&amp;" - "&amp;TL[[#This Row],[Compte]]</f>
        <v>GLR5 - 740300</v>
      </c>
      <c r="B6090" s="227" t="s">
        <v>2066</v>
      </c>
      <c r="C6090" s="261" t="s">
        <v>6953</v>
      </c>
      <c r="D6090" s="227" t="s">
        <v>27</v>
      </c>
      <c r="E6090" s="227" t="s">
        <v>34</v>
      </c>
      <c r="F6090" s="261" t="s">
        <v>2999</v>
      </c>
    </row>
    <row r="6091" spans="1:6" x14ac:dyDescent="0.25">
      <c r="A6091" s="227" t="str">
        <f>TL[[#This Row],[Société]]&amp;" - "&amp;TL[[#This Row],[Compte]]</f>
        <v>GLR5 - 628300</v>
      </c>
      <c r="B6091" s="224" t="s">
        <v>1619</v>
      </c>
      <c r="C6091" s="261" t="s">
        <v>33</v>
      </c>
      <c r="D6091" s="262" t="s">
        <v>32</v>
      </c>
      <c r="E6091" s="262" t="s">
        <v>2982</v>
      </c>
      <c r="F6091" s="261" t="s">
        <v>2999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DBC5C-C772-457E-8A18-F3EF583963B7}">
  <sheetPr>
    <tabColor rgb="FFFFFF00"/>
  </sheetPr>
  <dimension ref="A1:H4560"/>
  <sheetViews>
    <sheetView topLeftCell="A314" zoomScaleNormal="100" workbookViewId="0">
      <selection activeCell="D332" sqref="D332"/>
    </sheetView>
  </sheetViews>
  <sheetFormatPr baseColWidth="10" defaultRowHeight="12.75" x14ac:dyDescent="0.2"/>
  <cols>
    <col min="1" max="1" width="19.28515625" customWidth="1"/>
    <col min="2" max="2" width="11.5703125" style="161"/>
    <col min="3" max="3" width="11.42578125" style="228"/>
    <col min="4" max="4" width="18.42578125" style="212" customWidth="1"/>
  </cols>
  <sheetData>
    <row r="1" spans="1:8" x14ac:dyDescent="0.2">
      <c r="A1" t="s">
        <v>3041</v>
      </c>
      <c r="B1" s="161" t="s">
        <v>106</v>
      </c>
      <c r="C1" s="228" t="s">
        <v>3040</v>
      </c>
      <c r="D1" s="212" t="s">
        <v>3042</v>
      </c>
      <c r="E1" s="212" t="s">
        <v>3043</v>
      </c>
    </row>
    <row r="2" spans="1:8" x14ac:dyDescent="0.2">
      <c r="A2" t="s">
        <v>2999</v>
      </c>
      <c r="B2" s="291">
        <v>1</v>
      </c>
      <c r="C2" s="228">
        <v>2</v>
      </c>
      <c r="D2" s="212">
        <v>-370437.56</v>
      </c>
      <c r="E2" s="212"/>
      <c r="H2" t="s">
        <v>3044</v>
      </c>
    </row>
    <row r="3" spans="1:8" x14ac:dyDescent="0.2">
      <c r="A3" t="s">
        <v>2999</v>
      </c>
      <c r="B3" s="291">
        <v>1</v>
      </c>
      <c r="C3" s="228">
        <v>3</v>
      </c>
      <c r="D3" s="212">
        <v>84010.21</v>
      </c>
      <c r="E3" s="212"/>
      <c r="H3" t="s">
        <v>3045</v>
      </c>
    </row>
    <row r="4" spans="1:8" x14ac:dyDescent="0.2">
      <c r="A4" t="s">
        <v>2999</v>
      </c>
      <c r="B4" s="291">
        <v>1</v>
      </c>
      <c r="C4" s="228">
        <v>4</v>
      </c>
      <c r="D4" s="212">
        <v>1628.56</v>
      </c>
      <c r="E4" s="212"/>
    </row>
    <row r="5" spans="1:8" x14ac:dyDescent="0.2">
      <c r="A5" t="s">
        <v>2999</v>
      </c>
      <c r="B5" s="291">
        <v>1</v>
      </c>
      <c r="C5" s="228">
        <v>5</v>
      </c>
      <c r="D5" s="212">
        <v>1931.15</v>
      </c>
      <c r="E5" s="212"/>
    </row>
    <row r="6" spans="1:8" x14ac:dyDescent="0.2">
      <c r="A6" t="s">
        <v>2999</v>
      </c>
      <c r="B6" s="291">
        <v>1</v>
      </c>
      <c r="C6" s="228">
        <v>6</v>
      </c>
      <c r="D6" s="212">
        <v>8915.7199999999993</v>
      </c>
      <c r="E6" s="212"/>
    </row>
    <row r="7" spans="1:8" x14ac:dyDescent="0.2">
      <c r="A7" t="s">
        <v>2999</v>
      </c>
      <c r="B7" s="291">
        <v>1</v>
      </c>
      <c r="C7" s="228" t="s">
        <v>2964</v>
      </c>
      <c r="D7" s="212">
        <v>1300.76</v>
      </c>
      <c r="E7" s="212"/>
    </row>
    <row r="8" spans="1:8" x14ac:dyDescent="0.2">
      <c r="A8" t="s">
        <v>2999</v>
      </c>
      <c r="B8" s="291">
        <v>1</v>
      </c>
      <c r="C8" s="228">
        <v>8</v>
      </c>
      <c r="D8" s="212">
        <v>66031.399999999994</v>
      </c>
      <c r="E8" s="212"/>
    </row>
    <row r="9" spans="1:8" x14ac:dyDescent="0.2">
      <c r="A9" t="s">
        <v>2999</v>
      </c>
      <c r="B9" s="291">
        <v>1</v>
      </c>
      <c r="C9" s="228">
        <v>9</v>
      </c>
      <c r="D9" s="212">
        <v>7904.13</v>
      </c>
      <c r="E9" s="212"/>
    </row>
    <row r="10" spans="1:8" x14ac:dyDescent="0.2">
      <c r="A10" t="s">
        <v>2999</v>
      </c>
      <c r="B10" s="291">
        <v>1</v>
      </c>
      <c r="C10" s="228">
        <v>10</v>
      </c>
      <c r="D10" s="212">
        <v>21061.18</v>
      </c>
      <c r="E10" s="212"/>
    </row>
    <row r="11" spans="1:8" x14ac:dyDescent="0.2">
      <c r="A11" t="s">
        <v>2999</v>
      </c>
      <c r="B11" s="291">
        <v>1</v>
      </c>
      <c r="C11" s="228">
        <v>11</v>
      </c>
      <c r="D11" s="212">
        <v>4919.95</v>
      </c>
      <c r="E11" s="212"/>
    </row>
    <row r="12" spans="1:8" x14ac:dyDescent="0.2">
      <c r="A12" t="s">
        <v>2999</v>
      </c>
      <c r="B12" s="291">
        <v>1</v>
      </c>
      <c r="C12" s="228">
        <v>15</v>
      </c>
      <c r="D12" s="212">
        <v>140</v>
      </c>
      <c r="E12" s="212"/>
    </row>
    <row r="13" spans="1:8" x14ac:dyDescent="0.2">
      <c r="A13" t="s">
        <v>2999</v>
      </c>
      <c r="B13" s="291">
        <v>1</v>
      </c>
      <c r="C13" s="228">
        <v>16</v>
      </c>
      <c r="D13" s="212">
        <v>82.3</v>
      </c>
      <c r="E13" s="212"/>
    </row>
    <row r="14" spans="1:8" x14ac:dyDescent="0.2">
      <c r="A14" t="s">
        <v>2999</v>
      </c>
      <c r="B14" s="291">
        <v>1</v>
      </c>
      <c r="C14" s="228">
        <v>17</v>
      </c>
      <c r="D14" s="212">
        <v>3123.78</v>
      </c>
      <c r="E14" s="212"/>
    </row>
    <row r="15" spans="1:8" x14ac:dyDescent="0.2">
      <c r="A15" t="s">
        <v>2999</v>
      </c>
      <c r="B15" s="291">
        <v>1</v>
      </c>
      <c r="C15" s="228">
        <v>18</v>
      </c>
      <c r="D15" s="212">
        <v>-2870.94</v>
      </c>
      <c r="E15" s="212"/>
    </row>
    <row r="16" spans="1:8" x14ac:dyDescent="0.2">
      <c r="A16" t="s">
        <v>2999</v>
      </c>
      <c r="B16" s="291">
        <v>1</v>
      </c>
      <c r="C16" s="228">
        <v>19</v>
      </c>
      <c r="D16" s="212">
        <v>8968.77</v>
      </c>
      <c r="E16" s="212"/>
    </row>
    <row r="17" spans="1:5" x14ac:dyDescent="0.2">
      <c r="A17" t="s">
        <v>2999</v>
      </c>
      <c r="B17" s="291">
        <v>1</v>
      </c>
      <c r="C17" s="228">
        <v>21</v>
      </c>
      <c r="D17" s="212">
        <v>2169.64</v>
      </c>
      <c r="E17" s="212"/>
    </row>
    <row r="18" spans="1:5" x14ac:dyDescent="0.2">
      <c r="A18" t="s">
        <v>2999</v>
      </c>
      <c r="B18" s="291">
        <v>1</v>
      </c>
      <c r="C18" s="228">
        <v>22</v>
      </c>
      <c r="D18" s="212">
        <v>14946.67</v>
      </c>
      <c r="E18" s="212"/>
    </row>
    <row r="19" spans="1:5" x14ac:dyDescent="0.2">
      <c r="A19" t="s">
        <v>2999</v>
      </c>
      <c r="B19" s="291">
        <v>1</v>
      </c>
      <c r="C19" s="228">
        <v>23</v>
      </c>
      <c r="D19" s="212">
        <v>6675.63</v>
      </c>
      <c r="E19" s="212"/>
    </row>
    <row r="20" spans="1:5" x14ac:dyDescent="0.2">
      <c r="A20" t="s">
        <v>2999</v>
      </c>
      <c r="B20" s="291">
        <v>1</v>
      </c>
      <c r="C20" s="228">
        <v>24</v>
      </c>
      <c r="D20" s="212">
        <v>12395.8</v>
      </c>
      <c r="E20" s="212"/>
    </row>
    <row r="21" spans="1:5" x14ac:dyDescent="0.2">
      <c r="A21" t="s">
        <v>2999</v>
      </c>
      <c r="B21" s="291">
        <v>1</v>
      </c>
      <c r="C21" s="228">
        <v>25</v>
      </c>
      <c r="D21" s="212">
        <v>5008.83</v>
      </c>
      <c r="E21" s="212"/>
    </row>
    <row r="22" spans="1:5" x14ac:dyDescent="0.2">
      <c r="A22" t="s">
        <v>2999</v>
      </c>
      <c r="B22" s="291">
        <v>1</v>
      </c>
      <c r="C22" s="228">
        <v>26</v>
      </c>
      <c r="D22" s="212">
        <v>0</v>
      </c>
      <c r="E22" s="212"/>
    </row>
    <row r="23" spans="1:5" x14ac:dyDescent="0.2">
      <c r="A23" t="s">
        <v>2999</v>
      </c>
      <c r="B23" s="291">
        <v>1</v>
      </c>
      <c r="C23" s="228">
        <v>27</v>
      </c>
      <c r="D23" s="212">
        <v>879.6</v>
      </c>
      <c r="E23" s="212"/>
    </row>
    <row r="24" spans="1:5" x14ac:dyDescent="0.2">
      <c r="A24" t="s">
        <v>2999</v>
      </c>
      <c r="B24" s="291">
        <v>1</v>
      </c>
      <c r="C24" s="228">
        <v>29</v>
      </c>
      <c r="D24" s="212">
        <v>58602.82</v>
      </c>
      <c r="E24" s="212"/>
    </row>
    <row r="25" spans="1:5" x14ac:dyDescent="0.2">
      <c r="A25" t="s">
        <v>2999</v>
      </c>
      <c r="B25" s="291">
        <v>1</v>
      </c>
      <c r="C25" s="228">
        <v>31</v>
      </c>
      <c r="D25" s="212">
        <v>-905.28</v>
      </c>
      <c r="E25" s="212"/>
    </row>
    <row r="26" spans="1:5" x14ac:dyDescent="0.2">
      <c r="A26" t="s">
        <v>2999</v>
      </c>
      <c r="B26" s="291">
        <v>1</v>
      </c>
      <c r="C26" s="228">
        <v>33</v>
      </c>
      <c r="D26" s="212">
        <v>789</v>
      </c>
      <c r="E26" s="212"/>
    </row>
    <row r="27" spans="1:5" x14ac:dyDescent="0.2">
      <c r="A27" t="s">
        <v>2999</v>
      </c>
      <c r="B27" s="291">
        <v>1</v>
      </c>
      <c r="C27" s="228">
        <v>34</v>
      </c>
      <c r="D27" s="212">
        <v>18904.14</v>
      </c>
      <c r="E27" s="212"/>
    </row>
    <row r="28" spans="1:5" x14ac:dyDescent="0.2">
      <c r="A28" t="s">
        <v>2999</v>
      </c>
      <c r="B28" s="291">
        <v>1</v>
      </c>
      <c r="C28" s="228">
        <v>35</v>
      </c>
      <c r="D28" s="212">
        <v>1460.33</v>
      </c>
      <c r="E28" s="212"/>
    </row>
    <row r="29" spans="1:5" x14ac:dyDescent="0.2">
      <c r="A29" t="s">
        <v>2999</v>
      </c>
      <c r="B29" s="291">
        <v>1</v>
      </c>
      <c r="C29" s="228">
        <v>36</v>
      </c>
      <c r="D29" s="212">
        <v>1845.97</v>
      </c>
      <c r="E29" s="212"/>
    </row>
    <row r="30" spans="1:5" x14ac:dyDescent="0.2">
      <c r="A30" t="s">
        <v>2999</v>
      </c>
      <c r="B30" s="291">
        <v>1</v>
      </c>
      <c r="C30" s="228">
        <v>37</v>
      </c>
      <c r="D30" s="212">
        <v>3665.93</v>
      </c>
      <c r="E30" s="212"/>
    </row>
    <row r="31" spans="1:5" x14ac:dyDescent="0.2">
      <c r="A31" t="s">
        <v>2999</v>
      </c>
      <c r="B31" s="291">
        <v>1</v>
      </c>
      <c r="C31" s="228">
        <v>38</v>
      </c>
      <c r="D31" s="212">
        <v>10063.49</v>
      </c>
      <c r="E31" s="212"/>
    </row>
    <row r="32" spans="1:5" x14ac:dyDescent="0.2">
      <c r="A32" t="s">
        <v>2999</v>
      </c>
      <c r="B32" s="291">
        <v>1</v>
      </c>
      <c r="C32" s="228">
        <v>40</v>
      </c>
      <c r="D32" s="212">
        <v>1259.1300000000001</v>
      </c>
      <c r="E32" s="212"/>
    </row>
    <row r="33" spans="1:5" x14ac:dyDescent="0.2">
      <c r="A33" t="s">
        <v>2999</v>
      </c>
      <c r="B33" s="291">
        <v>1</v>
      </c>
      <c r="C33" s="228">
        <v>46</v>
      </c>
      <c r="D33" s="212">
        <v>26033</v>
      </c>
      <c r="E33" s="212"/>
    </row>
    <row r="34" spans="1:5" x14ac:dyDescent="0.2">
      <c r="A34" t="s">
        <v>2999</v>
      </c>
      <c r="B34" s="291">
        <v>1</v>
      </c>
      <c r="C34" s="228" t="s">
        <v>2991</v>
      </c>
      <c r="D34" s="212">
        <v>-7645.14</v>
      </c>
      <c r="E34" s="212"/>
    </row>
    <row r="35" spans="1:5" x14ac:dyDescent="0.2">
      <c r="A35" t="s">
        <v>2999</v>
      </c>
      <c r="B35" s="291">
        <v>1</v>
      </c>
      <c r="C35" s="228" t="s">
        <v>2992</v>
      </c>
      <c r="D35" s="212">
        <v>7852.76</v>
      </c>
      <c r="E35" s="212"/>
    </row>
    <row r="36" spans="1:5" x14ac:dyDescent="0.2">
      <c r="A36" t="s">
        <v>3001</v>
      </c>
      <c r="B36" s="291">
        <v>1</v>
      </c>
      <c r="C36" s="228">
        <v>2</v>
      </c>
      <c r="D36" s="212">
        <v>-191414.29</v>
      </c>
      <c r="E36" s="212"/>
    </row>
    <row r="37" spans="1:5" x14ac:dyDescent="0.2">
      <c r="A37" t="s">
        <v>3001</v>
      </c>
      <c r="B37" s="291">
        <v>1</v>
      </c>
      <c r="C37" s="228">
        <v>3</v>
      </c>
      <c r="D37" s="212">
        <v>43012.07</v>
      </c>
      <c r="E37" s="212"/>
    </row>
    <row r="38" spans="1:5" x14ac:dyDescent="0.2">
      <c r="A38" t="s">
        <v>3001</v>
      </c>
      <c r="B38" s="291">
        <v>1</v>
      </c>
      <c r="C38" s="228">
        <v>4</v>
      </c>
      <c r="D38" s="212">
        <v>1168.3800000000001</v>
      </c>
      <c r="E38" s="212"/>
    </row>
    <row r="39" spans="1:5" x14ac:dyDescent="0.2">
      <c r="A39" t="s">
        <v>3001</v>
      </c>
      <c r="B39" s="291">
        <v>1</v>
      </c>
      <c r="C39" s="228">
        <v>5</v>
      </c>
      <c r="D39" s="212">
        <v>1391.89</v>
      </c>
      <c r="E39" s="212"/>
    </row>
    <row r="40" spans="1:5" x14ac:dyDescent="0.2">
      <c r="A40" t="s">
        <v>3001</v>
      </c>
      <c r="B40" s="291">
        <v>1</v>
      </c>
      <c r="C40" s="228">
        <v>6</v>
      </c>
      <c r="D40" s="212">
        <v>4752.79</v>
      </c>
      <c r="E40" s="212"/>
    </row>
    <row r="41" spans="1:5" x14ac:dyDescent="0.2">
      <c r="A41" t="s">
        <v>3001</v>
      </c>
      <c r="B41" s="291">
        <v>1</v>
      </c>
      <c r="C41" s="228" t="s">
        <v>2964</v>
      </c>
      <c r="D41" s="212">
        <v>188.39</v>
      </c>
      <c r="E41" s="212"/>
    </row>
    <row r="42" spans="1:5" x14ac:dyDescent="0.2">
      <c r="A42" t="s">
        <v>3001</v>
      </c>
      <c r="B42" s="291">
        <v>1</v>
      </c>
      <c r="C42" s="228">
        <v>8</v>
      </c>
      <c r="D42" s="212">
        <v>32367.49</v>
      </c>
      <c r="E42" s="212"/>
    </row>
    <row r="43" spans="1:5" x14ac:dyDescent="0.2">
      <c r="A43" t="s">
        <v>3001</v>
      </c>
      <c r="B43" s="291">
        <v>1</v>
      </c>
      <c r="C43" s="228">
        <v>9</v>
      </c>
      <c r="D43" s="212">
        <v>4091.35</v>
      </c>
      <c r="E43" s="212"/>
    </row>
    <row r="44" spans="1:5" x14ac:dyDescent="0.2">
      <c r="A44" t="s">
        <v>3001</v>
      </c>
      <c r="B44" s="291">
        <v>1</v>
      </c>
      <c r="C44" s="228">
        <v>10</v>
      </c>
      <c r="D44" s="212">
        <v>16439.97</v>
      </c>
      <c r="E44" s="212"/>
    </row>
    <row r="45" spans="1:5" x14ac:dyDescent="0.2">
      <c r="A45" t="s">
        <v>3001</v>
      </c>
      <c r="B45" s="291">
        <v>1</v>
      </c>
      <c r="C45" s="228">
        <v>11</v>
      </c>
      <c r="D45" s="212">
        <v>3301.84</v>
      </c>
      <c r="E45" s="212"/>
    </row>
    <row r="46" spans="1:5" x14ac:dyDescent="0.2">
      <c r="A46" t="s">
        <v>3001</v>
      </c>
      <c r="B46" s="291">
        <v>1</v>
      </c>
      <c r="C46" s="228">
        <v>15</v>
      </c>
      <c r="D46" s="212">
        <v>142.58000000000001</v>
      </c>
      <c r="E46" s="212"/>
    </row>
    <row r="47" spans="1:5" x14ac:dyDescent="0.2">
      <c r="A47" t="s">
        <v>3001</v>
      </c>
      <c r="B47" s="291">
        <v>1</v>
      </c>
      <c r="C47" s="228">
        <v>16</v>
      </c>
      <c r="D47" s="212">
        <v>84.34</v>
      </c>
      <c r="E47" s="212"/>
    </row>
    <row r="48" spans="1:5" x14ac:dyDescent="0.2">
      <c r="A48" t="s">
        <v>3001</v>
      </c>
      <c r="B48" s="291">
        <v>1</v>
      </c>
      <c r="C48" s="228">
        <v>17</v>
      </c>
      <c r="D48" s="212">
        <v>1491.67</v>
      </c>
      <c r="E48" s="212"/>
    </row>
    <row r="49" spans="1:5" x14ac:dyDescent="0.2">
      <c r="A49" t="s">
        <v>3001</v>
      </c>
      <c r="B49" s="291">
        <v>1</v>
      </c>
      <c r="C49" s="228">
        <v>18</v>
      </c>
      <c r="D49" s="212">
        <v>2543.9699999999998</v>
      </c>
      <c r="E49" s="212"/>
    </row>
    <row r="50" spans="1:5" x14ac:dyDescent="0.2">
      <c r="A50" t="s">
        <v>3001</v>
      </c>
      <c r="B50" s="291">
        <v>1</v>
      </c>
      <c r="C50" s="228">
        <v>19</v>
      </c>
      <c r="D50" s="212">
        <v>7707.87</v>
      </c>
      <c r="E50" s="212"/>
    </row>
    <row r="51" spans="1:5" x14ac:dyDescent="0.2">
      <c r="A51" t="s">
        <v>3001</v>
      </c>
      <c r="B51" s="291">
        <v>1</v>
      </c>
      <c r="C51" s="228">
        <v>22</v>
      </c>
      <c r="D51" s="212">
        <v>7686.7</v>
      </c>
      <c r="E51" s="212"/>
    </row>
    <row r="52" spans="1:5" x14ac:dyDescent="0.2">
      <c r="A52" t="s">
        <v>3001</v>
      </c>
      <c r="B52" s="291">
        <v>1</v>
      </c>
      <c r="C52" s="228">
        <v>23</v>
      </c>
      <c r="D52" s="212">
        <v>3657.71</v>
      </c>
      <c r="E52" s="212"/>
    </row>
    <row r="53" spans="1:5" x14ac:dyDescent="0.2">
      <c r="A53" t="s">
        <v>3001</v>
      </c>
      <c r="B53" s="291">
        <v>1</v>
      </c>
      <c r="C53" s="228">
        <v>24</v>
      </c>
      <c r="D53" s="212">
        <v>10289.59</v>
      </c>
      <c r="E53" s="212"/>
    </row>
    <row r="54" spans="1:5" x14ac:dyDescent="0.2">
      <c r="A54" t="s">
        <v>3001</v>
      </c>
      <c r="B54" s="291">
        <v>1</v>
      </c>
      <c r="C54" s="228">
        <v>25</v>
      </c>
      <c r="D54" s="212">
        <v>2747.15</v>
      </c>
      <c r="E54" s="212"/>
    </row>
    <row r="55" spans="1:5" x14ac:dyDescent="0.2">
      <c r="A55" t="s">
        <v>3001</v>
      </c>
      <c r="B55" s="291">
        <v>1</v>
      </c>
      <c r="C55" s="228">
        <v>26</v>
      </c>
      <c r="D55" s="212">
        <v>31.35</v>
      </c>
      <c r="E55" s="212"/>
    </row>
    <row r="56" spans="1:5" x14ac:dyDescent="0.2">
      <c r="A56" t="s">
        <v>3001</v>
      </c>
      <c r="B56" s="291">
        <v>1</v>
      </c>
      <c r="C56" s="228">
        <v>27</v>
      </c>
      <c r="D56" s="212">
        <v>393.76</v>
      </c>
      <c r="E56" s="212"/>
    </row>
    <row r="57" spans="1:5" x14ac:dyDescent="0.2">
      <c r="A57" t="s">
        <v>3001</v>
      </c>
      <c r="B57" s="291">
        <v>1</v>
      </c>
      <c r="C57" s="228">
        <v>29</v>
      </c>
      <c r="D57" s="212">
        <v>32032.240000000002</v>
      </c>
      <c r="E57" s="212"/>
    </row>
    <row r="58" spans="1:5" x14ac:dyDescent="0.2">
      <c r="A58" t="s">
        <v>3001</v>
      </c>
      <c r="B58" s="291">
        <v>1</v>
      </c>
      <c r="C58" s="228">
        <v>31</v>
      </c>
      <c r="D58" s="212">
        <v>-423.12</v>
      </c>
      <c r="E58" s="212"/>
    </row>
    <row r="59" spans="1:5" x14ac:dyDescent="0.2">
      <c r="A59" t="s">
        <v>3001</v>
      </c>
      <c r="B59" s="291">
        <v>1</v>
      </c>
      <c r="C59" s="228">
        <v>33</v>
      </c>
      <c r="D59" s="212">
        <v>465</v>
      </c>
      <c r="E59" s="212"/>
    </row>
    <row r="60" spans="1:5" x14ac:dyDescent="0.2">
      <c r="A60" t="s">
        <v>3001</v>
      </c>
      <c r="B60" s="291">
        <v>1</v>
      </c>
      <c r="C60" s="228">
        <v>34</v>
      </c>
      <c r="D60" s="212">
        <v>9706.74</v>
      </c>
      <c r="E60" s="212"/>
    </row>
    <row r="61" spans="1:5" x14ac:dyDescent="0.2">
      <c r="A61" t="s">
        <v>3001</v>
      </c>
      <c r="B61" s="291">
        <v>1</v>
      </c>
      <c r="C61" s="228">
        <v>35</v>
      </c>
      <c r="D61" s="212">
        <v>986</v>
      </c>
      <c r="E61" s="212"/>
    </row>
    <row r="62" spans="1:5" x14ac:dyDescent="0.2">
      <c r="A62" t="s">
        <v>3001</v>
      </c>
      <c r="B62" s="291">
        <v>1</v>
      </c>
      <c r="C62" s="228">
        <v>36</v>
      </c>
      <c r="D62" s="212">
        <v>1121.8599999999999</v>
      </c>
      <c r="E62" s="212"/>
    </row>
    <row r="63" spans="1:5" x14ac:dyDescent="0.2">
      <c r="A63" t="s">
        <v>3001</v>
      </c>
      <c r="B63" s="291">
        <v>1</v>
      </c>
      <c r="C63" s="228">
        <v>37</v>
      </c>
      <c r="D63" s="212">
        <v>2075.25</v>
      </c>
      <c r="E63" s="212"/>
    </row>
    <row r="64" spans="1:5" x14ac:dyDescent="0.2">
      <c r="A64" t="s">
        <v>3001</v>
      </c>
      <c r="B64" s="291">
        <v>1</v>
      </c>
      <c r="C64" s="228">
        <v>38</v>
      </c>
      <c r="D64" s="212">
        <v>5620</v>
      </c>
      <c r="E64" s="212"/>
    </row>
    <row r="65" spans="1:5" x14ac:dyDescent="0.2">
      <c r="A65" t="s">
        <v>3001</v>
      </c>
      <c r="B65" s="291">
        <v>1</v>
      </c>
      <c r="C65" s="228">
        <v>40</v>
      </c>
      <c r="D65" s="212">
        <v>3032.3</v>
      </c>
      <c r="E65" s="212"/>
    </row>
    <row r="66" spans="1:5" x14ac:dyDescent="0.2">
      <c r="A66" t="s">
        <v>3001</v>
      </c>
      <c r="B66" s="291">
        <v>1</v>
      </c>
      <c r="C66" s="228">
        <v>42</v>
      </c>
      <c r="D66" s="212">
        <v>21.24</v>
      </c>
      <c r="E66" s="212"/>
    </row>
    <row r="67" spans="1:5" x14ac:dyDescent="0.2">
      <c r="A67" t="s">
        <v>3001</v>
      </c>
      <c r="B67" s="291">
        <v>1</v>
      </c>
      <c r="C67" s="228">
        <v>46</v>
      </c>
      <c r="D67" s="212">
        <v>12933.33</v>
      </c>
      <c r="E67" s="212"/>
    </row>
    <row r="68" spans="1:5" x14ac:dyDescent="0.2">
      <c r="A68" t="s">
        <v>3001</v>
      </c>
      <c r="B68" s="291">
        <v>1</v>
      </c>
      <c r="C68" s="228" t="s">
        <v>2991</v>
      </c>
      <c r="D68" s="212">
        <v>-2720.48</v>
      </c>
      <c r="E68" s="212"/>
    </row>
    <row r="69" spans="1:5" x14ac:dyDescent="0.2">
      <c r="A69" t="s">
        <v>3001</v>
      </c>
      <c r="B69" s="291">
        <v>1</v>
      </c>
      <c r="C69" s="228" t="s">
        <v>2992</v>
      </c>
      <c r="D69" s="212">
        <v>2182.52</v>
      </c>
      <c r="E69" s="212"/>
    </row>
    <row r="70" spans="1:5" x14ac:dyDescent="0.2">
      <c r="A70" t="s">
        <v>210</v>
      </c>
      <c r="B70" s="291">
        <v>1</v>
      </c>
      <c r="C70" s="228">
        <v>2</v>
      </c>
      <c r="D70" s="212">
        <v>-258424.23</v>
      </c>
      <c r="E70" s="212"/>
    </row>
    <row r="71" spans="1:5" x14ac:dyDescent="0.2">
      <c r="A71" t="s">
        <v>210</v>
      </c>
      <c r="B71" s="291">
        <v>1</v>
      </c>
      <c r="C71" s="228">
        <v>3</v>
      </c>
      <c r="D71" s="212">
        <v>55349.04</v>
      </c>
      <c r="E71" s="212"/>
    </row>
    <row r="72" spans="1:5" x14ac:dyDescent="0.2">
      <c r="A72" t="s">
        <v>210</v>
      </c>
      <c r="B72" s="291">
        <v>1</v>
      </c>
      <c r="C72" s="228">
        <v>4</v>
      </c>
      <c r="D72" s="212">
        <v>901.77</v>
      </c>
      <c r="E72" s="212"/>
    </row>
    <row r="73" spans="1:5" x14ac:dyDescent="0.2">
      <c r="A73" t="s">
        <v>210</v>
      </c>
      <c r="B73" s="291">
        <v>1</v>
      </c>
      <c r="C73" s="228">
        <v>5</v>
      </c>
      <c r="D73" s="212">
        <v>1196.79</v>
      </c>
      <c r="E73" s="212"/>
    </row>
    <row r="74" spans="1:5" x14ac:dyDescent="0.2">
      <c r="A74" t="s">
        <v>210</v>
      </c>
      <c r="B74" s="291">
        <v>1</v>
      </c>
      <c r="C74" s="228">
        <v>6</v>
      </c>
      <c r="D74" s="212">
        <v>5465.52</v>
      </c>
      <c r="E74" s="212"/>
    </row>
    <row r="75" spans="1:5" x14ac:dyDescent="0.2">
      <c r="A75" t="s">
        <v>210</v>
      </c>
      <c r="B75" s="291">
        <v>1</v>
      </c>
      <c r="C75" s="228" t="s">
        <v>2964</v>
      </c>
      <c r="D75" s="212">
        <v>654.27</v>
      </c>
      <c r="E75" s="212"/>
    </row>
    <row r="76" spans="1:5" x14ac:dyDescent="0.2">
      <c r="A76" t="s">
        <v>210</v>
      </c>
      <c r="B76" s="291">
        <v>1</v>
      </c>
      <c r="C76" s="228">
        <v>8</v>
      </c>
      <c r="D76" s="212">
        <v>32358.41</v>
      </c>
      <c r="E76" s="212"/>
    </row>
    <row r="77" spans="1:5" x14ac:dyDescent="0.2">
      <c r="A77" t="s">
        <v>210</v>
      </c>
      <c r="B77" s="291">
        <v>1</v>
      </c>
      <c r="C77" s="228">
        <v>9</v>
      </c>
      <c r="D77" s="212">
        <v>4005.03</v>
      </c>
      <c r="E77" s="212"/>
    </row>
    <row r="78" spans="1:5" x14ac:dyDescent="0.2">
      <c r="A78" t="s">
        <v>210</v>
      </c>
      <c r="B78" s="291">
        <v>1</v>
      </c>
      <c r="C78" s="228">
        <v>10</v>
      </c>
      <c r="D78" s="212">
        <v>32370.71</v>
      </c>
      <c r="E78" s="212"/>
    </row>
    <row r="79" spans="1:5" x14ac:dyDescent="0.2">
      <c r="A79" t="s">
        <v>210</v>
      </c>
      <c r="B79" s="291">
        <v>1</v>
      </c>
      <c r="C79" s="228">
        <v>11</v>
      </c>
      <c r="D79" s="212">
        <v>4559.72</v>
      </c>
      <c r="E79" s="212"/>
    </row>
    <row r="80" spans="1:5" x14ac:dyDescent="0.2">
      <c r="A80" t="s">
        <v>210</v>
      </c>
      <c r="B80" s="291">
        <v>1</v>
      </c>
      <c r="C80" s="228">
        <v>15</v>
      </c>
      <c r="D80" s="212">
        <v>325</v>
      </c>
      <c r="E80" s="212"/>
    </row>
    <row r="81" spans="1:5" x14ac:dyDescent="0.2">
      <c r="A81" t="s">
        <v>210</v>
      </c>
      <c r="B81" s="291">
        <v>1</v>
      </c>
      <c r="C81" s="228">
        <v>16</v>
      </c>
      <c r="D81" s="212">
        <v>206.47</v>
      </c>
      <c r="E81" s="212"/>
    </row>
    <row r="82" spans="1:5" x14ac:dyDescent="0.2">
      <c r="A82" t="s">
        <v>210</v>
      </c>
      <c r="B82" s="291">
        <v>1</v>
      </c>
      <c r="C82" s="228">
        <v>17</v>
      </c>
      <c r="D82" s="212">
        <v>1871.06</v>
      </c>
      <c r="E82" s="212"/>
    </row>
    <row r="83" spans="1:5" x14ac:dyDescent="0.2">
      <c r="A83" t="s">
        <v>210</v>
      </c>
      <c r="B83" s="291">
        <v>1</v>
      </c>
      <c r="C83" s="228">
        <v>18</v>
      </c>
      <c r="D83" s="212">
        <v>1469.65</v>
      </c>
      <c r="E83" s="212"/>
    </row>
    <row r="84" spans="1:5" x14ac:dyDescent="0.2">
      <c r="A84" t="s">
        <v>210</v>
      </c>
      <c r="B84" s="291">
        <v>1</v>
      </c>
      <c r="C84" s="228">
        <v>19</v>
      </c>
      <c r="D84" s="212">
        <v>6942.23</v>
      </c>
      <c r="E84" s="212"/>
    </row>
    <row r="85" spans="1:5" x14ac:dyDescent="0.2">
      <c r="A85" t="s">
        <v>210</v>
      </c>
      <c r="B85" s="291">
        <v>1</v>
      </c>
      <c r="C85" s="228">
        <v>21</v>
      </c>
      <c r="D85" s="212">
        <v>5911.41</v>
      </c>
      <c r="E85" s="212"/>
    </row>
    <row r="86" spans="1:5" x14ac:dyDescent="0.2">
      <c r="A86" t="s">
        <v>210</v>
      </c>
      <c r="B86" s="291">
        <v>1</v>
      </c>
      <c r="C86" s="228">
        <v>22</v>
      </c>
      <c r="D86" s="212">
        <v>10343.530000000001</v>
      </c>
      <c r="E86" s="212"/>
    </row>
    <row r="87" spans="1:5" x14ac:dyDescent="0.2">
      <c r="A87" t="s">
        <v>210</v>
      </c>
      <c r="B87" s="291">
        <v>1</v>
      </c>
      <c r="C87" s="228">
        <v>23</v>
      </c>
      <c r="D87" s="212">
        <v>5259.47</v>
      </c>
      <c r="E87" s="212"/>
    </row>
    <row r="88" spans="1:5" x14ac:dyDescent="0.2">
      <c r="A88" t="s">
        <v>210</v>
      </c>
      <c r="B88" s="291">
        <v>1</v>
      </c>
      <c r="C88" s="228">
        <v>24</v>
      </c>
      <c r="D88" s="212">
        <v>12540</v>
      </c>
      <c r="E88" s="212"/>
    </row>
    <row r="89" spans="1:5" x14ac:dyDescent="0.2">
      <c r="A89" t="s">
        <v>210</v>
      </c>
      <c r="B89" s="291">
        <v>1</v>
      </c>
      <c r="C89" s="228">
        <v>25</v>
      </c>
      <c r="D89" s="212">
        <v>818.31</v>
      </c>
      <c r="E89" s="212"/>
    </row>
    <row r="90" spans="1:5" x14ac:dyDescent="0.2">
      <c r="A90" t="s">
        <v>210</v>
      </c>
      <c r="B90" s="291">
        <v>1</v>
      </c>
      <c r="C90" s="228">
        <v>26</v>
      </c>
      <c r="D90" s="212">
        <v>40.799999999999997</v>
      </c>
      <c r="E90" s="212"/>
    </row>
    <row r="91" spans="1:5" x14ac:dyDescent="0.2">
      <c r="A91" t="s">
        <v>210</v>
      </c>
      <c r="B91" s="291">
        <v>1</v>
      </c>
      <c r="C91" s="228">
        <v>27</v>
      </c>
      <c r="D91" s="212">
        <v>615.83000000000004</v>
      </c>
      <c r="E91" s="212"/>
    </row>
    <row r="92" spans="1:5" x14ac:dyDescent="0.2">
      <c r="A92" t="s">
        <v>210</v>
      </c>
      <c r="B92" s="291">
        <v>1</v>
      </c>
      <c r="C92" s="228">
        <v>29</v>
      </c>
      <c r="D92" s="212">
        <v>37968.89</v>
      </c>
      <c r="E92" s="212"/>
    </row>
    <row r="93" spans="1:5" x14ac:dyDescent="0.2">
      <c r="A93" t="s">
        <v>210</v>
      </c>
      <c r="B93" s="291">
        <v>1</v>
      </c>
      <c r="C93" s="228">
        <v>31</v>
      </c>
      <c r="D93" s="212">
        <v>-980.37</v>
      </c>
      <c r="E93" s="212"/>
    </row>
    <row r="94" spans="1:5" x14ac:dyDescent="0.2">
      <c r="A94" t="s">
        <v>210</v>
      </c>
      <c r="B94" s="291">
        <v>1</v>
      </c>
      <c r="C94" s="228">
        <v>33</v>
      </c>
      <c r="D94" s="212">
        <v>690</v>
      </c>
      <c r="E94" s="212"/>
    </row>
    <row r="95" spans="1:5" x14ac:dyDescent="0.2">
      <c r="A95" t="s">
        <v>210</v>
      </c>
      <c r="B95" s="291">
        <v>1</v>
      </c>
      <c r="C95" s="228">
        <v>34</v>
      </c>
      <c r="D95" s="212">
        <v>13092.72</v>
      </c>
      <c r="E95" s="212"/>
    </row>
    <row r="96" spans="1:5" x14ac:dyDescent="0.2">
      <c r="A96" t="s">
        <v>210</v>
      </c>
      <c r="B96" s="291">
        <v>1</v>
      </c>
      <c r="C96" s="228">
        <v>35</v>
      </c>
      <c r="D96" s="212">
        <v>977</v>
      </c>
      <c r="E96" s="212"/>
    </row>
    <row r="97" spans="1:5" x14ac:dyDescent="0.2">
      <c r="A97" t="s">
        <v>210</v>
      </c>
      <c r="B97" s="291">
        <v>1</v>
      </c>
      <c r="C97" s="228">
        <v>36</v>
      </c>
      <c r="D97" s="212">
        <v>1300</v>
      </c>
      <c r="E97" s="212"/>
    </row>
    <row r="98" spans="1:5" x14ac:dyDescent="0.2">
      <c r="A98" t="s">
        <v>210</v>
      </c>
      <c r="B98" s="291">
        <v>1</v>
      </c>
      <c r="C98" s="228">
        <v>37</v>
      </c>
      <c r="D98" s="212">
        <v>2273.1999999999998</v>
      </c>
      <c r="E98" s="212"/>
    </row>
    <row r="99" spans="1:5" x14ac:dyDescent="0.2">
      <c r="A99" t="s">
        <v>210</v>
      </c>
      <c r="B99" s="291">
        <v>1</v>
      </c>
      <c r="C99" s="228">
        <v>38</v>
      </c>
      <c r="D99" s="212">
        <v>12458</v>
      </c>
      <c r="E99" s="212"/>
    </row>
    <row r="100" spans="1:5" x14ac:dyDescent="0.2">
      <c r="A100" t="s">
        <v>210</v>
      </c>
      <c r="B100" s="291">
        <v>1</v>
      </c>
      <c r="C100" s="228">
        <v>40</v>
      </c>
      <c r="D100" s="212">
        <v>3467.3</v>
      </c>
      <c r="E100" s="212"/>
    </row>
    <row r="101" spans="1:5" x14ac:dyDescent="0.2">
      <c r="A101" t="s">
        <v>210</v>
      </c>
      <c r="B101" s="291">
        <v>1</v>
      </c>
      <c r="C101" s="228">
        <v>42</v>
      </c>
      <c r="D101" s="212">
        <v>82.28</v>
      </c>
      <c r="E101" s="212"/>
    </row>
    <row r="102" spans="1:5" x14ac:dyDescent="0.2">
      <c r="A102" t="s">
        <v>210</v>
      </c>
      <c r="B102" s="291">
        <v>1</v>
      </c>
      <c r="C102" s="228">
        <v>46</v>
      </c>
      <c r="D102" s="212">
        <v>18958.330000000002</v>
      </c>
      <c r="E102" s="212"/>
    </row>
    <row r="103" spans="1:5" x14ac:dyDescent="0.2">
      <c r="A103" t="s">
        <v>210</v>
      </c>
      <c r="B103" s="291">
        <v>1</v>
      </c>
      <c r="C103" s="228" t="s">
        <v>2991</v>
      </c>
      <c r="D103" s="212">
        <v>-3430.18</v>
      </c>
      <c r="E103" s="212"/>
    </row>
    <row r="104" spans="1:5" x14ac:dyDescent="0.2">
      <c r="A104" t="s">
        <v>210</v>
      </c>
      <c r="B104" s="291">
        <v>1</v>
      </c>
      <c r="C104" s="228" t="s">
        <v>2992</v>
      </c>
      <c r="D104" s="212">
        <v>3626.97</v>
      </c>
      <c r="E104" s="212"/>
    </row>
    <row r="105" spans="1:5" x14ac:dyDescent="0.2">
      <c r="A105" t="s">
        <v>210</v>
      </c>
      <c r="B105" s="291">
        <v>1</v>
      </c>
      <c r="C105" s="228" t="e">
        <v>#N/A</v>
      </c>
      <c r="D105" s="212">
        <v>-169533.33</v>
      </c>
      <c r="E105" s="212"/>
    </row>
    <row r="106" spans="1:5" x14ac:dyDescent="0.2">
      <c r="A106" t="s">
        <v>3003</v>
      </c>
      <c r="B106" s="291">
        <v>1</v>
      </c>
      <c r="C106" s="228">
        <v>2</v>
      </c>
      <c r="D106" s="212">
        <v>-382463.66</v>
      </c>
      <c r="E106" s="212"/>
    </row>
    <row r="107" spans="1:5" x14ac:dyDescent="0.2">
      <c r="A107" t="s">
        <v>3003</v>
      </c>
      <c r="B107" s="291">
        <v>1</v>
      </c>
      <c r="C107" s="228">
        <v>3</v>
      </c>
      <c r="D107" s="212">
        <v>78619.38</v>
      </c>
      <c r="E107" s="212"/>
    </row>
    <row r="108" spans="1:5" x14ac:dyDescent="0.2">
      <c r="A108" t="s">
        <v>3003</v>
      </c>
      <c r="B108" s="291">
        <v>1</v>
      </c>
      <c r="C108" s="228">
        <v>4</v>
      </c>
      <c r="D108" s="212">
        <v>1705.16</v>
      </c>
      <c r="E108" s="212"/>
    </row>
    <row r="109" spans="1:5" x14ac:dyDescent="0.2">
      <c r="A109" t="s">
        <v>3003</v>
      </c>
      <c r="B109" s="291">
        <v>1</v>
      </c>
      <c r="C109" s="228">
        <v>5</v>
      </c>
      <c r="D109" s="212">
        <v>1608.8</v>
      </c>
      <c r="E109" s="212"/>
    </row>
    <row r="110" spans="1:5" x14ac:dyDescent="0.2">
      <c r="A110" t="s">
        <v>3003</v>
      </c>
      <c r="B110" s="291">
        <v>1</v>
      </c>
      <c r="C110" s="228">
        <v>6</v>
      </c>
      <c r="D110" s="212">
        <v>8425.2199999999993</v>
      </c>
      <c r="E110" s="212"/>
    </row>
    <row r="111" spans="1:5" x14ac:dyDescent="0.2">
      <c r="A111" t="s">
        <v>3003</v>
      </c>
      <c r="B111" s="291">
        <v>1</v>
      </c>
      <c r="C111" s="228" t="s">
        <v>2964</v>
      </c>
      <c r="D111" s="212">
        <v>317.51</v>
      </c>
      <c r="E111" s="212"/>
    </row>
    <row r="112" spans="1:5" x14ac:dyDescent="0.2">
      <c r="A112" t="s">
        <v>3003</v>
      </c>
      <c r="B112" s="291">
        <v>1</v>
      </c>
      <c r="C112" s="228">
        <v>8</v>
      </c>
      <c r="D112" s="212">
        <v>61266.04</v>
      </c>
      <c r="E112" s="212"/>
    </row>
    <row r="113" spans="1:5" x14ac:dyDescent="0.2">
      <c r="A113" t="s">
        <v>3003</v>
      </c>
      <c r="B113" s="291">
        <v>1</v>
      </c>
      <c r="C113" s="228">
        <v>9</v>
      </c>
      <c r="D113" s="212">
        <v>8219.2900000000009</v>
      </c>
      <c r="E113" s="212"/>
    </row>
    <row r="114" spans="1:5" x14ac:dyDescent="0.2">
      <c r="A114" t="s">
        <v>3003</v>
      </c>
      <c r="B114" s="291">
        <v>1</v>
      </c>
      <c r="C114" s="228">
        <v>10</v>
      </c>
      <c r="D114" s="212">
        <v>27377.73</v>
      </c>
      <c r="E114" s="212"/>
    </row>
    <row r="115" spans="1:5" x14ac:dyDescent="0.2">
      <c r="A115" t="s">
        <v>3003</v>
      </c>
      <c r="B115" s="291">
        <v>1</v>
      </c>
      <c r="C115" s="228">
        <v>11</v>
      </c>
      <c r="D115" s="212">
        <v>5340.29</v>
      </c>
      <c r="E115" s="212"/>
    </row>
    <row r="116" spans="1:5" x14ac:dyDescent="0.2">
      <c r="A116" t="s">
        <v>3003</v>
      </c>
      <c r="B116" s="291">
        <v>1</v>
      </c>
      <c r="C116" s="228">
        <v>15</v>
      </c>
      <c r="D116" s="212">
        <v>281.25</v>
      </c>
      <c r="E116" s="212"/>
    </row>
    <row r="117" spans="1:5" x14ac:dyDescent="0.2">
      <c r="A117" t="s">
        <v>3003</v>
      </c>
      <c r="B117" s="291">
        <v>1</v>
      </c>
      <c r="C117" s="228">
        <v>16</v>
      </c>
      <c r="D117" s="212">
        <v>81.47</v>
      </c>
      <c r="E117" s="212"/>
    </row>
    <row r="118" spans="1:5" x14ac:dyDescent="0.2">
      <c r="A118" t="s">
        <v>3003</v>
      </c>
      <c r="B118" s="291">
        <v>1</v>
      </c>
      <c r="C118" s="228">
        <v>17</v>
      </c>
      <c r="D118" s="212">
        <v>2864.41</v>
      </c>
      <c r="E118" s="212"/>
    </row>
    <row r="119" spans="1:5" x14ac:dyDescent="0.2">
      <c r="A119" t="s">
        <v>3003</v>
      </c>
      <c r="B119" s="291">
        <v>1</v>
      </c>
      <c r="C119" s="228">
        <v>18</v>
      </c>
      <c r="D119" s="212">
        <v>1074.6400000000001</v>
      </c>
      <c r="E119" s="212"/>
    </row>
    <row r="120" spans="1:5" x14ac:dyDescent="0.2">
      <c r="A120" t="s">
        <v>3003</v>
      </c>
      <c r="B120" s="291">
        <v>1</v>
      </c>
      <c r="C120" s="228">
        <v>19</v>
      </c>
      <c r="D120" s="212">
        <v>7886.51</v>
      </c>
      <c r="E120" s="212"/>
    </row>
    <row r="121" spans="1:5" x14ac:dyDescent="0.2">
      <c r="A121" t="s">
        <v>3003</v>
      </c>
      <c r="B121" s="291">
        <v>1</v>
      </c>
      <c r="C121" s="228">
        <v>21</v>
      </c>
      <c r="D121" s="212">
        <v>3907.89</v>
      </c>
      <c r="E121" s="212"/>
    </row>
    <row r="122" spans="1:5" x14ac:dyDescent="0.2">
      <c r="A122" t="s">
        <v>3003</v>
      </c>
      <c r="B122" s="291">
        <v>1</v>
      </c>
      <c r="C122" s="228">
        <v>22</v>
      </c>
      <c r="D122" s="212">
        <v>15282.82</v>
      </c>
      <c r="E122" s="212"/>
    </row>
    <row r="123" spans="1:5" x14ac:dyDescent="0.2">
      <c r="A123" t="s">
        <v>3003</v>
      </c>
      <c r="B123" s="291">
        <v>1</v>
      </c>
      <c r="C123" s="228">
        <v>23</v>
      </c>
      <c r="D123" s="212">
        <v>6491.47</v>
      </c>
      <c r="E123" s="212"/>
    </row>
    <row r="124" spans="1:5" x14ac:dyDescent="0.2">
      <c r="A124" t="s">
        <v>3003</v>
      </c>
      <c r="B124" s="291">
        <v>1</v>
      </c>
      <c r="C124" s="228">
        <v>24</v>
      </c>
      <c r="D124" s="212">
        <v>11356.53</v>
      </c>
      <c r="E124" s="212"/>
    </row>
    <row r="125" spans="1:5" x14ac:dyDescent="0.2">
      <c r="A125" t="s">
        <v>3003</v>
      </c>
      <c r="B125" s="291">
        <v>1</v>
      </c>
      <c r="C125" s="228">
        <v>25</v>
      </c>
      <c r="D125" s="212">
        <v>2187.75</v>
      </c>
      <c r="E125" s="212"/>
    </row>
    <row r="126" spans="1:5" x14ac:dyDescent="0.2">
      <c r="A126" t="s">
        <v>3003</v>
      </c>
      <c r="B126" s="291">
        <v>1</v>
      </c>
      <c r="C126" s="228">
        <v>27</v>
      </c>
      <c r="D126" s="212">
        <v>460.73</v>
      </c>
      <c r="E126" s="212"/>
    </row>
    <row r="127" spans="1:5" x14ac:dyDescent="0.2">
      <c r="A127" t="s">
        <v>3003</v>
      </c>
      <c r="B127" s="291">
        <v>1</v>
      </c>
      <c r="C127" s="228">
        <v>29</v>
      </c>
      <c r="D127" s="212">
        <v>59949.17</v>
      </c>
      <c r="E127" s="212"/>
    </row>
    <row r="128" spans="1:5" x14ac:dyDescent="0.2">
      <c r="A128" t="s">
        <v>3003</v>
      </c>
      <c r="B128" s="291">
        <v>1</v>
      </c>
      <c r="C128" s="228">
        <v>31</v>
      </c>
      <c r="D128" s="212">
        <v>-963.25</v>
      </c>
      <c r="E128" s="212"/>
    </row>
    <row r="129" spans="1:5" x14ac:dyDescent="0.2">
      <c r="A129" t="s">
        <v>3003</v>
      </c>
      <c r="B129" s="291">
        <v>1</v>
      </c>
      <c r="C129" s="228">
        <v>33</v>
      </c>
      <c r="D129" s="212">
        <v>1100</v>
      </c>
      <c r="E129" s="212"/>
    </row>
    <row r="130" spans="1:5" x14ac:dyDescent="0.2">
      <c r="A130" t="s">
        <v>3003</v>
      </c>
      <c r="B130" s="291">
        <v>1</v>
      </c>
      <c r="C130" s="228">
        <v>34</v>
      </c>
      <c r="D130" s="212">
        <v>19338.439999999999</v>
      </c>
      <c r="E130" s="212"/>
    </row>
    <row r="131" spans="1:5" x14ac:dyDescent="0.2">
      <c r="A131" t="s">
        <v>3003</v>
      </c>
      <c r="B131" s="291">
        <v>1</v>
      </c>
      <c r="C131" s="228">
        <v>35</v>
      </c>
      <c r="D131" s="212">
        <v>1649</v>
      </c>
      <c r="E131" s="212"/>
    </row>
    <row r="132" spans="1:5" x14ac:dyDescent="0.2">
      <c r="A132" t="s">
        <v>3003</v>
      </c>
      <c r="B132" s="291">
        <v>1</v>
      </c>
      <c r="C132" s="228">
        <v>36</v>
      </c>
      <c r="D132" s="212">
        <v>1541.86</v>
      </c>
      <c r="E132" s="212"/>
    </row>
    <row r="133" spans="1:5" x14ac:dyDescent="0.2">
      <c r="A133" t="s">
        <v>3003</v>
      </c>
      <c r="B133" s="291">
        <v>1</v>
      </c>
      <c r="C133" s="228">
        <v>37</v>
      </c>
      <c r="D133" s="212">
        <v>4006.61</v>
      </c>
      <c r="E133" s="212"/>
    </row>
    <row r="134" spans="1:5" x14ac:dyDescent="0.2">
      <c r="A134" t="s">
        <v>3003</v>
      </c>
      <c r="B134" s="291">
        <v>1</v>
      </c>
      <c r="C134" s="228">
        <v>38</v>
      </c>
      <c r="D134" s="212">
        <v>23000</v>
      </c>
      <c r="E134" s="212"/>
    </row>
    <row r="135" spans="1:5" x14ac:dyDescent="0.2">
      <c r="A135" t="s">
        <v>3003</v>
      </c>
      <c r="B135" s="291">
        <v>1</v>
      </c>
      <c r="C135" s="228">
        <v>40</v>
      </c>
      <c r="D135" s="212">
        <v>2279.71</v>
      </c>
      <c r="E135" s="212"/>
    </row>
    <row r="136" spans="1:5" x14ac:dyDescent="0.2">
      <c r="A136" t="s">
        <v>3003</v>
      </c>
      <c r="B136" s="291">
        <v>1</v>
      </c>
      <c r="C136" s="228">
        <v>42</v>
      </c>
      <c r="D136" s="212">
        <v>438.64</v>
      </c>
      <c r="E136" s="212"/>
    </row>
    <row r="137" spans="1:5" x14ac:dyDescent="0.2">
      <c r="A137" t="s">
        <v>3003</v>
      </c>
      <c r="B137" s="291">
        <v>1</v>
      </c>
      <c r="C137" s="228">
        <v>45</v>
      </c>
      <c r="D137" s="212">
        <v>0</v>
      </c>
      <c r="E137" s="212"/>
    </row>
    <row r="138" spans="1:5" x14ac:dyDescent="0.2">
      <c r="A138" t="s">
        <v>3003</v>
      </c>
      <c r="B138" s="291">
        <v>1</v>
      </c>
      <c r="C138" s="228">
        <v>46</v>
      </c>
      <c r="D138" s="212">
        <v>26891.75</v>
      </c>
      <c r="E138" s="212"/>
    </row>
    <row r="139" spans="1:5" x14ac:dyDescent="0.2">
      <c r="A139" t="s">
        <v>3003</v>
      </c>
      <c r="B139" s="291">
        <v>1</v>
      </c>
      <c r="C139" s="228" t="s">
        <v>2991</v>
      </c>
      <c r="D139" s="212">
        <v>-4305.17</v>
      </c>
      <c r="E139" s="212"/>
    </row>
    <row r="140" spans="1:5" x14ac:dyDescent="0.2">
      <c r="A140" t="s">
        <v>3003</v>
      </c>
      <c r="B140" s="291">
        <v>1</v>
      </c>
      <c r="C140" s="228" t="s">
        <v>2992</v>
      </c>
      <c r="D140" s="212">
        <v>2820.3</v>
      </c>
      <c r="E140" s="212"/>
    </row>
    <row r="141" spans="1:5" x14ac:dyDescent="0.2">
      <c r="A141" t="s">
        <v>3003</v>
      </c>
      <c r="B141" s="291">
        <v>1</v>
      </c>
      <c r="C141" s="228" t="e">
        <v>#N/A</v>
      </c>
      <c r="D141" s="212">
        <v>-57295.28</v>
      </c>
      <c r="E141" s="212"/>
    </row>
    <row r="142" spans="1:5" x14ac:dyDescent="0.2">
      <c r="A142" t="s">
        <v>2156</v>
      </c>
      <c r="B142" s="291">
        <v>1</v>
      </c>
      <c r="C142" s="228">
        <v>2</v>
      </c>
      <c r="D142" s="212">
        <v>-448803.22</v>
      </c>
      <c r="E142" s="212"/>
    </row>
    <row r="143" spans="1:5" x14ac:dyDescent="0.2">
      <c r="A143" t="s">
        <v>2156</v>
      </c>
      <c r="B143" s="291">
        <v>1</v>
      </c>
      <c r="C143" s="228">
        <v>3</v>
      </c>
      <c r="D143" s="212">
        <v>99520.28</v>
      </c>
      <c r="E143" s="212"/>
    </row>
    <row r="144" spans="1:5" x14ac:dyDescent="0.2">
      <c r="A144" t="s">
        <v>2156</v>
      </c>
      <c r="B144" s="291">
        <v>1</v>
      </c>
      <c r="C144" s="228">
        <v>4</v>
      </c>
      <c r="D144" s="212">
        <v>1842.96</v>
      </c>
      <c r="E144" s="212"/>
    </row>
    <row r="145" spans="1:5" x14ac:dyDescent="0.2">
      <c r="A145" t="s">
        <v>2156</v>
      </c>
      <c r="B145" s="291">
        <v>1</v>
      </c>
      <c r="C145" s="228">
        <v>5</v>
      </c>
      <c r="D145" s="212">
        <v>1770.54</v>
      </c>
      <c r="E145" s="212"/>
    </row>
    <row r="146" spans="1:5" x14ac:dyDescent="0.2">
      <c r="A146" t="s">
        <v>2156</v>
      </c>
      <c r="B146" s="291">
        <v>1</v>
      </c>
      <c r="C146" s="228">
        <v>6</v>
      </c>
      <c r="D146" s="212">
        <v>9144.11</v>
      </c>
      <c r="E146" s="212"/>
    </row>
    <row r="147" spans="1:5" x14ac:dyDescent="0.2">
      <c r="A147" t="s">
        <v>2156</v>
      </c>
      <c r="B147" s="291">
        <v>1</v>
      </c>
      <c r="C147" s="228" t="s">
        <v>2964</v>
      </c>
      <c r="D147" s="212">
        <v>3089.11</v>
      </c>
      <c r="E147" s="212"/>
    </row>
    <row r="148" spans="1:5" x14ac:dyDescent="0.2">
      <c r="A148" t="s">
        <v>2156</v>
      </c>
      <c r="B148" s="291">
        <v>1</v>
      </c>
      <c r="C148" s="228">
        <v>8</v>
      </c>
      <c r="D148" s="212">
        <v>79042.67</v>
      </c>
      <c r="E148" s="212"/>
    </row>
    <row r="149" spans="1:5" x14ac:dyDescent="0.2">
      <c r="A149" t="s">
        <v>2156</v>
      </c>
      <c r="B149" s="291">
        <v>1</v>
      </c>
      <c r="C149" s="228">
        <v>9</v>
      </c>
      <c r="D149" s="212">
        <v>8981.56</v>
      </c>
      <c r="E149" s="212"/>
    </row>
    <row r="150" spans="1:5" x14ac:dyDescent="0.2">
      <c r="A150" t="s">
        <v>2156</v>
      </c>
      <c r="B150" s="291">
        <v>1</v>
      </c>
      <c r="C150" s="228">
        <v>10</v>
      </c>
      <c r="D150" s="212">
        <v>17063.32</v>
      </c>
      <c r="E150" s="212"/>
    </row>
    <row r="151" spans="1:5" x14ac:dyDescent="0.2">
      <c r="A151" t="s">
        <v>2156</v>
      </c>
      <c r="B151" s="291">
        <v>1</v>
      </c>
      <c r="C151" s="228">
        <v>11</v>
      </c>
      <c r="D151" s="212">
        <v>4516.0600000000004</v>
      </c>
      <c r="E151" s="212"/>
    </row>
    <row r="152" spans="1:5" x14ac:dyDescent="0.2">
      <c r="A152" t="s">
        <v>2156</v>
      </c>
      <c r="B152" s="291">
        <v>1</v>
      </c>
      <c r="C152" s="228">
        <v>16</v>
      </c>
      <c r="D152" s="212">
        <v>29</v>
      </c>
      <c r="E152" s="212"/>
    </row>
    <row r="153" spans="1:5" x14ac:dyDescent="0.2">
      <c r="A153" t="s">
        <v>2156</v>
      </c>
      <c r="B153" s="291">
        <v>1</v>
      </c>
      <c r="C153" s="228">
        <v>17</v>
      </c>
      <c r="D153" s="212">
        <v>4199.6899999999996</v>
      </c>
      <c r="E153" s="212"/>
    </row>
    <row r="154" spans="1:5" x14ac:dyDescent="0.2">
      <c r="A154" t="s">
        <v>2156</v>
      </c>
      <c r="B154" s="291">
        <v>1</v>
      </c>
      <c r="C154" s="228">
        <v>18</v>
      </c>
      <c r="D154" s="212">
        <v>1632.07</v>
      </c>
      <c r="E154" s="212"/>
    </row>
    <row r="155" spans="1:5" x14ac:dyDescent="0.2">
      <c r="A155" t="s">
        <v>2156</v>
      </c>
      <c r="B155" s="291">
        <v>1</v>
      </c>
      <c r="C155" s="228">
        <v>19</v>
      </c>
      <c r="D155" s="212">
        <v>9083.8799999999992</v>
      </c>
      <c r="E155" s="212"/>
    </row>
    <row r="156" spans="1:5" x14ac:dyDescent="0.2">
      <c r="A156" t="s">
        <v>2156</v>
      </c>
      <c r="B156" s="291">
        <v>1</v>
      </c>
      <c r="C156" s="228">
        <v>21</v>
      </c>
      <c r="D156" s="212">
        <v>1308.83</v>
      </c>
      <c r="E156" s="212"/>
    </row>
    <row r="157" spans="1:5" x14ac:dyDescent="0.2">
      <c r="A157" t="s">
        <v>2156</v>
      </c>
      <c r="B157" s="291">
        <v>1</v>
      </c>
      <c r="C157" s="228">
        <v>22</v>
      </c>
      <c r="D157" s="212">
        <v>17994.57</v>
      </c>
      <c r="E157" s="212"/>
    </row>
    <row r="158" spans="1:5" x14ac:dyDescent="0.2">
      <c r="A158" t="s">
        <v>2156</v>
      </c>
      <c r="B158" s="291">
        <v>1</v>
      </c>
      <c r="C158" s="228">
        <v>23</v>
      </c>
      <c r="D158" s="212">
        <v>7457.26</v>
      </c>
      <c r="E158" s="212"/>
    </row>
    <row r="159" spans="1:5" x14ac:dyDescent="0.2">
      <c r="A159" t="s">
        <v>2156</v>
      </c>
      <c r="B159" s="291">
        <v>1</v>
      </c>
      <c r="C159" s="228">
        <v>24</v>
      </c>
      <c r="D159" s="212">
        <v>13424</v>
      </c>
      <c r="E159" s="212"/>
    </row>
    <row r="160" spans="1:5" x14ac:dyDescent="0.2">
      <c r="A160" t="s">
        <v>2156</v>
      </c>
      <c r="B160" s="291">
        <v>1</v>
      </c>
      <c r="C160" s="228">
        <v>25</v>
      </c>
      <c r="D160" s="212">
        <v>4207.96</v>
      </c>
      <c r="E160" s="212"/>
    </row>
    <row r="161" spans="1:5" x14ac:dyDescent="0.2">
      <c r="A161" t="s">
        <v>2156</v>
      </c>
      <c r="B161" s="291">
        <v>1</v>
      </c>
      <c r="C161" s="228">
        <v>26</v>
      </c>
      <c r="D161" s="212">
        <v>20.32</v>
      </c>
      <c r="E161" s="212"/>
    </row>
    <row r="162" spans="1:5" x14ac:dyDescent="0.2">
      <c r="A162" t="s">
        <v>2156</v>
      </c>
      <c r="B162" s="291">
        <v>1</v>
      </c>
      <c r="C162" s="228">
        <v>27</v>
      </c>
      <c r="D162" s="212">
        <v>2809.24</v>
      </c>
      <c r="E162" s="212"/>
    </row>
    <row r="163" spans="1:5" x14ac:dyDescent="0.2">
      <c r="A163" t="s">
        <v>2156</v>
      </c>
      <c r="B163" s="291">
        <v>1</v>
      </c>
      <c r="C163" s="228">
        <v>29</v>
      </c>
      <c r="D163" s="212">
        <v>63901.78</v>
      </c>
      <c r="E163" s="212"/>
    </row>
    <row r="164" spans="1:5" x14ac:dyDescent="0.2">
      <c r="A164" t="s">
        <v>2156</v>
      </c>
      <c r="B164" s="291">
        <v>1</v>
      </c>
      <c r="C164" s="228">
        <v>30</v>
      </c>
      <c r="D164" s="212">
        <v>1624.14</v>
      </c>
      <c r="E164" s="212"/>
    </row>
    <row r="165" spans="1:5" x14ac:dyDescent="0.2">
      <c r="A165" t="s">
        <v>2156</v>
      </c>
      <c r="B165" s="291">
        <v>1</v>
      </c>
      <c r="C165" s="228">
        <v>31</v>
      </c>
      <c r="D165" s="212">
        <v>-3959.6</v>
      </c>
      <c r="E165" s="212"/>
    </row>
    <row r="166" spans="1:5" x14ac:dyDescent="0.2">
      <c r="A166" t="s">
        <v>2156</v>
      </c>
      <c r="B166" s="291">
        <v>1</v>
      </c>
      <c r="C166" s="228">
        <v>33</v>
      </c>
      <c r="D166" s="212">
        <v>816</v>
      </c>
      <c r="E166" s="212"/>
    </row>
    <row r="167" spans="1:5" x14ac:dyDescent="0.2">
      <c r="A167" t="s">
        <v>2156</v>
      </c>
      <c r="B167" s="291">
        <v>1</v>
      </c>
      <c r="C167" s="228">
        <v>34</v>
      </c>
      <c r="D167" s="212">
        <v>22822.06</v>
      </c>
      <c r="E167" s="212"/>
    </row>
    <row r="168" spans="1:5" x14ac:dyDescent="0.2">
      <c r="A168" t="s">
        <v>2156</v>
      </c>
      <c r="B168" s="291">
        <v>1</v>
      </c>
      <c r="C168" s="228">
        <v>35</v>
      </c>
      <c r="D168" s="212">
        <v>1502</v>
      </c>
      <c r="E168" s="212"/>
    </row>
    <row r="169" spans="1:5" x14ac:dyDescent="0.2">
      <c r="A169" t="s">
        <v>2156</v>
      </c>
      <c r="B169" s="291">
        <v>1</v>
      </c>
      <c r="C169" s="228">
        <v>36</v>
      </c>
      <c r="D169" s="212">
        <v>1798.64</v>
      </c>
      <c r="E169" s="212"/>
    </row>
    <row r="170" spans="1:5" x14ac:dyDescent="0.2">
      <c r="A170" t="s">
        <v>2156</v>
      </c>
      <c r="B170" s="291">
        <v>1</v>
      </c>
      <c r="C170" s="228">
        <v>37</v>
      </c>
      <c r="D170" s="212">
        <v>3809.51</v>
      </c>
      <c r="E170" s="212"/>
    </row>
    <row r="171" spans="1:5" x14ac:dyDescent="0.2">
      <c r="A171" t="s">
        <v>2156</v>
      </c>
      <c r="B171" s="291">
        <v>1</v>
      </c>
      <c r="C171" s="228">
        <v>38</v>
      </c>
      <c r="D171" s="212">
        <v>27578.74</v>
      </c>
      <c r="E171" s="212"/>
    </row>
    <row r="172" spans="1:5" x14ac:dyDescent="0.2">
      <c r="A172" t="s">
        <v>2156</v>
      </c>
      <c r="B172" s="291">
        <v>1</v>
      </c>
      <c r="C172" s="228">
        <v>40</v>
      </c>
      <c r="D172" s="212">
        <v>1162.94</v>
      </c>
      <c r="E172" s="212"/>
    </row>
    <row r="173" spans="1:5" x14ac:dyDescent="0.2">
      <c r="A173" t="s">
        <v>2156</v>
      </c>
      <c r="B173" s="291">
        <v>1</v>
      </c>
      <c r="C173" s="228">
        <v>42</v>
      </c>
      <c r="D173" s="212">
        <v>722.56</v>
      </c>
      <c r="E173" s="212"/>
    </row>
    <row r="174" spans="1:5" x14ac:dyDescent="0.2">
      <c r="A174" t="s">
        <v>2156</v>
      </c>
      <c r="B174" s="291">
        <v>1</v>
      </c>
      <c r="C174" s="228">
        <v>46</v>
      </c>
      <c r="D174" s="212">
        <v>32952</v>
      </c>
      <c r="E174" s="212"/>
    </row>
    <row r="175" spans="1:5" x14ac:dyDescent="0.2">
      <c r="A175" t="s">
        <v>2156</v>
      </c>
      <c r="B175" s="291">
        <v>1</v>
      </c>
      <c r="C175" s="228" t="s">
        <v>2991</v>
      </c>
      <c r="D175" s="212">
        <v>-7638.04</v>
      </c>
      <c r="E175" s="212"/>
    </row>
    <row r="176" spans="1:5" x14ac:dyDescent="0.2">
      <c r="A176" t="s">
        <v>2156</v>
      </c>
      <c r="B176" s="291">
        <v>1</v>
      </c>
      <c r="C176" s="228" t="s">
        <v>2992</v>
      </c>
      <c r="D176" s="212">
        <v>7088.84</v>
      </c>
      <c r="E176" s="212"/>
    </row>
    <row r="177" spans="1:5" x14ac:dyDescent="0.2">
      <c r="A177" t="s">
        <v>3000</v>
      </c>
      <c r="B177" s="291">
        <v>1</v>
      </c>
      <c r="C177" s="228">
        <v>2</v>
      </c>
      <c r="D177" s="212">
        <v>-242390</v>
      </c>
      <c r="E177" s="212"/>
    </row>
    <row r="178" spans="1:5" x14ac:dyDescent="0.2">
      <c r="A178" t="s">
        <v>3000</v>
      </c>
      <c r="B178" s="291">
        <v>1</v>
      </c>
      <c r="C178" s="228">
        <v>3</v>
      </c>
      <c r="D178" s="212">
        <v>52826.01</v>
      </c>
      <c r="E178" s="212"/>
    </row>
    <row r="179" spans="1:5" x14ac:dyDescent="0.2">
      <c r="A179" t="s">
        <v>3000</v>
      </c>
      <c r="B179" s="291">
        <v>1</v>
      </c>
      <c r="C179" s="228">
        <v>4</v>
      </c>
      <c r="D179" s="212">
        <v>1231.93</v>
      </c>
      <c r="E179" s="212"/>
    </row>
    <row r="180" spans="1:5" x14ac:dyDescent="0.2">
      <c r="A180" t="s">
        <v>3000</v>
      </c>
      <c r="B180" s="291">
        <v>1</v>
      </c>
      <c r="C180" s="228">
        <v>5</v>
      </c>
      <c r="D180" s="212">
        <v>1503.01</v>
      </c>
      <c r="E180" s="212"/>
    </row>
    <row r="181" spans="1:5" x14ac:dyDescent="0.2">
      <c r="A181" t="s">
        <v>3000</v>
      </c>
      <c r="B181" s="291">
        <v>1</v>
      </c>
      <c r="C181" s="228">
        <v>6</v>
      </c>
      <c r="D181" s="212">
        <v>4996.8100000000004</v>
      </c>
      <c r="E181" s="212"/>
    </row>
    <row r="182" spans="1:5" x14ac:dyDescent="0.2">
      <c r="A182" t="s">
        <v>3000</v>
      </c>
      <c r="B182" s="291">
        <v>1</v>
      </c>
      <c r="C182" s="228" t="s">
        <v>2964</v>
      </c>
      <c r="D182" s="212">
        <v>-24.32</v>
      </c>
      <c r="E182" s="212"/>
    </row>
    <row r="183" spans="1:5" x14ac:dyDescent="0.2">
      <c r="A183" t="s">
        <v>3000</v>
      </c>
      <c r="B183" s="291">
        <v>1</v>
      </c>
      <c r="C183" s="228">
        <v>8</v>
      </c>
      <c r="D183" s="212">
        <v>43283.99</v>
      </c>
      <c r="E183" s="212"/>
    </row>
    <row r="184" spans="1:5" x14ac:dyDescent="0.2">
      <c r="A184" t="s">
        <v>3000</v>
      </c>
      <c r="B184" s="291">
        <v>1</v>
      </c>
      <c r="C184" s="228">
        <v>9</v>
      </c>
      <c r="D184" s="212">
        <v>4934.9399999999996</v>
      </c>
      <c r="E184" s="212"/>
    </row>
    <row r="185" spans="1:5" x14ac:dyDescent="0.2">
      <c r="A185" t="s">
        <v>3000</v>
      </c>
      <c r="B185" s="291">
        <v>1</v>
      </c>
      <c r="C185" s="228">
        <v>10</v>
      </c>
      <c r="D185" s="212">
        <v>15393.56</v>
      </c>
      <c r="E185" s="212"/>
    </row>
    <row r="186" spans="1:5" x14ac:dyDescent="0.2">
      <c r="A186" t="s">
        <v>3000</v>
      </c>
      <c r="B186" s="291">
        <v>1</v>
      </c>
      <c r="C186" s="228">
        <v>11</v>
      </c>
      <c r="D186" s="212">
        <v>3484.86</v>
      </c>
      <c r="E186" s="212"/>
    </row>
    <row r="187" spans="1:5" x14ac:dyDescent="0.2">
      <c r="A187" t="s">
        <v>3000</v>
      </c>
      <c r="B187" s="291">
        <v>1</v>
      </c>
      <c r="C187" s="228">
        <v>15</v>
      </c>
      <c r="D187" s="212">
        <v>280</v>
      </c>
      <c r="E187" s="212"/>
    </row>
    <row r="188" spans="1:5" x14ac:dyDescent="0.2">
      <c r="A188" t="s">
        <v>3000</v>
      </c>
      <c r="B188" s="291">
        <v>1</v>
      </c>
      <c r="C188" s="228">
        <v>16</v>
      </c>
      <c r="D188" s="212">
        <v>77.44</v>
      </c>
      <c r="E188" s="212"/>
    </row>
    <row r="189" spans="1:5" x14ac:dyDescent="0.2">
      <c r="A189" t="s">
        <v>3000</v>
      </c>
      <c r="B189" s="291">
        <v>1</v>
      </c>
      <c r="C189" s="228">
        <v>17</v>
      </c>
      <c r="D189" s="212">
        <v>2128.66</v>
      </c>
      <c r="E189" s="212"/>
    </row>
    <row r="190" spans="1:5" x14ac:dyDescent="0.2">
      <c r="A190" t="s">
        <v>3000</v>
      </c>
      <c r="B190" s="291">
        <v>1</v>
      </c>
      <c r="C190" s="228">
        <v>18</v>
      </c>
      <c r="D190" s="212">
        <v>1022.47</v>
      </c>
      <c r="E190" s="212"/>
    </row>
    <row r="191" spans="1:5" x14ac:dyDescent="0.2">
      <c r="A191" t="s">
        <v>3000</v>
      </c>
      <c r="B191" s="291">
        <v>1</v>
      </c>
      <c r="C191" s="228">
        <v>19</v>
      </c>
      <c r="D191" s="212">
        <v>8960.9699999999993</v>
      </c>
      <c r="E191" s="212"/>
    </row>
    <row r="192" spans="1:5" x14ac:dyDescent="0.2">
      <c r="A192" t="s">
        <v>3000</v>
      </c>
      <c r="B192" s="291">
        <v>1</v>
      </c>
      <c r="C192" s="228">
        <v>22</v>
      </c>
      <c r="D192" s="212">
        <v>9716.9500000000007</v>
      </c>
      <c r="E192" s="212"/>
    </row>
    <row r="193" spans="1:5" x14ac:dyDescent="0.2">
      <c r="A193" t="s">
        <v>3000</v>
      </c>
      <c r="B193" s="291">
        <v>1</v>
      </c>
      <c r="C193" s="228">
        <v>23</v>
      </c>
      <c r="D193" s="212">
        <v>6144.66</v>
      </c>
      <c r="E193" s="212"/>
    </row>
    <row r="194" spans="1:5" x14ac:dyDescent="0.2">
      <c r="A194" t="s">
        <v>3000</v>
      </c>
      <c r="B194" s="291">
        <v>1</v>
      </c>
      <c r="C194" s="228">
        <v>24</v>
      </c>
      <c r="D194" s="212">
        <v>10150</v>
      </c>
      <c r="E194" s="212"/>
    </row>
    <row r="195" spans="1:5" x14ac:dyDescent="0.2">
      <c r="A195" t="s">
        <v>3000</v>
      </c>
      <c r="B195" s="291">
        <v>1</v>
      </c>
      <c r="C195" s="228">
        <v>25</v>
      </c>
      <c r="D195" s="212">
        <v>2218.4499999999998</v>
      </c>
      <c r="E195" s="212"/>
    </row>
    <row r="196" spans="1:5" x14ac:dyDescent="0.2">
      <c r="A196" t="s">
        <v>3000</v>
      </c>
      <c r="B196" s="291">
        <v>1</v>
      </c>
      <c r="C196" s="228">
        <v>27</v>
      </c>
      <c r="D196" s="212">
        <v>317.89</v>
      </c>
      <c r="E196" s="212"/>
    </row>
    <row r="197" spans="1:5" x14ac:dyDescent="0.2">
      <c r="A197" t="s">
        <v>3000</v>
      </c>
      <c r="B197" s="291">
        <v>1</v>
      </c>
      <c r="C197" s="228">
        <v>29</v>
      </c>
      <c r="D197" s="212">
        <v>35628.19</v>
      </c>
      <c r="E197" s="212"/>
    </row>
    <row r="198" spans="1:5" x14ac:dyDescent="0.2">
      <c r="A198" t="s">
        <v>3000</v>
      </c>
      <c r="B198" s="291">
        <v>1</v>
      </c>
      <c r="C198" s="228">
        <v>31</v>
      </c>
      <c r="D198" s="212">
        <v>-543.76</v>
      </c>
      <c r="E198" s="212"/>
    </row>
    <row r="199" spans="1:5" x14ac:dyDescent="0.2">
      <c r="A199" t="s">
        <v>3000</v>
      </c>
      <c r="B199" s="291">
        <v>1</v>
      </c>
      <c r="C199" s="228">
        <v>33</v>
      </c>
      <c r="D199" s="212">
        <v>545</v>
      </c>
      <c r="E199" s="212"/>
    </row>
    <row r="200" spans="1:5" x14ac:dyDescent="0.2">
      <c r="A200" t="s">
        <v>3000</v>
      </c>
      <c r="B200" s="291">
        <v>1</v>
      </c>
      <c r="C200" s="228">
        <v>34</v>
      </c>
      <c r="D200" s="212">
        <v>12285.58</v>
      </c>
      <c r="E200" s="212"/>
    </row>
    <row r="201" spans="1:5" x14ac:dyDescent="0.2">
      <c r="A201" t="s">
        <v>3000</v>
      </c>
      <c r="B201" s="291">
        <v>1</v>
      </c>
      <c r="C201" s="228">
        <v>35</v>
      </c>
      <c r="D201" s="212">
        <v>1086.5</v>
      </c>
      <c r="E201" s="212"/>
    </row>
    <row r="202" spans="1:5" x14ac:dyDescent="0.2">
      <c r="A202" t="s">
        <v>3000</v>
      </c>
      <c r="B202" s="291">
        <v>1</v>
      </c>
      <c r="C202" s="228">
        <v>36</v>
      </c>
      <c r="D202" s="212">
        <v>1000</v>
      </c>
      <c r="E202" s="212"/>
    </row>
    <row r="203" spans="1:5" x14ac:dyDescent="0.2">
      <c r="A203" t="s">
        <v>3000</v>
      </c>
      <c r="B203" s="291">
        <v>1</v>
      </c>
      <c r="C203" s="228">
        <v>37</v>
      </c>
      <c r="D203" s="212">
        <v>1998.74</v>
      </c>
      <c r="E203" s="212"/>
    </row>
    <row r="204" spans="1:5" x14ac:dyDescent="0.2">
      <c r="A204" t="s">
        <v>3000</v>
      </c>
      <c r="B204" s="291">
        <v>1</v>
      </c>
      <c r="C204" s="228">
        <v>38</v>
      </c>
      <c r="D204" s="212">
        <v>10000</v>
      </c>
      <c r="E204" s="212"/>
    </row>
    <row r="205" spans="1:5" x14ac:dyDescent="0.2">
      <c r="A205" t="s">
        <v>3000</v>
      </c>
      <c r="B205" s="291">
        <v>1</v>
      </c>
      <c r="C205" s="228">
        <v>46</v>
      </c>
      <c r="D205" s="212">
        <v>16333.33</v>
      </c>
      <c r="E205" s="212"/>
    </row>
    <row r="206" spans="1:5" x14ac:dyDescent="0.2">
      <c r="A206" t="s">
        <v>3000</v>
      </c>
      <c r="B206" s="291">
        <v>1</v>
      </c>
      <c r="C206" s="228" t="s">
        <v>2991</v>
      </c>
      <c r="D206" s="212">
        <v>-3321.64</v>
      </c>
      <c r="E206" s="212"/>
    </row>
    <row r="207" spans="1:5" x14ac:dyDescent="0.2">
      <c r="A207" t="s">
        <v>3000</v>
      </c>
      <c r="B207" s="291">
        <v>1</v>
      </c>
      <c r="C207" s="228" t="s">
        <v>2992</v>
      </c>
      <c r="D207" s="212">
        <v>1446.43</v>
      </c>
      <c r="E207" s="212"/>
    </row>
    <row r="208" spans="1:5" x14ac:dyDescent="0.2">
      <c r="A208" t="s">
        <v>3000</v>
      </c>
      <c r="B208" s="291">
        <v>1</v>
      </c>
      <c r="C208" s="228" t="e">
        <v>#N/A</v>
      </c>
      <c r="D208" s="212">
        <v>-88682.22</v>
      </c>
      <c r="E208" s="212"/>
    </row>
    <row r="209" spans="1:5" x14ac:dyDescent="0.2">
      <c r="A209" t="s">
        <v>3002</v>
      </c>
      <c r="B209" s="291">
        <v>1</v>
      </c>
      <c r="C209" s="228">
        <v>2</v>
      </c>
      <c r="D209" s="212">
        <v>-246524.07</v>
      </c>
      <c r="E209" s="212"/>
    </row>
    <row r="210" spans="1:5" x14ac:dyDescent="0.2">
      <c r="A210" t="s">
        <v>3002</v>
      </c>
      <c r="B210" s="291">
        <v>1</v>
      </c>
      <c r="C210" s="228">
        <v>3</v>
      </c>
      <c r="D210" s="212">
        <v>51504.92</v>
      </c>
      <c r="E210" s="212"/>
    </row>
    <row r="211" spans="1:5" x14ac:dyDescent="0.2">
      <c r="A211" t="s">
        <v>3002</v>
      </c>
      <c r="B211" s="291">
        <v>1</v>
      </c>
      <c r="C211" s="228">
        <v>4</v>
      </c>
      <c r="D211" s="212">
        <v>1422.71</v>
      </c>
      <c r="E211" s="212"/>
    </row>
    <row r="212" spans="1:5" x14ac:dyDescent="0.2">
      <c r="A212" t="s">
        <v>3002</v>
      </c>
      <c r="B212" s="291">
        <v>1</v>
      </c>
      <c r="C212" s="228">
        <v>5</v>
      </c>
      <c r="D212" s="212">
        <v>1576.58</v>
      </c>
      <c r="E212" s="212"/>
    </row>
    <row r="213" spans="1:5" x14ac:dyDescent="0.2">
      <c r="A213" t="s">
        <v>3002</v>
      </c>
      <c r="B213" s="291">
        <v>1</v>
      </c>
      <c r="C213" s="228">
        <v>6</v>
      </c>
      <c r="D213" s="212">
        <v>4918.43</v>
      </c>
      <c r="E213" s="212"/>
    </row>
    <row r="214" spans="1:5" x14ac:dyDescent="0.2">
      <c r="A214" t="s">
        <v>3002</v>
      </c>
      <c r="B214" s="291">
        <v>1</v>
      </c>
      <c r="C214" s="228" t="s">
        <v>2964</v>
      </c>
      <c r="D214" s="212">
        <v>-82.49</v>
      </c>
      <c r="E214" s="212"/>
    </row>
    <row r="215" spans="1:5" x14ac:dyDescent="0.2">
      <c r="A215" t="s">
        <v>3002</v>
      </c>
      <c r="B215" s="291">
        <v>1</v>
      </c>
      <c r="C215" s="228">
        <v>8</v>
      </c>
      <c r="D215" s="212">
        <v>35682.36</v>
      </c>
      <c r="E215" s="212"/>
    </row>
    <row r="216" spans="1:5" x14ac:dyDescent="0.2">
      <c r="A216" t="s">
        <v>3002</v>
      </c>
      <c r="B216" s="291">
        <v>1</v>
      </c>
      <c r="C216" s="228">
        <v>9</v>
      </c>
      <c r="D216" s="212">
        <v>3798.85</v>
      </c>
      <c r="E216" s="212"/>
    </row>
    <row r="217" spans="1:5" x14ac:dyDescent="0.2">
      <c r="A217" t="s">
        <v>3002</v>
      </c>
      <c r="B217" s="291">
        <v>1</v>
      </c>
      <c r="C217" s="228">
        <v>10</v>
      </c>
      <c r="D217" s="212">
        <v>21454.04</v>
      </c>
      <c r="E217" s="212"/>
    </row>
    <row r="218" spans="1:5" x14ac:dyDescent="0.2">
      <c r="A218" t="s">
        <v>3002</v>
      </c>
      <c r="B218" s="291">
        <v>1</v>
      </c>
      <c r="C218" s="228">
        <v>11</v>
      </c>
      <c r="D218" s="212">
        <v>5237.3500000000004</v>
      </c>
      <c r="E218" s="212"/>
    </row>
    <row r="219" spans="1:5" x14ac:dyDescent="0.2">
      <c r="A219" t="s">
        <v>3002</v>
      </c>
      <c r="B219" s="291">
        <v>1</v>
      </c>
      <c r="C219" s="228">
        <v>16</v>
      </c>
      <c r="D219" s="212">
        <v>57</v>
      </c>
      <c r="E219" s="212"/>
    </row>
    <row r="220" spans="1:5" x14ac:dyDescent="0.2">
      <c r="A220" t="s">
        <v>3002</v>
      </c>
      <c r="B220" s="291">
        <v>1</v>
      </c>
      <c r="C220" s="228">
        <v>17</v>
      </c>
      <c r="D220" s="212">
        <v>2042.52</v>
      </c>
      <c r="E220" s="212"/>
    </row>
    <row r="221" spans="1:5" x14ac:dyDescent="0.2">
      <c r="A221" t="s">
        <v>3002</v>
      </c>
      <c r="B221" s="291">
        <v>1</v>
      </c>
      <c r="C221" s="228">
        <v>18</v>
      </c>
      <c r="D221" s="212">
        <v>3331.04</v>
      </c>
      <c r="E221" s="212"/>
    </row>
    <row r="222" spans="1:5" x14ac:dyDescent="0.2">
      <c r="A222" t="s">
        <v>3002</v>
      </c>
      <c r="B222" s="291">
        <v>1</v>
      </c>
      <c r="C222" s="228">
        <v>19</v>
      </c>
      <c r="D222" s="212">
        <v>8689.08</v>
      </c>
      <c r="E222" s="212"/>
    </row>
    <row r="223" spans="1:5" x14ac:dyDescent="0.2">
      <c r="A223" t="s">
        <v>3002</v>
      </c>
      <c r="B223" s="291">
        <v>1</v>
      </c>
      <c r="C223" s="228">
        <v>22</v>
      </c>
      <c r="D223" s="212">
        <v>9870.25</v>
      </c>
      <c r="E223" s="212"/>
    </row>
    <row r="224" spans="1:5" x14ac:dyDescent="0.2">
      <c r="A224" t="s">
        <v>3002</v>
      </c>
      <c r="B224" s="291">
        <v>1</v>
      </c>
      <c r="C224" s="228">
        <v>23</v>
      </c>
      <c r="D224" s="212">
        <v>5333.37</v>
      </c>
      <c r="E224" s="212"/>
    </row>
    <row r="225" spans="1:5" x14ac:dyDescent="0.2">
      <c r="A225" t="s">
        <v>3002</v>
      </c>
      <c r="B225" s="291">
        <v>1</v>
      </c>
      <c r="C225" s="228">
        <v>24</v>
      </c>
      <c r="D225" s="212">
        <v>9078.49</v>
      </c>
      <c r="E225" s="212"/>
    </row>
    <row r="226" spans="1:5" x14ac:dyDescent="0.2">
      <c r="A226" t="s">
        <v>3002</v>
      </c>
      <c r="B226" s="291">
        <v>1</v>
      </c>
      <c r="C226" s="228">
        <v>25</v>
      </c>
      <c r="D226" s="212">
        <v>2315.11</v>
      </c>
      <c r="E226" s="212"/>
    </row>
    <row r="227" spans="1:5" x14ac:dyDescent="0.2">
      <c r="A227" t="s">
        <v>3002</v>
      </c>
      <c r="B227" s="291">
        <v>1</v>
      </c>
      <c r="C227" s="228">
        <v>26</v>
      </c>
      <c r="D227" s="212">
        <v>221.43</v>
      </c>
      <c r="E227" s="212"/>
    </row>
    <row r="228" spans="1:5" x14ac:dyDescent="0.2">
      <c r="A228" t="s">
        <v>3002</v>
      </c>
      <c r="B228" s="291">
        <v>1</v>
      </c>
      <c r="C228" s="228">
        <v>27</v>
      </c>
      <c r="D228" s="212">
        <v>1222.55</v>
      </c>
      <c r="E228" s="212"/>
    </row>
    <row r="229" spans="1:5" x14ac:dyDescent="0.2">
      <c r="A229" t="s">
        <v>3002</v>
      </c>
      <c r="B229" s="291">
        <v>1</v>
      </c>
      <c r="C229" s="228">
        <v>29</v>
      </c>
      <c r="D229" s="212">
        <v>31131.42</v>
      </c>
      <c r="E229" s="212"/>
    </row>
    <row r="230" spans="1:5" x14ac:dyDescent="0.2">
      <c r="A230" t="s">
        <v>3002</v>
      </c>
      <c r="B230" s="291">
        <v>1</v>
      </c>
      <c r="C230" s="228">
        <v>31</v>
      </c>
      <c r="D230" s="212">
        <v>-401.63</v>
      </c>
      <c r="E230" s="212"/>
    </row>
    <row r="231" spans="1:5" x14ac:dyDescent="0.2">
      <c r="A231" t="s">
        <v>3002</v>
      </c>
      <c r="B231" s="291">
        <v>1</v>
      </c>
      <c r="C231" s="228">
        <v>33</v>
      </c>
      <c r="D231" s="212">
        <v>301.08</v>
      </c>
      <c r="E231" s="212"/>
    </row>
    <row r="232" spans="1:5" x14ac:dyDescent="0.2">
      <c r="A232" t="s">
        <v>3002</v>
      </c>
      <c r="B232" s="291">
        <v>1</v>
      </c>
      <c r="C232" s="228">
        <v>34</v>
      </c>
      <c r="D232" s="212">
        <v>12452.57</v>
      </c>
      <c r="E232" s="212"/>
    </row>
    <row r="233" spans="1:5" x14ac:dyDescent="0.2">
      <c r="A233" t="s">
        <v>3002</v>
      </c>
      <c r="B233" s="291">
        <v>1</v>
      </c>
      <c r="C233" s="228">
        <v>35</v>
      </c>
      <c r="D233" s="212">
        <v>1302</v>
      </c>
      <c r="E233" s="212"/>
    </row>
    <row r="234" spans="1:5" x14ac:dyDescent="0.2">
      <c r="A234" t="s">
        <v>3002</v>
      </c>
      <c r="B234" s="291">
        <v>1</v>
      </c>
      <c r="C234" s="228">
        <v>36</v>
      </c>
      <c r="D234" s="212">
        <v>1040</v>
      </c>
      <c r="E234" s="212"/>
    </row>
    <row r="235" spans="1:5" x14ac:dyDescent="0.2">
      <c r="A235" t="s">
        <v>3002</v>
      </c>
      <c r="B235" s="291">
        <v>1</v>
      </c>
      <c r="C235" s="228">
        <v>37</v>
      </c>
      <c r="D235" s="212">
        <v>1671.7</v>
      </c>
      <c r="E235" s="212"/>
    </row>
    <row r="236" spans="1:5" x14ac:dyDescent="0.2">
      <c r="A236" t="s">
        <v>3002</v>
      </c>
      <c r="B236" s="291">
        <v>1</v>
      </c>
      <c r="C236" s="228">
        <v>38</v>
      </c>
      <c r="D236" s="212">
        <v>6110</v>
      </c>
      <c r="E236" s="212"/>
    </row>
    <row r="237" spans="1:5" x14ac:dyDescent="0.2">
      <c r="A237" t="s">
        <v>3002</v>
      </c>
      <c r="B237" s="291">
        <v>1</v>
      </c>
      <c r="C237" s="228">
        <v>40</v>
      </c>
      <c r="D237" s="212">
        <v>3209.12</v>
      </c>
      <c r="E237" s="212"/>
    </row>
    <row r="238" spans="1:5" x14ac:dyDescent="0.2">
      <c r="A238" t="s">
        <v>3002</v>
      </c>
      <c r="B238" s="291">
        <v>1</v>
      </c>
      <c r="C238" s="228">
        <v>42</v>
      </c>
      <c r="D238" s="212">
        <v>23.7</v>
      </c>
      <c r="E238" s="212"/>
    </row>
    <row r="239" spans="1:5" x14ac:dyDescent="0.2">
      <c r="A239" t="s">
        <v>3002</v>
      </c>
      <c r="B239" s="291">
        <v>1</v>
      </c>
      <c r="C239" s="228">
        <v>46</v>
      </c>
      <c r="D239" s="212">
        <v>17033</v>
      </c>
      <c r="E239" s="212"/>
    </row>
    <row r="240" spans="1:5" x14ac:dyDescent="0.2">
      <c r="A240" t="s">
        <v>3002</v>
      </c>
      <c r="B240" s="291">
        <v>1</v>
      </c>
      <c r="C240" s="228" t="s">
        <v>2991</v>
      </c>
      <c r="D240" s="212">
        <v>-2527.3000000000002</v>
      </c>
      <c r="E240" s="212"/>
    </row>
    <row r="241" spans="1:5" x14ac:dyDescent="0.2">
      <c r="A241" t="s">
        <v>3002</v>
      </c>
      <c r="B241" s="291">
        <v>1</v>
      </c>
      <c r="C241" s="228" t="s">
        <v>2992</v>
      </c>
      <c r="D241" s="212">
        <v>2458.4699999999998</v>
      </c>
      <c r="E241" s="212"/>
    </row>
    <row r="242" spans="1:5" x14ac:dyDescent="0.2">
      <c r="A242" t="s">
        <v>3002</v>
      </c>
      <c r="B242" s="291">
        <v>1</v>
      </c>
      <c r="C242" s="228" t="e">
        <v>#N/A</v>
      </c>
      <c r="D242" s="212">
        <v>5046.3500000000004</v>
      </c>
      <c r="E242" s="212"/>
    </row>
    <row r="243" spans="1:5" x14ac:dyDescent="0.2">
      <c r="A243" t="s">
        <v>297</v>
      </c>
      <c r="B243" s="291">
        <v>1</v>
      </c>
      <c r="C243" s="228">
        <v>2</v>
      </c>
      <c r="D243" s="212">
        <v>-335149.37</v>
      </c>
      <c r="E243" s="212"/>
    </row>
    <row r="244" spans="1:5" x14ac:dyDescent="0.2">
      <c r="A244" t="s">
        <v>297</v>
      </c>
      <c r="B244" s="291">
        <v>1</v>
      </c>
      <c r="C244" s="228">
        <v>3</v>
      </c>
      <c r="D244" s="212">
        <v>73811.55</v>
      </c>
      <c r="E244" s="212"/>
    </row>
    <row r="245" spans="1:5" x14ac:dyDescent="0.2">
      <c r="A245" t="s">
        <v>297</v>
      </c>
      <c r="B245" s="291">
        <v>1</v>
      </c>
      <c r="C245" s="228">
        <v>4</v>
      </c>
      <c r="D245" s="212">
        <v>1373.44</v>
      </c>
      <c r="E245" s="212"/>
    </row>
    <row r="246" spans="1:5" x14ac:dyDescent="0.2">
      <c r="A246" t="s">
        <v>297</v>
      </c>
      <c r="B246" s="291">
        <v>1</v>
      </c>
      <c r="C246" s="228">
        <v>5</v>
      </c>
      <c r="D246" s="212">
        <v>2226.6999999999998</v>
      </c>
      <c r="E246" s="212"/>
    </row>
    <row r="247" spans="1:5" x14ac:dyDescent="0.2">
      <c r="A247" t="s">
        <v>297</v>
      </c>
      <c r="B247" s="291">
        <v>1</v>
      </c>
      <c r="C247" s="228">
        <v>6</v>
      </c>
      <c r="D247" s="212">
        <v>7311.17</v>
      </c>
      <c r="E247" s="212"/>
    </row>
    <row r="248" spans="1:5" x14ac:dyDescent="0.2">
      <c r="A248" t="s">
        <v>297</v>
      </c>
      <c r="B248" s="291">
        <v>1</v>
      </c>
      <c r="C248" s="228" t="s">
        <v>2964</v>
      </c>
      <c r="D248" s="212">
        <v>564.77</v>
      </c>
      <c r="E248" s="212"/>
    </row>
    <row r="249" spans="1:5" x14ac:dyDescent="0.2">
      <c r="A249" t="s">
        <v>297</v>
      </c>
      <c r="B249" s="291">
        <v>1</v>
      </c>
      <c r="C249" s="228">
        <v>8</v>
      </c>
      <c r="D249" s="212">
        <v>49568.02</v>
      </c>
      <c r="E249" s="212"/>
    </row>
    <row r="250" spans="1:5" x14ac:dyDescent="0.2">
      <c r="A250" t="s">
        <v>297</v>
      </c>
      <c r="B250" s="291">
        <v>1</v>
      </c>
      <c r="C250" s="228">
        <v>9</v>
      </c>
      <c r="D250" s="212">
        <v>5728.4</v>
      </c>
      <c r="E250" s="212"/>
    </row>
    <row r="251" spans="1:5" x14ac:dyDescent="0.2">
      <c r="A251" t="s">
        <v>297</v>
      </c>
      <c r="B251" s="291">
        <v>1</v>
      </c>
      <c r="C251" s="228">
        <v>10</v>
      </c>
      <c r="D251" s="212">
        <v>21188.22</v>
      </c>
      <c r="E251" s="212"/>
    </row>
    <row r="252" spans="1:5" x14ac:dyDescent="0.2">
      <c r="A252" t="s">
        <v>297</v>
      </c>
      <c r="B252" s="291">
        <v>1</v>
      </c>
      <c r="C252" s="228">
        <v>11</v>
      </c>
      <c r="D252" s="212">
        <v>5110.6099999999997</v>
      </c>
      <c r="E252" s="212"/>
    </row>
    <row r="253" spans="1:5" x14ac:dyDescent="0.2">
      <c r="A253" t="s">
        <v>297</v>
      </c>
      <c r="B253" s="291">
        <v>1</v>
      </c>
      <c r="C253" s="228">
        <v>15</v>
      </c>
      <c r="D253" s="212">
        <v>549.16999999999996</v>
      </c>
      <c r="E253" s="212"/>
    </row>
    <row r="254" spans="1:5" x14ac:dyDescent="0.2">
      <c r="A254" t="s">
        <v>297</v>
      </c>
      <c r="B254" s="291">
        <v>1</v>
      </c>
      <c r="C254" s="228">
        <v>16</v>
      </c>
      <c r="D254" s="212">
        <v>591.32000000000005</v>
      </c>
      <c r="E254" s="212"/>
    </row>
    <row r="255" spans="1:5" x14ac:dyDescent="0.2">
      <c r="A255" t="s">
        <v>297</v>
      </c>
      <c r="B255" s="291">
        <v>1</v>
      </c>
      <c r="C255" s="228">
        <v>17</v>
      </c>
      <c r="D255" s="212">
        <v>2586.3200000000002</v>
      </c>
      <c r="E255" s="212"/>
    </row>
    <row r="256" spans="1:5" x14ac:dyDescent="0.2">
      <c r="A256" t="s">
        <v>297</v>
      </c>
      <c r="B256" s="291">
        <v>1</v>
      </c>
      <c r="C256" s="228">
        <v>18</v>
      </c>
      <c r="D256" s="212">
        <v>2795.93</v>
      </c>
      <c r="E256" s="212"/>
    </row>
    <row r="257" spans="1:5" x14ac:dyDescent="0.2">
      <c r="A257" t="s">
        <v>297</v>
      </c>
      <c r="B257" s="291">
        <v>1</v>
      </c>
      <c r="C257" s="228">
        <v>19</v>
      </c>
      <c r="D257" s="212">
        <v>6464.59</v>
      </c>
      <c r="E257" s="212"/>
    </row>
    <row r="258" spans="1:5" x14ac:dyDescent="0.2">
      <c r="A258" t="s">
        <v>297</v>
      </c>
      <c r="B258" s="291">
        <v>1</v>
      </c>
      <c r="C258" s="228">
        <v>22</v>
      </c>
      <c r="D258" s="212">
        <v>13394.96</v>
      </c>
      <c r="E258" s="212"/>
    </row>
    <row r="259" spans="1:5" x14ac:dyDescent="0.2">
      <c r="A259" t="s">
        <v>297</v>
      </c>
      <c r="B259" s="291">
        <v>1</v>
      </c>
      <c r="C259" s="228">
        <v>23</v>
      </c>
      <c r="D259" s="212">
        <v>7551.07</v>
      </c>
      <c r="E259" s="212"/>
    </row>
    <row r="260" spans="1:5" x14ac:dyDescent="0.2">
      <c r="A260" t="s">
        <v>297</v>
      </c>
      <c r="B260" s="291">
        <v>1</v>
      </c>
      <c r="C260" s="228">
        <v>24</v>
      </c>
      <c r="D260" s="212">
        <v>10821.79</v>
      </c>
      <c r="E260" s="212"/>
    </row>
    <row r="261" spans="1:5" x14ac:dyDescent="0.2">
      <c r="A261" t="s">
        <v>297</v>
      </c>
      <c r="B261" s="291">
        <v>1</v>
      </c>
      <c r="C261" s="228">
        <v>25</v>
      </c>
      <c r="D261" s="212">
        <v>2261.69</v>
      </c>
      <c r="E261" s="212"/>
    </row>
    <row r="262" spans="1:5" x14ac:dyDescent="0.2">
      <c r="A262" t="s">
        <v>297</v>
      </c>
      <c r="B262" s="291">
        <v>1</v>
      </c>
      <c r="C262" s="228">
        <v>26</v>
      </c>
      <c r="D262" s="212">
        <v>410.44</v>
      </c>
      <c r="E262" s="212"/>
    </row>
    <row r="263" spans="1:5" x14ac:dyDescent="0.2">
      <c r="A263" t="s">
        <v>297</v>
      </c>
      <c r="B263" s="291">
        <v>1</v>
      </c>
      <c r="C263" s="228">
        <v>27</v>
      </c>
      <c r="D263" s="212">
        <v>1070</v>
      </c>
      <c r="E263" s="212"/>
    </row>
    <row r="264" spans="1:5" x14ac:dyDescent="0.2">
      <c r="A264" t="s">
        <v>297</v>
      </c>
      <c r="B264" s="291">
        <v>1</v>
      </c>
      <c r="C264" s="228">
        <v>29</v>
      </c>
      <c r="D264" s="212">
        <v>47488.38</v>
      </c>
      <c r="E264" s="212"/>
    </row>
    <row r="265" spans="1:5" x14ac:dyDescent="0.2">
      <c r="A265" t="s">
        <v>297</v>
      </c>
      <c r="B265" s="291">
        <v>1</v>
      </c>
      <c r="C265" s="228">
        <v>31</v>
      </c>
      <c r="D265" s="212">
        <v>-839.85</v>
      </c>
      <c r="E265" s="212"/>
    </row>
    <row r="266" spans="1:5" x14ac:dyDescent="0.2">
      <c r="A266" t="s">
        <v>297</v>
      </c>
      <c r="B266" s="291">
        <v>1</v>
      </c>
      <c r="C266" s="228">
        <v>33</v>
      </c>
      <c r="D266" s="212">
        <v>550</v>
      </c>
      <c r="E266" s="212"/>
    </row>
    <row r="267" spans="1:5" x14ac:dyDescent="0.2">
      <c r="A267" t="s">
        <v>297</v>
      </c>
      <c r="B267" s="291">
        <v>1</v>
      </c>
      <c r="C267" s="228">
        <v>34</v>
      </c>
      <c r="D267" s="212">
        <v>16960.13</v>
      </c>
      <c r="E267" s="212"/>
    </row>
    <row r="268" spans="1:5" x14ac:dyDescent="0.2">
      <c r="A268" t="s">
        <v>297</v>
      </c>
      <c r="B268" s="291">
        <v>1</v>
      </c>
      <c r="C268" s="228">
        <v>35</v>
      </c>
      <c r="D268" s="212">
        <v>1439</v>
      </c>
      <c r="E268" s="212"/>
    </row>
    <row r="269" spans="1:5" x14ac:dyDescent="0.2">
      <c r="A269" t="s">
        <v>297</v>
      </c>
      <c r="B269" s="291">
        <v>1</v>
      </c>
      <c r="C269" s="228">
        <v>36</v>
      </c>
      <c r="D269" s="212">
        <v>1627.8</v>
      </c>
      <c r="E269" s="212"/>
    </row>
    <row r="270" spans="1:5" x14ac:dyDescent="0.2">
      <c r="A270" t="s">
        <v>297</v>
      </c>
      <c r="B270" s="291">
        <v>1</v>
      </c>
      <c r="C270" s="228">
        <v>37</v>
      </c>
      <c r="D270" s="212">
        <v>2711.8</v>
      </c>
      <c r="E270" s="212"/>
    </row>
    <row r="271" spans="1:5" x14ac:dyDescent="0.2">
      <c r="A271" t="s">
        <v>297</v>
      </c>
      <c r="B271" s="291">
        <v>1</v>
      </c>
      <c r="C271" s="228">
        <v>38</v>
      </c>
      <c r="D271" s="212">
        <v>12000</v>
      </c>
      <c r="E271" s="212"/>
    </row>
    <row r="272" spans="1:5" x14ac:dyDescent="0.2">
      <c r="A272" t="s">
        <v>297</v>
      </c>
      <c r="B272" s="291">
        <v>1</v>
      </c>
      <c r="C272" s="228">
        <v>40</v>
      </c>
      <c r="D272" s="212">
        <v>1113.97</v>
      </c>
      <c r="E272" s="212"/>
    </row>
    <row r="273" spans="1:5" x14ac:dyDescent="0.2">
      <c r="A273" t="s">
        <v>297</v>
      </c>
      <c r="B273" s="291">
        <v>1</v>
      </c>
      <c r="C273" s="228">
        <v>42</v>
      </c>
      <c r="D273" s="212">
        <v>30.11</v>
      </c>
      <c r="E273" s="212"/>
    </row>
    <row r="274" spans="1:5" x14ac:dyDescent="0.2">
      <c r="A274" t="s">
        <v>297</v>
      </c>
      <c r="B274" s="291">
        <v>1</v>
      </c>
      <c r="C274" s="228">
        <v>46</v>
      </c>
      <c r="D274" s="212">
        <v>21233.33</v>
      </c>
      <c r="E274" s="212"/>
    </row>
    <row r="275" spans="1:5" x14ac:dyDescent="0.2">
      <c r="A275" t="s">
        <v>297</v>
      </c>
      <c r="B275" s="291">
        <v>1</v>
      </c>
      <c r="C275" s="228" t="s">
        <v>2991</v>
      </c>
      <c r="D275" s="212">
        <v>-4053.31</v>
      </c>
      <c r="E275" s="212"/>
    </row>
    <row r="276" spans="1:5" x14ac:dyDescent="0.2">
      <c r="A276" t="s">
        <v>297</v>
      </c>
      <c r="B276" s="291">
        <v>1</v>
      </c>
      <c r="C276" s="228" t="s">
        <v>2992</v>
      </c>
      <c r="D276" s="212">
        <v>4503.93</v>
      </c>
      <c r="E276" s="212"/>
    </row>
    <row r="277" spans="1:5" x14ac:dyDescent="0.2">
      <c r="A277" t="s">
        <v>297</v>
      </c>
      <c r="B277" s="291">
        <v>1</v>
      </c>
      <c r="C277" s="228" t="e">
        <v>#N/A</v>
      </c>
      <c r="D277" s="212">
        <v>15003.92</v>
      </c>
      <c r="E277" s="212"/>
    </row>
    <row r="278" spans="1:5" x14ac:dyDescent="0.2">
      <c r="A278" t="s">
        <v>2998</v>
      </c>
      <c r="B278" s="291">
        <v>1</v>
      </c>
      <c r="C278" s="228">
        <v>2</v>
      </c>
      <c r="D278" s="212">
        <v>-232055.39</v>
      </c>
      <c r="E278" s="212"/>
    </row>
    <row r="279" spans="1:5" x14ac:dyDescent="0.2">
      <c r="A279" t="s">
        <v>2998</v>
      </c>
      <c r="B279" s="291">
        <v>1</v>
      </c>
      <c r="C279" s="228">
        <v>3</v>
      </c>
      <c r="D279" s="212">
        <v>52458.81</v>
      </c>
      <c r="E279" s="212"/>
    </row>
    <row r="280" spans="1:5" x14ac:dyDescent="0.2">
      <c r="A280" t="s">
        <v>2998</v>
      </c>
      <c r="B280" s="291">
        <v>1</v>
      </c>
      <c r="C280" s="228">
        <v>4</v>
      </c>
      <c r="D280" s="212">
        <v>854.89</v>
      </c>
      <c r="E280" s="212"/>
    </row>
    <row r="281" spans="1:5" x14ac:dyDescent="0.2">
      <c r="A281" t="s">
        <v>2998</v>
      </c>
      <c r="B281" s="291">
        <v>1</v>
      </c>
      <c r="C281" s="228">
        <v>5</v>
      </c>
      <c r="D281" s="212">
        <v>1092.3</v>
      </c>
      <c r="E281" s="212"/>
    </row>
    <row r="282" spans="1:5" x14ac:dyDescent="0.2">
      <c r="A282" t="s">
        <v>2998</v>
      </c>
      <c r="B282" s="291">
        <v>1</v>
      </c>
      <c r="C282" s="228">
        <v>6</v>
      </c>
      <c r="D282" s="212">
        <v>5484.25</v>
      </c>
      <c r="E282" s="212"/>
    </row>
    <row r="283" spans="1:5" x14ac:dyDescent="0.2">
      <c r="A283" t="s">
        <v>2998</v>
      </c>
      <c r="B283" s="291">
        <v>1</v>
      </c>
      <c r="C283" s="228" t="s">
        <v>2964</v>
      </c>
      <c r="D283" s="212">
        <v>805.18</v>
      </c>
      <c r="E283" s="212"/>
    </row>
    <row r="284" spans="1:5" x14ac:dyDescent="0.2">
      <c r="A284" t="s">
        <v>2998</v>
      </c>
      <c r="B284" s="291">
        <v>1</v>
      </c>
      <c r="C284" s="228">
        <v>8</v>
      </c>
      <c r="D284" s="212">
        <v>37599.199999999997</v>
      </c>
      <c r="E284" s="212"/>
    </row>
    <row r="285" spans="1:5" x14ac:dyDescent="0.2">
      <c r="A285" t="s">
        <v>2998</v>
      </c>
      <c r="B285" s="291">
        <v>1</v>
      </c>
      <c r="C285" s="228">
        <v>9</v>
      </c>
      <c r="D285" s="212">
        <v>4206.49</v>
      </c>
      <c r="E285" s="212"/>
    </row>
    <row r="286" spans="1:5" x14ac:dyDescent="0.2">
      <c r="A286" t="s">
        <v>2998</v>
      </c>
      <c r="B286" s="291">
        <v>1</v>
      </c>
      <c r="C286" s="228">
        <v>10</v>
      </c>
      <c r="D286" s="212">
        <v>15344.28</v>
      </c>
      <c r="E286" s="212"/>
    </row>
    <row r="287" spans="1:5" x14ac:dyDescent="0.2">
      <c r="A287" t="s">
        <v>2998</v>
      </c>
      <c r="B287" s="291">
        <v>1</v>
      </c>
      <c r="C287" s="228">
        <v>11</v>
      </c>
      <c r="D287" s="212">
        <v>4070.07</v>
      </c>
      <c r="E287" s="212"/>
    </row>
    <row r="288" spans="1:5" x14ac:dyDescent="0.2">
      <c r="A288" t="s">
        <v>2998</v>
      </c>
      <c r="B288" s="291">
        <v>1</v>
      </c>
      <c r="C288" s="228">
        <v>15</v>
      </c>
      <c r="D288" s="212">
        <v>3290</v>
      </c>
      <c r="E288" s="212"/>
    </row>
    <row r="289" spans="1:5" x14ac:dyDescent="0.2">
      <c r="A289" t="s">
        <v>2998</v>
      </c>
      <c r="B289" s="291">
        <v>1</v>
      </c>
      <c r="C289" s="228">
        <v>16</v>
      </c>
      <c r="D289" s="212">
        <v>562.13</v>
      </c>
      <c r="E289" s="212"/>
    </row>
    <row r="290" spans="1:5" x14ac:dyDescent="0.2">
      <c r="A290" t="s">
        <v>2998</v>
      </c>
      <c r="B290" s="291">
        <v>1</v>
      </c>
      <c r="C290" s="228">
        <v>17</v>
      </c>
      <c r="D290" s="212">
        <v>2239.54</v>
      </c>
      <c r="E290" s="212"/>
    </row>
    <row r="291" spans="1:5" x14ac:dyDescent="0.2">
      <c r="A291" t="s">
        <v>2998</v>
      </c>
      <c r="B291" s="291">
        <v>1</v>
      </c>
      <c r="C291" s="228">
        <v>18</v>
      </c>
      <c r="D291" s="212">
        <v>2581.67</v>
      </c>
      <c r="E291" s="212"/>
    </row>
    <row r="292" spans="1:5" x14ac:dyDescent="0.2">
      <c r="A292" t="s">
        <v>2998</v>
      </c>
      <c r="B292" s="291">
        <v>1</v>
      </c>
      <c r="C292" s="228">
        <v>19</v>
      </c>
      <c r="D292" s="212">
        <v>7111.06</v>
      </c>
      <c r="E292" s="212"/>
    </row>
    <row r="293" spans="1:5" x14ac:dyDescent="0.2">
      <c r="A293" t="s">
        <v>2998</v>
      </c>
      <c r="B293" s="291">
        <v>1</v>
      </c>
      <c r="C293" s="228">
        <v>22</v>
      </c>
      <c r="D293" s="212">
        <v>9273.61</v>
      </c>
      <c r="E293" s="212"/>
    </row>
    <row r="294" spans="1:5" x14ac:dyDescent="0.2">
      <c r="A294" t="s">
        <v>2998</v>
      </c>
      <c r="B294" s="291">
        <v>1</v>
      </c>
      <c r="C294" s="228">
        <v>23</v>
      </c>
      <c r="D294" s="212">
        <v>5320.34</v>
      </c>
      <c r="E294" s="212"/>
    </row>
    <row r="295" spans="1:5" x14ac:dyDescent="0.2">
      <c r="A295" t="s">
        <v>2998</v>
      </c>
      <c r="B295" s="291">
        <v>1</v>
      </c>
      <c r="C295" s="228">
        <v>24</v>
      </c>
      <c r="D295" s="212">
        <v>9487.7999999999993</v>
      </c>
      <c r="E295" s="212"/>
    </row>
    <row r="296" spans="1:5" x14ac:dyDescent="0.2">
      <c r="A296" t="s">
        <v>2998</v>
      </c>
      <c r="B296" s="291">
        <v>1</v>
      </c>
      <c r="C296" s="228">
        <v>25</v>
      </c>
      <c r="D296" s="212">
        <v>2205.36</v>
      </c>
      <c r="E296" s="212"/>
    </row>
    <row r="297" spans="1:5" x14ac:dyDescent="0.2">
      <c r="A297" t="s">
        <v>2998</v>
      </c>
      <c r="B297" s="291">
        <v>1</v>
      </c>
      <c r="C297" s="228">
        <v>26</v>
      </c>
      <c r="D297" s="212">
        <v>440.22</v>
      </c>
      <c r="E297" s="212"/>
    </row>
    <row r="298" spans="1:5" x14ac:dyDescent="0.2">
      <c r="A298" t="s">
        <v>2998</v>
      </c>
      <c r="B298" s="291">
        <v>1</v>
      </c>
      <c r="C298" s="228">
        <v>27</v>
      </c>
      <c r="D298" s="212">
        <v>906.98</v>
      </c>
      <c r="E298" s="212"/>
    </row>
    <row r="299" spans="1:5" x14ac:dyDescent="0.2">
      <c r="A299" t="s">
        <v>2998</v>
      </c>
      <c r="B299" s="291">
        <v>1</v>
      </c>
      <c r="C299" s="228">
        <v>29</v>
      </c>
      <c r="D299" s="212">
        <v>30449.45</v>
      </c>
      <c r="E299" s="212"/>
    </row>
    <row r="300" spans="1:5" x14ac:dyDescent="0.2">
      <c r="A300" t="s">
        <v>2998</v>
      </c>
      <c r="B300" s="291">
        <v>1</v>
      </c>
      <c r="C300" s="228">
        <v>31</v>
      </c>
      <c r="D300" s="212">
        <v>-429.57</v>
      </c>
      <c r="E300" s="212"/>
    </row>
    <row r="301" spans="1:5" x14ac:dyDescent="0.2">
      <c r="A301" t="s">
        <v>2998</v>
      </c>
      <c r="B301" s="291">
        <v>1</v>
      </c>
      <c r="C301" s="228">
        <v>33</v>
      </c>
      <c r="D301" s="212">
        <v>520</v>
      </c>
      <c r="E301" s="212"/>
    </row>
    <row r="302" spans="1:5" x14ac:dyDescent="0.2">
      <c r="A302" t="s">
        <v>2998</v>
      </c>
      <c r="B302" s="291">
        <v>1</v>
      </c>
      <c r="C302" s="228">
        <v>34</v>
      </c>
      <c r="D302" s="212">
        <v>11711.33</v>
      </c>
      <c r="E302" s="212"/>
    </row>
    <row r="303" spans="1:5" x14ac:dyDescent="0.2">
      <c r="A303" t="s">
        <v>2998</v>
      </c>
      <c r="B303" s="291">
        <v>1</v>
      </c>
      <c r="C303" s="228">
        <v>35</v>
      </c>
      <c r="D303" s="212">
        <v>1006.5</v>
      </c>
      <c r="E303" s="212"/>
    </row>
    <row r="304" spans="1:5" x14ac:dyDescent="0.2">
      <c r="A304" t="s">
        <v>2998</v>
      </c>
      <c r="B304" s="291">
        <v>1</v>
      </c>
      <c r="C304" s="228">
        <v>36</v>
      </c>
      <c r="D304" s="212">
        <v>1812.54</v>
      </c>
      <c r="E304" s="212"/>
    </row>
    <row r="305" spans="1:5" x14ac:dyDescent="0.2">
      <c r="A305" t="s">
        <v>2998</v>
      </c>
      <c r="B305" s="291">
        <v>1</v>
      </c>
      <c r="C305" s="228">
        <v>37</v>
      </c>
      <c r="D305" s="212">
        <v>3450.96</v>
      </c>
      <c r="E305" s="212"/>
    </row>
    <row r="306" spans="1:5" x14ac:dyDescent="0.2">
      <c r="A306" t="s">
        <v>2998</v>
      </c>
      <c r="B306" s="291">
        <v>1</v>
      </c>
      <c r="C306" s="228">
        <v>38</v>
      </c>
      <c r="D306" s="212">
        <v>11000</v>
      </c>
      <c r="E306" s="212"/>
    </row>
    <row r="307" spans="1:5" x14ac:dyDescent="0.2">
      <c r="A307" t="s">
        <v>2998</v>
      </c>
      <c r="B307" s="291">
        <v>1</v>
      </c>
      <c r="C307" s="228">
        <v>40</v>
      </c>
      <c r="D307" s="212">
        <v>4513.42</v>
      </c>
      <c r="E307" s="212"/>
    </row>
    <row r="308" spans="1:5" x14ac:dyDescent="0.2">
      <c r="A308" t="s">
        <v>2998</v>
      </c>
      <c r="B308" s="291">
        <v>1</v>
      </c>
      <c r="C308" s="228">
        <v>42</v>
      </c>
      <c r="D308" s="212">
        <v>16.37</v>
      </c>
      <c r="E308" s="212"/>
    </row>
    <row r="309" spans="1:5" x14ac:dyDescent="0.2">
      <c r="A309" t="s">
        <v>2998</v>
      </c>
      <c r="B309" s="291">
        <v>1</v>
      </c>
      <c r="C309" s="228">
        <v>46</v>
      </c>
      <c r="D309" s="212">
        <v>18233.330000000002</v>
      </c>
      <c r="E309" s="212"/>
    </row>
    <row r="310" spans="1:5" x14ac:dyDescent="0.2">
      <c r="A310" t="s">
        <v>2998</v>
      </c>
      <c r="B310" s="291">
        <v>1</v>
      </c>
      <c r="C310" s="228" t="s">
        <v>2991</v>
      </c>
      <c r="D310" s="212">
        <v>-2171.15</v>
      </c>
      <c r="E310" s="212"/>
    </row>
    <row r="311" spans="1:5" x14ac:dyDescent="0.2">
      <c r="A311" t="s">
        <v>2998</v>
      </c>
      <c r="B311" s="291">
        <v>1</v>
      </c>
      <c r="C311" s="228" t="s">
        <v>2992</v>
      </c>
      <c r="D311" s="212">
        <v>2747.77</v>
      </c>
      <c r="E311" s="212"/>
    </row>
    <row r="312" spans="1:5" x14ac:dyDescent="0.2">
      <c r="A312" t="s">
        <v>2998</v>
      </c>
      <c r="B312" s="291">
        <v>1</v>
      </c>
      <c r="C312" s="228" t="e">
        <v>#N/A</v>
      </c>
      <c r="D312" s="212">
        <v>-30900.01</v>
      </c>
      <c r="E312" s="212"/>
    </row>
    <row r="313" spans="1:5" x14ac:dyDescent="0.2">
      <c r="A313" t="s">
        <v>301</v>
      </c>
      <c r="B313" s="291">
        <v>1</v>
      </c>
      <c r="C313" s="228">
        <v>2</v>
      </c>
      <c r="D313" s="212">
        <v>-360434.46</v>
      </c>
      <c r="E313" s="212"/>
    </row>
    <row r="314" spans="1:5" x14ac:dyDescent="0.2">
      <c r="A314" t="s">
        <v>301</v>
      </c>
      <c r="B314" s="291">
        <v>1</v>
      </c>
      <c r="C314" s="228">
        <v>3</v>
      </c>
      <c r="D314" s="212">
        <v>77642.289999999994</v>
      </c>
      <c r="E314" s="212"/>
    </row>
    <row r="315" spans="1:5" x14ac:dyDescent="0.2">
      <c r="A315" t="s">
        <v>301</v>
      </c>
      <c r="B315" s="291">
        <v>1</v>
      </c>
      <c r="C315" s="228">
        <v>4</v>
      </c>
      <c r="D315" s="212">
        <v>1865.61</v>
      </c>
      <c r="E315" s="212"/>
    </row>
    <row r="316" spans="1:5" x14ac:dyDescent="0.2">
      <c r="A316" t="s">
        <v>301</v>
      </c>
      <c r="B316" s="291">
        <v>1</v>
      </c>
      <c r="C316" s="228">
        <v>5</v>
      </c>
      <c r="D316" s="212">
        <v>1980.99</v>
      </c>
      <c r="E316" s="212"/>
    </row>
    <row r="317" spans="1:5" x14ac:dyDescent="0.2">
      <c r="A317" t="s">
        <v>301</v>
      </c>
      <c r="B317" s="291">
        <v>1</v>
      </c>
      <c r="C317" s="228">
        <v>6</v>
      </c>
      <c r="D317" s="212">
        <v>8207.69</v>
      </c>
      <c r="E317" s="212"/>
    </row>
    <row r="318" spans="1:5" x14ac:dyDescent="0.2">
      <c r="A318" t="s">
        <v>301</v>
      </c>
      <c r="B318" s="291">
        <v>1</v>
      </c>
      <c r="C318" s="228" t="s">
        <v>2964</v>
      </c>
      <c r="D318" s="212">
        <v>47.57</v>
      </c>
      <c r="E318" s="212"/>
    </row>
    <row r="319" spans="1:5" x14ac:dyDescent="0.2">
      <c r="A319" t="s">
        <v>301</v>
      </c>
      <c r="B319" s="291">
        <v>1</v>
      </c>
      <c r="C319" s="228">
        <v>8</v>
      </c>
      <c r="D319" s="212">
        <v>48977.82</v>
      </c>
      <c r="E319" s="212"/>
    </row>
    <row r="320" spans="1:5" x14ac:dyDescent="0.2">
      <c r="A320" t="s">
        <v>301</v>
      </c>
      <c r="B320" s="291">
        <v>1</v>
      </c>
      <c r="C320" s="228">
        <v>9</v>
      </c>
      <c r="D320" s="212">
        <v>5723.62</v>
      </c>
      <c r="E320" s="212"/>
    </row>
    <row r="321" spans="1:5" x14ac:dyDescent="0.2">
      <c r="A321" t="s">
        <v>301</v>
      </c>
      <c r="B321" s="291">
        <v>1</v>
      </c>
      <c r="C321" s="228">
        <v>10</v>
      </c>
      <c r="D321" s="212">
        <v>17075.28</v>
      </c>
      <c r="E321" s="212"/>
    </row>
    <row r="322" spans="1:5" x14ac:dyDescent="0.2">
      <c r="A322" t="s">
        <v>301</v>
      </c>
      <c r="B322" s="291">
        <v>1</v>
      </c>
      <c r="C322" s="228">
        <v>11</v>
      </c>
      <c r="D322" s="212">
        <v>4031.72</v>
      </c>
      <c r="E322" s="212"/>
    </row>
    <row r="323" spans="1:5" x14ac:dyDescent="0.2">
      <c r="A323" t="s">
        <v>301</v>
      </c>
      <c r="B323" s="291">
        <v>1</v>
      </c>
      <c r="C323" s="228">
        <v>15</v>
      </c>
      <c r="D323" s="212">
        <v>7577.01</v>
      </c>
      <c r="E323" s="212"/>
    </row>
    <row r="324" spans="1:5" x14ac:dyDescent="0.2">
      <c r="A324" t="s">
        <v>301</v>
      </c>
      <c r="B324" s="291">
        <v>1</v>
      </c>
      <c r="C324" s="228">
        <v>16</v>
      </c>
      <c r="D324" s="212">
        <v>550.11</v>
      </c>
      <c r="E324" s="212"/>
    </row>
    <row r="325" spans="1:5" x14ac:dyDescent="0.2">
      <c r="A325" t="s">
        <v>301</v>
      </c>
      <c r="B325" s="291">
        <v>1</v>
      </c>
      <c r="C325" s="228">
        <v>17</v>
      </c>
      <c r="D325" s="212">
        <v>2472.0100000000002</v>
      </c>
      <c r="E325" s="212"/>
    </row>
    <row r="326" spans="1:5" x14ac:dyDescent="0.2">
      <c r="A326" t="s">
        <v>301</v>
      </c>
      <c r="B326" s="291">
        <v>1</v>
      </c>
      <c r="C326" s="228">
        <v>18</v>
      </c>
      <c r="D326" s="212">
        <v>2091.6999999999998</v>
      </c>
      <c r="E326" s="212"/>
    </row>
    <row r="327" spans="1:5" x14ac:dyDescent="0.2">
      <c r="A327" t="s">
        <v>301</v>
      </c>
      <c r="B327" s="291">
        <v>1</v>
      </c>
      <c r="C327" s="228">
        <v>19</v>
      </c>
      <c r="D327" s="212">
        <v>8876.19</v>
      </c>
      <c r="E327" s="212"/>
    </row>
    <row r="328" spans="1:5" x14ac:dyDescent="0.2">
      <c r="A328" t="s">
        <v>301</v>
      </c>
      <c r="B328" s="291">
        <v>1</v>
      </c>
      <c r="C328" s="228">
        <v>21</v>
      </c>
      <c r="D328" s="212">
        <v>2698.52</v>
      </c>
      <c r="E328" s="212"/>
    </row>
    <row r="329" spans="1:5" x14ac:dyDescent="0.2">
      <c r="A329" t="s">
        <v>301</v>
      </c>
      <c r="B329" s="291">
        <v>1</v>
      </c>
      <c r="C329" s="228">
        <v>22</v>
      </c>
      <c r="D329" s="212">
        <v>14424.79</v>
      </c>
      <c r="E329" s="212"/>
    </row>
    <row r="330" spans="1:5" x14ac:dyDescent="0.2">
      <c r="A330" t="s">
        <v>301</v>
      </c>
      <c r="B330" s="291">
        <v>1</v>
      </c>
      <c r="C330" s="228">
        <v>23</v>
      </c>
      <c r="D330" s="212">
        <v>4748.97</v>
      </c>
      <c r="E330" s="212"/>
    </row>
    <row r="331" spans="1:5" x14ac:dyDescent="0.2">
      <c r="A331" t="s">
        <v>301</v>
      </c>
      <c r="B331" s="291">
        <v>1</v>
      </c>
      <c r="C331" s="228">
        <v>24</v>
      </c>
      <c r="D331" s="212">
        <v>12410.8</v>
      </c>
      <c r="E331" s="212"/>
    </row>
    <row r="332" spans="1:5" x14ac:dyDescent="0.2">
      <c r="A332" t="s">
        <v>301</v>
      </c>
      <c r="B332" s="291">
        <v>1</v>
      </c>
      <c r="C332" s="228">
        <v>25</v>
      </c>
      <c r="D332" s="212">
        <v>3228.94</v>
      </c>
      <c r="E332" s="212"/>
    </row>
    <row r="333" spans="1:5" x14ac:dyDescent="0.2">
      <c r="A333" t="s">
        <v>301</v>
      </c>
      <c r="B333" s="291">
        <v>1</v>
      </c>
      <c r="C333" s="228">
        <v>26</v>
      </c>
      <c r="D333" s="212">
        <v>52.96</v>
      </c>
      <c r="E333" s="212"/>
    </row>
    <row r="334" spans="1:5" x14ac:dyDescent="0.2">
      <c r="A334" t="s">
        <v>301</v>
      </c>
      <c r="B334" s="291">
        <v>1</v>
      </c>
      <c r="C334" s="228">
        <v>27</v>
      </c>
      <c r="D334" s="212">
        <v>924.22</v>
      </c>
      <c r="E334" s="212"/>
    </row>
    <row r="335" spans="1:5" x14ac:dyDescent="0.2">
      <c r="A335" t="s">
        <v>301</v>
      </c>
      <c r="B335" s="291">
        <v>1</v>
      </c>
      <c r="C335" s="228">
        <v>29</v>
      </c>
      <c r="D335" s="212">
        <v>60005.91</v>
      </c>
      <c r="E335" s="212"/>
    </row>
    <row r="336" spans="1:5" x14ac:dyDescent="0.2">
      <c r="A336" t="s">
        <v>301</v>
      </c>
      <c r="B336" s="291">
        <v>1</v>
      </c>
      <c r="C336" s="228">
        <v>31</v>
      </c>
      <c r="D336" s="212">
        <v>-833.8</v>
      </c>
      <c r="E336" s="212"/>
    </row>
    <row r="337" spans="1:5" x14ac:dyDescent="0.2">
      <c r="A337" t="s">
        <v>301</v>
      </c>
      <c r="B337" s="291">
        <v>1</v>
      </c>
      <c r="C337" s="228">
        <v>33</v>
      </c>
      <c r="D337" s="212">
        <v>350</v>
      </c>
      <c r="E337" s="212"/>
    </row>
    <row r="338" spans="1:5" x14ac:dyDescent="0.2">
      <c r="A338" t="s">
        <v>301</v>
      </c>
      <c r="B338" s="291">
        <v>1</v>
      </c>
      <c r="C338" s="228">
        <v>34</v>
      </c>
      <c r="D338" s="212">
        <v>18183.61</v>
      </c>
      <c r="E338" s="212"/>
    </row>
    <row r="339" spans="1:5" x14ac:dyDescent="0.2">
      <c r="A339" t="s">
        <v>301</v>
      </c>
      <c r="B339" s="291">
        <v>1</v>
      </c>
      <c r="C339" s="228">
        <v>35</v>
      </c>
      <c r="D339" s="212">
        <v>1436</v>
      </c>
      <c r="E339" s="212"/>
    </row>
    <row r="340" spans="1:5" x14ac:dyDescent="0.2">
      <c r="A340" t="s">
        <v>301</v>
      </c>
      <c r="B340" s="291">
        <v>1</v>
      </c>
      <c r="C340" s="228">
        <v>36</v>
      </c>
      <c r="D340" s="212">
        <v>1728.8</v>
      </c>
      <c r="E340" s="212"/>
    </row>
    <row r="341" spans="1:5" x14ac:dyDescent="0.2">
      <c r="A341" t="s">
        <v>301</v>
      </c>
      <c r="B341" s="291">
        <v>1</v>
      </c>
      <c r="C341" s="228">
        <v>37</v>
      </c>
      <c r="D341" s="212">
        <v>4717.59</v>
      </c>
      <c r="E341" s="212"/>
    </row>
    <row r="342" spans="1:5" x14ac:dyDescent="0.2">
      <c r="A342" t="s">
        <v>301</v>
      </c>
      <c r="B342" s="291">
        <v>1</v>
      </c>
      <c r="C342" s="228">
        <v>38</v>
      </c>
      <c r="D342" s="212">
        <v>22504</v>
      </c>
      <c r="E342" s="212"/>
    </row>
    <row r="343" spans="1:5" x14ac:dyDescent="0.2">
      <c r="A343" t="s">
        <v>301</v>
      </c>
      <c r="B343" s="291">
        <v>1</v>
      </c>
      <c r="C343" s="228">
        <v>39</v>
      </c>
      <c r="D343" s="212">
        <v>0</v>
      </c>
      <c r="E343" s="212"/>
    </row>
    <row r="344" spans="1:5" x14ac:dyDescent="0.2">
      <c r="A344" t="s">
        <v>301</v>
      </c>
      <c r="B344" s="291">
        <v>1</v>
      </c>
      <c r="C344" s="228">
        <v>40</v>
      </c>
      <c r="D344" s="212">
        <v>4940.41</v>
      </c>
      <c r="E344" s="212"/>
    </row>
    <row r="345" spans="1:5" x14ac:dyDescent="0.2">
      <c r="A345" t="s">
        <v>301</v>
      </c>
      <c r="B345" s="291">
        <v>1</v>
      </c>
      <c r="C345" s="228">
        <v>42</v>
      </c>
      <c r="D345" s="212">
        <v>406.58</v>
      </c>
      <c r="E345" s="212"/>
    </row>
    <row r="346" spans="1:5" x14ac:dyDescent="0.2">
      <c r="A346" t="s">
        <v>301</v>
      </c>
      <c r="B346" s="291">
        <v>1</v>
      </c>
      <c r="C346" s="228">
        <v>46</v>
      </c>
      <c r="D346" s="212">
        <v>25533.33</v>
      </c>
      <c r="E346" s="212"/>
    </row>
    <row r="347" spans="1:5" x14ac:dyDescent="0.2">
      <c r="A347" t="s">
        <v>301</v>
      </c>
      <c r="B347" s="291">
        <v>1</v>
      </c>
      <c r="C347" s="228" t="s">
        <v>2991</v>
      </c>
      <c r="D347" s="212">
        <v>-3237.69</v>
      </c>
      <c r="E347" s="212"/>
    </row>
    <row r="348" spans="1:5" x14ac:dyDescent="0.2">
      <c r="A348" t="s">
        <v>301</v>
      </c>
      <c r="B348" s="291">
        <v>1</v>
      </c>
      <c r="C348" s="228" t="s">
        <v>2992</v>
      </c>
      <c r="D348" s="212">
        <v>2779.32</v>
      </c>
      <c r="E348" s="212"/>
    </row>
    <row r="349" spans="1:5" x14ac:dyDescent="0.2">
      <c r="A349" t="s">
        <v>294</v>
      </c>
      <c r="B349" s="291">
        <v>1</v>
      </c>
      <c r="C349" s="228">
        <v>2</v>
      </c>
      <c r="D349" s="212">
        <v>-316396.07</v>
      </c>
      <c r="E349" s="212"/>
    </row>
    <row r="350" spans="1:5" x14ac:dyDescent="0.2">
      <c r="A350" t="s">
        <v>294</v>
      </c>
      <c r="B350" s="291">
        <v>1</v>
      </c>
      <c r="C350" s="228">
        <v>3</v>
      </c>
      <c r="D350" s="212">
        <v>70289.440000000002</v>
      </c>
      <c r="E350" s="212"/>
    </row>
    <row r="351" spans="1:5" x14ac:dyDescent="0.2">
      <c r="A351" t="s">
        <v>294</v>
      </c>
      <c r="B351" s="291">
        <v>1</v>
      </c>
      <c r="C351" s="228">
        <v>4</v>
      </c>
      <c r="D351" s="212">
        <v>1966.73</v>
      </c>
      <c r="E351" s="212"/>
    </row>
    <row r="352" spans="1:5" x14ac:dyDescent="0.2">
      <c r="A352" t="s">
        <v>294</v>
      </c>
      <c r="B352" s="291">
        <v>1</v>
      </c>
      <c r="C352" s="228">
        <v>5</v>
      </c>
      <c r="D352" s="212">
        <v>1924.48</v>
      </c>
      <c r="E352" s="212"/>
    </row>
    <row r="353" spans="1:5" x14ac:dyDescent="0.2">
      <c r="A353" t="s">
        <v>294</v>
      </c>
      <c r="B353" s="291">
        <v>1</v>
      </c>
      <c r="C353" s="228">
        <v>6</v>
      </c>
      <c r="D353" s="212">
        <v>7191.63</v>
      </c>
      <c r="E353" s="212"/>
    </row>
    <row r="354" spans="1:5" x14ac:dyDescent="0.2">
      <c r="A354" t="s">
        <v>294</v>
      </c>
      <c r="B354" s="291">
        <v>1</v>
      </c>
      <c r="C354" s="228" t="s">
        <v>2964</v>
      </c>
      <c r="D354" s="212">
        <v>233.14</v>
      </c>
      <c r="E354" s="212"/>
    </row>
    <row r="355" spans="1:5" x14ac:dyDescent="0.2">
      <c r="A355" t="s">
        <v>294</v>
      </c>
      <c r="B355" s="291">
        <v>1</v>
      </c>
      <c r="C355" s="228">
        <v>8</v>
      </c>
      <c r="D355" s="212">
        <v>63548.7</v>
      </c>
      <c r="E355" s="212"/>
    </row>
    <row r="356" spans="1:5" x14ac:dyDescent="0.2">
      <c r="A356" t="s">
        <v>294</v>
      </c>
      <c r="B356" s="291">
        <v>1</v>
      </c>
      <c r="C356" s="228">
        <v>9</v>
      </c>
      <c r="D356" s="212">
        <v>5602.49</v>
      </c>
      <c r="E356" s="212"/>
    </row>
    <row r="357" spans="1:5" x14ac:dyDescent="0.2">
      <c r="A357" t="s">
        <v>294</v>
      </c>
      <c r="B357" s="291">
        <v>1</v>
      </c>
      <c r="C357" s="228">
        <v>10</v>
      </c>
      <c r="D357" s="212">
        <v>22103.54</v>
      </c>
      <c r="E357" s="212"/>
    </row>
    <row r="358" spans="1:5" x14ac:dyDescent="0.2">
      <c r="A358" t="s">
        <v>294</v>
      </c>
      <c r="B358" s="291">
        <v>1</v>
      </c>
      <c r="C358" s="228">
        <v>11</v>
      </c>
      <c r="D358" s="212">
        <v>5680.01</v>
      </c>
      <c r="E358" s="212"/>
    </row>
    <row r="359" spans="1:5" x14ac:dyDescent="0.2">
      <c r="A359" t="s">
        <v>294</v>
      </c>
      <c r="B359" s="291">
        <v>1</v>
      </c>
      <c r="C359" s="228">
        <v>15</v>
      </c>
      <c r="D359" s="212">
        <v>395.83</v>
      </c>
      <c r="E359" s="212"/>
    </row>
    <row r="360" spans="1:5" x14ac:dyDescent="0.2">
      <c r="A360" t="s">
        <v>294</v>
      </c>
      <c r="B360" s="291">
        <v>1</v>
      </c>
      <c r="C360" s="228">
        <v>16</v>
      </c>
      <c r="D360" s="212">
        <v>521.23</v>
      </c>
      <c r="E360" s="212"/>
    </row>
    <row r="361" spans="1:5" x14ac:dyDescent="0.2">
      <c r="A361" t="s">
        <v>294</v>
      </c>
      <c r="B361" s="291">
        <v>1</v>
      </c>
      <c r="C361" s="228">
        <v>17</v>
      </c>
      <c r="D361" s="212">
        <v>2453.13</v>
      </c>
      <c r="E361" s="212"/>
    </row>
    <row r="362" spans="1:5" x14ac:dyDescent="0.2">
      <c r="A362" t="s">
        <v>294</v>
      </c>
      <c r="B362" s="291">
        <v>1</v>
      </c>
      <c r="C362" s="228">
        <v>18</v>
      </c>
      <c r="D362" s="212">
        <v>7338.67</v>
      </c>
      <c r="E362" s="212"/>
    </row>
    <row r="363" spans="1:5" x14ac:dyDescent="0.2">
      <c r="A363" t="s">
        <v>294</v>
      </c>
      <c r="B363" s="291">
        <v>1</v>
      </c>
      <c r="C363" s="228">
        <v>19</v>
      </c>
      <c r="D363" s="212">
        <v>8012.94</v>
      </c>
      <c r="E363" s="212"/>
    </row>
    <row r="364" spans="1:5" x14ac:dyDescent="0.2">
      <c r="A364" t="s">
        <v>294</v>
      </c>
      <c r="B364" s="291">
        <v>1</v>
      </c>
      <c r="C364" s="228">
        <v>21</v>
      </c>
      <c r="D364" s="212">
        <v>4522.33</v>
      </c>
      <c r="E364" s="212"/>
    </row>
    <row r="365" spans="1:5" x14ac:dyDescent="0.2">
      <c r="A365" t="s">
        <v>294</v>
      </c>
      <c r="B365" s="291">
        <v>1</v>
      </c>
      <c r="C365" s="228">
        <v>22</v>
      </c>
      <c r="D365" s="212">
        <v>12649.31</v>
      </c>
      <c r="E365" s="212"/>
    </row>
    <row r="366" spans="1:5" x14ac:dyDescent="0.2">
      <c r="A366" t="s">
        <v>294</v>
      </c>
      <c r="B366" s="291">
        <v>1</v>
      </c>
      <c r="C366" s="228">
        <v>23</v>
      </c>
      <c r="D366" s="212">
        <v>5689.32</v>
      </c>
      <c r="E366" s="212"/>
    </row>
    <row r="367" spans="1:5" x14ac:dyDescent="0.2">
      <c r="A367" t="s">
        <v>294</v>
      </c>
      <c r="B367" s="291">
        <v>1</v>
      </c>
      <c r="C367" s="228">
        <v>24</v>
      </c>
      <c r="D367" s="212">
        <v>11331.8</v>
      </c>
      <c r="E367" s="212"/>
    </row>
    <row r="368" spans="1:5" x14ac:dyDescent="0.2">
      <c r="A368" t="s">
        <v>294</v>
      </c>
      <c r="B368" s="291">
        <v>1</v>
      </c>
      <c r="C368" s="228">
        <v>25</v>
      </c>
      <c r="D368" s="212">
        <v>2674.53</v>
      </c>
      <c r="E368" s="212"/>
    </row>
    <row r="369" spans="1:5" x14ac:dyDescent="0.2">
      <c r="A369" t="s">
        <v>294</v>
      </c>
      <c r="B369" s="291">
        <v>1</v>
      </c>
      <c r="C369" s="228">
        <v>26</v>
      </c>
      <c r="D369" s="212">
        <v>267.56</v>
      </c>
      <c r="E369" s="212"/>
    </row>
    <row r="370" spans="1:5" x14ac:dyDescent="0.2">
      <c r="A370" t="s">
        <v>294</v>
      </c>
      <c r="B370" s="291">
        <v>1</v>
      </c>
      <c r="C370" s="228">
        <v>27</v>
      </c>
      <c r="D370" s="212">
        <v>868.91</v>
      </c>
      <c r="E370" s="212"/>
    </row>
    <row r="371" spans="1:5" x14ac:dyDescent="0.2">
      <c r="A371" t="s">
        <v>294</v>
      </c>
      <c r="B371" s="291">
        <v>1</v>
      </c>
      <c r="C371" s="228">
        <v>29</v>
      </c>
      <c r="D371" s="212">
        <v>44819.66</v>
      </c>
      <c r="E371" s="212"/>
    </row>
    <row r="372" spans="1:5" x14ac:dyDescent="0.2">
      <c r="A372" t="s">
        <v>294</v>
      </c>
      <c r="B372" s="291">
        <v>1</v>
      </c>
      <c r="C372" s="228">
        <v>31</v>
      </c>
      <c r="D372" s="212">
        <v>-1083.3399999999999</v>
      </c>
      <c r="E372" s="212"/>
    </row>
    <row r="373" spans="1:5" x14ac:dyDescent="0.2">
      <c r="A373" t="s">
        <v>294</v>
      </c>
      <c r="B373" s="291">
        <v>1</v>
      </c>
      <c r="C373" s="228">
        <v>33</v>
      </c>
      <c r="D373" s="212">
        <v>563</v>
      </c>
      <c r="E373" s="212"/>
    </row>
    <row r="374" spans="1:5" x14ac:dyDescent="0.2">
      <c r="A374" t="s">
        <v>294</v>
      </c>
      <c r="B374" s="291">
        <v>1</v>
      </c>
      <c r="C374" s="228">
        <v>34</v>
      </c>
      <c r="D374" s="212">
        <v>16007.02</v>
      </c>
      <c r="E374" s="212"/>
    </row>
    <row r="375" spans="1:5" x14ac:dyDescent="0.2">
      <c r="A375" t="s">
        <v>294</v>
      </c>
      <c r="B375" s="291">
        <v>1</v>
      </c>
      <c r="C375" s="228">
        <v>35</v>
      </c>
      <c r="D375" s="212">
        <v>1450</v>
      </c>
      <c r="E375" s="212"/>
    </row>
    <row r="376" spans="1:5" x14ac:dyDescent="0.2">
      <c r="A376" t="s">
        <v>294</v>
      </c>
      <c r="B376" s="291">
        <v>1</v>
      </c>
      <c r="C376" s="228">
        <v>36</v>
      </c>
      <c r="D376" s="212">
        <v>1988.09</v>
      </c>
      <c r="E376" s="212"/>
    </row>
    <row r="377" spans="1:5" x14ac:dyDescent="0.2">
      <c r="A377" t="s">
        <v>294</v>
      </c>
      <c r="B377" s="291">
        <v>1</v>
      </c>
      <c r="C377" s="228">
        <v>37</v>
      </c>
      <c r="D377" s="212">
        <v>3058.27</v>
      </c>
      <c r="E377" s="212"/>
    </row>
    <row r="378" spans="1:5" x14ac:dyDescent="0.2">
      <c r="A378" t="s">
        <v>294</v>
      </c>
      <c r="B378" s="291">
        <v>1</v>
      </c>
      <c r="C378" s="228">
        <v>38</v>
      </c>
      <c r="D378" s="212">
        <v>15264.88</v>
      </c>
      <c r="E378" s="212"/>
    </row>
    <row r="379" spans="1:5" x14ac:dyDescent="0.2">
      <c r="A379" t="s">
        <v>294</v>
      </c>
      <c r="B379" s="291">
        <v>1</v>
      </c>
      <c r="C379" s="228">
        <v>40</v>
      </c>
      <c r="D379" s="212">
        <v>1033.42</v>
      </c>
      <c r="E379" s="212"/>
    </row>
    <row r="380" spans="1:5" x14ac:dyDescent="0.2">
      <c r="A380" t="s">
        <v>294</v>
      </c>
      <c r="B380" s="291">
        <v>1</v>
      </c>
      <c r="C380" s="228">
        <v>42</v>
      </c>
      <c r="D380" s="212">
        <v>522.55999999999995</v>
      </c>
      <c r="E380" s="212"/>
    </row>
    <row r="381" spans="1:5" x14ac:dyDescent="0.2">
      <c r="A381" t="s">
        <v>294</v>
      </c>
      <c r="B381" s="291">
        <v>1</v>
      </c>
      <c r="C381" s="228">
        <v>46</v>
      </c>
      <c r="D381" s="212">
        <v>21733.33</v>
      </c>
      <c r="E381" s="212"/>
    </row>
    <row r="382" spans="1:5" x14ac:dyDescent="0.2">
      <c r="A382" t="s">
        <v>294</v>
      </c>
      <c r="B382" s="291">
        <v>1</v>
      </c>
      <c r="C382" s="228" t="s">
        <v>2991</v>
      </c>
      <c r="D382" s="212">
        <v>-3744.36</v>
      </c>
      <c r="E382" s="212"/>
    </row>
    <row r="383" spans="1:5" x14ac:dyDescent="0.2">
      <c r="A383" t="s">
        <v>294</v>
      </c>
      <c r="B383" s="291">
        <v>1</v>
      </c>
      <c r="C383" s="228" t="s">
        <v>2992</v>
      </c>
      <c r="D383" s="212">
        <v>4073.23</v>
      </c>
      <c r="E383" s="212"/>
    </row>
    <row r="384" spans="1:5" x14ac:dyDescent="0.2">
      <c r="A384" t="s">
        <v>6963</v>
      </c>
      <c r="B384" s="291">
        <v>1</v>
      </c>
      <c r="C384" s="228">
        <v>2</v>
      </c>
      <c r="D384" s="212">
        <v>-414258.29</v>
      </c>
      <c r="E384" s="212"/>
    </row>
    <row r="385" spans="1:5" x14ac:dyDescent="0.2">
      <c r="A385" t="s">
        <v>6963</v>
      </c>
      <c r="B385" s="291">
        <v>1</v>
      </c>
      <c r="C385" s="228">
        <v>3</v>
      </c>
      <c r="D385" s="212">
        <v>87116.79</v>
      </c>
      <c r="E385" s="212"/>
    </row>
    <row r="386" spans="1:5" x14ac:dyDescent="0.2">
      <c r="A386" t="s">
        <v>6963</v>
      </c>
      <c r="B386" s="291">
        <v>1</v>
      </c>
      <c r="C386" s="228">
        <v>4</v>
      </c>
      <c r="D386" s="212">
        <v>2095.84</v>
      </c>
      <c r="E386" s="212"/>
    </row>
    <row r="387" spans="1:5" x14ac:dyDescent="0.2">
      <c r="A387" t="s">
        <v>6963</v>
      </c>
      <c r="B387" s="291">
        <v>1</v>
      </c>
      <c r="C387" s="228">
        <v>5</v>
      </c>
      <c r="D387" s="212">
        <v>3169.09</v>
      </c>
      <c r="E387" s="212"/>
    </row>
    <row r="388" spans="1:5" x14ac:dyDescent="0.2">
      <c r="A388" t="s">
        <v>6963</v>
      </c>
      <c r="B388" s="291">
        <v>1</v>
      </c>
      <c r="C388" s="228">
        <v>6</v>
      </c>
      <c r="D388" s="212">
        <v>8803.99</v>
      </c>
      <c r="E388" s="212"/>
    </row>
    <row r="389" spans="1:5" x14ac:dyDescent="0.2">
      <c r="A389" t="s">
        <v>6963</v>
      </c>
      <c r="B389" s="291">
        <v>1</v>
      </c>
      <c r="C389" s="228" t="s">
        <v>2964</v>
      </c>
      <c r="D389" s="212">
        <v>1001.5600000000002</v>
      </c>
      <c r="E389" s="212"/>
    </row>
    <row r="390" spans="1:5" x14ac:dyDescent="0.2">
      <c r="A390" t="s">
        <v>6963</v>
      </c>
      <c r="B390" s="291">
        <v>1</v>
      </c>
      <c r="C390" s="228">
        <v>7</v>
      </c>
      <c r="D390" s="212">
        <v>312071.02</v>
      </c>
      <c r="E390" s="212"/>
    </row>
    <row r="391" spans="1:5" x14ac:dyDescent="0.2">
      <c r="A391" t="s">
        <v>6963</v>
      </c>
      <c r="B391" s="291">
        <v>1</v>
      </c>
      <c r="C391" s="228">
        <v>8</v>
      </c>
      <c r="D391" s="212">
        <v>61128.460000000006</v>
      </c>
      <c r="E391" s="212"/>
    </row>
    <row r="392" spans="1:5" x14ac:dyDescent="0.2">
      <c r="A392" t="s">
        <v>6963</v>
      </c>
      <c r="B392" s="291">
        <v>1</v>
      </c>
      <c r="C392" s="228">
        <v>9</v>
      </c>
      <c r="D392" s="212">
        <v>9486.94</v>
      </c>
      <c r="E392" s="212"/>
    </row>
    <row r="393" spans="1:5" x14ac:dyDescent="0.2">
      <c r="A393" t="s">
        <v>6963</v>
      </c>
      <c r="B393" s="291">
        <v>1</v>
      </c>
      <c r="C393" s="228">
        <v>10</v>
      </c>
      <c r="D393" s="212">
        <v>26095.18</v>
      </c>
      <c r="E393" s="212"/>
    </row>
    <row r="394" spans="1:5" x14ac:dyDescent="0.2">
      <c r="A394" t="s">
        <v>6963</v>
      </c>
      <c r="B394" s="291">
        <v>1</v>
      </c>
      <c r="C394" s="228">
        <v>11</v>
      </c>
      <c r="D394" s="212">
        <v>6144.0300000000007</v>
      </c>
      <c r="E394" s="212"/>
    </row>
    <row r="395" spans="1:5" x14ac:dyDescent="0.2">
      <c r="A395" t="s">
        <v>6963</v>
      </c>
      <c r="B395" s="291">
        <v>1</v>
      </c>
      <c r="C395" s="228">
        <v>12</v>
      </c>
      <c r="D395" s="212">
        <v>0</v>
      </c>
      <c r="E395" s="212"/>
    </row>
    <row r="396" spans="1:5" x14ac:dyDescent="0.2">
      <c r="A396" t="s">
        <v>6963</v>
      </c>
      <c r="B396" s="291">
        <v>1</v>
      </c>
      <c r="C396" s="228">
        <v>13</v>
      </c>
      <c r="D396" s="212">
        <v>0</v>
      </c>
      <c r="E396" s="212"/>
    </row>
    <row r="397" spans="1:5" x14ac:dyDescent="0.2">
      <c r="A397" t="s">
        <v>6963</v>
      </c>
      <c r="B397" s="291">
        <v>1</v>
      </c>
      <c r="C397" s="228">
        <v>14</v>
      </c>
      <c r="D397" s="212">
        <v>102854.61000000002</v>
      </c>
      <c r="E397" s="212"/>
    </row>
    <row r="398" spans="1:5" x14ac:dyDescent="0.2">
      <c r="A398" t="s">
        <v>6963</v>
      </c>
      <c r="B398" s="291">
        <v>1</v>
      </c>
      <c r="C398" s="228">
        <v>15</v>
      </c>
      <c r="D398" s="212">
        <v>7977</v>
      </c>
      <c r="E398" s="212"/>
    </row>
    <row r="399" spans="1:5" x14ac:dyDescent="0.2">
      <c r="A399" t="s">
        <v>6963</v>
      </c>
      <c r="B399" s="291">
        <v>1</v>
      </c>
      <c r="C399" s="228">
        <v>16</v>
      </c>
      <c r="D399" s="212">
        <v>1287.25</v>
      </c>
      <c r="E399" s="212"/>
    </row>
    <row r="400" spans="1:5" x14ac:dyDescent="0.2">
      <c r="A400" t="s">
        <v>6963</v>
      </c>
      <c r="B400" s="291">
        <v>1</v>
      </c>
      <c r="C400" s="228">
        <v>17</v>
      </c>
      <c r="D400" s="212">
        <v>2139.63</v>
      </c>
      <c r="E400" s="212"/>
    </row>
    <row r="401" spans="1:5" x14ac:dyDescent="0.2">
      <c r="A401" t="s">
        <v>6963</v>
      </c>
      <c r="B401" s="291">
        <v>1</v>
      </c>
      <c r="C401" s="228">
        <v>18</v>
      </c>
      <c r="D401" s="212">
        <v>5202.2000000000007</v>
      </c>
      <c r="E401" s="212"/>
    </row>
    <row r="402" spans="1:5" x14ac:dyDescent="0.2">
      <c r="A402" t="s">
        <v>6963</v>
      </c>
      <c r="B402" s="291">
        <v>1</v>
      </c>
      <c r="C402" s="228">
        <v>19</v>
      </c>
      <c r="D402" s="212">
        <v>5280.59</v>
      </c>
      <c r="E402" s="212"/>
    </row>
    <row r="403" spans="1:5" x14ac:dyDescent="0.2">
      <c r="A403" t="s">
        <v>6963</v>
      </c>
      <c r="B403" s="291">
        <v>1</v>
      </c>
      <c r="C403" s="228">
        <v>20</v>
      </c>
      <c r="D403" s="212">
        <v>21886.670000000002</v>
      </c>
      <c r="E403" s="212"/>
    </row>
    <row r="404" spans="1:5" x14ac:dyDescent="0.2">
      <c r="A404" t="s">
        <v>6963</v>
      </c>
      <c r="B404" s="291">
        <v>1</v>
      </c>
      <c r="C404" s="228">
        <v>21</v>
      </c>
      <c r="D404" s="212">
        <v>12523.03</v>
      </c>
      <c r="E404" s="212"/>
    </row>
    <row r="405" spans="1:5" x14ac:dyDescent="0.2">
      <c r="A405" t="s">
        <v>6963</v>
      </c>
      <c r="B405" s="291">
        <v>1</v>
      </c>
      <c r="C405" s="228">
        <v>22</v>
      </c>
      <c r="D405" s="212">
        <v>16648.330000000002</v>
      </c>
      <c r="E405" s="212"/>
    </row>
    <row r="406" spans="1:5" x14ac:dyDescent="0.2">
      <c r="A406" t="s">
        <v>6963</v>
      </c>
      <c r="B406" s="291">
        <v>1</v>
      </c>
      <c r="C406" s="228">
        <v>23</v>
      </c>
      <c r="D406" s="212">
        <v>5340.46</v>
      </c>
      <c r="E406" s="212"/>
    </row>
    <row r="407" spans="1:5" x14ac:dyDescent="0.2">
      <c r="A407" t="s">
        <v>6963</v>
      </c>
      <c r="B407" s="291">
        <v>1</v>
      </c>
      <c r="C407" s="228">
        <v>24</v>
      </c>
      <c r="D407" s="212">
        <v>19150.32</v>
      </c>
      <c r="E407" s="212"/>
    </row>
    <row r="408" spans="1:5" x14ac:dyDescent="0.2">
      <c r="A408" t="s">
        <v>6963</v>
      </c>
      <c r="B408" s="291">
        <v>1</v>
      </c>
      <c r="C408" s="228">
        <v>25</v>
      </c>
      <c r="D408" s="212">
        <v>8848.2899999999991</v>
      </c>
      <c r="E408" s="212"/>
    </row>
    <row r="409" spans="1:5" x14ac:dyDescent="0.2">
      <c r="A409" t="s">
        <v>6963</v>
      </c>
      <c r="B409" s="291">
        <v>1</v>
      </c>
      <c r="C409" s="228">
        <v>26</v>
      </c>
      <c r="D409" s="212">
        <v>748.15</v>
      </c>
      <c r="E409" s="212"/>
    </row>
    <row r="410" spans="1:5" x14ac:dyDescent="0.2">
      <c r="A410" t="s">
        <v>6963</v>
      </c>
      <c r="B410" s="291">
        <v>1</v>
      </c>
      <c r="C410" s="228">
        <v>27</v>
      </c>
      <c r="D410" s="212">
        <v>603.56000000000006</v>
      </c>
      <c r="E410" s="212"/>
    </row>
    <row r="411" spans="1:5" x14ac:dyDescent="0.2">
      <c r="A411" t="s">
        <v>6963</v>
      </c>
      <c r="B411" s="291">
        <v>1</v>
      </c>
      <c r="C411" s="228">
        <v>28</v>
      </c>
      <c r="D411" s="212">
        <v>123467.59999999999</v>
      </c>
      <c r="E411" s="212"/>
    </row>
    <row r="412" spans="1:5" x14ac:dyDescent="0.2">
      <c r="A412" t="s">
        <v>6963</v>
      </c>
      <c r="B412" s="291">
        <v>1</v>
      </c>
      <c r="C412" s="228">
        <v>29</v>
      </c>
      <c r="D412" s="212">
        <v>62431.24</v>
      </c>
      <c r="E412" s="212"/>
    </row>
    <row r="413" spans="1:5" x14ac:dyDescent="0.2">
      <c r="A413" t="s">
        <v>6963</v>
      </c>
      <c r="B413" s="291">
        <v>1</v>
      </c>
      <c r="C413" s="228">
        <v>30</v>
      </c>
      <c r="D413" s="212">
        <v>0</v>
      </c>
      <c r="E413" s="212"/>
    </row>
    <row r="414" spans="1:5" x14ac:dyDescent="0.2">
      <c r="A414" t="s">
        <v>6963</v>
      </c>
      <c r="B414" s="291">
        <v>1</v>
      </c>
      <c r="C414" s="228">
        <v>31</v>
      </c>
      <c r="D414" s="212">
        <v>0</v>
      </c>
      <c r="E414" s="212"/>
    </row>
    <row r="415" spans="1:5" x14ac:dyDescent="0.2">
      <c r="A415" t="s">
        <v>6963</v>
      </c>
      <c r="B415" s="291">
        <v>1</v>
      </c>
      <c r="C415" s="228">
        <v>32</v>
      </c>
      <c r="D415" s="212">
        <v>62431.24</v>
      </c>
      <c r="E415" s="212"/>
    </row>
    <row r="416" spans="1:5" x14ac:dyDescent="0.2">
      <c r="A416" t="s">
        <v>6963</v>
      </c>
      <c r="B416" s="291">
        <v>1</v>
      </c>
      <c r="C416" s="228">
        <v>33</v>
      </c>
      <c r="D416" s="212">
        <v>0</v>
      </c>
      <c r="E416" s="212"/>
    </row>
    <row r="417" spans="1:5" x14ac:dyDescent="0.2">
      <c r="A417" t="s">
        <v>6963</v>
      </c>
      <c r="B417" s="291">
        <v>1</v>
      </c>
      <c r="C417" s="228">
        <v>34</v>
      </c>
      <c r="D417" s="212">
        <v>20810.41</v>
      </c>
      <c r="E417" s="212"/>
    </row>
    <row r="418" spans="1:5" x14ac:dyDescent="0.2">
      <c r="A418" t="s">
        <v>6963</v>
      </c>
      <c r="B418" s="291">
        <v>1</v>
      </c>
      <c r="C418" s="228">
        <v>35</v>
      </c>
      <c r="D418" s="212">
        <v>1210</v>
      </c>
      <c r="E418" s="212"/>
    </row>
    <row r="419" spans="1:5" x14ac:dyDescent="0.2">
      <c r="A419" t="s">
        <v>6963</v>
      </c>
      <c r="B419" s="291">
        <v>1</v>
      </c>
      <c r="C419" s="228">
        <v>36</v>
      </c>
      <c r="D419" s="212">
        <v>1883.9799999999998</v>
      </c>
      <c r="E419" s="212"/>
    </row>
    <row r="420" spans="1:5" x14ac:dyDescent="0.2">
      <c r="A420" t="s">
        <v>6963</v>
      </c>
      <c r="B420" s="291">
        <v>1</v>
      </c>
      <c r="C420" s="228">
        <v>37</v>
      </c>
      <c r="D420" s="212">
        <v>4259.12</v>
      </c>
      <c r="E420" s="212"/>
    </row>
    <row r="421" spans="1:5" x14ac:dyDescent="0.2">
      <c r="A421" t="s">
        <v>6963</v>
      </c>
      <c r="B421" s="291">
        <v>1</v>
      </c>
      <c r="C421" s="228">
        <v>38</v>
      </c>
      <c r="D421" s="212">
        <v>10000</v>
      </c>
      <c r="E421" s="212"/>
    </row>
    <row r="422" spans="1:5" x14ac:dyDescent="0.2">
      <c r="A422" t="s">
        <v>6963</v>
      </c>
      <c r="B422" s="291">
        <v>1</v>
      </c>
      <c r="C422" s="228">
        <v>39</v>
      </c>
      <c r="D422" s="212">
        <v>1020.5</v>
      </c>
      <c r="E422" s="212"/>
    </row>
    <row r="423" spans="1:5" x14ac:dyDescent="0.2">
      <c r="A423" t="s">
        <v>6963</v>
      </c>
      <c r="B423" s="291">
        <v>1</v>
      </c>
      <c r="C423" s="228">
        <v>40</v>
      </c>
      <c r="D423" s="212">
        <v>35</v>
      </c>
      <c r="E423" s="212"/>
    </row>
    <row r="424" spans="1:5" x14ac:dyDescent="0.2">
      <c r="A424" t="s">
        <v>6963</v>
      </c>
      <c r="B424" s="291">
        <v>1</v>
      </c>
      <c r="C424" s="228" t="s">
        <v>2991</v>
      </c>
      <c r="D424" s="212">
        <v>-4658.5599999999995</v>
      </c>
      <c r="E424" s="212"/>
    </row>
    <row r="425" spans="1:5" x14ac:dyDescent="0.2">
      <c r="A425" t="s">
        <v>6963</v>
      </c>
      <c r="B425" s="291">
        <v>1</v>
      </c>
      <c r="C425" s="228" t="s">
        <v>2992</v>
      </c>
      <c r="D425" s="212">
        <v>4431.8</v>
      </c>
      <c r="E425" s="212"/>
    </row>
    <row r="426" spans="1:5" x14ac:dyDescent="0.2">
      <c r="A426" t="s">
        <v>6963</v>
      </c>
      <c r="B426" s="291">
        <v>1</v>
      </c>
      <c r="C426" s="228">
        <v>41</v>
      </c>
      <c r="D426" s="212">
        <v>226.75999999999931</v>
      </c>
      <c r="E426" s="212"/>
    </row>
    <row r="427" spans="1:5" x14ac:dyDescent="0.2">
      <c r="A427" t="s">
        <v>6963</v>
      </c>
      <c r="B427" s="291">
        <v>1</v>
      </c>
      <c r="C427" s="228">
        <v>42</v>
      </c>
      <c r="D427" s="212">
        <v>33.549999999999997</v>
      </c>
      <c r="E427" s="212"/>
    </row>
    <row r="428" spans="1:5" x14ac:dyDescent="0.2">
      <c r="A428" t="s">
        <v>6963</v>
      </c>
      <c r="B428" s="291">
        <v>1</v>
      </c>
      <c r="C428" s="228">
        <v>43</v>
      </c>
      <c r="D428" s="212">
        <v>22010.560000000005</v>
      </c>
      <c r="E428" s="212"/>
    </row>
    <row r="429" spans="1:5" x14ac:dyDescent="0.2">
      <c r="A429" t="s">
        <v>6963</v>
      </c>
      <c r="B429" s="291">
        <v>1</v>
      </c>
      <c r="C429" s="228">
        <v>44</v>
      </c>
      <c r="D429" s="212">
        <v>33064.610000000008</v>
      </c>
      <c r="E429" s="212"/>
    </row>
    <row r="430" spans="1:5" x14ac:dyDescent="0.2">
      <c r="A430" t="s">
        <v>6963</v>
      </c>
      <c r="B430" s="291">
        <v>1</v>
      </c>
      <c r="C430" s="228">
        <v>45</v>
      </c>
      <c r="D430" s="212">
        <v>0</v>
      </c>
      <c r="E430" s="212"/>
    </row>
    <row r="431" spans="1:5" x14ac:dyDescent="0.2">
      <c r="A431" t="s">
        <v>6963</v>
      </c>
      <c r="B431" s="291">
        <v>1</v>
      </c>
      <c r="C431" s="228">
        <v>46</v>
      </c>
      <c r="D431" s="212">
        <v>24700</v>
      </c>
      <c r="E431" s="212"/>
    </row>
    <row r="432" spans="1:5" x14ac:dyDescent="0.2">
      <c r="A432" t="s">
        <v>6964</v>
      </c>
      <c r="B432" s="291">
        <v>1</v>
      </c>
      <c r="C432" s="228">
        <v>2</v>
      </c>
      <c r="D432" s="212">
        <v>-507935.03</v>
      </c>
      <c r="E432" s="212"/>
    </row>
    <row r="433" spans="1:5" x14ac:dyDescent="0.2">
      <c r="A433" t="s">
        <v>6964</v>
      </c>
      <c r="B433" s="291">
        <v>1</v>
      </c>
      <c r="C433" s="228">
        <v>3</v>
      </c>
      <c r="D433" s="212">
        <v>113230.04000000001</v>
      </c>
      <c r="E433" s="212"/>
    </row>
    <row r="434" spans="1:5" x14ac:dyDescent="0.2">
      <c r="A434" t="s">
        <v>6964</v>
      </c>
      <c r="B434" s="291">
        <v>1</v>
      </c>
      <c r="C434" s="228">
        <v>4</v>
      </c>
      <c r="D434" s="212">
        <v>2216.9899999999998</v>
      </c>
      <c r="E434" s="212"/>
    </row>
    <row r="435" spans="1:5" x14ac:dyDescent="0.2">
      <c r="A435" t="s">
        <v>6964</v>
      </c>
      <c r="B435" s="291">
        <v>1</v>
      </c>
      <c r="C435" s="228">
        <v>5</v>
      </c>
      <c r="D435" s="212">
        <v>4094.03</v>
      </c>
      <c r="E435" s="212"/>
    </row>
    <row r="436" spans="1:5" x14ac:dyDescent="0.2">
      <c r="A436" t="s">
        <v>6964</v>
      </c>
      <c r="B436" s="291">
        <v>1</v>
      </c>
      <c r="C436" s="228">
        <v>6</v>
      </c>
      <c r="D436" s="212">
        <v>10792.77</v>
      </c>
      <c r="E436" s="212"/>
    </row>
    <row r="437" spans="1:5" x14ac:dyDescent="0.2">
      <c r="A437" t="s">
        <v>6964</v>
      </c>
      <c r="B437" s="291">
        <v>1</v>
      </c>
      <c r="C437" s="228" t="s">
        <v>2964</v>
      </c>
      <c r="D437" s="212">
        <v>1048.92</v>
      </c>
      <c r="E437" s="212"/>
    </row>
    <row r="438" spans="1:5" x14ac:dyDescent="0.2">
      <c r="A438" t="s">
        <v>6964</v>
      </c>
      <c r="B438" s="291">
        <v>1</v>
      </c>
      <c r="C438" s="228">
        <v>7</v>
      </c>
      <c r="D438" s="212">
        <v>376552.28</v>
      </c>
      <c r="E438" s="212"/>
    </row>
    <row r="439" spans="1:5" x14ac:dyDescent="0.2">
      <c r="A439" t="s">
        <v>6964</v>
      </c>
      <c r="B439" s="291">
        <v>1</v>
      </c>
      <c r="C439" s="228">
        <v>8</v>
      </c>
      <c r="D439" s="212">
        <v>70920.37000000001</v>
      </c>
      <c r="E439" s="212"/>
    </row>
    <row r="440" spans="1:5" x14ac:dyDescent="0.2">
      <c r="A440" t="s">
        <v>6964</v>
      </c>
      <c r="B440" s="291">
        <v>1</v>
      </c>
      <c r="C440" s="228">
        <v>9</v>
      </c>
      <c r="D440" s="212">
        <v>14430.77</v>
      </c>
      <c r="E440" s="212"/>
    </row>
    <row r="441" spans="1:5" x14ac:dyDescent="0.2">
      <c r="A441" t="s">
        <v>6964</v>
      </c>
      <c r="B441" s="291">
        <v>1</v>
      </c>
      <c r="C441" s="228">
        <v>10</v>
      </c>
      <c r="D441" s="212">
        <v>29840.020000000004</v>
      </c>
      <c r="E441" s="212"/>
    </row>
    <row r="442" spans="1:5" x14ac:dyDescent="0.2">
      <c r="A442" t="s">
        <v>6964</v>
      </c>
      <c r="B442" s="291">
        <v>1</v>
      </c>
      <c r="C442" s="228">
        <v>11</v>
      </c>
      <c r="D442" s="212">
        <v>9374.25</v>
      </c>
      <c r="E442" s="212"/>
    </row>
    <row r="443" spans="1:5" x14ac:dyDescent="0.2">
      <c r="A443" t="s">
        <v>6964</v>
      </c>
      <c r="B443" s="291">
        <v>1</v>
      </c>
      <c r="C443" s="228">
        <v>12</v>
      </c>
      <c r="D443" s="212">
        <v>0</v>
      </c>
      <c r="E443" s="212"/>
    </row>
    <row r="444" spans="1:5" x14ac:dyDescent="0.2">
      <c r="A444" t="s">
        <v>6964</v>
      </c>
      <c r="B444" s="291">
        <v>1</v>
      </c>
      <c r="C444" s="228">
        <v>13</v>
      </c>
      <c r="D444" s="212">
        <v>0</v>
      </c>
      <c r="E444" s="212"/>
    </row>
    <row r="445" spans="1:5" x14ac:dyDescent="0.2">
      <c r="A445" t="s">
        <v>6964</v>
      </c>
      <c r="B445" s="291">
        <v>1</v>
      </c>
      <c r="C445" s="228">
        <v>14</v>
      </c>
      <c r="D445" s="212">
        <v>124565.41000000002</v>
      </c>
      <c r="E445" s="212"/>
    </row>
    <row r="446" spans="1:5" x14ac:dyDescent="0.2">
      <c r="A446" t="s">
        <v>6964</v>
      </c>
      <c r="B446" s="291">
        <v>1</v>
      </c>
      <c r="C446" s="228">
        <v>15</v>
      </c>
      <c r="D446" s="212">
        <v>7897.04</v>
      </c>
      <c r="E446" s="212"/>
    </row>
    <row r="447" spans="1:5" x14ac:dyDescent="0.2">
      <c r="A447" t="s">
        <v>6964</v>
      </c>
      <c r="B447" s="291">
        <v>1</v>
      </c>
      <c r="C447" s="228">
        <v>16</v>
      </c>
      <c r="D447" s="212">
        <v>97.39</v>
      </c>
      <c r="E447" s="212"/>
    </row>
    <row r="448" spans="1:5" x14ac:dyDescent="0.2">
      <c r="A448" t="s">
        <v>6964</v>
      </c>
      <c r="B448" s="291">
        <v>1</v>
      </c>
      <c r="C448" s="228">
        <v>17</v>
      </c>
      <c r="D448" s="212">
        <v>3016.4500000000003</v>
      </c>
      <c r="E448" s="212"/>
    </row>
    <row r="449" spans="1:5" x14ac:dyDescent="0.2">
      <c r="A449" t="s">
        <v>6964</v>
      </c>
      <c r="B449" s="291">
        <v>1</v>
      </c>
      <c r="C449" s="228">
        <v>18</v>
      </c>
      <c r="D449" s="212">
        <v>4476.46</v>
      </c>
      <c r="E449" s="212"/>
    </row>
    <row r="450" spans="1:5" x14ac:dyDescent="0.2">
      <c r="A450" t="s">
        <v>6964</v>
      </c>
      <c r="B450" s="291">
        <v>1</v>
      </c>
      <c r="C450" s="228">
        <v>19</v>
      </c>
      <c r="D450" s="212">
        <v>5729.57</v>
      </c>
      <c r="E450" s="212"/>
    </row>
    <row r="451" spans="1:5" x14ac:dyDescent="0.2">
      <c r="A451" t="s">
        <v>6964</v>
      </c>
      <c r="B451" s="291">
        <v>1</v>
      </c>
      <c r="C451" s="228">
        <v>20</v>
      </c>
      <c r="D451" s="212">
        <v>21216.91</v>
      </c>
      <c r="E451" s="212"/>
    </row>
    <row r="452" spans="1:5" x14ac:dyDescent="0.2">
      <c r="A452" t="s">
        <v>6964</v>
      </c>
      <c r="B452" s="291">
        <v>1</v>
      </c>
      <c r="C452" s="228">
        <v>21</v>
      </c>
      <c r="D452" s="212">
        <v>0</v>
      </c>
      <c r="E452" s="212"/>
    </row>
    <row r="453" spans="1:5" x14ac:dyDescent="0.2">
      <c r="A453" t="s">
        <v>6964</v>
      </c>
      <c r="B453" s="291">
        <v>1</v>
      </c>
      <c r="C453" s="228">
        <v>22</v>
      </c>
      <c r="D453" s="212">
        <v>20357.689999999999</v>
      </c>
      <c r="E453" s="212"/>
    </row>
    <row r="454" spans="1:5" x14ac:dyDescent="0.2">
      <c r="A454" t="s">
        <v>6964</v>
      </c>
      <c r="B454" s="291">
        <v>1</v>
      </c>
      <c r="C454" s="228">
        <v>23</v>
      </c>
      <c r="D454" s="212">
        <v>6179.51</v>
      </c>
      <c r="E454" s="212"/>
    </row>
    <row r="455" spans="1:5" x14ac:dyDescent="0.2">
      <c r="A455" t="s">
        <v>6964</v>
      </c>
      <c r="B455" s="291">
        <v>1</v>
      </c>
      <c r="C455" s="228">
        <v>24</v>
      </c>
      <c r="D455" s="212">
        <v>23402.48</v>
      </c>
      <c r="E455" s="212"/>
    </row>
    <row r="456" spans="1:5" x14ac:dyDescent="0.2">
      <c r="A456" t="s">
        <v>6964</v>
      </c>
      <c r="B456" s="291">
        <v>1</v>
      </c>
      <c r="C456" s="228">
        <v>25</v>
      </c>
      <c r="D456" s="212">
        <v>6101.05</v>
      </c>
      <c r="E456" s="212"/>
    </row>
    <row r="457" spans="1:5" x14ac:dyDescent="0.2">
      <c r="A457" t="s">
        <v>6964</v>
      </c>
      <c r="B457" s="291">
        <v>1</v>
      </c>
      <c r="C457" s="228">
        <v>26</v>
      </c>
      <c r="D457" s="212">
        <v>800.03</v>
      </c>
      <c r="E457" s="212"/>
    </row>
    <row r="458" spans="1:5" x14ac:dyDescent="0.2">
      <c r="A458" t="s">
        <v>6964</v>
      </c>
      <c r="B458" s="291">
        <v>1</v>
      </c>
      <c r="C458" s="228">
        <v>27</v>
      </c>
      <c r="D458" s="212">
        <v>1421.3</v>
      </c>
      <c r="E458" s="212"/>
    </row>
    <row r="459" spans="1:5" x14ac:dyDescent="0.2">
      <c r="A459" t="s">
        <v>6964</v>
      </c>
      <c r="B459" s="291">
        <v>1</v>
      </c>
      <c r="C459" s="228">
        <v>28</v>
      </c>
      <c r="D459" s="212">
        <v>172507.9</v>
      </c>
      <c r="E459" s="212"/>
    </row>
    <row r="460" spans="1:5" x14ac:dyDescent="0.2">
      <c r="A460" t="s">
        <v>6964</v>
      </c>
      <c r="B460" s="291">
        <v>1</v>
      </c>
      <c r="C460" s="228">
        <v>29</v>
      </c>
      <c r="D460" s="212">
        <v>76341.350000000006</v>
      </c>
      <c r="E460" s="212"/>
    </row>
    <row r="461" spans="1:5" x14ac:dyDescent="0.2">
      <c r="A461" t="s">
        <v>6964</v>
      </c>
      <c r="B461" s="291">
        <v>1</v>
      </c>
      <c r="C461" s="228">
        <v>30</v>
      </c>
      <c r="D461" s="212">
        <v>0</v>
      </c>
      <c r="E461" s="212"/>
    </row>
    <row r="462" spans="1:5" x14ac:dyDescent="0.2">
      <c r="A462" t="s">
        <v>6964</v>
      </c>
      <c r="B462" s="291">
        <v>1</v>
      </c>
      <c r="C462" s="228">
        <v>31</v>
      </c>
      <c r="D462" s="212">
        <v>0</v>
      </c>
      <c r="E462" s="212"/>
    </row>
    <row r="463" spans="1:5" x14ac:dyDescent="0.2">
      <c r="A463" t="s">
        <v>6964</v>
      </c>
      <c r="B463" s="291">
        <v>1</v>
      </c>
      <c r="C463" s="228">
        <v>32</v>
      </c>
      <c r="D463" s="212">
        <v>76341.350000000006</v>
      </c>
      <c r="E463" s="212"/>
    </row>
    <row r="464" spans="1:5" x14ac:dyDescent="0.2">
      <c r="A464" t="s">
        <v>6964</v>
      </c>
      <c r="B464" s="291">
        <v>1</v>
      </c>
      <c r="C464" s="228">
        <v>33</v>
      </c>
      <c r="D464" s="212">
        <v>0</v>
      </c>
      <c r="E464" s="212"/>
    </row>
    <row r="465" spans="1:5" x14ac:dyDescent="0.2">
      <c r="A465" t="s">
        <v>6964</v>
      </c>
      <c r="B465" s="291">
        <v>1</v>
      </c>
      <c r="C465" s="228">
        <v>34</v>
      </c>
      <c r="D465" s="212">
        <v>25447.119999999999</v>
      </c>
      <c r="E465" s="212"/>
    </row>
    <row r="466" spans="1:5" x14ac:dyDescent="0.2">
      <c r="A466" t="s">
        <v>6964</v>
      </c>
      <c r="B466" s="291">
        <v>1</v>
      </c>
      <c r="C466" s="228">
        <v>35</v>
      </c>
      <c r="D466" s="212">
        <v>1161.5999999999999</v>
      </c>
      <c r="E466" s="212"/>
    </row>
    <row r="467" spans="1:5" x14ac:dyDescent="0.2">
      <c r="A467" t="s">
        <v>6964</v>
      </c>
      <c r="B467" s="291">
        <v>1</v>
      </c>
      <c r="C467" s="228">
        <v>36</v>
      </c>
      <c r="D467" s="212">
        <v>2162.4900000000002</v>
      </c>
      <c r="E467" s="212"/>
    </row>
    <row r="468" spans="1:5" x14ac:dyDescent="0.2">
      <c r="A468" t="s">
        <v>6964</v>
      </c>
      <c r="B468" s="291">
        <v>1</v>
      </c>
      <c r="C468" s="228">
        <v>37</v>
      </c>
      <c r="D468" s="212">
        <v>7461.6500000000005</v>
      </c>
      <c r="E468" s="212"/>
    </row>
    <row r="469" spans="1:5" x14ac:dyDescent="0.2">
      <c r="A469" t="s">
        <v>6964</v>
      </c>
      <c r="B469" s="291">
        <v>1</v>
      </c>
      <c r="C469" s="228">
        <v>38</v>
      </c>
      <c r="D469" s="212">
        <v>7500</v>
      </c>
      <c r="E469" s="212"/>
    </row>
    <row r="470" spans="1:5" x14ac:dyDescent="0.2">
      <c r="A470" t="s">
        <v>6964</v>
      </c>
      <c r="B470" s="291">
        <v>1</v>
      </c>
      <c r="C470" s="228">
        <v>39</v>
      </c>
      <c r="D470" s="212">
        <v>1156.72</v>
      </c>
      <c r="E470" s="212"/>
    </row>
    <row r="471" spans="1:5" x14ac:dyDescent="0.2">
      <c r="A471" t="s">
        <v>6964</v>
      </c>
      <c r="B471" s="291">
        <v>1</v>
      </c>
      <c r="C471" s="228">
        <v>40</v>
      </c>
      <c r="D471" s="212">
        <v>35</v>
      </c>
      <c r="E471" s="212"/>
    </row>
    <row r="472" spans="1:5" x14ac:dyDescent="0.2">
      <c r="A472" t="s">
        <v>6964</v>
      </c>
      <c r="B472" s="291">
        <v>1</v>
      </c>
      <c r="C472" s="228" t="s">
        <v>2991</v>
      </c>
      <c r="D472" s="212">
        <v>-7345.8000000000011</v>
      </c>
      <c r="E472" s="212"/>
    </row>
    <row r="473" spans="1:5" x14ac:dyDescent="0.2">
      <c r="A473" t="s">
        <v>6964</v>
      </c>
      <c r="B473" s="291">
        <v>1</v>
      </c>
      <c r="C473" s="228" t="s">
        <v>2992</v>
      </c>
      <c r="D473" s="212">
        <v>7146.0599999999995</v>
      </c>
      <c r="E473" s="212"/>
    </row>
    <row r="474" spans="1:5" x14ac:dyDescent="0.2">
      <c r="A474" t="s">
        <v>6964</v>
      </c>
      <c r="B474" s="291">
        <v>1</v>
      </c>
      <c r="C474" s="228">
        <v>41</v>
      </c>
      <c r="D474" s="212">
        <v>199.7400000000016</v>
      </c>
      <c r="E474" s="212"/>
    </row>
    <row r="475" spans="1:5" x14ac:dyDescent="0.2">
      <c r="A475" t="s">
        <v>6964</v>
      </c>
      <c r="B475" s="291">
        <v>1</v>
      </c>
      <c r="C475" s="228">
        <v>42</v>
      </c>
      <c r="D475" s="212">
        <v>-680.62</v>
      </c>
      <c r="E475" s="212"/>
    </row>
    <row r="476" spans="1:5" x14ac:dyDescent="0.2">
      <c r="A476" t="s">
        <v>6964</v>
      </c>
      <c r="B476" s="291">
        <v>1</v>
      </c>
      <c r="C476" s="228">
        <v>43</v>
      </c>
      <c r="D476" s="212">
        <v>52122.329999999994</v>
      </c>
      <c r="E476" s="212"/>
    </row>
    <row r="477" spans="1:5" x14ac:dyDescent="0.2">
      <c r="A477" t="s">
        <v>6964</v>
      </c>
      <c r="B477" s="291">
        <v>1</v>
      </c>
      <c r="C477" s="228">
        <v>44</v>
      </c>
      <c r="D477" s="212">
        <v>60098.429999999993</v>
      </c>
      <c r="E477" s="212"/>
    </row>
    <row r="478" spans="1:5" x14ac:dyDescent="0.2">
      <c r="A478" t="s">
        <v>6964</v>
      </c>
      <c r="B478" s="291">
        <v>1</v>
      </c>
      <c r="C478" s="228">
        <v>45</v>
      </c>
      <c r="D478" s="212">
        <v>0</v>
      </c>
      <c r="E478" s="212"/>
    </row>
    <row r="479" spans="1:5" x14ac:dyDescent="0.2">
      <c r="A479" t="s">
        <v>6964</v>
      </c>
      <c r="B479" s="291">
        <v>1</v>
      </c>
      <c r="C479" s="228">
        <v>46</v>
      </c>
      <c r="D479" s="212">
        <v>29800</v>
      </c>
      <c r="E479" s="212"/>
    </row>
    <row r="480" spans="1:5" x14ac:dyDescent="0.2">
      <c r="A480" t="s">
        <v>6966</v>
      </c>
      <c r="B480" s="291">
        <v>1</v>
      </c>
      <c r="C480" s="228">
        <v>2</v>
      </c>
      <c r="D480" s="212">
        <v>-210623.51</v>
      </c>
      <c r="E480" s="212"/>
    </row>
    <row r="481" spans="1:5" x14ac:dyDescent="0.2">
      <c r="A481" t="s">
        <v>6966</v>
      </c>
      <c r="B481" s="291">
        <v>1</v>
      </c>
      <c r="C481" s="228">
        <v>3</v>
      </c>
      <c r="D481" s="212">
        <v>43794.619999999995</v>
      </c>
      <c r="E481" s="212"/>
    </row>
    <row r="482" spans="1:5" x14ac:dyDescent="0.2">
      <c r="A482" t="s">
        <v>6966</v>
      </c>
      <c r="B482" s="291">
        <v>1</v>
      </c>
      <c r="C482" s="228">
        <v>4</v>
      </c>
      <c r="D482" s="212">
        <v>1059.1600000000001</v>
      </c>
      <c r="E482" s="212"/>
    </row>
    <row r="483" spans="1:5" x14ac:dyDescent="0.2">
      <c r="A483" t="s">
        <v>6966</v>
      </c>
      <c r="B483" s="291">
        <v>1</v>
      </c>
      <c r="C483" s="228">
        <v>5</v>
      </c>
      <c r="D483" s="212">
        <v>1685.57</v>
      </c>
      <c r="E483" s="212"/>
    </row>
    <row r="484" spans="1:5" x14ac:dyDescent="0.2">
      <c r="A484" t="s">
        <v>6966</v>
      </c>
      <c r="B484" s="291">
        <v>1</v>
      </c>
      <c r="C484" s="228">
        <v>6</v>
      </c>
      <c r="D484" s="212">
        <v>4944.4299999999994</v>
      </c>
      <c r="E484" s="212"/>
    </row>
    <row r="485" spans="1:5" x14ac:dyDescent="0.2">
      <c r="A485" t="s">
        <v>6966</v>
      </c>
      <c r="B485" s="291">
        <v>1</v>
      </c>
      <c r="C485" s="228" t="s">
        <v>2964</v>
      </c>
      <c r="D485" s="212">
        <v>0</v>
      </c>
      <c r="E485" s="212"/>
    </row>
    <row r="486" spans="1:5" x14ac:dyDescent="0.2">
      <c r="A486" t="s">
        <v>6966</v>
      </c>
      <c r="B486" s="291">
        <v>1</v>
      </c>
      <c r="C486" s="228">
        <v>7</v>
      </c>
      <c r="D486" s="212">
        <v>159139.73000000001</v>
      </c>
      <c r="E486" s="212"/>
    </row>
    <row r="487" spans="1:5" x14ac:dyDescent="0.2">
      <c r="A487" t="s">
        <v>6966</v>
      </c>
      <c r="B487" s="291">
        <v>1</v>
      </c>
      <c r="C487" s="228">
        <v>8</v>
      </c>
      <c r="D487" s="212">
        <v>38038.680000000008</v>
      </c>
      <c r="E487" s="212"/>
    </row>
    <row r="488" spans="1:5" x14ac:dyDescent="0.2">
      <c r="A488" t="s">
        <v>6966</v>
      </c>
      <c r="B488" s="291">
        <v>1</v>
      </c>
      <c r="C488" s="228">
        <v>9</v>
      </c>
      <c r="D488" s="212">
        <v>6756.9</v>
      </c>
      <c r="E488" s="212"/>
    </row>
    <row r="489" spans="1:5" x14ac:dyDescent="0.2">
      <c r="A489" t="s">
        <v>6966</v>
      </c>
      <c r="B489" s="291">
        <v>1</v>
      </c>
      <c r="C489" s="228">
        <v>10</v>
      </c>
      <c r="D489" s="212">
        <v>13124.720000000001</v>
      </c>
      <c r="E489" s="212"/>
    </row>
    <row r="490" spans="1:5" x14ac:dyDescent="0.2">
      <c r="A490" t="s">
        <v>6966</v>
      </c>
      <c r="B490" s="291">
        <v>1</v>
      </c>
      <c r="C490" s="228">
        <v>11</v>
      </c>
      <c r="D490" s="212">
        <v>3435.35</v>
      </c>
      <c r="E490" s="212"/>
    </row>
    <row r="491" spans="1:5" x14ac:dyDescent="0.2">
      <c r="A491" t="s">
        <v>6966</v>
      </c>
      <c r="B491" s="291">
        <v>1</v>
      </c>
      <c r="C491" s="228">
        <v>12</v>
      </c>
      <c r="D491" s="212">
        <v>0</v>
      </c>
      <c r="E491" s="212"/>
    </row>
    <row r="492" spans="1:5" x14ac:dyDescent="0.2">
      <c r="A492" t="s">
        <v>6966</v>
      </c>
      <c r="B492" s="291">
        <v>1</v>
      </c>
      <c r="C492" s="228">
        <v>13</v>
      </c>
      <c r="D492" s="212">
        <v>0</v>
      </c>
      <c r="E492" s="212"/>
    </row>
    <row r="493" spans="1:5" x14ac:dyDescent="0.2">
      <c r="A493" t="s">
        <v>6966</v>
      </c>
      <c r="B493" s="291">
        <v>1</v>
      </c>
      <c r="C493" s="228">
        <v>14</v>
      </c>
      <c r="D493" s="212">
        <v>61355.650000000009</v>
      </c>
      <c r="E493" s="212"/>
    </row>
    <row r="494" spans="1:5" x14ac:dyDescent="0.2">
      <c r="A494" t="s">
        <v>6966</v>
      </c>
      <c r="B494" s="291">
        <v>1</v>
      </c>
      <c r="C494" s="228">
        <v>15</v>
      </c>
      <c r="D494" s="212">
        <v>85.23</v>
      </c>
      <c r="E494" s="212"/>
    </row>
    <row r="495" spans="1:5" x14ac:dyDescent="0.2">
      <c r="A495" t="s">
        <v>6966</v>
      </c>
      <c r="B495" s="291">
        <v>1</v>
      </c>
      <c r="C495" s="228">
        <v>16</v>
      </c>
      <c r="D495" s="212">
        <v>97.39</v>
      </c>
      <c r="E495" s="212"/>
    </row>
    <row r="496" spans="1:5" x14ac:dyDescent="0.2">
      <c r="A496" t="s">
        <v>6966</v>
      </c>
      <c r="B496" s="291">
        <v>1</v>
      </c>
      <c r="C496" s="228">
        <v>17</v>
      </c>
      <c r="D496" s="212">
        <v>756.56</v>
      </c>
      <c r="E496" s="212"/>
    </row>
    <row r="497" spans="1:5" x14ac:dyDescent="0.2">
      <c r="A497" t="s">
        <v>6966</v>
      </c>
      <c r="B497" s="291">
        <v>1</v>
      </c>
      <c r="C497" s="228">
        <v>18</v>
      </c>
      <c r="D497" s="212">
        <v>3534.7500000000005</v>
      </c>
      <c r="E497" s="212"/>
    </row>
    <row r="498" spans="1:5" x14ac:dyDescent="0.2">
      <c r="A498" t="s">
        <v>6966</v>
      </c>
      <c r="B498" s="291">
        <v>1</v>
      </c>
      <c r="C498" s="228">
        <v>19</v>
      </c>
      <c r="D498" s="212">
        <v>2810.47</v>
      </c>
      <c r="E498" s="212"/>
    </row>
    <row r="499" spans="1:5" x14ac:dyDescent="0.2">
      <c r="A499" t="s">
        <v>6966</v>
      </c>
      <c r="B499" s="291">
        <v>1</v>
      </c>
      <c r="C499" s="228">
        <v>20</v>
      </c>
      <c r="D499" s="212">
        <v>7284.4</v>
      </c>
      <c r="E499" s="212"/>
    </row>
    <row r="500" spans="1:5" x14ac:dyDescent="0.2">
      <c r="A500" t="s">
        <v>6966</v>
      </c>
      <c r="B500" s="291">
        <v>1</v>
      </c>
      <c r="C500" s="228">
        <v>21</v>
      </c>
      <c r="D500" s="212">
        <v>11851.04</v>
      </c>
      <c r="E500" s="212"/>
    </row>
    <row r="501" spans="1:5" x14ac:dyDescent="0.2">
      <c r="A501" t="s">
        <v>6966</v>
      </c>
      <c r="B501" s="291">
        <v>1</v>
      </c>
      <c r="C501" s="228">
        <v>22</v>
      </c>
      <c r="D501" s="212">
        <v>8490.31</v>
      </c>
      <c r="E501" s="212"/>
    </row>
    <row r="502" spans="1:5" x14ac:dyDescent="0.2">
      <c r="A502" t="s">
        <v>6966</v>
      </c>
      <c r="B502" s="291">
        <v>1</v>
      </c>
      <c r="C502" s="228">
        <v>23</v>
      </c>
      <c r="D502" s="212">
        <v>3402.41</v>
      </c>
      <c r="E502" s="212"/>
    </row>
    <row r="503" spans="1:5" x14ac:dyDescent="0.2">
      <c r="A503" t="s">
        <v>6966</v>
      </c>
      <c r="B503" s="291">
        <v>1</v>
      </c>
      <c r="C503" s="228">
        <v>24</v>
      </c>
      <c r="D503" s="212">
        <v>19326.509999999998</v>
      </c>
      <c r="E503" s="212"/>
    </row>
    <row r="504" spans="1:5" x14ac:dyDescent="0.2">
      <c r="A504" t="s">
        <v>6966</v>
      </c>
      <c r="B504" s="291">
        <v>1</v>
      </c>
      <c r="C504" s="228">
        <v>25</v>
      </c>
      <c r="D504" s="212">
        <v>9357.0499999999993</v>
      </c>
      <c r="E504" s="212"/>
    </row>
    <row r="505" spans="1:5" x14ac:dyDescent="0.2">
      <c r="A505" t="s">
        <v>6966</v>
      </c>
      <c r="B505" s="291">
        <v>1</v>
      </c>
      <c r="C505" s="228">
        <v>26</v>
      </c>
      <c r="D505" s="212">
        <v>533.01</v>
      </c>
      <c r="E505" s="212"/>
    </row>
    <row r="506" spans="1:5" x14ac:dyDescent="0.2">
      <c r="A506" t="s">
        <v>6966</v>
      </c>
      <c r="B506" s="291">
        <v>1</v>
      </c>
      <c r="C506" s="228">
        <v>27</v>
      </c>
      <c r="D506" s="212">
        <v>1521.5800000000002</v>
      </c>
      <c r="E506" s="212"/>
    </row>
    <row r="507" spans="1:5" x14ac:dyDescent="0.2">
      <c r="A507" t="s">
        <v>6966</v>
      </c>
      <c r="B507" s="291">
        <v>1</v>
      </c>
      <c r="C507" s="228">
        <v>28</v>
      </c>
      <c r="D507" s="212">
        <v>36017.770000000011</v>
      </c>
      <c r="E507" s="212"/>
    </row>
    <row r="508" spans="1:5" x14ac:dyDescent="0.2">
      <c r="A508" t="s">
        <v>6966</v>
      </c>
      <c r="B508" s="291">
        <v>1</v>
      </c>
      <c r="C508" s="228">
        <v>29</v>
      </c>
      <c r="D508" s="212">
        <v>21225.78</v>
      </c>
      <c r="E508" s="212"/>
    </row>
    <row r="509" spans="1:5" x14ac:dyDescent="0.2">
      <c r="A509" t="s">
        <v>6966</v>
      </c>
      <c r="B509" s="291">
        <v>1</v>
      </c>
      <c r="C509" s="228">
        <v>30</v>
      </c>
      <c r="D509" s="212">
        <v>2100.1799999999998</v>
      </c>
      <c r="E509" s="212"/>
    </row>
    <row r="510" spans="1:5" x14ac:dyDescent="0.2">
      <c r="A510" t="s">
        <v>6966</v>
      </c>
      <c r="B510" s="291">
        <v>1</v>
      </c>
      <c r="C510" s="228">
        <v>31</v>
      </c>
      <c r="D510" s="212">
        <v>0</v>
      </c>
      <c r="E510" s="212"/>
    </row>
    <row r="511" spans="1:5" x14ac:dyDescent="0.2">
      <c r="A511" t="s">
        <v>6966</v>
      </c>
      <c r="B511" s="291">
        <v>1</v>
      </c>
      <c r="C511" s="228">
        <v>32</v>
      </c>
      <c r="D511" s="212">
        <v>23325.96</v>
      </c>
      <c r="E511" s="212"/>
    </row>
    <row r="512" spans="1:5" x14ac:dyDescent="0.2">
      <c r="A512" t="s">
        <v>6966</v>
      </c>
      <c r="B512" s="291">
        <v>1</v>
      </c>
      <c r="C512" s="228">
        <v>33</v>
      </c>
      <c r="D512" s="212">
        <v>2711.82</v>
      </c>
      <c r="E512" s="212"/>
    </row>
    <row r="513" spans="1:5" x14ac:dyDescent="0.2">
      <c r="A513" t="s">
        <v>6966</v>
      </c>
      <c r="B513" s="291">
        <v>1</v>
      </c>
      <c r="C513" s="228">
        <v>34</v>
      </c>
      <c r="D513" s="212">
        <v>10612.88</v>
      </c>
      <c r="E513" s="212"/>
    </row>
    <row r="514" spans="1:5" x14ac:dyDescent="0.2">
      <c r="A514" t="s">
        <v>6966</v>
      </c>
      <c r="B514" s="291">
        <v>1</v>
      </c>
      <c r="C514" s="228">
        <v>35</v>
      </c>
      <c r="D514" s="212">
        <v>733.85</v>
      </c>
      <c r="E514" s="212"/>
    </row>
    <row r="515" spans="1:5" x14ac:dyDescent="0.2">
      <c r="A515" t="s">
        <v>6966</v>
      </c>
      <c r="B515" s="291">
        <v>1</v>
      </c>
      <c r="C515" s="228">
        <v>36</v>
      </c>
      <c r="D515" s="212">
        <v>872.04</v>
      </c>
      <c r="E515" s="212"/>
    </row>
    <row r="516" spans="1:5" x14ac:dyDescent="0.2">
      <c r="A516" t="s">
        <v>6966</v>
      </c>
      <c r="B516" s="291">
        <v>1</v>
      </c>
      <c r="C516" s="228">
        <v>37</v>
      </c>
      <c r="D516" s="212">
        <v>2018.1399999999999</v>
      </c>
      <c r="E516" s="212"/>
    </row>
    <row r="517" spans="1:5" x14ac:dyDescent="0.2">
      <c r="A517" t="s">
        <v>6966</v>
      </c>
      <c r="B517" s="291">
        <v>1</v>
      </c>
      <c r="C517" s="228">
        <v>38</v>
      </c>
      <c r="D517" s="212">
        <v>9200</v>
      </c>
      <c r="E517" s="212"/>
    </row>
    <row r="518" spans="1:5" x14ac:dyDescent="0.2">
      <c r="A518" t="s">
        <v>6966</v>
      </c>
      <c r="B518" s="291">
        <v>1</v>
      </c>
      <c r="C518" s="228">
        <v>39</v>
      </c>
      <c r="D518" s="212">
        <v>556.53</v>
      </c>
      <c r="E518" s="212"/>
    </row>
    <row r="519" spans="1:5" x14ac:dyDescent="0.2">
      <c r="A519" t="s">
        <v>6966</v>
      </c>
      <c r="B519" s="291">
        <v>1</v>
      </c>
      <c r="C519" s="228">
        <v>40</v>
      </c>
      <c r="D519" s="212">
        <v>35</v>
      </c>
      <c r="E519" s="212"/>
    </row>
    <row r="520" spans="1:5" x14ac:dyDescent="0.2">
      <c r="A520" t="s">
        <v>6966</v>
      </c>
      <c r="B520" s="291">
        <v>1</v>
      </c>
      <c r="C520" s="228" t="s">
        <v>2991</v>
      </c>
      <c r="D520" s="212">
        <v>-2325.94</v>
      </c>
      <c r="E520" s="212"/>
    </row>
    <row r="521" spans="1:5" x14ac:dyDescent="0.2">
      <c r="A521" t="s">
        <v>6966</v>
      </c>
      <c r="B521" s="291">
        <v>1</v>
      </c>
      <c r="C521" s="228" t="s">
        <v>2992</v>
      </c>
      <c r="D521" s="212">
        <v>2058.79</v>
      </c>
      <c r="E521" s="212"/>
    </row>
    <row r="522" spans="1:5" x14ac:dyDescent="0.2">
      <c r="A522" t="s">
        <v>6966</v>
      </c>
      <c r="B522" s="291">
        <v>1</v>
      </c>
      <c r="C522" s="228">
        <v>41</v>
      </c>
      <c r="D522" s="212">
        <v>267.15000000000009</v>
      </c>
      <c r="E522" s="212"/>
    </row>
    <row r="523" spans="1:5" x14ac:dyDescent="0.2">
      <c r="A523" t="s">
        <v>6966</v>
      </c>
      <c r="B523" s="291">
        <v>1</v>
      </c>
      <c r="C523" s="228">
        <v>42</v>
      </c>
      <c r="D523" s="212">
        <v>303.48</v>
      </c>
      <c r="E523" s="212"/>
    </row>
    <row r="524" spans="1:5" x14ac:dyDescent="0.2">
      <c r="A524" t="s">
        <v>6966</v>
      </c>
      <c r="B524" s="291">
        <v>1</v>
      </c>
      <c r="C524" s="228">
        <v>43</v>
      </c>
      <c r="D524" s="212">
        <v>-14084.779999999982</v>
      </c>
      <c r="E524" s="212"/>
    </row>
    <row r="525" spans="1:5" x14ac:dyDescent="0.2">
      <c r="A525" t="s">
        <v>6966</v>
      </c>
      <c r="B525" s="291">
        <v>1</v>
      </c>
      <c r="C525" s="228">
        <v>44</v>
      </c>
      <c r="D525" s="212">
        <v>-4024.7699999999827</v>
      </c>
      <c r="E525" s="212"/>
    </row>
    <row r="526" spans="1:5" x14ac:dyDescent="0.2">
      <c r="A526" t="s">
        <v>6966</v>
      </c>
      <c r="B526" s="291">
        <v>1</v>
      </c>
      <c r="C526" s="228">
        <v>45</v>
      </c>
      <c r="D526" s="212">
        <v>0</v>
      </c>
      <c r="E526" s="212"/>
    </row>
    <row r="527" spans="1:5" x14ac:dyDescent="0.2">
      <c r="A527" t="s">
        <v>6966</v>
      </c>
      <c r="B527" s="291">
        <v>1</v>
      </c>
      <c r="C527" s="228">
        <v>46</v>
      </c>
      <c r="D527" s="212">
        <v>12000</v>
      </c>
      <c r="E527" s="212"/>
    </row>
    <row r="528" spans="1:5" x14ac:dyDescent="0.2">
      <c r="A528" t="s">
        <v>6965</v>
      </c>
      <c r="B528" s="291">
        <v>1</v>
      </c>
      <c r="C528" s="228">
        <v>2</v>
      </c>
      <c r="D528" s="212">
        <v>-349402.23000000004</v>
      </c>
      <c r="E528" s="212"/>
    </row>
    <row r="529" spans="1:5" x14ac:dyDescent="0.2">
      <c r="A529" t="s">
        <v>6965</v>
      </c>
      <c r="B529" s="291">
        <v>1</v>
      </c>
      <c r="C529" s="228">
        <v>3</v>
      </c>
      <c r="D529" s="212">
        <v>77023.950000000012</v>
      </c>
      <c r="E529" s="212"/>
    </row>
    <row r="530" spans="1:5" x14ac:dyDescent="0.2">
      <c r="A530" t="s">
        <v>6965</v>
      </c>
      <c r="B530" s="291">
        <v>1</v>
      </c>
      <c r="C530" s="228">
        <v>4</v>
      </c>
      <c r="D530" s="212">
        <v>1700.81</v>
      </c>
      <c r="E530" s="212"/>
    </row>
    <row r="531" spans="1:5" x14ac:dyDescent="0.2">
      <c r="A531" t="s">
        <v>6965</v>
      </c>
      <c r="B531" s="291">
        <v>1</v>
      </c>
      <c r="C531" s="228">
        <v>5</v>
      </c>
      <c r="D531" s="212">
        <v>3010.68</v>
      </c>
      <c r="E531" s="212"/>
    </row>
    <row r="532" spans="1:5" x14ac:dyDescent="0.2">
      <c r="A532" t="s">
        <v>6965</v>
      </c>
      <c r="B532" s="291">
        <v>1</v>
      </c>
      <c r="C532" s="228">
        <v>6</v>
      </c>
      <c r="D532" s="212">
        <v>9108.7099999999991</v>
      </c>
      <c r="E532" s="212"/>
    </row>
    <row r="533" spans="1:5" x14ac:dyDescent="0.2">
      <c r="A533" t="s">
        <v>6965</v>
      </c>
      <c r="B533" s="291">
        <v>1</v>
      </c>
      <c r="C533" s="228" t="s">
        <v>2964</v>
      </c>
      <c r="D533" s="212">
        <v>490.85</v>
      </c>
      <c r="E533" s="212"/>
    </row>
    <row r="534" spans="1:5" x14ac:dyDescent="0.2">
      <c r="A534" t="s">
        <v>6965</v>
      </c>
      <c r="B534" s="291">
        <v>1</v>
      </c>
      <c r="C534" s="228">
        <v>7</v>
      </c>
      <c r="D534" s="212">
        <v>258067.23000000004</v>
      </c>
      <c r="E534" s="212"/>
    </row>
    <row r="535" spans="1:5" x14ac:dyDescent="0.2">
      <c r="A535" t="s">
        <v>6965</v>
      </c>
      <c r="B535" s="291">
        <v>1</v>
      </c>
      <c r="C535" s="228">
        <v>8</v>
      </c>
      <c r="D535" s="212">
        <v>58903.049999999996</v>
      </c>
      <c r="E535" s="212"/>
    </row>
    <row r="536" spans="1:5" x14ac:dyDescent="0.2">
      <c r="A536" t="s">
        <v>6965</v>
      </c>
      <c r="B536" s="291">
        <v>1</v>
      </c>
      <c r="C536" s="228">
        <v>9</v>
      </c>
      <c r="D536" s="212">
        <v>11776.67</v>
      </c>
      <c r="E536" s="212"/>
    </row>
    <row r="537" spans="1:5" x14ac:dyDescent="0.2">
      <c r="A537" t="s">
        <v>6965</v>
      </c>
      <c r="B537" s="291">
        <v>1</v>
      </c>
      <c r="C537" s="228">
        <v>10</v>
      </c>
      <c r="D537" s="212">
        <v>20461.649999999998</v>
      </c>
      <c r="E537" s="212"/>
    </row>
    <row r="538" spans="1:5" x14ac:dyDescent="0.2">
      <c r="A538" t="s">
        <v>6965</v>
      </c>
      <c r="B538" s="291">
        <v>1</v>
      </c>
      <c r="C538" s="228">
        <v>11</v>
      </c>
      <c r="D538" s="212">
        <v>5981.2200000000012</v>
      </c>
      <c r="E538" s="212"/>
    </row>
    <row r="539" spans="1:5" x14ac:dyDescent="0.2">
      <c r="A539" t="s">
        <v>6965</v>
      </c>
      <c r="B539" s="291">
        <v>1</v>
      </c>
      <c r="C539" s="228">
        <v>12</v>
      </c>
      <c r="D539" s="212">
        <v>0</v>
      </c>
      <c r="E539" s="212"/>
    </row>
    <row r="540" spans="1:5" x14ac:dyDescent="0.2">
      <c r="A540" t="s">
        <v>6965</v>
      </c>
      <c r="B540" s="291">
        <v>1</v>
      </c>
      <c r="C540" s="228">
        <v>13</v>
      </c>
      <c r="D540" s="212">
        <v>0</v>
      </c>
      <c r="E540" s="212"/>
    </row>
    <row r="541" spans="1:5" x14ac:dyDescent="0.2">
      <c r="A541" t="s">
        <v>6965</v>
      </c>
      <c r="B541" s="291">
        <v>1</v>
      </c>
      <c r="C541" s="228">
        <v>14</v>
      </c>
      <c r="D541" s="212">
        <v>97122.59</v>
      </c>
      <c r="E541" s="212"/>
    </row>
    <row r="542" spans="1:5" x14ac:dyDescent="0.2">
      <c r="A542" t="s">
        <v>6965</v>
      </c>
      <c r="B542" s="291">
        <v>1</v>
      </c>
      <c r="C542" s="228">
        <v>15</v>
      </c>
      <c r="D542" s="212">
        <v>109.12</v>
      </c>
      <c r="E542" s="212"/>
    </row>
    <row r="543" spans="1:5" x14ac:dyDescent="0.2">
      <c r="A543" t="s">
        <v>6965</v>
      </c>
      <c r="B543" s="291">
        <v>1</v>
      </c>
      <c r="C543" s="228">
        <v>16</v>
      </c>
      <c r="D543" s="212">
        <v>65.39</v>
      </c>
      <c r="E543" s="212"/>
    </row>
    <row r="544" spans="1:5" x14ac:dyDescent="0.2">
      <c r="A544" t="s">
        <v>6965</v>
      </c>
      <c r="B544" s="291">
        <v>1</v>
      </c>
      <c r="C544" s="228">
        <v>17</v>
      </c>
      <c r="D544" s="212">
        <v>1949.2</v>
      </c>
      <c r="E544" s="212"/>
    </row>
    <row r="545" spans="1:5" x14ac:dyDescent="0.2">
      <c r="A545" t="s">
        <v>6965</v>
      </c>
      <c r="B545" s="291">
        <v>1</v>
      </c>
      <c r="C545" s="228">
        <v>18</v>
      </c>
      <c r="D545" s="212">
        <v>4641.37</v>
      </c>
      <c r="E545" s="212"/>
    </row>
    <row r="546" spans="1:5" x14ac:dyDescent="0.2">
      <c r="A546" t="s">
        <v>6965</v>
      </c>
      <c r="B546" s="291">
        <v>1</v>
      </c>
      <c r="C546" s="228">
        <v>19</v>
      </c>
      <c r="D546" s="212">
        <v>4002.3599999999997</v>
      </c>
      <c r="E546" s="212"/>
    </row>
    <row r="547" spans="1:5" x14ac:dyDescent="0.2">
      <c r="A547" t="s">
        <v>6965</v>
      </c>
      <c r="B547" s="291">
        <v>1</v>
      </c>
      <c r="C547" s="228">
        <v>20</v>
      </c>
      <c r="D547" s="212">
        <v>10767.439999999999</v>
      </c>
      <c r="E547" s="212"/>
    </row>
    <row r="548" spans="1:5" x14ac:dyDescent="0.2">
      <c r="A548" t="s">
        <v>6965</v>
      </c>
      <c r="B548" s="291">
        <v>1</v>
      </c>
      <c r="C548" s="228">
        <v>21</v>
      </c>
      <c r="D548" s="212">
        <v>6492.0199999999995</v>
      </c>
      <c r="E548" s="212"/>
    </row>
    <row r="549" spans="1:5" x14ac:dyDescent="0.2">
      <c r="A549" t="s">
        <v>6965</v>
      </c>
      <c r="B549" s="291">
        <v>1</v>
      </c>
      <c r="C549" s="228">
        <v>22</v>
      </c>
      <c r="D549" s="212">
        <v>13991.45</v>
      </c>
      <c r="E549" s="212"/>
    </row>
    <row r="550" spans="1:5" x14ac:dyDescent="0.2">
      <c r="A550" t="s">
        <v>6965</v>
      </c>
      <c r="B550" s="291">
        <v>1</v>
      </c>
      <c r="C550" s="228">
        <v>23</v>
      </c>
      <c r="D550" s="212">
        <v>4333.13</v>
      </c>
      <c r="E550" s="212"/>
    </row>
    <row r="551" spans="1:5" x14ac:dyDescent="0.2">
      <c r="A551" t="s">
        <v>6965</v>
      </c>
      <c r="B551" s="291">
        <v>1</v>
      </c>
      <c r="C551" s="228">
        <v>24</v>
      </c>
      <c r="D551" s="212">
        <v>19297.620000000003</v>
      </c>
      <c r="E551" s="212"/>
    </row>
    <row r="552" spans="1:5" x14ac:dyDescent="0.2">
      <c r="A552" t="s">
        <v>6965</v>
      </c>
      <c r="B552" s="291">
        <v>1</v>
      </c>
      <c r="C552" s="228">
        <v>25</v>
      </c>
      <c r="D552" s="212">
        <v>4683.66</v>
      </c>
      <c r="E552" s="212"/>
    </row>
    <row r="553" spans="1:5" x14ac:dyDescent="0.2">
      <c r="A553" t="s">
        <v>6965</v>
      </c>
      <c r="B553" s="291">
        <v>1</v>
      </c>
      <c r="C553" s="228">
        <v>26</v>
      </c>
      <c r="D553" s="212">
        <v>802.97</v>
      </c>
      <c r="E553" s="212"/>
    </row>
    <row r="554" spans="1:5" x14ac:dyDescent="0.2">
      <c r="A554" t="s">
        <v>6965</v>
      </c>
      <c r="B554" s="291">
        <v>1</v>
      </c>
      <c r="C554" s="228">
        <v>27</v>
      </c>
      <c r="D554" s="212">
        <v>192.87000000000003</v>
      </c>
      <c r="E554" s="212"/>
    </row>
    <row r="555" spans="1:5" x14ac:dyDescent="0.2">
      <c r="A555" t="s">
        <v>6965</v>
      </c>
      <c r="B555" s="291">
        <v>1</v>
      </c>
      <c r="C555" s="228">
        <v>28</v>
      </c>
      <c r="D555" s="212">
        <v>100383.48000000004</v>
      </c>
      <c r="E555" s="212"/>
    </row>
    <row r="556" spans="1:5" x14ac:dyDescent="0.2">
      <c r="A556" t="s">
        <v>6965</v>
      </c>
      <c r="B556" s="291">
        <v>1</v>
      </c>
      <c r="C556" s="228">
        <v>29</v>
      </c>
      <c r="D556" s="212">
        <v>62961.53</v>
      </c>
      <c r="E556" s="212"/>
    </row>
    <row r="557" spans="1:5" x14ac:dyDescent="0.2">
      <c r="A557" t="s">
        <v>6965</v>
      </c>
      <c r="B557" s="291">
        <v>1</v>
      </c>
      <c r="C557" s="228">
        <v>30</v>
      </c>
      <c r="D557" s="212">
        <v>0</v>
      </c>
      <c r="E557" s="212"/>
    </row>
    <row r="558" spans="1:5" x14ac:dyDescent="0.2">
      <c r="A558" t="s">
        <v>6965</v>
      </c>
      <c r="B558" s="291">
        <v>1</v>
      </c>
      <c r="C558" s="228">
        <v>31</v>
      </c>
      <c r="D558" s="212">
        <v>0</v>
      </c>
      <c r="E558" s="212"/>
    </row>
    <row r="559" spans="1:5" x14ac:dyDescent="0.2">
      <c r="A559" t="s">
        <v>6965</v>
      </c>
      <c r="B559" s="291">
        <v>1</v>
      </c>
      <c r="C559" s="228">
        <v>32</v>
      </c>
      <c r="D559" s="212">
        <v>62961.53</v>
      </c>
      <c r="E559" s="212"/>
    </row>
    <row r="560" spans="1:5" x14ac:dyDescent="0.2">
      <c r="A560" t="s">
        <v>6965</v>
      </c>
      <c r="B560" s="291">
        <v>1</v>
      </c>
      <c r="C560" s="228">
        <v>33</v>
      </c>
      <c r="D560" s="212">
        <v>0</v>
      </c>
      <c r="E560" s="212"/>
    </row>
    <row r="561" spans="1:5" x14ac:dyDescent="0.2">
      <c r="A561" t="s">
        <v>6965</v>
      </c>
      <c r="B561" s="291">
        <v>1</v>
      </c>
      <c r="C561" s="228">
        <v>34</v>
      </c>
      <c r="D561" s="212">
        <v>17489.32</v>
      </c>
      <c r="E561" s="212"/>
    </row>
    <row r="562" spans="1:5" x14ac:dyDescent="0.2">
      <c r="A562" t="s">
        <v>6965</v>
      </c>
      <c r="B562" s="291">
        <v>1</v>
      </c>
      <c r="C562" s="228">
        <v>35</v>
      </c>
      <c r="D562" s="212">
        <v>1059.5</v>
      </c>
      <c r="E562" s="212"/>
    </row>
    <row r="563" spans="1:5" x14ac:dyDescent="0.2">
      <c r="A563" t="s">
        <v>6965</v>
      </c>
      <c r="B563" s="291">
        <v>1</v>
      </c>
      <c r="C563" s="228">
        <v>36</v>
      </c>
      <c r="D563" s="212">
        <v>1565.76</v>
      </c>
      <c r="E563" s="212"/>
    </row>
    <row r="564" spans="1:5" x14ac:dyDescent="0.2">
      <c r="A564" t="s">
        <v>6965</v>
      </c>
      <c r="B564" s="291">
        <v>1</v>
      </c>
      <c r="C564" s="228">
        <v>37</v>
      </c>
      <c r="D564" s="212">
        <v>4509.01</v>
      </c>
      <c r="E564" s="212"/>
    </row>
    <row r="565" spans="1:5" x14ac:dyDescent="0.2">
      <c r="A565" t="s">
        <v>6965</v>
      </c>
      <c r="B565" s="291">
        <v>1</v>
      </c>
      <c r="C565" s="228">
        <v>38</v>
      </c>
      <c r="D565" s="212">
        <v>5000</v>
      </c>
      <c r="E565" s="212"/>
    </row>
    <row r="566" spans="1:5" x14ac:dyDescent="0.2">
      <c r="A566" t="s">
        <v>6965</v>
      </c>
      <c r="B566" s="291">
        <v>1</v>
      </c>
      <c r="C566" s="228">
        <v>39</v>
      </c>
      <c r="D566" s="212">
        <v>1038.23</v>
      </c>
      <c r="E566" s="212"/>
    </row>
    <row r="567" spans="1:5" x14ac:dyDescent="0.2">
      <c r="A567" t="s">
        <v>6965</v>
      </c>
      <c r="B567" s="291">
        <v>1</v>
      </c>
      <c r="C567" s="228">
        <v>40</v>
      </c>
      <c r="D567" s="212">
        <v>35</v>
      </c>
      <c r="E567" s="212"/>
    </row>
    <row r="568" spans="1:5" x14ac:dyDescent="0.2">
      <c r="A568" t="s">
        <v>6965</v>
      </c>
      <c r="B568" s="291">
        <v>1</v>
      </c>
      <c r="C568" s="228" t="s">
        <v>2991</v>
      </c>
      <c r="D568" s="212">
        <v>-4809.01</v>
      </c>
      <c r="E568" s="212"/>
    </row>
    <row r="569" spans="1:5" x14ac:dyDescent="0.2">
      <c r="A569" t="s">
        <v>6965</v>
      </c>
      <c r="B569" s="291">
        <v>1</v>
      </c>
      <c r="C569" s="228" t="s">
        <v>2992</v>
      </c>
      <c r="D569" s="212">
        <v>4836.38</v>
      </c>
      <c r="E569" s="212"/>
    </row>
    <row r="570" spans="1:5" x14ac:dyDescent="0.2">
      <c r="A570" t="s">
        <v>6965</v>
      </c>
      <c r="B570" s="291">
        <v>1</v>
      </c>
      <c r="C570" s="228">
        <v>41</v>
      </c>
      <c r="D570" s="212">
        <v>-27.369999999999891</v>
      </c>
      <c r="E570" s="212"/>
    </row>
    <row r="571" spans="1:5" x14ac:dyDescent="0.2">
      <c r="A571" t="s">
        <v>6965</v>
      </c>
      <c r="B571" s="291">
        <v>1</v>
      </c>
      <c r="C571" s="228">
        <v>42</v>
      </c>
      <c r="D571" s="212">
        <v>26.49</v>
      </c>
      <c r="E571" s="212"/>
    </row>
    <row r="572" spans="1:5" x14ac:dyDescent="0.2">
      <c r="A572" t="s">
        <v>6965</v>
      </c>
      <c r="B572" s="291">
        <v>1</v>
      </c>
      <c r="C572" s="228">
        <v>43</v>
      </c>
      <c r="D572" s="212">
        <v>6671.2700000000486</v>
      </c>
      <c r="E572" s="212"/>
    </row>
    <row r="573" spans="1:5" x14ac:dyDescent="0.2">
      <c r="A573" t="s">
        <v>6965</v>
      </c>
      <c r="B573" s="291">
        <v>1</v>
      </c>
      <c r="C573" s="228">
        <v>44</v>
      </c>
      <c r="D573" s="212">
        <v>12735.990000000047</v>
      </c>
      <c r="E573" s="212"/>
    </row>
    <row r="574" spans="1:5" x14ac:dyDescent="0.2">
      <c r="A574" t="s">
        <v>6965</v>
      </c>
      <c r="B574" s="291">
        <v>1</v>
      </c>
      <c r="C574" s="228">
        <v>45</v>
      </c>
      <c r="D574" s="212">
        <v>0</v>
      </c>
      <c r="E574" s="212"/>
    </row>
    <row r="575" spans="1:5" x14ac:dyDescent="0.2">
      <c r="A575" t="s">
        <v>6965</v>
      </c>
      <c r="B575" s="291">
        <v>1</v>
      </c>
      <c r="C575" s="228">
        <v>46</v>
      </c>
      <c r="D575" s="212">
        <v>21400</v>
      </c>
      <c r="E575" s="212"/>
    </row>
    <row r="576" spans="1:5" x14ac:dyDescent="0.2">
      <c r="B576" s="291"/>
      <c r="E576" s="212"/>
    </row>
    <row r="577" spans="2:5" x14ac:dyDescent="0.2">
      <c r="B577" s="291"/>
      <c r="E577" s="212"/>
    </row>
    <row r="578" spans="2:5" x14ac:dyDescent="0.2">
      <c r="B578" s="291"/>
      <c r="E578" s="212"/>
    </row>
    <row r="579" spans="2:5" x14ac:dyDescent="0.2">
      <c r="B579" s="291"/>
      <c r="E579" s="212"/>
    </row>
    <row r="580" spans="2:5" x14ac:dyDescent="0.2">
      <c r="B580" s="291"/>
      <c r="E580" s="212"/>
    </row>
    <row r="581" spans="2:5" x14ac:dyDescent="0.2">
      <c r="B581" s="291"/>
      <c r="E581" s="212"/>
    </row>
    <row r="582" spans="2:5" x14ac:dyDescent="0.2">
      <c r="B582" s="291"/>
      <c r="E582" s="212"/>
    </row>
    <row r="583" spans="2:5" x14ac:dyDescent="0.2">
      <c r="B583" s="291"/>
      <c r="E583" s="212"/>
    </row>
    <row r="584" spans="2:5" x14ac:dyDescent="0.2">
      <c r="B584" s="291"/>
      <c r="E584" s="212"/>
    </row>
    <row r="585" spans="2:5" x14ac:dyDescent="0.2">
      <c r="B585" s="291"/>
      <c r="E585" s="212"/>
    </row>
    <row r="586" spans="2:5" x14ac:dyDescent="0.2">
      <c r="B586" s="291"/>
      <c r="E586" s="212"/>
    </row>
    <row r="587" spans="2:5" x14ac:dyDescent="0.2">
      <c r="B587" s="291"/>
      <c r="E587" s="212"/>
    </row>
    <row r="588" spans="2:5" x14ac:dyDescent="0.2">
      <c r="B588" s="291"/>
      <c r="E588" s="212"/>
    </row>
    <row r="589" spans="2:5" x14ac:dyDescent="0.2">
      <c r="B589" s="291"/>
      <c r="E589" s="212"/>
    </row>
    <row r="590" spans="2:5" x14ac:dyDescent="0.2">
      <c r="B590" s="291"/>
      <c r="E590" s="212"/>
    </row>
    <row r="591" spans="2:5" x14ac:dyDescent="0.2">
      <c r="B591" s="291"/>
      <c r="E591" s="212"/>
    </row>
    <row r="592" spans="2:5" x14ac:dyDescent="0.2">
      <c r="B592" s="291"/>
      <c r="E592" s="212"/>
    </row>
    <row r="593" spans="2:5" x14ac:dyDescent="0.2">
      <c r="B593" s="291"/>
      <c r="E593" s="212"/>
    </row>
    <row r="594" spans="2:5" x14ac:dyDescent="0.2">
      <c r="B594" s="291"/>
      <c r="E594" s="212"/>
    </row>
    <row r="595" spans="2:5" x14ac:dyDescent="0.2">
      <c r="B595" s="291"/>
      <c r="E595" s="212"/>
    </row>
    <row r="596" spans="2:5" x14ac:dyDescent="0.2">
      <c r="B596" s="291"/>
      <c r="E596" s="212"/>
    </row>
    <row r="597" spans="2:5" x14ac:dyDescent="0.2">
      <c r="B597" s="291"/>
      <c r="E597" s="212"/>
    </row>
    <row r="598" spans="2:5" x14ac:dyDescent="0.2">
      <c r="B598" s="291"/>
      <c r="E598" s="212"/>
    </row>
    <row r="599" spans="2:5" x14ac:dyDescent="0.2">
      <c r="B599" s="291"/>
      <c r="E599" s="212"/>
    </row>
    <row r="600" spans="2:5" x14ac:dyDescent="0.2">
      <c r="B600" s="291"/>
      <c r="E600" s="212"/>
    </row>
    <row r="601" spans="2:5" x14ac:dyDescent="0.2">
      <c r="B601" s="291"/>
      <c r="E601" s="212"/>
    </row>
    <row r="602" spans="2:5" x14ac:dyDescent="0.2">
      <c r="B602" s="291"/>
      <c r="E602" s="212"/>
    </row>
    <row r="603" spans="2:5" x14ac:dyDescent="0.2">
      <c r="B603" s="291"/>
      <c r="E603" s="212"/>
    </row>
    <row r="604" spans="2:5" x14ac:dyDescent="0.2">
      <c r="B604" s="291"/>
      <c r="E604" s="212"/>
    </row>
    <row r="605" spans="2:5" x14ac:dyDescent="0.2">
      <c r="B605" s="291"/>
      <c r="E605" s="212"/>
    </row>
    <row r="606" spans="2:5" x14ac:dyDescent="0.2">
      <c r="B606" s="291"/>
      <c r="E606" s="212"/>
    </row>
    <row r="607" spans="2:5" x14ac:dyDescent="0.2">
      <c r="B607" s="291"/>
      <c r="E607" s="212"/>
    </row>
    <row r="608" spans="2:5" x14ac:dyDescent="0.2">
      <c r="B608" s="291"/>
      <c r="E608" s="212"/>
    </row>
    <row r="609" spans="2:5" x14ac:dyDescent="0.2">
      <c r="B609" s="291"/>
      <c r="E609" s="212"/>
    </row>
    <row r="610" spans="2:5" x14ac:dyDescent="0.2">
      <c r="B610" s="291"/>
      <c r="E610" s="212"/>
    </row>
    <row r="611" spans="2:5" x14ac:dyDescent="0.2">
      <c r="B611" s="291"/>
      <c r="E611" s="212"/>
    </row>
    <row r="612" spans="2:5" x14ac:dyDescent="0.2">
      <c r="B612" s="291"/>
      <c r="E612" s="212"/>
    </row>
    <row r="613" spans="2:5" x14ac:dyDescent="0.2">
      <c r="B613" s="291"/>
      <c r="E613" s="212"/>
    </row>
    <row r="614" spans="2:5" x14ac:dyDescent="0.2">
      <c r="B614" s="291"/>
      <c r="E614" s="212"/>
    </row>
    <row r="615" spans="2:5" x14ac:dyDescent="0.2">
      <c r="B615" s="291"/>
      <c r="E615" s="212"/>
    </row>
    <row r="616" spans="2:5" x14ac:dyDescent="0.2">
      <c r="B616" s="291"/>
      <c r="E616" s="212"/>
    </row>
    <row r="617" spans="2:5" x14ac:dyDescent="0.2">
      <c r="B617" s="291"/>
      <c r="E617" s="212"/>
    </row>
    <row r="618" spans="2:5" x14ac:dyDescent="0.2">
      <c r="B618" s="291"/>
      <c r="E618" s="212"/>
    </row>
    <row r="619" spans="2:5" x14ac:dyDescent="0.2">
      <c r="B619" s="291"/>
      <c r="E619" s="212"/>
    </row>
    <row r="620" spans="2:5" x14ac:dyDescent="0.2">
      <c r="B620" s="291"/>
      <c r="E620" s="212"/>
    </row>
    <row r="621" spans="2:5" x14ac:dyDescent="0.2">
      <c r="B621" s="291"/>
      <c r="E621" s="212"/>
    </row>
    <row r="622" spans="2:5" x14ac:dyDescent="0.2">
      <c r="B622" s="291"/>
      <c r="E622" s="212"/>
    </row>
    <row r="623" spans="2:5" x14ac:dyDescent="0.2">
      <c r="B623" s="291"/>
      <c r="E623" s="212"/>
    </row>
    <row r="624" spans="2:5" x14ac:dyDescent="0.2">
      <c r="B624" s="291"/>
      <c r="E624" s="212"/>
    </row>
    <row r="625" spans="2:5" x14ac:dyDescent="0.2">
      <c r="B625" s="291"/>
      <c r="E625" s="212"/>
    </row>
    <row r="626" spans="2:5" x14ac:dyDescent="0.2">
      <c r="B626" s="291"/>
      <c r="E626" s="212"/>
    </row>
    <row r="627" spans="2:5" x14ac:dyDescent="0.2">
      <c r="B627" s="291"/>
      <c r="E627" s="212"/>
    </row>
    <row r="628" spans="2:5" x14ac:dyDescent="0.2">
      <c r="B628" s="291"/>
      <c r="E628" s="212"/>
    </row>
    <row r="629" spans="2:5" x14ac:dyDescent="0.2">
      <c r="B629" s="291"/>
      <c r="E629" s="212"/>
    </row>
    <row r="630" spans="2:5" x14ac:dyDescent="0.2">
      <c r="B630" s="291"/>
      <c r="E630" s="212"/>
    </row>
    <row r="631" spans="2:5" x14ac:dyDescent="0.2">
      <c r="B631" s="291"/>
      <c r="E631" s="212"/>
    </row>
    <row r="632" spans="2:5" x14ac:dyDescent="0.2">
      <c r="B632" s="291"/>
      <c r="E632" s="212"/>
    </row>
    <row r="633" spans="2:5" x14ac:dyDescent="0.2">
      <c r="B633" s="291"/>
      <c r="E633" s="212"/>
    </row>
    <row r="634" spans="2:5" x14ac:dyDescent="0.2">
      <c r="B634" s="291"/>
      <c r="E634" s="212"/>
    </row>
    <row r="635" spans="2:5" x14ac:dyDescent="0.2">
      <c r="B635" s="291"/>
      <c r="E635" s="212"/>
    </row>
    <row r="636" spans="2:5" x14ac:dyDescent="0.2">
      <c r="B636" s="291"/>
      <c r="E636" s="212"/>
    </row>
    <row r="637" spans="2:5" x14ac:dyDescent="0.2">
      <c r="B637" s="291"/>
      <c r="E637" s="212"/>
    </row>
    <row r="638" spans="2:5" x14ac:dyDescent="0.2">
      <c r="B638" s="291"/>
      <c r="E638" s="212"/>
    </row>
    <row r="639" spans="2:5" x14ac:dyDescent="0.2">
      <c r="B639" s="291"/>
      <c r="E639" s="212"/>
    </row>
    <row r="640" spans="2:5" x14ac:dyDescent="0.2">
      <c r="B640" s="291"/>
      <c r="E640" s="212"/>
    </row>
    <row r="641" spans="2:5" x14ac:dyDescent="0.2">
      <c r="B641" s="291"/>
      <c r="E641" s="212"/>
    </row>
    <row r="642" spans="2:5" x14ac:dyDescent="0.2">
      <c r="B642" s="291"/>
      <c r="E642" s="212"/>
    </row>
    <row r="643" spans="2:5" x14ac:dyDescent="0.2">
      <c r="B643" s="291"/>
      <c r="E643" s="212"/>
    </row>
    <row r="644" spans="2:5" x14ac:dyDescent="0.2">
      <c r="B644" s="291"/>
      <c r="E644" s="212"/>
    </row>
    <row r="645" spans="2:5" x14ac:dyDescent="0.2">
      <c r="B645" s="291"/>
      <c r="E645" s="212"/>
    </row>
    <row r="646" spans="2:5" x14ac:dyDescent="0.2">
      <c r="B646" s="291"/>
      <c r="E646" s="212"/>
    </row>
    <row r="647" spans="2:5" x14ac:dyDescent="0.2">
      <c r="B647" s="291"/>
      <c r="E647" s="212"/>
    </row>
    <row r="648" spans="2:5" x14ac:dyDescent="0.2">
      <c r="B648" s="291"/>
      <c r="E648" s="212"/>
    </row>
    <row r="649" spans="2:5" x14ac:dyDescent="0.2">
      <c r="B649" s="291"/>
      <c r="E649" s="212"/>
    </row>
    <row r="650" spans="2:5" x14ac:dyDescent="0.2">
      <c r="B650" s="291"/>
      <c r="E650" s="212"/>
    </row>
    <row r="651" spans="2:5" x14ac:dyDescent="0.2">
      <c r="B651" s="291"/>
      <c r="E651" s="212"/>
    </row>
    <row r="652" spans="2:5" x14ac:dyDescent="0.2">
      <c r="B652" s="291"/>
      <c r="E652" s="212"/>
    </row>
    <row r="653" spans="2:5" x14ac:dyDescent="0.2">
      <c r="B653" s="291"/>
      <c r="E653" s="212"/>
    </row>
    <row r="654" spans="2:5" x14ac:dyDescent="0.2">
      <c r="B654" s="291"/>
      <c r="E654" s="212"/>
    </row>
    <row r="655" spans="2:5" x14ac:dyDescent="0.2">
      <c r="B655" s="291"/>
      <c r="E655" s="212"/>
    </row>
    <row r="656" spans="2:5" x14ac:dyDescent="0.2">
      <c r="B656" s="291"/>
      <c r="E656" s="212"/>
    </row>
    <row r="657" spans="2:5" x14ac:dyDescent="0.2">
      <c r="B657" s="291"/>
      <c r="E657" s="212"/>
    </row>
    <row r="658" spans="2:5" x14ac:dyDescent="0.2">
      <c r="B658" s="291"/>
      <c r="E658" s="212"/>
    </row>
    <row r="659" spans="2:5" x14ac:dyDescent="0.2">
      <c r="B659" s="291"/>
      <c r="E659" s="212"/>
    </row>
    <row r="660" spans="2:5" x14ac:dyDescent="0.2">
      <c r="B660" s="291"/>
      <c r="E660" s="212"/>
    </row>
    <row r="661" spans="2:5" x14ac:dyDescent="0.2">
      <c r="B661" s="291"/>
      <c r="E661" s="212"/>
    </row>
    <row r="662" spans="2:5" x14ac:dyDescent="0.2">
      <c r="B662" s="291"/>
      <c r="E662" s="212"/>
    </row>
    <row r="663" spans="2:5" x14ac:dyDescent="0.2">
      <c r="B663" s="291"/>
      <c r="E663" s="212"/>
    </row>
    <row r="664" spans="2:5" x14ac:dyDescent="0.2">
      <c r="B664" s="291"/>
      <c r="E664" s="212"/>
    </row>
    <row r="665" spans="2:5" x14ac:dyDescent="0.2">
      <c r="B665" s="291"/>
      <c r="E665" s="212"/>
    </row>
    <row r="666" spans="2:5" x14ac:dyDescent="0.2">
      <c r="B666" s="291"/>
      <c r="E666" s="212"/>
    </row>
    <row r="667" spans="2:5" x14ac:dyDescent="0.2">
      <c r="B667" s="291"/>
      <c r="E667" s="212"/>
    </row>
    <row r="668" spans="2:5" x14ac:dyDescent="0.2">
      <c r="B668" s="291"/>
      <c r="E668" s="212"/>
    </row>
    <row r="669" spans="2:5" x14ac:dyDescent="0.2">
      <c r="B669" s="291"/>
      <c r="E669" s="212"/>
    </row>
    <row r="670" spans="2:5" x14ac:dyDescent="0.2">
      <c r="B670" s="291"/>
      <c r="E670" s="212"/>
    </row>
    <row r="671" spans="2:5" x14ac:dyDescent="0.2">
      <c r="B671" s="291"/>
      <c r="E671" s="212"/>
    </row>
    <row r="672" spans="2:5" x14ac:dyDescent="0.2">
      <c r="B672" s="291"/>
      <c r="E672" s="212"/>
    </row>
    <row r="673" spans="2:5" x14ac:dyDescent="0.2">
      <c r="B673" s="291"/>
      <c r="E673" s="212"/>
    </row>
    <row r="674" spans="2:5" x14ac:dyDescent="0.2">
      <c r="B674" s="291"/>
      <c r="E674" s="212"/>
    </row>
    <row r="675" spans="2:5" x14ac:dyDescent="0.2">
      <c r="B675" s="291"/>
      <c r="E675" s="212"/>
    </row>
    <row r="676" spans="2:5" x14ac:dyDescent="0.2">
      <c r="B676" s="291"/>
      <c r="E676" s="212"/>
    </row>
    <row r="677" spans="2:5" x14ac:dyDescent="0.2">
      <c r="B677" s="291"/>
      <c r="E677" s="212"/>
    </row>
    <row r="678" spans="2:5" x14ac:dyDescent="0.2">
      <c r="B678" s="291"/>
      <c r="E678" s="212"/>
    </row>
    <row r="679" spans="2:5" x14ac:dyDescent="0.2">
      <c r="B679" s="291"/>
      <c r="E679" s="212"/>
    </row>
    <row r="680" spans="2:5" x14ac:dyDescent="0.2">
      <c r="B680" s="291"/>
      <c r="E680" s="212"/>
    </row>
    <row r="681" spans="2:5" x14ac:dyDescent="0.2">
      <c r="B681" s="291"/>
      <c r="E681" s="212"/>
    </row>
    <row r="682" spans="2:5" x14ac:dyDescent="0.2">
      <c r="B682" s="291"/>
      <c r="E682" s="212"/>
    </row>
    <row r="683" spans="2:5" x14ac:dyDescent="0.2">
      <c r="B683" s="291"/>
      <c r="E683" s="212"/>
    </row>
    <row r="684" spans="2:5" x14ac:dyDescent="0.2">
      <c r="B684" s="291"/>
      <c r="E684" s="212"/>
    </row>
    <row r="685" spans="2:5" x14ac:dyDescent="0.2">
      <c r="B685" s="291"/>
      <c r="E685" s="212"/>
    </row>
    <row r="686" spans="2:5" x14ac:dyDescent="0.2">
      <c r="B686" s="291"/>
      <c r="E686" s="212"/>
    </row>
    <row r="687" spans="2:5" x14ac:dyDescent="0.2">
      <c r="B687" s="291"/>
      <c r="E687" s="212"/>
    </row>
    <row r="688" spans="2:5" x14ac:dyDescent="0.2">
      <c r="B688" s="291"/>
      <c r="E688" s="212"/>
    </row>
    <row r="689" spans="2:5" x14ac:dyDescent="0.2">
      <c r="B689" s="291"/>
      <c r="E689" s="212"/>
    </row>
    <row r="690" spans="2:5" x14ac:dyDescent="0.2">
      <c r="B690" s="291"/>
      <c r="E690" s="212"/>
    </row>
    <row r="691" spans="2:5" x14ac:dyDescent="0.2">
      <c r="B691" s="291"/>
      <c r="E691" s="212"/>
    </row>
    <row r="692" spans="2:5" x14ac:dyDescent="0.2">
      <c r="B692" s="291"/>
      <c r="E692" s="212"/>
    </row>
    <row r="693" spans="2:5" x14ac:dyDescent="0.2">
      <c r="B693" s="291"/>
      <c r="E693" s="212"/>
    </row>
    <row r="694" spans="2:5" x14ac:dyDescent="0.2">
      <c r="B694" s="291"/>
      <c r="E694" s="212"/>
    </row>
    <row r="695" spans="2:5" x14ac:dyDescent="0.2">
      <c r="B695" s="291"/>
      <c r="E695" s="212"/>
    </row>
    <row r="696" spans="2:5" x14ac:dyDescent="0.2">
      <c r="B696" s="291"/>
      <c r="E696" s="212"/>
    </row>
    <row r="697" spans="2:5" x14ac:dyDescent="0.2">
      <c r="B697" s="291"/>
      <c r="E697" s="212"/>
    </row>
    <row r="698" spans="2:5" x14ac:dyDescent="0.2">
      <c r="B698" s="291"/>
      <c r="E698" s="212"/>
    </row>
    <row r="699" spans="2:5" x14ac:dyDescent="0.2">
      <c r="B699" s="291"/>
      <c r="E699" s="212"/>
    </row>
    <row r="700" spans="2:5" x14ac:dyDescent="0.2">
      <c r="B700" s="291"/>
      <c r="E700" s="212"/>
    </row>
    <row r="701" spans="2:5" x14ac:dyDescent="0.2">
      <c r="B701" s="291"/>
      <c r="E701" s="212"/>
    </row>
    <row r="702" spans="2:5" x14ac:dyDescent="0.2">
      <c r="B702" s="291"/>
      <c r="E702" s="212"/>
    </row>
    <row r="703" spans="2:5" x14ac:dyDescent="0.2">
      <c r="B703" s="291"/>
      <c r="E703" s="212"/>
    </row>
    <row r="704" spans="2:5" x14ac:dyDescent="0.2">
      <c r="B704" s="291"/>
      <c r="E704" s="212"/>
    </row>
    <row r="705" spans="2:5" x14ac:dyDescent="0.2">
      <c r="B705" s="291"/>
      <c r="E705" s="212"/>
    </row>
    <row r="706" spans="2:5" x14ac:dyDescent="0.2">
      <c r="B706" s="291"/>
      <c r="E706" s="212"/>
    </row>
    <row r="707" spans="2:5" x14ac:dyDescent="0.2">
      <c r="B707" s="291"/>
      <c r="E707" s="212"/>
    </row>
    <row r="708" spans="2:5" x14ac:dyDescent="0.2">
      <c r="B708" s="291"/>
      <c r="E708" s="212"/>
    </row>
    <row r="709" spans="2:5" x14ac:dyDescent="0.2">
      <c r="B709" s="291"/>
      <c r="E709" s="212"/>
    </row>
    <row r="710" spans="2:5" x14ac:dyDescent="0.2">
      <c r="B710" s="291"/>
      <c r="E710" s="212"/>
    </row>
    <row r="711" spans="2:5" x14ac:dyDescent="0.2">
      <c r="B711" s="291"/>
      <c r="E711" s="212"/>
    </row>
    <row r="712" spans="2:5" x14ac:dyDescent="0.2">
      <c r="B712" s="291"/>
      <c r="E712" s="212"/>
    </row>
    <row r="713" spans="2:5" x14ac:dyDescent="0.2">
      <c r="B713" s="291"/>
      <c r="E713" s="212"/>
    </row>
    <row r="714" spans="2:5" x14ac:dyDescent="0.2">
      <c r="B714" s="291"/>
      <c r="E714" s="212"/>
    </row>
    <row r="715" spans="2:5" x14ac:dyDescent="0.2">
      <c r="B715" s="291"/>
      <c r="E715" s="212"/>
    </row>
    <row r="716" spans="2:5" x14ac:dyDescent="0.2">
      <c r="B716" s="291"/>
      <c r="E716" s="212"/>
    </row>
    <row r="717" spans="2:5" x14ac:dyDescent="0.2">
      <c r="B717" s="291"/>
      <c r="E717" s="212"/>
    </row>
    <row r="718" spans="2:5" x14ac:dyDescent="0.2">
      <c r="B718" s="291"/>
      <c r="E718" s="212"/>
    </row>
    <row r="719" spans="2:5" x14ac:dyDescent="0.2">
      <c r="B719" s="291"/>
      <c r="E719" s="212"/>
    </row>
    <row r="720" spans="2:5" x14ac:dyDescent="0.2">
      <c r="B720" s="291"/>
      <c r="E720" s="212"/>
    </row>
    <row r="721" spans="2:5" x14ac:dyDescent="0.2">
      <c r="B721" s="291"/>
      <c r="E721" s="212"/>
    </row>
    <row r="722" spans="2:5" x14ac:dyDescent="0.2">
      <c r="B722" s="291"/>
      <c r="E722" s="212"/>
    </row>
    <row r="723" spans="2:5" x14ac:dyDescent="0.2">
      <c r="B723" s="291"/>
      <c r="E723" s="212"/>
    </row>
    <row r="724" spans="2:5" x14ac:dyDescent="0.2">
      <c r="B724" s="291"/>
      <c r="E724" s="212"/>
    </row>
    <row r="725" spans="2:5" x14ac:dyDescent="0.2">
      <c r="B725" s="291"/>
      <c r="E725" s="212"/>
    </row>
    <row r="726" spans="2:5" x14ac:dyDescent="0.2">
      <c r="B726" s="291"/>
      <c r="E726" s="212"/>
    </row>
    <row r="727" spans="2:5" x14ac:dyDescent="0.2">
      <c r="B727" s="291"/>
      <c r="E727" s="212"/>
    </row>
    <row r="728" spans="2:5" x14ac:dyDescent="0.2">
      <c r="B728" s="291"/>
      <c r="E728" s="212"/>
    </row>
    <row r="729" spans="2:5" x14ac:dyDescent="0.2">
      <c r="B729" s="291"/>
      <c r="E729" s="212"/>
    </row>
    <row r="730" spans="2:5" x14ac:dyDescent="0.2">
      <c r="B730" s="291"/>
      <c r="E730" s="212"/>
    </row>
    <row r="731" spans="2:5" x14ac:dyDescent="0.2">
      <c r="B731" s="291"/>
      <c r="E731" s="212"/>
    </row>
    <row r="732" spans="2:5" x14ac:dyDescent="0.2">
      <c r="B732" s="291"/>
      <c r="E732" s="212"/>
    </row>
    <row r="733" spans="2:5" x14ac:dyDescent="0.2">
      <c r="B733" s="291"/>
      <c r="E733" s="212"/>
    </row>
    <row r="734" spans="2:5" x14ac:dyDescent="0.2">
      <c r="B734" s="291"/>
      <c r="E734" s="212"/>
    </row>
    <row r="735" spans="2:5" x14ac:dyDescent="0.2">
      <c r="B735" s="291"/>
      <c r="E735" s="212"/>
    </row>
    <row r="736" spans="2:5" x14ac:dyDescent="0.2">
      <c r="B736" s="291"/>
      <c r="E736" s="212"/>
    </row>
    <row r="737" spans="2:5" x14ac:dyDescent="0.2">
      <c r="B737" s="291"/>
      <c r="E737" s="212"/>
    </row>
    <row r="738" spans="2:5" x14ac:dyDescent="0.2">
      <c r="B738" s="291"/>
      <c r="E738" s="212"/>
    </row>
    <row r="739" spans="2:5" x14ac:dyDescent="0.2">
      <c r="B739" s="291"/>
      <c r="E739" s="212"/>
    </row>
    <row r="740" spans="2:5" x14ac:dyDescent="0.2">
      <c r="B740" s="291"/>
      <c r="E740" s="212"/>
    </row>
    <row r="741" spans="2:5" x14ac:dyDescent="0.2">
      <c r="B741" s="291"/>
      <c r="E741" s="212"/>
    </row>
    <row r="742" spans="2:5" x14ac:dyDescent="0.2">
      <c r="B742" s="291"/>
      <c r="E742" s="212"/>
    </row>
    <row r="743" spans="2:5" x14ac:dyDescent="0.2">
      <c r="B743" s="291"/>
      <c r="E743" s="212"/>
    </row>
    <row r="744" spans="2:5" x14ac:dyDescent="0.2">
      <c r="B744" s="291"/>
      <c r="E744" s="212"/>
    </row>
    <row r="745" spans="2:5" x14ac:dyDescent="0.2">
      <c r="B745" s="291"/>
      <c r="E745" s="212"/>
    </row>
    <row r="746" spans="2:5" x14ac:dyDescent="0.2">
      <c r="B746" s="291"/>
      <c r="E746" s="212"/>
    </row>
    <row r="747" spans="2:5" x14ac:dyDescent="0.2">
      <c r="B747" s="291"/>
      <c r="E747" s="212"/>
    </row>
    <row r="748" spans="2:5" x14ac:dyDescent="0.2">
      <c r="B748" s="291"/>
      <c r="E748" s="212"/>
    </row>
    <row r="749" spans="2:5" x14ac:dyDescent="0.2">
      <c r="B749" s="291"/>
      <c r="E749" s="212"/>
    </row>
    <row r="750" spans="2:5" x14ac:dyDescent="0.2">
      <c r="B750" s="291"/>
      <c r="E750" s="212"/>
    </row>
    <row r="751" spans="2:5" x14ac:dyDescent="0.2">
      <c r="B751" s="291"/>
      <c r="E751" s="212"/>
    </row>
    <row r="752" spans="2:5" x14ac:dyDescent="0.2">
      <c r="B752" s="291"/>
      <c r="E752" s="212"/>
    </row>
    <row r="753" spans="2:5" x14ac:dyDescent="0.2">
      <c r="B753" s="291"/>
      <c r="E753" s="212"/>
    </row>
    <row r="754" spans="2:5" x14ac:dyDescent="0.2">
      <c r="B754" s="291"/>
      <c r="E754" s="212"/>
    </row>
    <row r="755" spans="2:5" x14ac:dyDescent="0.2">
      <c r="B755" s="291"/>
      <c r="E755" s="212"/>
    </row>
    <row r="756" spans="2:5" x14ac:dyDescent="0.2">
      <c r="B756" s="291"/>
      <c r="E756" s="212"/>
    </row>
    <row r="757" spans="2:5" x14ac:dyDescent="0.2">
      <c r="B757" s="291"/>
      <c r="E757" s="212"/>
    </row>
    <row r="758" spans="2:5" x14ac:dyDescent="0.2">
      <c r="B758" s="291"/>
      <c r="E758" s="212"/>
    </row>
    <row r="759" spans="2:5" x14ac:dyDescent="0.2">
      <c r="B759" s="291"/>
      <c r="E759" s="212"/>
    </row>
    <row r="760" spans="2:5" x14ac:dyDescent="0.2">
      <c r="B760" s="291"/>
      <c r="E760" s="212"/>
    </row>
    <row r="761" spans="2:5" x14ac:dyDescent="0.2">
      <c r="B761" s="291"/>
      <c r="E761" s="212"/>
    </row>
    <row r="762" spans="2:5" x14ac:dyDescent="0.2">
      <c r="B762" s="291"/>
      <c r="E762" s="212"/>
    </row>
    <row r="763" spans="2:5" x14ac:dyDescent="0.2">
      <c r="B763" s="291"/>
      <c r="E763" s="212"/>
    </row>
    <row r="764" spans="2:5" x14ac:dyDescent="0.2">
      <c r="B764" s="291"/>
      <c r="E764" s="212"/>
    </row>
    <row r="765" spans="2:5" x14ac:dyDescent="0.2">
      <c r="B765" s="291"/>
      <c r="E765" s="212"/>
    </row>
    <row r="766" spans="2:5" x14ac:dyDescent="0.2">
      <c r="B766" s="291"/>
      <c r="E766" s="212"/>
    </row>
    <row r="767" spans="2:5" x14ac:dyDescent="0.2">
      <c r="B767" s="291"/>
      <c r="E767" s="212"/>
    </row>
    <row r="768" spans="2:5" x14ac:dyDescent="0.2">
      <c r="B768" s="291"/>
      <c r="E768" s="212"/>
    </row>
    <row r="769" spans="2:5" x14ac:dyDescent="0.2">
      <c r="B769" s="291"/>
      <c r="E769" s="212"/>
    </row>
    <row r="770" spans="2:5" x14ac:dyDescent="0.2">
      <c r="B770" s="291"/>
      <c r="E770" s="212"/>
    </row>
    <row r="771" spans="2:5" x14ac:dyDescent="0.2">
      <c r="B771" s="291"/>
      <c r="E771" s="212"/>
    </row>
    <row r="772" spans="2:5" x14ac:dyDescent="0.2">
      <c r="B772" s="291"/>
      <c r="E772" s="212"/>
    </row>
    <row r="773" spans="2:5" x14ac:dyDescent="0.2">
      <c r="B773" s="291"/>
      <c r="E773" s="212"/>
    </row>
    <row r="774" spans="2:5" x14ac:dyDescent="0.2">
      <c r="B774" s="291"/>
      <c r="E774" s="212"/>
    </row>
    <row r="775" spans="2:5" x14ac:dyDescent="0.2">
      <c r="B775" s="291"/>
      <c r="E775" s="212"/>
    </row>
    <row r="776" spans="2:5" x14ac:dyDescent="0.2">
      <c r="B776" s="291"/>
      <c r="E776" s="212"/>
    </row>
    <row r="777" spans="2:5" x14ac:dyDescent="0.2">
      <c r="B777" s="291"/>
      <c r="E777" s="212"/>
    </row>
    <row r="778" spans="2:5" x14ac:dyDescent="0.2">
      <c r="B778" s="291"/>
      <c r="E778" s="212"/>
    </row>
    <row r="779" spans="2:5" x14ac:dyDescent="0.2">
      <c r="B779" s="291"/>
      <c r="E779" s="212"/>
    </row>
    <row r="780" spans="2:5" x14ac:dyDescent="0.2">
      <c r="B780" s="291"/>
      <c r="E780" s="212"/>
    </row>
    <row r="781" spans="2:5" x14ac:dyDescent="0.2">
      <c r="B781" s="291"/>
      <c r="E781" s="212"/>
    </row>
    <row r="782" spans="2:5" x14ac:dyDescent="0.2">
      <c r="B782" s="291"/>
      <c r="E782" s="212"/>
    </row>
    <row r="783" spans="2:5" x14ac:dyDescent="0.2">
      <c r="B783" s="291"/>
      <c r="E783" s="212"/>
    </row>
    <row r="784" spans="2:5" x14ac:dyDescent="0.2">
      <c r="B784" s="291"/>
      <c r="E784" s="212"/>
    </row>
    <row r="785" spans="2:5" x14ac:dyDescent="0.2">
      <c r="B785" s="291"/>
      <c r="E785" s="212"/>
    </row>
    <row r="786" spans="2:5" x14ac:dyDescent="0.2">
      <c r="B786" s="291"/>
      <c r="E786" s="212"/>
    </row>
    <row r="787" spans="2:5" x14ac:dyDescent="0.2">
      <c r="B787" s="291"/>
      <c r="E787" s="212"/>
    </row>
    <row r="788" spans="2:5" x14ac:dyDescent="0.2">
      <c r="B788" s="291"/>
      <c r="E788" s="212"/>
    </row>
    <row r="789" spans="2:5" x14ac:dyDescent="0.2">
      <c r="B789" s="291"/>
      <c r="E789" s="212"/>
    </row>
    <row r="790" spans="2:5" x14ac:dyDescent="0.2">
      <c r="B790" s="291"/>
      <c r="E790" s="212"/>
    </row>
    <row r="791" spans="2:5" x14ac:dyDescent="0.2">
      <c r="B791" s="291"/>
      <c r="E791" s="212"/>
    </row>
    <row r="792" spans="2:5" x14ac:dyDescent="0.2">
      <c r="B792" s="291"/>
      <c r="E792" s="212"/>
    </row>
    <row r="793" spans="2:5" x14ac:dyDescent="0.2">
      <c r="B793" s="291"/>
      <c r="E793" s="212"/>
    </row>
    <row r="794" spans="2:5" x14ac:dyDescent="0.2">
      <c r="B794" s="291"/>
      <c r="E794" s="212"/>
    </row>
    <row r="795" spans="2:5" x14ac:dyDescent="0.2">
      <c r="B795" s="291"/>
      <c r="E795" s="212"/>
    </row>
    <row r="796" spans="2:5" x14ac:dyDescent="0.2">
      <c r="B796" s="291"/>
      <c r="E796" s="212"/>
    </row>
    <row r="797" spans="2:5" x14ac:dyDescent="0.2">
      <c r="B797" s="291"/>
      <c r="E797" s="212"/>
    </row>
    <row r="798" spans="2:5" x14ac:dyDescent="0.2">
      <c r="B798" s="291"/>
      <c r="E798" s="212"/>
    </row>
    <row r="799" spans="2:5" x14ac:dyDescent="0.2">
      <c r="B799" s="291"/>
      <c r="E799" s="212"/>
    </row>
    <row r="800" spans="2:5" x14ac:dyDescent="0.2">
      <c r="B800" s="291"/>
      <c r="E800" s="212"/>
    </row>
    <row r="801" spans="2:5" x14ac:dyDescent="0.2">
      <c r="B801" s="291"/>
      <c r="E801" s="212"/>
    </row>
    <row r="802" spans="2:5" x14ac:dyDescent="0.2">
      <c r="B802" s="291"/>
      <c r="E802" s="212"/>
    </row>
    <row r="803" spans="2:5" x14ac:dyDescent="0.2">
      <c r="B803" s="291"/>
      <c r="E803" s="212"/>
    </row>
    <row r="804" spans="2:5" x14ac:dyDescent="0.2">
      <c r="B804" s="291"/>
      <c r="E804" s="212"/>
    </row>
    <row r="805" spans="2:5" x14ac:dyDescent="0.2">
      <c r="B805" s="291"/>
      <c r="E805" s="212"/>
    </row>
    <row r="806" spans="2:5" x14ac:dyDescent="0.2">
      <c r="B806" s="291"/>
      <c r="E806" s="212"/>
    </row>
    <row r="807" spans="2:5" x14ac:dyDescent="0.2">
      <c r="B807" s="291"/>
      <c r="E807" s="212"/>
    </row>
    <row r="808" spans="2:5" x14ac:dyDescent="0.2">
      <c r="B808" s="291"/>
      <c r="E808" s="212"/>
    </row>
    <row r="809" spans="2:5" x14ac:dyDescent="0.2">
      <c r="B809" s="291"/>
      <c r="E809" s="212"/>
    </row>
    <row r="810" spans="2:5" x14ac:dyDescent="0.2">
      <c r="B810" s="291"/>
      <c r="E810" s="212"/>
    </row>
    <row r="811" spans="2:5" x14ac:dyDescent="0.2">
      <c r="B811" s="291"/>
      <c r="E811" s="212"/>
    </row>
    <row r="812" spans="2:5" x14ac:dyDescent="0.2">
      <c r="B812" s="291"/>
      <c r="E812" s="212"/>
    </row>
    <row r="813" spans="2:5" x14ac:dyDescent="0.2">
      <c r="B813" s="291"/>
      <c r="E813" s="212"/>
    </row>
    <row r="814" spans="2:5" x14ac:dyDescent="0.2">
      <c r="B814" s="291"/>
      <c r="E814" s="212"/>
    </row>
    <row r="815" spans="2:5" x14ac:dyDescent="0.2">
      <c r="B815" s="291"/>
      <c r="E815" s="212"/>
    </row>
    <row r="816" spans="2:5" x14ac:dyDescent="0.2">
      <c r="B816" s="291"/>
      <c r="E816" s="212"/>
    </row>
    <row r="817" spans="2:5" x14ac:dyDescent="0.2">
      <c r="B817" s="291"/>
      <c r="E817" s="212"/>
    </row>
    <row r="818" spans="2:5" x14ac:dyDescent="0.2">
      <c r="B818" s="291"/>
      <c r="E818" s="212"/>
    </row>
    <row r="819" spans="2:5" x14ac:dyDescent="0.2">
      <c r="B819" s="291"/>
      <c r="E819" s="212"/>
    </row>
    <row r="820" spans="2:5" x14ac:dyDescent="0.2">
      <c r="B820" s="291"/>
      <c r="E820" s="212"/>
    </row>
    <row r="821" spans="2:5" x14ac:dyDescent="0.2">
      <c r="B821" s="291"/>
      <c r="E821" s="212"/>
    </row>
    <row r="822" spans="2:5" x14ac:dyDescent="0.2">
      <c r="B822" s="291"/>
      <c r="E822" s="212"/>
    </row>
    <row r="823" spans="2:5" x14ac:dyDescent="0.2">
      <c r="B823" s="291"/>
      <c r="E823" s="212"/>
    </row>
    <row r="824" spans="2:5" x14ac:dyDescent="0.2">
      <c r="B824" s="291"/>
      <c r="E824" s="212"/>
    </row>
    <row r="825" spans="2:5" x14ac:dyDescent="0.2">
      <c r="B825" s="291"/>
      <c r="E825" s="212"/>
    </row>
    <row r="826" spans="2:5" x14ac:dyDescent="0.2">
      <c r="B826" s="291"/>
      <c r="E826" s="212"/>
    </row>
    <row r="827" spans="2:5" x14ac:dyDescent="0.2">
      <c r="B827" s="291"/>
      <c r="E827" s="212"/>
    </row>
    <row r="828" spans="2:5" x14ac:dyDescent="0.2">
      <c r="B828" s="291"/>
      <c r="E828" s="212"/>
    </row>
    <row r="829" spans="2:5" x14ac:dyDescent="0.2">
      <c r="B829" s="291"/>
      <c r="E829" s="212"/>
    </row>
    <row r="830" spans="2:5" x14ac:dyDescent="0.2">
      <c r="B830" s="291"/>
      <c r="E830" s="212"/>
    </row>
    <row r="831" spans="2:5" x14ac:dyDescent="0.2">
      <c r="B831" s="291"/>
      <c r="E831" s="212"/>
    </row>
    <row r="832" spans="2:5" x14ac:dyDescent="0.2">
      <c r="B832" s="291"/>
      <c r="E832" s="212"/>
    </row>
    <row r="833" spans="2:5" x14ac:dyDescent="0.2">
      <c r="B833" s="291"/>
      <c r="E833" s="212"/>
    </row>
    <row r="834" spans="2:5" x14ac:dyDescent="0.2">
      <c r="B834" s="291"/>
      <c r="E834" s="212"/>
    </row>
    <row r="835" spans="2:5" x14ac:dyDescent="0.2">
      <c r="B835" s="291"/>
      <c r="E835" s="212"/>
    </row>
    <row r="836" spans="2:5" x14ac:dyDescent="0.2">
      <c r="B836" s="291"/>
      <c r="E836" s="212"/>
    </row>
    <row r="837" spans="2:5" x14ac:dyDescent="0.2">
      <c r="B837" s="291"/>
      <c r="E837" s="212"/>
    </row>
    <row r="838" spans="2:5" x14ac:dyDescent="0.2">
      <c r="B838" s="291"/>
      <c r="E838" s="212"/>
    </row>
    <row r="839" spans="2:5" x14ac:dyDescent="0.2">
      <c r="B839" s="291"/>
      <c r="E839" s="212"/>
    </row>
    <row r="840" spans="2:5" x14ac:dyDescent="0.2">
      <c r="B840" s="291"/>
      <c r="E840" s="212"/>
    </row>
    <row r="841" spans="2:5" x14ac:dyDescent="0.2">
      <c r="B841" s="291"/>
      <c r="E841" s="212"/>
    </row>
    <row r="842" spans="2:5" x14ac:dyDescent="0.2">
      <c r="B842" s="291"/>
      <c r="E842" s="212"/>
    </row>
    <row r="843" spans="2:5" x14ac:dyDescent="0.2">
      <c r="B843" s="291"/>
      <c r="E843" s="212"/>
    </row>
    <row r="844" spans="2:5" x14ac:dyDescent="0.2">
      <c r="B844" s="291"/>
      <c r="E844" s="212"/>
    </row>
    <row r="845" spans="2:5" x14ac:dyDescent="0.2">
      <c r="B845" s="291"/>
      <c r="E845" s="212"/>
    </row>
    <row r="846" spans="2:5" x14ac:dyDescent="0.2">
      <c r="B846" s="291"/>
      <c r="E846" s="212"/>
    </row>
    <row r="847" spans="2:5" x14ac:dyDescent="0.2">
      <c r="B847" s="291"/>
      <c r="E847" s="212"/>
    </row>
    <row r="848" spans="2:5" x14ac:dyDescent="0.2">
      <c r="B848" s="291"/>
      <c r="E848" s="212"/>
    </row>
    <row r="849" spans="2:5" x14ac:dyDescent="0.2">
      <c r="B849" s="291"/>
      <c r="E849" s="212"/>
    </row>
    <row r="850" spans="2:5" x14ac:dyDescent="0.2">
      <c r="B850" s="291"/>
      <c r="E850" s="212"/>
    </row>
    <row r="851" spans="2:5" x14ac:dyDescent="0.2">
      <c r="B851" s="291"/>
      <c r="E851" s="212"/>
    </row>
    <row r="852" spans="2:5" x14ac:dyDescent="0.2">
      <c r="B852" s="291"/>
      <c r="E852" s="212"/>
    </row>
    <row r="853" spans="2:5" x14ac:dyDescent="0.2">
      <c r="B853" s="291"/>
      <c r="E853" s="212"/>
    </row>
    <row r="854" spans="2:5" x14ac:dyDescent="0.2">
      <c r="B854" s="291"/>
      <c r="E854" s="212"/>
    </row>
    <row r="855" spans="2:5" x14ac:dyDescent="0.2">
      <c r="B855" s="291"/>
      <c r="E855" s="212"/>
    </row>
    <row r="856" spans="2:5" x14ac:dyDescent="0.2">
      <c r="B856" s="291"/>
      <c r="E856" s="212"/>
    </row>
    <row r="857" spans="2:5" x14ac:dyDescent="0.2">
      <c r="B857" s="291"/>
      <c r="E857" s="212"/>
    </row>
    <row r="858" spans="2:5" x14ac:dyDescent="0.2">
      <c r="B858" s="291"/>
      <c r="E858" s="212"/>
    </row>
    <row r="859" spans="2:5" x14ac:dyDescent="0.2">
      <c r="B859" s="291"/>
      <c r="E859" s="212"/>
    </row>
    <row r="860" spans="2:5" x14ac:dyDescent="0.2">
      <c r="B860" s="291"/>
      <c r="E860" s="212"/>
    </row>
    <row r="861" spans="2:5" x14ac:dyDescent="0.2">
      <c r="B861" s="291"/>
      <c r="E861" s="212"/>
    </row>
    <row r="862" spans="2:5" x14ac:dyDescent="0.2">
      <c r="B862" s="291"/>
      <c r="E862" s="212"/>
    </row>
    <row r="863" spans="2:5" x14ac:dyDescent="0.2">
      <c r="B863" s="291"/>
      <c r="E863" s="212"/>
    </row>
    <row r="864" spans="2:5" x14ac:dyDescent="0.2">
      <c r="B864" s="291"/>
      <c r="E864" s="212"/>
    </row>
    <row r="865" spans="2:5" x14ac:dyDescent="0.2">
      <c r="B865" s="291"/>
      <c r="E865" s="212"/>
    </row>
    <row r="866" spans="2:5" x14ac:dyDescent="0.2">
      <c r="B866" s="291"/>
      <c r="E866" s="212"/>
    </row>
    <row r="867" spans="2:5" x14ac:dyDescent="0.2">
      <c r="B867" s="291"/>
      <c r="E867" s="212"/>
    </row>
    <row r="868" spans="2:5" x14ac:dyDescent="0.2">
      <c r="B868" s="291"/>
      <c r="E868" s="212"/>
    </row>
    <row r="869" spans="2:5" x14ac:dyDescent="0.2">
      <c r="B869" s="291"/>
      <c r="E869" s="212"/>
    </row>
    <row r="870" spans="2:5" x14ac:dyDescent="0.2">
      <c r="B870" s="291"/>
      <c r="E870" s="212"/>
    </row>
    <row r="871" spans="2:5" x14ac:dyDescent="0.2">
      <c r="B871" s="291"/>
      <c r="E871" s="212"/>
    </row>
    <row r="872" spans="2:5" x14ac:dyDescent="0.2">
      <c r="B872" s="291"/>
      <c r="E872" s="212"/>
    </row>
    <row r="873" spans="2:5" x14ac:dyDescent="0.2">
      <c r="B873" s="291"/>
      <c r="E873" s="212"/>
    </row>
    <row r="874" spans="2:5" x14ac:dyDescent="0.2">
      <c r="B874" s="291"/>
      <c r="E874" s="212"/>
    </row>
    <row r="875" spans="2:5" x14ac:dyDescent="0.2">
      <c r="B875" s="291"/>
      <c r="E875" s="212"/>
    </row>
    <row r="876" spans="2:5" x14ac:dyDescent="0.2">
      <c r="B876" s="291"/>
      <c r="E876" s="212"/>
    </row>
    <row r="877" spans="2:5" x14ac:dyDescent="0.2">
      <c r="B877" s="291"/>
      <c r="E877" s="212"/>
    </row>
    <row r="878" spans="2:5" x14ac:dyDescent="0.2">
      <c r="B878" s="291"/>
      <c r="E878" s="212"/>
    </row>
    <row r="879" spans="2:5" x14ac:dyDescent="0.2">
      <c r="B879" s="291"/>
      <c r="E879" s="212"/>
    </row>
    <row r="880" spans="2:5" x14ac:dyDescent="0.2">
      <c r="B880" s="291"/>
      <c r="E880" s="212"/>
    </row>
    <row r="881" spans="2:5" x14ac:dyDescent="0.2">
      <c r="B881" s="291"/>
      <c r="E881" s="212"/>
    </row>
    <row r="882" spans="2:5" x14ac:dyDescent="0.2">
      <c r="B882" s="291"/>
      <c r="E882" s="212"/>
    </row>
    <row r="883" spans="2:5" x14ac:dyDescent="0.2">
      <c r="B883" s="291"/>
      <c r="E883" s="212"/>
    </row>
    <row r="884" spans="2:5" x14ac:dyDescent="0.2">
      <c r="B884" s="291"/>
      <c r="E884" s="212"/>
    </row>
    <row r="885" spans="2:5" x14ac:dyDescent="0.2">
      <c r="B885" s="291"/>
      <c r="E885" s="212"/>
    </row>
    <row r="886" spans="2:5" x14ac:dyDescent="0.2">
      <c r="B886" s="291"/>
      <c r="E886" s="212"/>
    </row>
    <row r="887" spans="2:5" x14ac:dyDescent="0.2">
      <c r="B887" s="291"/>
      <c r="E887" s="212"/>
    </row>
    <row r="888" spans="2:5" x14ac:dyDescent="0.2">
      <c r="B888" s="291"/>
      <c r="E888" s="212"/>
    </row>
    <row r="889" spans="2:5" x14ac:dyDescent="0.2">
      <c r="B889" s="291"/>
      <c r="E889" s="212"/>
    </row>
    <row r="890" spans="2:5" x14ac:dyDescent="0.2">
      <c r="B890" s="291"/>
      <c r="E890" s="212"/>
    </row>
    <row r="891" spans="2:5" x14ac:dyDescent="0.2">
      <c r="B891" s="291"/>
      <c r="E891" s="212"/>
    </row>
    <row r="892" spans="2:5" x14ac:dyDescent="0.2">
      <c r="B892" s="291"/>
      <c r="E892" s="212"/>
    </row>
    <row r="893" spans="2:5" x14ac:dyDescent="0.2">
      <c r="B893" s="291"/>
      <c r="E893" s="212"/>
    </row>
    <row r="894" spans="2:5" x14ac:dyDescent="0.2">
      <c r="B894" s="291"/>
      <c r="E894" s="212"/>
    </row>
    <row r="895" spans="2:5" x14ac:dyDescent="0.2">
      <c r="B895" s="291"/>
      <c r="E895" s="212"/>
    </row>
    <row r="896" spans="2:5" x14ac:dyDescent="0.2">
      <c r="B896" s="291"/>
      <c r="E896" s="212"/>
    </row>
    <row r="897" spans="2:5" x14ac:dyDescent="0.2">
      <c r="B897" s="291"/>
      <c r="E897" s="212"/>
    </row>
    <row r="898" spans="2:5" x14ac:dyDescent="0.2">
      <c r="B898" s="291"/>
      <c r="E898" s="212"/>
    </row>
    <row r="899" spans="2:5" x14ac:dyDescent="0.2">
      <c r="B899" s="291"/>
      <c r="E899" s="212"/>
    </row>
    <row r="900" spans="2:5" x14ac:dyDescent="0.2">
      <c r="B900" s="291"/>
      <c r="E900" s="212"/>
    </row>
    <row r="901" spans="2:5" x14ac:dyDescent="0.2">
      <c r="B901" s="291"/>
      <c r="E901" s="212"/>
    </row>
    <row r="902" spans="2:5" x14ac:dyDescent="0.2">
      <c r="B902" s="291"/>
      <c r="E902" s="212"/>
    </row>
    <row r="903" spans="2:5" x14ac:dyDescent="0.2">
      <c r="B903" s="291"/>
      <c r="E903" s="212"/>
    </row>
    <row r="904" spans="2:5" x14ac:dyDescent="0.2">
      <c r="B904" s="291"/>
      <c r="E904" s="212"/>
    </row>
    <row r="905" spans="2:5" x14ac:dyDescent="0.2">
      <c r="B905" s="291"/>
      <c r="E905" s="212"/>
    </row>
    <row r="906" spans="2:5" x14ac:dyDescent="0.2">
      <c r="B906" s="291"/>
      <c r="E906" s="212"/>
    </row>
    <row r="907" spans="2:5" x14ac:dyDescent="0.2">
      <c r="B907" s="291"/>
      <c r="E907" s="212"/>
    </row>
    <row r="908" spans="2:5" x14ac:dyDescent="0.2">
      <c r="B908" s="291"/>
      <c r="E908" s="212"/>
    </row>
    <row r="909" spans="2:5" x14ac:dyDescent="0.2">
      <c r="B909" s="291"/>
      <c r="E909" s="212"/>
    </row>
    <row r="910" spans="2:5" x14ac:dyDescent="0.2">
      <c r="B910" s="291"/>
      <c r="E910" s="212"/>
    </row>
    <row r="911" spans="2:5" x14ac:dyDescent="0.2">
      <c r="B911" s="291"/>
      <c r="E911" s="212"/>
    </row>
    <row r="912" spans="2:5" x14ac:dyDescent="0.2">
      <c r="B912" s="291"/>
      <c r="E912" s="212"/>
    </row>
    <row r="913" spans="2:5" x14ac:dyDescent="0.2">
      <c r="B913" s="291"/>
      <c r="E913" s="212"/>
    </row>
    <row r="914" spans="2:5" x14ac:dyDescent="0.2">
      <c r="B914" s="291"/>
      <c r="E914" s="212"/>
    </row>
    <row r="915" spans="2:5" x14ac:dyDescent="0.2">
      <c r="B915" s="291"/>
      <c r="E915" s="212"/>
    </row>
    <row r="916" spans="2:5" x14ac:dyDescent="0.2">
      <c r="B916" s="291"/>
      <c r="E916" s="212"/>
    </row>
    <row r="917" spans="2:5" x14ac:dyDescent="0.2">
      <c r="B917" s="291"/>
      <c r="E917" s="212"/>
    </row>
    <row r="918" spans="2:5" x14ac:dyDescent="0.2">
      <c r="B918" s="291"/>
      <c r="E918" s="212"/>
    </row>
    <row r="919" spans="2:5" x14ac:dyDescent="0.2">
      <c r="B919" s="291"/>
      <c r="E919" s="212"/>
    </row>
    <row r="920" spans="2:5" x14ac:dyDescent="0.2">
      <c r="B920" s="291"/>
      <c r="E920" s="212"/>
    </row>
    <row r="921" spans="2:5" x14ac:dyDescent="0.2">
      <c r="B921" s="291"/>
      <c r="E921" s="212"/>
    </row>
    <row r="922" spans="2:5" x14ac:dyDescent="0.2">
      <c r="B922" s="291"/>
      <c r="E922" s="212"/>
    </row>
    <row r="923" spans="2:5" x14ac:dyDescent="0.2">
      <c r="B923" s="291"/>
      <c r="E923" s="212"/>
    </row>
    <row r="924" spans="2:5" x14ac:dyDescent="0.2">
      <c r="B924" s="291"/>
      <c r="E924" s="212"/>
    </row>
    <row r="925" spans="2:5" x14ac:dyDescent="0.2">
      <c r="B925" s="291"/>
      <c r="E925" s="212"/>
    </row>
    <row r="926" spans="2:5" x14ac:dyDescent="0.2">
      <c r="B926" s="291"/>
      <c r="E926" s="212"/>
    </row>
    <row r="927" spans="2:5" x14ac:dyDescent="0.2">
      <c r="B927" s="291"/>
      <c r="E927" s="212"/>
    </row>
    <row r="928" spans="2:5" x14ac:dyDescent="0.2">
      <c r="B928" s="291"/>
      <c r="E928" s="212"/>
    </row>
    <row r="929" spans="2:5" x14ac:dyDescent="0.2">
      <c r="B929" s="291"/>
      <c r="E929" s="212"/>
    </row>
    <row r="930" spans="2:5" x14ac:dyDescent="0.2">
      <c r="B930" s="291"/>
      <c r="E930" s="212"/>
    </row>
    <row r="931" spans="2:5" x14ac:dyDescent="0.2">
      <c r="B931" s="291"/>
      <c r="E931" s="212"/>
    </row>
    <row r="932" spans="2:5" x14ac:dyDescent="0.2">
      <c r="B932" s="291"/>
      <c r="E932" s="212"/>
    </row>
    <row r="933" spans="2:5" x14ac:dyDescent="0.2">
      <c r="B933" s="291"/>
      <c r="E933" s="212"/>
    </row>
    <row r="934" spans="2:5" x14ac:dyDescent="0.2">
      <c r="B934" s="291"/>
      <c r="E934" s="212"/>
    </row>
    <row r="935" spans="2:5" x14ac:dyDescent="0.2">
      <c r="B935" s="291"/>
      <c r="E935" s="212"/>
    </row>
    <row r="936" spans="2:5" x14ac:dyDescent="0.2">
      <c r="B936" s="291"/>
      <c r="E936" s="212"/>
    </row>
    <row r="937" spans="2:5" x14ac:dyDescent="0.2">
      <c r="B937" s="291"/>
      <c r="E937" s="212"/>
    </row>
    <row r="938" spans="2:5" x14ac:dyDescent="0.2">
      <c r="B938" s="291"/>
      <c r="E938" s="212"/>
    </row>
    <row r="939" spans="2:5" x14ac:dyDescent="0.2">
      <c r="B939" s="291"/>
      <c r="E939" s="212"/>
    </row>
    <row r="940" spans="2:5" x14ac:dyDescent="0.2">
      <c r="B940" s="291"/>
      <c r="E940" s="212"/>
    </row>
    <row r="941" spans="2:5" x14ac:dyDescent="0.2">
      <c r="B941" s="291"/>
      <c r="E941" s="212"/>
    </row>
    <row r="942" spans="2:5" x14ac:dyDescent="0.2">
      <c r="B942" s="291"/>
      <c r="E942" s="212"/>
    </row>
    <row r="943" spans="2:5" x14ac:dyDescent="0.2">
      <c r="B943" s="291"/>
      <c r="E943" s="212"/>
    </row>
    <row r="944" spans="2:5" x14ac:dyDescent="0.2">
      <c r="B944" s="291"/>
      <c r="E944" s="212"/>
    </row>
    <row r="945" spans="2:5" x14ac:dyDescent="0.2">
      <c r="B945" s="291"/>
      <c r="E945" s="212"/>
    </row>
    <row r="946" spans="2:5" x14ac:dyDescent="0.2">
      <c r="B946" s="291"/>
      <c r="E946" s="212"/>
    </row>
    <row r="947" spans="2:5" x14ac:dyDescent="0.2">
      <c r="B947" s="291"/>
      <c r="E947" s="212"/>
    </row>
    <row r="948" spans="2:5" x14ac:dyDescent="0.2">
      <c r="B948" s="291"/>
      <c r="E948" s="212"/>
    </row>
    <row r="949" spans="2:5" x14ac:dyDescent="0.2">
      <c r="B949" s="291"/>
      <c r="E949" s="212"/>
    </row>
    <row r="950" spans="2:5" x14ac:dyDescent="0.2">
      <c r="B950" s="291"/>
      <c r="E950" s="212"/>
    </row>
    <row r="951" spans="2:5" x14ac:dyDescent="0.2">
      <c r="B951" s="291"/>
      <c r="E951" s="212"/>
    </row>
    <row r="952" spans="2:5" x14ac:dyDescent="0.2">
      <c r="B952" s="291"/>
      <c r="E952" s="212"/>
    </row>
    <row r="953" spans="2:5" x14ac:dyDescent="0.2">
      <c r="B953" s="291"/>
      <c r="E953" s="212"/>
    </row>
    <row r="954" spans="2:5" x14ac:dyDescent="0.2">
      <c r="B954" s="291"/>
      <c r="E954" s="212"/>
    </row>
    <row r="955" spans="2:5" x14ac:dyDescent="0.2">
      <c r="B955" s="291"/>
      <c r="E955" s="212"/>
    </row>
    <row r="956" spans="2:5" x14ac:dyDescent="0.2">
      <c r="B956" s="291"/>
      <c r="E956" s="212"/>
    </row>
    <row r="957" spans="2:5" x14ac:dyDescent="0.2">
      <c r="B957" s="291"/>
      <c r="E957" s="212"/>
    </row>
    <row r="958" spans="2:5" x14ac:dyDescent="0.2">
      <c r="B958" s="291"/>
      <c r="E958" s="212"/>
    </row>
    <row r="959" spans="2:5" x14ac:dyDescent="0.2">
      <c r="B959" s="291"/>
      <c r="E959" s="212"/>
    </row>
    <row r="960" spans="2:5" x14ac:dyDescent="0.2">
      <c r="B960" s="291"/>
      <c r="E960" s="212"/>
    </row>
    <row r="961" spans="2:5" x14ac:dyDescent="0.2">
      <c r="B961" s="291"/>
      <c r="E961" s="212"/>
    </row>
    <row r="962" spans="2:5" x14ac:dyDescent="0.2">
      <c r="B962" s="291"/>
      <c r="E962" s="212"/>
    </row>
    <row r="963" spans="2:5" x14ac:dyDescent="0.2">
      <c r="B963" s="291"/>
      <c r="E963" s="212"/>
    </row>
    <row r="964" spans="2:5" x14ac:dyDescent="0.2">
      <c r="B964" s="291"/>
      <c r="E964" s="212"/>
    </row>
    <row r="965" spans="2:5" x14ac:dyDescent="0.2">
      <c r="B965" s="291"/>
      <c r="E965" s="212"/>
    </row>
    <row r="966" spans="2:5" x14ac:dyDescent="0.2">
      <c r="B966" s="291"/>
      <c r="E966" s="212"/>
    </row>
    <row r="967" spans="2:5" x14ac:dyDescent="0.2">
      <c r="B967" s="291"/>
      <c r="E967" s="212"/>
    </row>
    <row r="968" spans="2:5" x14ac:dyDescent="0.2">
      <c r="B968" s="291"/>
      <c r="E968" s="212"/>
    </row>
    <row r="969" spans="2:5" x14ac:dyDescent="0.2">
      <c r="B969" s="291"/>
      <c r="E969" s="212"/>
    </row>
    <row r="970" spans="2:5" x14ac:dyDescent="0.2">
      <c r="B970" s="291"/>
      <c r="E970" s="212"/>
    </row>
    <row r="971" spans="2:5" x14ac:dyDescent="0.2">
      <c r="B971" s="291"/>
      <c r="E971" s="212"/>
    </row>
    <row r="972" spans="2:5" x14ac:dyDescent="0.2">
      <c r="B972" s="291"/>
      <c r="E972" s="212"/>
    </row>
    <row r="973" spans="2:5" x14ac:dyDescent="0.2">
      <c r="B973" s="291"/>
      <c r="E973" s="212"/>
    </row>
    <row r="974" spans="2:5" x14ac:dyDescent="0.2">
      <c r="B974" s="291"/>
      <c r="E974" s="212"/>
    </row>
    <row r="975" spans="2:5" x14ac:dyDescent="0.2">
      <c r="B975" s="291"/>
      <c r="E975" s="212"/>
    </row>
    <row r="976" spans="2:5" x14ac:dyDescent="0.2">
      <c r="B976" s="291"/>
      <c r="E976" s="212"/>
    </row>
    <row r="977" spans="2:5" x14ac:dyDescent="0.2">
      <c r="B977" s="291"/>
      <c r="E977" s="212"/>
    </row>
    <row r="978" spans="2:5" x14ac:dyDescent="0.2">
      <c r="B978" s="291"/>
      <c r="E978" s="212"/>
    </row>
    <row r="979" spans="2:5" x14ac:dyDescent="0.2">
      <c r="B979" s="291"/>
      <c r="E979" s="212"/>
    </row>
    <row r="980" spans="2:5" x14ac:dyDescent="0.2">
      <c r="B980" s="291"/>
      <c r="E980" s="212"/>
    </row>
    <row r="981" spans="2:5" x14ac:dyDescent="0.2">
      <c r="B981" s="291"/>
      <c r="E981" s="212"/>
    </row>
    <row r="982" spans="2:5" x14ac:dyDescent="0.2">
      <c r="B982" s="291"/>
      <c r="E982" s="212"/>
    </row>
    <row r="983" spans="2:5" x14ac:dyDescent="0.2">
      <c r="B983" s="291"/>
      <c r="E983" s="212"/>
    </row>
    <row r="984" spans="2:5" x14ac:dyDescent="0.2">
      <c r="B984" s="291"/>
      <c r="E984" s="212"/>
    </row>
    <row r="985" spans="2:5" x14ac:dyDescent="0.2">
      <c r="B985" s="291"/>
      <c r="E985" s="212"/>
    </row>
    <row r="986" spans="2:5" x14ac:dyDescent="0.2">
      <c r="B986" s="291"/>
      <c r="E986" s="212"/>
    </row>
    <row r="987" spans="2:5" x14ac:dyDescent="0.2">
      <c r="B987" s="291"/>
      <c r="E987" s="212"/>
    </row>
    <row r="988" spans="2:5" x14ac:dyDescent="0.2">
      <c r="B988" s="291"/>
      <c r="E988" s="212"/>
    </row>
    <row r="989" spans="2:5" x14ac:dyDescent="0.2">
      <c r="B989" s="291"/>
      <c r="E989" s="212"/>
    </row>
    <row r="990" spans="2:5" x14ac:dyDescent="0.2">
      <c r="B990" s="291"/>
      <c r="E990" s="212"/>
    </row>
    <row r="991" spans="2:5" x14ac:dyDescent="0.2">
      <c r="B991" s="291"/>
      <c r="E991" s="212"/>
    </row>
    <row r="992" spans="2:5" x14ac:dyDescent="0.2">
      <c r="B992" s="291"/>
      <c r="E992" s="212"/>
    </row>
    <row r="993" spans="2:5" x14ac:dyDescent="0.2">
      <c r="B993" s="291"/>
      <c r="E993" s="212"/>
    </row>
    <row r="994" spans="2:5" x14ac:dyDescent="0.2">
      <c r="B994" s="291"/>
      <c r="E994" s="212"/>
    </row>
    <row r="995" spans="2:5" x14ac:dyDescent="0.2">
      <c r="B995" s="291"/>
      <c r="E995" s="212"/>
    </row>
    <row r="996" spans="2:5" x14ac:dyDescent="0.2">
      <c r="B996" s="291"/>
      <c r="E996" s="212"/>
    </row>
    <row r="997" spans="2:5" x14ac:dyDescent="0.2">
      <c r="B997" s="291"/>
      <c r="E997" s="212"/>
    </row>
    <row r="998" spans="2:5" x14ac:dyDescent="0.2">
      <c r="B998" s="291"/>
      <c r="E998" s="212"/>
    </row>
    <row r="999" spans="2:5" x14ac:dyDescent="0.2">
      <c r="B999" s="291"/>
      <c r="E999" s="212"/>
    </row>
    <row r="1000" spans="2:5" x14ac:dyDescent="0.2">
      <c r="B1000" s="291"/>
      <c r="E1000" s="212"/>
    </row>
    <row r="1001" spans="2:5" x14ac:dyDescent="0.2">
      <c r="B1001" s="291"/>
      <c r="E1001" s="212"/>
    </row>
    <row r="1002" spans="2:5" x14ac:dyDescent="0.2">
      <c r="B1002" s="291"/>
      <c r="E1002" s="212"/>
    </row>
    <row r="1003" spans="2:5" x14ac:dyDescent="0.2">
      <c r="B1003" s="291"/>
      <c r="E1003" s="212"/>
    </row>
    <row r="1004" spans="2:5" x14ac:dyDescent="0.2">
      <c r="B1004" s="291"/>
      <c r="E1004" s="212"/>
    </row>
    <row r="1005" spans="2:5" x14ac:dyDescent="0.2">
      <c r="B1005" s="291"/>
      <c r="E1005" s="212"/>
    </row>
    <row r="1006" spans="2:5" x14ac:dyDescent="0.2">
      <c r="B1006" s="291"/>
      <c r="E1006" s="212"/>
    </row>
    <row r="1007" spans="2:5" x14ac:dyDescent="0.2">
      <c r="B1007" s="291"/>
      <c r="E1007" s="212"/>
    </row>
    <row r="1008" spans="2:5" x14ac:dyDescent="0.2">
      <c r="B1008" s="291"/>
      <c r="E1008" s="212"/>
    </row>
    <row r="1009" spans="2:5" x14ac:dyDescent="0.2">
      <c r="B1009" s="291"/>
      <c r="E1009" s="212"/>
    </row>
    <row r="1010" spans="2:5" x14ac:dyDescent="0.2">
      <c r="B1010" s="291"/>
      <c r="E1010" s="212"/>
    </row>
    <row r="1011" spans="2:5" x14ac:dyDescent="0.2">
      <c r="B1011" s="291"/>
      <c r="E1011" s="212"/>
    </row>
    <row r="1012" spans="2:5" x14ac:dyDescent="0.2">
      <c r="B1012" s="291"/>
      <c r="E1012" s="212"/>
    </row>
    <row r="1013" spans="2:5" x14ac:dyDescent="0.2">
      <c r="B1013" s="291"/>
      <c r="E1013" s="212"/>
    </row>
    <row r="1014" spans="2:5" x14ac:dyDescent="0.2">
      <c r="B1014" s="291"/>
      <c r="E1014" s="212"/>
    </row>
    <row r="1015" spans="2:5" x14ac:dyDescent="0.2">
      <c r="B1015" s="291"/>
      <c r="E1015" s="212"/>
    </row>
    <row r="1016" spans="2:5" x14ac:dyDescent="0.2">
      <c r="B1016" s="291"/>
      <c r="E1016" s="212"/>
    </row>
    <row r="1017" spans="2:5" x14ac:dyDescent="0.2">
      <c r="B1017" s="291"/>
      <c r="E1017" s="212"/>
    </row>
    <row r="1018" spans="2:5" x14ac:dyDescent="0.2">
      <c r="B1018" s="291"/>
      <c r="E1018" s="212"/>
    </row>
    <row r="1019" spans="2:5" x14ac:dyDescent="0.2">
      <c r="B1019" s="291"/>
      <c r="E1019" s="212"/>
    </row>
    <row r="1020" spans="2:5" x14ac:dyDescent="0.2">
      <c r="B1020" s="291"/>
      <c r="E1020" s="212"/>
    </row>
    <row r="1021" spans="2:5" x14ac:dyDescent="0.2">
      <c r="B1021" s="291"/>
      <c r="E1021" s="212"/>
    </row>
    <row r="1022" spans="2:5" x14ac:dyDescent="0.2">
      <c r="B1022" s="291"/>
      <c r="E1022" s="212"/>
    </row>
    <row r="1023" spans="2:5" x14ac:dyDescent="0.2">
      <c r="B1023" s="291"/>
      <c r="E1023" s="212"/>
    </row>
    <row r="1024" spans="2:5" x14ac:dyDescent="0.2">
      <c r="B1024" s="291"/>
      <c r="E1024" s="212"/>
    </row>
    <row r="1025" spans="2:5" x14ac:dyDescent="0.2">
      <c r="B1025" s="291"/>
      <c r="E1025" s="212"/>
    </row>
    <row r="1026" spans="2:5" x14ac:dyDescent="0.2">
      <c r="B1026" s="291"/>
      <c r="E1026" s="212"/>
    </row>
    <row r="1027" spans="2:5" x14ac:dyDescent="0.2">
      <c r="B1027" s="291"/>
      <c r="E1027" s="212"/>
    </row>
    <row r="1028" spans="2:5" x14ac:dyDescent="0.2">
      <c r="B1028" s="291"/>
      <c r="E1028" s="212"/>
    </row>
    <row r="1029" spans="2:5" x14ac:dyDescent="0.2">
      <c r="B1029" s="291"/>
      <c r="E1029" s="212"/>
    </row>
    <row r="1030" spans="2:5" x14ac:dyDescent="0.2">
      <c r="B1030" s="291"/>
      <c r="E1030" s="212"/>
    </row>
    <row r="1031" spans="2:5" x14ac:dyDescent="0.2">
      <c r="B1031" s="291"/>
      <c r="E1031" s="212"/>
    </row>
    <row r="1032" spans="2:5" x14ac:dyDescent="0.2">
      <c r="B1032" s="291"/>
      <c r="E1032" s="212"/>
    </row>
    <row r="1033" spans="2:5" x14ac:dyDescent="0.2">
      <c r="B1033" s="291"/>
      <c r="E1033" s="212"/>
    </row>
    <row r="1034" spans="2:5" x14ac:dyDescent="0.2">
      <c r="B1034" s="291"/>
      <c r="E1034" s="212"/>
    </row>
    <row r="1035" spans="2:5" x14ac:dyDescent="0.2">
      <c r="B1035" s="291"/>
      <c r="E1035" s="212"/>
    </row>
    <row r="1036" spans="2:5" x14ac:dyDescent="0.2">
      <c r="B1036" s="291"/>
      <c r="E1036" s="212"/>
    </row>
    <row r="1037" spans="2:5" x14ac:dyDescent="0.2">
      <c r="B1037" s="291"/>
      <c r="E1037" s="212"/>
    </row>
    <row r="1038" spans="2:5" x14ac:dyDescent="0.2">
      <c r="B1038" s="291"/>
      <c r="E1038" s="212"/>
    </row>
    <row r="1039" spans="2:5" x14ac:dyDescent="0.2">
      <c r="B1039" s="291"/>
      <c r="E1039" s="212"/>
    </row>
    <row r="1040" spans="2:5" x14ac:dyDescent="0.2">
      <c r="B1040" s="291"/>
      <c r="E1040" s="212"/>
    </row>
    <row r="1041" spans="2:5" x14ac:dyDescent="0.2">
      <c r="B1041" s="291"/>
      <c r="E1041" s="212"/>
    </row>
    <row r="1042" spans="2:5" x14ac:dyDescent="0.2">
      <c r="B1042" s="291"/>
      <c r="E1042" s="212"/>
    </row>
    <row r="1043" spans="2:5" x14ac:dyDescent="0.2">
      <c r="B1043" s="291"/>
      <c r="E1043" s="212"/>
    </row>
    <row r="1044" spans="2:5" x14ac:dyDescent="0.2">
      <c r="B1044" s="291"/>
      <c r="E1044" s="212"/>
    </row>
    <row r="1045" spans="2:5" x14ac:dyDescent="0.2">
      <c r="B1045" s="291"/>
      <c r="E1045" s="212"/>
    </row>
    <row r="1046" spans="2:5" x14ac:dyDescent="0.2">
      <c r="B1046" s="291"/>
      <c r="E1046" s="212"/>
    </row>
    <row r="1047" spans="2:5" x14ac:dyDescent="0.2">
      <c r="B1047" s="291"/>
      <c r="E1047" s="212"/>
    </row>
    <row r="1048" spans="2:5" x14ac:dyDescent="0.2">
      <c r="B1048" s="291"/>
      <c r="E1048" s="212"/>
    </row>
    <row r="1049" spans="2:5" x14ac:dyDescent="0.2">
      <c r="B1049" s="291"/>
      <c r="E1049" s="212"/>
    </row>
    <row r="1050" spans="2:5" x14ac:dyDescent="0.2">
      <c r="B1050" s="291"/>
      <c r="E1050" s="212"/>
    </row>
    <row r="1051" spans="2:5" x14ac:dyDescent="0.2">
      <c r="B1051" s="291"/>
      <c r="E1051" s="212"/>
    </row>
    <row r="1052" spans="2:5" x14ac:dyDescent="0.2">
      <c r="B1052" s="291"/>
      <c r="E1052" s="212"/>
    </row>
    <row r="1053" spans="2:5" x14ac:dyDescent="0.2">
      <c r="B1053" s="291"/>
      <c r="E1053" s="212"/>
    </row>
    <row r="1054" spans="2:5" x14ac:dyDescent="0.2">
      <c r="B1054" s="291"/>
      <c r="E1054" s="212"/>
    </row>
    <row r="1055" spans="2:5" x14ac:dyDescent="0.2">
      <c r="B1055" s="291"/>
      <c r="E1055" s="212"/>
    </row>
    <row r="1056" spans="2:5" x14ac:dyDescent="0.2">
      <c r="B1056" s="291"/>
      <c r="E1056" s="212"/>
    </row>
    <row r="1057" spans="2:5" x14ac:dyDescent="0.2">
      <c r="B1057" s="291"/>
      <c r="E1057" s="212"/>
    </row>
    <row r="1058" spans="2:5" x14ac:dyDescent="0.2">
      <c r="B1058" s="291"/>
      <c r="E1058" s="212"/>
    </row>
    <row r="1059" spans="2:5" x14ac:dyDescent="0.2">
      <c r="B1059" s="291"/>
      <c r="E1059" s="212"/>
    </row>
    <row r="1060" spans="2:5" x14ac:dyDescent="0.2">
      <c r="B1060" s="291"/>
      <c r="E1060" s="212"/>
    </row>
    <row r="1061" spans="2:5" x14ac:dyDescent="0.2">
      <c r="B1061" s="291"/>
      <c r="E1061" s="212"/>
    </row>
    <row r="1062" spans="2:5" x14ac:dyDescent="0.2">
      <c r="B1062" s="291"/>
      <c r="E1062" s="212"/>
    </row>
    <row r="1063" spans="2:5" x14ac:dyDescent="0.2">
      <c r="B1063" s="291"/>
      <c r="E1063" s="212"/>
    </row>
    <row r="1064" spans="2:5" x14ac:dyDescent="0.2">
      <c r="B1064" s="291"/>
      <c r="E1064" s="212"/>
    </row>
    <row r="1065" spans="2:5" x14ac:dyDescent="0.2">
      <c r="B1065" s="291"/>
      <c r="E1065" s="212"/>
    </row>
    <row r="1066" spans="2:5" x14ac:dyDescent="0.2">
      <c r="B1066" s="291"/>
      <c r="E1066" s="212"/>
    </row>
    <row r="1067" spans="2:5" x14ac:dyDescent="0.2">
      <c r="B1067" s="291"/>
      <c r="E1067" s="212"/>
    </row>
    <row r="1068" spans="2:5" x14ac:dyDescent="0.2">
      <c r="B1068" s="291"/>
      <c r="E1068" s="212"/>
    </row>
    <row r="1069" spans="2:5" x14ac:dyDescent="0.2">
      <c r="B1069" s="291"/>
      <c r="E1069" s="212"/>
    </row>
    <row r="1070" spans="2:5" x14ac:dyDescent="0.2">
      <c r="B1070" s="291"/>
      <c r="E1070" s="212"/>
    </row>
    <row r="1071" spans="2:5" x14ac:dyDescent="0.2">
      <c r="B1071" s="291"/>
      <c r="E1071" s="212"/>
    </row>
    <row r="1072" spans="2:5" x14ac:dyDescent="0.2">
      <c r="B1072" s="291"/>
      <c r="E1072" s="212"/>
    </row>
    <row r="1073" spans="2:5" x14ac:dyDescent="0.2">
      <c r="B1073" s="291"/>
      <c r="E1073" s="212"/>
    </row>
    <row r="1074" spans="2:5" x14ac:dyDescent="0.2">
      <c r="B1074" s="291"/>
      <c r="E1074" s="212"/>
    </row>
    <row r="1075" spans="2:5" x14ac:dyDescent="0.2">
      <c r="B1075" s="291"/>
      <c r="E1075" s="212"/>
    </row>
    <row r="1076" spans="2:5" x14ac:dyDescent="0.2">
      <c r="B1076" s="291"/>
      <c r="E1076" s="212"/>
    </row>
    <row r="1077" spans="2:5" x14ac:dyDescent="0.2">
      <c r="B1077" s="291"/>
      <c r="E1077" s="212"/>
    </row>
    <row r="1078" spans="2:5" x14ac:dyDescent="0.2">
      <c r="B1078" s="291"/>
      <c r="E1078" s="212"/>
    </row>
    <row r="1079" spans="2:5" x14ac:dyDescent="0.2">
      <c r="B1079" s="291"/>
      <c r="E1079" s="212"/>
    </row>
    <row r="1080" spans="2:5" x14ac:dyDescent="0.2">
      <c r="B1080" s="291"/>
      <c r="E1080" s="212"/>
    </row>
    <row r="1081" spans="2:5" x14ac:dyDescent="0.2">
      <c r="B1081" s="291"/>
      <c r="E1081" s="212"/>
    </row>
    <row r="1082" spans="2:5" x14ac:dyDescent="0.2">
      <c r="B1082" s="291"/>
      <c r="E1082" s="212"/>
    </row>
    <row r="1083" spans="2:5" x14ac:dyDescent="0.2">
      <c r="B1083" s="291"/>
      <c r="E1083" s="212"/>
    </row>
    <row r="1084" spans="2:5" x14ac:dyDescent="0.2">
      <c r="B1084" s="291"/>
      <c r="E1084" s="212"/>
    </row>
    <row r="1085" spans="2:5" x14ac:dyDescent="0.2">
      <c r="B1085" s="291"/>
      <c r="E1085" s="212"/>
    </row>
    <row r="1086" spans="2:5" x14ac:dyDescent="0.2">
      <c r="B1086" s="291"/>
      <c r="E1086" s="212"/>
    </row>
    <row r="1087" spans="2:5" x14ac:dyDescent="0.2">
      <c r="B1087" s="291"/>
      <c r="E1087" s="212"/>
    </row>
    <row r="1088" spans="2:5" x14ac:dyDescent="0.2">
      <c r="B1088" s="291"/>
      <c r="E1088" s="212"/>
    </row>
    <row r="1089" spans="2:5" x14ac:dyDescent="0.2">
      <c r="B1089" s="291"/>
      <c r="E1089" s="212"/>
    </row>
    <row r="1090" spans="2:5" x14ac:dyDescent="0.2">
      <c r="B1090" s="291"/>
      <c r="E1090" s="212"/>
    </row>
    <row r="1091" spans="2:5" x14ac:dyDescent="0.2">
      <c r="B1091" s="291"/>
      <c r="E1091" s="212"/>
    </row>
    <row r="1092" spans="2:5" x14ac:dyDescent="0.2">
      <c r="B1092" s="291"/>
      <c r="E1092" s="212"/>
    </row>
    <row r="1093" spans="2:5" x14ac:dyDescent="0.2">
      <c r="B1093" s="291"/>
      <c r="E1093" s="212"/>
    </row>
    <row r="1094" spans="2:5" x14ac:dyDescent="0.2">
      <c r="B1094" s="291"/>
      <c r="E1094" s="212"/>
    </row>
    <row r="1095" spans="2:5" x14ac:dyDescent="0.2">
      <c r="B1095" s="291"/>
      <c r="E1095" s="212"/>
    </row>
    <row r="1096" spans="2:5" x14ac:dyDescent="0.2">
      <c r="B1096" s="291"/>
      <c r="E1096" s="212"/>
    </row>
    <row r="1097" spans="2:5" x14ac:dyDescent="0.2">
      <c r="B1097" s="291"/>
      <c r="E1097" s="212"/>
    </row>
    <row r="1098" spans="2:5" x14ac:dyDescent="0.2">
      <c r="B1098" s="291"/>
      <c r="E1098" s="212"/>
    </row>
    <row r="1099" spans="2:5" x14ac:dyDescent="0.2">
      <c r="B1099" s="291"/>
      <c r="E1099" s="212"/>
    </row>
    <row r="1100" spans="2:5" x14ac:dyDescent="0.2">
      <c r="B1100" s="291"/>
      <c r="E1100" s="212"/>
    </row>
    <row r="1101" spans="2:5" x14ac:dyDescent="0.2">
      <c r="B1101" s="291"/>
      <c r="E1101" s="212"/>
    </row>
    <row r="1102" spans="2:5" x14ac:dyDescent="0.2">
      <c r="B1102" s="291"/>
      <c r="E1102" s="212"/>
    </row>
    <row r="1103" spans="2:5" x14ac:dyDescent="0.2">
      <c r="B1103" s="291"/>
      <c r="E1103" s="212"/>
    </row>
    <row r="1104" spans="2:5" x14ac:dyDescent="0.2">
      <c r="B1104" s="291"/>
      <c r="E1104" s="212"/>
    </row>
    <row r="1105" spans="2:5" x14ac:dyDescent="0.2">
      <c r="B1105" s="291"/>
      <c r="E1105" s="212"/>
    </row>
    <row r="1106" spans="2:5" x14ac:dyDescent="0.2">
      <c r="B1106" s="291"/>
      <c r="E1106" s="212"/>
    </row>
    <row r="1107" spans="2:5" x14ac:dyDescent="0.2">
      <c r="B1107" s="291"/>
      <c r="E1107" s="212"/>
    </row>
    <row r="1108" spans="2:5" x14ac:dyDescent="0.2">
      <c r="B1108" s="291"/>
      <c r="E1108" s="212"/>
    </row>
    <row r="1109" spans="2:5" x14ac:dyDescent="0.2">
      <c r="B1109" s="291"/>
      <c r="E1109" s="212"/>
    </row>
    <row r="1110" spans="2:5" x14ac:dyDescent="0.2">
      <c r="B1110" s="291"/>
      <c r="E1110" s="212"/>
    </row>
    <row r="1111" spans="2:5" x14ac:dyDescent="0.2">
      <c r="B1111" s="291"/>
      <c r="E1111" s="212"/>
    </row>
    <row r="1112" spans="2:5" x14ac:dyDescent="0.2">
      <c r="B1112" s="291"/>
      <c r="E1112" s="212"/>
    </row>
    <row r="1113" spans="2:5" x14ac:dyDescent="0.2">
      <c r="B1113" s="291"/>
      <c r="E1113" s="212"/>
    </row>
    <row r="1114" spans="2:5" x14ac:dyDescent="0.2">
      <c r="B1114" s="291"/>
      <c r="E1114" s="212"/>
    </row>
    <row r="1115" spans="2:5" x14ac:dyDescent="0.2">
      <c r="B1115" s="291"/>
      <c r="E1115" s="212"/>
    </row>
    <row r="1116" spans="2:5" x14ac:dyDescent="0.2">
      <c r="B1116" s="291"/>
      <c r="E1116" s="212"/>
    </row>
    <row r="1117" spans="2:5" x14ac:dyDescent="0.2">
      <c r="B1117" s="291"/>
      <c r="E1117" s="212"/>
    </row>
    <row r="1118" spans="2:5" x14ac:dyDescent="0.2">
      <c r="B1118" s="291"/>
      <c r="E1118" s="212"/>
    </row>
    <row r="1119" spans="2:5" x14ac:dyDescent="0.2">
      <c r="B1119" s="291"/>
      <c r="E1119" s="212"/>
    </row>
    <row r="1120" spans="2:5" x14ac:dyDescent="0.2">
      <c r="B1120" s="291"/>
      <c r="E1120" s="212"/>
    </row>
    <row r="1121" spans="2:5" x14ac:dyDescent="0.2">
      <c r="B1121" s="291"/>
      <c r="E1121" s="212"/>
    </row>
    <row r="1122" spans="2:5" x14ac:dyDescent="0.2">
      <c r="B1122" s="291"/>
      <c r="E1122" s="212"/>
    </row>
    <row r="1123" spans="2:5" x14ac:dyDescent="0.2">
      <c r="B1123" s="291"/>
      <c r="E1123" s="212"/>
    </row>
    <row r="1124" spans="2:5" x14ac:dyDescent="0.2">
      <c r="B1124" s="291"/>
      <c r="E1124" s="212"/>
    </row>
    <row r="1125" spans="2:5" x14ac:dyDescent="0.2">
      <c r="B1125" s="291"/>
      <c r="E1125" s="212"/>
    </row>
    <row r="1126" spans="2:5" x14ac:dyDescent="0.2">
      <c r="B1126" s="291"/>
      <c r="E1126" s="212"/>
    </row>
    <row r="1127" spans="2:5" x14ac:dyDescent="0.2">
      <c r="B1127" s="291"/>
      <c r="E1127" s="212"/>
    </row>
    <row r="1128" spans="2:5" x14ac:dyDescent="0.2">
      <c r="B1128" s="291"/>
      <c r="E1128" s="212"/>
    </row>
    <row r="1129" spans="2:5" x14ac:dyDescent="0.2">
      <c r="B1129" s="291"/>
      <c r="E1129" s="212"/>
    </row>
    <row r="1130" spans="2:5" x14ac:dyDescent="0.2">
      <c r="B1130" s="291"/>
      <c r="E1130" s="212"/>
    </row>
    <row r="1131" spans="2:5" x14ac:dyDescent="0.2">
      <c r="B1131" s="291"/>
      <c r="E1131" s="212"/>
    </row>
    <row r="1132" spans="2:5" x14ac:dyDescent="0.2">
      <c r="B1132" s="291"/>
      <c r="E1132" s="212"/>
    </row>
    <row r="1133" spans="2:5" x14ac:dyDescent="0.2">
      <c r="B1133" s="291"/>
      <c r="E1133" s="212"/>
    </row>
    <row r="1134" spans="2:5" x14ac:dyDescent="0.2">
      <c r="B1134" s="291"/>
      <c r="E1134" s="212"/>
    </row>
    <row r="1135" spans="2:5" x14ac:dyDescent="0.2">
      <c r="B1135" s="291"/>
      <c r="E1135" s="212"/>
    </row>
    <row r="1136" spans="2:5" x14ac:dyDescent="0.2">
      <c r="B1136" s="291"/>
      <c r="E1136" s="212"/>
    </row>
    <row r="1137" spans="2:5" x14ac:dyDescent="0.2">
      <c r="B1137" s="291"/>
      <c r="E1137" s="212"/>
    </row>
    <row r="1138" spans="2:5" x14ac:dyDescent="0.2">
      <c r="B1138" s="291"/>
      <c r="E1138" s="212"/>
    </row>
    <row r="1139" spans="2:5" x14ac:dyDescent="0.2">
      <c r="B1139" s="291"/>
      <c r="E1139" s="212"/>
    </row>
    <row r="1140" spans="2:5" x14ac:dyDescent="0.2">
      <c r="B1140" s="291"/>
      <c r="E1140" s="212"/>
    </row>
    <row r="1141" spans="2:5" x14ac:dyDescent="0.2">
      <c r="B1141" s="291"/>
      <c r="E1141" s="212"/>
    </row>
    <row r="1142" spans="2:5" x14ac:dyDescent="0.2">
      <c r="B1142" s="291"/>
      <c r="E1142" s="212"/>
    </row>
    <row r="1143" spans="2:5" x14ac:dyDescent="0.2">
      <c r="B1143" s="291"/>
      <c r="E1143" s="212"/>
    </row>
    <row r="1144" spans="2:5" x14ac:dyDescent="0.2">
      <c r="B1144" s="291"/>
      <c r="E1144" s="212"/>
    </row>
    <row r="1145" spans="2:5" x14ac:dyDescent="0.2">
      <c r="B1145" s="291"/>
      <c r="E1145" s="212"/>
    </row>
    <row r="1146" spans="2:5" x14ac:dyDescent="0.2">
      <c r="B1146" s="291"/>
      <c r="E1146" s="212"/>
    </row>
    <row r="1147" spans="2:5" x14ac:dyDescent="0.2">
      <c r="B1147" s="291"/>
      <c r="E1147" s="212"/>
    </row>
    <row r="1148" spans="2:5" x14ac:dyDescent="0.2">
      <c r="B1148" s="291"/>
      <c r="E1148" s="212"/>
    </row>
    <row r="1149" spans="2:5" x14ac:dyDescent="0.2">
      <c r="B1149" s="291"/>
      <c r="E1149" s="212"/>
    </row>
    <row r="1150" spans="2:5" x14ac:dyDescent="0.2">
      <c r="B1150" s="291"/>
      <c r="E1150" s="212"/>
    </row>
    <row r="1151" spans="2:5" x14ac:dyDescent="0.2">
      <c r="B1151" s="291"/>
      <c r="E1151" s="212"/>
    </row>
    <row r="1152" spans="2:5" x14ac:dyDescent="0.2">
      <c r="B1152" s="291"/>
      <c r="E1152" s="212"/>
    </row>
    <row r="1153" spans="2:5" x14ac:dyDescent="0.2">
      <c r="B1153" s="291"/>
      <c r="E1153" s="212"/>
    </row>
    <row r="1154" spans="2:5" x14ac:dyDescent="0.2">
      <c r="B1154" s="291"/>
      <c r="E1154" s="212"/>
    </row>
    <row r="1155" spans="2:5" x14ac:dyDescent="0.2">
      <c r="B1155" s="291"/>
      <c r="E1155" s="212"/>
    </row>
    <row r="1156" spans="2:5" x14ac:dyDescent="0.2">
      <c r="B1156" s="291"/>
      <c r="E1156" s="212"/>
    </row>
    <row r="1157" spans="2:5" x14ac:dyDescent="0.2">
      <c r="B1157" s="291"/>
      <c r="E1157" s="212"/>
    </row>
    <row r="1158" spans="2:5" x14ac:dyDescent="0.2">
      <c r="B1158" s="291"/>
      <c r="E1158" s="212"/>
    </row>
    <row r="1159" spans="2:5" x14ac:dyDescent="0.2">
      <c r="B1159" s="291"/>
      <c r="E1159" s="212"/>
    </row>
    <row r="1160" spans="2:5" x14ac:dyDescent="0.2">
      <c r="B1160" s="291"/>
      <c r="E1160" s="212"/>
    </row>
    <row r="1161" spans="2:5" x14ac:dyDescent="0.2">
      <c r="B1161" s="291"/>
      <c r="E1161" s="212"/>
    </row>
    <row r="1162" spans="2:5" x14ac:dyDescent="0.2">
      <c r="B1162" s="291"/>
      <c r="E1162" s="212"/>
    </row>
    <row r="1163" spans="2:5" x14ac:dyDescent="0.2">
      <c r="B1163" s="291"/>
      <c r="E1163" s="212"/>
    </row>
    <row r="1164" spans="2:5" x14ac:dyDescent="0.2">
      <c r="B1164" s="291"/>
      <c r="E1164" s="212"/>
    </row>
    <row r="1165" spans="2:5" x14ac:dyDescent="0.2">
      <c r="B1165" s="291"/>
      <c r="E1165" s="212"/>
    </row>
    <row r="1166" spans="2:5" x14ac:dyDescent="0.2">
      <c r="B1166" s="291"/>
      <c r="E1166" s="212"/>
    </row>
    <row r="1167" spans="2:5" x14ac:dyDescent="0.2">
      <c r="B1167" s="291"/>
      <c r="E1167" s="212"/>
    </row>
    <row r="1168" spans="2:5" x14ac:dyDescent="0.2">
      <c r="B1168" s="291"/>
      <c r="E1168" s="212"/>
    </row>
    <row r="1169" spans="2:5" x14ac:dyDescent="0.2">
      <c r="B1169" s="291"/>
      <c r="E1169" s="212"/>
    </row>
    <row r="1170" spans="2:5" x14ac:dyDescent="0.2">
      <c r="B1170" s="291"/>
      <c r="E1170" s="212"/>
    </row>
    <row r="1171" spans="2:5" x14ac:dyDescent="0.2">
      <c r="B1171" s="291"/>
      <c r="E1171" s="212"/>
    </row>
    <row r="1172" spans="2:5" x14ac:dyDescent="0.2">
      <c r="B1172" s="291"/>
      <c r="E1172" s="212"/>
    </row>
    <row r="1173" spans="2:5" x14ac:dyDescent="0.2">
      <c r="B1173" s="291"/>
      <c r="E1173" s="212"/>
    </row>
    <row r="1174" spans="2:5" x14ac:dyDescent="0.2">
      <c r="B1174" s="291"/>
      <c r="E1174" s="212"/>
    </row>
    <row r="1175" spans="2:5" x14ac:dyDescent="0.2">
      <c r="B1175" s="291"/>
      <c r="E1175" s="212"/>
    </row>
    <row r="1176" spans="2:5" x14ac:dyDescent="0.2">
      <c r="B1176" s="291"/>
      <c r="E1176" s="212"/>
    </row>
    <row r="1177" spans="2:5" x14ac:dyDescent="0.2">
      <c r="B1177" s="291"/>
      <c r="E1177" s="212"/>
    </row>
    <row r="1178" spans="2:5" x14ac:dyDescent="0.2">
      <c r="B1178" s="291"/>
      <c r="E1178" s="212"/>
    </row>
    <row r="1179" spans="2:5" x14ac:dyDescent="0.2">
      <c r="B1179" s="291"/>
      <c r="E1179" s="212"/>
    </row>
    <row r="1180" spans="2:5" x14ac:dyDescent="0.2">
      <c r="B1180" s="291"/>
      <c r="E1180" s="212"/>
    </row>
    <row r="1181" spans="2:5" x14ac:dyDescent="0.2">
      <c r="B1181" s="291"/>
      <c r="E1181" s="212"/>
    </row>
    <row r="1182" spans="2:5" x14ac:dyDescent="0.2">
      <c r="B1182" s="291"/>
      <c r="E1182" s="212"/>
    </row>
    <row r="1183" spans="2:5" x14ac:dyDescent="0.2">
      <c r="B1183" s="291"/>
      <c r="E1183" s="212"/>
    </row>
    <row r="1184" spans="2:5" x14ac:dyDescent="0.2">
      <c r="B1184" s="291"/>
      <c r="E1184" s="212"/>
    </row>
    <row r="1185" spans="2:5" x14ac:dyDescent="0.2">
      <c r="B1185" s="291"/>
      <c r="E1185" s="212"/>
    </row>
    <row r="1186" spans="2:5" x14ac:dyDescent="0.2">
      <c r="B1186" s="291"/>
      <c r="E1186" s="212"/>
    </row>
    <row r="1187" spans="2:5" x14ac:dyDescent="0.2">
      <c r="B1187" s="291"/>
      <c r="E1187" s="212"/>
    </row>
    <row r="1188" spans="2:5" x14ac:dyDescent="0.2">
      <c r="B1188" s="291"/>
      <c r="E1188" s="212"/>
    </row>
    <row r="1189" spans="2:5" x14ac:dyDescent="0.2">
      <c r="B1189" s="291"/>
      <c r="E1189" s="212"/>
    </row>
    <row r="1190" spans="2:5" x14ac:dyDescent="0.2">
      <c r="B1190" s="291"/>
      <c r="E1190" s="212"/>
    </row>
    <row r="1191" spans="2:5" x14ac:dyDescent="0.2">
      <c r="B1191" s="291"/>
      <c r="E1191" s="212"/>
    </row>
    <row r="1192" spans="2:5" x14ac:dyDescent="0.2">
      <c r="B1192" s="291"/>
      <c r="E1192" s="212"/>
    </row>
    <row r="1193" spans="2:5" x14ac:dyDescent="0.2">
      <c r="B1193" s="291"/>
      <c r="E1193" s="212"/>
    </row>
    <row r="1194" spans="2:5" x14ac:dyDescent="0.2">
      <c r="B1194" s="291"/>
      <c r="E1194" s="212"/>
    </row>
    <row r="1195" spans="2:5" x14ac:dyDescent="0.2">
      <c r="B1195" s="291"/>
      <c r="E1195" s="212"/>
    </row>
    <row r="1196" spans="2:5" x14ac:dyDescent="0.2">
      <c r="B1196" s="291"/>
      <c r="E1196" s="212"/>
    </row>
    <row r="1197" spans="2:5" x14ac:dyDescent="0.2">
      <c r="B1197" s="291"/>
      <c r="E1197" s="212"/>
    </row>
    <row r="1198" spans="2:5" x14ac:dyDescent="0.2">
      <c r="B1198" s="291"/>
      <c r="E1198" s="212"/>
    </row>
    <row r="1199" spans="2:5" x14ac:dyDescent="0.2">
      <c r="B1199" s="291"/>
      <c r="E1199" s="212"/>
    </row>
    <row r="1200" spans="2:5" x14ac:dyDescent="0.2">
      <c r="B1200" s="291"/>
      <c r="E1200" s="212"/>
    </row>
    <row r="1201" spans="2:5" x14ac:dyDescent="0.2">
      <c r="B1201" s="291"/>
      <c r="E1201" s="212"/>
    </row>
    <row r="1202" spans="2:5" x14ac:dyDescent="0.2">
      <c r="B1202" s="291"/>
      <c r="E1202" s="212"/>
    </row>
    <row r="1203" spans="2:5" x14ac:dyDescent="0.2">
      <c r="B1203" s="291"/>
      <c r="E1203" s="212"/>
    </row>
    <row r="1204" spans="2:5" x14ac:dyDescent="0.2">
      <c r="B1204" s="291"/>
      <c r="E1204" s="212"/>
    </row>
    <row r="1205" spans="2:5" x14ac:dyDescent="0.2">
      <c r="B1205" s="291"/>
      <c r="E1205" s="212"/>
    </row>
    <row r="1206" spans="2:5" x14ac:dyDescent="0.2">
      <c r="B1206" s="291"/>
      <c r="E1206" s="212"/>
    </row>
    <row r="1207" spans="2:5" x14ac:dyDescent="0.2">
      <c r="B1207" s="291"/>
      <c r="E1207" s="212"/>
    </row>
    <row r="1208" spans="2:5" x14ac:dyDescent="0.2">
      <c r="B1208" s="291"/>
      <c r="E1208" s="212"/>
    </row>
    <row r="1209" spans="2:5" x14ac:dyDescent="0.2">
      <c r="B1209" s="291"/>
      <c r="E1209" s="212"/>
    </row>
    <row r="1210" spans="2:5" x14ac:dyDescent="0.2">
      <c r="B1210" s="291"/>
      <c r="E1210" s="212"/>
    </row>
    <row r="1211" spans="2:5" x14ac:dyDescent="0.2">
      <c r="B1211" s="291"/>
      <c r="E1211" s="212"/>
    </row>
    <row r="1212" spans="2:5" x14ac:dyDescent="0.2">
      <c r="B1212" s="291"/>
      <c r="E1212" s="212"/>
    </row>
    <row r="1213" spans="2:5" x14ac:dyDescent="0.2">
      <c r="B1213" s="291"/>
      <c r="E1213" s="212"/>
    </row>
    <row r="1214" spans="2:5" x14ac:dyDescent="0.2">
      <c r="B1214" s="291"/>
      <c r="E1214" s="212"/>
    </row>
    <row r="1215" spans="2:5" x14ac:dyDescent="0.2">
      <c r="B1215" s="291"/>
      <c r="E1215" s="212"/>
    </row>
    <row r="1216" spans="2:5" x14ac:dyDescent="0.2">
      <c r="B1216" s="291"/>
      <c r="E1216" s="212"/>
    </row>
    <row r="1217" spans="2:5" x14ac:dyDescent="0.2">
      <c r="B1217" s="291"/>
      <c r="E1217" s="212"/>
    </row>
    <row r="1218" spans="2:5" x14ac:dyDescent="0.2">
      <c r="B1218" s="291"/>
      <c r="E1218" s="212"/>
    </row>
    <row r="1219" spans="2:5" x14ac:dyDescent="0.2">
      <c r="B1219" s="291"/>
      <c r="E1219" s="212"/>
    </row>
    <row r="1220" spans="2:5" x14ac:dyDescent="0.2">
      <c r="B1220" s="291"/>
      <c r="E1220" s="212"/>
    </row>
    <row r="1221" spans="2:5" x14ac:dyDescent="0.2">
      <c r="B1221" s="291"/>
      <c r="E1221" s="212"/>
    </row>
    <row r="1222" spans="2:5" x14ac:dyDescent="0.2">
      <c r="B1222" s="291"/>
      <c r="E1222" s="212"/>
    </row>
    <row r="1223" spans="2:5" x14ac:dyDescent="0.2">
      <c r="B1223" s="291"/>
      <c r="E1223" s="212"/>
    </row>
    <row r="1224" spans="2:5" x14ac:dyDescent="0.2">
      <c r="B1224" s="291"/>
      <c r="E1224" s="212"/>
    </row>
    <row r="1225" spans="2:5" x14ac:dyDescent="0.2">
      <c r="B1225" s="291"/>
      <c r="E1225" s="212"/>
    </row>
    <row r="1226" spans="2:5" x14ac:dyDescent="0.2">
      <c r="B1226" s="291"/>
      <c r="E1226" s="212"/>
    </row>
    <row r="1227" spans="2:5" x14ac:dyDescent="0.2">
      <c r="B1227" s="291"/>
      <c r="E1227" s="212"/>
    </row>
    <row r="1228" spans="2:5" x14ac:dyDescent="0.2">
      <c r="B1228" s="291"/>
      <c r="E1228" s="212"/>
    </row>
    <row r="1229" spans="2:5" x14ac:dyDescent="0.2">
      <c r="B1229" s="291"/>
      <c r="E1229" s="212"/>
    </row>
    <row r="1230" spans="2:5" x14ac:dyDescent="0.2">
      <c r="B1230" s="291"/>
      <c r="E1230" s="212"/>
    </row>
    <row r="1231" spans="2:5" x14ac:dyDescent="0.2">
      <c r="B1231" s="291"/>
      <c r="E1231" s="212"/>
    </row>
    <row r="1232" spans="2:5" x14ac:dyDescent="0.2">
      <c r="B1232" s="291"/>
      <c r="E1232" s="212"/>
    </row>
    <row r="1233" spans="2:5" x14ac:dyDescent="0.2">
      <c r="B1233" s="291"/>
      <c r="E1233" s="212"/>
    </row>
    <row r="1234" spans="2:5" x14ac:dyDescent="0.2">
      <c r="B1234" s="291"/>
      <c r="E1234" s="212"/>
    </row>
    <row r="1235" spans="2:5" x14ac:dyDescent="0.2">
      <c r="B1235" s="291"/>
      <c r="E1235" s="212"/>
    </row>
    <row r="1236" spans="2:5" x14ac:dyDescent="0.2">
      <c r="B1236" s="291"/>
      <c r="E1236" s="212"/>
    </row>
    <row r="1237" spans="2:5" x14ac:dyDescent="0.2">
      <c r="B1237" s="291"/>
      <c r="E1237" s="212"/>
    </row>
    <row r="1238" spans="2:5" x14ac:dyDescent="0.2">
      <c r="B1238" s="291"/>
      <c r="E1238" s="212"/>
    </row>
    <row r="1239" spans="2:5" x14ac:dyDescent="0.2">
      <c r="B1239" s="291"/>
      <c r="E1239" s="212"/>
    </row>
    <row r="1240" spans="2:5" x14ac:dyDescent="0.2">
      <c r="B1240" s="291"/>
      <c r="E1240" s="212"/>
    </row>
    <row r="1241" spans="2:5" x14ac:dyDescent="0.2">
      <c r="B1241" s="291"/>
      <c r="E1241" s="212"/>
    </row>
    <row r="1242" spans="2:5" x14ac:dyDescent="0.2">
      <c r="B1242" s="291"/>
      <c r="E1242" s="212"/>
    </row>
    <row r="1243" spans="2:5" x14ac:dyDescent="0.2">
      <c r="B1243" s="291"/>
      <c r="E1243" s="212"/>
    </row>
    <row r="1244" spans="2:5" x14ac:dyDescent="0.2">
      <c r="B1244" s="291"/>
      <c r="E1244" s="212"/>
    </row>
    <row r="1245" spans="2:5" x14ac:dyDescent="0.2">
      <c r="B1245" s="291"/>
      <c r="E1245" s="212"/>
    </row>
    <row r="1246" spans="2:5" x14ac:dyDescent="0.2">
      <c r="B1246" s="291"/>
      <c r="E1246" s="212"/>
    </row>
    <row r="1247" spans="2:5" x14ac:dyDescent="0.2">
      <c r="B1247" s="291"/>
      <c r="E1247" s="212"/>
    </row>
    <row r="1248" spans="2:5" x14ac:dyDescent="0.2">
      <c r="B1248" s="291"/>
      <c r="E1248" s="212"/>
    </row>
    <row r="1249" spans="2:5" x14ac:dyDescent="0.2">
      <c r="B1249" s="291"/>
      <c r="E1249" s="212"/>
    </row>
    <row r="1250" spans="2:5" x14ac:dyDescent="0.2">
      <c r="B1250" s="291"/>
      <c r="E1250" s="212"/>
    </row>
    <row r="1251" spans="2:5" x14ac:dyDescent="0.2">
      <c r="B1251" s="291"/>
      <c r="E1251" s="212"/>
    </row>
    <row r="1252" spans="2:5" x14ac:dyDescent="0.2">
      <c r="B1252" s="291"/>
      <c r="E1252" s="212"/>
    </row>
    <row r="1253" spans="2:5" x14ac:dyDescent="0.2">
      <c r="B1253" s="291"/>
      <c r="E1253" s="212"/>
    </row>
    <row r="1254" spans="2:5" x14ac:dyDescent="0.2">
      <c r="B1254" s="291"/>
      <c r="E1254" s="212"/>
    </row>
    <row r="1255" spans="2:5" x14ac:dyDescent="0.2">
      <c r="B1255" s="291"/>
      <c r="E1255" s="212"/>
    </row>
    <row r="1256" spans="2:5" x14ac:dyDescent="0.2">
      <c r="B1256" s="291"/>
      <c r="E1256" s="212"/>
    </row>
    <row r="1257" spans="2:5" x14ac:dyDescent="0.2">
      <c r="B1257" s="291"/>
      <c r="E1257" s="212"/>
    </row>
    <row r="1258" spans="2:5" x14ac:dyDescent="0.2">
      <c r="B1258" s="291"/>
      <c r="E1258" s="212"/>
    </row>
    <row r="1259" spans="2:5" x14ac:dyDescent="0.2">
      <c r="B1259" s="291"/>
      <c r="E1259" s="212"/>
    </row>
    <row r="1260" spans="2:5" x14ac:dyDescent="0.2">
      <c r="B1260" s="291"/>
      <c r="E1260" s="212"/>
    </row>
    <row r="1261" spans="2:5" x14ac:dyDescent="0.2">
      <c r="B1261" s="291"/>
      <c r="E1261" s="212"/>
    </row>
    <row r="1262" spans="2:5" x14ac:dyDescent="0.2">
      <c r="B1262" s="291"/>
      <c r="E1262" s="212"/>
    </row>
    <row r="1263" spans="2:5" x14ac:dyDescent="0.2">
      <c r="B1263" s="291"/>
      <c r="E1263" s="212"/>
    </row>
    <row r="1264" spans="2:5" x14ac:dyDescent="0.2">
      <c r="B1264" s="291"/>
      <c r="E1264" s="212"/>
    </row>
    <row r="1265" spans="2:5" x14ac:dyDescent="0.2">
      <c r="B1265" s="291"/>
      <c r="E1265" s="212"/>
    </row>
    <row r="1266" spans="2:5" x14ac:dyDescent="0.2">
      <c r="B1266" s="291"/>
      <c r="E1266" s="212"/>
    </row>
    <row r="1267" spans="2:5" x14ac:dyDescent="0.2">
      <c r="B1267" s="291"/>
      <c r="E1267" s="212"/>
    </row>
    <row r="1268" spans="2:5" x14ac:dyDescent="0.2">
      <c r="B1268" s="291"/>
      <c r="E1268" s="212"/>
    </row>
    <row r="1269" spans="2:5" x14ac:dyDescent="0.2">
      <c r="B1269" s="291"/>
      <c r="E1269" s="212"/>
    </row>
    <row r="1270" spans="2:5" x14ac:dyDescent="0.2">
      <c r="B1270" s="291"/>
      <c r="E1270" s="212"/>
    </row>
    <row r="1271" spans="2:5" x14ac:dyDescent="0.2">
      <c r="B1271" s="291"/>
      <c r="E1271" s="212"/>
    </row>
    <row r="1272" spans="2:5" x14ac:dyDescent="0.2">
      <c r="B1272" s="291"/>
      <c r="E1272" s="212"/>
    </row>
    <row r="1273" spans="2:5" x14ac:dyDescent="0.2">
      <c r="B1273" s="291"/>
      <c r="E1273" s="212"/>
    </row>
    <row r="1274" spans="2:5" x14ac:dyDescent="0.2">
      <c r="B1274" s="291"/>
      <c r="E1274" s="212"/>
    </row>
    <row r="1275" spans="2:5" x14ac:dyDescent="0.2">
      <c r="B1275" s="291"/>
      <c r="E1275" s="212"/>
    </row>
    <row r="1276" spans="2:5" x14ac:dyDescent="0.2">
      <c r="B1276" s="291"/>
      <c r="E1276" s="212"/>
    </row>
    <row r="1277" spans="2:5" x14ac:dyDescent="0.2">
      <c r="B1277" s="291"/>
      <c r="E1277" s="212"/>
    </row>
    <row r="1278" spans="2:5" x14ac:dyDescent="0.2">
      <c r="B1278" s="291"/>
      <c r="E1278" s="212"/>
    </row>
    <row r="1279" spans="2:5" x14ac:dyDescent="0.2">
      <c r="B1279" s="291"/>
      <c r="E1279" s="212"/>
    </row>
    <row r="1280" spans="2:5" x14ac:dyDescent="0.2">
      <c r="B1280" s="291"/>
      <c r="E1280" s="212"/>
    </row>
    <row r="1281" spans="2:5" x14ac:dyDescent="0.2">
      <c r="B1281" s="291"/>
      <c r="E1281" s="212"/>
    </row>
    <row r="1282" spans="2:5" x14ac:dyDescent="0.2">
      <c r="B1282" s="291"/>
      <c r="E1282" s="212"/>
    </row>
    <row r="1283" spans="2:5" x14ac:dyDescent="0.2">
      <c r="B1283" s="291"/>
      <c r="E1283" s="212"/>
    </row>
    <row r="1284" spans="2:5" x14ac:dyDescent="0.2">
      <c r="B1284" s="291"/>
      <c r="E1284" s="212"/>
    </row>
    <row r="1285" spans="2:5" x14ac:dyDescent="0.2">
      <c r="B1285" s="291"/>
      <c r="E1285" s="212"/>
    </row>
    <row r="1286" spans="2:5" x14ac:dyDescent="0.2">
      <c r="B1286" s="291"/>
      <c r="E1286" s="212"/>
    </row>
    <row r="1287" spans="2:5" x14ac:dyDescent="0.2">
      <c r="B1287" s="291"/>
      <c r="E1287" s="212"/>
    </row>
    <row r="1288" spans="2:5" x14ac:dyDescent="0.2">
      <c r="B1288" s="291"/>
      <c r="E1288" s="212"/>
    </row>
    <row r="1289" spans="2:5" x14ac:dyDescent="0.2">
      <c r="B1289" s="291"/>
      <c r="E1289" s="212"/>
    </row>
    <row r="1290" spans="2:5" x14ac:dyDescent="0.2">
      <c r="B1290" s="291"/>
      <c r="E1290" s="212"/>
    </row>
    <row r="1291" spans="2:5" x14ac:dyDescent="0.2">
      <c r="B1291" s="291"/>
      <c r="E1291" s="212"/>
    </row>
    <row r="1292" spans="2:5" x14ac:dyDescent="0.2">
      <c r="B1292" s="291"/>
      <c r="E1292" s="212"/>
    </row>
    <row r="1293" spans="2:5" x14ac:dyDescent="0.2">
      <c r="B1293" s="291"/>
      <c r="E1293" s="212"/>
    </row>
    <row r="1294" spans="2:5" x14ac:dyDescent="0.2">
      <c r="B1294" s="291"/>
      <c r="E1294" s="212"/>
    </row>
    <row r="1295" spans="2:5" x14ac:dyDescent="0.2">
      <c r="B1295" s="291"/>
      <c r="E1295" s="212"/>
    </row>
    <row r="1296" spans="2:5" x14ac:dyDescent="0.2">
      <c r="B1296" s="291"/>
      <c r="E1296" s="212"/>
    </row>
    <row r="1297" spans="2:5" x14ac:dyDescent="0.2">
      <c r="B1297" s="291"/>
      <c r="E1297" s="212"/>
    </row>
    <row r="1298" spans="2:5" x14ac:dyDescent="0.2">
      <c r="B1298" s="291"/>
      <c r="E1298" s="212"/>
    </row>
    <row r="1299" spans="2:5" x14ac:dyDescent="0.2">
      <c r="B1299" s="291"/>
      <c r="E1299" s="212"/>
    </row>
    <row r="1300" spans="2:5" x14ac:dyDescent="0.2">
      <c r="B1300" s="291"/>
      <c r="E1300" s="212"/>
    </row>
    <row r="1301" spans="2:5" x14ac:dyDescent="0.2">
      <c r="B1301" s="291"/>
      <c r="E1301" s="212"/>
    </row>
    <row r="1302" spans="2:5" x14ac:dyDescent="0.2">
      <c r="B1302" s="291"/>
      <c r="E1302" s="212"/>
    </row>
    <row r="1303" spans="2:5" x14ac:dyDescent="0.2">
      <c r="B1303" s="291"/>
      <c r="E1303" s="212"/>
    </row>
    <row r="1304" spans="2:5" x14ac:dyDescent="0.2">
      <c r="B1304" s="291"/>
      <c r="E1304" s="212"/>
    </row>
    <row r="1305" spans="2:5" x14ac:dyDescent="0.2">
      <c r="B1305" s="291"/>
      <c r="E1305" s="212"/>
    </row>
    <row r="1306" spans="2:5" x14ac:dyDescent="0.2">
      <c r="B1306" s="291"/>
      <c r="E1306" s="212"/>
    </row>
    <row r="1307" spans="2:5" x14ac:dyDescent="0.2">
      <c r="B1307" s="291"/>
      <c r="E1307" s="212"/>
    </row>
    <row r="1308" spans="2:5" x14ac:dyDescent="0.2">
      <c r="B1308" s="291"/>
      <c r="E1308" s="212"/>
    </row>
    <row r="1309" spans="2:5" x14ac:dyDescent="0.2">
      <c r="B1309" s="291"/>
      <c r="E1309" s="212"/>
    </row>
    <row r="1310" spans="2:5" x14ac:dyDescent="0.2">
      <c r="B1310" s="291"/>
      <c r="E1310" s="212"/>
    </row>
    <row r="1311" spans="2:5" x14ac:dyDescent="0.2">
      <c r="B1311" s="291"/>
      <c r="E1311" s="212"/>
    </row>
    <row r="1312" spans="2:5" x14ac:dyDescent="0.2">
      <c r="B1312" s="291"/>
      <c r="E1312" s="212"/>
    </row>
    <row r="1313" spans="2:5" x14ac:dyDescent="0.2">
      <c r="B1313" s="291"/>
      <c r="E1313" s="212"/>
    </row>
    <row r="1314" spans="2:5" x14ac:dyDescent="0.2">
      <c r="B1314" s="291"/>
      <c r="E1314" s="212"/>
    </row>
    <row r="1315" spans="2:5" x14ac:dyDescent="0.2">
      <c r="B1315" s="291"/>
      <c r="E1315" s="212"/>
    </row>
    <row r="1316" spans="2:5" x14ac:dyDescent="0.2">
      <c r="B1316" s="291"/>
      <c r="E1316" s="212"/>
    </row>
    <row r="1317" spans="2:5" x14ac:dyDescent="0.2">
      <c r="B1317" s="291"/>
      <c r="E1317" s="212"/>
    </row>
    <row r="1318" spans="2:5" x14ac:dyDescent="0.2">
      <c r="B1318" s="291"/>
      <c r="E1318" s="212"/>
    </row>
    <row r="1319" spans="2:5" x14ac:dyDescent="0.2">
      <c r="B1319" s="291"/>
      <c r="E1319" s="212"/>
    </row>
    <row r="1320" spans="2:5" x14ac:dyDescent="0.2">
      <c r="B1320" s="291"/>
      <c r="E1320" s="212"/>
    </row>
    <row r="1321" spans="2:5" x14ac:dyDescent="0.2">
      <c r="B1321" s="291"/>
      <c r="E1321" s="212"/>
    </row>
    <row r="1322" spans="2:5" x14ac:dyDescent="0.2">
      <c r="B1322" s="291"/>
      <c r="E1322" s="212"/>
    </row>
    <row r="1323" spans="2:5" x14ac:dyDescent="0.2">
      <c r="B1323" s="291"/>
      <c r="E1323" s="212"/>
    </row>
    <row r="1324" spans="2:5" x14ac:dyDescent="0.2">
      <c r="B1324" s="291"/>
      <c r="E1324" s="212"/>
    </row>
    <row r="1325" spans="2:5" x14ac:dyDescent="0.2">
      <c r="B1325" s="291"/>
      <c r="E1325" s="212"/>
    </row>
    <row r="1326" spans="2:5" x14ac:dyDescent="0.2">
      <c r="B1326" s="291"/>
      <c r="E1326" s="212"/>
    </row>
    <row r="1327" spans="2:5" x14ac:dyDescent="0.2">
      <c r="B1327" s="291"/>
      <c r="E1327" s="212"/>
    </row>
    <row r="1328" spans="2:5" x14ac:dyDescent="0.2">
      <c r="B1328" s="291"/>
      <c r="E1328" s="212"/>
    </row>
    <row r="1329" spans="2:5" x14ac:dyDescent="0.2">
      <c r="B1329" s="291"/>
      <c r="E1329" s="212"/>
    </row>
    <row r="1330" spans="2:5" x14ac:dyDescent="0.2">
      <c r="B1330" s="291"/>
      <c r="E1330" s="212"/>
    </row>
    <row r="1331" spans="2:5" x14ac:dyDescent="0.2">
      <c r="B1331" s="291"/>
      <c r="E1331" s="212"/>
    </row>
    <row r="1332" spans="2:5" x14ac:dyDescent="0.2">
      <c r="B1332" s="291"/>
      <c r="E1332" s="212"/>
    </row>
    <row r="1333" spans="2:5" x14ac:dyDescent="0.2">
      <c r="B1333" s="291"/>
      <c r="E1333" s="212"/>
    </row>
    <row r="1334" spans="2:5" x14ac:dyDescent="0.2">
      <c r="B1334" s="291"/>
      <c r="E1334" s="212"/>
    </row>
    <row r="1335" spans="2:5" x14ac:dyDescent="0.2">
      <c r="B1335" s="291"/>
      <c r="E1335" s="212"/>
    </row>
    <row r="1336" spans="2:5" x14ac:dyDescent="0.2">
      <c r="B1336" s="291"/>
      <c r="E1336" s="212"/>
    </row>
    <row r="1337" spans="2:5" x14ac:dyDescent="0.2">
      <c r="B1337" s="291"/>
      <c r="E1337" s="212"/>
    </row>
    <row r="1338" spans="2:5" x14ac:dyDescent="0.2">
      <c r="B1338" s="291"/>
      <c r="E1338" s="212"/>
    </row>
    <row r="1339" spans="2:5" x14ac:dyDescent="0.2">
      <c r="B1339" s="291"/>
      <c r="E1339" s="212"/>
    </row>
    <row r="1340" spans="2:5" x14ac:dyDescent="0.2">
      <c r="B1340" s="291"/>
      <c r="E1340" s="212"/>
    </row>
    <row r="1341" spans="2:5" x14ac:dyDescent="0.2">
      <c r="B1341" s="291"/>
      <c r="E1341" s="212"/>
    </row>
    <row r="1342" spans="2:5" x14ac:dyDescent="0.2">
      <c r="B1342" s="291"/>
      <c r="E1342" s="212"/>
    </row>
    <row r="1343" spans="2:5" x14ac:dyDescent="0.2">
      <c r="B1343" s="291"/>
      <c r="E1343" s="212"/>
    </row>
    <row r="1344" spans="2:5" x14ac:dyDescent="0.2">
      <c r="B1344" s="291"/>
      <c r="E1344" s="212"/>
    </row>
    <row r="1345" spans="2:5" x14ac:dyDescent="0.2">
      <c r="B1345" s="291"/>
      <c r="E1345" s="212"/>
    </row>
    <row r="1346" spans="2:5" x14ac:dyDescent="0.2">
      <c r="B1346" s="291"/>
      <c r="E1346" s="212"/>
    </row>
    <row r="1347" spans="2:5" x14ac:dyDescent="0.2">
      <c r="B1347" s="291"/>
      <c r="E1347" s="212"/>
    </row>
    <row r="1348" spans="2:5" x14ac:dyDescent="0.2">
      <c r="B1348" s="291"/>
      <c r="E1348" s="212"/>
    </row>
    <row r="1349" spans="2:5" x14ac:dyDescent="0.2">
      <c r="B1349" s="291"/>
      <c r="E1349" s="212"/>
    </row>
    <row r="1350" spans="2:5" x14ac:dyDescent="0.2">
      <c r="B1350" s="291"/>
      <c r="E1350" s="212"/>
    </row>
    <row r="1351" spans="2:5" x14ac:dyDescent="0.2">
      <c r="B1351" s="291"/>
      <c r="E1351" s="212"/>
    </row>
    <row r="1352" spans="2:5" x14ac:dyDescent="0.2">
      <c r="B1352" s="291"/>
      <c r="E1352" s="212"/>
    </row>
    <row r="1353" spans="2:5" x14ac:dyDescent="0.2">
      <c r="B1353" s="291"/>
      <c r="E1353" s="212"/>
    </row>
    <row r="1354" spans="2:5" x14ac:dyDescent="0.2">
      <c r="B1354" s="291"/>
      <c r="E1354" s="212"/>
    </row>
    <row r="1355" spans="2:5" x14ac:dyDescent="0.2">
      <c r="B1355" s="291"/>
      <c r="E1355" s="212"/>
    </row>
    <row r="1356" spans="2:5" x14ac:dyDescent="0.2">
      <c r="B1356" s="291"/>
      <c r="E1356" s="212"/>
    </row>
    <row r="1357" spans="2:5" x14ac:dyDescent="0.2">
      <c r="B1357" s="291"/>
      <c r="E1357" s="212"/>
    </row>
    <row r="1358" spans="2:5" x14ac:dyDescent="0.2">
      <c r="B1358" s="291"/>
      <c r="E1358" s="212"/>
    </row>
    <row r="1359" spans="2:5" x14ac:dyDescent="0.2">
      <c r="B1359" s="291"/>
      <c r="E1359" s="212"/>
    </row>
    <row r="1360" spans="2:5" x14ac:dyDescent="0.2">
      <c r="B1360" s="291"/>
      <c r="E1360" s="212"/>
    </row>
    <row r="1361" spans="2:5" x14ac:dyDescent="0.2">
      <c r="B1361" s="291"/>
      <c r="E1361" s="212"/>
    </row>
    <row r="1362" spans="2:5" x14ac:dyDescent="0.2">
      <c r="B1362" s="291"/>
      <c r="E1362" s="212"/>
    </row>
    <row r="1363" spans="2:5" x14ac:dyDescent="0.2">
      <c r="B1363" s="291"/>
      <c r="E1363" s="212"/>
    </row>
    <row r="1364" spans="2:5" x14ac:dyDescent="0.2">
      <c r="B1364" s="291"/>
      <c r="E1364" s="212"/>
    </row>
    <row r="1365" spans="2:5" x14ac:dyDescent="0.2">
      <c r="B1365" s="291"/>
      <c r="E1365" s="212"/>
    </row>
    <row r="1366" spans="2:5" x14ac:dyDescent="0.2">
      <c r="B1366" s="291"/>
      <c r="E1366" s="212"/>
    </row>
    <row r="1367" spans="2:5" x14ac:dyDescent="0.2">
      <c r="B1367" s="291"/>
      <c r="E1367" s="212"/>
    </row>
    <row r="1368" spans="2:5" x14ac:dyDescent="0.2">
      <c r="B1368" s="291"/>
      <c r="E1368" s="212"/>
    </row>
    <row r="1369" spans="2:5" x14ac:dyDescent="0.2">
      <c r="B1369" s="291"/>
      <c r="E1369" s="212"/>
    </row>
    <row r="1370" spans="2:5" x14ac:dyDescent="0.2">
      <c r="B1370" s="291"/>
      <c r="E1370" s="212"/>
    </row>
    <row r="1371" spans="2:5" x14ac:dyDescent="0.2">
      <c r="B1371" s="291"/>
      <c r="E1371" s="212"/>
    </row>
    <row r="1372" spans="2:5" x14ac:dyDescent="0.2">
      <c r="B1372" s="291"/>
      <c r="E1372" s="212"/>
    </row>
    <row r="1373" spans="2:5" x14ac:dyDescent="0.2">
      <c r="B1373" s="291"/>
      <c r="E1373" s="212"/>
    </row>
    <row r="1374" spans="2:5" x14ac:dyDescent="0.2">
      <c r="B1374" s="291"/>
      <c r="E1374" s="212"/>
    </row>
    <row r="1375" spans="2:5" x14ac:dyDescent="0.2">
      <c r="B1375" s="291"/>
      <c r="E1375" s="212"/>
    </row>
    <row r="1376" spans="2:5" x14ac:dyDescent="0.2">
      <c r="B1376" s="291"/>
      <c r="E1376" s="212"/>
    </row>
    <row r="1377" spans="2:5" x14ac:dyDescent="0.2">
      <c r="B1377" s="291"/>
      <c r="C1377" s="229"/>
      <c r="E1377" s="212"/>
    </row>
    <row r="1378" spans="2:5" x14ac:dyDescent="0.2">
      <c r="B1378" s="291"/>
      <c r="E1378" s="212"/>
    </row>
    <row r="1379" spans="2:5" x14ac:dyDescent="0.2">
      <c r="B1379" s="291"/>
      <c r="E1379" s="212"/>
    </row>
    <row r="1380" spans="2:5" x14ac:dyDescent="0.2">
      <c r="B1380" s="291"/>
      <c r="E1380" s="212"/>
    </row>
    <row r="1381" spans="2:5" x14ac:dyDescent="0.2">
      <c r="B1381" s="291"/>
      <c r="E1381" s="212"/>
    </row>
    <row r="1382" spans="2:5" x14ac:dyDescent="0.2">
      <c r="B1382" s="291"/>
      <c r="E1382" s="212"/>
    </row>
    <row r="1383" spans="2:5" x14ac:dyDescent="0.2">
      <c r="B1383" s="291"/>
      <c r="E1383" s="212"/>
    </row>
    <row r="1384" spans="2:5" x14ac:dyDescent="0.2">
      <c r="B1384" s="291"/>
      <c r="E1384" s="212"/>
    </row>
    <row r="1385" spans="2:5" x14ac:dyDescent="0.2">
      <c r="B1385" s="291"/>
      <c r="E1385" s="212"/>
    </row>
    <row r="1386" spans="2:5" x14ac:dyDescent="0.2">
      <c r="B1386" s="291"/>
      <c r="E1386" s="212"/>
    </row>
    <row r="1387" spans="2:5" x14ac:dyDescent="0.2">
      <c r="B1387" s="291"/>
      <c r="E1387" s="212"/>
    </row>
    <row r="1388" spans="2:5" x14ac:dyDescent="0.2">
      <c r="B1388" s="291"/>
      <c r="E1388" s="212"/>
    </row>
    <row r="1389" spans="2:5" x14ac:dyDescent="0.2">
      <c r="B1389" s="291"/>
      <c r="E1389" s="212"/>
    </row>
    <row r="1390" spans="2:5" x14ac:dyDescent="0.2">
      <c r="B1390" s="291"/>
      <c r="E1390" s="212"/>
    </row>
    <row r="1391" spans="2:5" x14ac:dyDescent="0.2">
      <c r="B1391" s="291"/>
      <c r="E1391" s="212"/>
    </row>
    <row r="1392" spans="2:5" x14ac:dyDescent="0.2">
      <c r="B1392" s="291"/>
      <c r="E1392" s="212"/>
    </row>
    <row r="1393" spans="2:5" x14ac:dyDescent="0.2">
      <c r="B1393" s="291"/>
      <c r="E1393" s="212"/>
    </row>
    <row r="1394" spans="2:5" x14ac:dyDescent="0.2">
      <c r="B1394" s="291"/>
      <c r="E1394" s="212"/>
    </row>
    <row r="1395" spans="2:5" x14ac:dyDescent="0.2">
      <c r="B1395" s="291"/>
      <c r="E1395" s="212"/>
    </row>
    <row r="1396" spans="2:5" x14ac:dyDescent="0.2">
      <c r="B1396" s="291"/>
      <c r="E1396" s="212"/>
    </row>
    <row r="1397" spans="2:5" x14ac:dyDescent="0.2">
      <c r="B1397" s="291"/>
      <c r="E1397" s="212"/>
    </row>
    <row r="1398" spans="2:5" x14ac:dyDescent="0.2">
      <c r="B1398" s="291"/>
      <c r="E1398" s="212"/>
    </row>
    <row r="1399" spans="2:5" x14ac:dyDescent="0.2">
      <c r="B1399" s="291"/>
      <c r="E1399" s="212"/>
    </row>
    <row r="1400" spans="2:5" x14ac:dyDescent="0.2">
      <c r="B1400" s="291"/>
      <c r="E1400" s="212"/>
    </row>
    <row r="1401" spans="2:5" x14ac:dyDescent="0.2">
      <c r="B1401" s="291"/>
      <c r="E1401" s="212"/>
    </row>
    <row r="1402" spans="2:5" x14ac:dyDescent="0.2">
      <c r="B1402" s="291"/>
      <c r="E1402" s="212"/>
    </row>
    <row r="1403" spans="2:5" x14ac:dyDescent="0.2">
      <c r="B1403" s="291"/>
      <c r="E1403" s="212"/>
    </row>
    <row r="1404" spans="2:5" x14ac:dyDescent="0.2">
      <c r="B1404" s="291"/>
      <c r="E1404" s="212"/>
    </row>
    <row r="1405" spans="2:5" x14ac:dyDescent="0.2">
      <c r="B1405" s="291"/>
      <c r="E1405" s="212"/>
    </row>
    <row r="1406" spans="2:5" x14ac:dyDescent="0.2">
      <c r="B1406" s="291"/>
      <c r="E1406" s="212"/>
    </row>
    <row r="1407" spans="2:5" x14ac:dyDescent="0.2">
      <c r="B1407" s="291"/>
      <c r="E1407" s="212"/>
    </row>
    <row r="1408" spans="2:5" x14ac:dyDescent="0.2">
      <c r="B1408" s="291"/>
      <c r="E1408" s="212"/>
    </row>
    <row r="1409" spans="2:5" x14ac:dyDescent="0.2">
      <c r="B1409" s="291"/>
      <c r="E1409" s="212"/>
    </row>
    <row r="1410" spans="2:5" x14ac:dyDescent="0.2">
      <c r="B1410" s="291"/>
      <c r="E1410" s="212"/>
    </row>
    <row r="1411" spans="2:5" x14ac:dyDescent="0.2">
      <c r="B1411" s="291"/>
      <c r="E1411" s="212"/>
    </row>
    <row r="1412" spans="2:5" x14ac:dyDescent="0.2">
      <c r="B1412" s="291"/>
      <c r="E1412" s="212"/>
    </row>
    <row r="1413" spans="2:5" x14ac:dyDescent="0.2">
      <c r="B1413" s="291"/>
      <c r="E1413" s="212"/>
    </row>
    <row r="1414" spans="2:5" x14ac:dyDescent="0.2">
      <c r="B1414" s="291"/>
      <c r="E1414" s="212"/>
    </row>
    <row r="1415" spans="2:5" x14ac:dyDescent="0.2">
      <c r="B1415" s="291"/>
      <c r="E1415" s="212"/>
    </row>
    <row r="1416" spans="2:5" x14ac:dyDescent="0.2">
      <c r="B1416" s="291"/>
      <c r="E1416" s="212"/>
    </row>
    <row r="1417" spans="2:5" x14ac:dyDescent="0.2">
      <c r="B1417" s="291"/>
      <c r="E1417" s="212"/>
    </row>
    <row r="1418" spans="2:5" x14ac:dyDescent="0.2">
      <c r="B1418" s="291"/>
      <c r="E1418" s="212"/>
    </row>
    <row r="1419" spans="2:5" x14ac:dyDescent="0.2">
      <c r="B1419" s="291"/>
      <c r="E1419" s="212"/>
    </row>
    <row r="1420" spans="2:5" x14ac:dyDescent="0.2">
      <c r="B1420" s="291"/>
      <c r="E1420" s="212"/>
    </row>
    <row r="1421" spans="2:5" x14ac:dyDescent="0.2">
      <c r="B1421" s="291"/>
      <c r="E1421" s="212"/>
    </row>
    <row r="1422" spans="2:5" x14ac:dyDescent="0.2">
      <c r="B1422" s="291"/>
      <c r="E1422" s="212"/>
    </row>
    <row r="1423" spans="2:5" x14ac:dyDescent="0.2">
      <c r="B1423" s="291"/>
      <c r="E1423" s="212"/>
    </row>
    <row r="1424" spans="2:5" x14ac:dyDescent="0.2">
      <c r="B1424" s="291"/>
      <c r="E1424" s="212"/>
    </row>
    <row r="1425" spans="2:5" x14ac:dyDescent="0.2">
      <c r="B1425" s="291"/>
      <c r="E1425" s="212"/>
    </row>
    <row r="1426" spans="2:5" x14ac:dyDescent="0.2">
      <c r="B1426" s="291"/>
      <c r="E1426" s="212"/>
    </row>
    <row r="1427" spans="2:5" x14ac:dyDescent="0.2">
      <c r="B1427" s="291"/>
      <c r="E1427" s="212"/>
    </row>
    <row r="1428" spans="2:5" x14ac:dyDescent="0.2">
      <c r="B1428" s="291"/>
      <c r="E1428" s="212"/>
    </row>
    <row r="1429" spans="2:5" x14ac:dyDescent="0.2">
      <c r="B1429" s="291"/>
      <c r="E1429" s="212"/>
    </row>
    <row r="1430" spans="2:5" x14ac:dyDescent="0.2">
      <c r="B1430" s="291"/>
      <c r="E1430" s="212"/>
    </row>
    <row r="1431" spans="2:5" x14ac:dyDescent="0.2">
      <c r="B1431" s="291"/>
      <c r="E1431" s="212"/>
    </row>
    <row r="1432" spans="2:5" x14ac:dyDescent="0.2">
      <c r="B1432" s="291"/>
      <c r="E1432" s="212"/>
    </row>
    <row r="1433" spans="2:5" x14ac:dyDescent="0.2">
      <c r="B1433" s="291"/>
      <c r="E1433" s="212"/>
    </row>
    <row r="1434" spans="2:5" x14ac:dyDescent="0.2">
      <c r="B1434" s="291"/>
      <c r="E1434" s="212"/>
    </row>
    <row r="1435" spans="2:5" x14ac:dyDescent="0.2">
      <c r="B1435" s="291"/>
      <c r="E1435" s="212"/>
    </row>
    <row r="1436" spans="2:5" x14ac:dyDescent="0.2">
      <c r="B1436" s="291"/>
      <c r="E1436" s="212"/>
    </row>
    <row r="1437" spans="2:5" x14ac:dyDescent="0.2">
      <c r="B1437" s="291"/>
      <c r="E1437" s="212"/>
    </row>
    <row r="1438" spans="2:5" x14ac:dyDescent="0.2">
      <c r="B1438" s="291"/>
      <c r="E1438" s="212"/>
    </row>
    <row r="1439" spans="2:5" x14ac:dyDescent="0.2">
      <c r="B1439" s="291"/>
      <c r="E1439" s="212"/>
    </row>
    <row r="1440" spans="2:5" x14ac:dyDescent="0.2">
      <c r="B1440" s="291"/>
      <c r="E1440" s="212"/>
    </row>
    <row r="1441" spans="2:5" x14ac:dyDescent="0.2">
      <c r="B1441" s="291"/>
      <c r="E1441" s="212"/>
    </row>
    <row r="1442" spans="2:5" x14ac:dyDescent="0.2">
      <c r="B1442" s="291"/>
      <c r="E1442" s="212"/>
    </row>
    <row r="1443" spans="2:5" x14ac:dyDescent="0.2">
      <c r="B1443" s="291"/>
      <c r="E1443" s="212"/>
    </row>
    <row r="1444" spans="2:5" x14ac:dyDescent="0.2">
      <c r="B1444" s="291"/>
      <c r="E1444" s="212"/>
    </row>
    <row r="1445" spans="2:5" x14ac:dyDescent="0.2">
      <c r="B1445" s="291"/>
      <c r="E1445" s="212"/>
    </row>
    <row r="1446" spans="2:5" x14ac:dyDescent="0.2">
      <c r="B1446" s="291"/>
      <c r="E1446" s="212"/>
    </row>
    <row r="1447" spans="2:5" x14ac:dyDescent="0.2">
      <c r="B1447" s="291"/>
      <c r="E1447" s="212"/>
    </row>
    <row r="1448" spans="2:5" x14ac:dyDescent="0.2">
      <c r="B1448" s="291"/>
      <c r="E1448" s="212"/>
    </row>
    <row r="1449" spans="2:5" x14ac:dyDescent="0.2">
      <c r="B1449" s="291"/>
      <c r="E1449" s="212"/>
    </row>
    <row r="1450" spans="2:5" x14ac:dyDescent="0.2">
      <c r="B1450" s="291"/>
      <c r="E1450" s="212"/>
    </row>
    <row r="1451" spans="2:5" x14ac:dyDescent="0.2">
      <c r="B1451" s="291"/>
      <c r="E1451" s="212"/>
    </row>
    <row r="1452" spans="2:5" x14ac:dyDescent="0.2">
      <c r="B1452" s="291"/>
      <c r="E1452" s="212"/>
    </row>
    <row r="1453" spans="2:5" x14ac:dyDescent="0.2">
      <c r="B1453" s="291"/>
      <c r="E1453" s="212"/>
    </row>
    <row r="1454" spans="2:5" x14ac:dyDescent="0.2">
      <c r="B1454" s="291"/>
      <c r="E1454" s="212"/>
    </row>
    <row r="1455" spans="2:5" x14ac:dyDescent="0.2">
      <c r="B1455" s="291"/>
      <c r="E1455" s="212"/>
    </row>
    <row r="1456" spans="2:5" x14ac:dyDescent="0.2">
      <c r="B1456" s="291"/>
      <c r="E1456" s="212"/>
    </row>
    <row r="1457" spans="2:5" x14ac:dyDescent="0.2">
      <c r="B1457" s="291"/>
      <c r="E1457" s="212"/>
    </row>
    <row r="1458" spans="2:5" x14ac:dyDescent="0.2">
      <c r="B1458" s="291"/>
      <c r="E1458" s="212"/>
    </row>
    <row r="1459" spans="2:5" x14ac:dyDescent="0.2">
      <c r="B1459" s="291"/>
      <c r="E1459" s="212"/>
    </row>
    <row r="1460" spans="2:5" x14ac:dyDescent="0.2">
      <c r="B1460" s="291"/>
      <c r="E1460" s="212"/>
    </row>
    <row r="1461" spans="2:5" x14ac:dyDescent="0.2">
      <c r="B1461" s="291"/>
      <c r="E1461" s="212"/>
    </row>
    <row r="1462" spans="2:5" x14ac:dyDescent="0.2">
      <c r="B1462" s="291"/>
      <c r="E1462" s="212"/>
    </row>
    <row r="1463" spans="2:5" x14ac:dyDescent="0.2">
      <c r="B1463" s="291"/>
      <c r="E1463" s="212"/>
    </row>
    <row r="1464" spans="2:5" x14ac:dyDescent="0.2">
      <c r="B1464" s="291"/>
      <c r="E1464" s="212"/>
    </row>
    <row r="1465" spans="2:5" x14ac:dyDescent="0.2">
      <c r="B1465" s="291"/>
      <c r="E1465" s="212"/>
    </row>
    <row r="1466" spans="2:5" x14ac:dyDescent="0.2">
      <c r="B1466" s="291"/>
      <c r="E1466" s="212"/>
    </row>
    <row r="1467" spans="2:5" x14ac:dyDescent="0.2">
      <c r="B1467" s="291"/>
      <c r="E1467" s="212"/>
    </row>
    <row r="1468" spans="2:5" x14ac:dyDescent="0.2">
      <c r="B1468" s="291"/>
      <c r="E1468" s="212"/>
    </row>
    <row r="1469" spans="2:5" x14ac:dyDescent="0.2">
      <c r="B1469" s="291"/>
      <c r="E1469" s="212"/>
    </row>
    <row r="1470" spans="2:5" x14ac:dyDescent="0.2">
      <c r="B1470" s="291"/>
      <c r="E1470" s="212"/>
    </row>
    <row r="1471" spans="2:5" x14ac:dyDescent="0.2">
      <c r="B1471" s="291"/>
      <c r="E1471" s="212"/>
    </row>
    <row r="1472" spans="2:5" x14ac:dyDescent="0.2">
      <c r="B1472" s="291"/>
      <c r="E1472" s="212"/>
    </row>
    <row r="1473" spans="2:5" x14ac:dyDescent="0.2">
      <c r="B1473" s="291"/>
      <c r="E1473" s="212"/>
    </row>
    <row r="1474" spans="2:5" x14ac:dyDescent="0.2">
      <c r="B1474" s="291"/>
      <c r="E1474" s="212"/>
    </row>
    <row r="1475" spans="2:5" x14ac:dyDescent="0.2">
      <c r="B1475" s="291"/>
      <c r="E1475" s="212"/>
    </row>
    <row r="1476" spans="2:5" x14ac:dyDescent="0.2">
      <c r="B1476" s="291"/>
      <c r="E1476" s="212"/>
    </row>
    <row r="1477" spans="2:5" x14ac:dyDescent="0.2">
      <c r="B1477" s="291"/>
      <c r="E1477" s="212"/>
    </row>
    <row r="1478" spans="2:5" x14ac:dyDescent="0.2">
      <c r="B1478" s="291"/>
      <c r="E1478" s="212"/>
    </row>
    <row r="1479" spans="2:5" x14ac:dyDescent="0.2">
      <c r="B1479" s="291"/>
      <c r="E1479" s="212"/>
    </row>
    <row r="1480" spans="2:5" x14ac:dyDescent="0.2">
      <c r="B1480" s="291"/>
      <c r="E1480" s="212"/>
    </row>
    <row r="1481" spans="2:5" x14ac:dyDescent="0.2">
      <c r="B1481" s="291"/>
      <c r="E1481" s="212"/>
    </row>
    <row r="1482" spans="2:5" x14ac:dyDescent="0.2">
      <c r="B1482" s="291"/>
      <c r="E1482" s="212"/>
    </row>
    <row r="1483" spans="2:5" x14ac:dyDescent="0.2">
      <c r="B1483" s="291"/>
      <c r="E1483" s="212"/>
    </row>
    <row r="1484" spans="2:5" x14ac:dyDescent="0.2">
      <c r="B1484" s="291"/>
      <c r="E1484" s="212"/>
    </row>
    <row r="1485" spans="2:5" x14ac:dyDescent="0.2">
      <c r="B1485" s="291"/>
      <c r="E1485" s="212"/>
    </row>
    <row r="1486" spans="2:5" x14ac:dyDescent="0.2">
      <c r="B1486" s="291"/>
      <c r="E1486" s="212"/>
    </row>
    <row r="1487" spans="2:5" x14ac:dyDescent="0.2">
      <c r="B1487" s="291"/>
      <c r="E1487" s="212"/>
    </row>
    <row r="1488" spans="2:5" x14ac:dyDescent="0.2">
      <c r="B1488" s="291"/>
      <c r="E1488" s="212"/>
    </row>
    <row r="1489" spans="2:5" x14ac:dyDescent="0.2">
      <c r="B1489" s="291"/>
      <c r="E1489" s="212"/>
    </row>
    <row r="1490" spans="2:5" x14ac:dyDescent="0.2">
      <c r="B1490" s="291"/>
      <c r="C1490" s="229"/>
      <c r="E1490" s="212"/>
    </row>
    <row r="1491" spans="2:5" x14ac:dyDescent="0.2">
      <c r="B1491" s="291"/>
      <c r="E1491" s="212"/>
    </row>
    <row r="1492" spans="2:5" x14ac:dyDescent="0.2">
      <c r="B1492" s="291"/>
      <c r="E1492" s="212"/>
    </row>
    <row r="1493" spans="2:5" x14ac:dyDescent="0.2">
      <c r="B1493" s="291"/>
      <c r="E1493" s="212"/>
    </row>
    <row r="1494" spans="2:5" x14ac:dyDescent="0.2">
      <c r="B1494" s="291"/>
      <c r="E1494" s="212"/>
    </row>
    <row r="1495" spans="2:5" x14ac:dyDescent="0.2">
      <c r="B1495" s="291"/>
      <c r="E1495" s="212"/>
    </row>
    <row r="1496" spans="2:5" x14ac:dyDescent="0.2">
      <c r="B1496" s="291"/>
      <c r="E1496" s="212"/>
    </row>
    <row r="1497" spans="2:5" x14ac:dyDescent="0.2">
      <c r="B1497" s="291"/>
      <c r="E1497" s="212"/>
    </row>
    <row r="1498" spans="2:5" x14ac:dyDescent="0.2">
      <c r="B1498" s="291"/>
      <c r="E1498" s="212"/>
    </row>
    <row r="1499" spans="2:5" x14ac:dyDescent="0.2">
      <c r="B1499" s="291"/>
      <c r="E1499" s="212"/>
    </row>
    <row r="1500" spans="2:5" x14ac:dyDescent="0.2">
      <c r="B1500" s="291"/>
      <c r="E1500" s="212"/>
    </row>
    <row r="1501" spans="2:5" x14ac:dyDescent="0.2">
      <c r="B1501" s="291"/>
      <c r="E1501" s="212"/>
    </row>
    <row r="1502" spans="2:5" x14ac:dyDescent="0.2">
      <c r="B1502" s="291"/>
      <c r="E1502" s="212"/>
    </row>
    <row r="1503" spans="2:5" x14ac:dyDescent="0.2">
      <c r="B1503" s="291"/>
      <c r="E1503" s="212"/>
    </row>
    <row r="1504" spans="2:5" x14ac:dyDescent="0.2">
      <c r="B1504" s="291"/>
      <c r="E1504" s="212"/>
    </row>
    <row r="1505" spans="2:5" x14ac:dyDescent="0.2">
      <c r="B1505" s="291"/>
      <c r="E1505" s="212"/>
    </row>
    <row r="1506" spans="2:5" x14ac:dyDescent="0.2">
      <c r="B1506" s="291"/>
      <c r="E1506" s="212"/>
    </row>
    <row r="1507" spans="2:5" x14ac:dyDescent="0.2">
      <c r="B1507" s="291"/>
      <c r="E1507" s="212"/>
    </row>
    <row r="1508" spans="2:5" x14ac:dyDescent="0.2">
      <c r="B1508" s="291"/>
      <c r="E1508" s="212"/>
    </row>
    <row r="1509" spans="2:5" x14ac:dyDescent="0.2">
      <c r="B1509" s="291"/>
      <c r="E1509" s="212"/>
    </row>
    <row r="1510" spans="2:5" x14ac:dyDescent="0.2">
      <c r="B1510" s="291"/>
      <c r="E1510" s="212"/>
    </row>
    <row r="1511" spans="2:5" x14ac:dyDescent="0.2">
      <c r="B1511" s="291"/>
      <c r="E1511" s="212"/>
    </row>
    <row r="1512" spans="2:5" x14ac:dyDescent="0.2">
      <c r="B1512" s="291"/>
      <c r="E1512" s="212"/>
    </row>
    <row r="1513" spans="2:5" x14ac:dyDescent="0.2">
      <c r="B1513" s="291"/>
      <c r="E1513" s="212"/>
    </row>
    <row r="1514" spans="2:5" x14ac:dyDescent="0.2">
      <c r="B1514" s="291"/>
      <c r="E1514" s="212"/>
    </row>
    <row r="1515" spans="2:5" x14ac:dyDescent="0.2">
      <c r="B1515" s="291"/>
      <c r="E1515" s="212"/>
    </row>
    <row r="1516" spans="2:5" x14ac:dyDescent="0.2">
      <c r="B1516" s="291"/>
      <c r="E1516" s="212"/>
    </row>
    <row r="1517" spans="2:5" x14ac:dyDescent="0.2">
      <c r="B1517" s="291"/>
      <c r="E1517" s="212"/>
    </row>
    <row r="1518" spans="2:5" x14ac:dyDescent="0.2">
      <c r="B1518" s="291"/>
      <c r="E1518" s="212"/>
    </row>
    <row r="1519" spans="2:5" x14ac:dyDescent="0.2">
      <c r="B1519" s="291"/>
      <c r="E1519" s="212"/>
    </row>
    <row r="1520" spans="2:5" x14ac:dyDescent="0.2">
      <c r="B1520" s="291"/>
      <c r="E1520" s="212"/>
    </row>
    <row r="1521" spans="2:5" x14ac:dyDescent="0.2">
      <c r="B1521" s="291"/>
      <c r="E1521" s="212"/>
    </row>
    <row r="1522" spans="2:5" x14ac:dyDescent="0.2">
      <c r="B1522" s="291"/>
      <c r="E1522" s="212"/>
    </row>
    <row r="1523" spans="2:5" x14ac:dyDescent="0.2">
      <c r="B1523" s="291"/>
      <c r="E1523" s="212"/>
    </row>
    <row r="1524" spans="2:5" x14ac:dyDescent="0.2">
      <c r="B1524" s="291"/>
      <c r="E1524" s="212"/>
    </row>
    <row r="1525" spans="2:5" x14ac:dyDescent="0.2">
      <c r="B1525" s="291"/>
      <c r="E1525" s="212"/>
    </row>
    <row r="1526" spans="2:5" x14ac:dyDescent="0.2">
      <c r="B1526" s="291"/>
      <c r="E1526" s="212"/>
    </row>
    <row r="1527" spans="2:5" x14ac:dyDescent="0.2">
      <c r="B1527" s="291"/>
      <c r="E1527" s="212"/>
    </row>
    <row r="1528" spans="2:5" x14ac:dyDescent="0.2">
      <c r="B1528" s="291"/>
      <c r="E1528" s="212"/>
    </row>
    <row r="1529" spans="2:5" x14ac:dyDescent="0.2">
      <c r="B1529" s="291"/>
      <c r="E1529" s="212"/>
    </row>
    <row r="1530" spans="2:5" x14ac:dyDescent="0.2">
      <c r="B1530" s="291"/>
      <c r="E1530" s="212"/>
    </row>
    <row r="1531" spans="2:5" x14ac:dyDescent="0.2">
      <c r="B1531" s="291"/>
      <c r="E1531" s="212"/>
    </row>
    <row r="1532" spans="2:5" x14ac:dyDescent="0.2">
      <c r="B1532" s="291"/>
      <c r="E1532" s="212"/>
    </row>
    <row r="1533" spans="2:5" x14ac:dyDescent="0.2">
      <c r="B1533" s="291"/>
      <c r="E1533" s="212"/>
    </row>
    <row r="1534" spans="2:5" x14ac:dyDescent="0.2">
      <c r="B1534" s="291"/>
      <c r="E1534" s="212"/>
    </row>
    <row r="1535" spans="2:5" x14ac:dyDescent="0.2">
      <c r="B1535" s="291"/>
      <c r="E1535" s="212"/>
    </row>
    <row r="1536" spans="2:5" x14ac:dyDescent="0.2">
      <c r="B1536" s="291"/>
      <c r="E1536" s="212"/>
    </row>
    <row r="1537" spans="2:5" x14ac:dyDescent="0.2">
      <c r="B1537" s="291"/>
      <c r="E1537" s="212"/>
    </row>
    <row r="1538" spans="2:5" x14ac:dyDescent="0.2">
      <c r="B1538" s="291"/>
      <c r="E1538" s="212"/>
    </row>
    <row r="1539" spans="2:5" x14ac:dyDescent="0.2">
      <c r="B1539" s="291"/>
      <c r="E1539" s="212"/>
    </row>
    <row r="1540" spans="2:5" x14ac:dyDescent="0.2">
      <c r="B1540" s="291"/>
      <c r="E1540" s="212"/>
    </row>
    <row r="1541" spans="2:5" x14ac:dyDescent="0.2">
      <c r="B1541" s="291"/>
      <c r="E1541" s="212"/>
    </row>
    <row r="1542" spans="2:5" x14ac:dyDescent="0.2">
      <c r="B1542" s="291"/>
      <c r="E1542" s="212"/>
    </row>
    <row r="1543" spans="2:5" x14ac:dyDescent="0.2">
      <c r="B1543" s="291"/>
      <c r="E1543" s="212"/>
    </row>
    <row r="1544" spans="2:5" x14ac:dyDescent="0.2">
      <c r="B1544" s="291"/>
      <c r="E1544" s="212"/>
    </row>
    <row r="1545" spans="2:5" x14ac:dyDescent="0.2">
      <c r="B1545" s="291"/>
      <c r="E1545" s="212"/>
    </row>
    <row r="1546" spans="2:5" x14ac:dyDescent="0.2">
      <c r="B1546" s="291"/>
      <c r="E1546" s="212"/>
    </row>
    <row r="1547" spans="2:5" x14ac:dyDescent="0.2">
      <c r="B1547" s="291"/>
      <c r="E1547" s="212"/>
    </row>
    <row r="1548" spans="2:5" x14ac:dyDescent="0.2">
      <c r="B1548" s="291"/>
      <c r="E1548" s="212"/>
    </row>
    <row r="1549" spans="2:5" x14ac:dyDescent="0.2">
      <c r="B1549" s="291"/>
      <c r="E1549" s="212"/>
    </row>
    <row r="1550" spans="2:5" x14ac:dyDescent="0.2">
      <c r="B1550" s="291"/>
      <c r="E1550" s="212"/>
    </row>
    <row r="1551" spans="2:5" x14ac:dyDescent="0.2">
      <c r="B1551" s="291"/>
      <c r="E1551" s="212"/>
    </row>
    <row r="1552" spans="2:5" x14ac:dyDescent="0.2">
      <c r="B1552" s="291"/>
      <c r="E1552" s="212"/>
    </row>
    <row r="1553" spans="2:5" x14ac:dyDescent="0.2">
      <c r="B1553" s="291"/>
      <c r="E1553" s="212"/>
    </row>
    <row r="1554" spans="2:5" x14ac:dyDescent="0.2">
      <c r="B1554" s="291"/>
      <c r="E1554" s="212"/>
    </row>
    <row r="1555" spans="2:5" x14ac:dyDescent="0.2">
      <c r="B1555" s="291"/>
      <c r="E1555" s="212"/>
    </row>
    <row r="1556" spans="2:5" x14ac:dyDescent="0.2">
      <c r="B1556" s="291"/>
      <c r="E1556" s="212"/>
    </row>
    <row r="1557" spans="2:5" x14ac:dyDescent="0.2">
      <c r="B1557" s="291"/>
      <c r="E1557" s="212"/>
    </row>
    <row r="1558" spans="2:5" x14ac:dyDescent="0.2">
      <c r="B1558" s="291"/>
      <c r="E1558" s="212"/>
    </row>
    <row r="1559" spans="2:5" x14ac:dyDescent="0.2">
      <c r="B1559" s="291"/>
      <c r="E1559" s="212"/>
    </row>
    <row r="1560" spans="2:5" x14ac:dyDescent="0.2">
      <c r="B1560" s="291"/>
      <c r="E1560" s="212"/>
    </row>
    <row r="1561" spans="2:5" x14ac:dyDescent="0.2">
      <c r="B1561" s="291"/>
      <c r="E1561" s="212"/>
    </row>
    <row r="1562" spans="2:5" x14ac:dyDescent="0.2">
      <c r="B1562" s="291"/>
      <c r="E1562" s="212"/>
    </row>
    <row r="1563" spans="2:5" x14ac:dyDescent="0.2">
      <c r="B1563" s="291"/>
      <c r="E1563" s="212"/>
    </row>
    <row r="1564" spans="2:5" x14ac:dyDescent="0.2">
      <c r="B1564" s="291"/>
      <c r="E1564" s="212"/>
    </row>
    <row r="1565" spans="2:5" x14ac:dyDescent="0.2">
      <c r="B1565" s="291"/>
      <c r="E1565" s="212"/>
    </row>
    <row r="1566" spans="2:5" x14ac:dyDescent="0.2">
      <c r="B1566" s="291"/>
      <c r="E1566" s="212"/>
    </row>
    <row r="1567" spans="2:5" x14ac:dyDescent="0.2">
      <c r="B1567" s="291"/>
      <c r="E1567" s="212"/>
    </row>
    <row r="1568" spans="2:5" x14ac:dyDescent="0.2">
      <c r="B1568" s="291"/>
      <c r="E1568" s="212"/>
    </row>
    <row r="1569" spans="2:5" x14ac:dyDescent="0.2">
      <c r="B1569" s="291"/>
      <c r="E1569" s="212"/>
    </row>
    <row r="1570" spans="2:5" x14ac:dyDescent="0.2">
      <c r="B1570" s="291"/>
      <c r="E1570" s="212"/>
    </row>
    <row r="1571" spans="2:5" x14ac:dyDescent="0.2">
      <c r="B1571" s="291"/>
      <c r="E1571" s="212"/>
    </row>
    <row r="1572" spans="2:5" x14ac:dyDescent="0.2">
      <c r="B1572" s="291"/>
      <c r="E1572" s="212"/>
    </row>
    <row r="1573" spans="2:5" x14ac:dyDescent="0.2">
      <c r="B1573" s="291"/>
      <c r="E1573" s="212"/>
    </row>
    <row r="1574" spans="2:5" x14ac:dyDescent="0.2">
      <c r="B1574" s="291"/>
      <c r="E1574" s="212"/>
    </row>
    <row r="1575" spans="2:5" x14ac:dyDescent="0.2">
      <c r="B1575" s="291"/>
      <c r="E1575" s="212"/>
    </row>
    <row r="1576" spans="2:5" x14ac:dyDescent="0.2">
      <c r="B1576" s="291"/>
      <c r="E1576" s="212"/>
    </row>
    <row r="1577" spans="2:5" x14ac:dyDescent="0.2">
      <c r="B1577" s="291"/>
      <c r="E1577" s="212"/>
    </row>
    <row r="1578" spans="2:5" x14ac:dyDescent="0.2">
      <c r="B1578" s="291"/>
      <c r="E1578" s="212"/>
    </row>
    <row r="1579" spans="2:5" x14ac:dyDescent="0.2">
      <c r="B1579" s="291"/>
      <c r="E1579" s="212"/>
    </row>
    <row r="1580" spans="2:5" x14ac:dyDescent="0.2">
      <c r="B1580" s="291"/>
      <c r="E1580" s="212"/>
    </row>
    <row r="1581" spans="2:5" x14ac:dyDescent="0.2">
      <c r="B1581" s="291"/>
      <c r="E1581" s="212"/>
    </row>
    <row r="1582" spans="2:5" x14ac:dyDescent="0.2">
      <c r="B1582" s="291"/>
      <c r="E1582" s="212"/>
    </row>
    <row r="1583" spans="2:5" x14ac:dyDescent="0.2">
      <c r="B1583" s="291"/>
      <c r="E1583" s="212"/>
    </row>
    <row r="1584" spans="2:5" x14ac:dyDescent="0.2">
      <c r="B1584" s="291"/>
      <c r="E1584" s="212"/>
    </row>
    <row r="1585" spans="2:5" x14ac:dyDescent="0.2">
      <c r="B1585" s="291"/>
      <c r="E1585" s="212"/>
    </row>
    <row r="1586" spans="2:5" x14ac:dyDescent="0.2">
      <c r="B1586" s="291"/>
      <c r="E1586" s="212"/>
    </row>
    <row r="1587" spans="2:5" x14ac:dyDescent="0.2">
      <c r="B1587" s="291"/>
      <c r="E1587" s="212"/>
    </row>
    <row r="1588" spans="2:5" x14ac:dyDescent="0.2">
      <c r="B1588" s="291"/>
      <c r="E1588" s="212"/>
    </row>
    <row r="1589" spans="2:5" x14ac:dyDescent="0.2">
      <c r="B1589" s="291"/>
      <c r="E1589" s="212"/>
    </row>
    <row r="1590" spans="2:5" x14ac:dyDescent="0.2">
      <c r="B1590" s="291"/>
      <c r="E1590" s="212"/>
    </row>
    <row r="1591" spans="2:5" x14ac:dyDescent="0.2">
      <c r="B1591" s="291"/>
      <c r="E1591" s="212"/>
    </row>
    <row r="1592" spans="2:5" x14ac:dyDescent="0.2">
      <c r="B1592" s="291"/>
      <c r="E1592" s="212"/>
    </row>
    <row r="1593" spans="2:5" x14ac:dyDescent="0.2">
      <c r="B1593" s="291"/>
      <c r="E1593" s="212"/>
    </row>
    <row r="1594" spans="2:5" x14ac:dyDescent="0.2">
      <c r="B1594" s="291"/>
      <c r="E1594" s="212"/>
    </row>
    <row r="1595" spans="2:5" x14ac:dyDescent="0.2">
      <c r="B1595" s="291"/>
      <c r="E1595" s="212"/>
    </row>
    <row r="1596" spans="2:5" x14ac:dyDescent="0.2">
      <c r="B1596" s="291"/>
      <c r="E1596" s="212"/>
    </row>
    <row r="1597" spans="2:5" x14ac:dyDescent="0.2">
      <c r="B1597" s="291"/>
      <c r="E1597" s="212"/>
    </row>
    <row r="1598" spans="2:5" x14ac:dyDescent="0.2">
      <c r="B1598" s="291"/>
      <c r="E1598" s="212"/>
    </row>
    <row r="1599" spans="2:5" x14ac:dyDescent="0.2">
      <c r="B1599" s="291"/>
      <c r="E1599" s="212"/>
    </row>
    <row r="1600" spans="2:5" x14ac:dyDescent="0.2">
      <c r="B1600" s="291"/>
      <c r="E1600" s="212"/>
    </row>
    <row r="1601" spans="2:5" x14ac:dyDescent="0.2">
      <c r="B1601" s="291"/>
      <c r="E1601" s="212"/>
    </row>
    <row r="1602" spans="2:5" x14ac:dyDescent="0.2">
      <c r="B1602" s="291"/>
      <c r="E1602" s="212"/>
    </row>
    <row r="1603" spans="2:5" x14ac:dyDescent="0.2">
      <c r="B1603" s="291"/>
      <c r="E1603" s="212"/>
    </row>
    <row r="1604" spans="2:5" x14ac:dyDescent="0.2">
      <c r="B1604" s="291"/>
      <c r="E1604" s="212"/>
    </row>
    <row r="1605" spans="2:5" x14ac:dyDescent="0.2">
      <c r="B1605" s="291"/>
      <c r="E1605" s="212"/>
    </row>
    <row r="1606" spans="2:5" x14ac:dyDescent="0.2">
      <c r="B1606" s="291"/>
      <c r="E1606" s="212"/>
    </row>
    <row r="1607" spans="2:5" x14ac:dyDescent="0.2">
      <c r="B1607" s="291"/>
      <c r="E1607" s="212"/>
    </row>
    <row r="1608" spans="2:5" x14ac:dyDescent="0.2">
      <c r="B1608" s="291"/>
      <c r="E1608" s="212"/>
    </row>
    <row r="1609" spans="2:5" x14ac:dyDescent="0.2">
      <c r="B1609" s="291"/>
      <c r="E1609" s="212"/>
    </row>
    <row r="1610" spans="2:5" x14ac:dyDescent="0.2">
      <c r="B1610" s="291"/>
      <c r="E1610" s="212"/>
    </row>
    <row r="1611" spans="2:5" x14ac:dyDescent="0.2">
      <c r="B1611" s="291"/>
      <c r="E1611" s="212"/>
    </row>
    <row r="1612" spans="2:5" x14ac:dyDescent="0.2">
      <c r="B1612" s="291"/>
      <c r="E1612" s="212"/>
    </row>
    <row r="1613" spans="2:5" x14ac:dyDescent="0.2">
      <c r="B1613" s="291"/>
      <c r="E1613" s="212"/>
    </row>
    <row r="1614" spans="2:5" x14ac:dyDescent="0.2">
      <c r="B1614" s="291"/>
      <c r="E1614" s="212"/>
    </row>
    <row r="1615" spans="2:5" x14ac:dyDescent="0.2">
      <c r="B1615" s="291"/>
      <c r="E1615" s="212"/>
    </row>
    <row r="1616" spans="2:5" x14ac:dyDescent="0.2">
      <c r="B1616" s="291"/>
      <c r="E1616" s="212"/>
    </row>
    <row r="1617" spans="2:5" x14ac:dyDescent="0.2">
      <c r="B1617" s="291"/>
      <c r="E1617" s="212"/>
    </row>
    <row r="1618" spans="2:5" x14ac:dyDescent="0.2">
      <c r="B1618" s="291"/>
      <c r="E1618" s="212"/>
    </row>
    <row r="1619" spans="2:5" x14ac:dyDescent="0.2">
      <c r="B1619" s="291"/>
      <c r="E1619" s="212"/>
    </row>
    <row r="1620" spans="2:5" x14ac:dyDescent="0.2">
      <c r="B1620" s="291"/>
      <c r="E1620" s="212"/>
    </row>
    <row r="1621" spans="2:5" x14ac:dyDescent="0.2">
      <c r="B1621" s="291"/>
      <c r="E1621" s="212"/>
    </row>
    <row r="1622" spans="2:5" x14ac:dyDescent="0.2">
      <c r="B1622" s="291"/>
      <c r="E1622" s="212"/>
    </row>
    <row r="1623" spans="2:5" x14ac:dyDescent="0.2">
      <c r="B1623" s="291"/>
      <c r="E1623" s="212"/>
    </row>
    <row r="1624" spans="2:5" x14ac:dyDescent="0.2">
      <c r="B1624" s="291"/>
      <c r="E1624" s="212"/>
    </row>
    <row r="1625" spans="2:5" x14ac:dyDescent="0.2">
      <c r="B1625" s="291"/>
      <c r="E1625" s="212"/>
    </row>
    <row r="1626" spans="2:5" x14ac:dyDescent="0.2">
      <c r="B1626" s="291"/>
      <c r="E1626" s="212"/>
    </row>
    <row r="1627" spans="2:5" x14ac:dyDescent="0.2">
      <c r="B1627" s="291"/>
      <c r="E1627" s="212"/>
    </row>
    <row r="1628" spans="2:5" x14ac:dyDescent="0.2">
      <c r="B1628" s="291"/>
      <c r="E1628" s="212"/>
    </row>
    <row r="1629" spans="2:5" x14ac:dyDescent="0.2">
      <c r="B1629" s="291"/>
      <c r="E1629" s="212"/>
    </row>
    <row r="1630" spans="2:5" x14ac:dyDescent="0.2">
      <c r="B1630" s="291"/>
      <c r="E1630" s="212"/>
    </row>
    <row r="1631" spans="2:5" x14ac:dyDescent="0.2">
      <c r="B1631" s="291"/>
      <c r="E1631" s="212"/>
    </row>
    <row r="1632" spans="2:5" x14ac:dyDescent="0.2">
      <c r="B1632" s="291"/>
      <c r="E1632" s="212"/>
    </row>
    <row r="1633" spans="2:5" x14ac:dyDescent="0.2">
      <c r="B1633" s="291"/>
      <c r="E1633" s="212"/>
    </row>
    <row r="1634" spans="2:5" x14ac:dyDescent="0.2">
      <c r="B1634" s="291"/>
      <c r="E1634" s="212"/>
    </row>
    <row r="1635" spans="2:5" x14ac:dyDescent="0.2">
      <c r="B1635" s="291"/>
      <c r="E1635" s="212"/>
    </row>
    <row r="1636" spans="2:5" x14ac:dyDescent="0.2">
      <c r="B1636" s="291"/>
      <c r="E1636" s="212"/>
    </row>
    <row r="1637" spans="2:5" x14ac:dyDescent="0.2">
      <c r="B1637" s="291"/>
      <c r="E1637" s="212"/>
    </row>
    <row r="1638" spans="2:5" x14ac:dyDescent="0.2">
      <c r="B1638" s="291"/>
      <c r="E1638" s="212"/>
    </row>
    <row r="1639" spans="2:5" x14ac:dyDescent="0.2">
      <c r="B1639" s="291"/>
      <c r="E1639" s="212"/>
    </row>
    <row r="1640" spans="2:5" x14ac:dyDescent="0.2">
      <c r="B1640" s="291"/>
      <c r="E1640" s="212"/>
    </row>
    <row r="1641" spans="2:5" x14ac:dyDescent="0.2">
      <c r="B1641" s="291"/>
      <c r="E1641" s="212"/>
    </row>
    <row r="1642" spans="2:5" x14ac:dyDescent="0.2">
      <c r="B1642" s="291"/>
      <c r="E1642" s="212"/>
    </row>
    <row r="1643" spans="2:5" x14ac:dyDescent="0.2">
      <c r="B1643" s="291"/>
      <c r="E1643" s="212"/>
    </row>
    <row r="1644" spans="2:5" x14ac:dyDescent="0.2">
      <c r="B1644" s="291"/>
      <c r="E1644" s="212"/>
    </row>
    <row r="1645" spans="2:5" x14ac:dyDescent="0.2">
      <c r="B1645" s="291"/>
      <c r="E1645" s="212"/>
    </row>
    <row r="1646" spans="2:5" x14ac:dyDescent="0.2">
      <c r="B1646" s="291"/>
      <c r="E1646" s="212"/>
    </row>
    <row r="1647" spans="2:5" x14ac:dyDescent="0.2">
      <c r="B1647" s="291"/>
      <c r="E1647" s="212"/>
    </row>
    <row r="1648" spans="2:5" x14ac:dyDescent="0.2">
      <c r="B1648" s="291"/>
      <c r="E1648" s="212"/>
    </row>
    <row r="1649" spans="2:5" x14ac:dyDescent="0.2">
      <c r="B1649" s="291"/>
      <c r="E1649" s="212"/>
    </row>
    <row r="1650" spans="2:5" x14ac:dyDescent="0.2">
      <c r="B1650" s="291"/>
      <c r="E1650" s="212"/>
    </row>
    <row r="1651" spans="2:5" x14ac:dyDescent="0.2">
      <c r="B1651" s="291"/>
      <c r="E1651" s="212"/>
    </row>
    <row r="1652" spans="2:5" x14ac:dyDescent="0.2">
      <c r="B1652" s="291"/>
      <c r="E1652" s="212"/>
    </row>
    <row r="1653" spans="2:5" x14ac:dyDescent="0.2">
      <c r="B1653" s="291"/>
      <c r="E1653" s="212"/>
    </row>
    <row r="1654" spans="2:5" x14ac:dyDescent="0.2">
      <c r="B1654" s="291"/>
      <c r="E1654" s="212"/>
    </row>
    <row r="1655" spans="2:5" x14ac:dyDescent="0.2">
      <c r="B1655" s="291"/>
      <c r="E1655" s="212"/>
    </row>
    <row r="1656" spans="2:5" x14ac:dyDescent="0.2">
      <c r="B1656" s="291"/>
      <c r="E1656" s="212"/>
    </row>
    <row r="1657" spans="2:5" x14ac:dyDescent="0.2">
      <c r="B1657" s="291"/>
      <c r="E1657" s="212"/>
    </row>
    <row r="1658" spans="2:5" x14ac:dyDescent="0.2">
      <c r="B1658" s="291"/>
      <c r="E1658" s="212"/>
    </row>
    <row r="1659" spans="2:5" x14ac:dyDescent="0.2">
      <c r="B1659" s="291"/>
      <c r="E1659" s="212"/>
    </row>
    <row r="1660" spans="2:5" x14ac:dyDescent="0.2">
      <c r="B1660" s="291"/>
      <c r="E1660" s="212"/>
    </row>
    <row r="1661" spans="2:5" x14ac:dyDescent="0.2">
      <c r="B1661" s="291"/>
      <c r="E1661" s="212"/>
    </row>
    <row r="1662" spans="2:5" x14ac:dyDescent="0.2">
      <c r="B1662" s="291"/>
      <c r="E1662" s="212"/>
    </row>
    <row r="1663" spans="2:5" x14ac:dyDescent="0.2">
      <c r="B1663" s="291"/>
      <c r="E1663" s="212"/>
    </row>
    <row r="1664" spans="2:5" x14ac:dyDescent="0.2">
      <c r="B1664" s="291"/>
      <c r="E1664" s="212"/>
    </row>
    <row r="1665" spans="2:5" x14ac:dyDescent="0.2">
      <c r="B1665" s="291"/>
      <c r="E1665" s="212"/>
    </row>
    <row r="1666" spans="2:5" x14ac:dyDescent="0.2">
      <c r="B1666" s="291"/>
      <c r="E1666" s="212"/>
    </row>
    <row r="1667" spans="2:5" x14ac:dyDescent="0.2">
      <c r="B1667" s="291"/>
      <c r="E1667" s="212"/>
    </row>
    <row r="1668" spans="2:5" x14ac:dyDescent="0.2">
      <c r="B1668" s="291"/>
      <c r="E1668" s="212"/>
    </row>
    <row r="1669" spans="2:5" x14ac:dyDescent="0.2">
      <c r="B1669" s="291"/>
      <c r="E1669" s="212"/>
    </row>
    <row r="1670" spans="2:5" x14ac:dyDescent="0.2">
      <c r="B1670" s="291"/>
      <c r="E1670" s="212"/>
    </row>
    <row r="1671" spans="2:5" x14ac:dyDescent="0.2">
      <c r="B1671" s="291"/>
      <c r="E1671" s="212"/>
    </row>
    <row r="1672" spans="2:5" x14ac:dyDescent="0.2">
      <c r="B1672" s="291"/>
      <c r="E1672" s="212"/>
    </row>
    <row r="1673" spans="2:5" x14ac:dyDescent="0.2">
      <c r="B1673" s="291"/>
      <c r="E1673" s="212"/>
    </row>
    <row r="1674" spans="2:5" x14ac:dyDescent="0.2">
      <c r="B1674" s="291"/>
      <c r="E1674" s="212"/>
    </row>
    <row r="1675" spans="2:5" x14ac:dyDescent="0.2">
      <c r="B1675" s="291"/>
      <c r="E1675" s="212"/>
    </row>
    <row r="1676" spans="2:5" x14ac:dyDescent="0.2">
      <c r="B1676" s="291"/>
      <c r="E1676" s="212"/>
    </row>
    <row r="1677" spans="2:5" x14ac:dyDescent="0.2">
      <c r="B1677" s="291"/>
      <c r="E1677" s="212"/>
    </row>
    <row r="1678" spans="2:5" x14ac:dyDescent="0.2">
      <c r="B1678" s="291"/>
      <c r="E1678" s="212"/>
    </row>
    <row r="1679" spans="2:5" x14ac:dyDescent="0.2">
      <c r="B1679" s="291"/>
      <c r="E1679" s="212"/>
    </row>
    <row r="1680" spans="2:5" x14ac:dyDescent="0.2">
      <c r="B1680" s="291"/>
      <c r="E1680" s="212"/>
    </row>
    <row r="1681" spans="2:5" x14ac:dyDescent="0.2">
      <c r="B1681" s="291"/>
      <c r="E1681" s="212"/>
    </row>
    <row r="1682" spans="2:5" x14ac:dyDescent="0.2">
      <c r="B1682" s="291"/>
      <c r="E1682" s="212"/>
    </row>
    <row r="1683" spans="2:5" x14ac:dyDescent="0.2">
      <c r="B1683" s="291"/>
      <c r="E1683" s="212"/>
    </row>
    <row r="1684" spans="2:5" x14ac:dyDescent="0.2">
      <c r="B1684" s="291"/>
      <c r="E1684" s="212"/>
    </row>
    <row r="1685" spans="2:5" x14ac:dyDescent="0.2">
      <c r="B1685" s="291"/>
      <c r="E1685" s="212"/>
    </row>
    <row r="1686" spans="2:5" x14ac:dyDescent="0.2">
      <c r="B1686" s="291"/>
      <c r="E1686" s="212"/>
    </row>
    <row r="1687" spans="2:5" x14ac:dyDescent="0.2">
      <c r="B1687" s="291"/>
      <c r="E1687" s="212"/>
    </row>
    <row r="1688" spans="2:5" x14ac:dyDescent="0.2">
      <c r="B1688" s="291"/>
      <c r="E1688" s="212"/>
    </row>
    <row r="1689" spans="2:5" x14ac:dyDescent="0.2">
      <c r="B1689" s="291"/>
      <c r="E1689" s="212"/>
    </row>
    <row r="1690" spans="2:5" x14ac:dyDescent="0.2">
      <c r="B1690" s="291"/>
      <c r="E1690" s="212"/>
    </row>
    <row r="1691" spans="2:5" x14ac:dyDescent="0.2">
      <c r="B1691" s="291"/>
      <c r="E1691" s="212"/>
    </row>
    <row r="1692" spans="2:5" x14ac:dyDescent="0.2">
      <c r="B1692" s="291"/>
      <c r="E1692" s="212"/>
    </row>
    <row r="1693" spans="2:5" x14ac:dyDescent="0.2">
      <c r="B1693" s="291"/>
      <c r="E1693" s="212"/>
    </row>
    <row r="1694" spans="2:5" x14ac:dyDescent="0.2">
      <c r="B1694" s="291"/>
      <c r="E1694" s="212"/>
    </row>
    <row r="1695" spans="2:5" x14ac:dyDescent="0.2">
      <c r="B1695" s="291"/>
      <c r="E1695" s="212"/>
    </row>
    <row r="1696" spans="2:5" x14ac:dyDescent="0.2">
      <c r="B1696" s="291"/>
      <c r="E1696" s="212"/>
    </row>
    <row r="1697" spans="2:5" x14ac:dyDescent="0.2">
      <c r="B1697" s="291"/>
      <c r="E1697" s="212"/>
    </row>
    <row r="1698" spans="2:5" x14ac:dyDescent="0.2">
      <c r="B1698" s="291"/>
      <c r="E1698" s="212"/>
    </row>
    <row r="1699" spans="2:5" x14ac:dyDescent="0.2">
      <c r="B1699" s="291"/>
      <c r="E1699" s="212"/>
    </row>
    <row r="1700" spans="2:5" x14ac:dyDescent="0.2">
      <c r="B1700" s="291"/>
      <c r="E1700" s="212"/>
    </row>
    <row r="1701" spans="2:5" x14ac:dyDescent="0.2">
      <c r="B1701" s="291"/>
      <c r="E1701" s="212"/>
    </row>
    <row r="1702" spans="2:5" x14ac:dyDescent="0.2">
      <c r="B1702" s="291"/>
      <c r="E1702" s="212"/>
    </row>
    <row r="1703" spans="2:5" x14ac:dyDescent="0.2">
      <c r="B1703" s="291"/>
      <c r="E1703" s="212"/>
    </row>
    <row r="1704" spans="2:5" x14ac:dyDescent="0.2">
      <c r="B1704" s="291"/>
      <c r="E1704" s="212"/>
    </row>
    <row r="1705" spans="2:5" x14ac:dyDescent="0.2">
      <c r="B1705" s="291"/>
      <c r="E1705" s="212"/>
    </row>
    <row r="1706" spans="2:5" x14ac:dyDescent="0.2">
      <c r="B1706" s="291"/>
      <c r="E1706" s="212"/>
    </row>
    <row r="1707" spans="2:5" x14ac:dyDescent="0.2">
      <c r="B1707" s="291"/>
      <c r="E1707" s="212"/>
    </row>
    <row r="1708" spans="2:5" x14ac:dyDescent="0.2">
      <c r="B1708" s="291"/>
      <c r="E1708" s="212"/>
    </row>
    <row r="1709" spans="2:5" x14ac:dyDescent="0.2">
      <c r="B1709" s="291"/>
      <c r="E1709" s="212"/>
    </row>
    <row r="1710" spans="2:5" x14ac:dyDescent="0.2">
      <c r="B1710" s="291"/>
      <c r="E1710" s="212"/>
    </row>
    <row r="1711" spans="2:5" x14ac:dyDescent="0.2">
      <c r="B1711" s="291"/>
      <c r="E1711" s="212"/>
    </row>
    <row r="1712" spans="2:5" x14ac:dyDescent="0.2">
      <c r="B1712" s="291"/>
      <c r="E1712" s="212"/>
    </row>
    <row r="1713" spans="2:5" x14ac:dyDescent="0.2">
      <c r="B1713" s="291"/>
      <c r="E1713" s="212"/>
    </row>
    <row r="1714" spans="2:5" x14ac:dyDescent="0.2">
      <c r="B1714" s="291"/>
      <c r="E1714" s="212"/>
    </row>
    <row r="1715" spans="2:5" x14ac:dyDescent="0.2">
      <c r="B1715" s="291"/>
      <c r="E1715" s="212"/>
    </row>
    <row r="1716" spans="2:5" x14ac:dyDescent="0.2">
      <c r="B1716" s="291"/>
      <c r="E1716" s="212"/>
    </row>
    <row r="1717" spans="2:5" x14ac:dyDescent="0.2">
      <c r="B1717" s="291"/>
      <c r="E1717" s="212"/>
    </row>
    <row r="1718" spans="2:5" x14ac:dyDescent="0.2">
      <c r="B1718" s="291"/>
      <c r="E1718" s="212"/>
    </row>
    <row r="1719" spans="2:5" x14ac:dyDescent="0.2">
      <c r="B1719" s="291"/>
      <c r="E1719" s="212"/>
    </row>
    <row r="1720" spans="2:5" x14ac:dyDescent="0.2">
      <c r="B1720" s="291"/>
      <c r="E1720" s="212"/>
    </row>
    <row r="1721" spans="2:5" x14ac:dyDescent="0.2">
      <c r="B1721" s="291"/>
      <c r="E1721" s="212"/>
    </row>
    <row r="1722" spans="2:5" x14ac:dyDescent="0.2">
      <c r="B1722" s="291"/>
      <c r="E1722" s="212"/>
    </row>
    <row r="1723" spans="2:5" x14ac:dyDescent="0.2">
      <c r="B1723" s="291"/>
      <c r="E1723" s="212"/>
    </row>
    <row r="1724" spans="2:5" x14ac:dyDescent="0.2">
      <c r="B1724" s="291"/>
      <c r="E1724" s="212"/>
    </row>
    <row r="1725" spans="2:5" x14ac:dyDescent="0.2">
      <c r="B1725" s="291"/>
      <c r="E1725" s="212"/>
    </row>
    <row r="1726" spans="2:5" x14ac:dyDescent="0.2">
      <c r="B1726" s="291"/>
      <c r="E1726" s="212"/>
    </row>
    <row r="1727" spans="2:5" x14ac:dyDescent="0.2">
      <c r="B1727" s="291"/>
      <c r="E1727" s="212"/>
    </row>
    <row r="1728" spans="2:5" x14ac:dyDescent="0.2">
      <c r="B1728" s="291"/>
      <c r="E1728" s="212"/>
    </row>
    <row r="1729" spans="2:5" x14ac:dyDescent="0.2">
      <c r="B1729" s="291"/>
      <c r="E1729" s="212"/>
    </row>
    <row r="1730" spans="2:5" x14ac:dyDescent="0.2">
      <c r="B1730" s="291"/>
      <c r="E1730" s="212"/>
    </row>
    <row r="1731" spans="2:5" x14ac:dyDescent="0.2">
      <c r="B1731" s="291"/>
      <c r="E1731" s="212"/>
    </row>
    <row r="1732" spans="2:5" x14ac:dyDescent="0.2">
      <c r="B1732" s="291"/>
      <c r="E1732" s="212"/>
    </row>
    <row r="1733" spans="2:5" x14ac:dyDescent="0.2">
      <c r="B1733" s="291"/>
      <c r="E1733" s="212"/>
    </row>
    <row r="1734" spans="2:5" x14ac:dyDescent="0.2">
      <c r="B1734" s="291"/>
      <c r="E1734" s="212"/>
    </row>
    <row r="1735" spans="2:5" x14ac:dyDescent="0.2">
      <c r="B1735" s="291"/>
      <c r="E1735" s="212"/>
    </row>
    <row r="1736" spans="2:5" x14ac:dyDescent="0.2">
      <c r="B1736" s="291"/>
      <c r="E1736" s="212"/>
    </row>
    <row r="1737" spans="2:5" x14ac:dyDescent="0.2">
      <c r="B1737" s="291"/>
      <c r="E1737" s="212"/>
    </row>
    <row r="1738" spans="2:5" x14ac:dyDescent="0.2">
      <c r="B1738" s="291"/>
      <c r="E1738" s="212"/>
    </row>
    <row r="1739" spans="2:5" x14ac:dyDescent="0.2">
      <c r="B1739" s="291"/>
      <c r="E1739" s="212"/>
    </row>
    <row r="1740" spans="2:5" x14ac:dyDescent="0.2">
      <c r="B1740" s="291"/>
      <c r="E1740" s="212"/>
    </row>
    <row r="1741" spans="2:5" x14ac:dyDescent="0.2">
      <c r="B1741" s="291"/>
      <c r="E1741" s="212"/>
    </row>
    <row r="1742" spans="2:5" x14ac:dyDescent="0.2">
      <c r="B1742" s="291"/>
      <c r="E1742" s="212"/>
    </row>
    <row r="1743" spans="2:5" x14ac:dyDescent="0.2">
      <c r="B1743" s="291"/>
      <c r="E1743" s="212"/>
    </row>
    <row r="1744" spans="2:5" x14ac:dyDescent="0.2">
      <c r="B1744" s="291"/>
      <c r="E1744" s="212"/>
    </row>
    <row r="1745" spans="2:5" x14ac:dyDescent="0.2">
      <c r="B1745" s="291"/>
      <c r="E1745" s="212"/>
    </row>
    <row r="1746" spans="2:5" x14ac:dyDescent="0.2">
      <c r="B1746" s="291"/>
      <c r="E1746" s="212"/>
    </row>
    <row r="1747" spans="2:5" x14ac:dyDescent="0.2">
      <c r="B1747" s="291"/>
      <c r="E1747" s="212"/>
    </row>
    <row r="1748" spans="2:5" x14ac:dyDescent="0.2">
      <c r="B1748" s="291"/>
      <c r="E1748" s="212"/>
    </row>
    <row r="1749" spans="2:5" x14ac:dyDescent="0.2">
      <c r="B1749" s="291"/>
      <c r="E1749" s="212"/>
    </row>
    <row r="1750" spans="2:5" x14ac:dyDescent="0.2">
      <c r="B1750" s="291"/>
      <c r="E1750" s="212"/>
    </row>
    <row r="1751" spans="2:5" x14ac:dyDescent="0.2">
      <c r="B1751" s="291"/>
      <c r="E1751" s="212"/>
    </row>
    <row r="1752" spans="2:5" x14ac:dyDescent="0.2">
      <c r="B1752" s="291"/>
      <c r="E1752" s="212"/>
    </row>
    <row r="1753" spans="2:5" x14ac:dyDescent="0.2">
      <c r="B1753" s="291"/>
      <c r="E1753" s="212"/>
    </row>
    <row r="1754" spans="2:5" x14ac:dyDescent="0.2">
      <c r="B1754" s="291"/>
      <c r="E1754" s="212"/>
    </row>
    <row r="1755" spans="2:5" x14ac:dyDescent="0.2">
      <c r="B1755" s="291"/>
      <c r="E1755" s="212"/>
    </row>
    <row r="1756" spans="2:5" x14ac:dyDescent="0.2">
      <c r="B1756" s="291"/>
      <c r="E1756" s="212"/>
    </row>
    <row r="1757" spans="2:5" x14ac:dyDescent="0.2">
      <c r="B1757" s="291"/>
      <c r="E1757" s="212"/>
    </row>
    <row r="1758" spans="2:5" x14ac:dyDescent="0.2">
      <c r="B1758" s="291"/>
      <c r="E1758" s="212"/>
    </row>
    <row r="1759" spans="2:5" x14ac:dyDescent="0.2">
      <c r="B1759" s="291"/>
      <c r="E1759" s="212"/>
    </row>
    <row r="1760" spans="2:5" x14ac:dyDescent="0.2">
      <c r="B1760" s="291"/>
      <c r="E1760" s="212"/>
    </row>
    <row r="1761" spans="2:5" x14ac:dyDescent="0.2">
      <c r="B1761" s="291"/>
      <c r="E1761" s="212"/>
    </row>
    <row r="1762" spans="2:5" x14ac:dyDescent="0.2">
      <c r="B1762" s="291"/>
      <c r="E1762" s="212"/>
    </row>
    <row r="1763" spans="2:5" x14ac:dyDescent="0.2">
      <c r="B1763" s="291"/>
      <c r="E1763" s="212"/>
    </row>
    <row r="1764" spans="2:5" x14ac:dyDescent="0.2">
      <c r="B1764" s="291"/>
      <c r="E1764" s="212"/>
    </row>
    <row r="1765" spans="2:5" x14ac:dyDescent="0.2">
      <c r="B1765" s="291"/>
      <c r="E1765" s="212"/>
    </row>
    <row r="1766" spans="2:5" x14ac:dyDescent="0.2">
      <c r="B1766" s="291"/>
      <c r="E1766" s="212"/>
    </row>
    <row r="1767" spans="2:5" x14ac:dyDescent="0.2">
      <c r="B1767" s="291"/>
      <c r="E1767" s="212"/>
    </row>
    <row r="1768" spans="2:5" x14ac:dyDescent="0.2">
      <c r="B1768" s="291"/>
      <c r="E1768" s="212"/>
    </row>
    <row r="1769" spans="2:5" x14ac:dyDescent="0.2">
      <c r="B1769" s="291"/>
      <c r="E1769" s="212"/>
    </row>
    <row r="1770" spans="2:5" x14ac:dyDescent="0.2">
      <c r="B1770" s="291"/>
      <c r="E1770" s="212"/>
    </row>
    <row r="1771" spans="2:5" x14ac:dyDescent="0.2">
      <c r="B1771" s="291"/>
      <c r="E1771" s="212"/>
    </row>
    <row r="1772" spans="2:5" x14ac:dyDescent="0.2">
      <c r="B1772" s="291"/>
      <c r="E1772" s="212"/>
    </row>
    <row r="1773" spans="2:5" x14ac:dyDescent="0.2">
      <c r="B1773" s="291"/>
      <c r="E1773" s="212"/>
    </row>
    <row r="1774" spans="2:5" x14ac:dyDescent="0.2">
      <c r="B1774" s="291"/>
      <c r="E1774" s="212"/>
    </row>
    <row r="1775" spans="2:5" x14ac:dyDescent="0.2">
      <c r="B1775" s="291"/>
      <c r="E1775" s="212"/>
    </row>
    <row r="1776" spans="2:5" x14ac:dyDescent="0.2">
      <c r="B1776" s="291"/>
      <c r="E1776" s="212"/>
    </row>
    <row r="1777" spans="2:5" x14ac:dyDescent="0.2">
      <c r="B1777" s="291"/>
      <c r="E1777" s="212"/>
    </row>
    <row r="1778" spans="2:5" x14ac:dyDescent="0.2">
      <c r="B1778" s="291"/>
      <c r="E1778" s="212"/>
    </row>
    <row r="1779" spans="2:5" x14ac:dyDescent="0.2">
      <c r="B1779" s="291"/>
      <c r="E1779" s="212"/>
    </row>
    <row r="1780" spans="2:5" x14ac:dyDescent="0.2">
      <c r="B1780" s="291"/>
      <c r="E1780" s="212"/>
    </row>
    <row r="1781" spans="2:5" x14ac:dyDescent="0.2">
      <c r="B1781" s="291"/>
      <c r="E1781" s="212"/>
    </row>
    <row r="1782" spans="2:5" x14ac:dyDescent="0.2">
      <c r="B1782" s="291"/>
      <c r="E1782" s="212"/>
    </row>
    <row r="1783" spans="2:5" x14ac:dyDescent="0.2">
      <c r="B1783" s="291"/>
      <c r="E1783" s="212"/>
    </row>
    <row r="1784" spans="2:5" x14ac:dyDescent="0.2">
      <c r="B1784" s="291"/>
      <c r="E1784" s="212"/>
    </row>
    <row r="1785" spans="2:5" x14ac:dyDescent="0.2">
      <c r="B1785" s="291"/>
      <c r="E1785" s="212"/>
    </row>
    <row r="1786" spans="2:5" x14ac:dyDescent="0.2">
      <c r="B1786" s="291"/>
      <c r="E1786" s="212"/>
    </row>
    <row r="1787" spans="2:5" x14ac:dyDescent="0.2">
      <c r="B1787" s="291"/>
      <c r="E1787" s="212"/>
    </row>
    <row r="1788" spans="2:5" x14ac:dyDescent="0.2">
      <c r="B1788" s="291"/>
      <c r="E1788" s="212"/>
    </row>
    <row r="1789" spans="2:5" x14ac:dyDescent="0.2">
      <c r="B1789" s="291"/>
      <c r="E1789" s="212"/>
    </row>
    <row r="1790" spans="2:5" x14ac:dyDescent="0.2">
      <c r="B1790" s="291"/>
      <c r="E1790" s="212"/>
    </row>
    <row r="1791" spans="2:5" x14ac:dyDescent="0.2">
      <c r="B1791" s="291"/>
      <c r="E1791" s="212"/>
    </row>
    <row r="1792" spans="2:5" x14ac:dyDescent="0.2">
      <c r="B1792" s="291"/>
      <c r="E1792" s="212"/>
    </row>
    <row r="1793" spans="2:5" x14ac:dyDescent="0.2">
      <c r="B1793" s="291"/>
      <c r="E1793" s="212"/>
    </row>
    <row r="1794" spans="2:5" x14ac:dyDescent="0.2">
      <c r="B1794" s="291"/>
      <c r="E1794" s="212"/>
    </row>
    <row r="1795" spans="2:5" x14ac:dyDescent="0.2">
      <c r="B1795" s="291"/>
      <c r="E1795" s="212"/>
    </row>
    <row r="1796" spans="2:5" x14ac:dyDescent="0.2">
      <c r="B1796" s="291"/>
      <c r="E1796" s="212"/>
    </row>
    <row r="1797" spans="2:5" x14ac:dyDescent="0.2">
      <c r="B1797" s="291"/>
      <c r="E1797" s="212"/>
    </row>
    <row r="1798" spans="2:5" x14ac:dyDescent="0.2">
      <c r="B1798" s="291"/>
      <c r="E1798" s="212"/>
    </row>
    <row r="1799" spans="2:5" x14ac:dyDescent="0.2">
      <c r="B1799" s="291"/>
      <c r="E1799" s="212"/>
    </row>
    <row r="1800" spans="2:5" x14ac:dyDescent="0.2">
      <c r="B1800" s="291"/>
      <c r="E1800" s="212"/>
    </row>
    <row r="1801" spans="2:5" x14ac:dyDescent="0.2">
      <c r="B1801" s="291"/>
      <c r="E1801" s="212"/>
    </row>
    <row r="1802" spans="2:5" x14ac:dyDescent="0.2">
      <c r="B1802" s="291"/>
      <c r="E1802" s="212"/>
    </row>
    <row r="1803" spans="2:5" x14ac:dyDescent="0.2">
      <c r="B1803" s="291"/>
      <c r="E1803" s="212"/>
    </row>
    <row r="1804" spans="2:5" x14ac:dyDescent="0.2">
      <c r="B1804" s="291"/>
      <c r="E1804" s="212"/>
    </row>
    <row r="1805" spans="2:5" x14ac:dyDescent="0.2">
      <c r="B1805" s="291"/>
      <c r="E1805" s="212"/>
    </row>
    <row r="1806" spans="2:5" x14ac:dyDescent="0.2">
      <c r="B1806" s="291"/>
      <c r="E1806" s="212"/>
    </row>
    <row r="1807" spans="2:5" x14ac:dyDescent="0.2">
      <c r="B1807" s="291"/>
      <c r="E1807" s="212"/>
    </row>
    <row r="1808" spans="2:5" x14ac:dyDescent="0.2">
      <c r="B1808" s="291"/>
      <c r="E1808" s="212"/>
    </row>
    <row r="1809" spans="2:5" x14ac:dyDescent="0.2">
      <c r="B1809" s="291"/>
      <c r="E1809" s="212"/>
    </row>
    <row r="1810" spans="2:5" x14ac:dyDescent="0.2">
      <c r="B1810" s="291"/>
      <c r="E1810" s="212"/>
    </row>
    <row r="1811" spans="2:5" x14ac:dyDescent="0.2">
      <c r="B1811" s="291"/>
      <c r="E1811" s="212"/>
    </row>
    <row r="1812" spans="2:5" x14ac:dyDescent="0.2">
      <c r="B1812" s="291"/>
      <c r="E1812" s="212"/>
    </row>
    <row r="1813" spans="2:5" x14ac:dyDescent="0.2">
      <c r="B1813" s="291"/>
      <c r="E1813" s="212"/>
    </row>
    <row r="1814" spans="2:5" x14ac:dyDescent="0.2">
      <c r="B1814" s="291"/>
      <c r="E1814" s="212"/>
    </row>
    <row r="1815" spans="2:5" x14ac:dyDescent="0.2">
      <c r="B1815" s="291"/>
      <c r="E1815" s="212"/>
    </row>
    <row r="1816" spans="2:5" x14ac:dyDescent="0.2">
      <c r="B1816" s="291"/>
      <c r="E1816" s="212"/>
    </row>
    <row r="1817" spans="2:5" x14ac:dyDescent="0.2">
      <c r="B1817" s="291"/>
      <c r="E1817" s="212"/>
    </row>
    <row r="1818" spans="2:5" x14ac:dyDescent="0.2">
      <c r="B1818" s="291"/>
      <c r="E1818" s="212"/>
    </row>
    <row r="1819" spans="2:5" x14ac:dyDescent="0.2">
      <c r="B1819" s="291"/>
      <c r="E1819" s="212"/>
    </row>
    <row r="1820" spans="2:5" x14ac:dyDescent="0.2">
      <c r="B1820" s="291"/>
      <c r="E1820" s="212"/>
    </row>
    <row r="1821" spans="2:5" x14ac:dyDescent="0.2">
      <c r="B1821" s="291"/>
      <c r="E1821" s="212"/>
    </row>
    <row r="1822" spans="2:5" x14ac:dyDescent="0.2">
      <c r="B1822" s="291"/>
      <c r="E1822" s="212"/>
    </row>
    <row r="1823" spans="2:5" x14ac:dyDescent="0.2">
      <c r="B1823" s="291"/>
      <c r="E1823" s="212"/>
    </row>
    <row r="1824" spans="2:5" x14ac:dyDescent="0.2">
      <c r="B1824" s="291"/>
      <c r="E1824" s="212"/>
    </row>
    <row r="1825" spans="2:5" x14ac:dyDescent="0.2">
      <c r="B1825" s="291"/>
      <c r="E1825" s="212"/>
    </row>
    <row r="1826" spans="2:5" x14ac:dyDescent="0.2">
      <c r="B1826" s="291"/>
      <c r="E1826" s="212"/>
    </row>
    <row r="1827" spans="2:5" x14ac:dyDescent="0.2">
      <c r="B1827" s="291"/>
      <c r="E1827" s="212"/>
    </row>
    <row r="1828" spans="2:5" x14ac:dyDescent="0.2">
      <c r="B1828" s="291"/>
      <c r="E1828" s="212"/>
    </row>
    <row r="1829" spans="2:5" x14ac:dyDescent="0.2">
      <c r="B1829" s="291"/>
      <c r="E1829" s="212"/>
    </row>
    <row r="1830" spans="2:5" x14ac:dyDescent="0.2">
      <c r="B1830" s="291"/>
      <c r="E1830" s="212"/>
    </row>
    <row r="1831" spans="2:5" x14ac:dyDescent="0.2">
      <c r="B1831" s="291"/>
      <c r="E1831" s="212"/>
    </row>
    <row r="1832" spans="2:5" x14ac:dyDescent="0.2">
      <c r="B1832" s="291"/>
      <c r="E1832" s="212"/>
    </row>
    <row r="1833" spans="2:5" x14ac:dyDescent="0.2">
      <c r="B1833" s="291"/>
      <c r="E1833" s="212"/>
    </row>
    <row r="1834" spans="2:5" x14ac:dyDescent="0.2">
      <c r="B1834" s="291"/>
      <c r="E1834" s="212"/>
    </row>
    <row r="1835" spans="2:5" x14ac:dyDescent="0.2">
      <c r="B1835" s="291"/>
      <c r="E1835" s="212"/>
    </row>
    <row r="1836" spans="2:5" x14ac:dyDescent="0.2">
      <c r="B1836" s="291"/>
      <c r="E1836" s="212"/>
    </row>
    <row r="1837" spans="2:5" x14ac:dyDescent="0.2">
      <c r="B1837" s="291"/>
      <c r="E1837" s="212"/>
    </row>
    <row r="1838" spans="2:5" x14ac:dyDescent="0.2">
      <c r="B1838" s="291"/>
      <c r="E1838" s="212"/>
    </row>
    <row r="1839" spans="2:5" x14ac:dyDescent="0.2">
      <c r="B1839" s="291"/>
      <c r="E1839" s="212"/>
    </row>
    <row r="1840" spans="2:5" x14ac:dyDescent="0.2">
      <c r="B1840" s="291"/>
      <c r="E1840" s="212"/>
    </row>
    <row r="1841" spans="2:5" x14ac:dyDescent="0.2">
      <c r="B1841" s="291"/>
      <c r="E1841" s="212"/>
    </row>
    <row r="1842" spans="2:5" x14ac:dyDescent="0.2">
      <c r="B1842" s="291"/>
      <c r="E1842" s="212"/>
    </row>
    <row r="1843" spans="2:5" x14ac:dyDescent="0.2">
      <c r="B1843" s="291"/>
      <c r="E1843" s="212"/>
    </row>
    <row r="1844" spans="2:5" x14ac:dyDescent="0.2">
      <c r="B1844" s="291"/>
      <c r="E1844" s="212"/>
    </row>
    <row r="1845" spans="2:5" x14ac:dyDescent="0.2">
      <c r="B1845" s="291"/>
      <c r="E1845" s="212"/>
    </row>
    <row r="1846" spans="2:5" x14ac:dyDescent="0.2">
      <c r="B1846" s="291"/>
      <c r="E1846" s="212"/>
    </row>
    <row r="1847" spans="2:5" x14ac:dyDescent="0.2">
      <c r="B1847" s="291"/>
      <c r="E1847" s="212"/>
    </row>
    <row r="1848" spans="2:5" x14ac:dyDescent="0.2">
      <c r="B1848" s="291"/>
      <c r="E1848" s="212"/>
    </row>
    <row r="1849" spans="2:5" x14ac:dyDescent="0.2">
      <c r="B1849" s="291"/>
      <c r="E1849" s="212"/>
    </row>
    <row r="1850" spans="2:5" x14ac:dyDescent="0.2">
      <c r="B1850" s="291"/>
      <c r="E1850" s="212"/>
    </row>
    <row r="1851" spans="2:5" x14ac:dyDescent="0.2">
      <c r="B1851" s="291"/>
      <c r="E1851" s="212"/>
    </row>
    <row r="1852" spans="2:5" x14ac:dyDescent="0.2">
      <c r="B1852" s="291"/>
      <c r="E1852" s="212"/>
    </row>
    <row r="1853" spans="2:5" x14ac:dyDescent="0.2">
      <c r="B1853" s="291"/>
      <c r="E1853" s="212"/>
    </row>
    <row r="1854" spans="2:5" x14ac:dyDescent="0.2">
      <c r="B1854" s="291"/>
      <c r="E1854" s="212"/>
    </row>
    <row r="1855" spans="2:5" x14ac:dyDescent="0.2">
      <c r="B1855" s="291"/>
      <c r="E1855" s="212"/>
    </row>
    <row r="1856" spans="2:5" x14ac:dyDescent="0.2">
      <c r="B1856" s="291"/>
      <c r="E1856" s="212"/>
    </row>
    <row r="1857" spans="2:5" x14ac:dyDescent="0.2">
      <c r="B1857" s="291"/>
      <c r="E1857" s="212"/>
    </row>
    <row r="1858" spans="2:5" x14ac:dyDescent="0.2">
      <c r="B1858" s="291"/>
      <c r="E1858" s="212"/>
    </row>
    <row r="1859" spans="2:5" x14ac:dyDescent="0.2">
      <c r="B1859" s="291"/>
      <c r="E1859" s="212"/>
    </row>
    <row r="1860" spans="2:5" x14ac:dyDescent="0.2">
      <c r="B1860" s="291"/>
      <c r="E1860" s="212"/>
    </row>
    <row r="1861" spans="2:5" x14ac:dyDescent="0.2">
      <c r="B1861" s="291"/>
      <c r="E1861" s="212"/>
    </row>
    <row r="1862" spans="2:5" x14ac:dyDescent="0.2">
      <c r="B1862" s="291"/>
      <c r="E1862" s="212"/>
    </row>
    <row r="1863" spans="2:5" x14ac:dyDescent="0.2">
      <c r="B1863" s="291"/>
      <c r="E1863" s="212"/>
    </row>
    <row r="1864" spans="2:5" x14ac:dyDescent="0.2">
      <c r="B1864" s="291"/>
      <c r="E1864" s="212"/>
    </row>
    <row r="1865" spans="2:5" x14ac:dyDescent="0.2">
      <c r="B1865" s="291"/>
      <c r="E1865" s="212"/>
    </row>
    <row r="1866" spans="2:5" x14ac:dyDescent="0.2">
      <c r="B1866" s="291"/>
      <c r="E1866" s="212"/>
    </row>
    <row r="1867" spans="2:5" x14ac:dyDescent="0.2">
      <c r="B1867" s="291"/>
      <c r="E1867" s="212"/>
    </row>
    <row r="1868" spans="2:5" x14ac:dyDescent="0.2">
      <c r="B1868" s="291"/>
      <c r="E1868" s="212"/>
    </row>
    <row r="1869" spans="2:5" x14ac:dyDescent="0.2">
      <c r="B1869" s="291"/>
      <c r="E1869" s="212"/>
    </row>
    <row r="1870" spans="2:5" x14ac:dyDescent="0.2">
      <c r="B1870" s="291"/>
      <c r="E1870" s="212"/>
    </row>
    <row r="1871" spans="2:5" x14ac:dyDescent="0.2">
      <c r="B1871" s="291"/>
      <c r="E1871" s="212"/>
    </row>
    <row r="1872" spans="2:5" x14ac:dyDescent="0.2">
      <c r="B1872" s="291"/>
      <c r="E1872" s="212"/>
    </row>
    <row r="1873" spans="2:5" x14ac:dyDescent="0.2">
      <c r="B1873" s="291"/>
      <c r="E1873" s="212"/>
    </row>
    <row r="1874" spans="2:5" x14ac:dyDescent="0.2">
      <c r="B1874" s="291"/>
      <c r="E1874" s="212"/>
    </row>
    <row r="1875" spans="2:5" x14ac:dyDescent="0.2">
      <c r="B1875" s="291"/>
      <c r="E1875" s="212"/>
    </row>
    <row r="1876" spans="2:5" x14ac:dyDescent="0.2">
      <c r="B1876" s="291"/>
      <c r="E1876" s="212"/>
    </row>
    <row r="1877" spans="2:5" x14ac:dyDescent="0.2">
      <c r="B1877" s="291"/>
      <c r="E1877" s="212"/>
    </row>
    <row r="1878" spans="2:5" x14ac:dyDescent="0.2">
      <c r="B1878" s="291"/>
      <c r="E1878" s="212"/>
    </row>
    <row r="1879" spans="2:5" x14ac:dyDescent="0.2">
      <c r="B1879" s="291"/>
      <c r="E1879" s="212"/>
    </row>
    <row r="1880" spans="2:5" x14ac:dyDescent="0.2">
      <c r="B1880" s="291"/>
      <c r="E1880" s="212"/>
    </row>
    <row r="1881" spans="2:5" x14ac:dyDescent="0.2">
      <c r="B1881" s="291"/>
      <c r="E1881" s="212"/>
    </row>
    <row r="1882" spans="2:5" x14ac:dyDescent="0.2">
      <c r="B1882" s="291"/>
      <c r="E1882" s="212"/>
    </row>
    <row r="1883" spans="2:5" x14ac:dyDescent="0.2">
      <c r="B1883" s="291"/>
      <c r="E1883" s="212"/>
    </row>
    <row r="1884" spans="2:5" x14ac:dyDescent="0.2">
      <c r="B1884" s="291"/>
      <c r="E1884" s="212"/>
    </row>
    <row r="1885" spans="2:5" x14ac:dyDescent="0.2">
      <c r="B1885" s="291"/>
      <c r="E1885" s="212"/>
    </row>
    <row r="1886" spans="2:5" x14ac:dyDescent="0.2">
      <c r="B1886" s="291"/>
      <c r="E1886" s="212"/>
    </row>
    <row r="1887" spans="2:5" x14ac:dyDescent="0.2">
      <c r="B1887" s="291"/>
      <c r="E1887" s="212"/>
    </row>
    <row r="1888" spans="2:5" x14ac:dyDescent="0.2">
      <c r="B1888" s="291"/>
      <c r="E1888" s="212"/>
    </row>
    <row r="1889" spans="2:5" x14ac:dyDescent="0.2">
      <c r="B1889" s="291"/>
      <c r="E1889" s="212"/>
    </row>
    <row r="1890" spans="2:5" x14ac:dyDescent="0.2">
      <c r="B1890" s="291"/>
      <c r="E1890" s="212"/>
    </row>
    <row r="1891" spans="2:5" x14ac:dyDescent="0.2">
      <c r="B1891" s="291"/>
      <c r="E1891" s="212"/>
    </row>
    <row r="1892" spans="2:5" x14ac:dyDescent="0.2">
      <c r="B1892" s="291"/>
      <c r="E1892" s="212"/>
    </row>
    <row r="1893" spans="2:5" x14ac:dyDescent="0.2">
      <c r="B1893" s="291"/>
      <c r="E1893" s="212"/>
    </row>
    <row r="1894" spans="2:5" x14ac:dyDescent="0.2">
      <c r="B1894" s="291"/>
      <c r="E1894" s="212"/>
    </row>
    <row r="1895" spans="2:5" x14ac:dyDescent="0.2">
      <c r="B1895" s="291"/>
      <c r="E1895" s="212"/>
    </row>
    <row r="1896" spans="2:5" x14ac:dyDescent="0.2">
      <c r="B1896" s="291"/>
      <c r="E1896" s="212"/>
    </row>
    <row r="1897" spans="2:5" x14ac:dyDescent="0.2">
      <c r="B1897" s="291"/>
      <c r="E1897" s="212"/>
    </row>
    <row r="1898" spans="2:5" x14ac:dyDescent="0.2">
      <c r="B1898" s="291"/>
      <c r="E1898" s="212"/>
    </row>
    <row r="1899" spans="2:5" x14ac:dyDescent="0.2">
      <c r="B1899" s="291"/>
      <c r="E1899" s="212"/>
    </row>
    <row r="1900" spans="2:5" x14ac:dyDescent="0.2">
      <c r="B1900" s="291"/>
      <c r="E1900" s="212"/>
    </row>
    <row r="1901" spans="2:5" x14ac:dyDescent="0.2">
      <c r="B1901" s="291"/>
      <c r="E1901" s="212"/>
    </row>
    <row r="1902" spans="2:5" x14ac:dyDescent="0.2">
      <c r="B1902" s="291"/>
      <c r="E1902" s="212"/>
    </row>
    <row r="1903" spans="2:5" x14ac:dyDescent="0.2">
      <c r="B1903" s="291"/>
      <c r="E1903" s="212"/>
    </row>
    <row r="1904" spans="2:5" x14ac:dyDescent="0.2">
      <c r="B1904" s="291"/>
      <c r="E1904" s="212"/>
    </row>
    <row r="1905" spans="2:5" x14ac:dyDescent="0.2">
      <c r="B1905" s="291"/>
      <c r="E1905" s="212"/>
    </row>
    <row r="1906" spans="2:5" x14ac:dyDescent="0.2">
      <c r="B1906" s="291"/>
      <c r="E1906" s="212"/>
    </row>
    <row r="1907" spans="2:5" x14ac:dyDescent="0.2">
      <c r="B1907" s="291"/>
      <c r="E1907" s="212"/>
    </row>
    <row r="1908" spans="2:5" x14ac:dyDescent="0.2">
      <c r="B1908" s="291"/>
      <c r="E1908" s="212"/>
    </row>
    <row r="1909" spans="2:5" x14ac:dyDescent="0.2">
      <c r="B1909" s="291"/>
      <c r="E1909" s="212"/>
    </row>
    <row r="1910" spans="2:5" x14ac:dyDescent="0.2">
      <c r="B1910" s="291"/>
      <c r="E1910" s="212"/>
    </row>
    <row r="1911" spans="2:5" x14ac:dyDescent="0.2">
      <c r="B1911" s="291"/>
      <c r="E1911" s="212"/>
    </row>
    <row r="1912" spans="2:5" x14ac:dyDescent="0.2">
      <c r="B1912" s="291"/>
      <c r="E1912" s="212"/>
    </row>
    <row r="1913" spans="2:5" x14ac:dyDescent="0.2">
      <c r="B1913" s="291"/>
      <c r="E1913" s="212"/>
    </row>
    <row r="1914" spans="2:5" x14ac:dyDescent="0.2">
      <c r="B1914" s="291"/>
      <c r="E1914" s="212"/>
    </row>
    <row r="1915" spans="2:5" x14ac:dyDescent="0.2">
      <c r="B1915" s="291"/>
      <c r="E1915" s="212"/>
    </row>
    <row r="1916" spans="2:5" x14ac:dyDescent="0.2">
      <c r="B1916" s="291"/>
      <c r="E1916" s="212"/>
    </row>
    <row r="1917" spans="2:5" x14ac:dyDescent="0.2">
      <c r="B1917" s="291"/>
      <c r="E1917" s="212"/>
    </row>
    <row r="1918" spans="2:5" x14ac:dyDescent="0.2">
      <c r="B1918" s="291"/>
      <c r="E1918" s="212"/>
    </row>
    <row r="1919" spans="2:5" x14ac:dyDescent="0.2">
      <c r="B1919" s="291"/>
      <c r="E1919" s="212"/>
    </row>
    <row r="1920" spans="2:5" x14ac:dyDescent="0.2">
      <c r="B1920" s="291"/>
      <c r="E1920" s="212"/>
    </row>
    <row r="1921" spans="2:5" x14ac:dyDescent="0.2">
      <c r="B1921" s="291"/>
      <c r="E1921" s="212"/>
    </row>
    <row r="1922" spans="2:5" x14ac:dyDescent="0.2">
      <c r="B1922" s="291"/>
      <c r="E1922" s="212"/>
    </row>
    <row r="1923" spans="2:5" x14ac:dyDescent="0.2">
      <c r="B1923" s="291"/>
      <c r="E1923" s="212"/>
    </row>
    <row r="1924" spans="2:5" x14ac:dyDescent="0.2">
      <c r="B1924" s="291"/>
      <c r="E1924" s="212"/>
    </row>
    <row r="1925" spans="2:5" x14ac:dyDescent="0.2">
      <c r="B1925" s="291"/>
      <c r="E1925" s="212"/>
    </row>
    <row r="1926" spans="2:5" x14ac:dyDescent="0.2">
      <c r="B1926" s="291"/>
      <c r="E1926" s="212"/>
    </row>
    <row r="1927" spans="2:5" x14ac:dyDescent="0.2">
      <c r="B1927" s="291"/>
      <c r="E1927" s="212"/>
    </row>
    <row r="1928" spans="2:5" x14ac:dyDescent="0.2">
      <c r="B1928" s="291"/>
      <c r="E1928" s="212"/>
    </row>
    <row r="1929" spans="2:5" x14ac:dyDescent="0.2">
      <c r="B1929" s="291"/>
      <c r="E1929" s="212"/>
    </row>
    <row r="1930" spans="2:5" x14ac:dyDescent="0.2">
      <c r="B1930" s="291"/>
      <c r="E1930" s="212"/>
    </row>
    <row r="1931" spans="2:5" x14ac:dyDescent="0.2">
      <c r="B1931" s="291"/>
      <c r="E1931" s="212"/>
    </row>
    <row r="1932" spans="2:5" x14ac:dyDescent="0.2">
      <c r="B1932" s="291"/>
      <c r="E1932" s="212"/>
    </row>
    <row r="1933" spans="2:5" x14ac:dyDescent="0.2">
      <c r="B1933" s="291"/>
      <c r="E1933" s="212"/>
    </row>
    <row r="1934" spans="2:5" x14ac:dyDescent="0.2">
      <c r="B1934" s="291"/>
      <c r="E1934" s="212"/>
    </row>
    <row r="1935" spans="2:5" x14ac:dyDescent="0.2">
      <c r="B1935" s="291"/>
      <c r="E1935" s="212"/>
    </row>
    <row r="1936" spans="2:5" x14ac:dyDescent="0.2">
      <c r="B1936" s="291"/>
      <c r="E1936" s="212"/>
    </row>
    <row r="1937" spans="2:5" x14ac:dyDescent="0.2">
      <c r="B1937" s="291"/>
      <c r="E1937" s="212"/>
    </row>
    <row r="1938" spans="2:5" x14ac:dyDescent="0.2">
      <c r="B1938" s="291"/>
      <c r="E1938" s="212"/>
    </row>
    <row r="1939" spans="2:5" x14ac:dyDescent="0.2">
      <c r="B1939" s="291"/>
      <c r="E1939" s="212"/>
    </row>
    <row r="1940" spans="2:5" x14ac:dyDescent="0.2">
      <c r="B1940" s="291"/>
      <c r="E1940" s="212"/>
    </row>
    <row r="1941" spans="2:5" x14ac:dyDescent="0.2">
      <c r="B1941" s="291"/>
      <c r="E1941" s="212"/>
    </row>
    <row r="1942" spans="2:5" x14ac:dyDescent="0.2">
      <c r="B1942" s="291"/>
      <c r="E1942" s="212"/>
    </row>
    <row r="1943" spans="2:5" x14ac:dyDescent="0.2">
      <c r="B1943" s="291"/>
      <c r="E1943" s="212"/>
    </row>
    <row r="1944" spans="2:5" x14ac:dyDescent="0.2">
      <c r="B1944" s="291"/>
      <c r="E1944" s="212"/>
    </row>
    <row r="1945" spans="2:5" x14ac:dyDescent="0.2">
      <c r="B1945" s="291"/>
      <c r="E1945" s="212"/>
    </row>
    <row r="1946" spans="2:5" x14ac:dyDescent="0.2">
      <c r="B1946" s="291"/>
      <c r="E1946" s="212"/>
    </row>
    <row r="1947" spans="2:5" x14ac:dyDescent="0.2">
      <c r="B1947" s="291"/>
      <c r="E1947" s="212"/>
    </row>
    <row r="1948" spans="2:5" x14ac:dyDescent="0.2">
      <c r="B1948" s="291"/>
      <c r="E1948" s="212"/>
    </row>
    <row r="1949" spans="2:5" x14ac:dyDescent="0.2">
      <c r="B1949" s="291"/>
      <c r="E1949" s="212"/>
    </row>
    <row r="1950" spans="2:5" x14ac:dyDescent="0.2">
      <c r="B1950" s="291"/>
      <c r="E1950" s="212"/>
    </row>
    <row r="1951" spans="2:5" x14ac:dyDescent="0.2">
      <c r="B1951" s="291"/>
      <c r="E1951" s="212"/>
    </row>
    <row r="1952" spans="2:5" x14ac:dyDescent="0.2">
      <c r="B1952" s="291"/>
      <c r="E1952" s="212"/>
    </row>
    <row r="1953" spans="2:5" x14ac:dyDescent="0.2">
      <c r="B1953" s="291"/>
      <c r="E1953" s="212"/>
    </row>
    <row r="1954" spans="2:5" x14ac:dyDescent="0.2">
      <c r="B1954" s="291"/>
      <c r="E1954" s="212"/>
    </row>
    <row r="1955" spans="2:5" x14ac:dyDescent="0.2">
      <c r="B1955" s="291"/>
      <c r="E1955" s="212"/>
    </row>
    <row r="1956" spans="2:5" x14ac:dyDescent="0.2">
      <c r="B1956" s="291"/>
      <c r="E1956" s="212"/>
    </row>
    <row r="1957" spans="2:5" x14ac:dyDescent="0.2">
      <c r="B1957" s="291"/>
      <c r="E1957" s="212"/>
    </row>
    <row r="1958" spans="2:5" x14ac:dyDescent="0.2">
      <c r="B1958" s="291"/>
      <c r="E1958" s="212"/>
    </row>
    <row r="1959" spans="2:5" x14ac:dyDescent="0.2">
      <c r="B1959" s="291"/>
      <c r="E1959" s="212"/>
    </row>
    <row r="1960" spans="2:5" x14ac:dyDescent="0.2">
      <c r="B1960" s="291"/>
      <c r="E1960" s="212"/>
    </row>
    <row r="1961" spans="2:5" x14ac:dyDescent="0.2">
      <c r="B1961" s="291"/>
      <c r="E1961" s="212"/>
    </row>
    <row r="1962" spans="2:5" x14ac:dyDescent="0.2">
      <c r="B1962" s="291"/>
      <c r="E1962" s="212"/>
    </row>
    <row r="1963" spans="2:5" x14ac:dyDescent="0.2">
      <c r="B1963" s="291"/>
      <c r="E1963" s="212"/>
    </row>
    <row r="1964" spans="2:5" x14ac:dyDescent="0.2">
      <c r="B1964" s="291"/>
      <c r="E1964" s="212"/>
    </row>
    <row r="1965" spans="2:5" x14ac:dyDescent="0.2">
      <c r="B1965" s="291"/>
      <c r="E1965" s="212"/>
    </row>
    <row r="1966" spans="2:5" x14ac:dyDescent="0.2">
      <c r="B1966" s="291"/>
      <c r="E1966" s="212"/>
    </row>
    <row r="1967" spans="2:5" x14ac:dyDescent="0.2">
      <c r="B1967" s="291"/>
      <c r="E1967" s="212"/>
    </row>
    <row r="1968" spans="2:5" x14ac:dyDescent="0.2">
      <c r="B1968" s="291"/>
      <c r="E1968" s="212"/>
    </row>
    <row r="1969" spans="2:5" x14ac:dyDescent="0.2">
      <c r="B1969" s="291"/>
      <c r="E1969" s="212"/>
    </row>
    <row r="1970" spans="2:5" x14ac:dyDescent="0.2">
      <c r="B1970" s="291"/>
      <c r="E1970" s="212"/>
    </row>
    <row r="1971" spans="2:5" x14ac:dyDescent="0.2">
      <c r="B1971" s="291"/>
      <c r="E1971" s="212"/>
    </row>
    <row r="1972" spans="2:5" x14ac:dyDescent="0.2">
      <c r="B1972" s="291"/>
      <c r="E1972" s="212"/>
    </row>
    <row r="1973" spans="2:5" x14ac:dyDescent="0.2">
      <c r="B1973" s="291"/>
      <c r="E1973" s="212"/>
    </row>
    <row r="1974" spans="2:5" x14ac:dyDescent="0.2">
      <c r="B1974" s="291"/>
      <c r="E1974" s="212"/>
    </row>
    <row r="1975" spans="2:5" x14ac:dyDescent="0.2">
      <c r="B1975" s="291"/>
      <c r="E1975" s="212"/>
    </row>
    <row r="1976" spans="2:5" x14ac:dyDescent="0.2">
      <c r="B1976" s="291"/>
      <c r="E1976" s="212"/>
    </row>
    <row r="1977" spans="2:5" x14ac:dyDescent="0.2">
      <c r="B1977" s="291"/>
      <c r="E1977" s="212"/>
    </row>
    <row r="1978" spans="2:5" x14ac:dyDescent="0.2">
      <c r="B1978" s="291"/>
      <c r="E1978" s="212"/>
    </row>
    <row r="1979" spans="2:5" x14ac:dyDescent="0.2">
      <c r="B1979" s="291"/>
      <c r="E1979" s="212"/>
    </row>
    <row r="1980" spans="2:5" x14ac:dyDescent="0.2">
      <c r="B1980" s="291"/>
      <c r="E1980" s="212"/>
    </row>
    <row r="1981" spans="2:5" x14ac:dyDescent="0.2">
      <c r="B1981" s="291"/>
      <c r="E1981" s="212"/>
    </row>
    <row r="1982" spans="2:5" x14ac:dyDescent="0.2">
      <c r="B1982" s="291"/>
      <c r="E1982" s="212"/>
    </row>
    <row r="1983" spans="2:5" x14ac:dyDescent="0.2">
      <c r="B1983" s="291"/>
      <c r="E1983" s="212"/>
    </row>
    <row r="1984" spans="2:5" x14ac:dyDescent="0.2">
      <c r="B1984" s="291"/>
      <c r="E1984" s="212"/>
    </row>
    <row r="1985" spans="2:5" x14ac:dyDescent="0.2">
      <c r="B1985" s="291"/>
      <c r="E1985" s="212"/>
    </row>
    <row r="1986" spans="2:5" x14ac:dyDescent="0.2">
      <c r="B1986" s="291"/>
      <c r="E1986" s="212"/>
    </row>
    <row r="1987" spans="2:5" x14ac:dyDescent="0.2">
      <c r="B1987" s="291"/>
      <c r="E1987" s="212"/>
    </row>
    <row r="1988" spans="2:5" x14ac:dyDescent="0.2">
      <c r="B1988" s="291"/>
      <c r="E1988" s="212"/>
    </row>
    <row r="1989" spans="2:5" x14ac:dyDescent="0.2">
      <c r="B1989" s="291"/>
      <c r="E1989" s="212"/>
    </row>
    <row r="1990" spans="2:5" x14ac:dyDescent="0.2">
      <c r="B1990" s="291"/>
      <c r="E1990" s="212"/>
    </row>
    <row r="1991" spans="2:5" x14ac:dyDescent="0.2">
      <c r="B1991" s="291"/>
      <c r="E1991" s="212"/>
    </row>
    <row r="1992" spans="2:5" x14ac:dyDescent="0.2">
      <c r="B1992" s="291"/>
      <c r="E1992" s="212"/>
    </row>
    <row r="1993" spans="2:5" x14ac:dyDescent="0.2">
      <c r="B1993" s="291"/>
      <c r="E1993" s="212"/>
    </row>
    <row r="1994" spans="2:5" x14ac:dyDescent="0.2">
      <c r="B1994" s="291"/>
      <c r="E1994" s="212"/>
    </row>
    <row r="1995" spans="2:5" x14ac:dyDescent="0.2">
      <c r="B1995" s="291"/>
      <c r="E1995" s="212"/>
    </row>
    <row r="1996" spans="2:5" x14ac:dyDescent="0.2">
      <c r="B1996" s="291"/>
      <c r="E1996" s="212"/>
    </row>
    <row r="1997" spans="2:5" x14ac:dyDescent="0.2">
      <c r="B1997" s="291"/>
      <c r="E1997" s="212"/>
    </row>
    <row r="1998" spans="2:5" x14ac:dyDescent="0.2">
      <c r="B1998" s="291"/>
      <c r="E1998" s="212"/>
    </row>
    <row r="1999" spans="2:5" x14ac:dyDescent="0.2">
      <c r="B1999" s="291"/>
      <c r="E1999" s="212"/>
    </row>
    <row r="2000" spans="2:5" x14ac:dyDescent="0.2">
      <c r="B2000" s="291"/>
      <c r="E2000" s="212"/>
    </row>
    <row r="2001" spans="2:5" x14ac:dyDescent="0.2">
      <c r="B2001" s="291"/>
      <c r="E2001" s="212"/>
    </row>
    <row r="2002" spans="2:5" x14ac:dyDescent="0.2">
      <c r="B2002" s="291"/>
      <c r="E2002" s="212"/>
    </row>
    <row r="2003" spans="2:5" x14ac:dyDescent="0.2">
      <c r="B2003" s="291"/>
      <c r="E2003" s="212"/>
    </row>
    <row r="2004" spans="2:5" x14ac:dyDescent="0.2">
      <c r="B2004" s="291"/>
      <c r="E2004" s="212"/>
    </row>
    <row r="2005" spans="2:5" x14ac:dyDescent="0.2">
      <c r="B2005" s="291"/>
      <c r="E2005" s="212"/>
    </row>
    <row r="2006" spans="2:5" x14ac:dyDescent="0.2">
      <c r="B2006" s="291"/>
      <c r="E2006" s="212"/>
    </row>
    <row r="2007" spans="2:5" x14ac:dyDescent="0.2">
      <c r="B2007" s="291"/>
      <c r="E2007" s="212"/>
    </row>
    <row r="2008" spans="2:5" x14ac:dyDescent="0.2">
      <c r="B2008" s="291"/>
      <c r="E2008" s="212"/>
    </row>
    <row r="2009" spans="2:5" x14ac:dyDescent="0.2">
      <c r="B2009" s="291"/>
      <c r="E2009" s="212"/>
    </row>
    <row r="2010" spans="2:5" x14ac:dyDescent="0.2">
      <c r="B2010" s="291"/>
      <c r="E2010" s="212"/>
    </row>
    <row r="2011" spans="2:5" x14ac:dyDescent="0.2">
      <c r="B2011" s="291"/>
      <c r="E2011" s="212"/>
    </row>
    <row r="2012" spans="2:5" x14ac:dyDescent="0.2">
      <c r="B2012" s="291"/>
      <c r="E2012" s="212"/>
    </row>
    <row r="2013" spans="2:5" x14ac:dyDescent="0.2">
      <c r="B2013" s="291"/>
      <c r="E2013" s="212"/>
    </row>
    <row r="2014" spans="2:5" x14ac:dyDescent="0.2">
      <c r="B2014" s="291"/>
      <c r="E2014" s="212"/>
    </row>
    <row r="2015" spans="2:5" x14ac:dyDescent="0.2">
      <c r="B2015" s="291"/>
      <c r="E2015" s="212"/>
    </row>
    <row r="2016" spans="2:5" x14ac:dyDescent="0.2">
      <c r="B2016" s="291"/>
      <c r="E2016" s="212"/>
    </row>
    <row r="2017" spans="2:5" x14ac:dyDescent="0.2">
      <c r="B2017" s="291"/>
      <c r="E2017" s="212"/>
    </row>
    <row r="2018" spans="2:5" x14ac:dyDescent="0.2">
      <c r="B2018" s="291"/>
      <c r="E2018" s="212"/>
    </row>
    <row r="2019" spans="2:5" x14ac:dyDescent="0.2">
      <c r="B2019" s="291"/>
      <c r="E2019" s="212"/>
    </row>
    <row r="2020" spans="2:5" x14ac:dyDescent="0.2">
      <c r="B2020" s="291"/>
      <c r="E2020" s="212"/>
    </row>
    <row r="2021" spans="2:5" x14ac:dyDescent="0.2">
      <c r="B2021" s="291"/>
      <c r="E2021" s="212"/>
    </row>
    <row r="2022" spans="2:5" x14ac:dyDescent="0.2">
      <c r="B2022" s="291"/>
      <c r="E2022" s="212"/>
    </row>
    <row r="2023" spans="2:5" x14ac:dyDescent="0.2">
      <c r="B2023" s="291"/>
      <c r="E2023" s="212"/>
    </row>
    <row r="2024" spans="2:5" x14ac:dyDescent="0.2">
      <c r="B2024" s="291"/>
      <c r="E2024" s="212"/>
    </row>
    <row r="2025" spans="2:5" x14ac:dyDescent="0.2">
      <c r="B2025" s="291"/>
      <c r="E2025" s="212"/>
    </row>
    <row r="2026" spans="2:5" x14ac:dyDescent="0.2">
      <c r="B2026" s="291"/>
      <c r="E2026" s="212"/>
    </row>
    <row r="2027" spans="2:5" x14ac:dyDescent="0.2">
      <c r="B2027" s="291"/>
      <c r="E2027" s="212"/>
    </row>
    <row r="2028" spans="2:5" x14ac:dyDescent="0.2">
      <c r="B2028" s="291"/>
      <c r="E2028" s="212"/>
    </row>
    <row r="2029" spans="2:5" x14ac:dyDescent="0.2">
      <c r="B2029" s="291"/>
      <c r="E2029" s="212"/>
    </row>
    <row r="2030" spans="2:5" x14ac:dyDescent="0.2">
      <c r="B2030" s="291"/>
      <c r="E2030" s="212"/>
    </row>
    <row r="2031" spans="2:5" x14ac:dyDescent="0.2">
      <c r="B2031" s="291"/>
      <c r="E2031" s="212"/>
    </row>
    <row r="2032" spans="2:5" x14ac:dyDescent="0.2">
      <c r="B2032" s="291"/>
      <c r="E2032" s="212"/>
    </row>
    <row r="2033" spans="2:5" x14ac:dyDescent="0.2">
      <c r="B2033" s="291"/>
      <c r="E2033" s="212"/>
    </row>
    <row r="2034" spans="2:5" x14ac:dyDescent="0.2">
      <c r="B2034" s="291"/>
      <c r="E2034" s="212"/>
    </row>
    <row r="2035" spans="2:5" x14ac:dyDescent="0.2">
      <c r="B2035" s="291"/>
      <c r="E2035" s="212"/>
    </row>
    <row r="2036" spans="2:5" x14ac:dyDescent="0.2">
      <c r="B2036" s="291"/>
      <c r="E2036" s="212"/>
    </row>
    <row r="2037" spans="2:5" x14ac:dyDescent="0.2">
      <c r="B2037" s="291"/>
      <c r="E2037" s="212"/>
    </row>
    <row r="2038" spans="2:5" x14ac:dyDescent="0.2">
      <c r="B2038" s="291"/>
      <c r="E2038" s="212"/>
    </row>
    <row r="2039" spans="2:5" x14ac:dyDescent="0.2">
      <c r="B2039" s="291"/>
      <c r="E2039" s="212"/>
    </row>
    <row r="2040" spans="2:5" x14ac:dyDescent="0.2">
      <c r="B2040" s="291"/>
      <c r="E2040" s="212"/>
    </row>
    <row r="2041" spans="2:5" x14ac:dyDescent="0.2">
      <c r="B2041" s="291"/>
      <c r="E2041" s="212"/>
    </row>
    <row r="2042" spans="2:5" x14ac:dyDescent="0.2">
      <c r="B2042" s="291"/>
      <c r="E2042" s="212"/>
    </row>
    <row r="2043" spans="2:5" x14ac:dyDescent="0.2">
      <c r="B2043" s="291"/>
      <c r="E2043" s="212"/>
    </row>
    <row r="2044" spans="2:5" x14ac:dyDescent="0.2">
      <c r="B2044" s="291"/>
      <c r="E2044" s="212"/>
    </row>
    <row r="2045" spans="2:5" x14ac:dyDescent="0.2">
      <c r="B2045" s="291"/>
      <c r="E2045" s="212"/>
    </row>
    <row r="2046" spans="2:5" x14ac:dyDescent="0.2">
      <c r="B2046" s="291"/>
      <c r="E2046" s="212"/>
    </row>
    <row r="2047" spans="2:5" x14ac:dyDescent="0.2">
      <c r="B2047" s="291"/>
      <c r="E2047" s="212"/>
    </row>
    <row r="2048" spans="2:5" x14ac:dyDescent="0.2">
      <c r="B2048" s="291"/>
      <c r="E2048" s="212"/>
    </row>
    <row r="2049" spans="2:5" x14ac:dyDescent="0.2">
      <c r="B2049" s="291"/>
      <c r="E2049" s="212"/>
    </row>
    <row r="2050" spans="2:5" x14ac:dyDescent="0.2">
      <c r="B2050" s="291"/>
      <c r="E2050" s="212"/>
    </row>
    <row r="2051" spans="2:5" x14ac:dyDescent="0.2">
      <c r="B2051" s="291"/>
      <c r="E2051" s="212"/>
    </row>
    <row r="2052" spans="2:5" x14ac:dyDescent="0.2">
      <c r="B2052" s="291"/>
      <c r="E2052" s="212"/>
    </row>
    <row r="2053" spans="2:5" x14ac:dyDescent="0.2">
      <c r="B2053" s="291"/>
      <c r="E2053" s="212"/>
    </row>
    <row r="2054" spans="2:5" x14ac:dyDescent="0.2">
      <c r="B2054" s="291"/>
      <c r="E2054" s="212"/>
    </row>
    <row r="2055" spans="2:5" x14ac:dyDescent="0.2">
      <c r="B2055" s="291"/>
      <c r="E2055" s="212"/>
    </row>
    <row r="2056" spans="2:5" x14ac:dyDescent="0.2">
      <c r="B2056" s="291"/>
      <c r="E2056" s="212"/>
    </row>
    <row r="2057" spans="2:5" x14ac:dyDescent="0.2">
      <c r="B2057" s="291"/>
      <c r="E2057" s="212"/>
    </row>
    <row r="2058" spans="2:5" x14ac:dyDescent="0.2">
      <c r="B2058" s="291"/>
      <c r="E2058" s="212"/>
    </row>
    <row r="2059" spans="2:5" x14ac:dyDescent="0.2">
      <c r="B2059" s="291"/>
      <c r="E2059" s="212"/>
    </row>
    <row r="2060" spans="2:5" x14ac:dyDescent="0.2">
      <c r="B2060" s="291"/>
      <c r="E2060" s="212"/>
    </row>
    <row r="2061" spans="2:5" x14ac:dyDescent="0.2">
      <c r="B2061" s="291"/>
      <c r="E2061" s="212"/>
    </row>
    <row r="2062" spans="2:5" x14ac:dyDescent="0.2">
      <c r="B2062" s="291"/>
      <c r="E2062" s="212"/>
    </row>
    <row r="2063" spans="2:5" x14ac:dyDescent="0.2">
      <c r="B2063" s="291"/>
      <c r="E2063" s="212"/>
    </row>
    <row r="2064" spans="2:5" x14ac:dyDescent="0.2">
      <c r="B2064" s="291"/>
      <c r="E2064" s="212"/>
    </row>
    <row r="2065" spans="2:5" x14ac:dyDescent="0.2">
      <c r="B2065" s="291"/>
      <c r="E2065" s="212"/>
    </row>
    <row r="2066" spans="2:5" x14ac:dyDescent="0.2">
      <c r="B2066" s="291"/>
      <c r="E2066" s="212"/>
    </row>
    <row r="2067" spans="2:5" x14ac:dyDescent="0.2">
      <c r="B2067" s="291"/>
      <c r="E2067" s="212"/>
    </row>
    <row r="2068" spans="2:5" x14ac:dyDescent="0.2">
      <c r="B2068" s="291"/>
      <c r="E2068" s="212"/>
    </row>
    <row r="2069" spans="2:5" x14ac:dyDescent="0.2">
      <c r="B2069" s="291"/>
      <c r="E2069" s="212"/>
    </row>
    <row r="2070" spans="2:5" x14ac:dyDescent="0.2">
      <c r="B2070" s="291"/>
      <c r="E2070" s="212"/>
    </row>
    <row r="2071" spans="2:5" x14ac:dyDescent="0.2">
      <c r="B2071" s="291"/>
      <c r="E2071" s="212"/>
    </row>
    <row r="2072" spans="2:5" x14ac:dyDescent="0.2">
      <c r="B2072" s="291"/>
      <c r="E2072" s="212"/>
    </row>
    <row r="2073" spans="2:5" x14ac:dyDescent="0.2">
      <c r="B2073" s="291"/>
      <c r="E2073" s="212"/>
    </row>
    <row r="2074" spans="2:5" x14ac:dyDescent="0.2">
      <c r="B2074" s="291"/>
      <c r="E2074" s="212"/>
    </row>
    <row r="2075" spans="2:5" x14ac:dyDescent="0.2">
      <c r="B2075" s="291"/>
      <c r="E2075" s="212"/>
    </row>
    <row r="2076" spans="2:5" x14ac:dyDescent="0.2">
      <c r="B2076" s="291"/>
      <c r="E2076" s="212"/>
    </row>
    <row r="2077" spans="2:5" x14ac:dyDescent="0.2">
      <c r="B2077" s="291"/>
      <c r="E2077" s="212"/>
    </row>
    <row r="2078" spans="2:5" x14ac:dyDescent="0.2">
      <c r="B2078" s="291"/>
      <c r="E2078" s="212"/>
    </row>
    <row r="2079" spans="2:5" x14ac:dyDescent="0.2">
      <c r="B2079" s="291"/>
      <c r="E2079" s="212"/>
    </row>
    <row r="2080" spans="2:5" x14ac:dyDescent="0.2">
      <c r="B2080" s="291"/>
      <c r="E2080" s="212"/>
    </row>
    <row r="2081" spans="2:5" x14ac:dyDescent="0.2">
      <c r="B2081" s="291"/>
      <c r="E2081" s="212"/>
    </row>
    <row r="2082" spans="2:5" x14ac:dyDescent="0.2">
      <c r="B2082" s="291"/>
      <c r="E2082" s="212"/>
    </row>
    <row r="2083" spans="2:5" x14ac:dyDescent="0.2">
      <c r="B2083" s="291"/>
      <c r="E2083" s="212"/>
    </row>
    <row r="2084" spans="2:5" x14ac:dyDescent="0.2">
      <c r="B2084" s="291"/>
      <c r="E2084" s="212"/>
    </row>
    <row r="2085" spans="2:5" x14ac:dyDescent="0.2">
      <c r="B2085" s="291"/>
      <c r="E2085" s="212"/>
    </row>
    <row r="2086" spans="2:5" x14ac:dyDescent="0.2">
      <c r="B2086" s="291"/>
      <c r="E2086" s="212"/>
    </row>
    <row r="2087" spans="2:5" x14ac:dyDescent="0.2">
      <c r="B2087" s="291"/>
      <c r="E2087" s="212"/>
    </row>
    <row r="2088" spans="2:5" x14ac:dyDescent="0.2">
      <c r="B2088" s="291"/>
      <c r="E2088" s="212"/>
    </row>
    <row r="2089" spans="2:5" x14ac:dyDescent="0.2">
      <c r="B2089" s="291"/>
      <c r="E2089" s="212"/>
    </row>
    <row r="2090" spans="2:5" x14ac:dyDescent="0.2">
      <c r="B2090" s="291"/>
      <c r="E2090" s="212"/>
    </row>
    <row r="2091" spans="2:5" x14ac:dyDescent="0.2">
      <c r="B2091" s="291"/>
      <c r="E2091" s="212"/>
    </row>
    <row r="2092" spans="2:5" x14ac:dyDescent="0.2">
      <c r="B2092" s="291"/>
      <c r="E2092" s="212"/>
    </row>
    <row r="2093" spans="2:5" x14ac:dyDescent="0.2">
      <c r="B2093" s="291"/>
      <c r="E2093" s="212"/>
    </row>
    <row r="2094" spans="2:5" x14ac:dyDescent="0.2">
      <c r="B2094" s="291"/>
      <c r="E2094" s="212"/>
    </row>
    <row r="2095" spans="2:5" x14ac:dyDescent="0.2">
      <c r="B2095" s="291"/>
      <c r="E2095" s="212"/>
    </row>
    <row r="2096" spans="2:5" x14ac:dyDescent="0.2">
      <c r="B2096" s="291"/>
      <c r="E2096" s="212"/>
    </row>
    <row r="2097" spans="2:5" x14ac:dyDescent="0.2">
      <c r="B2097" s="291"/>
      <c r="E2097" s="212"/>
    </row>
    <row r="2098" spans="2:5" x14ac:dyDescent="0.2">
      <c r="B2098" s="291"/>
      <c r="E2098" s="212"/>
    </row>
    <row r="2099" spans="2:5" x14ac:dyDescent="0.2">
      <c r="B2099" s="291"/>
      <c r="E2099" s="212"/>
    </row>
    <row r="2100" spans="2:5" x14ac:dyDescent="0.2">
      <c r="B2100" s="291"/>
      <c r="E2100" s="212"/>
    </row>
    <row r="2101" spans="2:5" x14ac:dyDescent="0.2">
      <c r="B2101" s="291"/>
      <c r="E2101" s="212"/>
    </row>
    <row r="2102" spans="2:5" x14ac:dyDescent="0.2">
      <c r="B2102" s="291"/>
      <c r="E2102" s="212"/>
    </row>
    <row r="2103" spans="2:5" x14ac:dyDescent="0.2">
      <c r="B2103" s="291"/>
      <c r="E2103" s="212"/>
    </row>
    <row r="2104" spans="2:5" x14ac:dyDescent="0.2">
      <c r="B2104" s="291"/>
      <c r="E2104" s="212"/>
    </row>
    <row r="2105" spans="2:5" x14ac:dyDescent="0.2">
      <c r="B2105" s="291"/>
      <c r="E2105" s="212"/>
    </row>
    <row r="2106" spans="2:5" x14ac:dyDescent="0.2">
      <c r="B2106" s="291"/>
      <c r="E2106" s="212"/>
    </row>
    <row r="2107" spans="2:5" x14ac:dyDescent="0.2">
      <c r="B2107" s="291"/>
      <c r="E2107" s="212"/>
    </row>
    <row r="2108" spans="2:5" x14ac:dyDescent="0.2">
      <c r="B2108" s="291"/>
      <c r="E2108" s="212"/>
    </row>
    <row r="2109" spans="2:5" x14ac:dyDescent="0.2">
      <c r="B2109" s="291"/>
      <c r="E2109" s="212"/>
    </row>
    <row r="2110" spans="2:5" x14ac:dyDescent="0.2">
      <c r="B2110" s="291"/>
      <c r="E2110" s="212"/>
    </row>
    <row r="2111" spans="2:5" x14ac:dyDescent="0.2">
      <c r="B2111" s="291"/>
      <c r="E2111" s="212"/>
    </row>
    <row r="2112" spans="2:5" x14ac:dyDescent="0.2">
      <c r="B2112" s="291"/>
      <c r="E2112" s="212"/>
    </row>
    <row r="2113" spans="2:5" x14ac:dyDescent="0.2">
      <c r="B2113" s="291"/>
      <c r="E2113" s="212"/>
    </row>
    <row r="2114" spans="2:5" x14ac:dyDescent="0.2">
      <c r="B2114" s="291"/>
      <c r="E2114" s="212"/>
    </row>
    <row r="2115" spans="2:5" x14ac:dyDescent="0.2">
      <c r="B2115" s="291"/>
      <c r="E2115" s="212"/>
    </row>
    <row r="2116" spans="2:5" x14ac:dyDescent="0.2">
      <c r="B2116" s="291"/>
      <c r="E2116" s="212"/>
    </row>
    <row r="2117" spans="2:5" x14ac:dyDescent="0.2">
      <c r="B2117" s="291"/>
      <c r="E2117" s="212"/>
    </row>
    <row r="2118" spans="2:5" x14ac:dyDescent="0.2">
      <c r="B2118" s="291"/>
      <c r="E2118" s="212"/>
    </row>
    <row r="2119" spans="2:5" x14ac:dyDescent="0.2">
      <c r="B2119" s="291"/>
      <c r="E2119" s="212"/>
    </row>
    <row r="2120" spans="2:5" x14ac:dyDescent="0.2">
      <c r="B2120" s="291"/>
      <c r="E2120" s="212"/>
    </row>
    <row r="2121" spans="2:5" x14ac:dyDescent="0.2">
      <c r="B2121" s="291"/>
      <c r="E2121" s="212"/>
    </row>
    <row r="2122" spans="2:5" x14ac:dyDescent="0.2">
      <c r="B2122" s="291"/>
      <c r="E2122" s="212"/>
    </row>
    <row r="2123" spans="2:5" x14ac:dyDescent="0.2">
      <c r="B2123" s="291"/>
      <c r="E2123" s="212"/>
    </row>
    <row r="2124" spans="2:5" x14ac:dyDescent="0.2">
      <c r="B2124" s="291"/>
      <c r="E2124" s="212"/>
    </row>
    <row r="2125" spans="2:5" x14ac:dyDescent="0.2">
      <c r="B2125" s="291"/>
      <c r="E2125" s="212"/>
    </row>
    <row r="2126" spans="2:5" x14ac:dyDescent="0.2">
      <c r="B2126" s="291"/>
      <c r="E2126" s="212"/>
    </row>
    <row r="2127" spans="2:5" x14ac:dyDescent="0.2">
      <c r="B2127" s="291"/>
      <c r="E2127" s="212"/>
    </row>
    <row r="2128" spans="2:5" x14ac:dyDescent="0.2">
      <c r="B2128" s="291"/>
      <c r="E2128" s="212"/>
    </row>
    <row r="2129" spans="2:5" x14ac:dyDescent="0.2">
      <c r="B2129" s="291"/>
      <c r="E2129" s="212"/>
    </row>
    <row r="2130" spans="2:5" x14ac:dyDescent="0.2">
      <c r="B2130" s="291"/>
      <c r="E2130" s="212"/>
    </row>
    <row r="2131" spans="2:5" x14ac:dyDescent="0.2">
      <c r="B2131" s="291"/>
      <c r="E2131" s="212"/>
    </row>
    <row r="2132" spans="2:5" x14ac:dyDescent="0.2">
      <c r="B2132" s="291"/>
      <c r="E2132" s="212"/>
    </row>
    <row r="2133" spans="2:5" x14ac:dyDescent="0.2">
      <c r="B2133" s="291"/>
      <c r="E2133" s="212"/>
    </row>
    <row r="2134" spans="2:5" x14ac:dyDescent="0.2">
      <c r="B2134" s="291"/>
      <c r="E2134" s="212"/>
    </row>
    <row r="2135" spans="2:5" x14ac:dyDescent="0.2">
      <c r="B2135" s="291"/>
      <c r="E2135" s="212"/>
    </row>
    <row r="2136" spans="2:5" x14ac:dyDescent="0.2">
      <c r="B2136" s="291"/>
      <c r="E2136" s="212"/>
    </row>
    <row r="2137" spans="2:5" x14ac:dyDescent="0.2">
      <c r="B2137" s="291"/>
      <c r="E2137" s="212"/>
    </row>
    <row r="2138" spans="2:5" x14ac:dyDescent="0.2">
      <c r="B2138" s="291"/>
      <c r="E2138" s="212"/>
    </row>
    <row r="2139" spans="2:5" x14ac:dyDescent="0.2">
      <c r="B2139" s="291"/>
      <c r="E2139" s="212"/>
    </row>
    <row r="2140" spans="2:5" x14ac:dyDescent="0.2">
      <c r="B2140" s="291"/>
      <c r="E2140" s="212"/>
    </row>
    <row r="2141" spans="2:5" x14ac:dyDescent="0.2">
      <c r="B2141" s="291"/>
      <c r="E2141" s="212"/>
    </row>
    <row r="2142" spans="2:5" x14ac:dyDescent="0.2">
      <c r="B2142" s="291"/>
      <c r="E2142" s="212"/>
    </row>
    <row r="2143" spans="2:5" x14ac:dyDescent="0.2">
      <c r="B2143" s="291"/>
      <c r="E2143" s="212"/>
    </row>
    <row r="2144" spans="2:5" x14ac:dyDescent="0.2">
      <c r="B2144" s="291"/>
      <c r="E2144" s="212"/>
    </row>
    <row r="2145" spans="2:5" x14ac:dyDescent="0.2">
      <c r="B2145" s="291"/>
      <c r="E2145" s="212"/>
    </row>
    <row r="2146" spans="2:5" x14ac:dyDescent="0.2">
      <c r="B2146" s="291"/>
      <c r="E2146" s="212"/>
    </row>
    <row r="2147" spans="2:5" x14ac:dyDescent="0.2">
      <c r="B2147" s="291"/>
      <c r="E2147" s="212"/>
    </row>
    <row r="2148" spans="2:5" x14ac:dyDescent="0.2">
      <c r="B2148" s="291"/>
      <c r="E2148" s="212"/>
    </row>
    <row r="2149" spans="2:5" x14ac:dyDescent="0.2">
      <c r="B2149" s="291"/>
      <c r="E2149" s="212"/>
    </row>
    <row r="2150" spans="2:5" x14ac:dyDescent="0.2">
      <c r="B2150" s="291"/>
      <c r="E2150" s="212"/>
    </row>
    <row r="2151" spans="2:5" x14ac:dyDescent="0.2">
      <c r="B2151" s="291"/>
      <c r="E2151" s="212"/>
    </row>
    <row r="2152" spans="2:5" x14ac:dyDescent="0.2">
      <c r="B2152" s="291"/>
      <c r="E2152" s="212"/>
    </row>
    <row r="2153" spans="2:5" x14ac:dyDescent="0.2">
      <c r="B2153" s="291"/>
      <c r="E2153" s="212"/>
    </row>
    <row r="2154" spans="2:5" x14ac:dyDescent="0.2">
      <c r="B2154" s="291"/>
      <c r="E2154" s="212"/>
    </row>
    <row r="2155" spans="2:5" x14ac:dyDescent="0.2">
      <c r="B2155" s="291"/>
      <c r="E2155" s="212"/>
    </row>
    <row r="2156" spans="2:5" x14ac:dyDescent="0.2">
      <c r="B2156" s="291"/>
      <c r="E2156" s="212"/>
    </row>
    <row r="2157" spans="2:5" x14ac:dyDescent="0.2">
      <c r="B2157" s="291"/>
      <c r="E2157" s="212"/>
    </row>
    <row r="2158" spans="2:5" x14ac:dyDescent="0.2">
      <c r="B2158" s="291"/>
      <c r="E2158" s="212"/>
    </row>
    <row r="2159" spans="2:5" x14ac:dyDescent="0.2">
      <c r="B2159" s="291"/>
      <c r="E2159" s="212"/>
    </row>
    <row r="2160" spans="2:5" x14ac:dyDescent="0.2">
      <c r="B2160" s="291"/>
      <c r="E2160" s="212"/>
    </row>
    <row r="2161" spans="2:5" x14ac:dyDescent="0.2">
      <c r="B2161" s="291"/>
      <c r="E2161" s="212"/>
    </row>
    <row r="2162" spans="2:5" x14ac:dyDescent="0.2">
      <c r="B2162" s="291"/>
      <c r="E2162" s="212"/>
    </row>
    <row r="2163" spans="2:5" x14ac:dyDescent="0.2">
      <c r="B2163" s="291"/>
      <c r="E2163" s="212"/>
    </row>
    <row r="2164" spans="2:5" x14ac:dyDescent="0.2">
      <c r="B2164" s="291"/>
      <c r="E2164" s="212"/>
    </row>
    <row r="2165" spans="2:5" x14ac:dyDescent="0.2">
      <c r="B2165" s="291"/>
      <c r="E2165" s="212"/>
    </row>
    <row r="2166" spans="2:5" x14ac:dyDescent="0.2">
      <c r="B2166" s="291"/>
      <c r="E2166" s="212"/>
    </row>
    <row r="2167" spans="2:5" x14ac:dyDescent="0.2">
      <c r="B2167" s="291"/>
      <c r="E2167" s="212"/>
    </row>
    <row r="2168" spans="2:5" x14ac:dyDescent="0.2">
      <c r="B2168" s="291"/>
      <c r="E2168" s="212"/>
    </row>
    <row r="2169" spans="2:5" x14ac:dyDescent="0.2">
      <c r="B2169" s="291"/>
      <c r="E2169" s="212"/>
    </row>
    <row r="2170" spans="2:5" x14ac:dyDescent="0.2">
      <c r="B2170" s="291"/>
      <c r="E2170" s="212"/>
    </row>
    <row r="2171" spans="2:5" x14ac:dyDescent="0.2">
      <c r="B2171" s="291"/>
      <c r="E2171" s="212"/>
    </row>
    <row r="2172" spans="2:5" x14ac:dyDescent="0.2">
      <c r="B2172" s="291"/>
      <c r="E2172" s="212"/>
    </row>
    <row r="2173" spans="2:5" x14ac:dyDescent="0.2">
      <c r="B2173" s="291"/>
      <c r="E2173" s="212"/>
    </row>
    <row r="2174" spans="2:5" x14ac:dyDescent="0.2">
      <c r="B2174" s="291"/>
      <c r="E2174" s="212"/>
    </row>
    <row r="2175" spans="2:5" x14ac:dyDescent="0.2">
      <c r="B2175" s="291"/>
      <c r="E2175" s="212"/>
    </row>
    <row r="2176" spans="2:5" x14ac:dyDescent="0.2">
      <c r="B2176" s="291"/>
      <c r="E2176" s="212"/>
    </row>
    <row r="2177" spans="2:5" x14ac:dyDescent="0.2">
      <c r="B2177" s="291"/>
      <c r="E2177" s="212"/>
    </row>
    <row r="2178" spans="2:5" x14ac:dyDescent="0.2">
      <c r="B2178" s="291"/>
      <c r="E2178" s="212"/>
    </row>
    <row r="2179" spans="2:5" x14ac:dyDescent="0.2">
      <c r="B2179" s="291"/>
      <c r="E2179" s="212"/>
    </row>
    <row r="2180" spans="2:5" x14ac:dyDescent="0.2">
      <c r="B2180" s="291"/>
      <c r="E2180" s="212"/>
    </row>
    <row r="2181" spans="2:5" x14ac:dyDescent="0.2">
      <c r="B2181" s="291"/>
      <c r="E2181" s="212"/>
    </row>
    <row r="2182" spans="2:5" x14ac:dyDescent="0.2">
      <c r="B2182" s="291"/>
      <c r="E2182" s="212"/>
    </row>
    <row r="2183" spans="2:5" x14ac:dyDescent="0.2">
      <c r="B2183" s="291"/>
      <c r="E2183" s="212"/>
    </row>
    <row r="2184" spans="2:5" x14ac:dyDescent="0.2">
      <c r="B2184" s="291"/>
      <c r="E2184" s="212"/>
    </row>
    <row r="2185" spans="2:5" x14ac:dyDescent="0.2">
      <c r="B2185" s="291"/>
      <c r="E2185" s="212"/>
    </row>
    <row r="2186" spans="2:5" x14ac:dyDescent="0.2">
      <c r="B2186" s="291"/>
      <c r="E2186" s="212"/>
    </row>
    <row r="2187" spans="2:5" x14ac:dyDescent="0.2">
      <c r="B2187" s="291"/>
      <c r="E2187" s="212"/>
    </row>
    <row r="2188" spans="2:5" x14ac:dyDescent="0.2">
      <c r="B2188" s="291"/>
      <c r="E2188" s="212"/>
    </row>
    <row r="2189" spans="2:5" x14ac:dyDescent="0.2">
      <c r="B2189" s="291"/>
      <c r="E2189" s="212"/>
    </row>
    <row r="2190" spans="2:5" x14ac:dyDescent="0.2">
      <c r="B2190" s="291"/>
      <c r="E2190" s="212"/>
    </row>
    <row r="2191" spans="2:5" x14ac:dyDescent="0.2">
      <c r="B2191" s="291"/>
      <c r="E2191" s="212"/>
    </row>
    <row r="2192" spans="2:5" x14ac:dyDescent="0.2">
      <c r="B2192" s="291"/>
      <c r="E2192" s="212"/>
    </row>
    <row r="2193" spans="2:5" x14ac:dyDescent="0.2">
      <c r="B2193" s="291"/>
      <c r="E2193" s="212"/>
    </row>
    <row r="2194" spans="2:5" x14ac:dyDescent="0.2">
      <c r="B2194" s="291"/>
      <c r="E2194" s="212"/>
    </row>
    <row r="2195" spans="2:5" x14ac:dyDescent="0.2">
      <c r="B2195" s="291"/>
      <c r="E2195" s="212"/>
    </row>
    <row r="2196" spans="2:5" x14ac:dyDescent="0.2">
      <c r="B2196" s="291"/>
      <c r="E2196" s="212"/>
    </row>
    <row r="2197" spans="2:5" x14ac:dyDescent="0.2">
      <c r="B2197" s="291"/>
      <c r="E2197" s="212"/>
    </row>
    <row r="2198" spans="2:5" x14ac:dyDescent="0.2">
      <c r="B2198" s="291"/>
      <c r="E2198" s="212"/>
    </row>
    <row r="2199" spans="2:5" x14ac:dyDescent="0.2">
      <c r="B2199" s="291"/>
      <c r="E2199" s="212"/>
    </row>
    <row r="2200" spans="2:5" x14ac:dyDescent="0.2">
      <c r="B2200" s="291"/>
      <c r="E2200" s="212"/>
    </row>
    <row r="2201" spans="2:5" x14ac:dyDescent="0.2">
      <c r="B2201" s="291"/>
      <c r="E2201" s="212"/>
    </row>
    <row r="2202" spans="2:5" x14ac:dyDescent="0.2">
      <c r="B2202" s="291"/>
      <c r="E2202" s="212"/>
    </row>
    <row r="2203" spans="2:5" x14ac:dyDescent="0.2">
      <c r="B2203" s="291"/>
      <c r="E2203" s="212"/>
    </row>
    <row r="2204" spans="2:5" x14ac:dyDescent="0.2">
      <c r="B2204" s="291"/>
      <c r="E2204" s="212"/>
    </row>
    <row r="2205" spans="2:5" x14ac:dyDescent="0.2">
      <c r="B2205" s="291"/>
      <c r="E2205" s="212"/>
    </row>
    <row r="2206" spans="2:5" x14ac:dyDescent="0.2">
      <c r="B2206" s="291"/>
      <c r="E2206" s="212"/>
    </row>
    <row r="2207" spans="2:5" x14ac:dyDescent="0.2">
      <c r="B2207" s="291"/>
      <c r="E2207" s="212"/>
    </row>
    <row r="2208" spans="2:5" x14ac:dyDescent="0.2">
      <c r="B2208" s="291"/>
      <c r="E2208" s="212"/>
    </row>
    <row r="2209" spans="2:5" x14ac:dyDescent="0.2">
      <c r="B2209" s="291"/>
      <c r="E2209" s="212"/>
    </row>
    <row r="2210" spans="2:5" x14ac:dyDescent="0.2">
      <c r="B2210" s="291"/>
      <c r="E2210" s="212"/>
    </row>
    <row r="2211" spans="2:5" x14ac:dyDescent="0.2">
      <c r="B2211" s="291"/>
      <c r="E2211" s="212"/>
    </row>
    <row r="2212" spans="2:5" x14ac:dyDescent="0.2">
      <c r="B2212" s="291"/>
      <c r="E2212" s="212"/>
    </row>
    <row r="2213" spans="2:5" x14ac:dyDescent="0.2">
      <c r="B2213" s="291"/>
      <c r="E2213" s="212"/>
    </row>
    <row r="2214" spans="2:5" x14ac:dyDescent="0.2">
      <c r="B2214" s="291"/>
      <c r="E2214" s="212"/>
    </row>
    <row r="2215" spans="2:5" x14ac:dyDescent="0.2">
      <c r="B2215" s="291"/>
      <c r="E2215" s="212"/>
    </row>
    <row r="2216" spans="2:5" x14ac:dyDescent="0.2">
      <c r="B2216" s="291"/>
      <c r="E2216" s="212"/>
    </row>
    <row r="2217" spans="2:5" x14ac:dyDescent="0.2">
      <c r="B2217" s="291"/>
      <c r="E2217" s="212"/>
    </row>
    <row r="2218" spans="2:5" x14ac:dyDescent="0.2">
      <c r="B2218" s="291"/>
      <c r="E2218" s="212"/>
    </row>
    <row r="2219" spans="2:5" x14ac:dyDescent="0.2">
      <c r="B2219" s="291"/>
      <c r="E2219" s="212"/>
    </row>
    <row r="2220" spans="2:5" x14ac:dyDescent="0.2">
      <c r="B2220" s="291"/>
      <c r="E2220" s="212"/>
    </row>
    <row r="2221" spans="2:5" x14ac:dyDescent="0.2">
      <c r="B2221" s="291"/>
      <c r="E2221" s="212"/>
    </row>
    <row r="2222" spans="2:5" x14ac:dyDescent="0.2">
      <c r="B2222" s="291"/>
      <c r="E2222" s="212"/>
    </row>
    <row r="2223" spans="2:5" x14ac:dyDescent="0.2">
      <c r="B2223" s="291"/>
      <c r="E2223" s="212"/>
    </row>
    <row r="2224" spans="2:5" x14ac:dyDescent="0.2">
      <c r="B2224" s="291"/>
      <c r="E2224" s="212"/>
    </row>
    <row r="2225" spans="2:5" x14ac:dyDescent="0.2">
      <c r="B2225" s="291"/>
      <c r="E2225" s="212"/>
    </row>
    <row r="2226" spans="2:5" x14ac:dyDescent="0.2">
      <c r="B2226" s="291"/>
      <c r="E2226" s="212"/>
    </row>
    <row r="2227" spans="2:5" x14ac:dyDescent="0.2">
      <c r="B2227" s="291"/>
      <c r="E2227" s="212"/>
    </row>
    <row r="2228" spans="2:5" x14ac:dyDescent="0.2">
      <c r="B2228" s="291"/>
      <c r="E2228" s="212"/>
    </row>
    <row r="2229" spans="2:5" x14ac:dyDescent="0.2">
      <c r="B2229" s="291"/>
      <c r="E2229" s="212"/>
    </row>
    <row r="2230" spans="2:5" x14ac:dyDescent="0.2">
      <c r="B2230" s="291"/>
      <c r="E2230" s="212"/>
    </row>
    <row r="2231" spans="2:5" x14ac:dyDescent="0.2">
      <c r="B2231" s="291"/>
      <c r="E2231" s="212"/>
    </row>
    <row r="2232" spans="2:5" x14ac:dyDescent="0.2">
      <c r="B2232" s="291"/>
      <c r="E2232" s="212"/>
    </row>
    <row r="2233" spans="2:5" x14ac:dyDescent="0.2">
      <c r="B2233" s="291"/>
      <c r="E2233" s="212"/>
    </row>
    <row r="2234" spans="2:5" x14ac:dyDescent="0.2">
      <c r="B2234" s="291"/>
      <c r="E2234" s="212"/>
    </row>
    <row r="2235" spans="2:5" x14ac:dyDescent="0.2">
      <c r="B2235" s="291"/>
      <c r="E2235" s="212"/>
    </row>
    <row r="2236" spans="2:5" x14ac:dyDescent="0.2">
      <c r="B2236" s="291"/>
      <c r="E2236" s="212"/>
    </row>
    <row r="2237" spans="2:5" x14ac:dyDescent="0.2">
      <c r="B2237" s="291"/>
      <c r="E2237" s="212"/>
    </row>
    <row r="2238" spans="2:5" x14ac:dyDescent="0.2">
      <c r="B2238" s="291"/>
      <c r="E2238" s="212"/>
    </row>
    <row r="2239" spans="2:5" x14ac:dyDescent="0.2">
      <c r="B2239" s="291"/>
      <c r="E2239" s="212"/>
    </row>
    <row r="2240" spans="2:5" x14ac:dyDescent="0.2">
      <c r="B2240" s="291"/>
      <c r="E2240" s="212"/>
    </row>
    <row r="2241" spans="2:5" x14ac:dyDescent="0.2">
      <c r="B2241" s="291"/>
      <c r="E2241" s="212"/>
    </row>
    <row r="2242" spans="2:5" x14ac:dyDescent="0.2">
      <c r="B2242" s="291"/>
      <c r="E2242" s="212"/>
    </row>
    <row r="2243" spans="2:5" x14ac:dyDescent="0.2">
      <c r="B2243" s="291"/>
      <c r="E2243" s="212"/>
    </row>
    <row r="2244" spans="2:5" x14ac:dyDescent="0.2">
      <c r="B2244" s="291"/>
      <c r="E2244" s="212"/>
    </row>
    <row r="2245" spans="2:5" x14ac:dyDescent="0.2">
      <c r="B2245" s="291"/>
      <c r="E2245" s="212"/>
    </row>
    <row r="2246" spans="2:5" x14ac:dyDescent="0.2">
      <c r="B2246" s="291"/>
      <c r="E2246" s="212"/>
    </row>
    <row r="2247" spans="2:5" x14ac:dyDescent="0.2">
      <c r="B2247" s="291"/>
      <c r="E2247" s="212"/>
    </row>
    <row r="2248" spans="2:5" x14ac:dyDescent="0.2">
      <c r="B2248" s="291"/>
      <c r="E2248" s="212"/>
    </row>
    <row r="2249" spans="2:5" x14ac:dyDescent="0.2">
      <c r="B2249" s="291"/>
      <c r="E2249" s="212"/>
    </row>
    <row r="2250" spans="2:5" x14ac:dyDescent="0.2">
      <c r="B2250" s="291"/>
      <c r="E2250" s="212"/>
    </row>
    <row r="2251" spans="2:5" x14ac:dyDescent="0.2">
      <c r="B2251" s="291"/>
      <c r="E2251" s="212"/>
    </row>
    <row r="2252" spans="2:5" x14ac:dyDescent="0.2">
      <c r="B2252" s="291"/>
      <c r="E2252" s="212"/>
    </row>
    <row r="2253" spans="2:5" x14ac:dyDescent="0.2">
      <c r="B2253" s="291"/>
      <c r="E2253" s="212"/>
    </row>
    <row r="2254" spans="2:5" x14ac:dyDescent="0.2">
      <c r="B2254" s="291"/>
      <c r="E2254" s="212"/>
    </row>
    <row r="2255" spans="2:5" x14ac:dyDescent="0.2">
      <c r="B2255" s="291"/>
      <c r="E2255" s="212"/>
    </row>
    <row r="2256" spans="2:5" x14ac:dyDescent="0.2">
      <c r="B2256" s="291"/>
      <c r="E2256" s="212"/>
    </row>
    <row r="2257" spans="2:5" x14ac:dyDescent="0.2">
      <c r="B2257" s="291"/>
      <c r="E2257" s="212"/>
    </row>
    <row r="2258" spans="2:5" x14ac:dyDescent="0.2">
      <c r="B2258" s="291"/>
      <c r="E2258" s="212"/>
    </row>
    <row r="2259" spans="2:5" x14ac:dyDescent="0.2">
      <c r="B2259" s="291"/>
      <c r="E2259" s="212"/>
    </row>
    <row r="2260" spans="2:5" x14ac:dyDescent="0.2">
      <c r="B2260" s="291"/>
      <c r="E2260" s="212"/>
    </row>
    <row r="2261" spans="2:5" x14ac:dyDescent="0.2">
      <c r="B2261" s="291"/>
      <c r="E2261" s="212"/>
    </row>
    <row r="2262" spans="2:5" x14ac:dyDescent="0.2">
      <c r="B2262" s="291"/>
      <c r="E2262" s="212"/>
    </row>
    <row r="2263" spans="2:5" x14ac:dyDescent="0.2">
      <c r="B2263" s="291"/>
      <c r="E2263" s="212"/>
    </row>
    <row r="2264" spans="2:5" x14ac:dyDescent="0.2">
      <c r="B2264" s="291"/>
      <c r="E2264" s="212"/>
    </row>
    <row r="2265" spans="2:5" x14ac:dyDescent="0.2">
      <c r="B2265" s="291"/>
      <c r="E2265" s="212"/>
    </row>
    <row r="2266" spans="2:5" x14ac:dyDescent="0.2">
      <c r="B2266" s="291"/>
      <c r="E2266" s="212"/>
    </row>
    <row r="2267" spans="2:5" x14ac:dyDescent="0.2">
      <c r="B2267" s="291"/>
      <c r="E2267" s="212"/>
    </row>
    <row r="2268" spans="2:5" x14ac:dyDescent="0.2">
      <c r="B2268" s="291"/>
      <c r="E2268" s="212"/>
    </row>
    <row r="2269" spans="2:5" x14ac:dyDescent="0.2">
      <c r="B2269" s="291"/>
      <c r="E2269" s="212"/>
    </row>
    <row r="2270" spans="2:5" x14ac:dyDescent="0.2">
      <c r="B2270" s="291"/>
      <c r="E2270" s="212"/>
    </row>
    <row r="2271" spans="2:5" x14ac:dyDescent="0.2">
      <c r="B2271" s="291"/>
      <c r="E2271" s="212"/>
    </row>
    <row r="2272" spans="2:5" x14ac:dyDescent="0.2">
      <c r="B2272" s="291"/>
      <c r="E2272" s="212"/>
    </row>
    <row r="2273" spans="2:5" x14ac:dyDescent="0.2">
      <c r="B2273" s="291"/>
      <c r="E2273" s="212"/>
    </row>
    <row r="2274" spans="2:5" x14ac:dyDescent="0.2">
      <c r="B2274" s="291"/>
      <c r="E2274" s="212"/>
    </row>
    <row r="2275" spans="2:5" x14ac:dyDescent="0.2">
      <c r="B2275" s="291"/>
      <c r="E2275" s="212"/>
    </row>
    <row r="2276" spans="2:5" x14ac:dyDescent="0.2">
      <c r="B2276" s="291"/>
      <c r="E2276" s="212"/>
    </row>
    <row r="2277" spans="2:5" x14ac:dyDescent="0.2">
      <c r="B2277" s="291"/>
      <c r="E2277" s="212"/>
    </row>
    <row r="2278" spans="2:5" x14ac:dyDescent="0.2">
      <c r="B2278" s="291"/>
      <c r="E2278" s="212"/>
    </row>
    <row r="2279" spans="2:5" x14ac:dyDescent="0.2">
      <c r="B2279" s="291"/>
      <c r="E2279" s="212"/>
    </row>
    <row r="2280" spans="2:5" x14ac:dyDescent="0.2">
      <c r="B2280" s="291"/>
      <c r="E2280" s="212"/>
    </row>
    <row r="2281" spans="2:5" x14ac:dyDescent="0.2">
      <c r="B2281" s="291"/>
      <c r="E2281" s="212"/>
    </row>
    <row r="2282" spans="2:5" x14ac:dyDescent="0.2">
      <c r="B2282" s="291"/>
      <c r="E2282" s="212"/>
    </row>
    <row r="2283" spans="2:5" x14ac:dyDescent="0.2">
      <c r="B2283" s="291"/>
      <c r="E2283" s="212"/>
    </row>
    <row r="2284" spans="2:5" x14ac:dyDescent="0.2">
      <c r="B2284" s="291"/>
      <c r="E2284" s="212"/>
    </row>
    <row r="2285" spans="2:5" x14ac:dyDescent="0.2">
      <c r="B2285" s="291"/>
      <c r="E2285" s="212"/>
    </row>
    <row r="2286" spans="2:5" x14ac:dyDescent="0.2">
      <c r="B2286" s="291"/>
      <c r="E2286" s="212"/>
    </row>
    <row r="2287" spans="2:5" x14ac:dyDescent="0.2">
      <c r="B2287" s="291"/>
      <c r="E2287" s="212"/>
    </row>
    <row r="2288" spans="2:5" x14ac:dyDescent="0.2">
      <c r="B2288" s="291"/>
      <c r="E2288" s="212"/>
    </row>
    <row r="2289" spans="2:5" x14ac:dyDescent="0.2">
      <c r="B2289" s="291"/>
      <c r="E2289" s="212"/>
    </row>
    <row r="2290" spans="2:5" x14ac:dyDescent="0.2">
      <c r="B2290" s="291"/>
      <c r="E2290" s="212"/>
    </row>
    <row r="2291" spans="2:5" x14ac:dyDescent="0.2">
      <c r="B2291" s="291"/>
      <c r="E2291" s="212"/>
    </row>
    <row r="2292" spans="2:5" x14ac:dyDescent="0.2">
      <c r="B2292" s="291"/>
      <c r="E2292" s="212"/>
    </row>
    <row r="2293" spans="2:5" x14ac:dyDescent="0.2">
      <c r="B2293" s="291"/>
      <c r="E2293" s="212"/>
    </row>
    <row r="2294" spans="2:5" x14ac:dyDescent="0.2">
      <c r="B2294" s="291"/>
      <c r="E2294" s="212"/>
    </row>
    <row r="2295" spans="2:5" x14ac:dyDescent="0.2">
      <c r="B2295" s="291"/>
      <c r="E2295" s="212"/>
    </row>
    <row r="2296" spans="2:5" x14ac:dyDescent="0.2">
      <c r="B2296" s="291"/>
      <c r="E2296" s="212"/>
    </row>
    <row r="2297" spans="2:5" x14ac:dyDescent="0.2">
      <c r="B2297" s="291"/>
      <c r="E2297" s="212"/>
    </row>
    <row r="2298" spans="2:5" x14ac:dyDescent="0.2">
      <c r="B2298" s="291"/>
      <c r="E2298" s="212"/>
    </row>
    <row r="2299" spans="2:5" x14ac:dyDescent="0.2">
      <c r="B2299" s="291"/>
      <c r="E2299" s="212"/>
    </row>
    <row r="2300" spans="2:5" x14ac:dyDescent="0.2">
      <c r="B2300" s="291"/>
      <c r="E2300" s="212"/>
    </row>
    <row r="2301" spans="2:5" x14ac:dyDescent="0.2">
      <c r="B2301" s="291"/>
      <c r="E2301" s="212"/>
    </row>
    <row r="2302" spans="2:5" x14ac:dyDescent="0.2">
      <c r="B2302" s="291"/>
      <c r="E2302" s="212"/>
    </row>
    <row r="2303" spans="2:5" x14ac:dyDescent="0.2">
      <c r="B2303" s="291"/>
      <c r="E2303" s="212"/>
    </row>
    <row r="2304" spans="2:5" x14ac:dyDescent="0.2">
      <c r="B2304" s="291"/>
      <c r="E2304" s="212"/>
    </row>
    <row r="2305" spans="2:5" x14ac:dyDescent="0.2">
      <c r="B2305" s="291"/>
      <c r="E2305" s="212"/>
    </row>
    <row r="2306" spans="2:5" x14ac:dyDescent="0.2">
      <c r="B2306" s="291"/>
      <c r="E2306" s="212"/>
    </row>
    <row r="2307" spans="2:5" x14ac:dyDescent="0.2">
      <c r="B2307" s="291"/>
      <c r="E2307" s="212"/>
    </row>
    <row r="2308" spans="2:5" x14ac:dyDescent="0.2">
      <c r="B2308" s="291"/>
      <c r="E2308" s="212"/>
    </row>
    <row r="2309" spans="2:5" x14ac:dyDescent="0.2">
      <c r="B2309" s="291"/>
      <c r="E2309" s="212"/>
    </row>
    <row r="2310" spans="2:5" x14ac:dyDescent="0.2">
      <c r="B2310" s="291"/>
      <c r="E2310" s="212"/>
    </row>
    <row r="2311" spans="2:5" x14ac:dyDescent="0.2">
      <c r="B2311" s="291"/>
      <c r="E2311" s="212"/>
    </row>
    <row r="2312" spans="2:5" x14ac:dyDescent="0.2">
      <c r="B2312" s="291"/>
      <c r="E2312" s="212"/>
    </row>
    <row r="2313" spans="2:5" x14ac:dyDescent="0.2">
      <c r="B2313" s="291"/>
      <c r="E2313" s="212"/>
    </row>
    <row r="2314" spans="2:5" x14ac:dyDescent="0.2">
      <c r="B2314" s="291"/>
      <c r="E2314" s="212"/>
    </row>
    <row r="2315" spans="2:5" x14ac:dyDescent="0.2">
      <c r="B2315" s="291"/>
      <c r="E2315" s="212"/>
    </row>
    <row r="2316" spans="2:5" x14ac:dyDescent="0.2">
      <c r="B2316" s="291"/>
      <c r="E2316" s="212"/>
    </row>
    <row r="2317" spans="2:5" x14ac:dyDescent="0.2">
      <c r="B2317" s="291"/>
      <c r="E2317" s="212"/>
    </row>
    <row r="2318" spans="2:5" x14ac:dyDescent="0.2">
      <c r="B2318" s="291"/>
      <c r="E2318" s="212"/>
    </row>
    <row r="2319" spans="2:5" x14ac:dyDescent="0.2">
      <c r="B2319" s="291"/>
      <c r="E2319" s="212"/>
    </row>
    <row r="2320" spans="2:5" x14ac:dyDescent="0.2">
      <c r="B2320" s="291"/>
      <c r="E2320" s="212"/>
    </row>
    <row r="2321" spans="2:5" x14ac:dyDescent="0.2">
      <c r="B2321" s="291"/>
      <c r="E2321" s="212"/>
    </row>
    <row r="2322" spans="2:5" x14ac:dyDescent="0.2">
      <c r="B2322" s="291"/>
      <c r="E2322" s="212"/>
    </row>
    <row r="2323" spans="2:5" x14ac:dyDescent="0.2">
      <c r="B2323" s="291"/>
      <c r="E2323" s="212"/>
    </row>
    <row r="2324" spans="2:5" x14ac:dyDescent="0.2">
      <c r="B2324" s="291"/>
      <c r="E2324" s="212"/>
    </row>
    <row r="2325" spans="2:5" x14ac:dyDescent="0.2">
      <c r="B2325" s="291"/>
      <c r="E2325" s="212"/>
    </row>
    <row r="2326" spans="2:5" x14ac:dyDescent="0.2">
      <c r="B2326" s="291"/>
      <c r="E2326" s="212"/>
    </row>
    <row r="2327" spans="2:5" x14ac:dyDescent="0.2">
      <c r="B2327" s="291"/>
      <c r="E2327" s="212"/>
    </row>
    <row r="2328" spans="2:5" x14ac:dyDescent="0.2">
      <c r="B2328" s="291"/>
      <c r="E2328" s="212"/>
    </row>
    <row r="2329" spans="2:5" x14ac:dyDescent="0.2">
      <c r="B2329" s="291"/>
      <c r="E2329" s="212"/>
    </row>
    <row r="2330" spans="2:5" x14ac:dyDescent="0.2">
      <c r="B2330" s="291"/>
      <c r="E2330" s="212"/>
    </row>
    <row r="2331" spans="2:5" x14ac:dyDescent="0.2">
      <c r="B2331" s="291"/>
      <c r="E2331" s="212"/>
    </row>
    <row r="2332" spans="2:5" x14ac:dyDescent="0.2">
      <c r="B2332" s="291"/>
      <c r="E2332" s="212"/>
    </row>
    <row r="2333" spans="2:5" x14ac:dyDescent="0.2">
      <c r="B2333" s="291"/>
      <c r="E2333" s="212"/>
    </row>
    <row r="2334" spans="2:5" x14ac:dyDescent="0.2">
      <c r="B2334" s="291"/>
      <c r="E2334" s="212"/>
    </row>
    <row r="2335" spans="2:5" x14ac:dyDescent="0.2">
      <c r="B2335" s="291"/>
      <c r="E2335" s="212"/>
    </row>
    <row r="2336" spans="2:5" x14ac:dyDescent="0.2">
      <c r="B2336" s="291"/>
      <c r="E2336" s="212"/>
    </row>
    <row r="2337" spans="2:5" x14ac:dyDescent="0.2">
      <c r="B2337" s="291"/>
      <c r="E2337" s="212"/>
    </row>
    <row r="2338" spans="2:5" x14ac:dyDescent="0.2">
      <c r="B2338" s="291"/>
      <c r="E2338" s="212"/>
    </row>
    <row r="2339" spans="2:5" x14ac:dyDescent="0.2">
      <c r="B2339" s="291"/>
      <c r="E2339" s="212"/>
    </row>
    <row r="2340" spans="2:5" x14ac:dyDescent="0.2">
      <c r="B2340" s="291"/>
      <c r="E2340" s="212"/>
    </row>
    <row r="2341" spans="2:5" x14ac:dyDescent="0.2">
      <c r="B2341" s="291"/>
      <c r="E2341" s="212"/>
    </row>
    <row r="2342" spans="2:5" x14ac:dyDescent="0.2">
      <c r="B2342" s="291"/>
      <c r="E2342" s="212"/>
    </row>
    <row r="2343" spans="2:5" x14ac:dyDescent="0.2">
      <c r="B2343" s="291"/>
      <c r="E2343" s="212"/>
    </row>
    <row r="2344" spans="2:5" x14ac:dyDescent="0.2">
      <c r="B2344" s="291"/>
      <c r="E2344" s="212"/>
    </row>
    <row r="2345" spans="2:5" x14ac:dyDescent="0.2">
      <c r="B2345" s="291"/>
      <c r="E2345" s="212"/>
    </row>
    <row r="2346" spans="2:5" x14ac:dyDescent="0.2">
      <c r="B2346" s="291"/>
      <c r="E2346" s="212"/>
    </row>
    <row r="2347" spans="2:5" x14ac:dyDescent="0.2">
      <c r="B2347" s="291"/>
      <c r="E2347" s="212"/>
    </row>
    <row r="2348" spans="2:5" x14ac:dyDescent="0.2">
      <c r="B2348" s="291"/>
      <c r="E2348" s="212"/>
    </row>
    <row r="2349" spans="2:5" x14ac:dyDescent="0.2">
      <c r="B2349" s="291"/>
      <c r="E2349" s="212"/>
    </row>
    <row r="2350" spans="2:5" x14ac:dyDescent="0.2">
      <c r="B2350" s="291"/>
      <c r="E2350" s="212"/>
    </row>
    <row r="2351" spans="2:5" x14ac:dyDescent="0.2">
      <c r="B2351" s="291"/>
      <c r="E2351" s="212"/>
    </row>
    <row r="2352" spans="2:5" x14ac:dyDescent="0.2">
      <c r="B2352" s="291"/>
      <c r="E2352" s="212"/>
    </row>
    <row r="2353" spans="2:5" x14ac:dyDescent="0.2">
      <c r="B2353" s="291"/>
      <c r="E2353" s="212"/>
    </row>
    <row r="2354" spans="2:5" x14ac:dyDescent="0.2">
      <c r="B2354" s="291"/>
      <c r="E2354" s="212"/>
    </row>
    <row r="2355" spans="2:5" x14ac:dyDescent="0.2">
      <c r="B2355" s="291"/>
      <c r="E2355" s="212"/>
    </row>
    <row r="2356" spans="2:5" x14ac:dyDescent="0.2">
      <c r="B2356" s="291"/>
      <c r="E2356" s="212"/>
    </row>
    <row r="2357" spans="2:5" x14ac:dyDescent="0.2">
      <c r="B2357" s="291"/>
      <c r="E2357" s="212"/>
    </row>
    <row r="2358" spans="2:5" x14ac:dyDescent="0.2">
      <c r="B2358" s="291"/>
      <c r="E2358" s="212"/>
    </row>
    <row r="2359" spans="2:5" x14ac:dyDescent="0.2">
      <c r="B2359" s="291"/>
      <c r="E2359" s="212"/>
    </row>
    <row r="2360" spans="2:5" x14ac:dyDescent="0.2">
      <c r="B2360" s="291"/>
      <c r="E2360" s="212"/>
    </row>
    <row r="2361" spans="2:5" x14ac:dyDescent="0.2">
      <c r="B2361" s="291"/>
      <c r="E2361" s="212"/>
    </row>
    <row r="2362" spans="2:5" x14ac:dyDescent="0.2">
      <c r="B2362" s="291"/>
      <c r="E2362" s="212"/>
    </row>
    <row r="2363" spans="2:5" x14ac:dyDescent="0.2">
      <c r="B2363" s="291"/>
      <c r="E2363" s="212"/>
    </row>
    <row r="2364" spans="2:5" x14ac:dyDescent="0.2">
      <c r="B2364" s="291"/>
      <c r="E2364" s="212"/>
    </row>
    <row r="2365" spans="2:5" x14ac:dyDescent="0.2">
      <c r="B2365" s="291"/>
      <c r="E2365" s="212"/>
    </row>
    <row r="2366" spans="2:5" x14ac:dyDescent="0.2">
      <c r="B2366" s="291"/>
      <c r="E2366" s="212"/>
    </row>
    <row r="2367" spans="2:5" x14ac:dyDescent="0.2">
      <c r="B2367" s="291"/>
      <c r="E2367" s="212"/>
    </row>
    <row r="2368" spans="2:5" x14ac:dyDescent="0.2">
      <c r="B2368" s="291"/>
      <c r="E2368" s="212"/>
    </row>
    <row r="2369" spans="2:5" x14ac:dyDescent="0.2">
      <c r="B2369" s="291"/>
      <c r="E2369" s="212"/>
    </row>
    <row r="2370" spans="2:5" x14ac:dyDescent="0.2">
      <c r="B2370" s="291"/>
      <c r="E2370" s="212"/>
    </row>
    <row r="2371" spans="2:5" x14ac:dyDescent="0.2">
      <c r="B2371" s="291"/>
      <c r="E2371" s="212"/>
    </row>
    <row r="2372" spans="2:5" x14ac:dyDescent="0.2">
      <c r="B2372" s="291"/>
      <c r="E2372" s="212"/>
    </row>
    <row r="2373" spans="2:5" x14ac:dyDescent="0.2">
      <c r="B2373" s="291"/>
      <c r="E2373" s="212"/>
    </row>
    <row r="2374" spans="2:5" x14ac:dyDescent="0.2">
      <c r="B2374" s="291"/>
      <c r="E2374" s="212"/>
    </row>
    <row r="2375" spans="2:5" x14ac:dyDescent="0.2">
      <c r="B2375" s="291"/>
      <c r="E2375" s="212"/>
    </row>
    <row r="2376" spans="2:5" x14ac:dyDescent="0.2">
      <c r="B2376" s="291"/>
      <c r="E2376" s="212"/>
    </row>
    <row r="2377" spans="2:5" x14ac:dyDescent="0.2">
      <c r="B2377" s="291"/>
      <c r="E2377" s="212"/>
    </row>
    <row r="2378" spans="2:5" x14ac:dyDescent="0.2">
      <c r="B2378" s="291"/>
      <c r="E2378" s="212"/>
    </row>
    <row r="2379" spans="2:5" x14ac:dyDescent="0.2">
      <c r="B2379" s="291"/>
      <c r="E2379" s="212"/>
    </row>
    <row r="2380" spans="2:5" x14ac:dyDescent="0.2">
      <c r="B2380" s="291"/>
      <c r="E2380" s="212"/>
    </row>
    <row r="2381" spans="2:5" x14ac:dyDescent="0.2">
      <c r="B2381" s="291"/>
      <c r="E2381" s="212"/>
    </row>
    <row r="2382" spans="2:5" x14ac:dyDescent="0.2">
      <c r="B2382" s="291"/>
      <c r="E2382" s="212"/>
    </row>
    <row r="2383" spans="2:5" x14ac:dyDescent="0.2">
      <c r="B2383" s="291"/>
      <c r="E2383" s="212"/>
    </row>
    <row r="2384" spans="2:5" x14ac:dyDescent="0.2">
      <c r="B2384" s="291"/>
      <c r="E2384" s="212"/>
    </row>
    <row r="2385" spans="2:5" x14ac:dyDescent="0.2">
      <c r="B2385" s="291"/>
      <c r="E2385" s="212"/>
    </row>
    <row r="2386" spans="2:5" x14ac:dyDescent="0.2">
      <c r="B2386" s="291"/>
      <c r="E2386" s="212"/>
    </row>
    <row r="2387" spans="2:5" x14ac:dyDescent="0.2">
      <c r="B2387" s="291"/>
      <c r="E2387" s="212"/>
    </row>
    <row r="2388" spans="2:5" x14ac:dyDescent="0.2">
      <c r="B2388" s="291"/>
      <c r="E2388" s="212"/>
    </row>
    <row r="2389" spans="2:5" x14ac:dyDescent="0.2">
      <c r="B2389" s="291"/>
      <c r="E2389" s="212"/>
    </row>
    <row r="2390" spans="2:5" x14ac:dyDescent="0.2">
      <c r="B2390" s="291"/>
      <c r="E2390" s="212"/>
    </row>
    <row r="2391" spans="2:5" x14ac:dyDescent="0.2">
      <c r="B2391" s="291"/>
      <c r="E2391" s="212"/>
    </row>
    <row r="2392" spans="2:5" x14ac:dyDescent="0.2">
      <c r="B2392" s="291"/>
      <c r="E2392" s="212"/>
    </row>
    <row r="2393" spans="2:5" x14ac:dyDescent="0.2">
      <c r="B2393" s="291"/>
      <c r="E2393" s="212"/>
    </row>
    <row r="2394" spans="2:5" x14ac:dyDescent="0.2">
      <c r="B2394" s="291"/>
      <c r="E2394" s="212"/>
    </row>
    <row r="2395" spans="2:5" x14ac:dyDescent="0.2">
      <c r="B2395" s="291"/>
      <c r="E2395" s="212"/>
    </row>
    <row r="2396" spans="2:5" x14ac:dyDescent="0.2">
      <c r="B2396" s="291"/>
      <c r="E2396" s="212"/>
    </row>
    <row r="2397" spans="2:5" x14ac:dyDescent="0.2">
      <c r="B2397" s="291"/>
      <c r="E2397" s="212"/>
    </row>
    <row r="2398" spans="2:5" x14ac:dyDescent="0.2">
      <c r="B2398" s="291"/>
      <c r="E2398" s="212"/>
    </row>
    <row r="2399" spans="2:5" x14ac:dyDescent="0.2">
      <c r="B2399" s="291"/>
      <c r="E2399" s="212"/>
    </row>
    <row r="2400" spans="2:5" x14ac:dyDescent="0.2">
      <c r="B2400" s="291"/>
      <c r="E2400" s="212"/>
    </row>
    <row r="2401" spans="2:5" x14ac:dyDescent="0.2">
      <c r="B2401" s="291"/>
      <c r="E2401" s="212"/>
    </row>
    <row r="2402" spans="2:5" x14ac:dyDescent="0.2">
      <c r="B2402" s="291"/>
      <c r="E2402" s="212"/>
    </row>
    <row r="2403" spans="2:5" x14ac:dyDescent="0.2">
      <c r="B2403" s="291"/>
      <c r="E2403" s="212"/>
    </row>
    <row r="2404" spans="2:5" x14ac:dyDescent="0.2">
      <c r="B2404" s="291"/>
      <c r="E2404" s="212"/>
    </row>
    <row r="2405" spans="2:5" x14ac:dyDescent="0.2">
      <c r="B2405" s="291"/>
      <c r="E2405" s="212"/>
    </row>
    <row r="2406" spans="2:5" x14ac:dyDescent="0.2">
      <c r="B2406" s="291"/>
      <c r="E2406" s="212"/>
    </row>
    <row r="2407" spans="2:5" x14ac:dyDescent="0.2">
      <c r="B2407" s="291"/>
      <c r="E2407" s="212"/>
    </row>
    <row r="2408" spans="2:5" x14ac:dyDescent="0.2">
      <c r="B2408" s="291"/>
      <c r="E2408" s="212"/>
    </row>
    <row r="2409" spans="2:5" x14ac:dyDescent="0.2">
      <c r="B2409" s="291"/>
      <c r="E2409" s="212"/>
    </row>
    <row r="2410" spans="2:5" x14ac:dyDescent="0.2">
      <c r="B2410" s="291"/>
      <c r="E2410" s="212"/>
    </row>
    <row r="2411" spans="2:5" x14ac:dyDescent="0.2">
      <c r="B2411" s="291"/>
      <c r="E2411" s="212"/>
    </row>
    <row r="2412" spans="2:5" x14ac:dyDescent="0.2">
      <c r="B2412" s="291"/>
      <c r="E2412" s="212"/>
    </row>
    <row r="2413" spans="2:5" x14ac:dyDescent="0.2">
      <c r="B2413" s="291"/>
      <c r="E2413" s="212"/>
    </row>
    <row r="2414" spans="2:5" x14ac:dyDescent="0.2">
      <c r="B2414" s="291"/>
      <c r="E2414" s="212"/>
    </row>
    <row r="2415" spans="2:5" x14ac:dyDescent="0.2">
      <c r="B2415" s="291"/>
      <c r="E2415" s="212"/>
    </row>
    <row r="2416" spans="2:5" x14ac:dyDescent="0.2">
      <c r="B2416" s="291"/>
      <c r="E2416" s="212"/>
    </row>
    <row r="2417" spans="2:5" x14ac:dyDescent="0.2">
      <c r="B2417" s="291"/>
      <c r="E2417" s="212"/>
    </row>
    <row r="2418" spans="2:5" x14ac:dyDescent="0.2">
      <c r="B2418" s="291"/>
      <c r="E2418" s="212"/>
    </row>
    <row r="2419" spans="2:5" x14ac:dyDescent="0.2">
      <c r="B2419" s="291"/>
      <c r="E2419" s="212"/>
    </row>
    <row r="2420" spans="2:5" x14ac:dyDescent="0.2">
      <c r="B2420" s="291"/>
      <c r="E2420" s="212"/>
    </row>
    <row r="2421" spans="2:5" x14ac:dyDescent="0.2">
      <c r="B2421" s="291"/>
      <c r="E2421" s="212"/>
    </row>
    <row r="2422" spans="2:5" x14ac:dyDescent="0.2">
      <c r="B2422" s="291"/>
      <c r="E2422" s="212"/>
    </row>
    <row r="2423" spans="2:5" x14ac:dyDescent="0.2">
      <c r="B2423" s="291"/>
      <c r="E2423" s="212"/>
    </row>
    <row r="2424" spans="2:5" x14ac:dyDescent="0.2">
      <c r="B2424" s="291"/>
      <c r="E2424" s="212"/>
    </row>
    <row r="2425" spans="2:5" x14ac:dyDescent="0.2">
      <c r="B2425" s="291"/>
      <c r="E2425" s="212"/>
    </row>
    <row r="2426" spans="2:5" x14ac:dyDescent="0.2">
      <c r="B2426" s="291"/>
      <c r="E2426" s="212"/>
    </row>
    <row r="2427" spans="2:5" x14ac:dyDescent="0.2">
      <c r="B2427" s="291"/>
      <c r="E2427" s="212"/>
    </row>
    <row r="2428" spans="2:5" x14ac:dyDescent="0.2">
      <c r="B2428" s="291"/>
      <c r="E2428" s="212"/>
    </row>
    <row r="2429" spans="2:5" x14ac:dyDescent="0.2">
      <c r="B2429" s="291"/>
      <c r="E2429" s="212"/>
    </row>
    <row r="2430" spans="2:5" x14ac:dyDescent="0.2">
      <c r="B2430" s="291"/>
      <c r="E2430" s="212"/>
    </row>
    <row r="2431" spans="2:5" x14ac:dyDescent="0.2">
      <c r="B2431" s="291"/>
      <c r="E2431" s="212"/>
    </row>
    <row r="2432" spans="2:5" x14ac:dyDescent="0.2">
      <c r="B2432" s="291"/>
      <c r="E2432" s="212"/>
    </row>
    <row r="2433" spans="2:5" x14ac:dyDescent="0.2">
      <c r="B2433" s="291"/>
      <c r="E2433" s="212"/>
    </row>
    <row r="2434" spans="2:5" x14ac:dyDescent="0.2">
      <c r="B2434" s="291"/>
      <c r="E2434" s="212"/>
    </row>
    <row r="2435" spans="2:5" x14ac:dyDescent="0.2">
      <c r="B2435" s="291"/>
      <c r="E2435" s="212"/>
    </row>
    <row r="2436" spans="2:5" x14ac:dyDescent="0.2">
      <c r="B2436" s="291"/>
      <c r="E2436" s="212"/>
    </row>
    <row r="2437" spans="2:5" x14ac:dyDescent="0.2">
      <c r="B2437" s="291"/>
      <c r="E2437" s="212"/>
    </row>
    <row r="2438" spans="2:5" x14ac:dyDescent="0.2">
      <c r="B2438" s="291"/>
      <c r="E2438" s="212"/>
    </row>
    <row r="2439" spans="2:5" x14ac:dyDescent="0.2">
      <c r="B2439" s="291"/>
      <c r="E2439" s="212"/>
    </row>
    <row r="2440" spans="2:5" x14ac:dyDescent="0.2">
      <c r="B2440" s="291"/>
      <c r="E2440" s="212"/>
    </row>
    <row r="2441" spans="2:5" x14ac:dyDescent="0.2">
      <c r="B2441" s="291"/>
      <c r="E2441" s="212"/>
    </row>
    <row r="2442" spans="2:5" x14ac:dyDescent="0.2">
      <c r="B2442" s="291"/>
      <c r="E2442" s="212"/>
    </row>
    <row r="2443" spans="2:5" x14ac:dyDescent="0.2">
      <c r="B2443" s="291"/>
      <c r="E2443" s="212"/>
    </row>
    <row r="2444" spans="2:5" x14ac:dyDescent="0.2">
      <c r="B2444" s="291"/>
      <c r="E2444" s="212"/>
    </row>
    <row r="2445" spans="2:5" x14ac:dyDescent="0.2">
      <c r="B2445" s="291"/>
      <c r="E2445" s="212"/>
    </row>
    <row r="2446" spans="2:5" x14ac:dyDescent="0.2">
      <c r="B2446" s="291"/>
      <c r="E2446" s="212"/>
    </row>
    <row r="2447" spans="2:5" x14ac:dyDescent="0.2">
      <c r="B2447" s="291"/>
      <c r="E2447" s="212"/>
    </row>
    <row r="2448" spans="2:5" x14ac:dyDescent="0.2">
      <c r="B2448" s="291"/>
      <c r="E2448" s="212"/>
    </row>
    <row r="2449" spans="2:5" x14ac:dyDescent="0.2">
      <c r="B2449" s="291"/>
      <c r="E2449" s="212"/>
    </row>
    <row r="2450" spans="2:5" x14ac:dyDescent="0.2">
      <c r="B2450" s="291"/>
      <c r="E2450" s="212"/>
    </row>
    <row r="2451" spans="2:5" x14ac:dyDescent="0.2">
      <c r="B2451" s="291"/>
      <c r="E2451" s="212"/>
    </row>
    <row r="2452" spans="2:5" x14ac:dyDescent="0.2">
      <c r="B2452" s="291"/>
      <c r="E2452" s="212"/>
    </row>
    <row r="2453" spans="2:5" x14ac:dyDescent="0.2">
      <c r="B2453" s="291"/>
      <c r="E2453" s="212"/>
    </row>
    <row r="2454" spans="2:5" x14ac:dyDescent="0.2">
      <c r="B2454" s="291"/>
      <c r="E2454" s="212"/>
    </row>
    <row r="2455" spans="2:5" x14ac:dyDescent="0.2">
      <c r="B2455" s="291"/>
      <c r="E2455" s="212"/>
    </row>
    <row r="2456" spans="2:5" x14ac:dyDescent="0.2">
      <c r="B2456" s="291"/>
      <c r="E2456" s="212"/>
    </row>
    <row r="2457" spans="2:5" x14ac:dyDescent="0.2">
      <c r="B2457" s="291"/>
      <c r="E2457" s="212"/>
    </row>
    <row r="2458" spans="2:5" x14ac:dyDescent="0.2">
      <c r="B2458" s="291"/>
      <c r="E2458" s="212"/>
    </row>
    <row r="2459" spans="2:5" x14ac:dyDescent="0.2">
      <c r="B2459" s="291"/>
      <c r="E2459" s="212"/>
    </row>
    <row r="2460" spans="2:5" x14ac:dyDescent="0.2">
      <c r="B2460" s="291"/>
      <c r="E2460" s="212"/>
    </row>
    <row r="2461" spans="2:5" x14ac:dyDescent="0.2">
      <c r="B2461" s="291"/>
      <c r="E2461" s="212"/>
    </row>
    <row r="2462" spans="2:5" x14ac:dyDescent="0.2">
      <c r="B2462" s="291"/>
      <c r="E2462" s="212"/>
    </row>
    <row r="2463" spans="2:5" x14ac:dyDescent="0.2">
      <c r="B2463" s="291"/>
      <c r="E2463" s="212"/>
    </row>
    <row r="2464" spans="2:5" x14ac:dyDescent="0.2">
      <c r="B2464" s="291"/>
      <c r="E2464" s="212"/>
    </row>
    <row r="2465" spans="2:5" x14ac:dyDescent="0.2">
      <c r="B2465" s="291"/>
      <c r="E2465" s="212"/>
    </row>
    <row r="2466" spans="2:5" x14ac:dyDescent="0.2">
      <c r="B2466" s="291"/>
      <c r="E2466" s="212"/>
    </row>
    <row r="2467" spans="2:5" x14ac:dyDescent="0.2">
      <c r="B2467" s="291"/>
      <c r="E2467" s="212"/>
    </row>
    <row r="2468" spans="2:5" x14ac:dyDescent="0.2">
      <c r="B2468" s="291"/>
      <c r="E2468" s="212"/>
    </row>
    <row r="2469" spans="2:5" x14ac:dyDescent="0.2">
      <c r="B2469" s="291"/>
      <c r="E2469" s="212"/>
    </row>
    <row r="2470" spans="2:5" x14ac:dyDescent="0.2">
      <c r="B2470" s="291"/>
      <c r="E2470" s="212"/>
    </row>
    <row r="2471" spans="2:5" x14ac:dyDescent="0.2">
      <c r="B2471" s="291"/>
      <c r="E2471" s="212"/>
    </row>
    <row r="2472" spans="2:5" x14ac:dyDescent="0.2">
      <c r="B2472" s="291"/>
      <c r="E2472" s="212"/>
    </row>
    <row r="2473" spans="2:5" x14ac:dyDescent="0.2">
      <c r="B2473" s="291"/>
      <c r="E2473" s="212"/>
    </row>
    <row r="2474" spans="2:5" x14ac:dyDescent="0.2">
      <c r="B2474" s="291"/>
      <c r="E2474" s="212"/>
    </row>
    <row r="2475" spans="2:5" x14ac:dyDescent="0.2">
      <c r="B2475" s="291"/>
      <c r="E2475" s="212"/>
    </row>
    <row r="2476" spans="2:5" x14ac:dyDescent="0.2">
      <c r="B2476" s="291"/>
      <c r="E2476" s="212"/>
    </row>
    <row r="2477" spans="2:5" x14ac:dyDescent="0.2">
      <c r="B2477" s="291"/>
      <c r="E2477" s="212"/>
    </row>
    <row r="2478" spans="2:5" x14ac:dyDescent="0.2">
      <c r="B2478" s="291"/>
      <c r="E2478" s="212"/>
    </row>
    <row r="2479" spans="2:5" x14ac:dyDescent="0.2">
      <c r="B2479" s="291"/>
      <c r="E2479" s="212"/>
    </row>
    <row r="2480" spans="2:5" x14ac:dyDescent="0.2">
      <c r="B2480" s="291"/>
      <c r="E2480" s="212"/>
    </row>
    <row r="2481" spans="2:5" x14ac:dyDescent="0.2">
      <c r="B2481" s="291"/>
      <c r="E2481" s="212"/>
    </row>
    <row r="2482" spans="2:5" x14ac:dyDescent="0.2">
      <c r="B2482" s="291"/>
      <c r="E2482" s="212"/>
    </row>
    <row r="2483" spans="2:5" x14ac:dyDescent="0.2">
      <c r="B2483" s="291"/>
      <c r="E2483" s="212"/>
    </row>
    <row r="2484" spans="2:5" x14ac:dyDescent="0.2">
      <c r="B2484" s="291"/>
      <c r="E2484" s="212"/>
    </row>
    <row r="2485" spans="2:5" x14ac:dyDescent="0.2">
      <c r="B2485" s="291"/>
      <c r="E2485" s="212"/>
    </row>
    <row r="2486" spans="2:5" x14ac:dyDescent="0.2">
      <c r="B2486" s="291"/>
      <c r="E2486" s="212"/>
    </row>
    <row r="2487" spans="2:5" x14ac:dyDescent="0.2">
      <c r="B2487" s="291"/>
      <c r="E2487" s="212"/>
    </row>
    <row r="2488" spans="2:5" x14ac:dyDescent="0.2">
      <c r="B2488" s="291"/>
      <c r="E2488" s="212"/>
    </row>
    <row r="2489" spans="2:5" x14ac:dyDescent="0.2">
      <c r="B2489" s="291"/>
      <c r="E2489" s="212"/>
    </row>
    <row r="2490" spans="2:5" x14ac:dyDescent="0.2">
      <c r="B2490" s="291"/>
      <c r="E2490" s="212"/>
    </row>
    <row r="2491" spans="2:5" x14ac:dyDescent="0.2">
      <c r="B2491" s="291"/>
      <c r="E2491" s="212"/>
    </row>
    <row r="2492" spans="2:5" x14ac:dyDescent="0.2">
      <c r="B2492" s="291"/>
      <c r="E2492" s="212"/>
    </row>
    <row r="2493" spans="2:5" x14ac:dyDescent="0.2">
      <c r="B2493" s="291"/>
      <c r="E2493" s="212"/>
    </row>
    <row r="2494" spans="2:5" x14ac:dyDescent="0.2">
      <c r="B2494" s="291"/>
      <c r="E2494" s="212"/>
    </row>
    <row r="2495" spans="2:5" x14ac:dyDescent="0.2">
      <c r="B2495" s="291"/>
      <c r="E2495" s="212"/>
    </row>
    <row r="2496" spans="2:5" x14ac:dyDescent="0.2">
      <c r="B2496" s="291"/>
      <c r="E2496" s="212"/>
    </row>
    <row r="2497" spans="2:5" x14ac:dyDescent="0.2">
      <c r="B2497" s="291"/>
      <c r="E2497" s="212"/>
    </row>
    <row r="2498" spans="2:5" x14ac:dyDescent="0.2">
      <c r="B2498" s="291"/>
      <c r="E2498" s="212"/>
    </row>
    <row r="2499" spans="2:5" x14ac:dyDescent="0.2">
      <c r="B2499" s="291"/>
      <c r="E2499" s="212"/>
    </row>
    <row r="2500" spans="2:5" x14ac:dyDescent="0.2">
      <c r="B2500" s="291"/>
      <c r="E2500" s="212"/>
    </row>
    <row r="2501" spans="2:5" x14ac:dyDescent="0.2">
      <c r="B2501" s="291"/>
      <c r="E2501" s="212"/>
    </row>
    <row r="2502" spans="2:5" x14ac:dyDescent="0.2">
      <c r="B2502" s="291"/>
      <c r="E2502" s="212"/>
    </row>
    <row r="2503" spans="2:5" x14ac:dyDescent="0.2">
      <c r="B2503" s="291"/>
      <c r="E2503" s="212"/>
    </row>
    <row r="2504" spans="2:5" x14ac:dyDescent="0.2">
      <c r="B2504" s="291"/>
      <c r="E2504" s="212"/>
    </row>
    <row r="2505" spans="2:5" x14ac:dyDescent="0.2">
      <c r="B2505" s="291"/>
      <c r="E2505" s="212"/>
    </row>
    <row r="2506" spans="2:5" x14ac:dyDescent="0.2">
      <c r="B2506" s="291"/>
      <c r="E2506" s="212"/>
    </row>
    <row r="2507" spans="2:5" x14ac:dyDescent="0.2">
      <c r="B2507" s="291"/>
      <c r="E2507" s="212"/>
    </row>
    <row r="2508" spans="2:5" x14ac:dyDescent="0.2">
      <c r="B2508" s="291"/>
      <c r="E2508" s="212"/>
    </row>
    <row r="2509" spans="2:5" x14ac:dyDescent="0.2">
      <c r="B2509" s="291"/>
      <c r="E2509" s="212"/>
    </row>
    <row r="2510" spans="2:5" x14ac:dyDescent="0.2">
      <c r="B2510" s="291"/>
      <c r="E2510" s="212"/>
    </row>
    <row r="2511" spans="2:5" x14ac:dyDescent="0.2">
      <c r="B2511" s="291"/>
      <c r="E2511" s="212"/>
    </row>
    <row r="2512" spans="2:5" x14ac:dyDescent="0.2">
      <c r="B2512" s="291"/>
      <c r="E2512" s="212"/>
    </row>
    <row r="2513" spans="2:5" x14ac:dyDescent="0.2">
      <c r="B2513" s="291"/>
      <c r="E2513" s="212"/>
    </row>
    <row r="2514" spans="2:5" x14ac:dyDescent="0.2">
      <c r="B2514" s="291"/>
      <c r="E2514" s="212"/>
    </row>
    <row r="2515" spans="2:5" x14ac:dyDescent="0.2">
      <c r="B2515" s="291"/>
      <c r="E2515" s="212"/>
    </row>
    <row r="2516" spans="2:5" x14ac:dyDescent="0.2">
      <c r="B2516" s="291"/>
      <c r="E2516" s="212"/>
    </row>
    <row r="2517" spans="2:5" x14ac:dyDescent="0.2">
      <c r="B2517" s="291"/>
      <c r="E2517" s="212"/>
    </row>
    <row r="2518" spans="2:5" x14ac:dyDescent="0.2">
      <c r="B2518" s="291"/>
      <c r="E2518" s="212"/>
    </row>
    <row r="2519" spans="2:5" x14ac:dyDescent="0.2">
      <c r="B2519" s="291"/>
      <c r="E2519" s="212"/>
    </row>
    <row r="2520" spans="2:5" x14ac:dyDescent="0.2">
      <c r="B2520" s="291"/>
      <c r="E2520" s="212"/>
    </row>
    <row r="2521" spans="2:5" x14ac:dyDescent="0.2">
      <c r="B2521" s="291"/>
      <c r="E2521" s="212"/>
    </row>
    <row r="2522" spans="2:5" x14ac:dyDescent="0.2">
      <c r="B2522" s="291"/>
      <c r="E2522" s="212"/>
    </row>
    <row r="2523" spans="2:5" x14ac:dyDescent="0.2">
      <c r="B2523" s="291"/>
      <c r="E2523" s="212"/>
    </row>
    <row r="2524" spans="2:5" x14ac:dyDescent="0.2">
      <c r="B2524" s="291"/>
      <c r="E2524" s="212"/>
    </row>
    <row r="2525" spans="2:5" x14ac:dyDescent="0.2">
      <c r="B2525" s="291"/>
      <c r="E2525" s="212"/>
    </row>
    <row r="2526" spans="2:5" x14ac:dyDescent="0.2">
      <c r="B2526" s="291"/>
      <c r="E2526" s="212"/>
    </row>
    <row r="2527" spans="2:5" x14ac:dyDescent="0.2">
      <c r="B2527" s="291"/>
      <c r="E2527" s="212"/>
    </row>
    <row r="2528" spans="2:5" x14ac:dyDescent="0.2">
      <c r="B2528" s="291"/>
      <c r="E2528" s="212"/>
    </row>
    <row r="2529" spans="2:5" x14ac:dyDescent="0.2">
      <c r="B2529" s="291"/>
      <c r="E2529" s="212"/>
    </row>
    <row r="2530" spans="2:5" x14ac:dyDescent="0.2">
      <c r="B2530" s="291"/>
      <c r="E2530" s="212"/>
    </row>
    <row r="2531" spans="2:5" x14ac:dyDescent="0.2">
      <c r="B2531" s="291"/>
      <c r="E2531" s="212"/>
    </row>
    <row r="2532" spans="2:5" x14ac:dyDescent="0.2">
      <c r="B2532" s="291"/>
      <c r="E2532" s="212"/>
    </row>
    <row r="2533" spans="2:5" x14ac:dyDescent="0.2">
      <c r="B2533" s="291"/>
      <c r="E2533" s="212"/>
    </row>
    <row r="2534" spans="2:5" x14ac:dyDescent="0.2">
      <c r="B2534" s="291"/>
      <c r="E2534" s="212"/>
    </row>
    <row r="2535" spans="2:5" x14ac:dyDescent="0.2">
      <c r="B2535" s="291"/>
      <c r="E2535" s="212"/>
    </row>
    <row r="2536" spans="2:5" x14ac:dyDescent="0.2">
      <c r="B2536" s="291"/>
      <c r="E2536" s="212"/>
    </row>
    <row r="2537" spans="2:5" x14ac:dyDescent="0.2">
      <c r="B2537" s="291"/>
      <c r="E2537" s="212"/>
    </row>
    <row r="2538" spans="2:5" x14ac:dyDescent="0.2">
      <c r="B2538" s="291"/>
      <c r="E2538" s="212"/>
    </row>
    <row r="2539" spans="2:5" x14ac:dyDescent="0.2">
      <c r="B2539" s="291"/>
      <c r="E2539" s="212"/>
    </row>
    <row r="2540" spans="2:5" x14ac:dyDescent="0.2">
      <c r="B2540" s="291"/>
      <c r="E2540" s="212"/>
    </row>
    <row r="2541" spans="2:5" x14ac:dyDescent="0.2">
      <c r="B2541" s="291"/>
      <c r="E2541" s="212"/>
    </row>
    <row r="2542" spans="2:5" x14ac:dyDescent="0.2">
      <c r="B2542" s="291"/>
      <c r="E2542" s="212"/>
    </row>
    <row r="2543" spans="2:5" x14ac:dyDescent="0.2">
      <c r="B2543" s="291"/>
      <c r="E2543" s="212"/>
    </row>
    <row r="2544" spans="2:5" x14ac:dyDescent="0.2">
      <c r="B2544" s="291"/>
      <c r="E2544" s="212"/>
    </row>
    <row r="2545" spans="2:5" x14ac:dyDescent="0.2">
      <c r="B2545" s="291"/>
      <c r="E2545" s="212"/>
    </row>
    <row r="2546" spans="2:5" x14ac:dyDescent="0.2">
      <c r="B2546" s="291"/>
      <c r="E2546" s="212"/>
    </row>
    <row r="2547" spans="2:5" x14ac:dyDescent="0.2">
      <c r="B2547" s="291"/>
      <c r="E2547" s="212"/>
    </row>
    <row r="2548" spans="2:5" x14ac:dyDescent="0.2">
      <c r="B2548" s="291"/>
      <c r="E2548" s="212"/>
    </row>
    <row r="2549" spans="2:5" x14ac:dyDescent="0.2">
      <c r="B2549" s="291"/>
      <c r="E2549" s="212"/>
    </row>
    <row r="2550" spans="2:5" x14ac:dyDescent="0.2">
      <c r="B2550" s="291"/>
      <c r="E2550" s="212"/>
    </row>
    <row r="2551" spans="2:5" x14ac:dyDescent="0.2">
      <c r="B2551" s="291"/>
      <c r="E2551" s="212"/>
    </row>
    <row r="2552" spans="2:5" x14ac:dyDescent="0.2">
      <c r="B2552" s="291"/>
      <c r="E2552" s="212"/>
    </row>
    <row r="2553" spans="2:5" x14ac:dyDescent="0.2">
      <c r="B2553" s="291"/>
      <c r="E2553" s="212"/>
    </row>
    <row r="2554" spans="2:5" x14ac:dyDescent="0.2">
      <c r="B2554" s="291"/>
      <c r="E2554" s="212"/>
    </row>
    <row r="2555" spans="2:5" x14ac:dyDescent="0.2">
      <c r="B2555" s="291"/>
      <c r="E2555" s="212"/>
    </row>
    <row r="2556" spans="2:5" x14ac:dyDescent="0.2">
      <c r="B2556" s="291"/>
      <c r="E2556" s="212"/>
    </row>
    <row r="2557" spans="2:5" x14ac:dyDescent="0.2">
      <c r="B2557" s="291"/>
      <c r="E2557" s="212"/>
    </row>
    <row r="2558" spans="2:5" x14ac:dyDescent="0.2">
      <c r="B2558" s="291"/>
      <c r="E2558" s="212"/>
    </row>
    <row r="2559" spans="2:5" x14ac:dyDescent="0.2">
      <c r="B2559" s="291"/>
      <c r="E2559" s="212"/>
    </row>
    <row r="2560" spans="2:5" x14ac:dyDescent="0.2">
      <c r="B2560" s="291"/>
      <c r="E2560" s="212"/>
    </row>
    <row r="2561" spans="2:5" x14ac:dyDescent="0.2">
      <c r="B2561" s="291"/>
      <c r="E2561" s="212"/>
    </row>
    <row r="2562" spans="2:5" x14ac:dyDescent="0.2">
      <c r="B2562" s="291"/>
      <c r="E2562" s="212"/>
    </row>
    <row r="2563" spans="2:5" x14ac:dyDescent="0.2">
      <c r="B2563" s="291"/>
      <c r="E2563" s="212"/>
    </row>
    <row r="2564" spans="2:5" x14ac:dyDescent="0.2">
      <c r="B2564" s="291"/>
      <c r="E2564" s="212"/>
    </row>
    <row r="2565" spans="2:5" x14ac:dyDescent="0.2">
      <c r="B2565" s="291"/>
      <c r="E2565" s="212"/>
    </row>
    <row r="2566" spans="2:5" x14ac:dyDescent="0.2">
      <c r="B2566" s="291"/>
      <c r="E2566" s="212"/>
    </row>
    <row r="2567" spans="2:5" x14ac:dyDescent="0.2">
      <c r="B2567" s="291"/>
      <c r="E2567" s="212"/>
    </row>
    <row r="2568" spans="2:5" x14ac:dyDescent="0.2">
      <c r="B2568" s="291"/>
      <c r="E2568" s="212"/>
    </row>
    <row r="2569" spans="2:5" x14ac:dyDescent="0.2">
      <c r="B2569" s="291"/>
      <c r="E2569" s="212"/>
    </row>
    <row r="2570" spans="2:5" x14ac:dyDescent="0.2">
      <c r="B2570" s="291"/>
      <c r="E2570" s="212"/>
    </row>
    <row r="2571" spans="2:5" x14ac:dyDescent="0.2">
      <c r="B2571" s="291"/>
      <c r="E2571" s="212"/>
    </row>
    <row r="2572" spans="2:5" x14ac:dyDescent="0.2">
      <c r="B2572" s="291"/>
      <c r="E2572" s="212"/>
    </row>
    <row r="2573" spans="2:5" x14ac:dyDescent="0.2">
      <c r="B2573" s="291"/>
      <c r="E2573" s="212"/>
    </row>
    <row r="2574" spans="2:5" x14ac:dyDescent="0.2">
      <c r="B2574" s="291"/>
      <c r="E2574" s="212"/>
    </row>
    <row r="2575" spans="2:5" x14ac:dyDescent="0.2">
      <c r="B2575" s="291"/>
      <c r="E2575" s="212"/>
    </row>
    <row r="2576" spans="2:5" x14ac:dyDescent="0.2">
      <c r="B2576" s="291"/>
      <c r="E2576" s="212"/>
    </row>
    <row r="2577" spans="2:5" x14ac:dyDescent="0.2">
      <c r="B2577" s="291"/>
      <c r="E2577" s="212"/>
    </row>
    <row r="2578" spans="2:5" x14ac:dyDescent="0.2">
      <c r="B2578" s="291"/>
      <c r="E2578" s="212"/>
    </row>
    <row r="2579" spans="2:5" x14ac:dyDescent="0.2">
      <c r="B2579" s="291"/>
      <c r="E2579" s="212"/>
    </row>
    <row r="2580" spans="2:5" x14ac:dyDescent="0.2">
      <c r="B2580" s="291"/>
      <c r="E2580" s="212"/>
    </row>
    <row r="2581" spans="2:5" x14ac:dyDescent="0.2">
      <c r="B2581" s="291"/>
      <c r="E2581" s="212"/>
    </row>
    <row r="2582" spans="2:5" x14ac:dyDescent="0.2">
      <c r="B2582" s="291"/>
      <c r="E2582" s="212"/>
    </row>
    <row r="2583" spans="2:5" x14ac:dyDescent="0.2">
      <c r="B2583" s="291"/>
      <c r="E2583" s="212"/>
    </row>
    <row r="2584" spans="2:5" x14ac:dyDescent="0.2">
      <c r="B2584" s="291"/>
      <c r="E2584" s="212"/>
    </row>
    <row r="2585" spans="2:5" x14ac:dyDescent="0.2">
      <c r="B2585" s="291"/>
      <c r="E2585" s="212"/>
    </row>
    <row r="2586" spans="2:5" x14ac:dyDescent="0.2">
      <c r="B2586" s="291"/>
      <c r="E2586" s="212"/>
    </row>
    <row r="2587" spans="2:5" x14ac:dyDescent="0.2">
      <c r="B2587" s="291"/>
      <c r="E2587" s="212"/>
    </row>
    <row r="2588" spans="2:5" x14ac:dyDescent="0.2">
      <c r="B2588" s="291"/>
      <c r="E2588" s="212"/>
    </row>
    <row r="2589" spans="2:5" x14ac:dyDescent="0.2">
      <c r="B2589" s="291"/>
      <c r="E2589" s="212"/>
    </row>
    <row r="2590" spans="2:5" x14ac:dyDescent="0.2">
      <c r="B2590" s="291"/>
      <c r="E2590" s="212"/>
    </row>
    <row r="2591" spans="2:5" x14ac:dyDescent="0.2">
      <c r="B2591" s="291"/>
      <c r="E2591" s="212"/>
    </row>
    <row r="2592" spans="2:5" x14ac:dyDescent="0.2">
      <c r="B2592" s="291"/>
      <c r="E2592" s="212"/>
    </row>
    <row r="2593" spans="2:5" x14ac:dyDescent="0.2">
      <c r="B2593" s="291"/>
      <c r="E2593" s="212"/>
    </row>
    <row r="2594" spans="2:5" x14ac:dyDescent="0.2">
      <c r="B2594" s="291"/>
      <c r="E2594" s="212"/>
    </row>
    <row r="2595" spans="2:5" x14ac:dyDescent="0.2">
      <c r="B2595" s="291"/>
      <c r="E2595" s="212"/>
    </row>
    <row r="2596" spans="2:5" x14ac:dyDescent="0.2">
      <c r="B2596" s="291"/>
      <c r="E2596" s="212"/>
    </row>
    <row r="2597" spans="2:5" x14ac:dyDescent="0.2">
      <c r="B2597" s="291"/>
      <c r="E2597" s="212"/>
    </row>
    <row r="2598" spans="2:5" x14ac:dyDescent="0.2">
      <c r="B2598" s="291"/>
      <c r="E2598" s="212"/>
    </row>
    <row r="2599" spans="2:5" x14ac:dyDescent="0.2">
      <c r="B2599" s="291"/>
      <c r="E2599" s="212"/>
    </row>
    <row r="2600" spans="2:5" x14ac:dyDescent="0.2">
      <c r="B2600" s="291"/>
      <c r="E2600" s="212"/>
    </row>
    <row r="2601" spans="2:5" x14ac:dyDescent="0.2">
      <c r="B2601" s="291"/>
      <c r="E2601" s="212"/>
    </row>
    <row r="2602" spans="2:5" x14ac:dyDescent="0.2">
      <c r="B2602" s="291"/>
      <c r="E2602" s="212"/>
    </row>
    <row r="2603" spans="2:5" x14ac:dyDescent="0.2">
      <c r="B2603" s="291"/>
      <c r="E2603" s="212"/>
    </row>
    <row r="2604" spans="2:5" x14ac:dyDescent="0.2">
      <c r="B2604" s="291"/>
      <c r="E2604" s="212"/>
    </row>
    <row r="2605" spans="2:5" x14ac:dyDescent="0.2">
      <c r="B2605" s="291"/>
      <c r="E2605" s="212"/>
    </row>
    <row r="2606" spans="2:5" x14ac:dyDescent="0.2">
      <c r="B2606" s="291"/>
      <c r="E2606" s="212"/>
    </row>
    <row r="2607" spans="2:5" x14ac:dyDescent="0.2">
      <c r="B2607" s="291"/>
      <c r="E2607" s="212"/>
    </row>
    <row r="2608" spans="2:5" x14ac:dyDescent="0.2">
      <c r="B2608" s="291"/>
      <c r="E2608" s="212"/>
    </row>
    <row r="2609" spans="2:5" x14ac:dyDescent="0.2">
      <c r="B2609" s="291"/>
      <c r="E2609" s="212"/>
    </row>
    <row r="2610" spans="2:5" x14ac:dyDescent="0.2">
      <c r="B2610" s="291"/>
      <c r="E2610" s="212"/>
    </row>
    <row r="2611" spans="2:5" x14ac:dyDescent="0.2">
      <c r="B2611" s="291"/>
      <c r="E2611" s="212"/>
    </row>
    <row r="2612" spans="2:5" x14ac:dyDescent="0.2">
      <c r="B2612" s="291"/>
      <c r="E2612" s="212"/>
    </row>
    <row r="2613" spans="2:5" x14ac:dyDescent="0.2">
      <c r="B2613" s="291"/>
      <c r="E2613" s="212"/>
    </row>
    <row r="2614" spans="2:5" x14ac:dyDescent="0.2">
      <c r="B2614" s="291"/>
      <c r="E2614" s="212"/>
    </row>
    <row r="2615" spans="2:5" x14ac:dyDescent="0.2">
      <c r="B2615" s="291"/>
      <c r="E2615" s="212"/>
    </row>
    <row r="2616" spans="2:5" x14ac:dyDescent="0.2">
      <c r="B2616" s="291"/>
      <c r="E2616" s="212"/>
    </row>
    <row r="2617" spans="2:5" x14ac:dyDescent="0.2">
      <c r="B2617" s="291"/>
      <c r="E2617" s="212"/>
    </row>
    <row r="2618" spans="2:5" x14ac:dyDescent="0.2">
      <c r="B2618" s="291"/>
      <c r="E2618" s="212"/>
    </row>
    <row r="2619" spans="2:5" x14ac:dyDescent="0.2">
      <c r="B2619" s="291"/>
      <c r="E2619" s="212"/>
    </row>
    <row r="2620" spans="2:5" x14ac:dyDescent="0.2">
      <c r="B2620" s="291"/>
      <c r="E2620" s="212"/>
    </row>
    <row r="2621" spans="2:5" x14ac:dyDescent="0.2">
      <c r="B2621" s="291"/>
      <c r="E2621" s="212"/>
    </row>
    <row r="2622" spans="2:5" x14ac:dyDescent="0.2">
      <c r="B2622" s="291"/>
      <c r="E2622" s="212"/>
    </row>
    <row r="2623" spans="2:5" x14ac:dyDescent="0.2">
      <c r="B2623" s="291"/>
      <c r="E2623" s="212"/>
    </row>
    <row r="2624" spans="2:5" x14ac:dyDescent="0.2">
      <c r="B2624" s="291"/>
      <c r="E2624" s="212"/>
    </row>
    <row r="2625" spans="2:5" x14ac:dyDescent="0.2">
      <c r="B2625" s="291"/>
      <c r="E2625" s="212"/>
    </row>
    <row r="2626" spans="2:5" x14ac:dyDescent="0.2">
      <c r="B2626" s="291"/>
      <c r="E2626" s="212"/>
    </row>
    <row r="2627" spans="2:5" x14ac:dyDescent="0.2">
      <c r="B2627" s="291"/>
      <c r="E2627" s="212"/>
    </row>
    <row r="2628" spans="2:5" x14ac:dyDescent="0.2">
      <c r="B2628" s="291"/>
      <c r="E2628" s="212"/>
    </row>
    <row r="2629" spans="2:5" x14ac:dyDescent="0.2">
      <c r="B2629" s="291"/>
      <c r="E2629" s="212"/>
    </row>
    <row r="2630" spans="2:5" x14ac:dyDescent="0.2">
      <c r="B2630" s="291"/>
      <c r="E2630" s="212"/>
    </row>
    <row r="2631" spans="2:5" x14ac:dyDescent="0.2">
      <c r="B2631" s="291"/>
      <c r="E2631" s="212"/>
    </row>
    <row r="2632" spans="2:5" x14ac:dyDescent="0.2">
      <c r="B2632" s="291"/>
      <c r="E2632" s="212"/>
    </row>
    <row r="2633" spans="2:5" x14ac:dyDescent="0.2">
      <c r="B2633" s="291"/>
      <c r="E2633" s="212"/>
    </row>
    <row r="2634" spans="2:5" x14ac:dyDescent="0.2">
      <c r="B2634" s="291"/>
      <c r="E2634" s="212"/>
    </row>
    <row r="2635" spans="2:5" x14ac:dyDescent="0.2">
      <c r="B2635" s="291"/>
      <c r="E2635" s="212"/>
    </row>
    <row r="2636" spans="2:5" x14ac:dyDescent="0.2">
      <c r="B2636" s="291"/>
      <c r="E2636" s="212"/>
    </row>
    <row r="2637" spans="2:5" x14ac:dyDescent="0.2">
      <c r="B2637" s="291"/>
      <c r="E2637" s="212"/>
    </row>
    <row r="2638" spans="2:5" x14ac:dyDescent="0.2">
      <c r="B2638" s="291"/>
      <c r="E2638" s="212"/>
    </row>
    <row r="2639" spans="2:5" x14ac:dyDescent="0.2">
      <c r="B2639" s="291"/>
      <c r="E2639" s="212"/>
    </row>
    <row r="2640" spans="2:5" x14ac:dyDescent="0.2">
      <c r="B2640" s="291"/>
      <c r="E2640" s="212"/>
    </row>
    <row r="2641" spans="2:5" x14ac:dyDescent="0.2">
      <c r="B2641" s="291"/>
      <c r="E2641" s="212"/>
    </row>
    <row r="2642" spans="2:5" x14ac:dyDescent="0.2">
      <c r="B2642" s="291"/>
      <c r="E2642" s="212"/>
    </row>
    <row r="2643" spans="2:5" x14ac:dyDescent="0.2">
      <c r="B2643" s="291"/>
      <c r="E2643" s="212"/>
    </row>
    <row r="2644" spans="2:5" x14ac:dyDescent="0.2">
      <c r="B2644" s="291"/>
      <c r="E2644" s="212"/>
    </row>
    <row r="2645" spans="2:5" x14ac:dyDescent="0.2">
      <c r="B2645" s="291"/>
      <c r="E2645" s="212"/>
    </row>
    <row r="2646" spans="2:5" x14ac:dyDescent="0.2">
      <c r="B2646" s="291"/>
      <c r="E2646" s="212"/>
    </row>
    <row r="2647" spans="2:5" x14ac:dyDescent="0.2">
      <c r="B2647" s="291"/>
      <c r="E2647" s="212"/>
    </row>
    <row r="2648" spans="2:5" x14ac:dyDescent="0.2">
      <c r="B2648" s="291"/>
      <c r="E2648" s="212"/>
    </row>
    <row r="2649" spans="2:5" x14ac:dyDescent="0.2">
      <c r="B2649" s="291"/>
      <c r="E2649" s="212"/>
    </row>
    <row r="2650" spans="2:5" x14ac:dyDescent="0.2">
      <c r="B2650" s="291"/>
      <c r="E2650" s="212"/>
    </row>
    <row r="2651" spans="2:5" x14ac:dyDescent="0.2">
      <c r="B2651" s="291"/>
      <c r="E2651" s="212"/>
    </row>
    <row r="2652" spans="2:5" x14ac:dyDescent="0.2">
      <c r="B2652" s="291"/>
      <c r="E2652" s="212"/>
    </row>
    <row r="2653" spans="2:5" x14ac:dyDescent="0.2">
      <c r="B2653" s="291"/>
      <c r="E2653" s="212"/>
    </row>
    <row r="2654" spans="2:5" x14ac:dyDescent="0.2">
      <c r="B2654" s="291"/>
      <c r="E2654" s="212"/>
    </row>
    <row r="2655" spans="2:5" x14ac:dyDescent="0.2">
      <c r="B2655" s="291"/>
      <c r="E2655" s="212"/>
    </row>
    <row r="2656" spans="2:5" x14ac:dyDescent="0.2">
      <c r="B2656" s="291"/>
      <c r="E2656" s="212"/>
    </row>
    <row r="2657" spans="2:5" x14ac:dyDescent="0.2">
      <c r="B2657" s="291"/>
      <c r="E2657" s="212"/>
    </row>
    <row r="2658" spans="2:5" x14ac:dyDescent="0.2">
      <c r="B2658" s="291"/>
      <c r="E2658" s="212"/>
    </row>
    <row r="2659" spans="2:5" x14ac:dyDescent="0.2">
      <c r="B2659" s="291"/>
      <c r="E2659" s="212"/>
    </row>
    <row r="2660" spans="2:5" x14ac:dyDescent="0.2">
      <c r="B2660" s="291"/>
      <c r="E2660" s="212"/>
    </row>
    <row r="2661" spans="2:5" x14ac:dyDescent="0.2">
      <c r="B2661" s="291"/>
      <c r="E2661" s="212"/>
    </row>
    <row r="2662" spans="2:5" x14ac:dyDescent="0.2">
      <c r="B2662" s="291"/>
      <c r="E2662" s="212"/>
    </row>
    <row r="2663" spans="2:5" x14ac:dyDescent="0.2">
      <c r="B2663" s="291"/>
      <c r="E2663" s="212"/>
    </row>
    <row r="2664" spans="2:5" x14ac:dyDescent="0.2">
      <c r="B2664" s="291"/>
      <c r="E2664" s="212"/>
    </row>
    <row r="2665" spans="2:5" x14ac:dyDescent="0.2">
      <c r="B2665" s="291"/>
      <c r="E2665" s="212"/>
    </row>
    <row r="2666" spans="2:5" x14ac:dyDescent="0.2">
      <c r="B2666" s="291"/>
      <c r="E2666" s="212"/>
    </row>
    <row r="2667" spans="2:5" x14ac:dyDescent="0.2">
      <c r="B2667" s="291"/>
      <c r="E2667" s="212"/>
    </row>
    <row r="2668" spans="2:5" x14ac:dyDescent="0.2">
      <c r="B2668" s="291"/>
      <c r="E2668" s="212"/>
    </row>
    <row r="2669" spans="2:5" x14ac:dyDescent="0.2">
      <c r="B2669" s="291"/>
      <c r="E2669" s="212"/>
    </row>
    <row r="2670" spans="2:5" x14ac:dyDescent="0.2">
      <c r="B2670" s="291"/>
      <c r="E2670" s="212"/>
    </row>
    <row r="2671" spans="2:5" x14ac:dyDescent="0.2">
      <c r="B2671" s="291"/>
      <c r="E2671" s="212"/>
    </row>
    <row r="2672" spans="2:5" x14ac:dyDescent="0.2">
      <c r="B2672" s="291"/>
      <c r="E2672" s="212"/>
    </row>
    <row r="2673" spans="2:5" x14ac:dyDescent="0.2">
      <c r="B2673" s="291"/>
      <c r="E2673" s="212"/>
    </row>
    <row r="2674" spans="2:5" x14ac:dyDescent="0.2">
      <c r="B2674" s="291"/>
      <c r="E2674" s="212"/>
    </row>
    <row r="2675" spans="2:5" x14ac:dyDescent="0.2">
      <c r="B2675" s="291"/>
      <c r="E2675" s="212"/>
    </row>
    <row r="2676" spans="2:5" x14ac:dyDescent="0.2">
      <c r="B2676" s="291"/>
      <c r="E2676" s="212"/>
    </row>
    <row r="2677" spans="2:5" x14ac:dyDescent="0.2">
      <c r="B2677" s="291"/>
      <c r="E2677" s="212"/>
    </row>
    <row r="2678" spans="2:5" x14ac:dyDescent="0.2">
      <c r="B2678" s="291"/>
      <c r="E2678" s="212"/>
    </row>
    <row r="2679" spans="2:5" x14ac:dyDescent="0.2">
      <c r="B2679" s="291"/>
      <c r="E2679" s="212"/>
    </row>
    <row r="2680" spans="2:5" x14ac:dyDescent="0.2">
      <c r="B2680" s="291"/>
      <c r="E2680" s="212"/>
    </row>
    <row r="2681" spans="2:5" x14ac:dyDescent="0.2">
      <c r="B2681" s="291"/>
      <c r="E2681" s="212"/>
    </row>
    <row r="2682" spans="2:5" x14ac:dyDescent="0.2">
      <c r="B2682" s="291"/>
      <c r="E2682" s="212"/>
    </row>
    <row r="2683" spans="2:5" x14ac:dyDescent="0.2">
      <c r="B2683" s="291"/>
      <c r="E2683" s="212"/>
    </row>
    <row r="2684" spans="2:5" x14ac:dyDescent="0.2">
      <c r="B2684" s="291"/>
      <c r="E2684" s="212"/>
    </row>
    <row r="2685" spans="2:5" x14ac:dyDescent="0.2">
      <c r="B2685" s="291"/>
      <c r="E2685" s="212"/>
    </row>
    <row r="2686" spans="2:5" x14ac:dyDescent="0.2">
      <c r="B2686" s="291"/>
      <c r="E2686" s="212"/>
    </row>
    <row r="2687" spans="2:5" x14ac:dyDescent="0.2">
      <c r="B2687" s="291"/>
      <c r="E2687" s="212"/>
    </row>
    <row r="2688" spans="2:5" x14ac:dyDescent="0.2">
      <c r="B2688" s="291"/>
      <c r="E2688" s="212"/>
    </row>
    <row r="2689" spans="2:5" x14ac:dyDescent="0.2">
      <c r="B2689" s="291"/>
      <c r="E2689" s="212"/>
    </row>
    <row r="2690" spans="2:5" x14ac:dyDescent="0.2">
      <c r="B2690" s="291"/>
      <c r="E2690" s="212"/>
    </row>
    <row r="2691" spans="2:5" x14ac:dyDescent="0.2">
      <c r="B2691" s="291"/>
      <c r="E2691" s="212"/>
    </row>
    <row r="2692" spans="2:5" x14ac:dyDescent="0.2">
      <c r="B2692" s="291"/>
      <c r="E2692" s="212"/>
    </row>
    <row r="2693" spans="2:5" x14ac:dyDescent="0.2">
      <c r="B2693" s="291"/>
      <c r="E2693" s="212"/>
    </row>
    <row r="2694" spans="2:5" x14ac:dyDescent="0.2">
      <c r="B2694" s="291"/>
      <c r="E2694" s="212"/>
    </row>
    <row r="2695" spans="2:5" x14ac:dyDescent="0.2">
      <c r="B2695" s="291"/>
      <c r="E2695" s="212"/>
    </row>
    <row r="2696" spans="2:5" x14ac:dyDescent="0.2">
      <c r="B2696" s="291"/>
      <c r="E2696" s="212"/>
    </row>
    <row r="2697" spans="2:5" x14ac:dyDescent="0.2">
      <c r="B2697" s="291"/>
      <c r="E2697" s="212"/>
    </row>
    <row r="2698" spans="2:5" x14ac:dyDescent="0.2">
      <c r="B2698" s="291"/>
      <c r="E2698" s="212"/>
    </row>
    <row r="2699" spans="2:5" x14ac:dyDescent="0.2">
      <c r="B2699" s="291"/>
      <c r="E2699" s="212"/>
    </row>
    <row r="2700" spans="2:5" x14ac:dyDescent="0.2">
      <c r="B2700" s="291"/>
      <c r="E2700" s="212"/>
    </row>
    <row r="2701" spans="2:5" x14ac:dyDescent="0.2">
      <c r="B2701" s="291"/>
      <c r="E2701" s="212"/>
    </row>
    <row r="2702" spans="2:5" x14ac:dyDescent="0.2">
      <c r="B2702" s="291"/>
      <c r="E2702" s="212"/>
    </row>
    <row r="2703" spans="2:5" x14ac:dyDescent="0.2">
      <c r="B2703" s="291"/>
      <c r="E2703" s="212"/>
    </row>
    <row r="2704" spans="2:5" x14ac:dyDescent="0.2">
      <c r="B2704" s="291"/>
      <c r="E2704" s="212"/>
    </row>
    <row r="2705" spans="2:5" x14ac:dyDescent="0.2">
      <c r="B2705" s="291"/>
      <c r="E2705" s="212"/>
    </row>
    <row r="2706" spans="2:5" x14ac:dyDescent="0.2">
      <c r="B2706" s="291"/>
      <c r="E2706" s="212"/>
    </row>
    <row r="2707" spans="2:5" x14ac:dyDescent="0.2">
      <c r="B2707" s="291"/>
      <c r="E2707" s="212"/>
    </row>
    <row r="2708" spans="2:5" x14ac:dyDescent="0.2">
      <c r="B2708" s="291"/>
      <c r="E2708" s="212"/>
    </row>
    <row r="2709" spans="2:5" x14ac:dyDescent="0.2">
      <c r="B2709" s="291"/>
      <c r="E2709" s="212"/>
    </row>
    <row r="2710" spans="2:5" x14ac:dyDescent="0.2">
      <c r="B2710" s="291"/>
      <c r="E2710" s="212"/>
    </row>
    <row r="2711" spans="2:5" x14ac:dyDescent="0.2">
      <c r="B2711" s="291"/>
      <c r="E2711" s="212"/>
    </row>
    <row r="2712" spans="2:5" x14ac:dyDescent="0.2">
      <c r="B2712" s="291"/>
      <c r="E2712" s="212"/>
    </row>
    <row r="2713" spans="2:5" x14ac:dyDescent="0.2">
      <c r="B2713" s="291"/>
      <c r="E2713" s="212"/>
    </row>
    <row r="2714" spans="2:5" x14ac:dyDescent="0.2">
      <c r="B2714" s="291"/>
      <c r="E2714" s="212"/>
    </row>
    <row r="2715" spans="2:5" x14ac:dyDescent="0.2">
      <c r="B2715" s="291"/>
      <c r="E2715" s="212"/>
    </row>
    <row r="2716" spans="2:5" x14ac:dyDescent="0.2">
      <c r="B2716" s="291"/>
      <c r="E2716" s="212"/>
    </row>
    <row r="2717" spans="2:5" x14ac:dyDescent="0.2">
      <c r="B2717" s="291"/>
      <c r="E2717" s="212"/>
    </row>
    <row r="2718" spans="2:5" x14ac:dyDescent="0.2">
      <c r="B2718" s="291"/>
      <c r="E2718" s="212"/>
    </row>
    <row r="2719" spans="2:5" x14ac:dyDescent="0.2">
      <c r="B2719" s="291"/>
      <c r="E2719" s="212"/>
    </row>
    <row r="2720" spans="2:5" x14ac:dyDescent="0.2">
      <c r="B2720" s="291"/>
      <c r="E2720" s="212"/>
    </row>
    <row r="2721" spans="2:5" x14ac:dyDescent="0.2">
      <c r="B2721" s="291"/>
      <c r="E2721" s="212"/>
    </row>
    <row r="2722" spans="2:5" x14ac:dyDescent="0.2">
      <c r="B2722" s="291"/>
      <c r="E2722" s="212"/>
    </row>
    <row r="2723" spans="2:5" x14ac:dyDescent="0.2">
      <c r="B2723" s="291"/>
      <c r="E2723" s="212"/>
    </row>
    <row r="2724" spans="2:5" x14ac:dyDescent="0.2">
      <c r="B2724" s="291"/>
      <c r="E2724" s="212"/>
    </row>
    <row r="2725" spans="2:5" x14ac:dyDescent="0.2">
      <c r="B2725" s="291"/>
      <c r="E2725" s="212"/>
    </row>
    <row r="2726" spans="2:5" x14ac:dyDescent="0.2">
      <c r="B2726" s="291"/>
      <c r="E2726" s="212"/>
    </row>
    <row r="2727" spans="2:5" x14ac:dyDescent="0.2">
      <c r="B2727" s="291"/>
      <c r="E2727" s="212"/>
    </row>
    <row r="2728" spans="2:5" x14ac:dyDescent="0.2">
      <c r="B2728" s="291"/>
      <c r="E2728" s="212"/>
    </row>
    <row r="2729" spans="2:5" x14ac:dyDescent="0.2">
      <c r="B2729" s="291"/>
      <c r="E2729" s="212"/>
    </row>
    <row r="2730" spans="2:5" x14ac:dyDescent="0.2">
      <c r="B2730" s="291"/>
      <c r="E2730" s="212"/>
    </row>
    <row r="2731" spans="2:5" x14ac:dyDescent="0.2">
      <c r="B2731" s="291"/>
      <c r="E2731" s="212"/>
    </row>
    <row r="2732" spans="2:5" x14ac:dyDescent="0.2">
      <c r="B2732" s="291"/>
      <c r="E2732" s="212"/>
    </row>
    <row r="2733" spans="2:5" x14ac:dyDescent="0.2">
      <c r="B2733" s="291"/>
      <c r="E2733" s="212"/>
    </row>
    <row r="2734" spans="2:5" x14ac:dyDescent="0.2">
      <c r="B2734" s="291"/>
      <c r="E2734" s="212"/>
    </row>
    <row r="2735" spans="2:5" x14ac:dyDescent="0.2">
      <c r="B2735" s="291"/>
      <c r="E2735" s="212"/>
    </row>
    <row r="2736" spans="2:5" x14ac:dyDescent="0.2">
      <c r="B2736" s="291"/>
      <c r="E2736" s="212"/>
    </row>
    <row r="2737" spans="2:5" x14ac:dyDescent="0.2">
      <c r="B2737" s="291"/>
      <c r="E2737" s="212"/>
    </row>
    <row r="2738" spans="2:5" x14ac:dyDescent="0.2">
      <c r="B2738" s="291"/>
      <c r="E2738" s="212"/>
    </row>
    <row r="2739" spans="2:5" x14ac:dyDescent="0.2">
      <c r="B2739" s="291"/>
      <c r="E2739" s="212"/>
    </row>
    <row r="2740" spans="2:5" x14ac:dyDescent="0.2">
      <c r="B2740" s="291"/>
      <c r="E2740" s="212"/>
    </row>
    <row r="2741" spans="2:5" x14ac:dyDescent="0.2">
      <c r="B2741" s="291"/>
      <c r="E2741" s="212"/>
    </row>
    <row r="2742" spans="2:5" x14ac:dyDescent="0.2">
      <c r="B2742" s="291"/>
      <c r="E2742" s="212"/>
    </row>
    <row r="2743" spans="2:5" x14ac:dyDescent="0.2">
      <c r="B2743" s="291"/>
      <c r="E2743" s="212"/>
    </row>
    <row r="2744" spans="2:5" x14ac:dyDescent="0.2">
      <c r="B2744" s="291"/>
      <c r="E2744" s="212"/>
    </row>
    <row r="2745" spans="2:5" x14ac:dyDescent="0.2">
      <c r="B2745" s="291"/>
      <c r="E2745" s="212"/>
    </row>
    <row r="2746" spans="2:5" x14ac:dyDescent="0.2">
      <c r="B2746" s="291"/>
      <c r="E2746" s="212"/>
    </row>
    <row r="2747" spans="2:5" x14ac:dyDescent="0.2">
      <c r="B2747" s="291"/>
      <c r="E2747" s="212"/>
    </row>
    <row r="2748" spans="2:5" x14ac:dyDescent="0.2">
      <c r="B2748" s="291"/>
      <c r="E2748" s="212"/>
    </row>
    <row r="2749" spans="2:5" x14ac:dyDescent="0.2">
      <c r="B2749" s="291"/>
      <c r="E2749" s="212"/>
    </row>
    <row r="2750" spans="2:5" x14ac:dyDescent="0.2">
      <c r="B2750" s="291"/>
      <c r="E2750" s="212"/>
    </row>
    <row r="2751" spans="2:5" x14ac:dyDescent="0.2">
      <c r="B2751" s="291"/>
      <c r="E2751" s="212"/>
    </row>
    <row r="2752" spans="2:5" x14ac:dyDescent="0.2">
      <c r="B2752" s="291"/>
      <c r="E2752" s="212"/>
    </row>
    <row r="2753" spans="2:5" x14ac:dyDescent="0.2">
      <c r="B2753" s="291"/>
      <c r="E2753" s="212"/>
    </row>
    <row r="2754" spans="2:5" x14ac:dyDescent="0.2">
      <c r="B2754" s="291"/>
      <c r="E2754" s="212"/>
    </row>
    <row r="2755" spans="2:5" x14ac:dyDescent="0.2">
      <c r="B2755" s="291"/>
      <c r="E2755" s="212"/>
    </row>
    <row r="2756" spans="2:5" x14ac:dyDescent="0.2">
      <c r="B2756" s="291"/>
      <c r="E2756" s="212"/>
    </row>
    <row r="2757" spans="2:5" x14ac:dyDescent="0.2">
      <c r="B2757" s="291"/>
      <c r="E2757" s="212"/>
    </row>
    <row r="2758" spans="2:5" x14ac:dyDescent="0.2">
      <c r="B2758" s="291"/>
      <c r="E2758" s="212"/>
    </row>
    <row r="2759" spans="2:5" x14ac:dyDescent="0.2">
      <c r="B2759" s="291"/>
      <c r="E2759" s="212"/>
    </row>
    <row r="2760" spans="2:5" x14ac:dyDescent="0.2">
      <c r="B2760" s="291"/>
      <c r="E2760" s="212"/>
    </row>
    <row r="2761" spans="2:5" x14ac:dyDescent="0.2">
      <c r="B2761" s="291"/>
      <c r="E2761" s="212"/>
    </row>
    <row r="2762" spans="2:5" x14ac:dyDescent="0.2">
      <c r="B2762" s="291"/>
      <c r="E2762" s="212"/>
    </row>
    <row r="2763" spans="2:5" x14ac:dyDescent="0.2">
      <c r="B2763" s="291"/>
      <c r="E2763" s="212"/>
    </row>
    <row r="2764" spans="2:5" x14ac:dyDescent="0.2">
      <c r="B2764" s="291"/>
      <c r="E2764" s="212"/>
    </row>
    <row r="2765" spans="2:5" x14ac:dyDescent="0.2">
      <c r="B2765" s="291"/>
      <c r="E2765" s="212"/>
    </row>
    <row r="2766" spans="2:5" x14ac:dyDescent="0.2">
      <c r="B2766" s="291"/>
      <c r="E2766" s="212"/>
    </row>
    <row r="2767" spans="2:5" x14ac:dyDescent="0.2">
      <c r="B2767" s="291"/>
      <c r="E2767" s="212"/>
    </row>
    <row r="2768" spans="2:5" x14ac:dyDescent="0.2">
      <c r="B2768" s="291"/>
      <c r="E2768" s="212"/>
    </row>
    <row r="2769" spans="2:5" x14ac:dyDescent="0.2">
      <c r="B2769" s="291"/>
      <c r="E2769" s="212"/>
    </row>
    <row r="2770" spans="2:5" x14ac:dyDescent="0.2">
      <c r="B2770" s="291"/>
      <c r="E2770" s="212"/>
    </row>
    <row r="2771" spans="2:5" x14ac:dyDescent="0.2">
      <c r="B2771" s="291"/>
      <c r="E2771" s="212"/>
    </row>
    <row r="2772" spans="2:5" x14ac:dyDescent="0.2">
      <c r="B2772" s="291"/>
      <c r="E2772" s="212"/>
    </row>
    <row r="2773" spans="2:5" x14ac:dyDescent="0.2">
      <c r="B2773" s="291"/>
      <c r="E2773" s="212"/>
    </row>
    <row r="2774" spans="2:5" x14ac:dyDescent="0.2">
      <c r="B2774" s="291"/>
      <c r="E2774" s="212"/>
    </row>
    <row r="2775" spans="2:5" x14ac:dyDescent="0.2">
      <c r="B2775" s="291"/>
      <c r="E2775" s="212"/>
    </row>
    <row r="2776" spans="2:5" x14ac:dyDescent="0.2">
      <c r="B2776" s="291"/>
      <c r="E2776" s="212"/>
    </row>
    <row r="2777" spans="2:5" x14ac:dyDescent="0.2">
      <c r="B2777" s="291"/>
      <c r="E2777" s="212"/>
    </row>
    <row r="2778" spans="2:5" x14ac:dyDescent="0.2">
      <c r="B2778" s="291"/>
      <c r="E2778" s="212"/>
    </row>
    <row r="2779" spans="2:5" x14ac:dyDescent="0.2">
      <c r="B2779" s="291"/>
      <c r="E2779" s="212"/>
    </row>
    <row r="2780" spans="2:5" x14ac:dyDescent="0.2">
      <c r="B2780" s="291"/>
      <c r="E2780" s="212"/>
    </row>
    <row r="2781" spans="2:5" x14ac:dyDescent="0.2">
      <c r="B2781" s="291"/>
      <c r="E2781" s="212"/>
    </row>
    <row r="2782" spans="2:5" x14ac:dyDescent="0.2">
      <c r="B2782" s="291"/>
      <c r="E2782" s="212"/>
    </row>
    <row r="2783" spans="2:5" x14ac:dyDescent="0.2">
      <c r="B2783" s="291"/>
      <c r="E2783" s="212"/>
    </row>
    <row r="2784" spans="2:5" x14ac:dyDescent="0.2">
      <c r="B2784" s="291"/>
      <c r="E2784" s="212"/>
    </row>
    <row r="2785" spans="2:5" x14ac:dyDescent="0.2">
      <c r="B2785" s="291"/>
      <c r="E2785" s="212"/>
    </row>
    <row r="2786" spans="2:5" x14ac:dyDescent="0.2">
      <c r="B2786" s="291"/>
      <c r="E2786" s="212"/>
    </row>
    <row r="2787" spans="2:5" x14ac:dyDescent="0.2">
      <c r="B2787" s="291"/>
      <c r="E2787" s="212"/>
    </row>
    <row r="2788" spans="2:5" x14ac:dyDescent="0.2">
      <c r="B2788" s="291"/>
      <c r="E2788" s="212"/>
    </row>
    <row r="2789" spans="2:5" x14ac:dyDescent="0.2">
      <c r="B2789" s="291"/>
      <c r="E2789" s="212"/>
    </row>
    <row r="2790" spans="2:5" x14ac:dyDescent="0.2">
      <c r="B2790" s="291"/>
      <c r="E2790" s="212"/>
    </row>
    <row r="2791" spans="2:5" x14ac:dyDescent="0.2">
      <c r="B2791" s="291"/>
      <c r="E2791" s="212"/>
    </row>
    <row r="2792" spans="2:5" x14ac:dyDescent="0.2">
      <c r="B2792" s="291"/>
      <c r="E2792" s="212"/>
    </row>
    <row r="2793" spans="2:5" x14ac:dyDescent="0.2">
      <c r="B2793" s="291"/>
      <c r="E2793" s="212"/>
    </row>
    <row r="2794" spans="2:5" x14ac:dyDescent="0.2">
      <c r="B2794" s="291"/>
      <c r="E2794" s="212"/>
    </row>
    <row r="2795" spans="2:5" x14ac:dyDescent="0.2">
      <c r="B2795" s="291"/>
      <c r="E2795" s="212"/>
    </row>
    <row r="2796" spans="2:5" x14ac:dyDescent="0.2">
      <c r="B2796" s="291"/>
      <c r="E2796" s="212"/>
    </row>
    <row r="2797" spans="2:5" x14ac:dyDescent="0.2">
      <c r="B2797" s="291"/>
      <c r="E2797" s="212"/>
    </row>
    <row r="2798" spans="2:5" x14ac:dyDescent="0.2">
      <c r="B2798" s="291"/>
      <c r="E2798" s="212"/>
    </row>
    <row r="2799" spans="2:5" x14ac:dyDescent="0.2">
      <c r="B2799" s="291"/>
      <c r="E2799" s="212"/>
    </row>
    <row r="2800" spans="2:5" x14ac:dyDescent="0.2">
      <c r="B2800" s="291"/>
      <c r="E2800" s="212"/>
    </row>
    <row r="2801" spans="2:5" x14ac:dyDescent="0.2">
      <c r="B2801" s="291"/>
      <c r="E2801" s="212"/>
    </row>
    <row r="2802" spans="2:5" x14ac:dyDescent="0.2">
      <c r="B2802" s="291"/>
      <c r="E2802" s="212"/>
    </row>
    <row r="2803" spans="2:5" x14ac:dyDescent="0.2">
      <c r="B2803" s="291"/>
      <c r="E2803" s="212"/>
    </row>
    <row r="2804" spans="2:5" x14ac:dyDescent="0.2">
      <c r="B2804" s="291"/>
      <c r="E2804" s="212"/>
    </row>
    <row r="2805" spans="2:5" x14ac:dyDescent="0.2">
      <c r="B2805" s="291"/>
      <c r="E2805" s="212"/>
    </row>
    <row r="2806" spans="2:5" x14ac:dyDescent="0.2">
      <c r="B2806" s="291"/>
      <c r="E2806" s="212"/>
    </row>
    <row r="2807" spans="2:5" x14ac:dyDescent="0.2">
      <c r="B2807" s="291"/>
      <c r="E2807" s="212"/>
    </row>
    <row r="2808" spans="2:5" x14ac:dyDescent="0.2">
      <c r="B2808" s="291"/>
      <c r="E2808" s="212"/>
    </row>
    <row r="2809" spans="2:5" x14ac:dyDescent="0.2">
      <c r="B2809" s="291"/>
      <c r="E2809" s="212"/>
    </row>
    <row r="2810" spans="2:5" x14ac:dyDescent="0.2">
      <c r="B2810" s="291"/>
      <c r="E2810" s="212"/>
    </row>
    <row r="2811" spans="2:5" x14ac:dyDescent="0.2">
      <c r="B2811" s="291"/>
      <c r="E2811" s="212"/>
    </row>
    <row r="2812" spans="2:5" x14ac:dyDescent="0.2">
      <c r="B2812" s="291"/>
      <c r="E2812" s="212"/>
    </row>
    <row r="2813" spans="2:5" x14ac:dyDescent="0.2">
      <c r="B2813" s="291"/>
      <c r="E2813" s="212"/>
    </row>
    <row r="2814" spans="2:5" x14ac:dyDescent="0.2">
      <c r="B2814" s="291"/>
      <c r="E2814" s="212"/>
    </row>
    <row r="2815" spans="2:5" x14ac:dyDescent="0.2">
      <c r="B2815" s="291"/>
      <c r="E2815" s="212"/>
    </row>
    <row r="2816" spans="2:5" x14ac:dyDescent="0.2">
      <c r="B2816" s="291"/>
      <c r="E2816" s="212"/>
    </row>
    <row r="2817" spans="2:5" x14ac:dyDescent="0.2">
      <c r="B2817" s="291"/>
      <c r="E2817" s="212"/>
    </row>
    <row r="2818" spans="2:5" x14ac:dyDescent="0.2">
      <c r="B2818" s="291"/>
      <c r="E2818" s="212"/>
    </row>
    <row r="2819" spans="2:5" x14ac:dyDescent="0.2">
      <c r="B2819" s="291"/>
      <c r="E2819" s="212"/>
    </row>
    <row r="2820" spans="2:5" x14ac:dyDescent="0.2">
      <c r="B2820" s="291"/>
      <c r="E2820" s="212"/>
    </row>
    <row r="2821" spans="2:5" x14ac:dyDescent="0.2">
      <c r="B2821" s="291"/>
      <c r="E2821" s="212"/>
    </row>
    <row r="2822" spans="2:5" x14ac:dyDescent="0.2">
      <c r="B2822" s="291"/>
      <c r="E2822" s="212"/>
    </row>
    <row r="2823" spans="2:5" x14ac:dyDescent="0.2">
      <c r="B2823" s="291"/>
      <c r="E2823" s="212"/>
    </row>
    <row r="2824" spans="2:5" x14ac:dyDescent="0.2">
      <c r="B2824" s="291"/>
      <c r="E2824" s="212"/>
    </row>
    <row r="2825" spans="2:5" x14ac:dyDescent="0.2">
      <c r="B2825" s="291"/>
      <c r="E2825" s="212"/>
    </row>
    <row r="2826" spans="2:5" x14ac:dyDescent="0.2">
      <c r="B2826" s="291"/>
      <c r="E2826" s="212"/>
    </row>
    <row r="2827" spans="2:5" x14ac:dyDescent="0.2">
      <c r="B2827" s="291"/>
      <c r="E2827" s="212"/>
    </row>
    <row r="2828" spans="2:5" x14ac:dyDescent="0.2">
      <c r="B2828" s="291"/>
      <c r="E2828" s="212"/>
    </row>
    <row r="2829" spans="2:5" x14ac:dyDescent="0.2">
      <c r="B2829" s="291"/>
      <c r="E2829" s="212"/>
    </row>
    <row r="2830" spans="2:5" x14ac:dyDescent="0.2">
      <c r="B2830" s="291"/>
      <c r="E2830" s="212"/>
    </row>
    <row r="2831" spans="2:5" x14ac:dyDescent="0.2">
      <c r="B2831" s="291"/>
      <c r="E2831" s="212"/>
    </row>
    <row r="2832" spans="2:5" x14ac:dyDescent="0.2">
      <c r="B2832" s="291"/>
      <c r="E2832" s="212"/>
    </row>
    <row r="2833" spans="2:5" x14ac:dyDescent="0.2">
      <c r="B2833" s="291"/>
      <c r="E2833" s="212"/>
    </row>
    <row r="2834" spans="2:5" x14ac:dyDescent="0.2">
      <c r="B2834" s="291"/>
      <c r="E2834" s="212"/>
    </row>
    <row r="2835" spans="2:5" x14ac:dyDescent="0.2">
      <c r="B2835" s="291"/>
      <c r="E2835" s="212"/>
    </row>
    <row r="2836" spans="2:5" x14ac:dyDescent="0.2">
      <c r="B2836" s="291"/>
      <c r="E2836" s="212"/>
    </row>
    <row r="2837" spans="2:5" x14ac:dyDescent="0.2">
      <c r="B2837" s="291"/>
      <c r="E2837" s="212"/>
    </row>
    <row r="2838" spans="2:5" x14ac:dyDescent="0.2">
      <c r="B2838" s="291"/>
      <c r="E2838" s="212"/>
    </row>
    <row r="2839" spans="2:5" x14ac:dyDescent="0.2">
      <c r="B2839" s="291"/>
      <c r="E2839" s="212"/>
    </row>
    <row r="2840" spans="2:5" x14ac:dyDescent="0.2">
      <c r="B2840" s="291"/>
      <c r="E2840" s="212"/>
    </row>
    <row r="2841" spans="2:5" x14ac:dyDescent="0.2">
      <c r="B2841" s="291"/>
      <c r="E2841" s="212"/>
    </row>
    <row r="2842" spans="2:5" x14ac:dyDescent="0.2">
      <c r="B2842" s="291"/>
      <c r="E2842" s="212"/>
    </row>
    <row r="2843" spans="2:5" x14ac:dyDescent="0.2">
      <c r="B2843" s="291"/>
      <c r="E2843" s="212"/>
    </row>
    <row r="2844" spans="2:5" x14ac:dyDescent="0.2">
      <c r="B2844" s="291"/>
      <c r="E2844" s="212"/>
    </row>
    <row r="2845" spans="2:5" x14ac:dyDescent="0.2">
      <c r="B2845" s="291"/>
      <c r="E2845" s="212"/>
    </row>
    <row r="2846" spans="2:5" x14ac:dyDescent="0.2">
      <c r="B2846" s="291"/>
      <c r="E2846" s="212"/>
    </row>
    <row r="2847" spans="2:5" x14ac:dyDescent="0.2">
      <c r="B2847" s="291"/>
      <c r="E2847" s="212"/>
    </row>
    <row r="2848" spans="2:5" x14ac:dyDescent="0.2">
      <c r="B2848" s="291"/>
      <c r="E2848" s="212"/>
    </row>
    <row r="2849" spans="2:5" x14ac:dyDescent="0.2">
      <c r="B2849" s="291"/>
      <c r="E2849" s="212"/>
    </row>
    <row r="2850" spans="2:5" x14ac:dyDescent="0.2">
      <c r="B2850" s="291"/>
      <c r="E2850" s="212"/>
    </row>
    <row r="2851" spans="2:5" x14ac:dyDescent="0.2">
      <c r="B2851" s="291"/>
      <c r="E2851" s="212"/>
    </row>
    <row r="2852" spans="2:5" x14ac:dyDescent="0.2">
      <c r="B2852" s="291"/>
      <c r="E2852" s="212"/>
    </row>
    <row r="2853" spans="2:5" x14ac:dyDescent="0.2">
      <c r="B2853" s="291"/>
      <c r="E2853" s="212"/>
    </row>
    <row r="2854" spans="2:5" x14ac:dyDescent="0.2">
      <c r="B2854" s="291"/>
      <c r="E2854" s="212"/>
    </row>
    <row r="2855" spans="2:5" x14ac:dyDescent="0.2">
      <c r="B2855" s="291"/>
      <c r="E2855" s="212"/>
    </row>
    <row r="2856" spans="2:5" x14ac:dyDescent="0.2">
      <c r="B2856" s="291"/>
      <c r="E2856" s="212"/>
    </row>
    <row r="2857" spans="2:5" x14ac:dyDescent="0.2">
      <c r="B2857" s="291"/>
      <c r="E2857" s="212"/>
    </row>
    <row r="2858" spans="2:5" x14ac:dyDescent="0.2">
      <c r="B2858" s="291"/>
      <c r="E2858" s="212"/>
    </row>
    <row r="2859" spans="2:5" x14ac:dyDescent="0.2">
      <c r="B2859" s="291"/>
      <c r="E2859" s="212"/>
    </row>
    <row r="2860" spans="2:5" x14ac:dyDescent="0.2">
      <c r="B2860" s="291"/>
      <c r="E2860" s="212"/>
    </row>
    <row r="2861" spans="2:5" x14ac:dyDescent="0.2">
      <c r="B2861" s="291"/>
      <c r="E2861" s="212"/>
    </row>
    <row r="2862" spans="2:5" x14ac:dyDescent="0.2">
      <c r="B2862" s="291"/>
      <c r="E2862" s="212"/>
    </row>
    <row r="2863" spans="2:5" x14ac:dyDescent="0.2">
      <c r="B2863" s="291"/>
      <c r="E2863" s="212"/>
    </row>
    <row r="2864" spans="2:5" x14ac:dyDescent="0.2">
      <c r="B2864" s="291"/>
      <c r="E2864" s="212"/>
    </row>
    <row r="2865" spans="2:5" x14ac:dyDescent="0.2">
      <c r="B2865" s="291"/>
      <c r="E2865" s="212"/>
    </row>
    <row r="2866" spans="2:5" x14ac:dyDescent="0.2">
      <c r="B2866" s="291"/>
      <c r="E2866" s="212"/>
    </row>
    <row r="2867" spans="2:5" x14ac:dyDescent="0.2">
      <c r="B2867" s="291"/>
      <c r="E2867" s="212"/>
    </row>
    <row r="2868" spans="2:5" x14ac:dyDescent="0.2">
      <c r="B2868" s="291"/>
      <c r="E2868" s="212"/>
    </row>
    <row r="2869" spans="2:5" x14ac:dyDescent="0.2">
      <c r="B2869" s="291"/>
      <c r="E2869" s="212"/>
    </row>
    <row r="2870" spans="2:5" x14ac:dyDescent="0.2">
      <c r="B2870" s="291"/>
      <c r="E2870" s="212"/>
    </row>
    <row r="2871" spans="2:5" x14ac:dyDescent="0.2">
      <c r="B2871" s="291"/>
      <c r="E2871" s="212"/>
    </row>
    <row r="2872" spans="2:5" x14ac:dyDescent="0.2">
      <c r="B2872" s="291"/>
      <c r="E2872" s="212"/>
    </row>
    <row r="2873" spans="2:5" x14ac:dyDescent="0.2">
      <c r="B2873" s="291"/>
      <c r="E2873" s="212"/>
    </row>
    <row r="2874" spans="2:5" x14ac:dyDescent="0.2">
      <c r="B2874" s="291"/>
      <c r="E2874" s="212"/>
    </row>
    <row r="2875" spans="2:5" x14ac:dyDescent="0.2">
      <c r="B2875" s="291"/>
      <c r="E2875" s="212"/>
    </row>
    <row r="2876" spans="2:5" x14ac:dyDescent="0.2">
      <c r="B2876" s="291"/>
      <c r="E2876" s="212"/>
    </row>
    <row r="2877" spans="2:5" x14ac:dyDescent="0.2">
      <c r="B2877" s="291"/>
      <c r="E2877" s="212"/>
    </row>
    <row r="2878" spans="2:5" x14ac:dyDescent="0.2">
      <c r="B2878" s="291"/>
      <c r="E2878" s="212"/>
    </row>
    <row r="2879" spans="2:5" x14ac:dyDescent="0.2">
      <c r="B2879" s="291"/>
      <c r="E2879" s="212"/>
    </row>
    <row r="2880" spans="2:5" x14ac:dyDescent="0.2">
      <c r="B2880" s="291"/>
      <c r="E2880" s="212"/>
    </row>
    <row r="2881" spans="2:5" x14ac:dyDescent="0.2">
      <c r="B2881" s="291"/>
      <c r="E2881" s="212"/>
    </row>
    <row r="2882" spans="2:5" x14ac:dyDescent="0.2">
      <c r="B2882" s="291"/>
      <c r="E2882" s="212"/>
    </row>
    <row r="2883" spans="2:5" x14ac:dyDescent="0.2">
      <c r="B2883" s="291"/>
      <c r="E2883" s="212"/>
    </row>
    <row r="2884" spans="2:5" x14ac:dyDescent="0.2">
      <c r="B2884" s="291"/>
      <c r="E2884" s="212"/>
    </row>
    <row r="2885" spans="2:5" x14ac:dyDescent="0.2">
      <c r="B2885" s="291"/>
      <c r="E2885" s="212"/>
    </row>
    <row r="2886" spans="2:5" x14ac:dyDescent="0.2">
      <c r="B2886" s="291"/>
      <c r="E2886" s="212"/>
    </row>
    <row r="2887" spans="2:5" x14ac:dyDescent="0.2">
      <c r="B2887" s="291"/>
      <c r="E2887" s="212"/>
    </row>
    <row r="2888" spans="2:5" x14ac:dyDescent="0.2">
      <c r="B2888" s="291"/>
      <c r="E2888" s="212"/>
    </row>
    <row r="2889" spans="2:5" x14ac:dyDescent="0.2">
      <c r="B2889" s="291"/>
      <c r="E2889" s="212"/>
    </row>
    <row r="2890" spans="2:5" x14ac:dyDescent="0.2">
      <c r="B2890" s="291"/>
      <c r="E2890" s="212"/>
    </row>
    <row r="2891" spans="2:5" x14ac:dyDescent="0.2">
      <c r="B2891" s="291"/>
      <c r="E2891" s="212"/>
    </row>
    <row r="2892" spans="2:5" x14ac:dyDescent="0.2">
      <c r="B2892" s="291"/>
      <c r="E2892" s="212"/>
    </row>
    <row r="2893" spans="2:5" x14ac:dyDescent="0.2">
      <c r="B2893" s="291"/>
      <c r="E2893" s="212"/>
    </row>
    <row r="2894" spans="2:5" x14ac:dyDescent="0.2">
      <c r="B2894" s="291"/>
      <c r="E2894" s="212"/>
    </row>
    <row r="2895" spans="2:5" x14ac:dyDescent="0.2">
      <c r="B2895" s="291"/>
      <c r="E2895" s="212"/>
    </row>
    <row r="2896" spans="2:5" x14ac:dyDescent="0.2">
      <c r="B2896" s="291"/>
      <c r="E2896" s="212"/>
    </row>
    <row r="2897" spans="2:5" x14ac:dyDescent="0.2">
      <c r="B2897" s="291"/>
      <c r="E2897" s="212"/>
    </row>
    <row r="2898" spans="2:5" x14ac:dyDescent="0.2">
      <c r="B2898" s="291"/>
      <c r="E2898" s="212"/>
    </row>
    <row r="2899" spans="2:5" x14ac:dyDescent="0.2">
      <c r="B2899" s="291"/>
      <c r="E2899" s="212"/>
    </row>
    <row r="2900" spans="2:5" x14ac:dyDescent="0.2">
      <c r="B2900" s="291"/>
      <c r="E2900" s="212"/>
    </row>
    <row r="2901" spans="2:5" x14ac:dyDescent="0.2">
      <c r="B2901" s="291"/>
      <c r="E2901" s="212"/>
    </row>
    <row r="2902" spans="2:5" x14ac:dyDescent="0.2">
      <c r="B2902" s="291"/>
      <c r="E2902" s="212"/>
    </row>
    <row r="2903" spans="2:5" x14ac:dyDescent="0.2">
      <c r="B2903" s="291"/>
      <c r="E2903" s="212"/>
    </row>
    <row r="2904" spans="2:5" x14ac:dyDescent="0.2">
      <c r="B2904" s="291"/>
      <c r="E2904" s="212"/>
    </row>
    <row r="2905" spans="2:5" x14ac:dyDescent="0.2">
      <c r="B2905" s="291"/>
      <c r="E2905" s="212"/>
    </row>
    <row r="2906" spans="2:5" x14ac:dyDescent="0.2">
      <c r="B2906" s="291"/>
      <c r="E2906" s="212"/>
    </row>
    <row r="2907" spans="2:5" x14ac:dyDescent="0.2">
      <c r="B2907" s="291"/>
      <c r="E2907" s="212"/>
    </row>
    <row r="2908" spans="2:5" x14ac:dyDescent="0.2">
      <c r="B2908" s="291"/>
      <c r="E2908" s="212"/>
    </row>
    <row r="2909" spans="2:5" x14ac:dyDescent="0.2">
      <c r="B2909" s="291"/>
      <c r="E2909" s="212"/>
    </row>
    <row r="2910" spans="2:5" x14ac:dyDescent="0.2">
      <c r="B2910" s="291"/>
      <c r="E2910" s="212"/>
    </row>
    <row r="2911" spans="2:5" x14ac:dyDescent="0.2">
      <c r="B2911" s="291"/>
      <c r="E2911" s="212"/>
    </row>
    <row r="2912" spans="2:5" x14ac:dyDescent="0.2">
      <c r="B2912" s="291"/>
      <c r="E2912" s="212"/>
    </row>
    <row r="2913" spans="2:5" x14ac:dyDescent="0.2">
      <c r="B2913" s="291"/>
      <c r="E2913" s="212"/>
    </row>
    <row r="2914" spans="2:5" x14ac:dyDescent="0.2">
      <c r="B2914" s="291"/>
      <c r="E2914" s="212"/>
    </row>
    <row r="2915" spans="2:5" x14ac:dyDescent="0.2">
      <c r="B2915" s="291"/>
      <c r="E2915" s="212"/>
    </row>
    <row r="2916" spans="2:5" x14ac:dyDescent="0.2">
      <c r="B2916" s="291"/>
      <c r="E2916" s="212"/>
    </row>
    <row r="2917" spans="2:5" x14ac:dyDescent="0.2">
      <c r="B2917" s="291"/>
      <c r="E2917" s="212"/>
    </row>
    <row r="2918" spans="2:5" x14ac:dyDescent="0.2">
      <c r="B2918" s="291"/>
      <c r="E2918" s="212"/>
    </row>
    <row r="2919" spans="2:5" x14ac:dyDescent="0.2">
      <c r="B2919" s="291"/>
      <c r="E2919" s="212"/>
    </row>
    <row r="2920" spans="2:5" x14ac:dyDescent="0.2">
      <c r="B2920" s="291"/>
      <c r="E2920" s="212"/>
    </row>
    <row r="2921" spans="2:5" x14ac:dyDescent="0.2">
      <c r="B2921" s="291"/>
      <c r="E2921" s="212"/>
    </row>
    <row r="2922" spans="2:5" x14ac:dyDescent="0.2">
      <c r="B2922" s="291"/>
      <c r="E2922" s="212"/>
    </row>
    <row r="2923" spans="2:5" x14ac:dyDescent="0.2">
      <c r="B2923" s="291"/>
      <c r="E2923" s="212"/>
    </row>
    <row r="2924" spans="2:5" x14ac:dyDescent="0.2">
      <c r="B2924" s="291"/>
      <c r="E2924" s="212"/>
    </row>
    <row r="2925" spans="2:5" x14ac:dyDescent="0.2">
      <c r="B2925" s="291"/>
      <c r="E2925" s="212"/>
    </row>
    <row r="2926" spans="2:5" x14ac:dyDescent="0.2">
      <c r="B2926" s="291"/>
      <c r="E2926" s="212"/>
    </row>
    <row r="2927" spans="2:5" x14ac:dyDescent="0.2">
      <c r="B2927" s="291"/>
      <c r="E2927" s="212"/>
    </row>
    <row r="2928" spans="2:5" x14ac:dyDescent="0.2">
      <c r="B2928" s="291"/>
      <c r="E2928" s="212"/>
    </row>
    <row r="2929" spans="2:5" x14ac:dyDescent="0.2">
      <c r="B2929" s="291"/>
      <c r="E2929" s="212"/>
    </row>
    <row r="2930" spans="2:5" x14ac:dyDescent="0.2">
      <c r="B2930" s="291"/>
      <c r="E2930" s="212"/>
    </row>
    <row r="2931" spans="2:5" x14ac:dyDescent="0.2">
      <c r="B2931" s="291"/>
      <c r="E2931" s="212"/>
    </row>
    <row r="2932" spans="2:5" x14ac:dyDescent="0.2">
      <c r="B2932" s="291"/>
      <c r="E2932" s="212"/>
    </row>
    <row r="2933" spans="2:5" x14ac:dyDescent="0.2">
      <c r="B2933" s="291"/>
      <c r="E2933" s="212"/>
    </row>
    <row r="2934" spans="2:5" x14ac:dyDescent="0.2">
      <c r="B2934" s="291"/>
      <c r="E2934" s="212"/>
    </row>
    <row r="2935" spans="2:5" x14ac:dyDescent="0.2">
      <c r="B2935" s="291"/>
      <c r="E2935" s="212"/>
    </row>
    <row r="2936" spans="2:5" x14ac:dyDescent="0.2">
      <c r="B2936" s="291"/>
      <c r="E2936" s="212"/>
    </row>
    <row r="2937" spans="2:5" x14ac:dyDescent="0.2">
      <c r="B2937" s="291"/>
      <c r="E2937" s="212"/>
    </row>
    <row r="2938" spans="2:5" x14ac:dyDescent="0.2">
      <c r="B2938" s="291"/>
      <c r="E2938" s="212"/>
    </row>
    <row r="2939" spans="2:5" x14ac:dyDescent="0.2">
      <c r="B2939" s="291"/>
      <c r="E2939" s="212"/>
    </row>
    <row r="2940" spans="2:5" x14ac:dyDescent="0.2">
      <c r="B2940" s="291"/>
      <c r="E2940" s="212"/>
    </row>
    <row r="2941" spans="2:5" x14ac:dyDescent="0.2">
      <c r="B2941" s="291"/>
      <c r="E2941" s="212"/>
    </row>
    <row r="2942" spans="2:5" x14ac:dyDescent="0.2">
      <c r="B2942" s="291"/>
      <c r="E2942" s="212"/>
    </row>
    <row r="2943" spans="2:5" x14ac:dyDescent="0.2">
      <c r="B2943" s="291"/>
      <c r="E2943" s="212"/>
    </row>
    <row r="2944" spans="2:5" x14ac:dyDescent="0.2">
      <c r="B2944" s="291"/>
      <c r="E2944" s="212"/>
    </row>
    <row r="2945" spans="2:5" x14ac:dyDescent="0.2">
      <c r="B2945" s="291"/>
      <c r="E2945" s="212"/>
    </row>
    <row r="2946" spans="2:5" x14ac:dyDescent="0.2">
      <c r="B2946" s="291"/>
      <c r="E2946" s="212"/>
    </row>
    <row r="2947" spans="2:5" x14ac:dyDescent="0.2">
      <c r="B2947" s="291"/>
      <c r="E2947" s="212"/>
    </row>
    <row r="2948" spans="2:5" x14ac:dyDescent="0.2">
      <c r="B2948" s="291"/>
      <c r="E2948" s="212"/>
    </row>
    <row r="2949" spans="2:5" x14ac:dyDescent="0.2">
      <c r="B2949" s="291"/>
      <c r="E2949" s="212"/>
    </row>
    <row r="2950" spans="2:5" x14ac:dyDescent="0.2">
      <c r="B2950" s="291"/>
      <c r="E2950" s="212"/>
    </row>
    <row r="2951" spans="2:5" x14ac:dyDescent="0.2">
      <c r="B2951" s="291"/>
      <c r="E2951" s="212"/>
    </row>
    <row r="2952" spans="2:5" x14ac:dyDescent="0.2">
      <c r="B2952" s="291"/>
      <c r="E2952" s="212"/>
    </row>
    <row r="2953" spans="2:5" x14ac:dyDescent="0.2">
      <c r="B2953" s="291"/>
      <c r="E2953" s="212"/>
    </row>
    <row r="2954" spans="2:5" x14ac:dyDescent="0.2">
      <c r="B2954" s="291"/>
      <c r="E2954" s="212"/>
    </row>
    <row r="2955" spans="2:5" x14ac:dyDescent="0.2">
      <c r="B2955" s="291"/>
      <c r="E2955" s="212"/>
    </row>
    <row r="2956" spans="2:5" x14ac:dyDescent="0.2">
      <c r="B2956" s="291"/>
      <c r="E2956" s="212"/>
    </row>
    <row r="2957" spans="2:5" x14ac:dyDescent="0.2">
      <c r="B2957" s="291"/>
      <c r="E2957" s="212"/>
    </row>
    <row r="2958" spans="2:5" x14ac:dyDescent="0.2">
      <c r="B2958" s="291"/>
      <c r="E2958" s="212"/>
    </row>
    <row r="2959" spans="2:5" x14ac:dyDescent="0.2">
      <c r="B2959" s="291"/>
      <c r="E2959" s="212"/>
    </row>
    <row r="2960" spans="2:5" x14ac:dyDescent="0.2">
      <c r="B2960" s="291"/>
      <c r="E2960" s="212"/>
    </row>
    <row r="2961" spans="2:5" x14ac:dyDescent="0.2">
      <c r="B2961" s="291"/>
      <c r="E2961" s="212"/>
    </row>
    <row r="2962" spans="2:5" x14ac:dyDescent="0.2">
      <c r="B2962" s="291"/>
      <c r="E2962" s="212"/>
    </row>
    <row r="2963" spans="2:5" x14ac:dyDescent="0.2">
      <c r="B2963" s="291"/>
      <c r="E2963" s="212"/>
    </row>
    <row r="2964" spans="2:5" x14ac:dyDescent="0.2">
      <c r="B2964" s="291"/>
      <c r="E2964" s="212"/>
    </row>
    <row r="2965" spans="2:5" x14ac:dyDescent="0.2">
      <c r="B2965" s="291"/>
      <c r="E2965" s="212"/>
    </row>
    <row r="2966" spans="2:5" x14ac:dyDescent="0.2">
      <c r="B2966" s="291"/>
      <c r="E2966" s="212"/>
    </row>
    <row r="2967" spans="2:5" x14ac:dyDescent="0.2">
      <c r="B2967" s="291"/>
      <c r="E2967" s="212"/>
    </row>
    <row r="2968" spans="2:5" x14ac:dyDescent="0.2">
      <c r="B2968" s="291"/>
      <c r="E2968" s="212"/>
    </row>
    <row r="2969" spans="2:5" x14ac:dyDescent="0.2">
      <c r="B2969" s="291"/>
      <c r="E2969" s="212"/>
    </row>
    <row r="2970" spans="2:5" x14ac:dyDescent="0.2">
      <c r="B2970" s="291"/>
      <c r="E2970" s="212"/>
    </row>
    <row r="2971" spans="2:5" x14ac:dyDescent="0.2">
      <c r="B2971" s="291"/>
      <c r="E2971" s="212"/>
    </row>
    <row r="2972" spans="2:5" x14ac:dyDescent="0.2">
      <c r="B2972" s="291"/>
      <c r="E2972" s="212"/>
    </row>
    <row r="2973" spans="2:5" x14ac:dyDescent="0.2">
      <c r="B2973" s="291"/>
      <c r="E2973" s="212"/>
    </row>
    <row r="2974" spans="2:5" x14ac:dyDescent="0.2">
      <c r="B2974" s="291"/>
      <c r="E2974" s="212"/>
    </row>
    <row r="2975" spans="2:5" x14ac:dyDescent="0.2">
      <c r="B2975" s="291"/>
      <c r="E2975" s="212"/>
    </row>
    <row r="2976" spans="2:5" x14ac:dyDescent="0.2">
      <c r="B2976" s="291"/>
      <c r="E2976" s="212"/>
    </row>
    <row r="2977" spans="2:5" x14ac:dyDescent="0.2">
      <c r="B2977" s="291"/>
      <c r="E2977" s="212"/>
    </row>
    <row r="2978" spans="2:5" x14ac:dyDescent="0.2">
      <c r="B2978" s="291"/>
      <c r="E2978" s="212"/>
    </row>
    <row r="2979" spans="2:5" x14ac:dyDescent="0.2">
      <c r="B2979" s="291"/>
      <c r="E2979" s="212"/>
    </row>
    <row r="2980" spans="2:5" x14ac:dyDescent="0.2">
      <c r="B2980" s="291"/>
      <c r="E2980" s="212"/>
    </row>
    <row r="2981" spans="2:5" x14ac:dyDescent="0.2">
      <c r="B2981" s="291"/>
      <c r="E2981" s="212"/>
    </row>
    <row r="2982" spans="2:5" x14ac:dyDescent="0.2">
      <c r="B2982" s="291"/>
      <c r="E2982" s="212"/>
    </row>
    <row r="2983" spans="2:5" x14ac:dyDescent="0.2">
      <c r="B2983" s="291"/>
      <c r="E2983" s="212"/>
    </row>
    <row r="2984" spans="2:5" x14ac:dyDescent="0.2">
      <c r="B2984" s="291"/>
      <c r="E2984" s="212"/>
    </row>
    <row r="2985" spans="2:5" x14ac:dyDescent="0.2">
      <c r="B2985" s="291"/>
      <c r="E2985" s="212"/>
    </row>
    <row r="2986" spans="2:5" x14ac:dyDescent="0.2">
      <c r="B2986" s="291"/>
      <c r="E2986" s="212"/>
    </row>
    <row r="2987" spans="2:5" x14ac:dyDescent="0.2">
      <c r="B2987" s="291"/>
      <c r="E2987" s="212"/>
    </row>
    <row r="2988" spans="2:5" x14ac:dyDescent="0.2">
      <c r="B2988" s="291"/>
      <c r="E2988" s="212"/>
    </row>
    <row r="2989" spans="2:5" x14ac:dyDescent="0.2">
      <c r="B2989" s="291"/>
      <c r="E2989" s="212"/>
    </row>
    <row r="2990" spans="2:5" x14ac:dyDescent="0.2">
      <c r="B2990" s="291"/>
      <c r="E2990" s="212"/>
    </row>
    <row r="2991" spans="2:5" x14ac:dyDescent="0.2">
      <c r="B2991" s="291"/>
      <c r="E2991" s="212"/>
    </row>
    <row r="2992" spans="2:5" x14ac:dyDescent="0.2">
      <c r="B2992" s="291"/>
      <c r="E2992" s="212"/>
    </row>
    <row r="2993" spans="2:5" x14ac:dyDescent="0.2">
      <c r="B2993" s="291"/>
      <c r="E2993" s="212"/>
    </row>
    <row r="2994" spans="2:5" x14ac:dyDescent="0.2">
      <c r="B2994" s="291"/>
      <c r="E2994" s="212"/>
    </row>
    <row r="2995" spans="2:5" x14ac:dyDescent="0.2">
      <c r="B2995" s="291"/>
      <c r="E2995" s="212"/>
    </row>
    <row r="2996" spans="2:5" x14ac:dyDescent="0.2">
      <c r="B2996" s="291"/>
      <c r="E2996" s="212"/>
    </row>
    <row r="2997" spans="2:5" x14ac:dyDescent="0.2">
      <c r="B2997" s="291"/>
      <c r="E2997" s="212"/>
    </row>
    <row r="2998" spans="2:5" x14ac:dyDescent="0.2">
      <c r="B2998" s="291"/>
      <c r="E2998" s="212"/>
    </row>
    <row r="2999" spans="2:5" x14ac:dyDescent="0.2">
      <c r="B2999" s="291"/>
      <c r="E2999" s="212"/>
    </row>
    <row r="3000" spans="2:5" x14ac:dyDescent="0.2">
      <c r="B3000" s="291"/>
      <c r="E3000" s="212"/>
    </row>
    <row r="3001" spans="2:5" x14ac:dyDescent="0.2">
      <c r="B3001" s="291"/>
      <c r="E3001" s="212"/>
    </row>
    <row r="3002" spans="2:5" x14ac:dyDescent="0.2">
      <c r="B3002" s="291"/>
      <c r="E3002" s="212"/>
    </row>
    <row r="3003" spans="2:5" x14ac:dyDescent="0.2">
      <c r="B3003" s="291"/>
      <c r="E3003" s="212"/>
    </row>
    <row r="3004" spans="2:5" x14ac:dyDescent="0.2">
      <c r="B3004" s="291"/>
      <c r="E3004" s="212"/>
    </row>
    <row r="3005" spans="2:5" x14ac:dyDescent="0.2">
      <c r="B3005" s="291"/>
      <c r="E3005" s="212"/>
    </row>
    <row r="3006" spans="2:5" x14ac:dyDescent="0.2">
      <c r="B3006" s="291"/>
      <c r="E3006" s="212"/>
    </row>
    <row r="3007" spans="2:5" x14ac:dyDescent="0.2">
      <c r="B3007" s="291"/>
      <c r="E3007" s="212"/>
    </row>
    <row r="3008" spans="2:5" x14ac:dyDescent="0.2">
      <c r="B3008" s="291"/>
      <c r="E3008" s="212"/>
    </row>
    <row r="3009" spans="2:5" x14ac:dyDescent="0.2">
      <c r="B3009" s="291"/>
      <c r="E3009" s="212"/>
    </row>
    <row r="3010" spans="2:5" x14ac:dyDescent="0.2">
      <c r="B3010" s="291"/>
      <c r="E3010" s="212"/>
    </row>
    <row r="3011" spans="2:5" x14ac:dyDescent="0.2">
      <c r="B3011" s="291"/>
      <c r="E3011" s="212"/>
    </row>
    <row r="3012" spans="2:5" x14ac:dyDescent="0.2">
      <c r="B3012" s="291"/>
      <c r="E3012" s="212"/>
    </row>
    <row r="3013" spans="2:5" x14ac:dyDescent="0.2">
      <c r="B3013" s="291"/>
      <c r="E3013" s="212"/>
    </row>
    <row r="3014" spans="2:5" x14ac:dyDescent="0.2">
      <c r="B3014" s="291"/>
      <c r="E3014" s="212"/>
    </row>
    <row r="3015" spans="2:5" x14ac:dyDescent="0.2">
      <c r="B3015" s="291"/>
      <c r="E3015" s="212"/>
    </row>
    <row r="3016" spans="2:5" x14ac:dyDescent="0.2">
      <c r="B3016" s="291"/>
      <c r="E3016" s="212"/>
    </row>
    <row r="3017" spans="2:5" x14ac:dyDescent="0.2">
      <c r="B3017" s="291"/>
      <c r="E3017" s="212"/>
    </row>
    <row r="3018" spans="2:5" x14ac:dyDescent="0.2">
      <c r="B3018" s="291"/>
      <c r="E3018" s="212"/>
    </row>
    <row r="3019" spans="2:5" x14ac:dyDescent="0.2">
      <c r="B3019" s="291"/>
      <c r="E3019" s="212"/>
    </row>
    <row r="3020" spans="2:5" x14ac:dyDescent="0.2">
      <c r="B3020" s="291"/>
      <c r="E3020" s="212"/>
    </row>
    <row r="3021" spans="2:5" x14ac:dyDescent="0.2">
      <c r="B3021" s="291"/>
      <c r="E3021" s="212"/>
    </row>
    <row r="3022" spans="2:5" x14ac:dyDescent="0.2">
      <c r="B3022" s="291"/>
      <c r="E3022" s="212"/>
    </row>
    <row r="3023" spans="2:5" x14ac:dyDescent="0.2">
      <c r="B3023" s="291"/>
      <c r="E3023" s="212"/>
    </row>
    <row r="3024" spans="2:5" x14ac:dyDescent="0.2">
      <c r="B3024" s="291"/>
      <c r="E3024" s="212"/>
    </row>
    <row r="3025" spans="2:5" x14ac:dyDescent="0.2">
      <c r="B3025" s="291"/>
      <c r="E3025" s="212"/>
    </row>
    <row r="3026" spans="2:5" x14ac:dyDescent="0.2">
      <c r="B3026" s="291"/>
      <c r="E3026" s="212"/>
    </row>
    <row r="3027" spans="2:5" x14ac:dyDescent="0.2">
      <c r="B3027" s="291"/>
      <c r="E3027" s="212"/>
    </row>
    <row r="3028" spans="2:5" x14ac:dyDescent="0.2">
      <c r="B3028" s="291"/>
      <c r="E3028" s="212"/>
    </row>
    <row r="3029" spans="2:5" x14ac:dyDescent="0.2">
      <c r="B3029" s="291"/>
      <c r="E3029" s="212"/>
    </row>
    <row r="3030" spans="2:5" x14ac:dyDescent="0.2">
      <c r="B3030" s="291"/>
      <c r="E3030" s="212"/>
    </row>
    <row r="3031" spans="2:5" x14ac:dyDescent="0.2">
      <c r="B3031" s="291"/>
      <c r="E3031" s="212"/>
    </row>
    <row r="3032" spans="2:5" x14ac:dyDescent="0.2">
      <c r="B3032" s="291"/>
      <c r="E3032" s="212"/>
    </row>
    <row r="3033" spans="2:5" x14ac:dyDescent="0.2">
      <c r="B3033" s="291"/>
      <c r="E3033" s="212"/>
    </row>
    <row r="3034" spans="2:5" x14ac:dyDescent="0.2">
      <c r="B3034" s="291"/>
      <c r="E3034" s="212"/>
    </row>
    <row r="3035" spans="2:5" x14ac:dyDescent="0.2">
      <c r="B3035" s="291"/>
      <c r="E3035" s="212"/>
    </row>
    <row r="3036" spans="2:5" x14ac:dyDescent="0.2">
      <c r="B3036" s="291"/>
      <c r="E3036" s="212"/>
    </row>
    <row r="3037" spans="2:5" x14ac:dyDescent="0.2">
      <c r="B3037" s="291"/>
      <c r="E3037" s="212"/>
    </row>
    <row r="3038" spans="2:5" x14ac:dyDescent="0.2">
      <c r="B3038" s="291"/>
      <c r="E3038" s="212"/>
    </row>
    <row r="3039" spans="2:5" x14ac:dyDescent="0.2">
      <c r="B3039" s="291"/>
      <c r="E3039" s="212"/>
    </row>
    <row r="3040" spans="2:5" x14ac:dyDescent="0.2">
      <c r="B3040" s="291"/>
      <c r="E3040" s="212"/>
    </row>
    <row r="3041" spans="2:5" x14ac:dyDescent="0.2">
      <c r="B3041" s="291"/>
      <c r="E3041" s="212"/>
    </row>
    <row r="3042" spans="2:5" x14ac:dyDescent="0.2">
      <c r="B3042" s="291"/>
      <c r="E3042" s="212"/>
    </row>
    <row r="3043" spans="2:5" x14ac:dyDescent="0.2">
      <c r="B3043" s="291"/>
      <c r="E3043" s="212"/>
    </row>
    <row r="3044" spans="2:5" x14ac:dyDescent="0.2">
      <c r="B3044" s="291"/>
      <c r="E3044" s="212"/>
    </row>
    <row r="3045" spans="2:5" x14ac:dyDescent="0.2">
      <c r="B3045" s="291"/>
      <c r="E3045" s="212"/>
    </row>
    <row r="3046" spans="2:5" x14ac:dyDescent="0.2">
      <c r="B3046" s="291"/>
      <c r="E3046" s="212"/>
    </row>
    <row r="3047" spans="2:5" x14ac:dyDescent="0.2">
      <c r="B3047" s="291"/>
      <c r="E3047" s="212"/>
    </row>
    <row r="3048" spans="2:5" x14ac:dyDescent="0.2">
      <c r="B3048" s="291"/>
      <c r="E3048" s="212"/>
    </row>
    <row r="3049" spans="2:5" x14ac:dyDescent="0.2">
      <c r="B3049" s="291"/>
      <c r="E3049" s="212"/>
    </row>
    <row r="3050" spans="2:5" x14ac:dyDescent="0.2">
      <c r="B3050" s="291"/>
      <c r="E3050" s="212"/>
    </row>
    <row r="3051" spans="2:5" x14ac:dyDescent="0.2">
      <c r="B3051" s="291"/>
      <c r="E3051" s="212"/>
    </row>
    <row r="3052" spans="2:5" x14ac:dyDescent="0.2">
      <c r="B3052" s="291"/>
      <c r="E3052" s="212"/>
    </row>
    <row r="3053" spans="2:5" x14ac:dyDescent="0.2">
      <c r="B3053" s="291"/>
      <c r="E3053" s="212"/>
    </row>
    <row r="3054" spans="2:5" x14ac:dyDescent="0.2">
      <c r="B3054" s="291"/>
      <c r="E3054" s="212"/>
    </row>
    <row r="3055" spans="2:5" x14ac:dyDescent="0.2">
      <c r="B3055" s="291"/>
      <c r="E3055" s="212"/>
    </row>
    <row r="3056" spans="2:5" x14ac:dyDescent="0.2">
      <c r="B3056" s="291"/>
      <c r="E3056" s="212"/>
    </row>
    <row r="3057" spans="2:5" x14ac:dyDescent="0.2">
      <c r="B3057" s="291"/>
      <c r="E3057" s="212"/>
    </row>
    <row r="3058" spans="2:5" x14ac:dyDescent="0.2">
      <c r="B3058" s="291"/>
      <c r="E3058" s="212"/>
    </row>
    <row r="3059" spans="2:5" x14ac:dyDescent="0.2">
      <c r="B3059" s="291"/>
      <c r="E3059" s="212"/>
    </row>
    <row r="3060" spans="2:5" x14ac:dyDescent="0.2">
      <c r="B3060" s="291"/>
      <c r="E3060" s="212"/>
    </row>
    <row r="3061" spans="2:5" x14ac:dyDescent="0.2">
      <c r="B3061" s="291"/>
      <c r="E3061" s="212"/>
    </row>
    <row r="3062" spans="2:5" x14ac:dyDescent="0.2">
      <c r="B3062" s="291"/>
      <c r="E3062" s="212"/>
    </row>
    <row r="3063" spans="2:5" x14ac:dyDescent="0.2">
      <c r="B3063" s="291"/>
      <c r="E3063" s="212"/>
    </row>
    <row r="3064" spans="2:5" x14ac:dyDescent="0.2">
      <c r="B3064" s="291"/>
      <c r="E3064" s="212"/>
    </row>
    <row r="3065" spans="2:5" x14ac:dyDescent="0.2">
      <c r="B3065" s="291"/>
      <c r="E3065" s="212"/>
    </row>
    <row r="3066" spans="2:5" x14ac:dyDescent="0.2">
      <c r="B3066" s="291"/>
      <c r="E3066" s="212"/>
    </row>
    <row r="3067" spans="2:5" x14ac:dyDescent="0.2">
      <c r="B3067" s="291"/>
      <c r="E3067" s="212"/>
    </row>
    <row r="3068" spans="2:5" x14ac:dyDescent="0.2">
      <c r="B3068" s="291"/>
      <c r="E3068" s="212"/>
    </row>
    <row r="3069" spans="2:5" x14ac:dyDescent="0.2">
      <c r="B3069" s="291"/>
      <c r="E3069" s="212"/>
    </row>
    <row r="3070" spans="2:5" x14ac:dyDescent="0.2">
      <c r="B3070" s="291"/>
      <c r="E3070" s="212"/>
    </row>
    <row r="3071" spans="2:5" x14ac:dyDescent="0.2">
      <c r="B3071" s="291"/>
      <c r="E3071" s="212"/>
    </row>
    <row r="3072" spans="2:5" x14ac:dyDescent="0.2">
      <c r="B3072" s="291"/>
      <c r="E3072" s="212"/>
    </row>
    <row r="3073" spans="2:5" x14ac:dyDescent="0.2">
      <c r="B3073" s="291"/>
      <c r="E3073" s="212"/>
    </row>
    <row r="3074" spans="2:5" x14ac:dyDescent="0.2">
      <c r="B3074" s="291"/>
      <c r="E3074" s="212"/>
    </row>
    <row r="3075" spans="2:5" x14ac:dyDescent="0.2">
      <c r="B3075" s="291"/>
      <c r="E3075" s="212"/>
    </row>
    <row r="3076" spans="2:5" x14ac:dyDescent="0.2">
      <c r="B3076" s="291"/>
      <c r="E3076" s="212"/>
    </row>
    <row r="3077" spans="2:5" x14ac:dyDescent="0.2">
      <c r="B3077" s="291"/>
      <c r="E3077" s="212"/>
    </row>
    <row r="3078" spans="2:5" x14ac:dyDescent="0.2">
      <c r="B3078" s="291"/>
      <c r="E3078" s="212"/>
    </row>
    <row r="3079" spans="2:5" x14ac:dyDescent="0.2">
      <c r="B3079" s="291"/>
      <c r="E3079" s="212"/>
    </row>
    <row r="3080" spans="2:5" x14ac:dyDescent="0.2">
      <c r="B3080" s="291"/>
      <c r="E3080" s="212"/>
    </row>
    <row r="3081" spans="2:5" x14ac:dyDescent="0.2">
      <c r="B3081" s="291"/>
      <c r="E3081" s="212"/>
    </row>
    <row r="3082" spans="2:5" x14ac:dyDescent="0.2">
      <c r="B3082" s="291"/>
      <c r="E3082" s="212"/>
    </row>
    <row r="3083" spans="2:5" x14ac:dyDescent="0.2">
      <c r="B3083" s="291"/>
      <c r="E3083" s="212"/>
    </row>
    <row r="3084" spans="2:5" x14ac:dyDescent="0.2">
      <c r="B3084" s="291"/>
      <c r="E3084" s="212"/>
    </row>
    <row r="3085" spans="2:5" x14ac:dyDescent="0.2">
      <c r="B3085" s="291"/>
      <c r="E3085" s="212"/>
    </row>
    <row r="3086" spans="2:5" x14ac:dyDescent="0.2">
      <c r="B3086" s="291"/>
      <c r="E3086" s="212"/>
    </row>
    <row r="3087" spans="2:5" x14ac:dyDescent="0.2">
      <c r="B3087" s="291"/>
      <c r="E3087" s="212"/>
    </row>
    <row r="3088" spans="2:5" x14ac:dyDescent="0.2">
      <c r="B3088" s="291"/>
      <c r="E3088" s="212"/>
    </row>
    <row r="3089" spans="2:5" x14ac:dyDescent="0.2">
      <c r="B3089" s="291"/>
      <c r="E3089" s="212"/>
    </row>
    <row r="3090" spans="2:5" x14ac:dyDescent="0.2">
      <c r="B3090" s="291"/>
      <c r="E3090" s="212"/>
    </row>
    <row r="3091" spans="2:5" x14ac:dyDescent="0.2">
      <c r="B3091" s="291"/>
      <c r="E3091" s="212"/>
    </row>
    <row r="3092" spans="2:5" x14ac:dyDescent="0.2">
      <c r="B3092" s="291"/>
      <c r="E3092" s="212"/>
    </row>
    <row r="3093" spans="2:5" x14ac:dyDescent="0.2">
      <c r="B3093" s="291"/>
      <c r="E3093" s="212"/>
    </row>
    <row r="3094" spans="2:5" x14ac:dyDescent="0.2">
      <c r="B3094" s="291"/>
      <c r="E3094" s="212"/>
    </row>
    <row r="3095" spans="2:5" x14ac:dyDescent="0.2">
      <c r="B3095" s="291"/>
      <c r="E3095" s="212"/>
    </row>
    <row r="3096" spans="2:5" x14ac:dyDescent="0.2">
      <c r="B3096" s="291"/>
      <c r="E3096" s="212"/>
    </row>
    <row r="3097" spans="2:5" x14ac:dyDescent="0.2">
      <c r="B3097" s="291"/>
      <c r="E3097" s="212"/>
    </row>
    <row r="3098" spans="2:5" x14ac:dyDescent="0.2">
      <c r="B3098" s="291"/>
      <c r="E3098" s="212"/>
    </row>
    <row r="3099" spans="2:5" x14ac:dyDescent="0.2">
      <c r="B3099" s="291"/>
      <c r="E3099" s="212"/>
    </row>
    <row r="3100" spans="2:5" x14ac:dyDescent="0.2">
      <c r="B3100" s="291"/>
      <c r="E3100" s="212"/>
    </row>
    <row r="3101" spans="2:5" x14ac:dyDescent="0.2">
      <c r="B3101" s="291"/>
      <c r="E3101" s="212"/>
    </row>
    <row r="3102" spans="2:5" x14ac:dyDescent="0.2">
      <c r="B3102" s="291"/>
      <c r="E3102" s="212"/>
    </row>
    <row r="3103" spans="2:5" x14ac:dyDescent="0.2">
      <c r="B3103" s="291"/>
      <c r="E3103" s="212"/>
    </row>
    <row r="3104" spans="2:5" x14ac:dyDescent="0.2">
      <c r="B3104" s="291"/>
      <c r="E3104" s="212"/>
    </row>
    <row r="3105" spans="2:5" x14ac:dyDescent="0.2">
      <c r="B3105" s="291"/>
      <c r="E3105" s="212"/>
    </row>
    <row r="3106" spans="2:5" x14ac:dyDescent="0.2">
      <c r="B3106" s="291"/>
      <c r="E3106" s="212"/>
    </row>
    <row r="3107" spans="2:5" x14ac:dyDescent="0.2">
      <c r="B3107" s="291"/>
      <c r="E3107" s="212"/>
    </row>
    <row r="3108" spans="2:5" x14ac:dyDescent="0.2">
      <c r="B3108" s="291"/>
      <c r="E3108" s="212"/>
    </row>
    <row r="3109" spans="2:5" x14ac:dyDescent="0.2">
      <c r="B3109" s="291"/>
      <c r="E3109" s="212"/>
    </row>
    <row r="3110" spans="2:5" x14ac:dyDescent="0.2">
      <c r="B3110" s="291"/>
      <c r="E3110" s="212"/>
    </row>
    <row r="3111" spans="2:5" x14ac:dyDescent="0.2">
      <c r="B3111" s="291"/>
      <c r="E3111" s="212"/>
    </row>
    <row r="3112" spans="2:5" x14ac:dyDescent="0.2">
      <c r="B3112" s="291"/>
      <c r="E3112" s="212"/>
    </row>
    <row r="3113" spans="2:5" x14ac:dyDescent="0.2">
      <c r="B3113" s="291"/>
      <c r="E3113" s="212"/>
    </row>
    <row r="3114" spans="2:5" x14ac:dyDescent="0.2">
      <c r="B3114" s="291"/>
      <c r="E3114" s="212"/>
    </row>
    <row r="3115" spans="2:5" x14ac:dyDescent="0.2">
      <c r="B3115" s="291"/>
      <c r="E3115" s="212"/>
    </row>
    <row r="3116" spans="2:5" x14ac:dyDescent="0.2">
      <c r="B3116" s="291"/>
      <c r="E3116" s="212"/>
    </row>
    <row r="3117" spans="2:5" x14ac:dyDescent="0.2">
      <c r="B3117" s="291"/>
      <c r="E3117" s="212"/>
    </row>
    <row r="3118" spans="2:5" x14ac:dyDescent="0.2">
      <c r="B3118" s="291"/>
      <c r="E3118" s="212"/>
    </row>
    <row r="3119" spans="2:5" x14ac:dyDescent="0.2">
      <c r="B3119" s="291"/>
      <c r="E3119" s="212"/>
    </row>
    <row r="3120" spans="2:5" x14ac:dyDescent="0.2">
      <c r="B3120" s="291"/>
      <c r="E3120" s="212"/>
    </row>
    <row r="3121" spans="2:5" x14ac:dyDescent="0.2">
      <c r="B3121" s="291"/>
      <c r="E3121" s="212"/>
    </row>
    <row r="3122" spans="2:5" x14ac:dyDescent="0.2">
      <c r="B3122" s="291"/>
      <c r="E3122" s="212"/>
    </row>
    <row r="3123" spans="2:5" x14ac:dyDescent="0.2">
      <c r="B3123" s="291"/>
      <c r="E3123" s="212"/>
    </row>
    <row r="3124" spans="2:5" x14ac:dyDescent="0.2">
      <c r="B3124" s="291"/>
      <c r="E3124" s="212"/>
    </row>
    <row r="3125" spans="2:5" x14ac:dyDescent="0.2">
      <c r="B3125" s="291"/>
      <c r="E3125" s="212"/>
    </row>
    <row r="3126" spans="2:5" x14ac:dyDescent="0.2">
      <c r="B3126" s="291"/>
      <c r="E3126" s="212"/>
    </row>
    <row r="3127" spans="2:5" x14ac:dyDescent="0.2">
      <c r="B3127" s="291"/>
      <c r="E3127" s="212"/>
    </row>
    <row r="3128" spans="2:5" x14ac:dyDescent="0.2">
      <c r="B3128" s="291"/>
      <c r="E3128" s="212"/>
    </row>
    <row r="3129" spans="2:5" x14ac:dyDescent="0.2">
      <c r="B3129" s="291"/>
      <c r="E3129" s="212"/>
    </row>
    <row r="3130" spans="2:5" x14ac:dyDescent="0.2">
      <c r="B3130" s="291"/>
      <c r="E3130" s="212"/>
    </row>
    <row r="3131" spans="2:5" x14ac:dyDescent="0.2">
      <c r="B3131" s="291"/>
      <c r="E3131" s="212"/>
    </row>
    <row r="3132" spans="2:5" x14ac:dyDescent="0.2">
      <c r="B3132" s="291"/>
      <c r="E3132" s="212"/>
    </row>
    <row r="3133" spans="2:5" x14ac:dyDescent="0.2">
      <c r="B3133" s="291"/>
      <c r="E3133" s="212"/>
    </row>
    <row r="3134" spans="2:5" x14ac:dyDescent="0.2">
      <c r="B3134" s="291"/>
      <c r="E3134" s="212"/>
    </row>
    <row r="3135" spans="2:5" x14ac:dyDescent="0.2">
      <c r="B3135" s="291"/>
      <c r="E3135" s="212"/>
    </row>
    <row r="3136" spans="2:5" x14ac:dyDescent="0.2">
      <c r="B3136" s="291"/>
      <c r="E3136" s="212"/>
    </row>
    <row r="3137" spans="2:5" x14ac:dyDescent="0.2">
      <c r="B3137" s="291"/>
      <c r="E3137" s="212"/>
    </row>
    <row r="3138" spans="2:5" x14ac:dyDescent="0.2">
      <c r="B3138" s="291"/>
      <c r="E3138" s="212"/>
    </row>
    <row r="3139" spans="2:5" x14ac:dyDescent="0.2">
      <c r="B3139" s="291"/>
      <c r="E3139" s="212"/>
    </row>
    <row r="3140" spans="2:5" x14ac:dyDescent="0.2">
      <c r="B3140" s="291"/>
      <c r="E3140" s="212"/>
    </row>
    <row r="3141" spans="2:5" x14ac:dyDescent="0.2">
      <c r="B3141" s="291"/>
      <c r="E3141" s="212"/>
    </row>
    <row r="3142" spans="2:5" x14ac:dyDescent="0.2">
      <c r="B3142" s="291"/>
      <c r="E3142" s="212"/>
    </row>
    <row r="3143" spans="2:5" x14ac:dyDescent="0.2">
      <c r="B3143" s="291"/>
      <c r="E3143" s="212"/>
    </row>
    <row r="3144" spans="2:5" x14ac:dyDescent="0.2">
      <c r="B3144" s="291"/>
      <c r="E3144" s="212"/>
    </row>
    <row r="3145" spans="2:5" x14ac:dyDescent="0.2">
      <c r="B3145" s="291"/>
      <c r="E3145" s="212"/>
    </row>
    <row r="3146" spans="2:5" x14ac:dyDescent="0.2">
      <c r="B3146" s="291"/>
      <c r="E3146" s="212"/>
    </row>
    <row r="3147" spans="2:5" x14ac:dyDescent="0.2">
      <c r="B3147" s="291"/>
      <c r="E3147" s="212"/>
    </row>
    <row r="3148" spans="2:5" x14ac:dyDescent="0.2">
      <c r="B3148" s="291"/>
      <c r="E3148" s="212"/>
    </row>
    <row r="3149" spans="2:5" x14ac:dyDescent="0.2">
      <c r="B3149" s="291"/>
      <c r="E3149" s="212"/>
    </row>
    <row r="3150" spans="2:5" x14ac:dyDescent="0.2">
      <c r="B3150" s="291"/>
      <c r="E3150" s="212"/>
    </row>
    <row r="3151" spans="2:5" x14ac:dyDescent="0.2">
      <c r="B3151" s="291"/>
      <c r="E3151" s="212"/>
    </row>
    <row r="3152" spans="2:5" x14ac:dyDescent="0.2">
      <c r="B3152" s="291"/>
      <c r="E3152" s="212"/>
    </row>
    <row r="3153" spans="2:5" x14ac:dyDescent="0.2">
      <c r="B3153" s="291"/>
      <c r="E3153" s="212"/>
    </row>
    <row r="3154" spans="2:5" x14ac:dyDescent="0.2">
      <c r="B3154" s="291"/>
      <c r="E3154" s="212"/>
    </row>
    <row r="3155" spans="2:5" x14ac:dyDescent="0.2">
      <c r="B3155" s="291"/>
      <c r="E3155" s="212"/>
    </row>
    <row r="3156" spans="2:5" x14ac:dyDescent="0.2">
      <c r="B3156" s="291"/>
      <c r="E3156" s="212"/>
    </row>
    <row r="3157" spans="2:5" x14ac:dyDescent="0.2">
      <c r="B3157" s="291"/>
      <c r="E3157" s="212"/>
    </row>
    <row r="3158" spans="2:5" x14ac:dyDescent="0.2">
      <c r="B3158" s="291"/>
      <c r="E3158" s="212"/>
    </row>
    <row r="3159" spans="2:5" x14ac:dyDescent="0.2">
      <c r="B3159" s="291"/>
      <c r="E3159" s="212"/>
    </row>
    <row r="3160" spans="2:5" x14ac:dyDescent="0.2">
      <c r="B3160" s="291"/>
      <c r="E3160" s="212"/>
    </row>
    <row r="3161" spans="2:5" x14ac:dyDescent="0.2">
      <c r="B3161" s="291"/>
      <c r="E3161" s="212"/>
    </row>
    <row r="3162" spans="2:5" x14ac:dyDescent="0.2">
      <c r="B3162" s="291"/>
      <c r="E3162" s="212"/>
    </row>
    <row r="3163" spans="2:5" x14ac:dyDescent="0.2">
      <c r="B3163" s="291"/>
      <c r="E3163" s="212"/>
    </row>
    <row r="3164" spans="2:5" x14ac:dyDescent="0.2">
      <c r="B3164" s="291"/>
      <c r="E3164" s="212"/>
    </row>
    <row r="3165" spans="2:5" x14ac:dyDescent="0.2">
      <c r="B3165" s="291"/>
      <c r="E3165" s="212"/>
    </row>
    <row r="3166" spans="2:5" x14ac:dyDescent="0.2">
      <c r="B3166" s="291"/>
      <c r="E3166" s="212"/>
    </row>
    <row r="3167" spans="2:5" x14ac:dyDescent="0.2">
      <c r="B3167" s="291"/>
      <c r="E3167" s="212"/>
    </row>
    <row r="3168" spans="2:5" x14ac:dyDescent="0.2">
      <c r="B3168" s="291"/>
      <c r="E3168" s="212"/>
    </row>
    <row r="3169" spans="2:5" x14ac:dyDescent="0.2">
      <c r="B3169" s="291"/>
      <c r="E3169" s="212"/>
    </row>
    <row r="3170" spans="2:5" x14ac:dyDescent="0.2">
      <c r="B3170" s="291"/>
      <c r="E3170" s="212"/>
    </row>
    <row r="3171" spans="2:5" x14ac:dyDescent="0.2">
      <c r="B3171" s="291"/>
      <c r="E3171" s="212"/>
    </row>
    <row r="3172" spans="2:5" x14ac:dyDescent="0.2">
      <c r="B3172" s="291"/>
      <c r="E3172" s="212"/>
    </row>
    <row r="3173" spans="2:5" x14ac:dyDescent="0.2">
      <c r="B3173" s="291"/>
      <c r="E3173" s="212"/>
    </row>
    <row r="3174" spans="2:5" x14ac:dyDescent="0.2">
      <c r="B3174" s="291"/>
      <c r="E3174" s="212"/>
    </row>
    <row r="3175" spans="2:5" x14ac:dyDescent="0.2">
      <c r="B3175" s="291"/>
      <c r="E3175" s="212"/>
    </row>
    <row r="3176" spans="2:5" x14ac:dyDescent="0.2">
      <c r="B3176" s="291"/>
      <c r="E3176" s="212"/>
    </row>
    <row r="3177" spans="2:5" x14ac:dyDescent="0.2">
      <c r="B3177" s="291"/>
      <c r="E3177" s="212"/>
    </row>
    <row r="3178" spans="2:5" x14ac:dyDescent="0.2">
      <c r="B3178" s="291"/>
      <c r="E3178" s="212"/>
    </row>
    <row r="3179" spans="2:5" x14ac:dyDescent="0.2">
      <c r="B3179" s="291"/>
      <c r="E3179" s="212"/>
    </row>
    <row r="3180" spans="2:5" x14ac:dyDescent="0.2">
      <c r="B3180" s="291"/>
      <c r="E3180" s="212"/>
    </row>
    <row r="3181" spans="2:5" x14ac:dyDescent="0.2">
      <c r="B3181" s="291"/>
      <c r="E3181" s="212"/>
    </row>
    <row r="3182" spans="2:5" x14ac:dyDescent="0.2">
      <c r="B3182" s="291"/>
      <c r="E3182" s="212"/>
    </row>
    <row r="3183" spans="2:5" x14ac:dyDescent="0.2">
      <c r="B3183" s="291"/>
      <c r="E3183" s="212"/>
    </row>
    <row r="3184" spans="2:5" x14ac:dyDescent="0.2">
      <c r="B3184" s="291"/>
      <c r="E3184" s="212"/>
    </row>
    <row r="3185" spans="2:5" x14ac:dyDescent="0.2">
      <c r="B3185" s="291"/>
      <c r="E3185" s="212"/>
    </row>
    <row r="3186" spans="2:5" x14ac:dyDescent="0.2">
      <c r="B3186" s="291"/>
      <c r="E3186" s="212"/>
    </row>
    <row r="3187" spans="2:5" x14ac:dyDescent="0.2">
      <c r="B3187" s="291"/>
      <c r="E3187" s="212"/>
    </row>
    <row r="3188" spans="2:5" x14ac:dyDescent="0.2">
      <c r="B3188" s="291"/>
      <c r="E3188" s="212"/>
    </row>
    <row r="3189" spans="2:5" x14ac:dyDescent="0.2">
      <c r="B3189" s="291"/>
      <c r="E3189" s="212"/>
    </row>
    <row r="3190" spans="2:5" x14ac:dyDescent="0.2">
      <c r="B3190" s="291"/>
      <c r="E3190" s="212"/>
    </row>
    <row r="3191" spans="2:5" x14ac:dyDescent="0.2">
      <c r="B3191" s="291"/>
      <c r="E3191" s="212"/>
    </row>
    <row r="3192" spans="2:5" x14ac:dyDescent="0.2">
      <c r="B3192" s="291"/>
      <c r="E3192" s="212"/>
    </row>
    <row r="3193" spans="2:5" x14ac:dyDescent="0.2">
      <c r="B3193" s="291"/>
      <c r="E3193" s="212"/>
    </row>
    <row r="3194" spans="2:5" x14ac:dyDescent="0.2">
      <c r="B3194" s="291"/>
      <c r="E3194" s="212"/>
    </row>
    <row r="3195" spans="2:5" x14ac:dyDescent="0.2">
      <c r="B3195" s="291"/>
      <c r="E3195" s="212"/>
    </row>
    <row r="3196" spans="2:5" x14ac:dyDescent="0.2">
      <c r="B3196" s="291"/>
      <c r="E3196" s="212"/>
    </row>
    <row r="3197" spans="2:5" x14ac:dyDescent="0.2">
      <c r="B3197" s="291"/>
      <c r="E3197" s="212"/>
    </row>
    <row r="3198" spans="2:5" x14ac:dyDescent="0.2">
      <c r="B3198" s="291"/>
      <c r="E3198" s="212"/>
    </row>
    <row r="3199" spans="2:5" x14ac:dyDescent="0.2">
      <c r="B3199" s="291"/>
      <c r="E3199" s="212"/>
    </row>
    <row r="3200" spans="2:5" x14ac:dyDescent="0.2">
      <c r="B3200" s="291"/>
      <c r="E3200" s="212"/>
    </row>
    <row r="3201" spans="2:5" x14ac:dyDescent="0.2">
      <c r="B3201" s="291"/>
      <c r="E3201" s="212"/>
    </row>
    <row r="3202" spans="2:5" x14ac:dyDescent="0.2">
      <c r="B3202" s="291"/>
      <c r="E3202" s="212"/>
    </row>
    <row r="3203" spans="2:5" x14ac:dyDescent="0.2">
      <c r="B3203" s="291"/>
      <c r="E3203" s="212"/>
    </row>
    <row r="3204" spans="2:5" x14ac:dyDescent="0.2">
      <c r="B3204" s="291"/>
      <c r="E3204" s="212"/>
    </row>
    <row r="3205" spans="2:5" x14ac:dyDescent="0.2">
      <c r="B3205" s="291"/>
      <c r="E3205" s="212"/>
    </row>
    <row r="3206" spans="2:5" x14ac:dyDescent="0.2">
      <c r="B3206" s="291"/>
      <c r="E3206" s="212"/>
    </row>
    <row r="3207" spans="2:5" x14ac:dyDescent="0.2">
      <c r="B3207" s="291"/>
      <c r="E3207" s="212"/>
    </row>
    <row r="3208" spans="2:5" x14ac:dyDescent="0.2">
      <c r="B3208" s="291"/>
      <c r="E3208" s="212"/>
    </row>
    <row r="3209" spans="2:5" x14ac:dyDescent="0.2">
      <c r="B3209" s="291"/>
      <c r="E3209" s="212"/>
    </row>
    <row r="3210" spans="2:5" x14ac:dyDescent="0.2">
      <c r="B3210" s="291"/>
      <c r="E3210" s="212"/>
    </row>
    <row r="3211" spans="2:5" x14ac:dyDescent="0.2">
      <c r="B3211" s="291"/>
      <c r="E3211" s="212"/>
    </row>
    <row r="3212" spans="2:5" x14ac:dyDescent="0.2">
      <c r="B3212" s="291"/>
      <c r="E3212" s="212"/>
    </row>
    <row r="3213" spans="2:5" x14ac:dyDescent="0.2">
      <c r="B3213" s="291"/>
      <c r="E3213" s="212"/>
    </row>
    <row r="3214" spans="2:5" x14ac:dyDescent="0.2">
      <c r="B3214" s="291"/>
      <c r="E3214" s="212"/>
    </row>
    <row r="3215" spans="2:5" x14ac:dyDescent="0.2">
      <c r="B3215" s="291"/>
      <c r="E3215" s="212"/>
    </row>
    <row r="3216" spans="2:5" x14ac:dyDescent="0.2">
      <c r="B3216" s="291"/>
      <c r="E3216" s="212"/>
    </row>
    <row r="3217" spans="2:5" x14ac:dyDescent="0.2">
      <c r="B3217" s="291"/>
      <c r="E3217" s="212"/>
    </row>
    <row r="3218" spans="2:5" x14ac:dyDescent="0.2">
      <c r="B3218" s="291"/>
      <c r="E3218" s="212"/>
    </row>
    <row r="3219" spans="2:5" x14ac:dyDescent="0.2">
      <c r="B3219" s="291"/>
      <c r="E3219" s="212"/>
    </row>
    <row r="3220" spans="2:5" x14ac:dyDescent="0.2">
      <c r="B3220" s="291"/>
      <c r="E3220" s="212"/>
    </row>
    <row r="3221" spans="2:5" x14ac:dyDescent="0.2">
      <c r="B3221" s="291"/>
      <c r="E3221" s="212"/>
    </row>
    <row r="3222" spans="2:5" x14ac:dyDescent="0.2">
      <c r="B3222" s="291"/>
      <c r="E3222" s="212"/>
    </row>
    <row r="3223" spans="2:5" x14ac:dyDescent="0.2">
      <c r="B3223" s="291"/>
      <c r="E3223" s="212"/>
    </row>
    <row r="3224" spans="2:5" x14ac:dyDescent="0.2">
      <c r="B3224" s="291"/>
      <c r="E3224" s="212"/>
    </row>
    <row r="3225" spans="2:5" x14ac:dyDescent="0.2">
      <c r="B3225" s="291"/>
      <c r="E3225" s="212"/>
    </row>
    <row r="3226" spans="2:5" x14ac:dyDescent="0.2">
      <c r="B3226" s="291"/>
      <c r="E3226" s="212"/>
    </row>
    <row r="3227" spans="2:5" x14ac:dyDescent="0.2">
      <c r="B3227" s="291"/>
      <c r="E3227" s="212"/>
    </row>
    <row r="3228" spans="2:5" x14ac:dyDescent="0.2">
      <c r="B3228" s="291"/>
      <c r="E3228" s="212"/>
    </row>
    <row r="3229" spans="2:5" x14ac:dyDescent="0.2">
      <c r="B3229" s="291"/>
      <c r="E3229" s="212"/>
    </row>
    <row r="3230" spans="2:5" x14ac:dyDescent="0.2">
      <c r="B3230" s="291"/>
      <c r="E3230" s="212"/>
    </row>
    <row r="3231" spans="2:5" x14ac:dyDescent="0.2">
      <c r="B3231" s="291"/>
      <c r="E3231" s="212"/>
    </row>
    <row r="3232" spans="2:5" x14ac:dyDescent="0.2">
      <c r="B3232" s="291"/>
      <c r="E3232" s="212"/>
    </row>
    <row r="3233" spans="2:5" x14ac:dyDescent="0.2">
      <c r="B3233" s="291"/>
      <c r="E3233" s="212"/>
    </row>
    <row r="3234" spans="2:5" x14ac:dyDescent="0.2">
      <c r="B3234" s="291"/>
      <c r="E3234" s="212"/>
    </row>
    <row r="3235" spans="2:5" x14ac:dyDescent="0.2">
      <c r="B3235" s="291"/>
      <c r="E3235" s="212"/>
    </row>
    <row r="3236" spans="2:5" x14ac:dyDescent="0.2">
      <c r="B3236" s="291"/>
      <c r="E3236" s="212"/>
    </row>
    <row r="3237" spans="2:5" x14ac:dyDescent="0.2">
      <c r="B3237" s="291"/>
      <c r="E3237" s="212"/>
    </row>
    <row r="3238" spans="2:5" x14ac:dyDescent="0.2">
      <c r="B3238" s="291"/>
      <c r="E3238" s="212"/>
    </row>
    <row r="3239" spans="2:5" x14ac:dyDescent="0.2">
      <c r="B3239" s="291"/>
      <c r="E3239" s="212"/>
    </row>
    <row r="3240" spans="2:5" x14ac:dyDescent="0.2">
      <c r="B3240" s="291"/>
      <c r="E3240" s="212"/>
    </row>
    <row r="3241" spans="2:5" x14ac:dyDescent="0.2">
      <c r="B3241" s="291"/>
      <c r="E3241" s="212"/>
    </row>
    <row r="3242" spans="2:5" x14ac:dyDescent="0.2">
      <c r="B3242" s="291"/>
      <c r="E3242" s="212"/>
    </row>
    <row r="3243" spans="2:5" x14ac:dyDescent="0.2">
      <c r="B3243" s="291"/>
      <c r="E3243" s="212"/>
    </row>
    <row r="3244" spans="2:5" x14ac:dyDescent="0.2">
      <c r="B3244" s="291"/>
      <c r="E3244" s="212"/>
    </row>
    <row r="3245" spans="2:5" x14ac:dyDescent="0.2">
      <c r="B3245" s="291"/>
      <c r="E3245" s="212"/>
    </row>
    <row r="3246" spans="2:5" x14ac:dyDescent="0.2">
      <c r="B3246" s="291"/>
      <c r="E3246" s="212"/>
    </row>
    <row r="3247" spans="2:5" x14ac:dyDescent="0.2">
      <c r="B3247" s="291"/>
      <c r="E3247" s="212"/>
    </row>
    <row r="3248" spans="2:5" x14ac:dyDescent="0.2">
      <c r="B3248" s="291"/>
      <c r="E3248" s="212"/>
    </row>
    <row r="3249" spans="2:5" x14ac:dyDescent="0.2">
      <c r="B3249" s="291"/>
      <c r="E3249" s="212"/>
    </row>
    <row r="3250" spans="2:5" x14ac:dyDescent="0.2">
      <c r="B3250" s="291"/>
      <c r="E3250" s="212"/>
    </row>
    <row r="3251" spans="2:5" x14ac:dyDescent="0.2">
      <c r="B3251" s="291"/>
      <c r="E3251" s="212"/>
    </row>
    <row r="3252" spans="2:5" x14ac:dyDescent="0.2">
      <c r="B3252" s="291"/>
      <c r="E3252" s="212"/>
    </row>
    <row r="3253" spans="2:5" x14ac:dyDescent="0.2">
      <c r="B3253" s="291"/>
      <c r="E3253" s="212"/>
    </row>
    <row r="3254" spans="2:5" x14ac:dyDescent="0.2">
      <c r="B3254" s="291"/>
      <c r="E3254" s="212"/>
    </row>
    <row r="3255" spans="2:5" x14ac:dyDescent="0.2">
      <c r="B3255" s="291"/>
      <c r="E3255" s="212"/>
    </row>
    <row r="3256" spans="2:5" x14ac:dyDescent="0.2">
      <c r="B3256" s="291"/>
      <c r="E3256" s="212"/>
    </row>
    <row r="3257" spans="2:5" x14ac:dyDescent="0.2">
      <c r="B3257" s="291"/>
      <c r="E3257" s="212"/>
    </row>
    <row r="3258" spans="2:5" x14ac:dyDescent="0.2">
      <c r="B3258" s="291"/>
      <c r="E3258" s="212"/>
    </row>
    <row r="3259" spans="2:5" x14ac:dyDescent="0.2">
      <c r="B3259" s="291"/>
      <c r="E3259" s="212"/>
    </row>
    <row r="3260" spans="2:5" x14ac:dyDescent="0.2">
      <c r="B3260" s="291"/>
      <c r="E3260" s="212"/>
    </row>
    <row r="3261" spans="2:5" x14ac:dyDescent="0.2">
      <c r="B3261" s="291"/>
      <c r="E3261" s="212"/>
    </row>
    <row r="3262" spans="2:5" x14ac:dyDescent="0.2">
      <c r="B3262" s="291"/>
      <c r="E3262" s="212"/>
    </row>
    <row r="3263" spans="2:5" x14ac:dyDescent="0.2">
      <c r="B3263" s="291"/>
      <c r="E3263" s="212"/>
    </row>
    <row r="3264" spans="2:5" x14ac:dyDescent="0.2">
      <c r="B3264" s="291"/>
      <c r="E3264" s="212"/>
    </row>
    <row r="3265" spans="2:5" x14ac:dyDescent="0.2">
      <c r="B3265" s="291"/>
      <c r="E3265" s="212"/>
    </row>
    <row r="3266" spans="2:5" x14ac:dyDescent="0.2">
      <c r="B3266" s="291"/>
      <c r="E3266" s="212"/>
    </row>
    <row r="3267" spans="2:5" x14ac:dyDescent="0.2">
      <c r="B3267" s="291"/>
      <c r="E3267" s="212"/>
    </row>
    <row r="3268" spans="2:5" x14ac:dyDescent="0.2">
      <c r="B3268" s="291"/>
      <c r="E3268" s="212"/>
    </row>
    <row r="3269" spans="2:5" x14ac:dyDescent="0.2">
      <c r="B3269" s="291"/>
      <c r="E3269" s="212"/>
    </row>
    <row r="3270" spans="2:5" x14ac:dyDescent="0.2">
      <c r="B3270" s="291"/>
      <c r="E3270" s="212"/>
    </row>
    <row r="3271" spans="2:5" x14ac:dyDescent="0.2">
      <c r="B3271" s="291"/>
      <c r="E3271" s="212"/>
    </row>
    <row r="3272" spans="2:5" x14ac:dyDescent="0.2">
      <c r="B3272" s="291"/>
      <c r="E3272" s="212"/>
    </row>
    <row r="3273" spans="2:5" x14ac:dyDescent="0.2">
      <c r="B3273" s="291"/>
      <c r="E3273" s="212"/>
    </row>
    <row r="3274" spans="2:5" x14ac:dyDescent="0.2">
      <c r="B3274" s="291"/>
      <c r="E3274" s="212"/>
    </row>
    <row r="3275" spans="2:5" x14ac:dyDescent="0.2">
      <c r="B3275" s="291"/>
      <c r="E3275" s="212"/>
    </row>
    <row r="3276" spans="2:5" x14ac:dyDescent="0.2">
      <c r="B3276" s="291"/>
      <c r="E3276" s="212"/>
    </row>
    <row r="3277" spans="2:5" x14ac:dyDescent="0.2">
      <c r="B3277" s="291"/>
      <c r="E3277" s="212"/>
    </row>
    <row r="3278" spans="2:5" x14ac:dyDescent="0.2">
      <c r="B3278" s="291"/>
      <c r="E3278" s="212"/>
    </row>
    <row r="3279" spans="2:5" x14ac:dyDescent="0.2">
      <c r="B3279" s="291"/>
      <c r="E3279" s="212"/>
    </row>
    <row r="3280" spans="2:5" x14ac:dyDescent="0.2">
      <c r="B3280" s="291"/>
      <c r="E3280" s="212"/>
    </row>
    <row r="3281" spans="2:5" x14ac:dyDescent="0.2">
      <c r="B3281" s="291"/>
      <c r="E3281" s="212"/>
    </row>
    <row r="3282" spans="2:5" x14ac:dyDescent="0.2">
      <c r="B3282" s="291"/>
      <c r="E3282" s="212"/>
    </row>
    <row r="3283" spans="2:5" x14ac:dyDescent="0.2">
      <c r="B3283" s="291"/>
      <c r="E3283" s="212"/>
    </row>
    <row r="3284" spans="2:5" x14ac:dyDescent="0.2">
      <c r="B3284" s="291"/>
      <c r="E3284" s="212"/>
    </row>
    <row r="3285" spans="2:5" x14ac:dyDescent="0.2">
      <c r="B3285" s="291"/>
      <c r="E3285" s="212"/>
    </row>
    <row r="3286" spans="2:5" x14ac:dyDescent="0.2">
      <c r="B3286" s="291"/>
      <c r="E3286" s="212"/>
    </row>
    <row r="3287" spans="2:5" x14ac:dyDescent="0.2">
      <c r="B3287" s="291"/>
      <c r="E3287" s="212"/>
    </row>
    <row r="3288" spans="2:5" x14ac:dyDescent="0.2">
      <c r="B3288" s="291"/>
      <c r="E3288" s="212"/>
    </row>
    <row r="3289" spans="2:5" x14ac:dyDescent="0.2">
      <c r="B3289" s="291"/>
      <c r="E3289" s="212"/>
    </row>
    <row r="3290" spans="2:5" x14ac:dyDescent="0.2">
      <c r="B3290" s="291"/>
      <c r="E3290" s="212"/>
    </row>
    <row r="3291" spans="2:5" x14ac:dyDescent="0.2">
      <c r="B3291" s="291"/>
      <c r="E3291" s="212"/>
    </row>
    <row r="3292" spans="2:5" x14ac:dyDescent="0.2">
      <c r="B3292" s="291"/>
      <c r="E3292" s="212"/>
    </row>
    <row r="3293" spans="2:5" x14ac:dyDescent="0.2">
      <c r="B3293" s="291"/>
      <c r="E3293" s="212"/>
    </row>
    <row r="3294" spans="2:5" x14ac:dyDescent="0.2">
      <c r="B3294" s="291"/>
      <c r="E3294" s="212"/>
    </row>
    <row r="3295" spans="2:5" x14ac:dyDescent="0.2">
      <c r="B3295" s="291"/>
      <c r="E3295" s="212"/>
    </row>
    <row r="3296" spans="2:5" x14ac:dyDescent="0.2">
      <c r="B3296" s="291"/>
      <c r="E3296" s="212"/>
    </row>
    <row r="3297" spans="2:5" x14ac:dyDescent="0.2">
      <c r="B3297" s="291"/>
      <c r="E3297" s="212"/>
    </row>
    <row r="3298" spans="2:5" x14ac:dyDescent="0.2">
      <c r="B3298" s="291"/>
      <c r="E3298" s="212"/>
    </row>
    <row r="3299" spans="2:5" x14ac:dyDescent="0.2">
      <c r="B3299" s="291"/>
      <c r="E3299" s="212"/>
    </row>
    <row r="3300" spans="2:5" x14ac:dyDescent="0.2">
      <c r="B3300" s="291"/>
      <c r="E3300" s="212"/>
    </row>
    <row r="3301" spans="2:5" x14ac:dyDescent="0.2">
      <c r="B3301" s="291"/>
      <c r="E3301" s="212"/>
    </row>
    <row r="3302" spans="2:5" x14ac:dyDescent="0.2">
      <c r="B3302" s="291"/>
      <c r="E3302" s="212"/>
    </row>
    <row r="3303" spans="2:5" x14ac:dyDescent="0.2">
      <c r="B3303" s="291"/>
      <c r="E3303" s="212"/>
    </row>
    <row r="3304" spans="2:5" x14ac:dyDescent="0.2">
      <c r="B3304" s="291"/>
      <c r="E3304" s="212"/>
    </row>
    <row r="3305" spans="2:5" x14ac:dyDescent="0.2">
      <c r="B3305" s="291"/>
      <c r="E3305" s="212"/>
    </row>
    <row r="3306" spans="2:5" x14ac:dyDescent="0.2">
      <c r="B3306" s="291"/>
      <c r="E3306" s="212"/>
    </row>
    <row r="3307" spans="2:5" x14ac:dyDescent="0.2">
      <c r="B3307" s="291"/>
      <c r="E3307" s="212"/>
    </row>
    <row r="3308" spans="2:5" x14ac:dyDescent="0.2">
      <c r="B3308" s="291"/>
      <c r="E3308" s="212"/>
    </row>
    <row r="3309" spans="2:5" x14ac:dyDescent="0.2">
      <c r="B3309" s="291"/>
      <c r="E3309" s="212"/>
    </row>
    <row r="3310" spans="2:5" x14ac:dyDescent="0.2">
      <c r="B3310" s="291"/>
      <c r="E3310" s="212"/>
    </row>
    <row r="3311" spans="2:5" x14ac:dyDescent="0.2">
      <c r="B3311" s="291"/>
      <c r="E3311" s="212"/>
    </row>
    <row r="3312" spans="2:5" x14ac:dyDescent="0.2">
      <c r="B3312" s="291"/>
      <c r="E3312" s="212"/>
    </row>
    <row r="3313" spans="2:5" x14ac:dyDescent="0.2">
      <c r="B3313" s="291"/>
      <c r="E3313" s="212"/>
    </row>
    <row r="3314" spans="2:5" x14ac:dyDescent="0.2">
      <c r="B3314" s="291"/>
      <c r="E3314" s="212"/>
    </row>
    <row r="3315" spans="2:5" x14ac:dyDescent="0.2">
      <c r="B3315" s="291"/>
      <c r="E3315" s="212"/>
    </row>
    <row r="3316" spans="2:5" x14ac:dyDescent="0.2">
      <c r="B3316" s="291"/>
      <c r="E3316" s="212"/>
    </row>
    <row r="3317" spans="2:5" x14ac:dyDescent="0.2">
      <c r="B3317" s="291"/>
      <c r="E3317" s="212"/>
    </row>
    <row r="3318" spans="2:5" x14ac:dyDescent="0.2">
      <c r="B3318" s="291"/>
      <c r="E3318" s="212"/>
    </row>
    <row r="3319" spans="2:5" x14ac:dyDescent="0.2">
      <c r="B3319" s="291"/>
      <c r="E3319" s="212"/>
    </row>
    <row r="3320" spans="2:5" x14ac:dyDescent="0.2">
      <c r="B3320" s="291"/>
      <c r="E3320" s="212"/>
    </row>
    <row r="3321" spans="2:5" x14ac:dyDescent="0.2">
      <c r="B3321" s="291"/>
      <c r="E3321" s="212"/>
    </row>
    <row r="3322" spans="2:5" x14ac:dyDescent="0.2">
      <c r="B3322" s="291"/>
      <c r="E3322" s="212"/>
    </row>
    <row r="3323" spans="2:5" x14ac:dyDescent="0.2">
      <c r="B3323" s="291"/>
      <c r="E3323" s="212"/>
    </row>
    <row r="3324" spans="2:5" x14ac:dyDescent="0.2">
      <c r="B3324" s="291"/>
      <c r="E3324" s="212"/>
    </row>
    <row r="3325" spans="2:5" x14ac:dyDescent="0.2">
      <c r="B3325" s="291"/>
      <c r="E3325" s="212"/>
    </row>
    <row r="3326" spans="2:5" x14ac:dyDescent="0.2">
      <c r="B3326" s="291"/>
      <c r="E3326" s="212"/>
    </row>
    <row r="3327" spans="2:5" x14ac:dyDescent="0.2">
      <c r="B3327" s="291"/>
      <c r="E3327" s="212"/>
    </row>
    <row r="3328" spans="2:5" x14ac:dyDescent="0.2">
      <c r="B3328" s="291"/>
      <c r="E3328" s="212"/>
    </row>
    <row r="3329" spans="2:5" x14ac:dyDescent="0.2">
      <c r="B3329" s="291"/>
      <c r="E3329" s="212"/>
    </row>
    <row r="3330" spans="2:5" x14ac:dyDescent="0.2">
      <c r="B3330" s="291"/>
      <c r="E3330" s="212"/>
    </row>
    <row r="3331" spans="2:5" x14ac:dyDescent="0.2">
      <c r="B3331" s="291"/>
      <c r="E3331" s="212"/>
    </row>
    <row r="3332" spans="2:5" x14ac:dyDescent="0.2">
      <c r="B3332" s="291"/>
      <c r="E3332" s="212"/>
    </row>
    <row r="3333" spans="2:5" x14ac:dyDescent="0.2">
      <c r="B3333" s="291"/>
      <c r="E3333" s="212"/>
    </row>
    <row r="3334" spans="2:5" x14ac:dyDescent="0.2">
      <c r="B3334" s="291"/>
      <c r="E3334" s="212"/>
    </row>
    <row r="3335" spans="2:5" x14ac:dyDescent="0.2">
      <c r="B3335" s="291"/>
      <c r="E3335" s="212"/>
    </row>
    <row r="3336" spans="2:5" x14ac:dyDescent="0.2">
      <c r="B3336" s="291"/>
      <c r="E3336" s="212"/>
    </row>
    <row r="3337" spans="2:5" x14ac:dyDescent="0.2">
      <c r="B3337" s="291"/>
      <c r="E3337" s="212"/>
    </row>
    <row r="3338" spans="2:5" x14ac:dyDescent="0.2">
      <c r="B3338" s="291"/>
      <c r="E3338" s="212"/>
    </row>
    <row r="3339" spans="2:5" x14ac:dyDescent="0.2">
      <c r="B3339" s="291"/>
      <c r="E3339" s="212"/>
    </row>
    <row r="3340" spans="2:5" x14ac:dyDescent="0.2">
      <c r="B3340" s="291"/>
      <c r="E3340" s="212"/>
    </row>
    <row r="3341" spans="2:5" x14ac:dyDescent="0.2">
      <c r="B3341" s="291"/>
      <c r="E3341" s="212"/>
    </row>
    <row r="3342" spans="2:5" x14ac:dyDescent="0.2">
      <c r="B3342" s="291"/>
      <c r="E3342" s="212"/>
    </row>
    <row r="3343" spans="2:5" x14ac:dyDescent="0.2">
      <c r="B3343" s="291"/>
      <c r="E3343" s="212"/>
    </row>
    <row r="3344" spans="2:5" x14ac:dyDescent="0.2">
      <c r="B3344" s="291"/>
      <c r="E3344" s="212"/>
    </row>
    <row r="3345" spans="2:5" x14ac:dyDescent="0.2">
      <c r="B3345" s="291"/>
      <c r="E3345" s="212"/>
    </row>
    <row r="3346" spans="2:5" x14ac:dyDescent="0.2">
      <c r="B3346" s="291"/>
      <c r="E3346" s="212"/>
    </row>
    <row r="3347" spans="2:5" x14ac:dyDescent="0.2">
      <c r="B3347" s="291"/>
      <c r="E3347" s="212"/>
    </row>
    <row r="3348" spans="2:5" x14ac:dyDescent="0.2">
      <c r="B3348" s="291"/>
      <c r="E3348" s="212"/>
    </row>
    <row r="3349" spans="2:5" x14ac:dyDescent="0.2">
      <c r="B3349" s="291"/>
      <c r="E3349" s="212"/>
    </row>
    <row r="3350" spans="2:5" x14ac:dyDescent="0.2">
      <c r="B3350" s="291"/>
      <c r="E3350" s="212"/>
    </row>
    <row r="3351" spans="2:5" x14ac:dyDescent="0.2">
      <c r="B3351" s="291"/>
      <c r="E3351" s="212"/>
    </row>
    <row r="3352" spans="2:5" x14ac:dyDescent="0.2">
      <c r="B3352" s="291"/>
      <c r="E3352" s="212"/>
    </row>
    <row r="3353" spans="2:5" x14ac:dyDescent="0.2">
      <c r="B3353" s="291"/>
      <c r="E3353" s="212"/>
    </row>
    <row r="3354" spans="2:5" x14ac:dyDescent="0.2">
      <c r="B3354" s="291"/>
      <c r="E3354" s="212"/>
    </row>
    <row r="3355" spans="2:5" x14ac:dyDescent="0.2">
      <c r="B3355" s="291"/>
      <c r="E3355" s="212"/>
    </row>
    <row r="3356" spans="2:5" x14ac:dyDescent="0.2">
      <c r="B3356" s="291"/>
      <c r="E3356" s="212"/>
    </row>
    <row r="3357" spans="2:5" x14ac:dyDescent="0.2">
      <c r="B3357" s="291"/>
      <c r="E3357" s="212"/>
    </row>
    <row r="3358" spans="2:5" x14ac:dyDescent="0.2">
      <c r="B3358" s="291"/>
      <c r="E3358" s="212"/>
    </row>
    <row r="3359" spans="2:5" x14ac:dyDescent="0.2">
      <c r="B3359" s="291"/>
      <c r="E3359" s="212"/>
    </row>
    <row r="3360" spans="2:5" x14ac:dyDescent="0.2">
      <c r="B3360" s="291"/>
      <c r="E3360" s="212"/>
    </row>
    <row r="3361" spans="2:5" x14ac:dyDescent="0.2">
      <c r="B3361" s="291"/>
      <c r="E3361" s="212"/>
    </row>
    <row r="3362" spans="2:5" x14ac:dyDescent="0.2">
      <c r="B3362" s="291"/>
      <c r="E3362" s="212"/>
    </row>
    <row r="3363" spans="2:5" x14ac:dyDescent="0.2">
      <c r="B3363" s="291"/>
      <c r="E3363" s="212"/>
    </row>
    <row r="3364" spans="2:5" x14ac:dyDescent="0.2">
      <c r="B3364" s="291"/>
      <c r="E3364" s="212"/>
    </row>
    <row r="3365" spans="2:5" x14ac:dyDescent="0.2">
      <c r="B3365" s="291"/>
      <c r="E3365" s="212"/>
    </row>
    <row r="3366" spans="2:5" x14ac:dyDescent="0.2">
      <c r="B3366" s="291"/>
      <c r="E3366" s="212"/>
    </row>
    <row r="3367" spans="2:5" x14ac:dyDescent="0.2">
      <c r="B3367" s="291"/>
      <c r="E3367" s="212"/>
    </row>
    <row r="3368" spans="2:5" x14ac:dyDescent="0.2">
      <c r="B3368" s="291"/>
      <c r="E3368" s="212"/>
    </row>
    <row r="3369" spans="2:5" x14ac:dyDescent="0.2">
      <c r="B3369" s="291"/>
      <c r="E3369" s="212"/>
    </row>
    <row r="3370" spans="2:5" x14ac:dyDescent="0.2">
      <c r="B3370" s="291"/>
      <c r="E3370" s="212"/>
    </row>
    <row r="3371" spans="2:5" x14ac:dyDescent="0.2">
      <c r="B3371" s="291"/>
      <c r="E3371" s="212"/>
    </row>
    <row r="3372" spans="2:5" x14ac:dyDescent="0.2">
      <c r="B3372" s="291"/>
      <c r="E3372" s="212"/>
    </row>
    <row r="3373" spans="2:5" x14ac:dyDescent="0.2">
      <c r="B3373" s="291"/>
      <c r="E3373" s="212"/>
    </row>
    <row r="3374" spans="2:5" x14ac:dyDescent="0.2">
      <c r="B3374" s="291"/>
      <c r="E3374" s="212"/>
    </row>
    <row r="3375" spans="2:5" x14ac:dyDescent="0.2">
      <c r="B3375" s="291"/>
      <c r="E3375" s="212"/>
    </row>
    <row r="3376" spans="2:5" x14ac:dyDescent="0.2">
      <c r="B3376" s="291"/>
      <c r="E3376" s="212"/>
    </row>
    <row r="3377" spans="2:5" x14ac:dyDescent="0.2">
      <c r="B3377" s="291"/>
      <c r="E3377" s="212"/>
    </row>
    <row r="3378" spans="2:5" x14ac:dyDescent="0.2">
      <c r="B3378" s="291"/>
      <c r="E3378" s="212"/>
    </row>
    <row r="3379" spans="2:5" x14ac:dyDescent="0.2">
      <c r="B3379" s="291"/>
      <c r="E3379" s="212"/>
    </row>
    <row r="3380" spans="2:5" x14ac:dyDescent="0.2">
      <c r="B3380" s="291"/>
      <c r="E3380" s="212"/>
    </row>
    <row r="3381" spans="2:5" x14ac:dyDescent="0.2">
      <c r="B3381" s="291"/>
      <c r="E3381" s="212"/>
    </row>
    <row r="3382" spans="2:5" x14ac:dyDescent="0.2">
      <c r="B3382" s="291"/>
      <c r="E3382" s="212"/>
    </row>
    <row r="3383" spans="2:5" x14ac:dyDescent="0.2">
      <c r="B3383" s="291"/>
      <c r="E3383" s="212"/>
    </row>
    <row r="3384" spans="2:5" x14ac:dyDescent="0.2">
      <c r="B3384" s="291"/>
      <c r="E3384" s="212"/>
    </row>
    <row r="3385" spans="2:5" x14ac:dyDescent="0.2">
      <c r="B3385" s="291"/>
      <c r="E3385" s="212"/>
    </row>
    <row r="3386" spans="2:5" x14ac:dyDescent="0.2">
      <c r="B3386" s="291"/>
      <c r="E3386" s="212"/>
    </row>
    <row r="3387" spans="2:5" x14ac:dyDescent="0.2">
      <c r="B3387" s="291"/>
      <c r="E3387" s="212"/>
    </row>
    <row r="3388" spans="2:5" x14ac:dyDescent="0.2">
      <c r="B3388" s="291"/>
      <c r="E3388" s="212"/>
    </row>
    <row r="3389" spans="2:5" x14ac:dyDescent="0.2">
      <c r="B3389" s="291"/>
      <c r="E3389" s="212"/>
    </row>
    <row r="3390" spans="2:5" x14ac:dyDescent="0.2">
      <c r="B3390" s="291"/>
      <c r="E3390" s="212"/>
    </row>
    <row r="3391" spans="2:5" x14ac:dyDescent="0.2">
      <c r="B3391" s="291"/>
      <c r="E3391" s="212"/>
    </row>
    <row r="3392" spans="2:5" x14ac:dyDescent="0.2">
      <c r="B3392" s="291"/>
      <c r="E3392" s="212"/>
    </row>
    <row r="3393" spans="2:5" x14ac:dyDescent="0.2">
      <c r="B3393" s="291"/>
      <c r="E3393" s="212"/>
    </row>
    <row r="3394" spans="2:5" x14ac:dyDescent="0.2">
      <c r="B3394" s="291"/>
      <c r="E3394" s="212"/>
    </row>
    <row r="3395" spans="2:5" x14ac:dyDescent="0.2">
      <c r="B3395" s="291"/>
      <c r="E3395" s="212"/>
    </row>
    <row r="3396" spans="2:5" x14ac:dyDescent="0.2">
      <c r="B3396" s="291"/>
      <c r="E3396" s="212"/>
    </row>
    <row r="3397" spans="2:5" x14ac:dyDescent="0.2">
      <c r="B3397" s="291"/>
      <c r="E3397" s="212"/>
    </row>
    <row r="3398" spans="2:5" x14ac:dyDescent="0.2">
      <c r="B3398" s="291"/>
      <c r="E3398" s="212"/>
    </row>
    <row r="3399" spans="2:5" x14ac:dyDescent="0.2">
      <c r="B3399" s="291"/>
      <c r="E3399" s="212"/>
    </row>
    <row r="3400" spans="2:5" x14ac:dyDescent="0.2">
      <c r="B3400" s="291"/>
      <c r="E3400" s="212"/>
    </row>
    <row r="3401" spans="2:5" x14ac:dyDescent="0.2">
      <c r="B3401" s="291"/>
      <c r="E3401" s="212"/>
    </row>
    <row r="3402" spans="2:5" x14ac:dyDescent="0.2">
      <c r="B3402" s="291"/>
      <c r="E3402" s="212"/>
    </row>
    <row r="3403" spans="2:5" x14ac:dyDescent="0.2">
      <c r="B3403" s="291"/>
      <c r="E3403" s="212"/>
    </row>
    <row r="3404" spans="2:5" x14ac:dyDescent="0.2">
      <c r="B3404" s="291"/>
      <c r="E3404" s="212"/>
    </row>
    <row r="3405" spans="2:5" x14ac:dyDescent="0.2">
      <c r="B3405" s="291"/>
      <c r="E3405" s="212"/>
    </row>
    <row r="3406" spans="2:5" x14ac:dyDescent="0.2">
      <c r="B3406" s="291"/>
      <c r="E3406" s="212"/>
    </row>
    <row r="3407" spans="2:5" x14ac:dyDescent="0.2">
      <c r="B3407" s="291"/>
      <c r="E3407" s="212"/>
    </row>
    <row r="3408" spans="2:5" x14ac:dyDescent="0.2">
      <c r="B3408" s="291"/>
      <c r="E3408" s="212"/>
    </row>
    <row r="3409" spans="2:5" x14ac:dyDescent="0.2">
      <c r="B3409" s="291"/>
      <c r="E3409" s="212"/>
    </row>
    <row r="3410" spans="2:5" x14ac:dyDescent="0.2">
      <c r="B3410" s="291"/>
      <c r="E3410" s="212"/>
    </row>
    <row r="3411" spans="2:5" x14ac:dyDescent="0.2">
      <c r="B3411" s="291"/>
      <c r="E3411" s="212"/>
    </row>
    <row r="3412" spans="2:5" x14ac:dyDescent="0.2">
      <c r="B3412" s="291"/>
      <c r="E3412" s="212"/>
    </row>
    <row r="3413" spans="2:5" x14ac:dyDescent="0.2">
      <c r="B3413" s="291"/>
      <c r="E3413" s="212"/>
    </row>
    <row r="3414" spans="2:5" x14ac:dyDescent="0.2">
      <c r="B3414" s="291"/>
      <c r="E3414" s="212"/>
    </row>
    <row r="3415" spans="2:5" x14ac:dyDescent="0.2">
      <c r="B3415" s="291"/>
      <c r="E3415" s="212"/>
    </row>
    <row r="3416" spans="2:5" x14ac:dyDescent="0.2">
      <c r="B3416" s="291"/>
      <c r="E3416" s="212"/>
    </row>
    <row r="3417" spans="2:5" x14ac:dyDescent="0.2">
      <c r="B3417" s="291"/>
      <c r="E3417" s="212"/>
    </row>
    <row r="3418" spans="2:5" x14ac:dyDescent="0.2">
      <c r="B3418" s="291"/>
      <c r="E3418" s="212"/>
    </row>
    <row r="3419" spans="2:5" x14ac:dyDescent="0.2">
      <c r="B3419" s="291"/>
      <c r="E3419" s="212"/>
    </row>
    <row r="3420" spans="2:5" x14ac:dyDescent="0.2">
      <c r="B3420" s="291"/>
      <c r="E3420" s="212"/>
    </row>
    <row r="3421" spans="2:5" x14ac:dyDescent="0.2">
      <c r="B3421" s="291"/>
      <c r="E3421" s="212"/>
    </row>
    <row r="3422" spans="2:5" x14ac:dyDescent="0.2">
      <c r="B3422" s="291"/>
      <c r="E3422" s="212"/>
    </row>
    <row r="3423" spans="2:5" x14ac:dyDescent="0.2">
      <c r="B3423" s="291"/>
      <c r="E3423" s="212"/>
    </row>
    <row r="3424" spans="2:5" x14ac:dyDescent="0.2">
      <c r="B3424" s="291"/>
      <c r="E3424" s="212"/>
    </row>
    <row r="3425" spans="2:5" x14ac:dyDescent="0.2">
      <c r="B3425" s="291"/>
      <c r="E3425" s="212"/>
    </row>
    <row r="3426" spans="2:5" x14ac:dyDescent="0.2">
      <c r="B3426" s="291"/>
      <c r="E3426" s="212"/>
    </row>
    <row r="3427" spans="2:5" x14ac:dyDescent="0.2">
      <c r="B3427" s="291"/>
      <c r="E3427" s="212"/>
    </row>
    <row r="3428" spans="2:5" x14ac:dyDescent="0.2">
      <c r="B3428" s="291"/>
      <c r="E3428" s="212"/>
    </row>
    <row r="3429" spans="2:5" x14ac:dyDescent="0.2">
      <c r="B3429" s="291"/>
      <c r="E3429" s="212"/>
    </row>
    <row r="3430" spans="2:5" x14ac:dyDescent="0.2">
      <c r="B3430" s="291"/>
      <c r="E3430" s="212"/>
    </row>
    <row r="3431" spans="2:5" x14ac:dyDescent="0.2">
      <c r="B3431" s="291"/>
      <c r="E3431" s="212"/>
    </row>
    <row r="3432" spans="2:5" x14ac:dyDescent="0.2">
      <c r="B3432" s="291"/>
      <c r="E3432" s="212"/>
    </row>
    <row r="3433" spans="2:5" x14ac:dyDescent="0.2">
      <c r="B3433" s="291"/>
      <c r="E3433" s="212"/>
    </row>
    <row r="3434" spans="2:5" x14ac:dyDescent="0.2">
      <c r="B3434" s="291"/>
      <c r="E3434" s="212"/>
    </row>
    <row r="3435" spans="2:5" x14ac:dyDescent="0.2">
      <c r="B3435" s="291"/>
      <c r="E3435" s="212"/>
    </row>
    <row r="3436" spans="2:5" x14ac:dyDescent="0.2">
      <c r="B3436" s="291"/>
      <c r="E3436" s="212"/>
    </row>
    <row r="3437" spans="2:5" x14ac:dyDescent="0.2">
      <c r="B3437" s="291"/>
      <c r="E3437" s="212"/>
    </row>
    <row r="3438" spans="2:5" x14ac:dyDescent="0.2">
      <c r="B3438" s="291"/>
      <c r="E3438" s="212"/>
    </row>
    <row r="3439" spans="2:5" x14ac:dyDescent="0.2">
      <c r="B3439" s="291"/>
      <c r="E3439" s="212"/>
    </row>
    <row r="3440" spans="2:5" x14ac:dyDescent="0.2">
      <c r="B3440" s="291"/>
      <c r="E3440" s="212"/>
    </row>
    <row r="3441" spans="2:5" x14ac:dyDescent="0.2">
      <c r="B3441" s="291"/>
      <c r="E3441" s="212"/>
    </row>
    <row r="3442" spans="2:5" x14ac:dyDescent="0.2">
      <c r="B3442" s="291"/>
      <c r="E3442" s="212"/>
    </row>
    <row r="3443" spans="2:5" x14ac:dyDescent="0.2">
      <c r="B3443" s="291"/>
      <c r="E3443" s="212"/>
    </row>
    <row r="3444" spans="2:5" x14ac:dyDescent="0.2">
      <c r="B3444" s="291"/>
      <c r="E3444" s="212"/>
    </row>
    <row r="3445" spans="2:5" x14ac:dyDescent="0.2">
      <c r="B3445" s="291"/>
      <c r="E3445" s="212"/>
    </row>
    <row r="3446" spans="2:5" x14ac:dyDescent="0.2">
      <c r="B3446" s="291"/>
      <c r="E3446" s="212"/>
    </row>
    <row r="3447" spans="2:5" x14ac:dyDescent="0.2">
      <c r="B3447" s="291"/>
      <c r="E3447" s="212"/>
    </row>
    <row r="3448" spans="2:5" x14ac:dyDescent="0.2">
      <c r="B3448" s="291"/>
      <c r="E3448" s="212"/>
    </row>
    <row r="3449" spans="2:5" x14ac:dyDescent="0.2">
      <c r="B3449" s="291"/>
      <c r="E3449" s="212"/>
    </row>
    <row r="3450" spans="2:5" x14ac:dyDescent="0.2">
      <c r="B3450" s="291"/>
      <c r="E3450" s="212"/>
    </row>
    <row r="3451" spans="2:5" x14ac:dyDescent="0.2">
      <c r="B3451" s="291"/>
      <c r="E3451" s="212"/>
    </row>
    <row r="3452" spans="2:5" x14ac:dyDescent="0.2">
      <c r="B3452" s="291"/>
      <c r="E3452" s="212"/>
    </row>
    <row r="3453" spans="2:5" x14ac:dyDescent="0.2">
      <c r="B3453" s="291"/>
      <c r="E3453" s="212"/>
    </row>
    <row r="3454" spans="2:5" x14ac:dyDescent="0.2">
      <c r="B3454" s="291"/>
      <c r="E3454" s="212"/>
    </row>
    <row r="3455" spans="2:5" x14ac:dyDescent="0.2">
      <c r="B3455" s="291"/>
      <c r="E3455" s="212"/>
    </row>
    <row r="3456" spans="2:5" x14ac:dyDescent="0.2">
      <c r="B3456" s="291"/>
      <c r="E3456" s="212"/>
    </row>
    <row r="3457" spans="2:5" x14ac:dyDescent="0.2">
      <c r="B3457" s="291"/>
      <c r="E3457" s="212"/>
    </row>
    <row r="3458" spans="2:5" x14ac:dyDescent="0.2">
      <c r="B3458" s="291"/>
      <c r="E3458" s="212"/>
    </row>
    <row r="3459" spans="2:5" x14ac:dyDescent="0.2">
      <c r="B3459" s="291"/>
      <c r="E3459" s="212"/>
    </row>
    <row r="3460" spans="2:5" x14ac:dyDescent="0.2">
      <c r="B3460" s="291"/>
      <c r="E3460" s="212"/>
    </row>
    <row r="3461" spans="2:5" x14ac:dyDescent="0.2">
      <c r="B3461" s="291"/>
      <c r="E3461" s="212"/>
    </row>
    <row r="3462" spans="2:5" x14ac:dyDescent="0.2">
      <c r="B3462" s="291"/>
      <c r="E3462" s="212"/>
    </row>
    <row r="3463" spans="2:5" x14ac:dyDescent="0.2">
      <c r="B3463" s="291"/>
      <c r="E3463" s="212"/>
    </row>
    <row r="3464" spans="2:5" x14ac:dyDescent="0.2">
      <c r="B3464" s="291"/>
      <c r="E3464" s="212"/>
    </row>
    <row r="3465" spans="2:5" x14ac:dyDescent="0.2">
      <c r="B3465" s="291"/>
      <c r="E3465" s="212"/>
    </row>
    <row r="3466" spans="2:5" x14ac:dyDescent="0.2">
      <c r="B3466" s="291"/>
      <c r="E3466" s="212"/>
    </row>
    <row r="3467" spans="2:5" x14ac:dyDescent="0.2">
      <c r="B3467" s="291"/>
      <c r="E3467" s="212"/>
    </row>
    <row r="3468" spans="2:5" x14ac:dyDescent="0.2">
      <c r="B3468" s="291"/>
      <c r="E3468" s="212"/>
    </row>
    <row r="3469" spans="2:5" x14ac:dyDescent="0.2">
      <c r="B3469" s="291"/>
      <c r="E3469" s="212"/>
    </row>
    <row r="3470" spans="2:5" x14ac:dyDescent="0.2">
      <c r="B3470" s="291"/>
      <c r="E3470" s="212"/>
    </row>
    <row r="3471" spans="2:5" x14ac:dyDescent="0.2">
      <c r="B3471" s="291"/>
      <c r="E3471" s="212"/>
    </row>
    <row r="3472" spans="2:5" x14ac:dyDescent="0.2">
      <c r="B3472" s="291"/>
      <c r="E3472" s="212"/>
    </row>
    <row r="3473" spans="2:5" x14ac:dyDescent="0.2">
      <c r="B3473" s="291"/>
      <c r="E3473" s="212"/>
    </row>
    <row r="3474" spans="2:5" x14ac:dyDescent="0.2">
      <c r="B3474" s="291"/>
      <c r="E3474" s="212"/>
    </row>
    <row r="3475" spans="2:5" x14ac:dyDescent="0.2">
      <c r="B3475" s="291"/>
      <c r="E3475" s="212"/>
    </row>
    <row r="3476" spans="2:5" x14ac:dyDescent="0.2">
      <c r="B3476" s="291"/>
      <c r="E3476" s="212"/>
    </row>
    <row r="3477" spans="2:5" x14ac:dyDescent="0.2">
      <c r="B3477" s="291"/>
      <c r="E3477" s="212"/>
    </row>
    <row r="3478" spans="2:5" x14ac:dyDescent="0.2">
      <c r="B3478" s="291"/>
      <c r="E3478" s="212"/>
    </row>
    <row r="3479" spans="2:5" x14ac:dyDescent="0.2">
      <c r="B3479" s="291"/>
      <c r="E3479" s="212"/>
    </row>
    <row r="3480" spans="2:5" x14ac:dyDescent="0.2">
      <c r="B3480" s="291"/>
      <c r="E3480" s="212"/>
    </row>
    <row r="3481" spans="2:5" x14ac:dyDescent="0.2">
      <c r="B3481" s="291"/>
      <c r="E3481" s="212"/>
    </row>
    <row r="3482" spans="2:5" x14ac:dyDescent="0.2">
      <c r="B3482" s="291"/>
      <c r="E3482" s="212"/>
    </row>
    <row r="3483" spans="2:5" x14ac:dyDescent="0.2">
      <c r="B3483" s="291"/>
      <c r="E3483" s="212"/>
    </row>
    <row r="3484" spans="2:5" x14ac:dyDescent="0.2">
      <c r="B3484" s="291"/>
      <c r="E3484" s="212"/>
    </row>
    <row r="3485" spans="2:5" x14ac:dyDescent="0.2">
      <c r="B3485" s="291"/>
      <c r="E3485" s="212"/>
    </row>
    <row r="3486" spans="2:5" x14ac:dyDescent="0.2">
      <c r="B3486" s="291"/>
      <c r="E3486" s="212"/>
    </row>
    <row r="3487" spans="2:5" x14ac:dyDescent="0.2">
      <c r="B3487" s="291"/>
      <c r="E3487" s="212"/>
    </row>
    <row r="3488" spans="2:5" x14ac:dyDescent="0.2">
      <c r="B3488" s="291"/>
      <c r="E3488" s="212"/>
    </row>
    <row r="3489" spans="2:5" x14ac:dyDescent="0.2">
      <c r="B3489" s="291"/>
      <c r="E3489" s="212"/>
    </row>
    <row r="3490" spans="2:5" x14ac:dyDescent="0.2">
      <c r="B3490" s="291"/>
      <c r="E3490" s="212"/>
    </row>
    <row r="3491" spans="2:5" x14ac:dyDescent="0.2">
      <c r="B3491" s="291"/>
      <c r="E3491" s="212"/>
    </row>
    <row r="3492" spans="2:5" x14ac:dyDescent="0.2">
      <c r="B3492" s="291"/>
      <c r="E3492" s="212"/>
    </row>
    <row r="3493" spans="2:5" x14ac:dyDescent="0.2">
      <c r="B3493" s="291"/>
      <c r="E3493" s="212"/>
    </row>
    <row r="3494" spans="2:5" x14ac:dyDescent="0.2">
      <c r="B3494" s="291"/>
      <c r="E3494" s="212"/>
    </row>
    <row r="3495" spans="2:5" x14ac:dyDescent="0.2">
      <c r="B3495" s="291"/>
      <c r="E3495" s="212"/>
    </row>
    <row r="3496" spans="2:5" x14ac:dyDescent="0.2">
      <c r="B3496" s="291"/>
      <c r="E3496" s="212"/>
    </row>
    <row r="3497" spans="2:5" x14ac:dyDescent="0.2">
      <c r="B3497" s="291"/>
      <c r="E3497" s="212"/>
    </row>
    <row r="3498" spans="2:5" x14ac:dyDescent="0.2">
      <c r="B3498" s="291"/>
      <c r="E3498" s="212"/>
    </row>
    <row r="3499" spans="2:5" x14ac:dyDescent="0.2">
      <c r="B3499" s="291"/>
      <c r="E3499" s="212"/>
    </row>
    <row r="3500" spans="2:5" x14ac:dyDescent="0.2">
      <c r="B3500" s="291"/>
      <c r="E3500" s="212"/>
    </row>
    <row r="3501" spans="2:5" x14ac:dyDescent="0.2">
      <c r="B3501" s="291"/>
      <c r="E3501" s="212"/>
    </row>
    <row r="3502" spans="2:5" x14ac:dyDescent="0.2">
      <c r="B3502" s="291"/>
      <c r="E3502" s="212"/>
    </row>
    <row r="3503" spans="2:5" x14ac:dyDescent="0.2">
      <c r="B3503" s="291"/>
      <c r="E3503" s="212"/>
    </row>
    <row r="3504" spans="2:5" x14ac:dyDescent="0.2">
      <c r="B3504" s="291"/>
      <c r="E3504" s="212"/>
    </row>
    <row r="3505" spans="2:5" x14ac:dyDescent="0.2">
      <c r="B3505" s="291"/>
      <c r="E3505" s="212"/>
    </row>
    <row r="3506" spans="2:5" x14ac:dyDescent="0.2">
      <c r="B3506" s="291"/>
      <c r="E3506" s="212"/>
    </row>
    <row r="3507" spans="2:5" x14ac:dyDescent="0.2">
      <c r="B3507" s="291"/>
      <c r="E3507" s="212"/>
    </row>
    <row r="3508" spans="2:5" x14ac:dyDescent="0.2">
      <c r="B3508" s="291"/>
      <c r="E3508" s="212"/>
    </row>
    <row r="3509" spans="2:5" x14ac:dyDescent="0.2">
      <c r="B3509" s="291"/>
      <c r="E3509" s="212"/>
    </row>
    <row r="3510" spans="2:5" x14ac:dyDescent="0.2">
      <c r="B3510" s="291"/>
      <c r="E3510" s="212"/>
    </row>
    <row r="3511" spans="2:5" x14ac:dyDescent="0.2">
      <c r="B3511" s="291"/>
      <c r="E3511" s="212"/>
    </row>
    <row r="3512" spans="2:5" x14ac:dyDescent="0.2">
      <c r="B3512" s="291"/>
      <c r="E3512" s="212"/>
    </row>
    <row r="3513" spans="2:5" x14ac:dyDescent="0.2">
      <c r="B3513" s="291"/>
      <c r="E3513" s="212"/>
    </row>
    <row r="3514" spans="2:5" x14ac:dyDescent="0.2">
      <c r="B3514" s="291"/>
      <c r="E3514" s="212"/>
    </row>
    <row r="3515" spans="2:5" x14ac:dyDescent="0.2">
      <c r="B3515" s="291"/>
      <c r="E3515" s="212"/>
    </row>
    <row r="3516" spans="2:5" x14ac:dyDescent="0.2">
      <c r="B3516" s="291"/>
      <c r="E3516" s="212"/>
    </row>
    <row r="3517" spans="2:5" x14ac:dyDescent="0.2">
      <c r="B3517" s="291"/>
      <c r="E3517" s="212"/>
    </row>
    <row r="3518" spans="2:5" x14ac:dyDescent="0.2">
      <c r="B3518" s="291"/>
      <c r="E3518" s="212"/>
    </row>
    <row r="3519" spans="2:5" x14ac:dyDescent="0.2">
      <c r="B3519" s="291"/>
      <c r="E3519" s="212"/>
    </row>
    <row r="3520" spans="2:5" x14ac:dyDescent="0.2">
      <c r="B3520" s="291"/>
      <c r="E3520" s="212"/>
    </row>
    <row r="3521" spans="2:5" x14ac:dyDescent="0.2">
      <c r="B3521" s="291"/>
      <c r="E3521" s="212"/>
    </row>
    <row r="3522" spans="2:5" x14ac:dyDescent="0.2">
      <c r="B3522" s="291"/>
      <c r="E3522" s="212"/>
    </row>
    <row r="3523" spans="2:5" x14ac:dyDescent="0.2">
      <c r="B3523" s="291"/>
      <c r="E3523" s="212"/>
    </row>
    <row r="3524" spans="2:5" x14ac:dyDescent="0.2">
      <c r="B3524" s="291"/>
      <c r="E3524" s="212"/>
    </row>
    <row r="3525" spans="2:5" x14ac:dyDescent="0.2">
      <c r="B3525" s="291"/>
      <c r="E3525" s="212"/>
    </row>
    <row r="3526" spans="2:5" x14ac:dyDescent="0.2">
      <c r="B3526" s="291"/>
      <c r="E3526" s="212"/>
    </row>
    <row r="3527" spans="2:5" x14ac:dyDescent="0.2">
      <c r="B3527" s="291"/>
      <c r="E3527" s="212"/>
    </row>
    <row r="3528" spans="2:5" x14ac:dyDescent="0.2">
      <c r="B3528" s="291"/>
      <c r="E3528" s="212"/>
    </row>
    <row r="3529" spans="2:5" x14ac:dyDescent="0.2">
      <c r="B3529" s="291"/>
      <c r="E3529" s="212"/>
    </row>
    <row r="3530" spans="2:5" x14ac:dyDescent="0.2">
      <c r="B3530" s="291"/>
      <c r="E3530" s="212"/>
    </row>
    <row r="3531" spans="2:5" x14ac:dyDescent="0.2">
      <c r="B3531" s="291"/>
      <c r="E3531" s="212"/>
    </row>
    <row r="3532" spans="2:5" x14ac:dyDescent="0.2">
      <c r="B3532" s="291"/>
      <c r="E3532" s="212"/>
    </row>
    <row r="3533" spans="2:5" x14ac:dyDescent="0.2">
      <c r="B3533" s="291"/>
      <c r="E3533" s="212"/>
    </row>
    <row r="3534" spans="2:5" x14ac:dyDescent="0.2">
      <c r="B3534" s="291"/>
      <c r="E3534" s="212"/>
    </row>
    <row r="3535" spans="2:5" x14ac:dyDescent="0.2">
      <c r="B3535" s="291"/>
      <c r="E3535" s="212"/>
    </row>
    <row r="3536" spans="2:5" x14ac:dyDescent="0.2">
      <c r="B3536" s="291"/>
      <c r="E3536" s="212"/>
    </row>
    <row r="3537" spans="2:5" x14ac:dyDescent="0.2">
      <c r="B3537" s="291"/>
      <c r="E3537" s="212"/>
    </row>
    <row r="3538" spans="2:5" x14ac:dyDescent="0.2">
      <c r="B3538" s="291"/>
      <c r="E3538" s="212"/>
    </row>
    <row r="3539" spans="2:5" x14ac:dyDescent="0.2">
      <c r="B3539" s="291"/>
      <c r="E3539" s="212"/>
    </row>
    <row r="3540" spans="2:5" x14ac:dyDescent="0.2">
      <c r="B3540" s="291"/>
      <c r="E3540" s="212"/>
    </row>
    <row r="3541" spans="2:5" x14ac:dyDescent="0.2">
      <c r="B3541" s="291"/>
      <c r="E3541" s="212"/>
    </row>
    <row r="3542" spans="2:5" x14ac:dyDescent="0.2">
      <c r="B3542" s="291"/>
      <c r="E3542" s="212"/>
    </row>
    <row r="3543" spans="2:5" x14ac:dyDescent="0.2">
      <c r="B3543" s="291"/>
      <c r="E3543" s="212"/>
    </row>
    <row r="3544" spans="2:5" x14ac:dyDescent="0.2">
      <c r="B3544" s="291"/>
      <c r="E3544" s="212"/>
    </row>
    <row r="3545" spans="2:5" x14ac:dyDescent="0.2">
      <c r="B3545" s="291"/>
      <c r="E3545" s="212"/>
    </row>
    <row r="3546" spans="2:5" x14ac:dyDescent="0.2">
      <c r="B3546" s="291"/>
      <c r="E3546" s="212"/>
    </row>
    <row r="3547" spans="2:5" x14ac:dyDescent="0.2">
      <c r="B3547" s="291"/>
      <c r="E3547" s="212"/>
    </row>
    <row r="3548" spans="2:5" x14ac:dyDescent="0.2">
      <c r="B3548" s="291"/>
      <c r="E3548" s="212"/>
    </row>
    <row r="3549" spans="2:5" x14ac:dyDescent="0.2">
      <c r="B3549" s="291"/>
      <c r="E3549" s="212"/>
    </row>
    <row r="3550" spans="2:5" x14ac:dyDescent="0.2">
      <c r="B3550" s="291"/>
      <c r="E3550" s="212"/>
    </row>
    <row r="3551" spans="2:5" x14ac:dyDescent="0.2">
      <c r="B3551" s="291"/>
      <c r="E3551" s="212"/>
    </row>
    <row r="3552" spans="2:5" x14ac:dyDescent="0.2">
      <c r="B3552" s="291"/>
      <c r="E3552" s="212"/>
    </row>
    <row r="3553" spans="2:5" x14ac:dyDescent="0.2">
      <c r="B3553" s="291"/>
      <c r="E3553" s="212"/>
    </row>
    <row r="3554" spans="2:5" x14ac:dyDescent="0.2">
      <c r="B3554" s="291"/>
      <c r="E3554" s="212"/>
    </row>
    <row r="3555" spans="2:5" x14ac:dyDescent="0.2">
      <c r="B3555" s="291"/>
      <c r="E3555" s="212"/>
    </row>
    <row r="3556" spans="2:5" x14ac:dyDescent="0.2">
      <c r="B3556" s="291"/>
      <c r="E3556" s="212"/>
    </row>
    <row r="3557" spans="2:5" x14ac:dyDescent="0.2">
      <c r="B3557" s="291"/>
      <c r="E3557" s="212"/>
    </row>
    <row r="3558" spans="2:5" x14ac:dyDescent="0.2">
      <c r="B3558" s="291"/>
      <c r="E3558" s="212"/>
    </row>
    <row r="3559" spans="2:5" x14ac:dyDescent="0.2">
      <c r="B3559" s="291"/>
      <c r="E3559" s="212"/>
    </row>
    <row r="3560" spans="2:5" x14ac:dyDescent="0.2">
      <c r="B3560" s="291"/>
      <c r="E3560" s="212"/>
    </row>
    <row r="3561" spans="2:5" x14ac:dyDescent="0.2">
      <c r="B3561" s="291"/>
      <c r="E3561" s="212"/>
    </row>
    <row r="3562" spans="2:5" x14ac:dyDescent="0.2">
      <c r="B3562" s="291"/>
      <c r="E3562" s="212"/>
    </row>
    <row r="3563" spans="2:5" x14ac:dyDescent="0.2">
      <c r="B3563" s="291"/>
      <c r="E3563" s="212"/>
    </row>
    <row r="3564" spans="2:5" x14ac:dyDescent="0.2">
      <c r="B3564" s="291"/>
      <c r="E3564" s="212"/>
    </row>
    <row r="3565" spans="2:5" x14ac:dyDescent="0.2">
      <c r="B3565" s="291"/>
      <c r="E3565" s="212"/>
    </row>
    <row r="3566" spans="2:5" x14ac:dyDescent="0.2">
      <c r="B3566" s="291"/>
      <c r="E3566" s="212"/>
    </row>
    <row r="3567" spans="2:5" x14ac:dyDescent="0.2">
      <c r="B3567" s="291"/>
      <c r="E3567" s="212"/>
    </row>
    <row r="3568" spans="2:5" x14ac:dyDescent="0.2">
      <c r="B3568" s="291"/>
      <c r="E3568" s="212"/>
    </row>
    <row r="3569" spans="2:5" x14ac:dyDescent="0.2">
      <c r="B3569" s="291"/>
      <c r="E3569" s="212"/>
    </row>
    <row r="3570" spans="2:5" x14ac:dyDescent="0.2">
      <c r="B3570" s="291"/>
      <c r="E3570" s="212"/>
    </row>
    <row r="3571" spans="2:5" x14ac:dyDescent="0.2">
      <c r="B3571" s="291"/>
      <c r="E3571" s="212"/>
    </row>
    <row r="3572" spans="2:5" x14ac:dyDescent="0.2">
      <c r="B3572" s="291"/>
      <c r="E3572" s="212"/>
    </row>
    <row r="3573" spans="2:5" x14ac:dyDescent="0.2">
      <c r="B3573" s="291"/>
      <c r="E3573" s="212"/>
    </row>
    <row r="3574" spans="2:5" x14ac:dyDescent="0.2">
      <c r="B3574" s="291"/>
      <c r="E3574" s="212"/>
    </row>
    <row r="3575" spans="2:5" x14ac:dyDescent="0.2">
      <c r="B3575" s="291"/>
      <c r="E3575" s="212"/>
    </row>
    <row r="3576" spans="2:5" x14ac:dyDescent="0.2">
      <c r="B3576" s="291"/>
      <c r="E3576" s="212"/>
    </row>
    <row r="3577" spans="2:5" x14ac:dyDescent="0.2">
      <c r="B3577" s="291"/>
      <c r="E3577" s="212"/>
    </row>
    <row r="3578" spans="2:5" x14ac:dyDescent="0.2">
      <c r="B3578" s="291"/>
      <c r="E3578" s="212"/>
    </row>
    <row r="3579" spans="2:5" x14ac:dyDescent="0.2">
      <c r="B3579" s="291"/>
      <c r="E3579" s="212"/>
    </row>
    <row r="3580" spans="2:5" x14ac:dyDescent="0.2">
      <c r="B3580" s="291"/>
      <c r="E3580" s="212"/>
    </row>
    <row r="3581" spans="2:5" x14ac:dyDescent="0.2">
      <c r="B3581" s="291"/>
      <c r="E3581" s="212"/>
    </row>
    <row r="3582" spans="2:5" x14ac:dyDescent="0.2">
      <c r="B3582" s="291"/>
      <c r="E3582" s="212"/>
    </row>
    <row r="3583" spans="2:5" x14ac:dyDescent="0.2">
      <c r="B3583" s="291"/>
      <c r="E3583" s="212"/>
    </row>
    <row r="3584" spans="2:5" x14ac:dyDescent="0.2">
      <c r="B3584" s="291"/>
      <c r="E3584" s="212"/>
    </row>
    <row r="3585" spans="2:5" x14ac:dyDescent="0.2">
      <c r="B3585" s="291"/>
      <c r="E3585" s="212"/>
    </row>
    <row r="3586" spans="2:5" x14ac:dyDescent="0.2">
      <c r="B3586" s="291"/>
      <c r="E3586" s="212"/>
    </row>
    <row r="3587" spans="2:5" x14ac:dyDescent="0.2">
      <c r="B3587" s="291"/>
      <c r="E3587" s="212"/>
    </row>
    <row r="3588" spans="2:5" x14ac:dyDescent="0.2">
      <c r="B3588" s="291"/>
      <c r="E3588" s="212"/>
    </row>
    <row r="3589" spans="2:5" x14ac:dyDescent="0.2">
      <c r="B3589" s="291"/>
      <c r="E3589" s="212"/>
    </row>
    <row r="3590" spans="2:5" x14ac:dyDescent="0.2">
      <c r="B3590" s="291"/>
      <c r="E3590" s="212"/>
    </row>
    <row r="3591" spans="2:5" x14ac:dyDescent="0.2">
      <c r="B3591" s="291"/>
      <c r="E3591" s="212"/>
    </row>
    <row r="3592" spans="2:5" x14ac:dyDescent="0.2">
      <c r="B3592" s="291"/>
      <c r="E3592" s="212"/>
    </row>
    <row r="3593" spans="2:5" x14ac:dyDescent="0.2">
      <c r="B3593" s="291"/>
      <c r="E3593" s="212"/>
    </row>
    <row r="3594" spans="2:5" x14ac:dyDescent="0.2">
      <c r="B3594" s="291"/>
      <c r="E3594" s="212"/>
    </row>
    <row r="3595" spans="2:5" x14ac:dyDescent="0.2">
      <c r="B3595" s="291"/>
      <c r="E3595" s="212"/>
    </row>
    <row r="3596" spans="2:5" x14ac:dyDescent="0.2">
      <c r="B3596" s="291"/>
      <c r="E3596" s="212"/>
    </row>
    <row r="3597" spans="2:5" x14ac:dyDescent="0.2">
      <c r="B3597" s="291"/>
      <c r="E3597" s="212"/>
    </row>
    <row r="3598" spans="2:5" x14ac:dyDescent="0.2">
      <c r="B3598" s="291"/>
      <c r="E3598" s="212"/>
    </row>
    <row r="3599" spans="2:5" x14ac:dyDescent="0.2">
      <c r="B3599" s="291"/>
      <c r="E3599" s="212"/>
    </row>
    <row r="3600" spans="2:5" x14ac:dyDescent="0.2">
      <c r="B3600" s="291"/>
      <c r="E3600" s="212"/>
    </row>
    <row r="3601" spans="2:5" x14ac:dyDescent="0.2">
      <c r="B3601" s="291"/>
      <c r="E3601" s="212"/>
    </row>
    <row r="3602" spans="2:5" x14ac:dyDescent="0.2">
      <c r="B3602" s="291"/>
      <c r="E3602" s="212"/>
    </row>
    <row r="3603" spans="2:5" x14ac:dyDescent="0.2">
      <c r="B3603" s="291"/>
      <c r="E3603" s="212"/>
    </row>
    <row r="3604" spans="2:5" x14ac:dyDescent="0.2">
      <c r="B3604" s="291"/>
      <c r="E3604" s="212"/>
    </row>
    <row r="3605" spans="2:5" x14ac:dyDescent="0.2">
      <c r="B3605" s="291"/>
      <c r="E3605" s="212"/>
    </row>
    <row r="3606" spans="2:5" x14ac:dyDescent="0.2">
      <c r="B3606" s="291"/>
      <c r="E3606" s="212"/>
    </row>
    <row r="3607" spans="2:5" x14ac:dyDescent="0.2">
      <c r="B3607" s="291"/>
      <c r="E3607" s="212"/>
    </row>
    <row r="3608" spans="2:5" x14ac:dyDescent="0.2">
      <c r="B3608" s="291"/>
      <c r="E3608" s="212"/>
    </row>
    <row r="3609" spans="2:5" x14ac:dyDescent="0.2">
      <c r="B3609" s="291"/>
      <c r="E3609" s="212"/>
    </row>
    <row r="3610" spans="2:5" x14ac:dyDescent="0.2">
      <c r="B3610" s="291"/>
      <c r="E3610" s="212"/>
    </row>
    <row r="3611" spans="2:5" x14ac:dyDescent="0.2">
      <c r="B3611" s="291"/>
      <c r="E3611" s="212"/>
    </row>
    <row r="3612" spans="2:5" x14ac:dyDescent="0.2">
      <c r="B3612" s="291"/>
      <c r="E3612" s="212"/>
    </row>
    <row r="3613" spans="2:5" x14ac:dyDescent="0.2">
      <c r="B3613" s="291"/>
      <c r="E3613" s="212"/>
    </row>
    <row r="3614" spans="2:5" x14ac:dyDescent="0.2">
      <c r="B3614" s="291"/>
      <c r="E3614" s="212"/>
    </row>
    <row r="3615" spans="2:5" x14ac:dyDescent="0.2">
      <c r="B3615" s="291"/>
      <c r="E3615" s="212"/>
    </row>
    <row r="3616" spans="2:5" x14ac:dyDescent="0.2">
      <c r="B3616" s="291"/>
      <c r="E3616" s="212"/>
    </row>
    <row r="3617" spans="2:5" x14ac:dyDescent="0.2">
      <c r="B3617" s="291"/>
      <c r="E3617" s="212"/>
    </row>
    <row r="3618" spans="2:5" x14ac:dyDescent="0.2">
      <c r="B3618" s="291"/>
      <c r="E3618" s="212"/>
    </row>
    <row r="3619" spans="2:5" x14ac:dyDescent="0.2">
      <c r="B3619" s="291"/>
      <c r="E3619" s="212"/>
    </row>
    <row r="3620" spans="2:5" x14ac:dyDescent="0.2">
      <c r="B3620" s="291"/>
      <c r="E3620" s="212"/>
    </row>
    <row r="3621" spans="2:5" x14ac:dyDescent="0.2">
      <c r="B3621" s="291"/>
      <c r="E3621" s="212"/>
    </row>
    <row r="3622" spans="2:5" x14ac:dyDescent="0.2">
      <c r="B3622" s="291"/>
      <c r="E3622" s="212"/>
    </row>
    <row r="3623" spans="2:5" x14ac:dyDescent="0.2">
      <c r="B3623" s="291"/>
      <c r="E3623" s="212"/>
    </row>
    <row r="3624" spans="2:5" x14ac:dyDescent="0.2">
      <c r="B3624" s="291"/>
      <c r="E3624" s="212"/>
    </row>
    <row r="3625" spans="2:5" x14ac:dyDescent="0.2">
      <c r="B3625" s="291"/>
      <c r="E3625" s="212"/>
    </row>
    <row r="3626" spans="2:5" x14ac:dyDescent="0.2">
      <c r="B3626" s="291"/>
      <c r="E3626" s="212"/>
    </row>
    <row r="3627" spans="2:5" x14ac:dyDescent="0.2">
      <c r="B3627" s="291"/>
      <c r="E3627" s="212"/>
    </row>
    <row r="3628" spans="2:5" x14ac:dyDescent="0.2">
      <c r="B3628" s="291"/>
      <c r="E3628" s="212"/>
    </row>
    <row r="3629" spans="2:5" x14ac:dyDescent="0.2">
      <c r="B3629" s="291"/>
      <c r="E3629" s="212"/>
    </row>
    <row r="3630" spans="2:5" x14ac:dyDescent="0.2">
      <c r="B3630" s="291"/>
      <c r="E3630" s="212"/>
    </row>
    <row r="3631" spans="2:5" x14ac:dyDescent="0.2">
      <c r="B3631" s="291"/>
      <c r="E3631" s="212"/>
    </row>
    <row r="3632" spans="2:5" x14ac:dyDescent="0.2">
      <c r="B3632" s="291"/>
      <c r="E3632" s="212"/>
    </row>
    <row r="3633" spans="2:5" x14ac:dyDescent="0.2">
      <c r="B3633" s="291"/>
      <c r="E3633" s="212"/>
    </row>
    <row r="3634" spans="2:5" x14ac:dyDescent="0.2">
      <c r="B3634" s="291"/>
      <c r="E3634" s="212"/>
    </row>
    <row r="3635" spans="2:5" x14ac:dyDescent="0.2">
      <c r="B3635" s="291"/>
      <c r="E3635" s="212"/>
    </row>
    <row r="3636" spans="2:5" x14ac:dyDescent="0.2">
      <c r="B3636" s="291"/>
      <c r="E3636" s="212"/>
    </row>
    <row r="3637" spans="2:5" x14ac:dyDescent="0.2">
      <c r="B3637" s="291"/>
      <c r="E3637" s="212"/>
    </row>
    <row r="3638" spans="2:5" x14ac:dyDescent="0.2">
      <c r="B3638" s="291"/>
      <c r="E3638" s="212"/>
    </row>
    <row r="3639" spans="2:5" x14ac:dyDescent="0.2">
      <c r="B3639" s="291"/>
      <c r="E3639" s="212"/>
    </row>
    <row r="3640" spans="2:5" x14ac:dyDescent="0.2">
      <c r="B3640" s="291"/>
      <c r="E3640" s="212"/>
    </row>
    <row r="3641" spans="2:5" x14ac:dyDescent="0.2">
      <c r="B3641" s="291"/>
      <c r="E3641" s="212"/>
    </row>
    <row r="3642" spans="2:5" x14ac:dyDescent="0.2">
      <c r="B3642" s="291"/>
      <c r="E3642" s="212"/>
    </row>
    <row r="3643" spans="2:5" x14ac:dyDescent="0.2">
      <c r="B3643" s="291"/>
      <c r="E3643" s="212"/>
    </row>
    <row r="3644" spans="2:5" x14ac:dyDescent="0.2">
      <c r="B3644" s="291"/>
      <c r="E3644" s="212"/>
    </row>
    <row r="3645" spans="2:5" x14ac:dyDescent="0.2">
      <c r="B3645" s="291"/>
      <c r="E3645" s="212"/>
    </row>
    <row r="3646" spans="2:5" x14ac:dyDescent="0.2">
      <c r="B3646" s="291"/>
      <c r="E3646" s="212"/>
    </row>
    <row r="3647" spans="2:5" x14ac:dyDescent="0.2">
      <c r="B3647" s="291"/>
      <c r="E3647" s="212"/>
    </row>
    <row r="3648" spans="2:5" x14ac:dyDescent="0.2">
      <c r="B3648" s="291"/>
      <c r="E3648" s="212"/>
    </row>
    <row r="3649" spans="2:5" x14ac:dyDescent="0.2">
      <c r="B3649" s="291"/>
      <c r="E3649" s="212"/>
    </row>
    <row r="3650" spans="2:5" x14ac:dyDescent="0.2">
      <c r="B3650" s="291"/>
      <c r="E3650" s="212"/>
    </row>
    <row r="3651" spans="2:5" x14ac:dyDescent="0.2">
      <c r="B3651" s="291"/>
      <c r="E3651" s="212"/>
    </row>
    <row r="3652" spans="2:5" x14ac:dyDescent="0.2">
      <c r="B3652" s="291"/>
      <c r="E3652" s="212"/>
    </row>
    <row r="3653" spans="2:5" x14ac:dyDescent="0.2">
      <c r="B3653" s="291"/>
      <c r="E3653" s="212"/>
    </row>
    <row r="3654" spans="2:5" x14ac:dyDescent="0.2">
      <c r="B3654" s="291"/>
      <c r="E3654" s="212"/>
    </row>
    <row r="3655" spans="2:5" x14ac:dyDescent="0.2">
      <c r="B3655" s="291"/>
      <c r="E3655" s="212"/>
    </row>
    <row r="3656" spans="2:5" x14ac:dyDescent="0.2">
      <c r="B3656" s="291"/>
      <c r="E3656" s="212"/>
    </row>
    <row r="3657" spans="2:5" x14ac:dyDescent="0.2">
      <c r="B3657" s="291"/>
      <c r="E3657" s="212"/>
    </row>
    <row r="3658" spans="2:5" x14ac:dyDescent="0.2">
      <c r="B3658" s="291"/>
      <c r="E3658" s="212"/>
    </row>
    <row r="3659" spans="2:5" x14ac:dyDescent="0.2">
      <c r="B3659" s="291"/>
      <c r="E3659" s="212"/>
    </row>
    <row r="3660" spans="2:5" x14ac:dyDescent="0.2">
      <c r="B3660" s="291"/>
      <c r="E3660" s="212"/>
    </row>
    <row r="3661" spans="2:5" x14ac:dyDescent="0.2">
      <c r="B3661" s="291"/>
      <c r="E3661" s="212"/>
    </row>
    <row r="3662" spans="2:5" x14ac:dyDescent="0.2">
      <c r="B3662" s="291"/>
      <c r="E3662" s="212"/>
    </row>
    <row r="3663" spans="2:5" x14ac:dyDescent="0.2">
      <c r="B3663" s="291"/>
      <c r="E3663" s="212"/>
    </row>
    <row r="3664" spans="2:5" x14ac:dyDescent="0.2">
      <c r="B3664" s="291"/>
      <c r="E3664" s="212"/>
    </row>
    <row r="3665" spans="2:5" x14ac:dyDescent="0.2">
      <c r="B3665" s="291"/>
      <c r="E3665" s="212"/>
    </row>
    <row r="3666" spans="2:5" x14ac:dyDescent="0.2">
      <c r="B3666" s="291"/>
      <c r="E3666" s="212"/>
    </row>
    <row r="3667" spans="2:5" x14ac:dyDescent="0.2">
      <c r="B3667" s="291"/>
      <c r="E3667" s="212"/>
    </row>
    <row r="3668" spans="2:5" x14ac:dyDescent="0.2">
      <c r="B3668" s="291"/>
      <c r="E3668" s="212"/>
    </row>
    <row r="3669" spans="2:5" x14ac:dyDescent="0.2">
      <c r="B3669" s="291"/>
      <c r="E3669" s="212"/>
    </row>
    <row r="3670" spans="2:5" x14ac:dyDescent="0.2">
      <c r="B3670" s="291"/>
      <c r="E3670" s="212"/>
    </row>
    <row r="3671" spans="2:5" x14ac:dyDescent="0.2">
      <c r="B3671" s="291"/>
      <c r="E3671" s="212"/>
    </row>
    <row r="3672" spans="2:5" x14ac:dyDescent="0.2">
      <c r="B3672" s="291"/>
      <c r="E3672" s="212"/>
    </row>
    <row r="3673" spans="2:5" x14ac:dyDescent="0.2">
      <c r="B3673" s="291"/>
      <c r="E3673" s="212"/>
    </row>
    <row r="3674" spans="2:5" x14ac:dyDescent="0.2">
      <c r="B3674" s="291"/>
      <c r="E3674" s="212"/>
    </row>
    <row r="3675" spans="2:5" x14ac:dyDescent="0.2">
      <c r="B3675" s="291"/>
      <c r="E3675" s="212"/>
    </row>
    <row r="3676" spans="2:5" x14ac:dyDescent="0.2">
      <c r="B3676" s="291"/>
      <c r="E3676" s="212"/>
    </row>
    <row r="3677" spans="2:5" x14ac:dyDescent="0.2">
      <c r="B3677" s="291"/>
      <c r="E3677" s="212"/>
    </row>
    <row r="3678" spans="2:5" x14ac:dyDescent="0.2">
      <c r="B3678" s="291"/>
      <c r="E3678" s="212"/>
    </row>
    <row r="3679" spans="2:5" x14ac:dyDescent="0.2">
      <c r="B3679" s="291"/>
      <c r="E3679" s="212"/>
    </row>
    <row r="3680" spans="2:5" x14ac:dyDescent="0.2">
      <c r="B3680" s="291"/>
      <c r="E3680" s="212"/>
    </row>
    <row r="3681" spans="2:5" x14ac:dyDescent="0.2">
      <c r="B3681" s="291"/>
      <c r="E3681" s="212"/>
    </row>
    <row r="3682" spans="2:5" x14ac:dyDescent="0.2">
      <c r="B3682" s="291"/>
      <c r="E3682" s="212"/>
    </row>
    <row r="3683" spans="2:5" x14ac:dyDescent="0.2">
      <c r="B3683" s="291"/>
      <c r="E3683" s="212"/>
    </row>
    <row r="3684" spans="2:5" x14ac:dyDescent="0.2">
      <c r="B3684" s="291"/>
      <c r="E3684" s="212"/>
    </row>
    <row r="3685" spans="2:5" x14ac:dyDescent="0.2">
      <c r="B3685" s="291"/>
      <c r="E3685" s="212"/>
    </row>
    <row r="3686" spans="2:5" x14ac:dyDescent="0.2">
      <c r="B3686" s="291"/>
      <c r="E3686" s="212"/>
    </row>
    <row r="3687" spans="2:5" x14ac:dyDescent="0.2">
      <c r="B3687" s="291"/>
      <c r="E3687" s="212"/>
    </row>
    <row r="3688" spans="2:5" x14ac:dyDescent="0.2">
      <c r="B3688" s="291"/>
      <c r="E3688" s="212"/>
    </row>
    <row r="3689" spans="2:5" x14ac:dyDescent="0.2">
      <c r="B3689" s="291"/>
      <c r="E3689" s="212"/>
    </row>
    <row r="3690" spans="2:5" x14ac:dyDescent="0.2">
      <c r="B3690" s="291"/>
      <c r="E3690" s="212"/>
    </row>
    <row r="3691" spans="2:5" x14ac:dyDescent="0.2">
      <c r="B3691" s="291"/>
      <c r="E3691" s="212"/>
    </row>
    <row r="3692" spans="2:5" x14ac:dyDescent="0.2">
      <c r="B3692" s="291"/>
      <c r="E3692" s="212"/>
    </row>
    <row r="3693" spans="2:5" x14ac:dyDescent="0.2">
      <c r="B3693" s="291"/>
      <c r="E3693" s="212"/>
    </row>
    <row r="3694" spans="2:5" x14ac:dyDescent="0.2">
      <c r="B3694" s="291"/>
      <c r="E3694" s="212"/>
    </row>
    <row r="3695" spans="2:5" x14ac:dyDescent="0.2">
      <c r="B3695" s="291"/>
      <c r="E3695" s="212"/>
    </row>
    <row r="3696" spans="2:5" x14ac:dyDescent="0.2">
      <c r="B3696" s="291"/>
      <c r="E3696" s="212"/>
    </row>
    <row r="3697" spans="2:5" x14ac:dyDescent="0.2">
      <c r="B3697" s="291"/>
      <c r="E3697" s="212"/>
    </row>
    <row r="3698" spans="2:5" x14ac:dyDescent="0.2">
      <c r="B3698" s="291"/>
      <c r="E3698" s="212"/>
    </row>
    <row r="3699" spans="2:5" x14ac:dyDescent="0.2">
      <c r="B3699" s="291"/>
      <c r="E3699" s="212"/>
    </row>
    <row r="3700" spans="2:5" x14ac:dyDescent="0.2">
      <c r="B3700" s="291"/>
      <c r="E3700" s="212"/>
    </row>
    <row r="3701" spans="2:5" x14ac:dyDescent="0.2">
      <c r="B3701" s="291"/>
      <c r="E3701" s="212"/>
    </row>
    <row r="3702" spans="2:5" x14ac:dyDescent="0.2">
      <c r="B3702" s="291"/>
      <c r="E3702" s="212"/>
    </row>
    <row r="3703" spans="2:5" x14ac:dyDescent="0.2">
      <c r="B3703" s="291"/>
      <c r="E3703" s="212"/>
    </row>
    <row r="3704" spans="2:5" x14ac:dyDescent="0.2">
      <c r="B3704" s="291"/>
      <c r="E3704" s="212"/>
    </row>
    <row r="3705" spans="2:5" x14ac:dyDescent="0.2">
      <c r="B3705" s="291"/>
      <c r="E3705" s="212"/>
    </row>
    <row r="3706" spans="2:5" x14ac:dyDescent="0.2">
      <c r="B3706" s="291"/>
      <c r="E3706" s="212"/>
    </row>
    <row r="3707" spans="2:5" x14ac:dyDescent="0.2">
      <c r="B3707" s="291"/>
      <c r="E3707" s="212"/>
    </row>
    <row r="3708" spans="2:5" x14ac:dyDescent="0.2">
      <c r="B3708" s="291"/>
      <c r="E3708" s="212"/>
    </row>
    <row r="3709" spans="2:5" x14ac:dyDescent="0.2">
      <c r="B3709" s="291"/>
      <c r="E3709" s="212"/>
    </row>
    <row r="3710" spans="2:5" x14ac:dyDescent="0.2">
      <c r="B3710" s="291"/>
      <c r="E3710" s="212"/>
    </row>
    <row r="3711" spans="2:5" x14ac:dyDescent="0.2">
      <c r="B3711" s="291"/>
      <c r="E3711" s="212"/>
    </row>
    <row r="3712" spans="2:5" x14ac:dyDescent="0.2">
      <c r="B3712" s="291"/>
      <c r="E3712" s="212"/>
    </row>
    <row r="3713" spans="2:5" x14ac:dyDescent="0.2">
      <c r="B3713" s="291"/>
      <c r="E3713" s="212"/>
    </row>
    <row r="3714" spans="2:5" x14ac:dyDescent="0.2">
      <c r="B3714" s="291"/>
      <c r="E3714" s="212"/>
    </row>
    <row r="3715" spans="2:5" x14ac:dyDescent="0.2">
      <c r="B3715" s="291"/>
      <c r="E3715" s="212"/>
    </row>
    <row r="3716" spans="2:5" x14ac:dyDescent="0.2">
      <c r="B3716" s="291"/>
      <c r="E3716" s="212"/>
    </row>
    <row r="3717" spans="2:5" x14ac:dyDescent="0.2">
      <c r="B3717" s="291"/>
      <c r="E3717" s="212"/>
    </row>
    <row r="3718" spans="2:5" x14ac:dyDescent="0.2">
      <c r="B3718" s="291"/>
      <c r="E3718" s="212"/>
    </row>
    <row r="3719" spans="2:5" x14ac:dyDescent="0.2">
      <c r="B3719" s="291"/>
      <c r="E3719" s="212"/>
    </row>
    <row r="3720" spans="2:5" x14ac:dyDescent="0.2">
      <c r="B3720" s="291"/>
      <c r="E3720" s="212"/>
    </row>
    <row r="3721" spans="2:5" x14ac:dyDescent="0.2">
      <c r="B3721" s="291"/>
      <c r="E3721" s="212"/>
    </row>
    <row r="3722" spans="2:5" x14ac:dyDescent="0.2">
      <c r="B3722" s="291"/>
      <c r="E3722" s="212"/>
    </row>
    <row r="3723" spans="2:5" x14ac:dyDescent="0.2">
      <c r="B3723" s="291"/>
      <c r="E3723" s="212"/>
    </row>
    <row r="3724" spans="2:5" x14ac:dyDescent="0.2">
      <c r="B3724" s="291"/>
      <c r="E3724" s="212"/>
    </row>
    <row r="3725" spans="2:5" x14ac:dyDescent="0.2">
      <c r="B3725" s="291"/>
      <c r="E3725" s="212"/>
    </row>
    <row r="3726" spans="2:5" x14ac:dyDescent="0.2">
      <c r="B3726" s="291"/>
      <c r="E3726" s="212"/>
    </row>
    <row r="3727" spans="2:5" x14ac:dyDescent="0.2">
      <c r="B3727" s="291"/>
      <c r="E3727" s="212"/>
    </row>
    <row r="3728" spans="2:5" x14ac:dyDescent="0.2">
      <c r="B3728" s="291"/>
      <c r="E3728" s="212"/>
    </row>
    <row r="3729" spans="2:5" x14ac:dyDescent="0.2">
      <c r="B3729" s="291"/>
      <c r="E3729" s="212"/>
    </row>
    <row r="3730" spans="2:5" x14ac:dyDescent="0.2">
      <c r="B3730" s="291"/>
      <c r="E3730" s="212"/>
    </row>
    <row r="3731" spans="2:5" x14ac:dyDescent="0.2">
      <c r="B3731" s="291"/>
      <c r="E3731" s="212"/>
    </row>
    <row r="3732" spans="2:5" x14ac:dyDescent="0.2">
      <c r="B3732" s="291"/>
      <c r="E3732" s="212"/>
    </row>
    <row r="3733" spans="2:5" x14ac:dyDescent="0.2">
      <c r="B3733" s="291"/>
      <c r="E3733" s="212"/>
    </row>
    <row r="3734" spans="2:5" x14ac:dyDescent="0.2">
      <c r="B3734" s="291"/>
      <c r="E3734" s="212"/>
    </row>
    <row r="3735" spans="2:5" x14ac:dyDescent="0.2">
      <c r="B3735" s="291"/>
      <c r="E3735" s="212"/>
    </row>
    <row r="3736" spans="2:5" x14ac:dyDescent="0.2">
      <c r="B3736" s="291"/>
      <c r="E3736" s="212"/>
    </row>
    <row r="3737" spans="2:5" x14ac:dyDescent="0.2">
      <c r="B3737" s="291"/>
      <c r="E3737" s="212"/>
    </row>
    <row r="3738" spans="2:5" x14ac:dyDescent="0.2">
      <c r="B3738" s="291"/>
      <c r="E3738" s="212"/>
    </row>
    <row r="3739" spans="2:5" x14ac:dyDescent="0.2">
      <c r="B3739" s="291"/>
      <c r="E3739" s="212"/>
    </row>
    <row r="3740" spans="2:5" x14ac:dyDescent="0.2">
      <c r="B3740" s="291"/>
      <c r="E3740" s="212"/>
    </row>
    <row r="3741" spans="2:5" x14ac:dyDescent="0.2">
      <c r="B3741" s="291"/>
      <c r="E3741" s="212"/>
    </row>
    <row r="3742" spans="2:5" x14ac:dyDescent="0.2">
      <c r="B3742" s="291"/>
      <c r="E3742" s="212"/>
    </row>
    <row r="3743" spans="2:5" x14ac:dyDescent="0.2">
      <c r="B3743" s="291"/>
      <c r="E3743" s="212"/>
    </row>
    <row r="3744" spans="2:5" x14ac:dyDescent="0.2">
      <c r="B3744" s="291"/>
      <c r="E3744" s="212"/>
    </row>
    <row r="3745" spans="2:5" x14ac:dyDescent="0.2">
      <c r="B3745" s="291"/>
      <c r="E3745" s="212"/>
    </row>
    <row r="3746" spans="2:5" x14ac:dyDescent="0.2">
      <c r="B3746" s="291"/>
      <c r="E3746" s="212"/>
    </row>
    <row r="3747" spans="2:5" x14ac:dyDescent="0.2">
      <c r="B3747" s="291"/>
      <c r="E3747" s="212"/>
    </row>
    <row r="3748" spans="2:5" x14ac:dyDescent="0.2">
      <c r="B3748" s="291"/>
      <c r="E3748" s="212"/>
    </row>
    <row r="3749" spans="2:5" x14ac:dyDescent="0.2">
      <c r="B3749" s="291"/>
      <c r="E3749" s="212"/>
    </row>
    <row r="3750" spans="2:5" x14ac:dyDescent="0.2">
      <c r="B3750" s="291"/>
      <c r="E3750" s="212"/>
    </row>
    <row r="3751" spans="2:5" x14ac:dyDescent="0.2">
      <c r="B3751" s="291"/>
      <c r="E3751" s="212"/>
    </row>
    <row r="3752" spans="2:5" x14ac:dyDescent="0.2">
      <c r="B3752" s="291"/>
      <c r="E3752" s="212"/>
    </row>
    <row r="3753" spans="2:5" x14ac:dyDescent="0.2">
      <c r="B3753" s="291"/>
      <c r="E3753" s="212"/>
    </row>
    <row r="3754" spans="2:5" x14ac:dyDescent="0.2">
      <c r="B3754" s="291"/>
      <c r="E3754" s="212"/>
    </row>
    <row r="3755" spans="2:5" x14ac:dyDescent="0.2">
      <c r="B3755" s="291"/>
      <c r="E3755" s="212"/>
    </row>
    <row r="3756" spans="2:5" x14ac:dyDescent="0.2">
      <c r="B3756" s="291"/>
      <c r="E3756" s="212"/>
    </row>
    <row r="3757" spans="2:5" x14ac:dyDescent="0.2">
      <c r="B3757" s="291"/>
      <c r="E3757" s="212"/>
    </row>
    <row r="3758" spans="2:5" x14ac:dyDescent="0.2">
      <c r="B3758" s="291"/>
      <c r="E3758" s="212"/>
    </row>
    <row r="3759" spans="2:5" x14ac:dyDescent="0.2">
      <c r="B3759" s="291"/>
      <c r="E3759" s="212"/>
    </row>
    <row r="3760" spans="2:5" x14ac:dyDescent="0.2">
      <c r="B3760" s="291"/>
      <c r="E3760" s="212"/>
    </row>
    <row r="3761" spans="2:5" x14ac:dyDescent="0.2">
      <c r="B3761" s="291"/>
      <c r="E3761" s="212"/>
    </row>
    <row r="3762" spans="2:5" x14ac:dyDescent="0.2">
      <c r="B3762" s="291"/>
      <c r="E3762" s="212"/>
    </row>
    <row r="3763" spans="2:5" x14ac:dyDescent="0.2">
      <c r="B3763" s="291"/>
      <c r="E3763" s="212"/>
    </row>
    <row r="3764" spans="2:5" x14ac:dyDescent="0.2">
      <c r="B3764" s="291"/>
      <c r="E3764" s="212"/>
    </row>
    <row r="3765" spans="2:5" x14ac:dyDescent="0.2">
      <c r="B3765" s="291"/>
      <c r="E3765" s="212"/>
    </row>
    <row r="3766" spans="2:5" x14ac:dyDescent="0.2">
      <c r="B3766" s="291"/>
      <c r="E3766" s="212"/>
    </row>
    <row r="3767" spans="2:5" x14ac:dyDescent="0.2">
      <c r="B3767" s="291"/>
      <c r="E3767" s="212"/>
    </row>
    <row r="3768" spans="2:5" x14ac:dyDescent="0.2">
      <c r="B3768" s="291"/>
      <c r="E3768" s="212"/>
    </row>
    <row r="3769" spans="2:5" x14ac:dyDescent="0.2">
      <c r="B3769" s="291"/>
      <c r="E3769" s="212"/>
    </row>
    <row r="3770" spans="2:5" x14ac:dyDescent="0.2">
      <c r="B3770" s="291"/>
      <c r="E3770" s="212"/>
    </row>
    <row r="3771" spans="2:5" x14ac:dyDescent="0.2">
      <c r="B3771" s="291"/>
      <c r="E3771" s="212"/>
    </row>
    <row r="3772" spans="2:5" x14ac:dyDescent="0.2">
      <c r="B3772" s="291"/>
      <c r="E3772" s="212"/>
    </row>
    <row r="3773" spans="2:5" x14ac:dyDescent="0.2">
      <c r="B3773" s="291"/>
      <c r="E3773" s="212"/>
    </row>
    <row r="3774" spans="2:5" x14ac:dyDescent="0.2">
      <c r="B3774" s="291"/>
      <c r="E3774" s="212"/>
    </row>
    <row r="3775" spans="2:5" x14ac:dyDescent="0.2">
      <c r="B3775" s="291"/>
      <c r="E3775" s="212"/>
    </row>
    <row r="3776" spans="2:5" x14ac:dyDescent="0.2">
      <c r="B3776" s="291"/>
      <c r="E3776" s="212"/>
    </row>
    <row r="3777" spans="2:5" x14ac:dyDescent="0.2">
      <c r="B3777" s="291"/>
      <c r="E3777" s="212"/>
    </row>
    <row r="3778" spans="2:5" x14ac:dyDescent="0.2">
      <c r="B3778" s="291"/>
      <c r="E3778" s="212"/>
    </row>
    <row r="3779" spans="2:5" x14ac:dyDescent="0.2">
      <c r="B3779" s="291"/>
      <c r="E3779" s="212"/>
    </row>
    <row r="3780" spans="2:5" x14ac:dyDescent="0.2">
      <c r="B3780" s="291"/>
      <c r="E3780" s="212"/>
    </row>
    <row r="3781" spans="2:5" x14ac:dyDescent="0.2">
      <c r="B3781" s="291"/>
      <c r="E3781" s="212"/>
    </row>
    <row r="3782" spans="2:5" x14ac:dyDescent="0.2">
      <c r="B3782" s="291"/>
      <c r="E3782" s="212"/>
    </row>
    <row r="3783" spans="2:5" x14ac:dyDescent="0.2">
      <c r="B3783" s="291"/>
      <c r="E3783" s="212"/>
    </row>
    <row r="3784" spans="2:5" x14ac:dyDescent="0.2">
      <c r="B3784" s="291"/>
      <c r="E3784" s="212"/>
    </row>
    <row r="3785" spans="2:5" x14ac:dyDescent="0.2">
      <c r="B3785" s="291"/>
      <c r="E3785" s="212"/>
    </row>
    <row r="3786" spans="2:5" x14ac:dyDescent="0.2">
      <c r="B3786" s="291"/>
      <c r="E3786" s="212"/>
    </row>
    <row r="3787" spans="2:5" x14ac:dyDescent="0.2">
      <c r="B3787" s="291"/>
      <c r="E3787" s="212"/>
    </row>
    <row r="3788" spans="2:5" x14ac:dyDescent="0.2">
      <c r="B3788" s="291"/>
      <c r="E3788" s="212"/>
    </row>
    <row r="3789" spans="2:5" x14ac:dyDescent="0.2">
      <c r="B3789" s="291"/>
      <c r="E3789" s="212"/>
    </row>
    <row r="3790" spans="2:5" x14ac:dyDescent="0.2">
      <c r="B3790" s="291"/>
      <c r="E3790" s="212"/>
    </row>
    <row r="3791" spans="2:5" x14ac:dyDescent="0.2">
      <c r="B3791" s="291"/>
      <c r="E3791" s="212"/>
    </row>
    <row r="3792" spans="2:5" x14ac:dyDescent="0.2">
      <c r="B3792" s="291"/>
      <c r="E3792" s="212"/>
    </row>
    <row r="3793" spans="2:5" x14ac:dyDescent="0.2">
      <c r="B3793" s="291"/>
      <c r="E3793" s="212"/>
    </row>
    <row r="3794" spans="2:5" x14ac:dyDescent="0.2">
      <c r="B3794" s="291"/>
      <c r="E3794" s="212"/>
    </row>
    <row r="3795" spans="2:5" x14ac:dyDescent="0.2">
      <c r="B3795" s="291"/>
      <c r="E3795" s="212"/>
    </row>
    <row r="3796" spans="2:5" x14ac:dyDescent="0.2">
      <c r="B3796" s="291"/>
      <c r="E3796" s="212"/>
    </row>
    <row r="3797" spans="2:5" x14ac:dyDescent="0.2">
      <c r="B3797" s="291"/>
      <c r="E3797" s="212"/>
    </row>
    <row r="3798" spans="2:5" x14ac:dyDescent="0.2">
      <c r="B3798" s="291"/>
      <c r="E3798" s="212"/>
    </row>
    <row r="3799" spans="2:5" x14ac:dyDescent="0.2">
      <c r="B3799" s="291"/>
      <c r="E3799" s="212"/>
    </row>
    <row r="3800" spans="2:5" x14ac:dyDescent="0.2">
      <c r="B3800" s="291"/>
      <c r="E3800" s="212"/>
    </row>
    <row r="3801" spans="2:5" x14ac:dyDescent="0.2">
      <c r="B3801" s="291"/>
      <c r="E3801" s="212"/>
    </row>
    <row r="3802" spans="2:5" x14ac:dyDescent="0.2">
      <c r="B3802" s="291"/>
      <c r="E3802" s="212"/>
    </row>
    <row r="3803" spans="2:5" x14ac:dyDescent="0.2">
      <c r="B3803" s="291"/>
      <c r="E3803" s="212"/>
    </row>
    <row r="3804" spans="2:5" x14ac:dyDescent="0.2">
      <c r="B3804" s="291"/>
      <c r="E3804" s="212"/>
    </row>
    <row r="3805" spans="2:5" x14ac:dyDescent="0.2">
      <c r="B3805" s="291"/>
      <c r="E3805" s="212"/>
    </row>
    <row r="3806" spans="2:5" x14ac:dyDescent="0.2">
      <c r="B3806" s="291"/>
      <c r="E3806" s="212"/>
    </row>
    <row r="3807" spans="2:5" x14ac:dyDescent="0.2">
      <c r="B3807" s="291"/>
      <c r="E3807" s="212"/>
    </row>
    <row r="3808" spans="2:5" x14ac:dyDescent="0.2">
      <c r="B3808" s="291"/>
      <c r="E3808" s="212"/>
    </row>
    <row r="3809" spans="2:5" x14ac:dyDescent="0.2">
      <c r="B3809" s="291"/>
      <c r="E3809" s="212"/>
    </row>
    <row r="3810" spans="2:5" x14ac:dyDescent="0.2">
      <c r="B3810" s="291"/>
      <c r="E3810" s="212"/>
    </row>
    <row r="3811" spans="2:5" x14ac:dyDescent="0.2">
      <c r="B3811" s="291"/>
      <c r="E3811" s="212"/>
    </row>
    <row r="3812" spans="2:5" x14ac:dyDescent="0.2">
      <c r="B3812" s="291"/>
      <c r="E3812" s="212"/>
    </row>
    <row r="3813" spans="2:5" x14ac:dyDescent="0.2">
      <c r="B3813" s="291"/>
      <c r="E3813" s="212"/>
    </row>
    <row r="3814" spans="2:5" x14ac:dyDescent="0.2">
      <c r="B3814" s="291"/>
      <c r="E3814" s="212"/>
    </row>
    <row r="3815" spans="2:5" x14ac:dyDescent="0.2">
      <c r="B3815" s="291"/>
      <c r="E3815" s="212"/>
    </row>
    <row r="3816" spans="2:5" x14ac:dyDescent="0.2">
      <c r="B3816" s="291"/>
      <c r="E3816" s="212"/>
    </row>
    <row r="3817" spans="2:5" x14ac:dyDescent="0.2">
      <c r="B3817" s="291"/>
      <c r="E3817" s="212"/>
    </row>
    <row r="3818" spans="2:5" x14ac:dyDescent="0.2">
      <c r="B3818" s="291"/>
      <c r="E3818" s="212"/>
    </row>
    <row r="3819" spans="2:5" x14ac:dyDescent="0.2">
      <c r="B3819" s="291"/>
      <c r="E3819" s="212"/>
    </row>
    <row r="3820" spans="2:5" x14ac:dyDescent="0.2">
      <c r="B3820" s="291"/>
      <c r="E3820" s="212"/>
    </row>
    <row r="3821" spans="2:5" x14ac:dyDescent="0.2">
      <c r="B3821" s="291"/>
      <c r="E3821" s="212"/>
    </row>
    <row r="3822" spans="2:5" x14ac:dyDescent="0.2">
      <c r="B3822" s="291"/>
      <c r="E3822" s="212"/>
    </row>
    <row r="3823" spans="2:5" x14ac:dyDescent="0.2">
      <c r="B3823" s="291"/>
      <c r="E3823" s="212"/>
    </row>
    <row r="3824" spans="2:5" x14ac:dyDescent="0.2">
      <c r="B3824" s="291"/>
      <c r="E3824" s="212"/>
    </row>
    <row r="3825" spans="2:5" x14ac:dyDescent="0.2">
      <c r="B3825" s="291"/>
      <c r="E3825" s="212"/>
    </row>
    <row r="3826" spans="2:5" x14ac:dyDescent="0.2">
      <c r="B3826" s="291"/>
      <c r="E3826" s="212"/>
    </row>
    <row r="3827" spans="2:5" x14ac:dyDescent="0.2">
      <c r="B3827" s="291"/>
      <c r="E3827" s="212"/>
    </row>
    <row r="3828" spans="2:5" x14ac:dyDescent="0.2">
      <c r="B3828" s="291"/>
      <c r="E3828" s="212"/>
    </row>
    <row r="3829" spans="2:5" x14ac:dyDescent="0.2">
      <c r="B3829" s="291"/>
      <c r="E3829" s="212"/>
    </row>
    <row r="3830" spans="2:5" x14ac:dyDescent="0.2">
      <c r="B3830" s="291"/>
      <c r="E3830" s="212"/>
    </row>
    <row r="3831" spans="2:5" x14ac:dyDescent="0.2">
      <c r="B3831" s="291"/>
      <c r="E3831" s="212"/>
    </row>
    <row r="3832" spans="2:5" x14ac:dyDescent="0.2">
      <c r="B3832" s="291"/>
      <c r="E3832" s="212"/>
    </row>
    <row r="3833" spans="2:5" x14ac:dyDescent="0.2">
      <c r="B3833" s="291"/>
      <c r="E3833" s="212"/>
    </row>
    <row r="3834" spans="2:5" x14ac:dyDescent="0.2">
      <c r="B3834" s="291"/>
      <c r="E3834" s="212"/>
    </row>
    <row r="3835" spans="2:5" x14ac:dyDescent="0.2">
      <c r="B3835" s="291"/>
      <c r="E3835" s="212"/>
    </row>
    <row r="3836" spans="2:5" x14ac:dyDescent="0.2">
      <c r="B3836" s="291"/>
      <c r="E3836" s="212"/>
    </row>
    <row r="3837" spans="2:5" x14ac:dyDescent="0.2">
      <c r="B3837" s="291"/>
      <c r="E3837" s="212"/>
    </row>
    <row r="3838" spans="2:5" x14ac:dyDescent="0.2">
      <c r="B3838" s="291"/>
      <c r="E3838" s="212"/>
    </row>
    <row r="3839" spans="2:5" x14ac:dyDescent="0.2">
      <c r="B3839" s="291"/>
      <c r="E3839" s="212"/>
    </row>
    <row r="3840" spans="2:5" x14ac:dyDescent="0.2">
      <c r="B3840" s="291"/>
      <c r="E3840" s="212"/>
    </row>
    <row r="3841" spans="2:5" x14ac:dyDescent="0.2">
      <c r="B3841" s="291"/>
      <c r="E3841" s="212"/>
    </row>
    <row r="3842" spans="2:5" x14ac:dyDescent="0.2">
      <c r="B3842" s="291"/>
      <c r="E3842" s="212"/>
    </row>
    <row r="3843" spans="2:5" x14ac:dyDescent="0.2">
      <c r="B3843" s="291"/>
      <c r="E3843" s="212"/>
    </row>
    <row r="3844" spans="2:5" x14ac:dyDescent="0.2">
      <c r="B3844" s="291"/>
      <c r="E3844" s="212"/>
    </row>
    <row r="3845" spans="2:5" x14ac:dyDescent="0.2">
      <c r="B3845" s="291"/>
      <c r="E3845" s="212"/>
    </row>
    <row r="3846" spans="2:5" x14ac:dyDescent="0.2">
      <c r="B3846" s="291"/>
      <c r="E3846" s="212"/>
    </row>
    <row r="3847" spans="2:5" x14ac:dyDescent="0.2">
      <c r="B3847" s="291"/>
      <c r="E3847" s="212"/>
    </row>
    <row r="3848" spans="2:5" x14ac:dyDescent="0.2">
      <c r="B3848" s="291"/>
      <c r="E3848" s="212"/>
    </row>
    <row r="3849" spans="2:5" x14ac:dyDescent="0.2">
      <c r="B3849" s="291"/>
      <c r="E3849" s="212"/>
    </row>
    <row r="3850" spans="2:5" x14ac:dyDescent="0.2">
      <c r="B3850" s="291"/>
      <c r="E3850" s="212"/>
    </row>
    <row r="3851" spans="2:5" x14ac:dyDescent="0.2">
      <c r="B3851" s="291"/>
      <c r="E3851" s="212"/>
    </row>
    <row r="3852" spans="2:5" x14ac:dyDescent="0.2">
      <c r="B3852" s="291"/>
      <c r="E3852" s="212"/>
    </row>
    <row r="3853" spans="2:5" x14ac:dyDescent="0.2">
      <c r="B3853" s="291"/>
      <c r="E3853" s="212"/>
    </row>
    <row r="3854" spans="2:5" x14ac:dyDescent="0.2">
      <c r="B3854" s="291"/>
      <c r="E3854" s="212"/>
    </row>
    <row r="3855" spans="2:5" x14ac:dyDescent="0.2">
      <c r="B3855" s="291"/>
      <c r="E3855" s="212"/>
    </row>
    <row r="3856" spans="2:5" x14ac:dyDescent="0.2">
      <c r="B3856" s="291"/>
      <c r="E3856" s="212"/>
    </row>
    <row r="3857" spans="2:5" x14ac:dyDescent="0.2">
      <c r="B3857" s="291"/>
      <c r="E3857" s="212"/>
    </row>
    <row r="3858" spans="2:5" x14ac:dyDescent="0.2">
      <c r="B3858" s="291"/>
      <c r="E3858" s="212"/>
    </row>
    <row r="3859" spans="2:5" x14ac:dyDescent="0.2">
      <c r="B3859" s="291"/>
      <c r="E3859" s="212"/>
    </row>
    <row r="3860" spans="2:5" x14ac:dyDescent="0.2">
      <c r="B3860" s="291"/>
      <c r="E3860" s="212"/>
    </row>
    <row r="3861" spans="2:5" x14ac:dyDescent="0.2">
      <c r="B3861" s="291"/>
      <c r="E3861" s="212"/>
    </row>
    <row r="3862" spans="2:5" x14ac:dyDescent="0.2">
      <c r="B3862" s="291"/>
      <c r="E3862" s="212"/>
    </row>
    <row r="3863" spans="2:5" x14ac:dyDescent="0.2">
      <c r="B3863" s="291"/>
      <c r="E3863" s="212"/>
    </row>
    <row r="3864" spans="2:5" x14ac:dyDescent="0.2">
      <c r="B3864" s="291"/>
      <c r="E3864" s="212"/>
    </row>
    <row r="3865" spans="2:5" x14ac:dyDescent="0.2">
      <c r="B3865" s="291"/>
      <c r="E3865" s="212"/>
    </row>
    <row r="3866" spans="2:5" x14ac:dyDescent="0.2">
      <c r="B3866" s="291"/>
      <c r="E3866" s="212"/>
    </row>
    <row r="3867" spans="2:5" x14ac:dyDescent="0.2">
      <c r="B3867" s="291"/>
      <c r="E3867" s="212"/>
    </row>
    <row r="3868" spans="2:5" x14ac:dyDescent="0.2">
      <c r="B3868" s="291"/>
      <c r="E3868" s="212"/>
    </row>
    <row r="3869" spans="2:5" x14ac:dyDescent="0.2">
      <c r="B3869" s="291"/>
      <c r="E3869" s="212"/>
    </row>
    <row r="3870" spans="2:5" x14ac:dyDescent="0.2">
      <c r="B3870" s="291"/>
      <c r="E3870" s="212"/>
    </row>
    <row r="3871" spans="2:5" x14ac:dyDescent="0.2">
      <c r="B3871" s="291"/>
      <c r="E3871" s="212"/>
    </row>
    <row r="3872" spans="2:5" x14ac:dyDescent="0.2">
      <c r="B3872" s="291"/>
      <c r="E3872" s="212"/>
    </row>
    <row r="3873" spans="2:5" x14ac:dyDescent="0.2">
      <c r="B3873" s="291"/>
      <c r="E3873" s="212"/>
    </row>
    <row r="3874" spans="2:5" x14ac:dyDescent="0.2">
      <c r="B3874" s="291"/>
      <c r="E3874" s="212"/>
    </row>
    <row r="3875" spans="2:5" x14ac:dyDescent="0.2">
      <c r="B3875" s="291"/>
      <c r="E3875" s="212"/>
    </row>
    <row r="3876" spans="2:5" x14ac:dyDescent="0.2">
      <c r="B3876" s="291"/>
      <c r="E3876" s="212"/>
    </row>
    <row r="3877" spans="2:5" x14ac:dyDescent="0.2">
      <c r="B3877" s="291"/>
      <c r="E3877" s="212"/>
    </row>
    <row r="3878" spans="2:5" x14ac:dyDescent="0.2">
      <c r="B3878" s="291"/>
      <c r="E3878" s="212"/>
    </row>
    <row r="3879" spans="2:5" x14ac:dyDescent="0.2">
      <c r="B3879" s="291"/>
      <c r="E3879" s="212"/>
    </row>
    <row r="3880" spans="2:5" x14ac:dyDescent="0.2">
      <c r="B3880" s="291"/>
      <c r="E3880" s="212"/>
    </row>
    <row r="3881" spans="2:5" x14ac:dyDescent="0.2">
      <c r="B3881" s="291"/>
      <c r="E3881" s="212"/>
    </row>
    <row r="3882" spans="2:5" x14ac:dyDescent="0.2">
      <c r="B3882" s="291"/>
      <c r="E3882" s="212"/>
    </row>
    <row r="3883" spans="2:5" x14ac:dyDescent="0.2">
      <c r="B3883" s="291"/>
      <c r="E3883" s="212"/>
    </row>
    <row r="3884" spans="2:5" x14ac:dyDescent="0.2">
      <c r="B3884" s="291"/>
      <c r="E3884" s="212"/>
    </row>
    <row r="3885" spans="2:5" x14ac:dyDescent="0.2">
      <c r="B3885" s="291"/>
      <c r="E3885" s="212"/>
    </row>
    <row r="3886" spans="2:5" x14ac:dyDescent="0.2">
      <c r="B3886" s="291"/>
      <c r="E3886" s="212"/>
    </row>
    <row r="3887" spans="2:5" x14ac:dyDescent="0.2">
      <c r="B3887" s="291"/>
      <c r="E3887" s="212"/>
    </row>
    <row r="3888" spans="2:5" x14ac:dyDescent="0.2">
      <c r="B3888" s="291"/>
      <c r="E3888" s="212"/>
    </row>
    <row r="3889" spans="2:5" x14ac:dyDescent="0.2">
      <c r="B3889" s="291"/>
      <c r="E3889" s="212"/>
    </row>
    <row r="3890" spans="2:5" x14ac:dyDescent="0.2">
      <c r="B3890" s="291"/>
      <c r="E3890" s="212"/>
    </row>
    <row r="3891" spans="2:5" x14ac:dyDescent="0.2">
      <c r="B3891" s="291"/>
      <c r="E3891" s="212"/>
    </row>
    <row r="3892" spans="2:5" x14ac:dyDescent="0.2">
      <c r="B3892" s="291"/>
      <c r="E3892" s="212"/>
    </row>
    <row r="3893" spans="2:5" x14ac:dyDescent="0.2">
      <c r="B3893" s="291"/>
      <c r="E3893" s="212"/>
    </row>
    <row r="3894" spans="2:5" x14ac:dyDescent="0.2">
      <c r="B3894" s="291"/>
      <c r="E3894" s="212"/>
    </row>
    <row r="3895" spans="2:5" x14ac:dyDescent="0.2">
      <c r="B3895" s="291"/>
      <c r="E3895" s="212"/>
    </row>
    <row r="3896" spans="2:5" x14ac:dyDescent="0.2">
      <c r="B3896" s="291"/>
      <c r="E3896" s="212"/>
    </row>
    <row r="3897" spans="2:5" x14ac:dyDescent="0.2">
      <c r="B3897" s="291"/>
      <c r="E3897" s="212"/>
    </row>
    <row r="3898" spans="2:5" x14ac:dyDescent="0.2">
      <c r="B3898" s="291"/>
      <c r="E3898" s="212"/>
    </row>
    <row r="3899" spans="2:5" x14ac:dyDescent="0.2">
      <c r="B3899" s="291"/>
      <c r="E3899" s="212"/>
    </row>
    <row r="3900" spans="2:5" x14ac:dyDescent="0.2">
      <c r="B3900" s="291"/>
      <c r="E3900" s="212"/>
    </row>
    <row r="3901" spans="2:5" x14ac:dyDescent="0.2">
      <c r="B3901" s="291"/>
      <c r="E3901" s="212"/>
    </row>
    <row r="3902" spans="2:5" x14ac:dyDescent="0.2">
      <c r="B3902" s="291"/>
      <c r="E3902" s="212"/>
    </row>
    <row r="3903" spans="2:5" x14ac:dyDescent="0.2">
      <c r="B3903" s="291"/>
      <c r="E3903" s="212"/>
    </row>
    <row r="3904" spans="2:5" x14ac:dyDescent="0.2">
      <c r="B3904" s="291"/>
      <c r="E3904" s="212"/>
    </row>
    <row r="3905" spans="2:5" x14ac:dyDescent="0.2">
      <c r="B3905" s="291"/>
      <c r="E3905" s="212"/>
    </row>
    <row r="3906" spans="2:5" x14ac:dyDescent="0.2">
      <c r="B3906" s="291"/>
      <c r="E3906" s="212"/>
    </row>
    <row r="3907" spans="2:5" x14ac:dyDescent="0.2">
      <c r="B3907" s="291"/>
      <c r="E3907" s="212"/>
    </row>
    <row r="3908" spans="2:5" x14ac:dyDescent="0.2">
      <c r="B3908" s="291"/>
      <c r="E3908" s="212"/>
    </row>
    <row r="3909" spans="2:5" x14ac:dyDescent="0.2">
      <c r="B3909" s="291"/>
      <c r="E3909" s="212"/>
    </row>
    <row r="3910" spans="2:5" x14ac:dyDescent="0.2">
      <c r="B3910" s="291"/>
      <c r="E3910" s="212"/>
    </row>
    <row r="3911" spans="2:5" x14ac:dyDescent="0.2">
      <c r="B3911" s="291"/>
      <c r="E3911" s="212"/>
    </row>
    <row r="3912" spans="2:5" x14ac:dyDescent="0.2">
      <c r="B3912" s="291"/>
      <c r="E3912" s="212"/>
    </row>
    <row r="3913" spans="2:5" x14ac:dyDescent="0.2">
      <c r="B3913" s="291"/>
      <c r="E3913" s="212"/>
    </row>
    <row r="3914" spans="2:5" x14ac:dyDescent="0.2">
      <c r="B3914" s="291"/>
      <c r="E3914" s="212"/>
    </row>
    <row r="3915" spans="2:5" x14ac:dyDescent="0.2">
      <c r="B3915" s="291"/>
      <c r="E3915" s="212"/>
    </row>
    <row r="3916" spans="2:5" x14ac:dyDescent="0.2">
      <c r="B3916" s="291"/>
      <c r="E3916" s="212"/>
    </row>
    <row r="3917" spans="2:5" x14ac:dyDescent="0.2">
      <c r="B3917" s="291"/>
      <c r="E3917" s="212"/>
    </row>
    <row r="3918" spans="2:5" x14ac:dyDescent="0.2">
      <c r="B3918" s="291"/>
      <c r="E3918" s="212"/>
    </row>
    <row r="3919" spans="2:5" x14ac:dyDescent="0.2">
      <c r="B3919" s="291"/>
      <c r="E3919" s="212"/>
    </row>
    <row r="3920" spans="2:5" x14ac:dyDescent="0.2">
      <c r="B3920" s="291"/>
      <c r="E3920" s="212"/>
    </row>
    <row r="3921" spans="2:5" x14ac:dyDescent="0.2">
      <c r="B3921" s="291"/>
      <c r="E3921" s="212"/>
    </row>
    <row r="3922" spans="2:5" x14ac:dyDescent="0.2">
      <c r="B3922" s="291"/>
      <c r="E3922" s="212"/>
    </row>
    <row r="3923" spans="2:5" x14ac:dyDescent="0.2">
      <c r="B3923" s="291"/>
      <c r="E3923" s="212"/>
    </row>
    <row r="3924" spans="2:5" x14ac:dyDescent="0.2">
      <c r="B3924" s="291"/>
      <c r="E3924" s="212"/>
    </row>
    <row r="3925" spans="2:5" x14ac:dyDescent="0.2">
      <c r="B3925" s="291"/>
      <c r="E3925" s="212"/>
    </row>
    <row r="3926" spans="2:5" x14ac:dyDescent="0.2">
      <c r="B3926" s="291"/>
      <c r="E3926" s="212"/>
    </row>
    <row r="3927" spans="2:5" x14ac:dyDescent="0.2">
      <c r="B3927" s="291"/>
      <c r="E3927" s="212"/>
    </row>
    <row r="3928" spans="2:5" x14ac:dyDescent="0.2">
      <c r="B3928" s="291"/>
      <c r="E3928" s="212"/>
    </row>
    <row r="3929" spans="2:5" x14ac:dyDescent="0.2">
      <c r="B3929" s="291"/>
      <c r="E3929" s="212"/>
    </row>
    <row r="3930" spans="2:5" x14ac:dyDescent="0.2">
      <c r="B3930" s="291"/>
      <c r="E3930" s="212"/>
    </row>
    <row r="3931" spans="2:5" x14ac:dyDescent="0.2">
      <c r="B3931" s="291"/>
      <c r="E3931" s="212"/>
    </row>
    <row r="3932" spans="2:5" x14ac:dyDescent="0.2">
      <c r="B3932" s="291"/>
      <c r="E3932" s="212"/>
    </row>
    <row r="3933" spans="2:5" x14ac:dyDescent="0.2">
      <c r="B3933" s="291"/>
      <c r="E3933" s="212"/>
    </row>
    <row r="3934" spans="2:5" x14ac:dyDescent="0.2">
      <c r="B3934" s="291"/>
      <c r="E3934" s="212"/>
    </row>
    <row r="3935" spans="2:5" x14ac:dyDescent="0.2">
      <c r="B3935" s="291"/>
      <c r="E3935" s="212"/>
    </row>
    <row r="3936" spans="2:5" x14ac:dyDescent="0.2">
      <c r="B3936" s="291"/>
      <c r="E3936" s="212"/>
    </row>
    <row r="3937" spans="2:5" x14ac:dyDescent="0.2">
      <c r="B3937" s="291"/>
      <c r="E3937" s="212"/>
    </row>
    <row r="3938" spans="2:5" x14ac:dyDescent="0.2">
      <c r="B3938" s="291"/>
      <c r="E3938" s="212"/>
    </row>
    <row r="3939" spans="2:5" x14ac:dyDescent="0.2">
      <c r="B3939" s="291"/>
      <c r="E3939" s="212"/>
    </row>
    <row r="3940" spans="2:5" x14ac:dyDescent="0.2">
      <c r="B3940" s="291"/>
      <c r="E3940" s="212"/>
    </row>
    <row r="3941" spans="2:5" x14ac:dyDescent="0.2">
      <c r="B3941" s="291"/>
      <c r="E3941" s="212"/>
    </row>
    <row r="3942" spans="2:5" x14ac:dyDescent="0.2">
      <c r="B3942" s="291"/>
      <c r="E3942" s="212"/>
    </row>
    <row r="3943" spans="2:5" x14ac:dyDescent="0.2">
      <c r="B3943" s="291"/>
      <c r="E3943" s="212"/>
    </row>
    <row r="3944" spans="2:5" x14ac:dyDescent="0.2">
      <c r="B3944" s="291"/>
      <c r="E3944" s="212"/>
    </row>
    <row r="3945" spans="2:5" x14ac:dyDescent="0.2">
      <c r="B3945" s="291"/>
      <c r="E3945" s="212"/>
    </row>
    <row r="3946" spans="2:5" x14ac:dyDescent="0.2">
      <c r="B3946" s="291"/>
      <c r="E3946" s="212"/>
    </row>
    <row r="3947" spans="2:5" x14ac:dyDescent="0.2">
      <c r="B3947" s="291"/>
      <c r="E3947" s="212"/>
    </row>
    <row r="3948" spans="2:5" x14ac:dyDescent="0.2">
      <c r="B3948" s="291"/>
      <c r="E3948" s="212"/>
    </row>
    <row r="3949" spans="2:5" x14ac:dyDescent="0.2">
      <c r="B3949" s="291"/>
      <c r="E3949" s="212"/>
    </row>
    <row r="3950" spans="2:5" x14ac:dyDescent="0.2">
      <c r="B3950" s="291"/>
      <c r="E3950" s="212"/>
    </row>
    <row r="3951" spans="2:5" x14ac:dyDescent="0.2">
      <c r="B3951" s="291"/>
      <c r="E3951" s="212"/>
    </row>
    <row r="3952" spans="2:5" x14ac:dyDescent="0.2">
      <c r="B3952" s="291"/>
      <c r="E3952" s="212"/>
    </row>
    <row r="3953" spans="2:5" x14ac:dyDescent="0.2">
      <c r="B3953" s="291"/>
      <c r="E3953" s="212"/>
    </row>
    <row r="3954" spans="2:5" x14ac:dyDescent="0.2">
      <c r="B3954" s="291"/>
      <c r="E3954" s="212"/>
    </row>
    <row r="3955" spans="2:5" x14ac:dyDescent="0.2">
      <c r="B3955" s="291"/>
      <c r="E3955" s="212"/>
    </row>
    <row r="3956" spans="2:5" x14ac:dyDescent="0.2">
      <c r="B3956" s="291"/>
      <c r="E3956" s="212"/>
    </row>
    <row r="3957" spans="2:5" x14ac:dyDescent="0.2">
      <c r="B3957" s="291"/>
      <c r="E3957" s="212"/>
    </row>
    <row r="3958" spans="2:5" x14ac:dyDescent="0.2">
      <c r="B3958" s="291"/>
      <c r="E3958" s="212"/>
    </row>
    <row r="3959" spans="2:5" x14ac:dyDescent="0.2">
      <c r="B3959" s="291"/>
      <c r="E3959" s="212"/>
    </row>
    <row r="3960" spans="2:5" x14ac:dyDescent="0.2">
      <c r="B3960" s="291"/>
      <c r="E3960" s="212"/>
    </row>
    <row r="3961" spans="2:5" x14ac:dyDescent="0.2">
      <c r="B3961" s="291"/>
      <c r="E3961" s="212"/>
    </row>
    <row r="3962" spans="2:5" x14ac:dyDescent="0.2">
      <c r="B3962" s="291"/>
      <c r="E3962" s="212"/>
    </row>
    <row r="3963" spans="2:5" x14ac:dyDescent="0.2">
      <c r="B3963" s="291"/>
      <c r="E3963" s="212"/>
    </row>
    <row r="3964" spans="2:5" x14ac:dyDescent="0.2">
      <c r="B3964" s="291"/>
      <c r="E3964" s="212"/>
    </row>
    <row r="3965" spans="2:5" x14ac:dyDescent="0.2">
      <c r="B3965" s="291"/>
      <c r="E3965" s="212"/>
    </row>
    <row r="3966" spans="2:5" x14ac:dyDescent="0.2">
      <c r="B3966" s="291"/>
      <c r="E3966" s="212"/>
    </row>
    <row r="3967" spans="2:5" x14ac:dyDescent="0.2">
      <c r="B3967" s="291"/>
      <c r="E3967" s="212"/>
    </row>
    <row r="3968" spans="2:5" x14ac:dyDescent="0.2">
      <c r="B3968" s="291"/>
      <c r="E3968" s="212"/>
    </row>
    <row r="3969" spans="2:5" x14ac:dyDescent="0.2">
      <c r="B3969" s="291"/>
      <c r="E3969" s="212"/>
    </row>
    <row r="3970" spans="2:5" x14ac:dyDescent="0.2">
      <c r="B3970" s="291"/>
      <c r="E3970" s="212"/>
    </row>
    <row r="3971" spans="2:5" x14ac:dyDescent="0.2">
      <c r="B3971" s="291"/>
      <c r="E3971" s="212"/>
    </row>
    <row r="3972" spans="2:5" x14ac:dyDescent="0.2">
      <c r="B3972" s="291"/>
      <c r="E3972" s="212"/>
    </row>
    <row r="3973" spans="2:5" x14ac:dyDescent="0.2">
      <c r="B3973" s="291"/>
      <c r="E3973" s="212"/>
    </row>
    <row r="3974" spans="2:5" x14ac:dyDescent="0.2">
      <c r="B3974" s="291"/>
      <c r="E3974" s="212"/>
    </row>
    <row r="3975" spans="2:5" x14ac:dyDescent="0.2">
      <c r="B3975" s="291"/>
      <c r="E3975" s="212"/>
    </row>
    <row r="3976" spans="2:5" x14ac:dyDescent="0.2">
      <c r="B3976" s="291"/>
      <c r="E3976" s="212"/>
    </row>
    <row r="3977" spans="2:5" x14ac:dyDescent="0.2">
      <c r="B3977" s="291"/>
      <c r="E3977" s="212"/>
    </row>
    <row r="3978" spans="2:5" x14ac:dyDescent="0.2">
      <c r="B3978" s="291"/>
      <c r="E3978" s="212"/>
    </row>
    <row r="3979" spans="2:5" x14ac:dyDescent="0.2">
      <c r="B3979" s="291"/>
      <c r="E3979" s="212"/>
    </row>
    <row r="3980" spans="2:5" x14ac:dyDescent="0.2">
      <c r="B3980" s="291"/>
      <c r="E3980" s="212"/>
    </row>
    <row r="3981" spans="2:5" x14ac:dyDescent="0.2">
      <c r="B3981" s="291"/>
      <c r="E3981" s="212"/>
    </row>
    <row r="3982" spans="2:5" x14ac:dyDescent="0.2">
      <c r="B3982" s="291"/>
      <c r="E3982" s="212"/>
    </row>
    <row r="3983" spans="2:5" x14ac:dyDescent="0.2">
      <c r="B3983" s="291"/>
      <c r="E3983" s="212"/>
    </row>
    <row r="3984" spans="2:5" x14ac:dyDescent="0.2">
      <c r="B3984" s="291"/>
      <c r="E3984" s="212"/>
    </row>
    <row r="3985" spans="2:5" x14ac:dyDescent="0.2">
      <c r="B3985" s="291"/>
      <c r="E3985" s="212"/>
    </row>
    <row r="3986" spans="2:5" x14ac:dyDescent="0.2">
      <c r="B3986" s="291"/>
      <c r="E3986" s="212"/>
    </row>
    <row r="3987" spans="2:5" x14ac:dyDescent="0.2">
      <c r="B3987" s="291"/>
      <c r="E3987" s="212"/>
    </row>
    <row r="3988" spans="2:5" x14ac:dyDescent="0.2">
      <c r="B3988" s="291"/>
      <c r="E3988" s="212"/>
    </row>
    <row r="3989" spans="2:5" x14ac:dyDescent="0.2">
      <c r="B3989" s="291"/>
      <c r="E3989" s="212"/>
    </row>
    <row r="3990" spans="2:5" x14ac:dyDescent="0.2">
      <c r="B3990" s="291"/>
      <c r="E3990" s="212"/>
    </row>
    <row r="3991" spans="2:5" x14ac:dyDescent="0.2">
      <c r="B3991" s="291"/>
      <c r="E3991" s="212"/>
    </row>
    <row r="3992" spans="2:5" x14ac:dyDescent="0.2">
      <c r="B3992" s="291"/>
      <c r="E3992" s="212"/>
    </row>
    <row r="3993" spans="2:5" x14ac:dyDescent="0.2">
      <c r="B3993" s="291"/>
      <c r="E3993" s="212"/>
    </row>
    <row r="3994" spans="2:5" x14ac:dyDescent="0.2">
      <c r="B3994" s="291"/>
      <c r="E3994" s="212"/>
    </row>
    <row r="3995" spans="2:5" x14ac:dyDescent="0.2">
      <c r="B3995" s="291"/>
      <c r="E3995" s="212"/>
    </row>
    <row r="3996" spans="2:5" x14ac:dyDescent="0.2">
      <c r="B3996" s="291"/>
      <c r="E3996" s="212"/>
    </row>
    <row r="3997" spans="2:5" x14ac:dyDescent="0.2">
      <c r="B3997" s="291"/>
      <c r="E3997" s="212"/>
    </row>
    <row r="3998" spans="2:5" x14ac:dyDescent="0.2">
      <c r="B3998" s="291"/>
      <c r="E3998" s="212"/>
    </row>
    <row r="3999" spans="2:5" x14ac:dyDescent="0.2">
      <c r="B3999" s="291"/>
      <c r="E3999" s="212"/>
    </row>
    <row r="4000" spans="2:5" x14ac:dyDescent="0.2">
      <c r="B4000" s="291"/>
      <c r="E4000" s="212"/>
    </row>
    <row r="4001" spans="2:5" x14ac:dyDescent="0.2">
      <c r="B4001" s="291"/>
      <c r="E4001" s="212"/>
    </row>
    <row r="4002" spans="2:5" x14ac:dyDescent="0.2">
      <c r="B4002" s="291"/>
      <c r="E4002" s="212"/>
    </row>
    <row r="4003" spans="2:5" x14ac:dyDescent="0.2">
      <c r="B4003" s="291"/>
      <c r="E4003" s="212"/>
    </row>
    <row r="4004" spans="2:5" x14ac:dyDescent="0.2">
      <c r="B4004" s="291"/>
      <c r="E4004" s="212"/>
    </row>
    <row r="4005" spans="2:5" x14ac:dyDescent="0.2">
      <c r="B4005" s="291"/>
      <c r="E4005" s="212"/>
    </row>
    <row r="4006" spans="2:5" x14ac:dyDescent="0.2">
      <c r="B4006" s="291"/>
      <c r="E4006" s="212"/>
    </row>
    <row r="4007" spans="2:5" x14ac:dyDescent="0.2">
      <c r="B4007" s="291"/>
      <c r="E4007" s="212"/>
    </row>
    <row r="4008" spans="2:5" x14ac:dyDescent="0.2">
      <c r="B4008" s="291"/>
      <c r="E4008" s="212"/>
    </row>
    <row r="4009" spans="2:5" x14ac:dyDescent="0.2">
      <c r="B4009" s="291"/>
      <c r="E4009" s="212"/>
    </row>
    <row r="4010" spans="2:5" x14ac:dyDescent="0.2">
      <c r="B4010" s="291"/>
      <c r="E4010" s="212"/>
    </row>
    <row r="4011" spans="2:5" x14ac:dyDescent="0.2">
      <c r="B4011" s="291"/>
      <c r="E4011" s="212"/>
    </row>
    <row r="4012" spans="2:5" x14ac:dyDescent="0.2">
      <c r="B4012" s="291"/>
      <c r="E4012" s="212"/>
    </row>
    <row r="4013" spans="2:5" x14ac:dyDescent="0.2">
      <c r="B4013" s="291"/>
      <c r="E4013" s="212"/>
    </row>
    <row r="4014" spans="2:5" x14ac:dyDescent="0.2">
      <c r="B4014" s="291"/>
      <c r="E4014" s="212"/>
    </row>
    <row r="4015" spans="2:5" x14ac:dyDescent="0.2">
      <c r="B4015" s="291"/>
      <c r="E4015" s="212"/>
    </row>
    <row r="4016" spans="2:5" x14ac:dyDescent="0.2">
      <c r="B4016" s="291"/>
      <c r="E4016" s="212"/>
    </row>
    <row r="4017" spans="2:5" x14ac:dyDescent="0.2">
      <c r="B4017" s="291"/>
      <c r="E4017" s="212"/>
    </row>
    <row r="4018" spans="2:5" x14ac:dyDescent="0.2">
      <c r="B4018" s="291"/>
      <c r="E4018" s="212"/>
    </row>
    <row r="4019" spans="2:5" x14ac:dyDescent="0.2">
      <c r="B4019" s="291"/>
      <c r="E4019" s="212"/>
    </row>
    <row r="4020" spans="2:5" x14ac:dyDescent="0.2">
      <c r="B4020" s="291"/>
      <c r="E4020" s="212"/>
    </row>
    <row r="4021" spans="2:5" x14ac:dyDescent="0.2">
      <c r="B4021" s="291"/>
      <c r="E4021" s="212"/>
    </row>
    <row r="4022" spans="2:5" x14ac:dyDescent="0.2">
      <c r="B4022" s="291"/>
      <c r="E4022" s="212"/>
    </row>
    <row r="4023" spans="2:5" x14ac:dyDescent="0.2">
      <c r="B4023" s="291"/>
      <c r="E4023" s="212"/>
    </row>
    <row r="4024" spans="2:5" x14ac:dyDescent="0.2">
      <c r="B4024" s="291"/>
      <c r="E4024" s="212"/>
    </row>
    <row r="4025" spans="2:5" x14ac:dyDescent="0.2">
      <c r="B4025" s="291"/>
      <c r="E4025" s="212"/>
    </row>
    <row r="4026" spans="2:5" x14ac:dyDescent="0.2">
      <c r="B4026" s="291"/>
      <c r="E4026" s="212"/>
    </row>
    <row r="4027" spans="2:5" x14ac:dyDescent="0.2">
      <c r="B4027" s="291"/>
      <c r="E4027" s="212"/>
    </row>
    <row r="4028" spans="2:5" x14ac:dyDescent="0.2">
      <c r="B4028" s="291"/>
      <c r="E4028" s="212"/>
    </row>
    <row r="4029" spans="2:5" x14ac:dyDescent="0.2">
      <c r="B4029" s="291"/>
      <c r="E4029" s="212"/>
    </row>
    <row r="4030" spans="2:5" x14ac:dyDescent="0.2">
      <c r="B4030" s="291"/>
      <c r="E4030" s="212"/>
    </row>
    <row r="4031" spans="2:5" x14ac:dyDescent="0.2">
      <c r="B4031" s="291"/>
      <c r="E4031" s="212"/>
    </row>
    <row r="4032" spans="2:5" x14ac:dyDescent="0.2">
      <c r="B4032" s="291"/>
      <c r="E4032" s="212"/>
    </row>
    <row r="4033" spans="2:5" x14ac:dyDescent="0.2">
      <c r="B4033" s="291"/>
      <c r="E4033" s="212"/>
    </row>
    <row r="4034" spans="2:5" x14ac:dyDescent="0.2">
      <c r="B4034" s="291"/>
      <c r="E4034" s="212"/>
    </row>
    <row r="4035" spans="2:5" x14ac:dyDescent="0.2">
      <c r="B4035" s="291"/>
      <c r="E4035" s="212"/>
    </row>
    <row r="4036" spans="2:5" x14ac:dyDescent="0.2">
      <c r="B4036" s="291"/>
      <c r="E4036" s="212"/>
    </row>
    <row r="4037" spans="2:5" x14ac:dyDescent="0.2">
      <c r="B4037" s="291"/>
      <c r="E4037" s="212"/>
    </row>
    <row r="4038" spans="2:5" x14ac:dyDescent="0.2">
      <c r="B4038" s="291"/>
      <c r="E4038" s="212"/>
    </row>
    <row r="4039" spans="2:5" x14ac:dyDescent="0.2">
      <c r="B4039" s="291"/>
      <c r="E4039" s="212"/>
    </row>
    <row r="4040" spans="2:5" x14ac:dyDescent="0.2">
      <c r="B4040" s="291"/>
      <c r="E4040" s="212"/>
    </row>
    <row r="4041" spans="2:5" x14ac:dyDescent="0.2">
      <c r="B4041" s="291"/>
      <c r="E4041" s="212"/>
    </row>
    <row r="4042" spans="2:5" x14ac:dyDescent="0.2">
      <c r="B4042" s="291"/>
      <c r="E4042" s="212"/>
    </row>
    <row r="4043" spans="2:5" x14ac:dyDescent="0.2">
      <c r="B4043" s="291"/>
      <c r="E4043" s="212"/>
    </row>
    <row r="4044" spans="2:5" x14ac:dyDescent="0.2">
      <c r="B4044" s="291"/>
      <c r="E4044" s="212"/>
    </row>
    <row r="4045" spans="2:5" x14ac:dyDescent="0.2">
      <c r="B4045" s="291"/>
      <c r="E4045" s="212"/>
    </row>
    <row r="4046" spans="2:5" x14ac:dyDescent="0.2">
      <c r="B4046" s="291"/>
      <c r="E4046" s="212"/>
    </row>
    <row r="4047" spans="2:5" x14ac:dyDescent="0.2">
      <c r="B4047" s="291"/>
      <c r="E4047" s="212"/>
    </row>
    <row r="4048" spans="2:5" x14ac:dyDescent="0.2">
      <c r="B4048" s="291"/>
      <c r="E4048" s="212"/>
    </row>
    <row r="4049" spans="2:5" x14ac:dyDescent="0.2">
      <c r="B4049" s="291"/>
      <c r="E4049" s="212"/>
    </row>
    <row r="4050" spans="2:5" x14ac:dyDescent="0.2">
      <c r="B4050" s="291"/>
      <c r="E4050" s="212"/>
    </row>
    <row r="4051" spans="2:5" x14ac:dyDescent="0.2">
      <c r="B4051" s="291"/>
      <c r="E4051" s="212"/>
    </row>
    <row r="4052" spans="2:5" x14ac:dyDescent="0.2">
      <c r="B4052" s="291"/>
      <c r="E4052" s="212"/>
    </row>
    <row r="4053" spans="2:5" x14ac:dyDescent="0.2">
      <c r="B4053" s="291"/>
      <c r="E4053" s="212"/>
    </row>
    <row r="4054" spans="2:5" x14ac:dyDescent="0.2">
      <c r="B4054" s="291"/>
      <c r="E4054" s="212"/>
    </row>
    <row r="4055" spans="2:5" x14ac:dyDescent="0.2">
      <c r="B4055" s="291"/>
      <c r="E4055" s="212"/>
    </row>
    <row r="4056" spans="2:5" x14ac:dyDescent="0.2">
      <c r="B4056" s="291"/>
      <c r="E4056" s="212"/>
    </row>
    <row r="4057" spans="2:5" x14ac:dyDescent="0.2">
      <c r="B4057" s="291"/>
      <c r="E4057" s="212"/>
    </row>
    <row r="4058" spans="2:5" x14ac:dyDescent="0.2">
      <c r="B4058" s="291"/>
      <c r="E4058" s="212"/>
    </row>
    <row r="4059" spans="2:5" x14ac:dyDescent="0.2">
      <c r="B4059" s="291"/>
      <c r="E4059" s="212"/>
    </row>
    <row r="4060" spans="2:5" x14ac:dyDescent="0.2">
      <c r="B4060" s="291"/>
      <c r="E4060" s="212"/>
    </row>
    <row r="4061" spans="2:5" x14ac:dyDescent="0.2">
      <c r="B4061" s="291"/>
      <c r="E4061" s="212"/>
    </row>
    <row r="4062" spans="2:5" x14ac:dyDescent="0.2">
      <c r="B4062" s="291"/>
      <c r="E4062" s="212"/>
    </row>
    <row r="4063" spans="2:5" x14ac:dyDescent="0.2">
      <c r="B4063" s="291"/>
      <c r="E4063" s="212"/>
    </row>
    <row r="4064" spans="2:5" x14ac:dyDescent="0.2">
      <c r="B4064" s="291"/>
      <c r="E4064" s="212"/>
    </row>
    <row r="4065" spans="2:5" x14ac:dyDescent="0.2">
      <c r="B4065" s="291"/>
      <c r="E4065" s="212"/>
    </row>
    <row r="4066" spans="2:5" x14ac:dyDescent="0.2">
      <c r="B4066" s="291"/>
      <c r="E4066" s="212"/>
    </row>
    <row r="4067" spans="2:5" x14ac:dyDescent="0.2">
      <c r="B4067" s="291"/>
      <c r="E4067" s="212"/>
    </row>
    <row r="4068" spans="2:5" x14ac:dyDescent="0.2">
      <c r="B4068" s="291"/>
      <c r="E4068" s="212"/>
    </row>
    <row r="4069" spans="2:5" x14ac:dyDescent="0.2">
      <c r="B4069" s="291"/>
      <c r="E4069" s="212"/>
    </row>
    <row r="4070" spans="2:5" x14ac:dyDescent="0.2">
      <c r="B4070" s="291"/>
      <c r="E4070" s="212"/>
    </row>
    <row r="4071" spans="2:5" x14ac:dyDescent="0.2">
      <c r="B4071" s="291"/>
      <c r="E4071" s="212"/>
    </row>
    <row r="4072" spans="2:5" x14ac:dyDescent="0.2">
      <c r="B4072" s="291"/>
      <c r="E4072" s="212"/>
    </row>
    <row r="4073" spans="2:5" x14ac:dyDescent="0.2">
      <c r="B4073" s="291"/>
      <c r="E4073" s="212"/>
    </row>
    <row r="4074" spans="2:5" x14ac:dyDescent="0.2">
      <c r="B4074" s="291"/>
      <c r="E4074" s="212"/>
    </row>
    <row r="4075" spans="2:5" x14ac:dyDescent="0.2">
      <c r="B4075" s="291"/>
      <c r="E4075" s="212"/>
    </row>
    <row r="4076" spans="2:5" x14ac:dyDescent="0.2">
      <c r="B4076" s="291"/>
      <c r="E4076" s="212"/>
    </row>
    <row r="4077" spans="2:5" x14ac:dyDescent="0.2">
      <c r="B4077" s="291"/>
      <c r="E4077" s="212"/>
    </row>
    <row r="4078" spans="2:5" x14ac:dyDescent="0.2">
      <c r="B4078" s="291"/>
      <c r="E4078" s="212"/>
    </row>
    <row r="4079" spans="2:5" x14ac:dyDescent="0.2">
      <c r="B4079" s="291"/>
      <c r="E4079" s="212"/>
    </row>
    <row r="4080" spans="2:5" x14ac:dyDescent="0.2">
      <c r="B4080" s="291"/>
      <c r="E4080" s="212"/>
    </row>
    <row r="4081" spans="2:5" x14ac:dyDescent="0.2">
      <c r="B4081" s="291"/>
      <c r="E4081" s="212"/>
    </row>
    <row r="4082" spans="2:5" x14ac:dyDescent="0.2">
      <c r="B4082" s="291"/>
      <c r="E4082" s="212"/>
    </row>
    <row r="4083" spans="2:5" x14ac:dyDescent="0.2">
      <c r="B4083" s="291"/>
      <c r="E4083" s="212"/>
    </row>
    <row r="4084" spans="2:5" x14ac:dyDescent="0.2">
      <c r="B4084" s="291"/>
      <c r="E4084" s="212"/>
    </row>
    <row r="4085" spans="2:5" x14ac:dyDescent="0.2">
      <c r="B4085" s="291"/>
      <c r="E4085" s="212"/>
    </row>
    <row r="4086" spans="2:5" x14ac:dyDescent="0.2">
      <c r="B4086" s="291"/>
      <c r="E4086" s="212"/>
    </row>
    <row r="4087" spans="2:5" x14ac:dyDescent="0.2">
      <c r="B4087" s="291"/>
      <c r="E4087" s="212"/>
    </row>
    <row r="4088" spans="2:5" x14ac:dyDescent="0.2">
      <c r="B4088" s="291"/>
      <c r="E4088" s="212"/>
    </row>
    <row r="4089" spans="2:5" x14ac:dyDescent="0.2">
      <c r="B4089" s="291"/>
      <c r="E4089" s="212"/>
    </row>
    <row r="4090" spans="2:5" x14ac:dyDescent="0.2">
      <c r="B4090" s="291"/>
      <c r="E4090" s="212"/>
    </row>
    <row r="4091" spans="2:5" x14ac:dyDescent="0.2">
      <c r="B4091" s="291"/>
      <c r="E4091" s="212"/>
    </row>
    <row r="4092" spans="2:5" x14ac:dyDescent="0.2">
      <c r="B4092" s="291"/>
      <c r="E4092" s="212"/>
    </row>
    <row r="4093" spans="2:5" x14ac:dyDescent="0.2">
      <c r="B4093" s="291"/>
      <c r="E4093" s="212"/>
    </row>
    <row r="4094" spans="2:5" x14ac:dyDescent="0.2">
      <c r="B4094" s="291"/>
      <c r="E4094" s="212"/>
    </row>
    <row r="4095" spans="2:5" x14ac:dyDescent="0.2">
      <c r="B4095" s="291"/>
      <c r="E4095" s="212"/>
    </row>
    <row r="4096" spans="2:5" x14ac:dyDescent="0.2">
      <c r="B4096" s="291"/>
      <c r="E4096" s="212"/>
    </row>
    <row r="4097" spans="2:5" x14ac:dyDescent="0.2">
      <c r="B4097" s="291"/>
      <c r="E4097" s="212"/>
    </row>
    <row r="4098" spans="2:5" x14ac:dyDescent="0.2">
      <c r="B4098" s="291"/>
      <c r="E4098" s="212"/>
    </row>
    <row r="4099" spans="2:5" x14ac:dyDescent="0.2">
      <c r="B4099" s="291"/>
      <c r="E4099" s="212"/>
    </row>
    <row r="4100" spans="2:5" x14ac:dyDescent="0.2">
      <c r="B4100" s="291"/>
      <c r="E4100" s="212"/>
    </row>
    <row r="4101" spans="2:5" x14ac:dyDescent="0.2">
      <c r="B4101" s="291"/>
      <c r="E4101" s="212"/>
    </row>
    <row r="4102" spans="2:5" x14ac:dyDescent="0.2">
      <c r="B4102" s="291"/>
      <c r="E4102" s="212"/>
    </row>
    <row r="4103" spans="2:5" x14ac:dyDescent="0.2">
      <c r="B4103" s="291"/>
      <c r="E4103" s="212"/>
    </row>
    <row r="4104" spans="2:5" x14ac:dyDescent="0.2">
      <c r="B4104" s="291"/>
      <c r="E4104" s="212"/>
    </row>
    <row r="4105" spans="2:5" x14ac:dyDescent="0.2">
      <c r="B4105" s="291"/>
      <c r="E4105" s="212"/>
    </row>
    <row r="4106" spans="2:5" x14ac:dyDescent="0.2">
      <c r="B4106" s="291"/>
      <c r="E4106" s="212"/>
    </row>
    <row r="4107" spans="2:5" x14ac:dyDescent="0.2">
      <c r="B4107" s="291"/>
      <c r="E4107" s="212"/>
    </row>
    <row r="4108" spans="2:5" x14ac:dyDescent="0.2">
      <c r="B4108" s="291"/>
      <c r="E4108" s="212"/>
    </row>
    <row r="4109" spans="2:5" x14ac:dyDescent="0.2">
      <c r="B4109" s="291"/>
      <c r="E4109" s="212"/>
    </row>
    <row r="4110" spans="2:5" x14ac:dyDescent="0.2">
      <c r="B4110" s="291"/>
      <c r="E4110" s="212"/>
    </row>
    <row r="4111" spans="2:5" x14ac:dyDescent="0.2">
      <c r="B4111" s="291"/>
      <c r="E4111" s="212"/>
    </row>
    <row r="4112" spans="2:5" x14ac:dyDescent="0.2">
      <c r="B4112" s="291"/>
      <c r="E4112" s="212"/>
    </row>
    <row r="4113" spans="2:5" x14ac:dyDescent="0.2">
      <c r="B4113" s="291"/>
      <c r="E4113" s="212"/>
    </row>
    <row r="4114" spans="2:5" x14ac:dyDescent="0.2">
      <c r="B4114" s="291"/>
      <c r="E4114" s="212"/>
    </row>
    <row r="4115" spans="2:5" x14ac:dyDescent="0.2">
      <c r="B4115" s="291"/>
      <c r="E4115" s="212"/>
    </row>
    <row r="4116" spans="2:5" x14ac:dyDescent="0.2">
      <c r="B4116" s="291"/>
      <c r="E4116" s="212"/>
    </row>
    <row r="4117" spans="2:5" x14ac:dyDescent="0.2">
      <c r="B4117" s="291"/>
      <c r="E4117" s="212"/>
    </row>
    <row r="4118" spans="2:5" x14ac:dyDescent="0.2">
      <c r="B4118" s="291"/>
      <c r="E4118" s="212"/>
    </row>
    <row r="4119" spans="2:5" x14ac:dyDescent="0.2">
      <c r="B4119" s="291"/>
      <c r="E4119" s="212"/>
    </row>
    <row r="4120" spans="2:5" x14ac:dyDescent="0.2">
      <c r="B4120" s="291"/>
      <c r="E4120" s="212"/>
    </row>
    <row r="4121" spans="2:5" x14ac:dyDescent="0.2">
      <c r="B4121" s="291"/>
      <c r="E4121" s="212"/>
    </row>
    <row r="4122" spans="2:5" x14ac:dyDescent="0.2">
      <c r="B4122" s="291"/>
      <c r="E4122" s="212"/>
    </row>
    <row r="4123" spans="2:5" x14ac:dyDescent="0.2">
      <c r="B4123" s="291"/>
      <c r="E4123" s="212"/>
    </row>
    <row r="4124" spans="2:5" x14ac:dyDescent="0.2">
      <c r="B4124" s="291"/>
      <c r="E4124" s="212"/>
    </row>
    <row r="4125" spans="2:5" x14ac:dyDescent="0.2">
      <c r="B4125" s="291"/>
      <c r="E4125" s="212"/>
    </row>
    <row r="4126" spans="2:5" x14ac:dyDescent="0.2">
      <c r="B4126" s="291"/>
      <c r="E4126" s="212"/>
    </row>
    <row r="4127" spans="2:5" x14ac:dyDescent="0.2">
      <c r="B4127" s="291"/>
      <c r="E4127" s="212"/>
    </row>
    <row r="4128" spans="2:5" x14ac:dyDescent="0.2">
      <c r="B4128" s="291"/>
      <c r="E4128" s="212"/>
    </row>
    <row r="4129" spans="2:5" x14ac:dyDescent="0.2">
      <c r="B4129" s="291"/>
      <c r="E4129" s="212"/>
    </row>
    <row r="4130" spans="2:5" x14ac:dyDescent="0.2">
      <c r="B4130" s="291"/>
      <c r="E4130" s="212"/>
    </row>
    <row r="4131" spans="2:5" x14ac:dyDescent="0.2">
      <c r="B4131" s="291"/>
      <c r="E4131" s="212"/>
    </row>
    <row r="4132" spans="2:5" x14ac:dyDescent="0.2">
      <c r="B4132" s="291"/>
      <c r="E4132" s="212"/>
    </row>
    <row r="4133" spans="2:5" x14ac:dyDescent="0.2">
      <c r="B4133" s="291"/>
      <c r="E4133" s="212"/>
    </row>
    <row r="4134" spans="2:5" x14ac:dyDescent="0.2">
      <c r="B4134" s="291"/>
      <c r="E4134" s="212"/>
    </row>
    <row r="4135" spans="2:5" x14ac:dyDescent="0.2">
      <c r="B4135" s="291"/>
      <c r="E4135" s="212"/>
    </row>
    <row r="4136" spans="2:5" x14ac:dyDescent="0.2">
      <c r="B4136" s="291"/>
      <c r="E4136" s="212"/>
    </row>
    <row r="4137" spans="2:5" x14ac:dyDescent="0.2">
      <c r="B4137" s="291"/>
      <c r="E4137" s="212"/>
    </row>
    <row r="4138" spans="2:5" x14ac:dyDescent="0.2">
      <c r="B4138" s="291"/>
      <c r="E4138" s="212"/>
    </row>
    <row r="4139" spans="2:5" x14ac:dyDescent="0.2">
      <c r="B4139" s="291"/>
      <c r="E4139" s="212"/>
    </row>
    <row r="4140" spans="2:5" x14ac:dyDescent="0.2">
      <c r="B4140" s="291"/>
      <c r="E4140" s="212"/>
    </row>
    <row r="4141" spans="2:5" x14ac:dyDescent="0.2">
      <c r="B4141" s="291"/>
      <c r="E4141" s="212"/>
    </row>
    <row r="4142" spans="2:5" x14ac:dyDescent="0.2">
      <c r="B4142" s="291"/>
      <c r="E4142" s="212"/>
    </row>
    <row r="4143" spans="2:5" x14ac:dyDescent="0.2">
      <c r="B4143" s="291"/>
      <c r="E4143" s="212"/>
    </row>
    <row r="4144" spans="2:5" x14ac:dyDescent="0.2">
      <c r="B4144" s="291"/>
      <c r="E4144" s="212"/>
    </row>
    <row r="4145" spans="2:5" x14ac:dyDescent="0.2">
      <c r="B4145" s="291"/>
      <c r="E4145" s="212"/>
    </row>
    <row r="4146" spans="2:5" x14ac:dyDescent="0.2">
      <c r="B4146" s="291"/>
      <c r="E4146" s="212"/>
    </row>
    <row r="4147" spans="2:5" x14ac:dyDescent="0.2">
      <c r="B4147" s="291"/>
      <c r="E4147" s="212"/>
    </row>
    <row r="4148" spans="2:5" x14ac:dyDescent="0.2">
      <c r="B4148" s="291"/>
      <c r="E4148" s="212"/>
    </row>
    <row r="4149" spans="2:5" x14ac:dyDescent="0.2">
      <c r="B4149" s="291"/>
      <c r="E4149" s="212"/>
    </row>
    <row r="4150" spans="2:5" x14ac:dyDescent="0.2">
      <c r="B4150" s="291"/>
      <c r="E4150" s="212"/>
    </row>
    <row r="4151" spans="2:5" x14ac:dyDescent="0.2">
      <c r="B4151" s="291"/>
      <c r="E4151" s="212"/>
    </row>
    <row r="4152" spans="2:5" x14ac:dyDescent="0.2">
      <c r="B4152" s="291"/>
      <c r="E4152" s="212"/>
    </row>
    <row r="4153" spans="2:5" x14ac:dyDescent="0.2">
      <c r="B4153" s="291"/>
      <c r="E4153" s="212"/>
    </row>
    <row r="4154" spans="2:5" x14ac:dyDescent="0.2">
      <c r="B4154" s="291"/>
      <c r="E4154" s="212"/>
    </row>
    <row r="4155" spans="2:5" x14ac:dyDescent="0.2">
      <c r="B4155" s="291"/>
      <c r="E4155" s="212"/>
    </row>
    <row r="4156" spans="2:5" x14ac:dyDescent="0.2">
      <c r="B4156" s="291"/>
      <c r="E4156" s="212"/>
    </row>
    <row r="4157" spans="2:5" x14ac:dyDescent="0.2">
      <c r="B4157" s="291"/>
      <c r="E4157" s="212"/>
    </row>
    <row r="4158" spans="2:5" x14ac:dyDescent="0.2">
      <c r="B4158" s="291"/>
      <c r="E4158" s="212"/>
    </row>
    <row r="4159" spans="2:5" x14ac:dyDescent="0.2">
      <c r="B4159" s="291"/>
      <c r="E4159" s="212"/>
    </row>
    <row r="4160" spans="2:5" x14ac:dyDescent="0.2">
      <c r="B4160" s="291"/>
      <c r="E4160" s="212"/>
    </row>
    <row r="4161" spans="2:5" x14ac:dyDescent="0.2">
      <c r="B4161" s="291"/>
      <c r="E4161" s="212"/>
    </row>
    <row r="4162" spans="2:5" x14ac:dyDescent="0.2">
      <c r="B4162" s="291"/>
      <c r="E4162" s="212"/>
    </row>
    <row r="4163" spans="2:5" x14ac:dyDescent="0.2">
      <c r="B4163" s="291"/>
      <c r="E4163" s="212"/>
    </row>
    <row r="4164" spans="2:5" x14ac:dyDescent="0.2">
      <c r="B4164" s="291"/>
      <c r="E4164" s="212"/>
    </row>
    <row r="4165" spans="2:5" x14ac:dyDescent="0.2">
      <c r="B4165" s="291"/>
      <c r="E4165" s="212"/>
    </row>
    <row r="4166" spans="2:5" x14ac:dyDescent="0.2">
      <c r="B4166" s="291"/>
      <c r="E4166" s="212"/>
    </row>
    <row r="4167" spans="2:5" x14ac:dyDescent="0.2">
      <c r="B4167" s="291"/>
      <c r="E4167" s="212"/>
    </row>
    <row r="4168" spans="2:5" x14ac:dyDescent="0.2">
      <c r="B4168" s="291"/>
      <c r="E4168" s="212"/>
    </row>
    <row r="4169" spans="2:5" x14ac:dyDescent="0.2">
      <c r="B4169" s="291"/>
      <c r="E4169" s="212"/>
    </row>
    <row r="4170" spans="2:5" x14ac:dyDescent="0.2">
      <c r="B4170" s="291"/>
      <c r="E4170" s="212"/>
    </row>
    <row r="4171" spans="2:5" x14ac:dyDescent="0.2">
      <c r="B4171" s="291"/>
      <c r="E4171" s="212"/>
    </row>
    <row r="4172" spans="2:5" x14ac:dyDescent="0.2">
      <c r="B4172" s="291"/>
      <c r="E4172" s="212"/>
    </row>
    <row r="4173" spans="2:5" x14ac:dyDescent="0.2">
      <c r="B4173" s="291"/>
      <c r="E4173" s="212"/>
    </row>
    <row r="4174" spans="2:5" x14ac:dyDescent="0.2">
      <c r="B4174" s="291"/>
      <c r="E4174" s="212"/>
    </row>
    <row r="4175" spans="2:5" x14ac:dyDescent="0.2">
      <c r="B4175" s="291"/>
      <c r="E4175" s="212"/>
    </row>
    <row r="4176" spans="2:5" x14ac:dyDescent="0.2">
      <c r="B4176" s="291"/>
      <c r="E4176" s="212"/>
    </row>
    <row r="4177" spans="2:5" x14ac:dyDescent="0.2">
      <c r="B4177" s="291"/>
      <c r="E4177" s="212"/>
    </row>
    <row r="4178" spans="2:5" x14ac:dyDescent="0.2">
      <c r="B4178" s="291"/>
      <c r="E4178" s="212"/>
    </row>
    <row r="4179" spans="2:5" x14ac:dyDescent="0.2">
      <c r="B4179" s="291"/>
      <c r="E4179" s="212"/>
    </row>
    <row r="4180" spans="2:5" x14ac:dyDescent="0.2">
      <c r="B4180" s="291"/>
      <c r="E4180" s="212"/>
    </row>
    <row r="4181" spans="2:5" x14ac:dyDescent="0.2">
      <c r="B4181" s="291"/>
      <c r="E4181" s="212"/>
    </row>
    <row r="4182" spans="2:5" x14ac:dyDescent="0.2">
      <c r="B4182" s="291"/>
      <c r="E4182" s="212"/>
    </row>
    <row r="4183" spans="2:5" x14ac:dyDescent="0.2">
      <c r="B4183" s="291"/>
      <c r="E4183" s="212"/>
    </row>
    <row r="4184" spans="2:5" x14ac:dyDescent="0.2">
      <c r="B4184" s="291"/>
      <c r="E4184" s="212"/>
    </row>
    <row r="4185" spans="2:5" x14ac:dyDescent="0.2">
      <c r="B4185" s="291"/>
      <c r="E4185" s="212"/>
    </row>
    <row r="4186" spans="2:5" x14ac:dyDescent="0.2">
      <c r="B4186" s="291"/>
      <c r="E4186" s="212"/>
    </row>
    <row r="4187" spans="2:5" x14ac:dyDescent="0.2">
      <c r="B4187" s="291"/>
      <c r="E4187" s="212"/>
    </row>
    <row r="4188" spans="2:5" x14ac:dyDescent="0.2">
      <c r="B4188" s="291"/>
      <c r="E4188" s="212"/>
    </row>
    <row r="4189" spans="2:5" x14ac:dyDescent="0.2">
      <c r="B4189" s="291"/>
      <c r="E4189" s="212"/>
    </row>
    <row r="4190" spans="2:5" x14ac:dyDescent="0.2">
      <c r="B4190" s="291"/>
      <c r="E4190" s="212"/>
    </row>
    <row r="4191" spans="2:5" x14ac:dyDescent="0.2">
      <c r="B4191" s="291"/>
      <c r="E4191" s="212"/>
    </row>
    <row r="4192" spans="2:5" x14ac:dyDescent="0.2">
      <c r="B4192" s="291"/>
      <c r="E4192" s="212"/>
    </row>
    <row r="4193" spans="2:5" x14ac:dyDescent="0.2">
      <c r="B4193" s="291"/>
      <c r="E4193" s="212"/>
    </row>
    <row r="4194" spans="2:5" x14ac:dyDescent="0.2">
      <c r="B4194" s="291"/>
      <c r="E4194" s="212"/>
    </row>
    <row r="4195" spans="2:5" x14ac:dyDescent="0.2">
      <c r="B4195" s="291"/>
      <c r="E4195" s="212"/>
    </row>
    <row r="4196" spans="2:5" x14ac:dyDescent="0.2">
      <c r="B4196" s="291"/>
      <c r="E4196" s="212"/>
    </row>
    <row r="4197" spans="2:5" x14ac:dyDescent="0.2">
      <c r="B4197" s="291"/>
      <c r="E4197" s="212"/>
    </row>
    <row r="4198" spans="2:5" x14ac:dyDescent="0.2">
      <c r="B4198" s="291"/>
      <c r="E4198" s="212"/>
    </row>
    <row r="4199" spans="2:5" x14ac:dyDescent="0.2">
      <c r="B4199" s="291"/>
      <c r="E4199" s="212"/>
    </row>
    <row r="4200" spans="2:5" x14ac:dyDescent="0.2">
      <c r="B4200" s="291"/>
      <c r="E4200" s="212"/>
    </row>
    <row r="4201" spans="2:5" x14ac:dyDescent="0.2">
      <c r="B4201" s="291"/>
      <c r="E4201" s="212"/>
    </row>
    <row r="4202" spans="2:5" x14ac:dyDescent="0.2">
      <c r="B4202" s="291"/>
      <c r="E4202" s="212"/>
    </row>
    <row r="4203" spans="2:5" x14ac:dyDescent="0.2">
      <c r="B4203" s="291"/>
      <c r="E4203" s="212"/>
    </row>
    <row r="4204" spans="2:5" x14ac:dyDescent="0.2">
      <c r="B4204" s="291"/>
      <c r="E4204" s="212"/>
    </row>
    <row r="4205" spans="2:5" x14ac:dyDescent="0.2">
      <c r="B4205" s="291"/>
      <c r="E4205" s="212"/>
    </row>
    <row r="4206" spans="2:5" x14ac:dyDescent="0.2">
      <c r="B4206" s="291"/>
      <c r="E4206" s="212"/>
    </row>
    <row r="4207" spans="2:5" x14ac:dyDescent="0.2">
      <c r="B4207" s="291"/>
      <c r="E4207" s="212"/>
    </row>
    <row r="4208" spans="2:5" x14ac:dyDescent="0.2">
      <c r="B4208" s="291"/>
      <c r="E4208" s="212"/>
    </row>
    <row r="4209" spans="2:5" x14ac:dyDescent="0.2">
      <c r="B4209" s="291"/>
      <c r="E4209" s="212"/>
    </row>
    <row r="4210" spans="2:5" x14ac:dyDescent="0.2">
      <c r="B4210" s="291"/>
      <c r="E4210" s="212"/>
    </row>
    <row r="4211" spans="2:5" x14ac:dyDescent="0.2">
      <c r="B4211" s="291"/>
      <c r="E4211" s="212"/>
    </row>
    <row r="4212" spans="2:5" x14ac:dyDescent="0.2">
      <c r="B4212" s="291"/>
      <c r="E4212" s="212"/>
    </row>
    <row r="4213" spans="2:5" x14ac:dyDescent="0.2">
      <c r="B4213" s="291"/>
      <c r="E4213" s="212"/>
    </row>
    <row r="4214" spans="2:5" x14ac:dyDescent="0.2">
      <c r="B4214" s="291"/>
      <c r="E4214" s="212"/>
    </row>
    <row r="4215" spans="2:5" x14ac:dyDescent="0.2">
      <c r="B4215" s="291"/>
      <c r="E4215" s="212"/>
    </row>
    <row r="4216" spans="2:5" x14ac:dyDescent="0.2">
      <c r="B4216" s="291"/>
      <c r="E4216" s="212"/>
    </row>
    <row r="4217" spans="2:5" x14ac:dyDescent="0.2">
      <c r="B4217" s="291"/>
      <c r="E4217" s="212"/>
    </row>
    <row r="4218" spans="2:5" x14ac:dyDescent="0.2">
      <c r="B4218" s="291"/>
      <c r="E4218" s="212"/>
    </row>
    <row r="4219" spans="2:5" x14ac:dyDescent="0.2">
      <c r="B4219" s="291"/>
      <c r="E4219" s="212"/>
    </row>
    <row r="4220" spans="2:5" x14ac:dyDescent="0.2">
      <c r="B4220" s="291"/>
      <c r="E4220" s="212"/>
    </row>
    <row r="4221" spans="2:5" x14ac:dyDescent="0.2">
      <c r="B4221" s="291"/>
      <c r="E4221" s="212"/>
    </row>
    <row r="4222" spans="2:5" x14ac:dyDescent="0.2">
      <c r="B4222" s="291"/>
      <c r="E4222" s="212"/>
    </row>
    <row r="4223" spans="2:5" x14ac:dyDescent="0.2">
      <c r="B4223" s="291"/>
      <c r="E4223" s="212"/>
    </row>
    <row r="4224" spans="2:5" x14ac:dyDescent="0.2">
      <c r="B4224" s="291"/>
      <c r="E4224" s="212"/>
    </row>
    <row r="4225" spans="2:5" x14ac:dyDescent="0.2">
      <c r="B4225" s="291"/>
      <c r="E4225" s="212"/>
    </row>
    <row r="4226" spans="2:5" x14ac:dyDescent="0.2">
      <c r="B4226" s="291"/>
      <c r="E4226" s="212"/>
    </row>
    <row r="4227" spans="2:5" x14ac:dyDescent="0.2">
      <c r="B4227" s="291"/>
      <c r="E4227" s="212"/>
    </row>
    <row r="4228" spans="2:5" x14ac:dyDescent="0.2">
      <c r="B4228" s="291"/>
      <c r="E4228" s="212"/>
    </row>
    <row r="4229" spans="2:5" x14ac:dyDescent="0.2">
      <c r="B4229" s="291"/>
      <c r="E4229" s="212"/>
    </row>
    <row r="4230" spans="2:5" x14ac:dyDescent="0.2">
      <c r="B4230" s="291"/>
      <c r="E4230" s="212"/>
    </row>
    <row r="4231" spans="2:5" x14ac:dyDescent="0.2">
      <c r="B4231" s="291"/>
      <c r="E4231" s="212"/>
    </row>
    <row r="4232" spans="2:5" x14ac:dyDescent="0.2">
      <c r="B4232" s="291"/>
      <c r="E4232" s="212"/>
    </row>
    <row r="4233" spans="2:5" x14ac:dyDescent="0.2">
      <c r="B4233" s="291"/>
      <c r="E4233" s="212"/>
    </row>
    <row r="4234" spans="2:5" x14ac:dyDescent="0.2">
      <c r="B4234" s="291"/>
      <c r="E4234" s="212"/>
    </row>
    <row r="4235" spans="2:5" x14ac:dyDescent="0.2">
      <c r="B4235" s="291"/>
      <c r="E4235" s="212"/>
    </row>
    <row r="4236" spans="2:5" x14ac:dyDescent="0.2">
      <c r="B4236" s="291"/>
      <c r="E4236" s="212"/>
    </row>
    <row r="4237" spans="2:5" x14ac:dyDescent="0.2">
      <c r="B4237" s="291"/>
      <c r="E4237" s="212"/>
    </row>
    <row r="4238" spans="2:5" x14ac:dyDescent="0.2">
      <c r="B4238" s="291"/>
      <c r="E4238" s="212"/>
    </row>
    <row r="4239" spans="2:5" x14ac:dyDescent="0.2">
      <c r="B4239" s="291"/>
      <c r="E4239" s="212"/>
    </row>
    <row r="4240" spans="2:5" x14ac:dyDescent="0.2">
      <c r="B4240" s="291"/>
      <c r="E4240" s="212"/>
    </row>
    <row r="4241" spans="2:5" x14ac:dyDescent="0.2">
      <c r="B4241" s="291"/>
      <c r="E4241" s="212"/>
    </row>
    <row r="4242" spans="2:5" x14ac:dyDescent="0.2">
      <c r="B4242" s="291"/>
      <c r="E4242" s="212"/>
    </row>
    <row r="4243" spans="2:5" x14ac:dyDescent="0.2">
      <c r="B4243" s="291"/>
      <c r="E4243" s="212"/>
    </row>
    <row r="4244" spans="2:5" x14ac:dyDescent="0.2">
      <c r="B4244" s="291"/>
      <c r="E4244" s="212"/>
    </row>
    <row r="4245" spans="2:5" x14ac:dyDescent="0.2">
      <c r="B4245" s="291"/>
      <c r="E4245" s="212"/>
    </row>
    <row r="4246" spans="2:5" x14ac:dyDescent="0.2">
      <c r="B4246" s="291"/>
      <c r="E4246" s="212"/>
    </row>
    <row r="4247" spans="2:5" x14ac:dyDescent="0.2">
      <c r="B4247" s="291"/>
      <c r="E4247" s="212"/>
    </row>
    <row r="4248" spans="2:5" x14ac:dyDescent="0.2">
      <c r="B4248" s="291"/>
      <c r="E4248" s="212"/>
    </row>
    <row r="4249" spans="2:5" x14ac:dyDescent="0.2">
      <c r="B4249" s="291"/>
      <c r="E4249" s="212"/>
    </row>
    <row r="4250" spans="2:5" x14ac:dyDescent="0.2">
      <c r="B4250" s="291"/>
      <c r="E4250" s="212"/>
    </row>
    <row r="4251" spans="2:5" x14ac:dyDescent="0.2">
      <c r="B4251" s="291"/>
      <c r="E4251" s="212"/>
    </row>
    <row r="4252" spans="2:5" x14ac:dyDescent="0.2">
      <c r="B4252" s="291"/>
      <c r="E4252" s="212"/>
    </row>
    <row r="4253" spans="2:5" x14ac:dyDescent="0.2">
      <c r="B4253" s="291"/>
      <c r="E4253" s="212"/>
    </row>
    <row r="4254" spans="2:5" x14ac:dyDescent="0.2">
      <c r="B4254" s="291"/>
      <c r="E4254" s="212"/>
    </row>
    <row r="4255" spans="2:5" x14ac:dyDescent="0.2">
      <c r="B4255" s="291"/>
      <c r="E4255" s="212"/>
    </row>
    <row r="4256" spans="2:5" x14ac:dyDescent="0.2">
      <c r="B4256" s="291"/>
      <c r="E4256" s="212"/>
    </row>
    <row r="4257" spans="2:5" x14ac:dyDescent="0.2">
      <c r="B4257" s="291"/>
      <c r="E4257" s="212"/>
    </row>
    <row r="4258" spans="2:5" x14ac:dyDescent="0.2">
      <c r="B4258" s="291"/>
      <c r="E4258" s="212"/>
    </row>
    <row r="4259" spans="2:5" x14ac:dyDescent="0.2">
      <c r="B4259" s="291"/>
      <c r="E4259" s="212"/>
    </row>
    <row r="4260" spans="2:5" x14ac:dyDescent="0.2">
      <c r="B4260" s="291"/>
      <c r="E4260" s="212"/>
    </row>
    <row r="4261" spans="2:5" x14ac:dyDescent="0.2">
      <c r="B4261" s="291"/>
      <c r="E4261" s="212"/>
    </row>
    <row r="4262" spans="2:5" x14ac:dyDescent="0.2">
      <c r="B4262" s="291"/>
      <c r="E4262" s="212"/>
    </row>
    <row r="4263" spans="2:5" x14ac:dyDescent="0.2">
      <c r="B4263" s="291"/>
      <c r="E4263" s="212"/>
    </row>
    <row r="4264" spans="2:5" x14ac:dyDescent="0.2">
      <c r="B4264" s="291"/>
      <c r="E4264" s="212"/>
    </row>
    <row r="4265" spans="2:5" x14ac:dyDescent="0.2">
      <c r="B4265" s="291"/>
      <c r="E4265" s="212"/>
    </row>
    <row r="4266" spans="2:5" x14ac:dyDescent="0.2">
      <c r="B4266" s="291"/>
      <c r="E4266" s="212"/>
    </row>
    <row r="4267" spans="2:5" x14ac:dyDescent="0.2">
      <c r="B4267" s="291"/>
      <c r="E4267" s="212"/>
    </row>
    <row r="4268" spans="2:5" x14ac:dyDescent="0.2">
      <c r="B4268" s="291"/>
      <c r="E4268" s="212"/>
    </row>
    <row r="4269" spans="2:5" x14ac:dyDescent="0.2">
      <c r="B4269" s="291"/>
      <c r="E4269" s="212"/>
    </row>
    <row r="4270" spans="2:5" x14ac:dyDescent="0.2">
      <c r="B4270" s="291"/>
      <c r="E4270" s="212"/>
    </row>
    <row r="4271" spans="2:5" x14ac:dyDescent="0.2">
      <c r="B4271" s="291"/>
      <c r="E4271" s="212"/>
    </row>
    <row r="4272" spans="2:5" x14ac:dyDescent="0.2">
      <c r="B4272" s="291"/>
      <c r="E4272" s="212"/>
    </row>
    <row r="4273" spans="2:5" x14ac:dyDescent="0.2">
      <c r="B4273" s="291"/>
      <c r="E4273" s="212"/>
    </row>
    <row r="4274" spans="2:5" x14ac:dyDescent="0.2">
      <c r="B4274" s="291"/>
      <c r="E4274" s="212"/>
    </row>
    <row r="4275" spans="2:5" x14ac:dyDescent="0.2">
      <c r="B4275" s="291"/>
      <c r="E4275" s="212"/>
    </row>
    <row r="4276" spans="2:5" x14ac:dyDescent="0.2">
      <c r="B4276" s="291"/>
      <c r="E4276" s="212"/>
    </row>
    <row r="4277" spans="2:5" x14ac:dyDescent="0.2">
      <c r="B4277" s="291"/>
      <c r="E4277" s="212"/>
    </row>
    <row r="4278" spans="2:5" x14ac:dyDescent="0.2">
      <c r="B4278" s="291"/>
      <c r="E4278" s="212"/>
    </row>
    <row r="4279" spans="2:5" x14ac:dyDescent="0.2">
      <c r="B4279" s="291"/>
      <c r="E4279" s="212"/>
    </row>
    <row r="4280" spans="2:5" x14ac:dyDescent="0.2">
      <c r="B4280" s="291"/>
      <c r="E4280" s="212"/>
    </row>
    <row r="4281" spans="2:5" x14ac:dyDescent="0.2">
      <c r="B4281" s="291"/>
      <c r="E4281" s="212"/>
    </row>
    <row r="4282" spans="2:5" x14ac:dyDescent="0.2">
      <c r="B4282" s="291"/>
      <c r="E4282" s="212"/>
    </row>
    <row r="4283" spans="2:5" x14ac:dyDescent="0.2">
      <c r="B4283" s="291"/>
      <c r="E4283" s="212"/>
    </row>
    <row r="4284" spans="2:5" x14ac:dyDescent="0.2">
      <c r="B4284" s="291"/>
      <c r="E4284" s="212"/>
    </row>
    <row r="4285" spans="2:5" x14ac:dyDescent="0.2">
      <c r="B4285" s="291"/>
      <c r="E4285" s="212"/>
    </row>
    <row r="4286" spans="2:5" x14ac:dyDescent="0.2">
      <c r="B4286" s="291"/>
      <c r="E4286" s="212"/>
    </row>
    <row r="4287" spans="2:5" x14ac:dyDescent="0.2">
      <c r="B4287" s="291"/>
      <c r="E4287" s="212"/>
    </row>
    <row r="4288" spans="2:5" x14ac:dyDescent="0.2">
      <c r="B4288" s="291"/>
      <c r="E4288" s="212"/>
    </row>
    <row r="4289" spans="2:5" x14ac:dyDescent="0.2">
      <c r="B4289" s="291"/>
      <c r="E4289" s="212"/>
    </row>
    <row r="4290" spans="2:5" x14ac:dyDescent="0.2">
      <c r="B4290" s="291"/>
      <c r="E4290" s="212"/>
    </row>
    <row r="4291" spans="2:5" x14ac:dyDescent="0.2">
      <c r="B4291" s="291"/>
      <c r="E4291" s="212"/>
    </row>
    <row r="4292" spans="2:5" x14ac:dyDescent="0.2">
      <c r="B4292" s="291"/>
      <c r="E4292" s="212"/>
    </row>
    <row r="4293" spans="2:5" x14ac:dyDescent="0.2">
      <c r="B4293" s="291"/>
      <c r="E4293" s="212"/>
    </row>
    <row r="4294" spans="2:5" x14ac:dyDescent="0.2">
      <c r="B4294" s="291"/>
      <c r="E4294" s="212"/>
    </row>
    <row r="4295" spans="2:5" x14ac:dyDescent="0.2">
      <c r="B4295" s="291"/>
      <c r="E4295" s="212"/>
    </row>
    <row r="4296" spans="2:5" x14ac:dyDescent="0.2">
      <c r="B4296" s="291"/>
      <c r="E4296" s="212"/>
    </row>
    <row r="4297" spans="2:5" x14ac:dyDescent="0.2">
      <c r="B4297" s="291"/>
      <c r="E4297" s="212"/>
    </row>
    <row r="4298" spans="2:5" x14ac:dyDescent="0.2">
      <c r="B4298" s="291"/>
      <c r="E4298" s="212"/>
    </row>
    <row r="4299" spans="2:5" x14ac:dyDescent="0.2">
      <c r="B4299" s="291"/>
      <c r="E4299" s="212"/>
    </row>
    <row r="4300" spans="2:5" x14ac:dyDescent="0.2">
      <c r="B4300" s="291"/>
      <c r="E4300" s="212"/>
    </row>
    <row r="4301" spans="2:5" x14ac:dyDescent="0.2">
      <c r="B4301" s="291"/>
      <c r="E4301" s="212"/>
    </row>
    <row r="4302" spans="2:5" x14ac:dyDescent="0.2">
      <c r="B4302" s="291"/>
      <c r="E4302" s="212"/>
    </row>
    <row r="4303" spans="2:5" x14ac:dyDescent="0.2">
      <c r="B4303" s="291"/>
      <c r="E4303" s="212"/>
    </row>
    <row r="4304" spans="2:5" x14ac:dyDescent="0.2">
      <c r="B4304" s="291"/>
      <c r="E4304" s="212"/>
    </row>
    <row r="4305" spans="2:5" x14ac:dyDescent="0.2">
      <c r="B4305" s="291"/>
      <c r="E4305" s="212"/>
    </row>
    <row r="4306" spans="2:5" x14ac:dyDescent="0.2">
      <c r="B4306" s="291"/>
      <c r="E4306" s="212"/>
    </row>
    <row r="4307" spans="2:5" x14ac:dyDescent="0.2">
      <c r="B4307" s="291"/>
      <c r="E4307" s="212"/>
    </row>
    <row r="4308" spans="2:5" x14ac:dyDescent="0.2">
      <c r="B4308" s="291"/>
      <c r="E4308" s="212"/>
    </row>
    <row r="4309" spans="2:5" x14ac:dyDescent="0.2">
      <c r="B4309" s="291"/>
      <c r="E4309" s="212"/>
    </row>
    <row r="4310" spans="2:5" x14ac:dyDescent="0.2">
      <c r="B4310" s="291"/>
      <c r="E4310" s="212"/>
    </row>
    <row r="4311" spans="2:5" x14ac:dyDescent="0.2">
      <c r="B4311" s="291"/>
      <c r="E4311" s="212"/>
    </row>
    <row r="4312" spans="2:5" x14ac:dyDescent="0.2">
      <c r="B4312" s="291"/>
      <c r="E4312" s="212"/>
    </row>
    <row r="4313" spans="2:5" x14ac:dyDescent="0.2">
      <c r="B4313" s="291"/>
      <c r="E4313" s="212"/>
    </row>
    <row r="4314" spans="2:5" x14ac:dyDescent="0.2">
      <c r="B4314" s="291"/>
      <c r="E4314" s="212"/>
    </row>
    <row r="4315" spans="2:5" x14ac:dyDescent="0.2">
      <c r="B4315" s="291"/>
      <c r="E4315" s="212"/>
    </row>
    <row r="4316" spans="2:5" x14ac:dyDescent="0.2">
      <c r="B4316" s="291"/>
      <c r="E4316" s="212"/>
    </row>
    <row r="4317" spans="2:5" x14ac:dyDescent="0.2">
      <c r="B4317" s="291"/>
      <c r="E4317" s="212"/>
    </row>
    <row r="4318" spans="2:5" x14ac:dyDescent="0.2">
      <c r="B4318" s="291"/>
      <c r="E4318" s="212"/>
    </row>
    <row r="4319" spans="2:5" x14ac:dyDescent="0.2">
      <c r="B4319" s="291"/>
      <c r="E4319" s="212"/>
    </row>
    <row r="4320" spans="2:5" x14ac:dyDescent="0.2">
      <c r="B4320" s="291"/>
      <c r="E4320" s="212"/>
    </row>
    <row r="4321" spans="2:5" x14ac:dyDescent="0.2">
      <c r="B4321" s="291"/>
      <c r="E4321" s="212"/>
    </row>
    <row r="4322" spans="2:5" x14ac:dyDescent="0.2">
      <c r="B4322" s="291"/>
      <c r="E4322" s="212"/>
    </row>
    <row r="4323" spans="2:5" x14ac:dyDescent="0.2">
      <c r="B4323" s="291"/>
      <c r="E4323" s="212"/>
    </row>
    <row r="4324" spans="2:5" x14ac:dyDescent="0.2">
      <c r="B4324" s="291"/>
      <c r="E4324" s="212"/>
    </row>
    <row r="4325" spans="2:5" x14ac:dyDescent="0.2">
      <c r="B4325" s="291"/>
      <c r="E4325" s="212"/>
    </row>
    <row r="4326" spans="2:5" x14ac:dyDescent="0.2">
      <c r="B4326" s="291"/>
      <c r="E4326" s="212"/>
    </row>
    <row r="4327" spans="2:5" x14ac:dyDescent="0.2">
      <c r="B4327" s="291"/>
      <c r="E4327" s="212"/>
    </row>
    <row r="4328" spans="2:5" x14ac:dyDescent="0.2">
      <c r="B4328" s="291"/>
      <c r="E4328" s="212"/>
    </row>
    <row r="4329" spans="2:5" x14ac:dyDescent="0.2">
      <c r="B4329" s="291"/>
      <c r="E4329" s="212"/>
    </row>
    <row r="4330" spans="2:5" x14ac:dyDescent="0.2">
      <c r="B4330" s="291"/>
      <c r="E4330" s="212"/>
    </row>
    <row r="4331" spans="2:5" x14ac:dyDescent="0.2">
      <c r="B4331" s="291"/>
      <c r="E4331" s="212"/>
    </row>
    <row r="4332" spans="2:5" x14ac:dyDescent="0.2">
      <c r="B4332" s="291"/>
      <c r="E4332" s="212"/>
    </row>
    <row r="4333" spans="2:5" x14ac:dyDescent="0.2">
      <c r="B4333" s="291"/>
      <c r="E4333" s="212"/>
    </row>
    <row r="4334" spans="2:5" x14ac:dyDescent="0.2">
      <c r="B4334" s="291"/>
      <c r="E4334" s="212"/>
    </row>
    <row r="4335" spans="2:5" x14ac:dyDescent="0.2">
      <c r="B4335" s="291"/>
      <c r="E4335" s="212"/>
    </row>
    <row r="4336" spans="2:5" x14ac:dyDescent="0.2">
      <c r="B4336" s="291"/>
      <c r="E4336" s="212"/>
    </row>
    <row r="4337" spans="2:5" x14ac:dyDescent="0.2">
      <c r="B4337" s="291"/>
      <c r="E4337" s="212"/>
    </row>
    <row r="4338" spans="2:5" x14ac:dyDescent="0.2">
      <c r="B4338" s="291"/>
      <c r="E4338" s="212"/>
    </row>
    <row r="4339" spans="2:5" x14ac:dyDescent="0.2">
      <c r="B4339" s="291"/>
      <c r="E4339" s="212"/>
    </row>
    <row r="4340" spans="2:5" x14ac:dyDescent="0.2">
      <c r="B4340" s="291"/>
      <c r="E4340" s="212"/>
    </row>
    <row r="4341" spans="2:5" x14ac:dyDescent="0.2">
      <c r="B4341" s="291"/>
      <c r="E4341" s="212"/>
    </row>
    <row r="4342" spans="2:5" x14ac:dyDescent="0.2">
      <c r="B4342" s="291"/>
      <c r="E4342" s="212"/>
    </row>
    <row r="4343" spans="2:5" x14ac:dyDescent="0.2">
      <c r="B4343" s="291"/>
      <c r="E4343" s="212"/>
    </row>
    <row r="4344" spans="2:5" x14ac:dyDescent="0.2">
      <c r="B4344" s="291"/>
      <c r="E4344" s="212"/>
    </row>
    <row r="4345" spans="2:5" x14ac:dyDescent="0.2">
      <c r="B4345" s="291"/>
      <c r="E4345" s="212"/>
    </row>
    <row r="4346" spans="2:5" x14ac:dyDescent="0.2">
      <c r="B4346" s="291"/>
      <c r="E4346" s="212"/>
    </row>
    <row r="4347" spans="2:5" x14ac:dyDescent="0.2">
      <c r="B4347" s="291"/>
      <c r="E4347" s="212"/>
    </row>
    <row r="4348" spans="2:5" x14ac:dyDescent="0.2">
      <c r="B4348" s="291"/>
      <c r="E4348" s="212"/>
    </row>
    <row r="4349" spans="2:5" x14ac:dyDescent="0.2">
      <c r="B4349" s="291"/>
      <c r="E4349" s="212"/>
    </row>
    <row r="4350" spans="2:5" x14ac:dyDescent="0.2">
      <c r="B4350" s="291"/>
      <c r="E4350" s="212"/>
    </row>
    <row r="4351" spans="2:5" x14ac:dyDescent="0.2">
      <c r="B4351" s="291"/>
      <c r="E4351" s="212"/>
    </row>
    <row r="4352" spans="2:5" x14ac:dyDescent="0.2">
      <c r="B4352" s="291"/>
      <c r="E4352" s="212"/>
    </row>
    <row r="4353" spans="2:5" x14ac:dyDescent="0.2">
      <c r="B4353" s="291"/>
      <c r="E4353" s="212"/>
    </row>
    <row r="4354" spans="2:5" x14ac:dyDescent="0.2">
      <c r="B4354" s="291"/>
      <c r="E4354" s="212"/>
    </row>
    <row r="4355" spans="2:5" x14ac:dyDescent="0.2">
      <c r="B4355" s="291"/>
      <c r="E4355" s="212"/>
    </row>
    <row r="4356" spans="2:5" x14ac:dyDescent="0.2">
      <c r="B4356" s="291"/>
      <c r="E4356" s="212"/>
    </row>
    <row r="4357" spans="2:5" x14ac:dyDescent="0.2">
      <c r="B4357" s="291"/>
      <c r="E4357" s="212"/>
    </row>
    <row r="4358" spans="2:5" x14ac:dyDescent="0.2">
      <c r="B4358" s="291"/>
      <c r="E4358" s="212"/>
    </row>
    <row r="4359" spans="2:5" x14ac:dyDescent="0.2">
      <c r="B4359" s="291"/>
      <c r="E4359" s="212"/>
    </row>
    <row r="4360" spans="2:5" x14ac:dyDescent="0.2">
      <c r="B4360" s="291"/>
      <c r="E4360" s="212"/>
    </row>
    <row r="4361" spans="2:5" x14ac:dyDescent="0.2">
      <c r="B4361" s="291"/>
      <c r="E4361" s="212"/>
    </row>
    <row r="4362" spans="2:5" x14ac:dyDescent="0.2">
      <c r="B4362" s="291"/>
      <c r="E4362" s="212"/>
    </row>
    <row r="4363" spans="2:5" x14ac:dyDescent="0.2">
      <c r="B4363" s="291"/>
      <c r="E4363" s="212"/>
    </row>
    <row r="4364" spans="2:5" x14ac:dyDescent="0.2">
      <c r="B4364" s="291"/>
      <c r="E4364" s="212"/>
    </row>
    <row r="4365" spans="2:5" x14ac:dyDescent="0.2">
      <c r="B4365" s="291"/>
      <c r="E4365" s="212"/>
    </row>
    <row r="4366" spans="2:5" x14ac:dyDescent="0.2">
      <c r="B4366" s="291"/>
      <c r="E4366" s="212"/>
    </row>
    <row r="4367" spans="2:5" x14ac:dyDescent="0.2">
      <c r="B4367" s="291"/>
      <c r="E4367" s="212"/>
    </row>
    <row r="4368" spans="2:5" x14ac:dyDescent="0.2">
      <c r="B4368" s="291"/>
      <c r="E4368" s="212"/>
    </row>
    <row r="4369" spans="2:5" x14ac:dyDescent="0.2">
      <c r="B4369" s="291"/>
      <c r="E4369" s="212"/>
    </row>
    <row r="4370" spans="2:5" x14ac:dyDescent="0.2">
      <c r="B4370" s="291"/>
      <c r="E4370" s="212"/>
    </row>
    <row r="4371" spans="2:5" x14ac:dyDescent="0.2">
      <c r="B4371" s="291"/>
      <c r="E4371" s="212"/>
    </row>
    <row r="4372" spans="2:5" x14ac:dyDescent="0.2">
      <c r="B4372" s="291"/>
      <c r="E4372" s="212"/>
    </row>
    <row r="4373" spans="2:5" x14ac:dyDescent="0.2">
      <c r="B4373" s="291"/>
      <c r="E4373" s="212"/>
    </row>
    <row r="4374" spans="2:5" x14ac:dyDescent="0.2">
      <c r="B4374" s="291"/>
      <c r="E4374" s="212"/>
    </row>
    <row r="4375" spans="2:5" x14ac:dyDescent="0.2">
      <c r="B4375" s="291"/>
      <c r="E4375" s="212"/>
    </row>
    <row r="4376" spans="2:5" x14ac:dyDescent="0.2">
      <c r="B4376" s="291"/>
      <c r="E4376" s="212"/>
    </row>
    <row r="4377" spans="2:5" x14ac:dyDescent="0.2">
      <c r="B4377" s="291"/>
      <c r="E4377" s="212"/>
    </row>
    <row r="4378" spans="2:5" x14ac:dyDescent="0.2">
      <c r="B4378" s="291"/>
      <c r="E4378" s="212"/>
    </row>
    <row r="4379" spans="2:5" x14ac:dyDescent="0.2">
      <c r="B4379" s="291"/>
      <c r="E4379" s="212"/>
    </row>
    <row r="4380" spans="2:5" x14ac:dyDescent="0.2">
      <c r="B4380" s="291"/>
      <c r="E4380" s="212"/>
    </row>
    <row r="4381" spans="2:5" x14ac:dyDescent="0.2">
      <c r="B4381" s="291"/>
      <c r="E4381" s="212"/>
    </row>
    <row r="4382" spans="2:5" x14ac:dyDescent="0.2">
      <c r="B4382" s="291"/>
      <c r="E4382" s="212"/>
    </row>
    <row r="4383" spans="2:5" x14ac:dyDescent="0.2">
      <c r="B4383" s="291"/>
      <c r="E4383" s="212"/>
    </row>
    <row r="4384" spans="2:5" x14ac:dyDescent="0.2">
      <c r="B4384" s="291"/>
      <c r="E4384" s="212"/>
    </row>
    <row r="4385" spans="2:5" x14ac:dyDescent="0.2">
      <c r="B4385" s="291"/>
      <c r="E4385" s="212"/>
    </row>
    <row r="4386" spans="2:5" x14ac:dyDescent="0.2">
      <c r="B4386" s="291"/>
      <c r="E4386" s="212"/>
    </row>
    <row r="4387" spans="2:5" x14ac:dyDescent="0.2">
      <c r="B4387" s="291"/>
      <c r="E4387" s="212"/>
    </row>
    <row r="4388" spans="2:5" x14ac:dyDescent="0.2">
      <c r="B4388" s="291"/>
      <c r="E4388" s="212"/>
    </row>
    <row r="4389" spans="2:5" x14ac:dyDescent="0.2">
      <c r="B4389" s="291"/>
      <c r="E4389" s="212"/>
    </row>
    <row r="4390" spans="2:5" x14ac:dyDescent="0.2">
      <c r="B4390" s="291"/>
      <c r="E4390" s="212"/>
    </row>
    <row r="4391" spans="2:5" x14ac:dyDescent="0.2">
      <c r="B4391" s="291"/>
      <c r="E4391" s="212"/>
    </row>
    <row r="4392" spans="2:5" x14ac:dyDescent="0.2">
      <c r="B4392" s="291"/>
      <c r="E4392" s="212"/>
    </row>
    <row r="4393" spans="2:5" x14ac:dyDescent="0.2">
      <c r="B4393" s="291"/>
      <c r="E4393" s="212"/>
    </row>
    <row r="4394" spans="2:5" x14ac:dyDescent="0.2">
      <c r="B4394" s="291"/>
      <c r="E4394" s="212"/>
    </row>
    <row r="4395" spans="2:5" x14ac:dyDescent="0.2">
      <c r="B4395" s="291"/>
      <c r="E4395" s="212"/>
    </row>
    <row r="4396" spans="2:5" x14ac:dyDescent="0.2">
      <c r="B4396" s="291"/>
      <c r="E4396" s="212"/>
    </row>
    <row r="4397" spans="2:5" x14ac:dyDescent="0.2">
      <c r="B4397" s="291"/>
      <c r="E4397" s="212"/>
    </row>
    <row r="4398" spans="2:5" x14ac:dyDescent="0.2">
      <c r="B4398" s="291"/>
      <c r="E4398" s="212"/>
    </row>
    <row r="4399" spans="2:5" x14ac:dyDescent="0.2">
      <c r="B4399" s="291"/>
      <c r="E4399" s="212"/>
    </row>
    <row r="4400" spans="2:5" x14ac:dyDescent="0.2">
      <c r="B4400" s="291"/>
      <c r="E4400" s="212"/>
    </row>
    <row r="4401" spans="2:5" x14ac:dyDescent="0.2">
      <c r="B4401" s="291"/>
      <c r="E4401" s="212"/>
    </row>
    <row r="4402" spans="2:5" x14ac:dyDescent="0.2">
      <c r="B4402" s="291"/>
      <c r="E4402" s="212"/>
    </row>
    <row r="4403" spans="2:5" x14ac:dyDescent="0.2">
      <c r="B4403" s="291"/>
      <c r="E4403" s="212"/>
    </row>
    <row r="4404" spans="2:5" x14ac:dyDescent="0.2">
      <c r="B4404" s="291"/>
      <c r="E4404" s="212"/>
    </row>
    <row r="4405" spans="2:5" x14ac:dyDescent="0.2">
      <c r="B4405" s="291"/>
      <c r="E4405" s="212"/>
    </row>
    <row r="4406" spans="2:5" x14ac:dyDescent="0.2">
      <c r="B4406" s="291"/>
      <c r="E4406" s="212"/>
    </row>
    <row r="4407" spans="2:5" x14ac:dyDescent="0.2">
      <c r="B4407" s="291"/>
      <c r="E4407" s="212"/>
    </row>
    <row r="4408" spans="2:5" x14ac:dyDescent="0.2">
      <c r="B4408" s="291"/>
      <c r="E4408" s="212"/>
    </row>
    <row r="4409" spans="2:5" x14ac:dyDescent="0.2">
      <c r="B4409" s="291"/>
      <c r="E4409" s="212"/>
    </row>
    <row r="4410" spans="2:5" x14ac:dyDescent="0.2">
      <c r="B4410" s="291"/>
      <c r="E4410" s="212"/>
    </row>
    <row r="4411" spans="2:5" x14ac:dyDescent="0.2">
      <c r="B4411" s="291"/>
      <c r="E4411" s="212"/>
    </row>
    <row r="4412" spans="2:5" x14ac:dyDescent="0.2">
      <c r="B4412" s="291"/>
      <c r="E4412" s="212"/>
    </row>
    <row r="4413" spans="2:5" x14ac:dyDescent="0.2">
      <c r="B4413" s="291"/>
      <c r="E4413" s="212"/>
    </row>
    <row r="4414" spans="2:5" x14ac:dyDescent="0.2">
      <c r="B4414" s="291"/>
      <c r="E4414" s="212"/>
    </row>
    <row r="4415" spans="2:5" x14ac:dyDescent="0.2">
      <c r="B4415" s="291"/>
      <c r="E4415" s="212"/>
    </row>
    <row r="4416" spans="2:5" x14ac:dyDescent="0.2">
      <c r="B4416" s="291"/>
      <c r="E4416" s="212"/>
    </row>
    <row r="4417" spans="2:5" x14ac:dyDescent="0.2">
      <c r="B4417" s="291"/>
      <c r="E4417" s="212"/>
    </row>
    <row r="4418" spans="2:5" x14ac:dyDescent="0.2">
      <c r="B4418" s="291"/>
      <c r="E4418" s="212"/>
    </row>
    <row r="4419" spans="2:5" x14ac:dyDescent="0.2">
      <c r="B4419" s="291"/>
      <c r="E4419" s="212"/>
    </row>
    <row r="4420" spans="2:5" x14ac:dyDescent="0.2">
      <c r="B4420" s="291"/>
      <c r="E4420" s="212"/>
    </row>
    <row r="4421" spans="2:5" x14ac:dyDescent="0.2">
      <c r="B4421" s="291"/>
      <c r="E4421" s="212"/>
    </row>
    <row r="4422" spans="2:5" x14ac:dyDescent="0.2">
      <c r="B4422" s="291"/>
      <c r="E4422" s="212"/>
    </row>
    <row r="4423" spans="2:5" x14ac:dyDescent="0.2">
      <c r="B4423" s="291"/>
      <c r="E4423" s="212"/>
    </row>
    <row r="4424" spans="2:5" x14ac:dyDescent="0.2">
      <c r="B4424" s="291"/>
      <c r="E4424" s="212"/>
    </row>
    <row r="4425" spans="2:5" x14ac:dyDescent="0.2">
      <c r="B4425" s="291"/>
      <c r="E4425" s="212"/>
    </row>
    <row r="4426" spans="2:5" x14ac:dyDescent="0.2">
      <c r="B4426" s="291"/>
      <c r="E4426" s="212"/>
    </row>
    <row r="4427" spans="2:5" x14ac:dyDescent="0.2">
      <c r="B4427" s="291"/>
      <c r="E4427" s="212"/>
    </row>
    <row r="4428" spans="2:5" x14ac:dyDescent="0.2">
      <c r="B4428" s="291"/>
      <c r="E4428" s="212"/>
    </row>
    <row r="4429" spans="2:5" x14ac:dyDescent="0.2">
      <c r="B4429" s="291"/>
      <c r="E4429" s="212"/>
    </row>
    <row r="4430" spans="2:5" x14ac:dyDescent="0.2">
      <c r="B4430" s="291"/>
      <c r="E4430" s="212"/>
    </row>
    <row r="4431" spans="2:5" x14ac:dyDescent="0.2">
      <c r="B4431" s="291"/>
      <c r="E4431" s="212"/>
    </row>
    <row r="4432" spans="2:5" x14ac:dyDescent="0.2">
      <c r="B4432" s="291"/>
      <c r="E4432" s="212"/>
    </row>
    <row r="4433" spans="2:5" x14ac:dyDescent="0.2">
      <c r="B4433" s="291"/>
      <c r="E4433" s="212"/>
    </row>
    <row r="4434" spans="2:5" x14ac:dyDescent="0.2">
      <c r="B4434" s="291"/>
      <c r="E4434" s="212"/>
    </row>
    <row r="4435" spans="2:5" x14ac:dyDescent="0.2">
      <c r="B4435" s="291"/>
      <c r="E4435" s="212"/>
    </row>
    <row r="4436" spans="2:5" x14ac:dyDescent="0.2">
      <c r="B4436" s="291"/>
      <c r="E4436" s="212"/>
    </row>
    <row r="4437" spans="2:5" x14ac:dyDescent="0.2">
      <c r="B4437" s="291"/>
      <c r="E4437" s="212"/>
    </row>
    <row r="4438" spans="2:5" x14ac:dyDescent="0.2">
      <c r="B4438" s="291"/>
      <c r="E4438" s="212"/>
    </row>
    <row r="4439" spans="2:5" x14ac:dyDescent="0.2">
      <c r="B4439" s="291"/>
      <c r="E4439" s="212"/>
    </row>
    <row r="4440" spans="2:5" x14ac:dyDescent="0.2">
      <c r="B4440" s="291"/>
      <c r="E4440" s="212"/>
    </row>
    <row r="4441" spans="2:5" x14ac:dyDescent="0.2">
      <c r="B4441" s="291"/>
      <c r="E4441" s="212"/>
    </row>
    <row r="4442" spans="2:5" x14ac:dyDescent="0.2">
      <c r="B4442" s="291"/>
      <c r="E4442" s="212"/>
    </row>
    <row r="4443" spans="2:5" x14ac:dyDescent="0.2">
      <c r="B4443" s="291"/>
      <c r="E4443" s="212"/>
    </row>
    <row r="4444" spans="2:5" x14ac:dyDescent="0.2">
      <c r="B4444" s="291"/>
      <c r="E4444" s="212"/>
    </row>
    <row r="4445" spans="2:5" x14ac:dyDescent="0.2">
      <c r="B4445" s="291"/>
      <c r="E4445" s="212"/>
    </row>
    <row r="4446" spans="2:5" x14ac:dyDescent="0.2">
      <c r="B4446" s="291"/>
      <c r="E4446" s="212"/>
    </row>
    <row r="4447" spans="2:5" x14ac:dyDescent="0.2">
      <c r="B4447" s="291"/>
      <c r="E4447" s="212"/>
    </row>
    <row r="4448" spans="2:5" x14ac:dyDescent="0.2">
      <c r="B4448" s="291"/>
      <c r="E4448" s="212"/>
    </row>
    <row r="4449" spans="2:5" x14ac:dyDescent="0.2">
      <c r="B4449" s="291"/>
      <c r="E4449" s="212"/>
    </row>
    <row r="4450" spans="2:5" x14ac:dyDescent="0.2">
      <c r="B4450" s="291"/>
      <c r="E4450" s="212"/>
    </row>
    <row r="4451" spans="2:5" x14ac:dyDescent="0.2">
      <c r="B4451" s="291"/>
      <c r="E4451" s="212"/>
    </row>
    <row r="4452" spans="2:5" x14ac:dyDescent="0.2">
      <c r="B4452" s="291"/>
      <c r="E4452" s="212"/>
    </row>
    <row r="4453" spans="2:5" x14ac:dyDescent="0.2">
      <c r="B4453" s="291"/>
      <c r="E4453" s="212"/>
    </row>
    <row r="4454" spans="2:5" x14ac:dyDescent="0.2">
      <c r="B4454" s="291"/>
      <c r="E4454" s="212"/>
    </row>
    <row r="4455" spans="2:5" x14ac:dyDescent="0.2">
      <c r="B4455" s="291"/>
      <c r="E4455" s="212"/>
    </row>
    <row r="4456" spans="2:5" x14ac:dyDescent="0.2">
      <c r="B4456" s="291"/>
      <c r="E4456" s="212"/>
    </row>
    <row r="4457" spans="2:5" x14ac:dyDescent="0.2">
      <c r="B4457" s="291"/>
      <c r="E4457" s="212"/>
    </row>
    <row r="4458" spans="2:5" x14ac:dyDescent="0.2">
      <c r="B4458" s="291"/>
      <c r="E4458" s="212"/>
    </row>
    <row r="4459" spans="2:5" x14ac:dyDescent="0.2">
      <c r="B4459" s="291"/>
      <c r="E4459" s="212"/>
    </row>
    <row r="4460" spans="2:5" x14ac:dyDescent="0.2">
      <c r="B4460" s="291"/>
      <c r="E4460" s="212"/>
    </row>
    <row r="4461" spans="2:5" x14ac:dyDescent="0.2">
      <c r="B4461" s="291"/>
      <c r="E4461" s="212"/>
    </row>
    <row r="4462" spans="2:5" x14ac:dyDescent="0.2">
      <c r="B4462" s="291"/>
      <c r="E4462" s="212"/>
    </row>
    <row r="4463" spans="2:5" x14ac:dyDescent="0.2">
      <c r="B4463" s="291"/>
      <c r="E4463" s="212"/>
    </row>
    <row r="4464" spans="2:5" x14ac:dyDescent="0.2">
      <c r="B4464" s="291"/>
      <c r="E4464" s="212"/>
    </row>
    <row r="4465" spans="2:5" x14ac:dyDescent="0.2">
      <c r="B4465" s="291"/>
      <c r="E4465" s="212"/>
    </row>
    <row r="4466" spans="2:5" x14ac:dyDescent="0.2">
      <c r="B4466" s="291"/>
      <c r="E4466" s="212"/>
    </row>
    <row r="4467" spans="2:5" x14ac:dyDescent="0.2">
      <c r="B4467" s="291"/>
      <c r="E4467" s="212"/>
    </row>
    <row r="4468" spans="2:5" x14ac:dyDescent="0.2">
      <c r="B4468" s="291"/>
      <c r="E4468" s="212"/>
    </row>
    <row r="4469" spans="2:5" x14ac:dyDescent="0.2">
      <c r="B4469" s="291"/>
      <c r="E4469" s="212"/>
    </row>
    <row r="4470" spans="2:5" x14ac:dyDescent="0.2">
      <c r="B4470" s="291"/>
      <c r="E4470" s="212"/>
    </row>
    <row r="4471" spans="2:5" x14ac:dyDescent="0.2">
      <c r="B4471" s="291"/>
      <c r="E4471" s="212"/>
    </row>
    <row r="4472" spans="2:5" x14ac:dyDescent="0.2">
      <c r="B4472" s="291"/>
      <c r="E4472" s="212"/>
    </row>
    <row r="4473" spans="2:5" x14ac:dyDescent="0.2">
      <c r="B4473" s="291"/>
      <c r="E4473" s="212"/>
    </row>
    <row r="4474" spans="2:5" x14ac:dyDescent="0.2">
      <c r="B4474" s="291"/>
      <c r="E4474" s="212"/>
    </row>
    <row r="4475" spans="2:5" x14ac:dyDescent="0.2">
      <c r="B4475" s="291"/>
      <c r="E4475" s="212"/>
    </row>
    <row r="4476" spans="2:5" x14ac:dyDescent="0.2">
      <c r="B4476" s="291"/>
      <c r="E4476" s="212"/>
    </row>
    <row r="4477" spans="2:5" x14ac:dyDescent="0.2">
      <c r="B4477" s="291"/>
      <c r="E4477" s="212"/>
    </row>
    <row r="4478" spans="2:5" x14ac:dyDescent="0.2">
      <c r="B4478" s="291"/>
      <c r="E4478" s="212"/>
    </row>
    <row r="4479" spans="2:5" x14ac:dyDescent="0.2">
      <c r="B4479" s="291"/>
      <c r="E4479" s="212"/>
    </row>
    <row r="4480" spans="2:5" x14ac:dyDescent="0.2">
      <c r="B4480" s="291"/>
      <c r="E4480" s="212"/>
    </row>
    <row r="4481" spans="2:5" x14ac:dyDescent="0.2">
      <c r="B4481" s="291"/>
      <c r="E4481" s="212"/>
    </row>
    <row r="4482" spans="2:5" x14ac:dyDescent="0.2">
      <c r="B4482" s="291"/>
      <c r="E4482" s="212"/>
    </row>
    <row r="4483" spans="2:5" x14ac:dyDescent="0.2">
      <c r="B4483" s="291"/>
      <c r="E4483" s="212"/>
    </row>
    <row r="4484" spans="2:5" x14ac:dyDescent="0.2">
      <c r="B4484" s="291"/>
      <c r="E4484" s="212"/>
    </row>
    <row r="4485" spans="2:5" x14ac:dyDescent="0.2">
      <c r="B4485" s="291"/>
      <c r="E4485" s="212"/>
    </row>
    <row r="4486" spans="2:5" x14ac:dyDescent="0.2">
      <c r="B4486" s="291"/>
      <c r="E4486" s="212"/>
    </row>
    <row r="4487" spans="2:5" x14ac:dyDescent="0.2">
      <c r="B4487" s="291"/>
      <c r="E4487" s="212"/>
    </row>
    <row r="4488" spans="2:5" x14ac:dyDescent="0.2">
      <c r="B4488" s="291"/>
      <c r="E4488" s="212"/>
    </row>
    <row r="4489" spans="2:5" x14ac:dyDescent="0.2">
      <c r="B4489" s="291"/>
      <c r="E4489" s="212"/>
    </row>
    <row r="4490" spans="2:5" x14ac:dyDescent="0.2">
      <c r="B4490" s="291"/>
      <c r="E4490" s="212"/>
    </row>
    <row r="4491" spans="2:5" x14ac:dyDescent="0.2">
      <c r="B4491" s="291"/>
      <c r="E4491" s="212"/>
    </row>
    <row r="4492" spans="2:5" x14ac:dyDescent="0.2">
      <c r="B4492" s="291"/>
      <c r="E4492" s="212"/>
    </row>
    <row r="4493" spans="2:5" x14ac:dyDescent="0.2">
      <c r="B4493" s="291"/>
      <c r="E4493" s="212"/>
    </row>
    <row r="4494" spans="2:5" x14ac:dyDescent="0.2">
      <c r="B4494" s="291"/>
      <c r="E4494" s="212"/>
    </row>
    <row r="4495" spans="2:5" x14ac:dyDescent="0.2">
      <c r="B4495" s="291"/>
      <c r="E4495" s="212"/>
    </row>
    <row r="4496" spans="2:5" x14ac:dyDescent="0.2">
      <c r="B4496" s="291"/>
      <c r="E4496" s="212"/>
    </row>
    <row r="4497" spans="2:5" x14ac:dyDescent="0.2">
      <c r="B4497" s="291"/>
      <c r="E4497" s="212"/>
    </row>
    <row r="4498" spans="2:5" x14ac:dyDescent="0.2">
      <c r="B4498" s="291"/>
      <c r="E4498" s="212"/>
    </row>
    <row r="4499" spans="2:5" x14ac:dyDescent="0.2">
      <c r="B4499" s="291"/>
      <c r="E4499" s="212"/>
    </row>
    <row r="4500" spans="2:5" x14ac:dyDescent="0.2">
      <c r="B4500" s="291"/>
      <c r="E4500" s="212"/>
    </row>
    <row r="4501" spans="2:5" x14ac:dyDescent="0.2">
      <c r="B4501" s="291"/>
      <c r="E4501" s="212"/>
    </row>
    <row r="4502" spans="2:5" x14ac:dyDescent="0.2">
      <c r="B4502" s="291"/>
      <c r="E4502" s="212"/>
    </row>
    <row r="4503" spans="2:5" x14ac:dyDescent="0.2">
      <c r="B4503" s="291"/>
      <c r="E4503" s="212"/>
    </row>
    <row r="4504" spans="2:5" x14ac:dyDescent="0.2">
      <c r="B4504" s="291"/>
      <c r="E4504" s="212"/>
    </row>
    <row r="4505" spans="2:5" x14ac:dyDescent="0.2">
      <c r="B4505" s="291"/>
      <c r="E4505" s="212"/>
    </row>
    <row r="4506" spans="2:5" x14ac:dyDescent="0.2">
      <c r="B4506" s="291"/>
      <c r="E4506" s="212"/>
    </row>
    <row r="4507" spans="2:5" x14ac:dyDescent="0.2">
      <c r="B4507" s="291"/>
      <c r="E4507" s="212"/>
    </row>
    <row r="4508" spans="2:5" x14ac:dyDescent="0.2">
      <c r="B4508" s="291"/>
      <c r="E4508" s="212"/>
    </row>
    <row r="4509" spans="2:5" x14ac:dyDescent="0.2">
      <c r="B4509" s="291"/>
      <c r="E4509" s="212"/>
    </row>
    <row r="4510" spans="2:5" x14ac:dyDescent="0.2">
      <c r="B4510" s="291"/>
      <c r="E4510" s="212"/>
    </row>
    <row r="4511" spans="2:5" x14ac:dyDescent="0.2">
      <c r="B4511" s="291"/>
      <c r="E4511" s="212"/>
    </row>
    <row r="4512" spans="2:5" x14ac:dyDescent="0.2">
      <c r="B4512" s="291"/>
      <c r="E4512" s="212"/>
    </row>
    <row r="4513" spans="2:5" x14ac:dyDescent="0.2">
      <c r="B4513" s="291"/>
      <c r="E4513" s="212"/>
    </row>
    <row r="4514" spans="2:5" x14ac:dyDescent="0.2">
      <c r="B4514" s="291"/>
      <c r="E4514" s="212"/>
    </row>
    <row r="4515" spans="2:5" x14ac:dyDescent="0.2">
      <c r="B4515" s="291"/>
      <c r="E4515" s="212"/>
    </row>
    <row r="4516" spans="2:5" x14ac:dyDescent="0.2">
      <c r="B4516" s="291"/>
      <c r="E4516" s="212"/>
    </row>
    <row r="4517" spans="2:5" x14ac:dyDescent="0.2">
      <c r="B4517" s="291"/>
      <c r="E4517" s="212"/>
    </row>
    <row r="4518" spans="2:5" x14ac:dyDescent="0.2">
      <c r="B4518" s="291"/>
      <c r="E4518" s="212"/>
    </row>
    <row r="4519" spans="2:5" x14ac:dyDescent="0.2">
      <c r="B4519" s="291"/>
      <c r="E4519" s="212"/>
    </row>
    <row r="4520" spans="2:5" x14ac:dyDescent="0.2">
      <c r="B4520" s="291"/>
      <c r="E4520" s="212"/>
    </row>
    <row r="4521" spans="2:5" x14ac:dyDescent="0.2">
      <c r="B4521" s="291"/>
      <c r="E4521" s="212"/>
    </row>
    <row r="4522" spans="2:5" x14ac:dyDescent="0.2">
      <c r="B4522" s="291"/>
      <c r="E4522" s="212"/>
    </row>
    <row r="4523" spans="2:5" x14ac:dyDescent="0.2">
      <c r="B4523" s="291"/>
      <c r="E4523" s="212"/>
    </row>
    <row r="4524" spans="2:5" x14ac:dyDescent="0.2">
      <c r="B4524" s="291"/>
      <c r="E4524" s="212"/>
    </row>
    <row r="4525" spans="2:5" x14ac:dyDescent="0.2">
      <c r="B4525" s="291"/>
      <c r="E4525" s="212"/>
    </row>
    <row r="4526" spans="2:5" x14ac:dyDescent="0.2">
      <c r="B4526" s="291"/>
      <c r="E4526" s="212"/>
    </row>
    <row r="4527" spans="2:5" x14ac:dyDescent="0.2">
      <c r="B4527" s="291"/>
      <c r="E4527" s="212"/>
    </row>
    <row r="4528" spans="2:5" x14ac:dyDescent="0.2">
      <c r="B4528" s="291"/>
      <c r="E4528" s="212"/>
    </row>
    <row r="4529" spans="2:5" x14ac:dyDescent="0.2">
      <c r="B4529" s="291"/>
      <c r="E4529" s="212"/>
    </row>
    <row r="4530" spans="2:5" x14ac:dyDescent="0.2">
      <c r="B4530" s="291"/>
      <c r="E4530" s="212"/>
    </row>
    <row r="4531" spans="2:5" x14ac:dyDescent="0.2">
      <c r="B4531" s="291"/>
      <c r="E4531" s="212"/>
    </row>
    <row r="4532" spans="2:5" x14ac:dyDescent="0.2">
      <c r="B4532" s="291"/>
      <c r="E4532" s="212"/>
    </row>
    <row r="4533" spans="2:5" x14ac:dyDescent="0.2">
      <c r="B4533" s="291"/>
      <c r="E4533" s="212"/>
    </row>
    <row r="4534" spans="2:5" x14ac:dyDescent="0.2">
      <c r="B4534" s="291"/>
      <c r="E4534" s="212"/>
    </row>
    <row r="4535" spans="2:5" x14ac:dyDescent="0.2">
      <c r="B4535" s="291"/>
      <c r="E4535" s="212"/>
    </row>
    <row r="4536" spans="2:5" x14ac:dyDescent="0.2">
      <c r="B4536" s="291"/>
      <c r="E4536" s="212"/>
    </row>
    <row r="4537" spans="2:5" x14ac:dyDescent="0.2">
      <c r="B4537" s="291"/>
      <c r="E4537" s="212"/>
    </row>
    <row r="4538" spans="2:5" x14ac:dyDescent="0.2">
      <c r="B4538" s="291"/>
      <c r="E4538" s="212"/>
    </row>
    <row r="4539" spans="2:5" x14ac:dyDescent="0.2">
      <c r="B4539" s="291"/>
      <c r="E4539" s="212"/>
    </row>
    <row r="4540" spans="2:5" x14ac:dyDescent="0.2">
      <c r="B4540" s="291"/>
      <c r="E4540" s="212"/>
    </row>
    <row r="4541" spans="2:5" x14ac:dyDescent="0.2">
      <c r="B4541" s="291"/>
      <c r="E4541" s="212"/>
    </row>
    <row r="4542" spans="2:5" x14ac:dyDescent="0.2">
      <c r="B4542" s="291"/>
      <c r="E4542" s="212"/>
    </row>
    <row r="4543" spans="2:5" x14ac:dyDescent="0.2">
      <c r="B4543" s="291"/>
      <c r="E4543" s="212"/>
    </row>
    <row r="4544" spans="2:5" x14ac:dyDescent="0.2">
      <c r="B4544" s="291"/>
      <c r="E4544" s="212"/>
    </row>
    <row r="4545" spans="2:5" x14ac:dyDescent="0.2">
      <c r="B4545" s="291"/>
      <c r="E4545" s="212"/>
    </row>
    <row r="4546" spans="2:5" x14ac:dyDescent="0.2">
      <c r="B4546" s="291"/>
      <c r="E4546" s="212"/>
    </row>
    <row r="4547" spans="2:5" x14ac:dyDescent="0.2">
      <c r="B4547" s="291"/>
      <c r="E4547" s="212"/>
    </row>
    <row r="4548" spans="2:5" x14ac:dyDescent="0.2">
      <c r="B4548" s="291"/>
      <c r="E4548" s="212"/>
    </row>
    <row r="4549" spans="2:5" x14ac:dyDescent="0.2">
      <c r="B4549" s="291"/>
      <c r="E4549" s="212"/>
    </row>
    <row r="4550" spans="2:5" x14ac:dyDescent="0.2">
      <c r="B4550" s="291"/>
      <c r="E4550" s="212"/>
    </row>
    <row r="4551" spans="2:5" x14ac:dyDescent="0.2">
      <c r="B4551" s="291"/>
      <c r="E4551" s="212"/>
    </row>
    <row r="4552" spans="2:5" x14ac:dyDescent="0.2">
      <c r="B4552" s="291"/>
      <c r="E4552" s="212"/>
    </row>
    <row r="4553" spans="2:5" x14ac:dyDescent="0.2">
      <c r="B4553" s="291"/>
      <c r="E4553" s="212"/>
    </row>
    <row r="4554" spans="2:5" x14ac:dyDescent="0.2">
      <c r="B4554" s="291"/>
      <c r="E4554" s="212"/>
    </row>
    <row r="4555" spans="2:5" x14ac:dyDescent="0.2">
      <c r="B4555" s="291"/>
      <c r="E4555" s="212"/>
    </row>
    <row r="4556" spans="2:5" x14ac:dyDescent="0.2">
      <c r="B4556" s="291"/>
      <c r="E4556" s="212"/>
    </row>
    <row r="4557" spans="2:5" x14ac:dyDescent="0.2">
      <c r="B4557" s="291"/>
      <c r="E4557" s="212"/>
    </row>
    <row r="4558" spans="2:5" x14ac:dyDescent="0.2">
      <c r="B4558" s="291"/>
      <c r="E4558" s="212"/>
    </row>
    <row r="4559" spans="2:5" x14ac:dyDescent="0.2">
      <c r="B4559" s="291"/>
      <c r="E4559" s="212"/>
    </row>
    <row r="4560" spans="2:5" x14ac:dyDescent="0.2">
      <c r="B4560" s="291"/>
      <c r="E4560" s="212"/>
    </row>
  </sheetData>
  <phoneticPr fontId="7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FDA6-B927-4CFE-AB0C-B6ABB94A700D}">
  <sheetPr>
    <tabColor rgb="FFFFFF00"/>
  </sheetPr>
  <dimension ref="A1:H4532"/>
  <sheetViews>
    <sheetView topLeftCell="A535" workbookViewId="0">
      <selection activeCell="A384" sqref="A384:D575"/>
    </sheetView>
  </sheetViews>
  <sheetFormatPr baseColWidth="10" defaultRowHeight="12.75" x14ac:dyDescent="0.2"/>
  <cols>
    <col min="1" max="1" width="19.28515625" customWidth="1"/>
    <col min="2" max="2" width="11.42578125" style="161"/>
    <col min="3" max="3" width="11.42578125" style="228"/>
    <col min="4" max="4" width="18.42578125" style="212" customWidth="1"/>
  </cols>
  <sheetData>
    <row r="1" spans="1:8" x14ac:dyDescent="0.2">
      <c r="A1" t="s">
        <v>3041</v>
      </c>
      <c r="B1" s="161" t="s">
        <v>106</v>
      </c>
      <c r="C1" s="228" t="s">
        <v>3040</v>
      </c>
      <c r="D1" s="212" t="s">
        <v>3042</v>
      </c>
      <c r="E1" s="212" t="s">
        <v>3043</v>
      </c>
    </row>
    <row r="2" spans="1:8" x14ac:dyDescent="0.2">
      <c r="A2" t="s">
        <v>2999</v>
      </c>
      <c r="B2" s="291">
        <v>1</v>
      </c>
      <c r="C2" s="228">
        <v>2</v>
      </c>
      <c r="D2" s="212">
        <v>-370437.56</v>
      </c>
      <c r="E2" s="212"/>
      <c r="H2" t="s">
        <v>3044</v>
      </c>
    </row>
    <row r="3" spans="1:8" x14ac:dyDescent="0.2">
      <c r="A3" t="s">
        <v>2999</v>
      </c>
      <c r="B3" s="291">
        <v>1</v>
      </c>
      <c r="C3" s="228">
        <v>3</v>
      </c>
      <c r="D3" s="212">
        <v>84010.21</v>
      </c>
      <c r="E3" s="212"/>
      <c r="H3" t="s">
        <v>3045</v>
      </c>
    </row>
    <row r="4" spans="1:8" x14ac:dyDescent="0.2">
      <c r="A4" t="s">
        <v>2999</v>
      </c>
      <c r="B4" s="291">
        <v>1</v>
      </c>
      <c r="C4" s="228">
        <v>4</v>
      </c>
      <c r="D4" s="212">
        <v>1628.56</v>
      </c>
      <c r="E4" s="212"/>
    </row>
    <row r="5" spans="1:8" x14ac:dyDescent="0.2">
      <c r="A5" t="s">
        <v>2999</v>
      </c>
      <c r="B5" s="291">
        <v>1</v>
      </c>
      <c r="C5" s="228">
        <v>5</v>
      </c>
      <c r="D5" s="212">
        <v>1931.15</v>
      </c>
      <c r="E5" s="212"/>
    </row>
    <row r="6" spans="1:8" x14ac:dyDescent="0.2">
      <c r="A6" t="s">
        <v>2999</v>
      </c>
      <c r="B6" s="291">
        <v>1</v>
      </c>
      <c r="C6" s="228">
        <v>6</v>
      </c>
      <c r="D6" s="212">
        <v>8915.7199999999993</v>
      </c>
      <c r="E6" s="212"/>
    </row>
    <row r="7" spans="1:8" x14ac:dyDescent="0.2">
      <c r="A7" t="s">
        <v>2999</v>
      </c>
      <c r="B7" s="291">
        <v>1</v>
      </c>
      <c r="C7" s="228" t="s">
        <v>2964</v>
      </c>
      <c r="D7" s="212">
        <v>1300.76</v>
      </c>
      <c r="E7" s="212"/>
    </row>
    <row r="8" spans="1:8" x14ac:dyDescent="0.2">
      <c r="A8" t="s">
        <v>2999</v>
      </c>
      <c r="B8" s="291">
        <v>1</v>
      </c>
      <c r="C8" s="228">
        <v>8</v>
      </c>
      <c r="D8" s="212">
        <v>66031.399999999994</v>
      </c>
      <c r="E8" s="212"/>
    </row>
    <row r="9" spans="1:8" x14ac:dyDescent="0.2">
      <c r="A9" t="s">
        <v>2999</v>
      </c>
      <c r="B9" s="291">
        <v>1</v>
      </c>
      <c r="C9" s="228">
        <v>9</v>
      </c>
      <c r="D9" s="212">
        <v>7904.13</v>
      </c>
      <c r="E9" s="212"/>
    </row>
    <row r="10" spans="1:8" x14ac:dyDescent="0.2">
      <c r="A10" t="s">
        <v>2999</v>
      </c>
      <c r="B10" s="291">
        <v>1</v>
      </c>
      <c r="C10" s="228">
        <v>10</v>
      </c>
      <c r="D10" s="212">
        <v>21061.18</v>
      </c>
      <c r="E10" s="212"/>
    </row>
    <row r="11" spans="1:8" x14ac:dyDescent="0.2">
      <c r="A11" t="s">
        <v>2999</v>
      </c>
      <c r="B11" s="291">
        <v>1</v>
      </c>
      <c r="C11" s="228">
        <v>11</v>
      </c>
      <c r="D11" s="212">
        <v>4919.95</v>
      </c>
      <c r="E11" s="212"/>
    </row>
    <row r="12" spans="1:8" x14ac:dyDescent="0.2">
      <c r="A12" t="s">
        <v>2999</v>
      </c>
      <c r="B12" s="291">
        <v>1</v>
      </c>
      <c r="C12" s="228">
        <v>15</v>
      </c>
      <c r="D12" s="212">
        <v>140</v>
      </c>
      <c r="E12" s="212"/>
    </row>
    <row r="13" spans="1:8" x14ac:dyDescent="0.2">
      <c r="A13" t="s">
        <v>2999</v>
      </c>
      <c r="B13" s="291">
        <v>1</v>
      </c>
      <c r="C13" s="228">
        <v>16</v>
      </c>
      <c r="D13" s="212">
        <v>82.3</v>
      </c>
      <c r="E13" s="212"/>
    </row>
    <row r="14" spans="1:8" x14ac:dyDescent="0.2">
      <c r="A14" t="s">
        <v>2999</v>
      </c>
      <c r="B14" s="291">
        <v>1</v>
      </c>
      <c r="C14" s="228">
        <v>17</v>
      </c>
      <c r="D14" s="212">
        <v>3123.78</v>
      </c>
      <c r="E14" s="212"/>
    </row>
    <row r="15" spans="1:8" x14ac:dyDescent="0.2">
      <c r="A15" t="s">
        <v>2999</v>
      </c>
      <c r="B15" s="291">
        <v>1</v>
      </c>
      <c r="C15" s="228">
        <v>18</v>
      </c>
      <c r="D15" s="212">
        <v>-2870.94</v>
      </c>
      <c r="E15" s="212"/>
    </row>
    <row r="16" spans="1:8" x14ac:dyDescent="0.2">
      <c r="A16" t="s">
        <v>2999</v>
      </c>
      <c r="B16" s="291">
        <v>1</v>
      </c>
      <c r="C16" s="228">
        <v>19</v>
      </c>
      <c r="D16" s="212">
        <v>8968.77</v>
      </c>
      <c r="E16" s="212"/>
    </row>
    <row r="17" spans="1:5" x14ac:dyDescent="0.2">
      <c r="A17" t="s">
        <v>2999</v>
      </c>
      <c r="B17" s="291">
        <v>1</v>
      </c>
      <c r="C17" s="228">
        <v>21</v>
      </c>
      <c r="D17" s="212">
        <v>2169.64</v>
      </c>
      <c r="E17" s="212"/>
    </row>
    <row r="18" spans="1:5" x14ac:dyDescent="0.2">
      <c r="A18" t="s">
        <v>2999</v>
      </c>
      <c r="B18" s="291">
        <v>1</v>
      </c>
      <c r="C18" s="228">
        <v>22</v>
      </c>
      <c r="D18" s="212">
        <v>14946.67</v>
      </c>
      <c r="E18" s="212"/>
    </row>
    <row r="19" spans="1:5" x14ac:dyDescent="0.2">
      <c r="A19" t="s">
        <v>2999</v>
      </c>
      <c r="B19" s="291">
        <v>1</v>
      </c>
      <c r="C19" s="228">
        <v>23</v>
      </c>
      <c r="D19" s="212">
        <v>6675.63</v>
      </c>
      <c r="E19" s="212"/>
    </row>
    <row r="20" spans="1:5" x14ac:dyDescent="0.2">
      <c r="A20" t="s">
        <v>2999</v>
      </c>
      <c r="B20" s="291">
        <v>1</v>
      </c>
      <c r="C20" s="228">
        <v>24</v>
      </c>
      <c r="D20" s="212">
        <v>12395.8</v>
      </c>
      <c r="E20" s="212"/>
    </row>
    <row r="21" spans="1:5" x14ac:dyDescent="0.2">
      <c r="A21" t="s">
        <v>2999</v>
      </c>
      <c r="B21" s="291">
        <v>1</v>
      </c>
      <c r="C21" s="228">
        <v>25</v>
      </c>
      <c r="D21" s="212">
        <v>5008.83</v>
      </c>
      <c r="E21" s="212"/>
    </row>
    <row r="22" spans="1:5" x14ac:dyDescent="0.2">
      <c r="A22" t="s">
        <v>2999</v>
      </c>
      <c r="B22" s="291">
        <v>1</v>
      </c>
      <c r="C22" s="228">
        <v>26</v>
      </c>
      <c r="D22" s="212">
        <v>0</v>
      </c>
      <c r="E22" s="212"/>
    </row>
    <row r="23" spans="1:5" x14ac:dyDescent="0.2">
      <c r="A23" t="s">
        <v>2999</v>
      </c>
      <c r="B23" s="291">
        <v>1</v>
      </c>
      <c r="C23" s="228">
        <v>27</v>
      </c>
      <c r="D23" s="212">
        <v>879.6</v>
      </c>
      <c r="E23" s="212"/>
    </row>
    <row r="24" spans="1:5" x14ac:dyDescent="0.2">
      <c r="A24" t="s">
        <v>2999</v>
      </c>
      <c r="B24" s="291">
        <v>1</v>
      </c>
      <c r="C24" s="228">
        <v>29</v>
      </c>
      <c r="D24" s="212">
        <v>58602.82</v>
      </c>
      <c r="E24" s="212"/>
    </row>
    <row r="25" spans="1:5" x14ac:dyDescent="0.2">
      <c r="A25" t="s">
        <v>2999</v>
      </c>
      <c r="B25" s="291">
        <v>1</v>
      </c>
      <c r="C25" s="228">
        <v>31</v>
      </c>
      <c r="D25" s="212">
        <v>-905.28</v>
      </c>
      <c r="E25" s="212"/>
    </row>
    <row r="26" spans="1:5" x14ac:dyDescent="0.2">
      <c r="A26" t="s">
        <v>2999</v>
      </c>
      <c r="B26" s="291">
        <v>1</v>
      </c>
      <c r="C26" s="228">
        <v>33</v>
      </c>
      <c r="D26" s="212">
        <v>789</v>
      </c>
      <c r="E26" s="212"/>
    </row>
    <row r="27" spans="1:5" x14ac:dyDescent="0.2">
      <c r="A27" t="s">
        <v>2999</v>
      </c>
      <c r="B27" s="291">
        <v>1</v>
      </c>
      <c r="C27" s="228">
        <v>34</v>
      </c>
      <c r="D27" s="212">
        <v>18904.14</v>
      </c>
      <c r="E27" s="212"/>
    </row>
    <row r="28" spans="1:5" x14ac:dyDescent="0.2">
      <c r="A28" t="s">
        <v>2999</v>
      </c>
      <c r="B28" s="291">
        <v>1</v>
      </c>
      <c r="C28" s="228">
        <v>35</v>
      </c>
      <c r="D28" s="212">
        <v>1460.33</v>
      </c>
      <c r="E28" s="212"/>
    </row>
    <row r="29" spans="1:5" x14ac:dyDescent="0.2">
      <c r="A29" t="s">
        <v>2999</v>
      </c>
      <c r="B29" s="291">
        <v>1</v>
      </c>
      <c r="C29" s="228">
        <v>36</v>
      </c>
      <c r="D29" s="212">
        <v>1845.97</v>
      </c>
      <c r="E29" s="212"/>
    </row>
    <row r="30" spans="1:5" x14ac:dyDescent="0.2">
      <c r="A30" t="s">
        <v>2999</v>
      </c>
      <c r="B30" s="291">
        <v>1</v>
      </c>
      <c r="C30" s="228">
        <v>37</v>
      </c>
      <c r="D30" s="212">
        <v>3665.93</v>
      </c>
      <c r="E30" s="212"/>
    </row>
    <row r="31" spans="1:5" x14ac:dyDescent="0.2">
      <c r="A31" t="s">
        <v>2999</v>
      </c>
      <c r="B31" s="291">
        <v>1</v>
      </c>
      <c r="C31" s="228">
        <v>38</v>
      </c>
      <c r="D31" s="212">
        <v>10063.49</v>
      </c>
      <c r="E31" s="212"/>
    </row>
    <row r="32" spans="1:5" x14ac:dyDescent="0.2">
      <c r="A32" t="s">
        <v>2999</v>
      </c>
      <c r="B32" s="291">
        <v>1</v>
      </c>
      <c r="C32" s="228">
        <v>40</v>
      </c>
      <c r="D32" s="212">
        <v>1259.1300000000001</v>
      </c>
      <c r="E32" s="212"/>
    </row>
    <row r="33" spans="1:5" x14ac:dyDescent="0.2">
      <c r="A33" t="s">
        <v>2999</v>
      </c>
      <c r="B33" s="291">
        <v>1</v>
      </c>
      <c r="C33" s="228">
        <v>46</v>
      </c>
      <c r="D33" s="212">
        <v>26033</v>
      </c>
      <c r="E33" s="212"/>
    </row>
    <row r="34" spans="1:5" x14ac:dyDescent="0.2">
      <c r="A34" t="s">
        <v>2999</v>
      </c>
      <c r="B34" s="291">
        <v>1</v>
      </c>
      <c r="C34" s="228" t="s">
        <v>2991</v>
      </c>
      <c r="D34" s="212">
        <v>-7645.14</v>
      </c>
      <c r="E34" s="212"/>
    </row>
    <row r="35" spans="1:5" x14ac:dyDescent="0.2">
      <c r="A35" t="s">
        <v>2999</v>
      </c>
      <c r="B35" s="291">
        <v>1</v>
      </c>
      <c r="C35" s="228" t="s">
        <v>2992</v>
      </c>
      <c r="D35" s="212">
        <v>7852.76</v>
      </c>
      <c r="E35" s="212"/>
    </row>
    <row r="36" spans="1:5" x14ac:dyDescent="0.2">
      <c r="A36" t="s">
        <v>3001</v>
      </c>
      <c r="B36" s="291">
        <v>1</v>
      </c>
      <c r="C36" s="228">
        <v>2</v>
      </c>
      <c r="D36" s="212">
        <v>-191414.29</v>
      </c>
      <c r="E36" s="212"/>
    </row>
    <row r="37" spans="1:5" x14ac:dyDescent="0.2">
      <c r="A37" t="s">
        <v>3001</v>
      </c>
      <c r="B37" s="291">
        <v>1</v>
      </c>
      <c r="C37" s="228">
        <v>3</v>
      </c>
      <c r="D37" s="212">
        <v>43012.07</v>
      </c>
      <c r="E37" s="212"/>
    </row>
    <row r="38" spans="1:5" x14ac:dyDescent="0.2">
      <c r="A38" t="s">
        <v>3001</v>
      </c>
      <c r="B38" s="291">
        <v>1</v>
      </c>
      <c r="C38" s="228">
        <v>4</v>
      </c>
      <c r="D38" s="212">
        <v>1168.3800000000001</v>
      </c>
      <c r="E38" s="212"/>
    </row>
    <row r="39" spans="1:5" x14ac:dyDescent="0.2">
      <c r="A39" t="s">
        <v>3001</v>
      </c>
      <c r="B39" s="291">
        <v>1</v>
      </c>
      <c r="C39" s="228">
        <v>5</v>
      </c>
      <c r="D39" s="212">
        <v>1391.89</v>
      </c>
      <c r="E39" s="212"/>
    </row>
    <row r="40" spans="1:5" x14ac:dyDescent="0.2">
      <c r="A40" t="s">
        <v>3001</v>
      </c>
      <c r="B40" s="291">
        <v>1</v>
      </c>
      <c r="C40" s="228">
        <v>6</v>
      </c>
      <c r="D40" s="212">
        <v>4752.79</v>
      </c>
      <c r="E40" s="212"/>
    </row>
    <row r="41" spans="1:5" x14ac:dyDescent="0.2">
      <c r="A41" t="s">
        <v>3001</v>
      </c>
      <c r="B41" s="291">
        <v>1</v>
      </c>
      <c r="C41" s="228" t="s">
        <v>2964</v>
      </c>
      <c r="D41" s="212">
        <v>188.39</v>
      </c>
      <c r="E41" s="212"/>
    </row>
    <row r="42" spans="1:5" x14ac:dyDescent="0.2">
      <c r="A42" t="s">
        <v>3001</v>
      </c>
      <c r="B42" s="291">
        <v>1</v>
      </c>
      <c r="C42" s="228">
        <v>8</v>
      </c>
      <c r="D42" s="212">
        <v>32367.49</v>
      </c>
      <c r="E42" s="212"/>
    </row>
    <row r="43" spans="1:5" x14ac:dyDescent="0.2">
      <c r="A43" t="s">
        <v>3001</v>
      </c>
      <c r="B43" s="291">
        <v>1</v>
      </c>
      <c r="C43" s="228">
        <v>9</v>
      </c>
      <c r="D43" s="212">
        <v>4091.35</v>
      </c>
      <c r="E43" s="212"/>
    </row>
    <row r="44" spans="1:5" x14ac:dyDescent="0.2">
      <c r="A44" t="s">
        <v>3001</v>
      </c>
      <c r="B44" s="291">
        <v>1</v>
      </c>
      <c r="C44" s="228">
        <v>10</v>
      </c>
      <c r="D44" s="212">
        <v>16439.97</v>
      </c>
      <c r="E44" s="212"/>
    </row>
    <row r="45" spans="1:5" x14ac:dyDescent="0.2">
      <c r="A45" t="s">
        <v>3001</v>
      </c>
      <c r="B45" s="291">
        <v>1</v>
      </c>
      <c r="C45" s="228">
        <v>11</v>
      </c>
      <c r="D45" s="212">
        <v>3301.84</v>
      </c>
      <c r="E45" s="212"/>
    </row>
    <row r="46" spans="1:5" x14ac:dyDescent="0.2">
      <c r="A46" t="s">
        <v>3001</v>
      </c>
      <c r="B46" s="291">
        <v>1</v>
      </c>
      <c r="C46" s="228">
        <v>15</v>
      </c>
      <c r="D46" s="212">
        <v>142.58000000000001</v>
      </c>
      <c r="E46" s="212"/>
    </row>
    <row r="47" spans="1:5" x14ac:dyDescent="0.2">
      <c r="A47" t="s">
        <v>3001</v>
      </c>
      <c r="B47" s="291">
        <v>1</v>
      </c>
      <c r="C47" s="228">
        <v>16</v>
      </c>
      <c r="D47" s="212">
        <v>84.34</v>
      </c>
      <c r="E47" s="212"/>
    </row>
    <row r="48" spans="1:5" x14ac:dyDescent="0.2">
      <c r="A48" t="s">
        <v>3001</v>
      </c>
      <c r="B48" s="291">
        <v>1</v>
      </c>
      <c r="C48" s="228">
        <v>17</v>
      </c>
      <c r="D48" s="212">
        <v>1491.67</v>
      </c>
      <c r="E48" s="212"/>
    </row>
    <row r="49" spans="1:5" x14ac:dyDescent="0.2">
      <c r="A49" t="s">
        <v>3001</v>
      </c>
      <c r="B49" s="291">
        <v>1</v>
      </c>
      <c r="C49" s="228">
        <v>18</v>
      </c>
      <c r="D49" s="212">
        <v>2543.9699999999998</v>
      </c>
      <c r="E49" s="212"/>
    </row>
    <row r="50" spans="1:5" x14ac:dyDescent="0.2">
      <c r="A50" t="s">
        <v>3001</v>
      </c>
      <c r="B50" s="291">
        <v>1</v>
      </c>
      <c r="C50" s="228">
        <v>19</v>
      </c>
      <c r="D50" s="212">
        <v>7707.87</v>
      </c>
      <c r="E50" s="212"/>
    </row>
    <row r="51" spans="1:5" x14ac:dyDescent="0.2">
      <c r="A51" t="s">
        <v>3001</v>
      </c>
      <c r="B51" s="291">
        <v>1</v>
      </c>
      <c r="C51" s="228">
        <v>22</v>
      </c>
      <c r="D51" s="212">
        <v>7686.7</v>
      </c>
      <c r="E51" s="212"/>
    </row>
    <row r="52" spans="1:5" x14ac:dyDescent="0.2">
      <c r="A52" t="s">
        <v>3001</v>
      </c>
      <c r="B52" s="291">
        <v>1</v>
      </c>
      <c r="C52" s="228">
        <v>23</v>
      </c>
      <c r="D52" s="212">
        <v>3657.71</v>
      </c>
      <c r="E52" s="212"/>
    </row>
    <row r="53" spans="1:5" x14ac:dyDescent="0.2">
      <c r="A53" t="s">
        <v>3001</v>
      </c>
      <c r="B53" s="291">
        <v>1</v>
      </c>
      <c r="C53" s="228">
        <v>24</v>
      </c>
      <c r="D53" s="212">
        <v>10289.59</v>
      </c>
      <c r="E53" s="212"/>
    </row>
    <row r="54" spans="1:5" x14ac:dyDescent="0.2">
      <c r="A54" t="s">
        <v>3001</v>
      </c>
      <c r="B54" s="291">
        <v>1</v>
      </c>
      <c r="C54" s="228">
        <v>25</v>
      </c>
      <c r="D54" s="212">
        <v>2747.15</v>
      </c>
      <c r="E54" s="212"/>
    </row>
    <row r="55" spans="1:5" x14ac:dyDescent="0.2">
      <c r="A55" t="s">
        <v>3001</v>
      </c>
      <c r="B55" s="291">
        <v>1</v>
      </c>
      <c r="C55" s="228">
        <v>26</v>
      </c>
      <c r="D55" s="212">
        <v>31.35</v>
      </c>
      <c r="E55" s="212"/>
    </row>
    <row r="56" spans="1:5" x14ac:dyDescent="0.2">
      <c r="A56" t="s">
        <v>3001</v>
      </c>
      <c r="B56" s="291">
        <v>1</v>
      </c>
      <c r="C56" s="228">
        <v>27</v>
      </c>
      <c r="D56" s="212">
        <v>393.76</v>
      </c>
      <c r="E56" s="212"/>
    </row>
    <row r="57" spans="1:5" x14ac:dyDescent="0.2">
      <c r="A57" t="s">
        <v>3001</v>
      </c>
      <c r="B57" s="291">
        <v>1</v>
      </c>
      <c r="C57" s="228">
        <v>29</v>
      </c>
      <c r="D57" s="212">
        <v>32032.240000000002</v>
      </c>
      <c r="E57" s="212"/>
    </row>
    <row r="58" spans="1:5" x14ac:dyDescent="0.2">
      <c r="A58" t="s">
        <v>3001</v>
      </c>
      <c r="B58" s="291">
        <v>1</v>
      </c>
      <c r="C58" s="228">
        <v>31</v>
      </c>
      <c r="D58" s="212">
        <v>-423.12</v>
      </c>
      <c r="E58" s="212"/>
    </row>
    <row r="59" spans="1:5" x14ac:dyDescent="0.2">
      <c r="A59" t="s">
        <v>3001</v>
      </c>
      <c r="B59" s="291">
        <v>1</v>
      </c>
      <c r="C59" s="228">
        <v>33</v>
      </c>
      <c r="D59" s="212">
        <v>465</v>
      </c>
      <c r="E59" s="212"/>
    </row>
    <row r="60" spans="1:5" x14ac:dyDescent="0.2">
      <c r="A60" t="s">
        <v>3001</v>
      </c>
      <c r="B60" s="291">
        <v>1</v>
      </c>
      <c r="C60" s="228">
        <v>34</v>
      </c>
      <c r="D60" s="212">
        <v>9706.74</v>
      </c>
      <c r="E60" s="212"/>
    </row>
    <row r="61" spans="1:5" x14ac:dyDescent="0.2">
      <c r="A61" t="s">
        <v>3001</v>
      </c>
      <c r="B61" s="291">
        <v>1</v>
      </c>
      <c r="C61" s="228">
        <v>35</v>
      </c>
      <c r="D61" s="212">
        <v>986</v>
      </c>
      <c r="E61" s="212"/>
    </row>
    <row r="62" spans="1:5" x14ac:dyDescent="0.2">
      <c r="A62" t="s">
        <v>3001</v>
      </c>
      <c r="B62" s="291">
        <v>1</v>
      </c>
      <c r="C62" s="228">
        <v>36</v>
      </c>
      <c r="D62" s="212">
        <v>1121.8599999999999</v>
      </c>
      <c r="E62" s="212"/>
    </row>
    <row r="63" spans="1:5" x14ac:dyDescent="0.2">
      <c r="A63" t="s">
        <v>3001</v>
      </c>
      <c r="B63" s="291">
        <v>1</v>
      </c>
      <c r="C63" s="228">
        <v>37</v>
      </c>
      <c r="D63" s="212">
        <v>2075.25</v>
      </c>
      <c r="E63" s="212"/>
    </row>
    <row r="64" spans="1:5" x14ac:dyDescent="0.2">
      <c r="A64" t="s">
        <v>3001</v>
      </c>
      <c r="B64" s="291">
        <v>1</v>
      </c>
      <c r="C64" s="228">
        <v>38</v>
      </c>
      <c r="D64" s="212">
        <v>5620</v>
      </c>
      <c r="E64" s="212"/>
    </row>
    <row r="65" spans="1:5" x14ac:dyDescent="0.2">
      <c r="A65" t="s">
        <v>3001</v>
      </c>
      <c r="B65" s="291">
        <v>1</v>
      </c>
      <c r="C65" s="228">
        <v>40</v>
      </c>
      <c r="D65" s="212">
        <v>3032.3</v>
      </c>
      <c r="E65" s="212"/>
    </row>
    <row r="66" spans="1:5" x14ac:dyDescent="0.2">
      <c r="A66" t="s">
        <v>3001</v>
      </c>
      <c r="B66" s="291">
        <v>1</v>
      </c>
      <c r="C66" s="228">
        <v>42</v>
      </c>
      <c r="D66" s="212">
        <v>21.24</v>
      </c>
      <c r="E66" s="212"/>
    </row>
    <row r="67" spans="1:5" x14ac:dyDescent="0.2">
      <c r="A67" t="s">
        <v>3001</v>
      </c>
      <c r="B67" s="291">
        <v>1</v>
      </c>
      <c r="C67" s="228">
        <v>46</v>
      </c>
      <c r="D67" s="212">
        <v>12933.33</v>
      </c>
      <c r="E67" s="212"/>
    </row>
    <row r="68" spans="1:5" x14ac:dyDescent="0.2">
      <c r="A68" t="s">
        <v>3001</v>
      </c>
      <c r="B68" s="291">
        <v>1</v>
      </c>
      <c r="C68" s="228" t="s">
        <v>2991</v>
      </c>
      <c r="D68" s="212">
        <v>-2720.48</v>
      </c>
      <c r="E68" s="212"/>
    </row>
    <row r="69" spans="1:5" x14ac:dyDescent="0.2">
      <c r="A69" t="s">
        <v>3001</v>
      </c>
      <c r="B69" s="291">
        <v>1</v>
      </c>
      <c r="C69" s="228" t="s">
        <v>2992</v>
      </c>
      <c r="D69" s="212">
        <v>2182.52</v>
      </c>
      <c r="E69" s="212"/>
    </row>
    <row r="70" spans="1:5" x14ac:dyDescent="0.2">
      <c r="A70" t="s">
        <v>210</v>
      </c>
      <c r="B70" s="291">
        <v>1</v>
      </c>
      <c r="C70" s="228">
        <v>2</v>
      </c>
      <c r="D70" s="212">
        <v>-258424.23</v>
      </c>
      <c r="E70" s="212"/>
    </row>
    <row r="71" spans="1:5" x14ac:dyDescent="0.2">
      <c r="A71" t="s">
        <v>210</v>
      </c>
      <c r="B71" s="291">
        <v>1</v>
      </c>
      <c r="C71" s="228">
        <v>3</v>
      </c>
      <c r="D71" s="212">
        <v>55349.04</v>
      </c>
      <c r="E71" s="212"/>
    </row>
    <row r="72" spans="1:5" x14ac:dyDescent="0.2">
      <c r="A72" t="s">
        <v>210</v>
      </c>
      <c r="B72" s="291">
        <v>1</v>
      </c>
      <c r="C72" s="228">
        <v>4</v>
      </c>
      <c r="D72" s="212">
        <v>901.77</v>
      </c>
      <c r="E72" s="212"/>
    </row>
    <row r="73" spans="1:5" x14ac:dyDescent="0.2">
      <c r="A73" t="s">
        <v>210</v>
      </c>
      <c r="B73" s="291">
        <v>1</v>
      </c>
      <c r="C73" s="228">
        <v>5</v>
      </c>
      <c r="D73" s="212">
        <v>1196.79</v>
      </c>
      <c r="E73" s="212"/>
    </row>
    <row r="74" spans="1:5" x14ac:dyDescent="0.2">
      <c r="A74" t="s">
        <v>210</v>
      </c>
      <c r="B74" s="291">
        <v>1</v>
      </c>
      <c r="C74" s="228">
        <v>6</v>
      </c>
      <c r="D74" s="212">
        <v>5465.52</v>
      </c>
      <c r="E74" s="212"/>
    </row>
    <row r="75" spans="1:5" x14ac:dyDescent="0.2">
      <c r="A75" t="s">
        <v>210</v>
      </c>
      <c r="B75" s="291">
        <v>1</v>
      </c>
      <c r="C75" s="228" t="s">
        <v>2964</v>
      </c>
      <c r="D75" s="212">
        <v>654.27</v>
      </c>
      <c r="E75" s="212"/>
    </row>
    <row r="76" spans="1:5" x14ac:dyDescent="0.2">
      <c r="A76" t="s">
        <v>210</v>
      </c>
      <c r="B76" s="291">
        <v>1</v>
      </c>
      <c r="C76" s="228">
        <v>8</v>
      </c>
      <c r="D76" s="212">
        <v>32358.41</v>
      </c>
      <c r="E76" s="212"/>
    </row>
    <row r="77" spans="1:5" x14ac:dyDescent="0.2">
      <c r="A77" t="s">
        <v>210</v>
      </c>
      <c r="B77" s="291">
        <v>1</v>
      </c>
      <c r="C77" s="228">
        <v>9</v>
      </c>
      <c r="D77" s="212">
        <v>4005.03</v>
      </c>
      <c r="E77" s="212"/>
    </row>
    <row r="78" spans="1:5" x14ac:dyDescent="0.2">
      <c r="A78" t="s">
        <v>210</v>
      </c>
      <c r="B78" s="291">
        <v>1</v>
      </c>
      <c r="C78" s="228">
        <v>10</v>
      </c>
      <c r="D78" s="212">
        <v>32370.71</v>
      </c>
      <c r="E78" s="212"/>
    </row>
    <row r="79" spans="1:5" x14ac:dyDescent="0.2">
      <c r="A79" t="s">
        <v>210</v>
      </c>
      <c r="B79" s="291">
        <v>1</v>
      </c>
      <c r="C79" s="228">
        <v>11</v>
      </c>
      <c r="D79" s="212">
        <v>4559.72</v>
      </c>
      <c r="E79" s="212"/>
    </row>
    <row r="80" spans="1:5" x14ac:dyDescent="0.2">
      <c r="A80" t="s">
        <v>210</v>
      </c>
      <c r="B80" s="291">
        <v>1</v>
      </c>
      <c r="C80" s="228">
        <v>15</v>
      </c>
      <c r="D80" s="212">
        <v>325</v>
      </c>
      <c r="E80" s="212"/>
    </row>
    <row r="81" spans="1:5" x14ac:dyDescent="0.2">
      <c r="A81" t="s">
        <v>210</v>
      </c>
      <c r="B81" s="291">
        <v>1</v>
      </c>
      <c r="C81" s="228">
        <v>16</v>
      </c>
      <c r="D81" s="212">
        <v>206.47</v>
      </c>
      <c r="E81" s="212"/>
    </row>
    <row r="82" spans="1:5" x14ac:dyDescent="0.2">
      <c r="A82" t="s">
        <v>210</v>
      </c>
      <c r="B82" s="291">
        <v>1</v>
      </c>
      <c r="C82" s="228">
        <v>17</v>
      </c>
      <c r="D82" s="212">
        <v>1871.06</v>
      </c>
      <c r="E82" s="212"/>
    </row>
    <row r="83" spans="1:5" x14ac:dyDescent="0.2">
      <c r="A83" t="s">
        <v>210</v>
      </c>
      <c r="B83" s="291">
        <v>1</v>
      </c>
      <c r="C83" s="228">
        <v>18</v>
      </c>
      <c r="D83" s="212">
        <v>1469.65</v>
      </c>
      <c r="E83" s="212"/>
    </row>
    <row r="84" spans="1:5" x14ac:dyDescent="0.2">
      <c r="A84" t="s">
        <v>210</v>
      </c>
      <c r="B84" s="291">
        <v>1</v>
      </c>
      <c r="C84" s="228">
        <v>19</v>
      </c>
      <c r="D84" s="212">
        <v>6942.23</v>
      </c>
      <c r="E84" s="212"/>
    </row>
    <row r="85" spans="1:5" x14ac:dyDescent="0.2">
      <c r="A85" t="s">
        <v>210</v>
      </c>
      <c r="B85" s="291">
        <v>1</v>
      </c>
      <c r="C85" s="228">
        <v>21</v>
      </c>
      <c r="D85" s="212">
        <v>5911.41</v>
      </c>
      <c r="E85" s="212"/>
    </row>
    <row r="86" spans="1:5" x14ac:dyDescent="0.2">
      <c r="A86" t="s">
        <v>210</v>
      </c>
      <c r="B86" s="291">
        <v>1</v>
      </c>
      <c r="C86" s="228">
        <v>22</v>
      </c>
      <c r="D86" s="212">
        <v>10343.530000000001</v>
      </c>
      <c r="E86" s="212"/>
    </row>
    <row r="87" spans="1:5" x14ac:dyDescent="0.2">
      <c r="A87" t="s">
        <v>210</v>
      </c>
      <c r="B87" s="291">
        <v>1</v>
      </c>
      <c r="C87" s="228">
        <v>23</v>
      </c>
      <c r="D87" s="212">
        <v>5259.47</v>
      </c>
      <c r="E87" s="212"/>
    </row>
    <row r="88" spans="1:5" x14ac:dyDescent="0.2">
      <c r="A88" t="s">
        <v>210</v>
      </c>
      <c r="B88" s="291">
        <v>1</v>
      </c>
      <c r="C88" s="228">
        <v>24</v>
      </c>
      <c r="D88" s="212">
        <v>12540</v>
      </c>
      <c r="E88" s="212"/>
    </row>
    <row r="89" spans="1:5" x14ac:dyDescent="0.2">
      <c r="A89" t="s">
        <v>210</v>
      </c>
      <c r="B89" s="291">
        <v>1</v>
      </c>
      <c r="C89" s="228">
        <v>25</v>
      </c>
      <c r="D89" s="212">
        <v>818.31</v>
      </c>
      <c r="E89" s="212"/>
    </row>
    <row r="90" spans="1:5" x14ac:dyDescent="0.2">
      <c r="A90" t="s">
        <v>210</v>
      </c>
      <c r="B90" s="291">
        <v>1</v>
      </c>
      <c r="C90" s="228">
        <v>26</v>
      </c>
      <c r="D90" s="212">
        <v>40.799999999999997</v>
      </c>
      <c r="E90" s="212"/>
    </row>
    <row r="91" spans="1:5" x14ac:dyDescent="0.2">
      <c r="A91" t="s">
        <v>210</v>
      </c>
      <c r="B91" s="291">
        <v>1</v>
      </c>
      <c r="C91" s="228">
        <v>27</v>
      </c>
      <c r="D91" s="212">
        <v>615.83000000000004</v>
      </c>
      <c r="E91" s="212"/>
    </row>
    <row r="92" spans="1:5" x14ac:dyDescent="0.2">
      <c r="A92" t="s">
        <v>210</v>
      </c>
      <c r="B92" s="291">
        <v>1</v>
      </c>
      <c r="C92" s="228">
        <v>29</v>
      </c>
      <c r="D92" s="212">
        <v>37968.89</v>
      </c>
      <c r="E92" s="212"/>
    </row>
    <row r="93" spans="1:5" x14ac:dyDescent="0.2">
      <c r="A93" t="s">
        <v>210</v>
      </c>
      <c r="B93" s="291">
        <v>1</v>
      </c>
      <c r="C93" s="228">
        <v>31</v>
      </c>
      <c r="D93" s="212">
        <v>-980.37</v>
      </c>
      <c r="E93" s="212"/>
    </row>
    <row r="94" spans="1:5" x14ac:dyDescent="0.2">
      <c r="A94" t="s">
        <v>210</v>
      </c>
      <c r="B94" s="291">
        <v>1</v>
      </c>
      <c r="C94" s="228">
        <v>33</v>
      </c>
      <c r="D94" s="212">
        <v>690</v>
      </c>
      <c r="E94" s="212"/>
    </row>
    <row r="95" spans="1:5" x14ac:dyDescent="0.2">
      <c r="A95" t="s">
        <v>210</v>
      </c>
      <c r="B95" s="291">
        <v>1</v>
      </c>
      <c r="C95" s="228">
        <v>34</v>
      </c>
      <c r="D95" s="212">
        <v>13092.72</v>
      </c>
      <c r="E95" s="212"/>
    </row>
    <row r="96" spans="1:5" x14ac:dyDescent="0.2">
      <c r="A96" t="s">
        <v>210</v>
      </c>
      <c r="B96" s="291">
        <v>1</v>
      </c>
      <c r="C96" s="228">
        <v>35</v>
      </c>
      <c r="D96" s="212">
        <v>977</v>
      </c>
      <c r="E96" s="212"/>
    </row>
    <row r="97" spans="1:5" x14ac:dyDescent="0.2">
      <c r="A97" t="s">
        <v>210</v>
      </c>
      <c r="B97" s="291">
        <v>1</v>
      </c>
      <c r="C97" s="228">
        <v>36</v>
      </c>
      <c r="D97" s="212">
        <v>1300</v>
      </c>
      <c r="E97" s="212"/>
    </row>
    <row r="98" spans="1:5" x14ac:dyDescent="0.2">
      <c r="A98" t="s">
        <v>210</v>
      </c>
      <c r="B98" s="291">
        <v>1</v>
      </c>
      <c r="C98" s="228">
        <v>37</v>
      </c>
      <c r="D98" s="212">
        <v>2273.1999999999998</v>
      </c>
      <c r="E98" s="212"/>
    </row>
    <row r="99" spans="1:5" x14ac:dyDescent="0.2">
      <c r="A99" t="s">
        <v>210</v>
      </c>
      <c r="B99" s="291">
        <v>1</v>
      </c>
      <c r="C99" s="228">
        <v>38</v>
      </c>
      <c r="D99" s="212">
        <v>12458</v>
      </c>
      <c r="E99" s="212"/>
    </row>
    <row r="100" spans="1:5" x14ac:dyDescent="0.2">
      <c r="A100" t="s">
        <v>210</v>
      </c>
      <c r="B100" s="291">
        <v>1</v>
      </c>
      <c r="C100" s="228">
        <v>40</v>
      </c>
      <c r="D100" s="212">
        <v>3467.3</v>
      </c>
      <c r="E100" s="212"/>
    </row>
    <row r="101" spans="1:5" x14ac:dyDescent="0.2">
      <c r="A101" t="s">
        <v>210</v>
      </c>
      <c r="B101" s="291">
        <v>1</v>
      </c>
      <c r="C101" s="228">
        <v>42</v>
      </c>
      <c r="D101" s="212">
        <v>82.28</v>
      </c>
      <c r="E101" s="212"/>
    </row>
    <row r="102" spans="1:5" x14ac:dyDescent="0.2">
      <c r="A102" t="s">
        <v>210</v>
      </c>
      <c r="B102" s="291">
        <v>1</v>
      </c>
      <c r="C102" s="228">
        <v>46</v>
      </c>
      <c r="D102" s="212">
        <v>18958.330000000002</v>
      </c>
      <c r="E102" s="212"/>
    </row>
    <row r="103" spans="1:5" x14ac:dyDescent="0.2">
      <c r="A103" t="s">
        <v>210</v>
      </c>
      <c r="B103" s="291">
        <v>1</v>
      </c>
      <c r="C103" s="228" t="s">
        <v>2991</v>
      </c>
      <c r="D103" s="212">
        <v>-3430.18</v>
      </c>
      <c r="E103" s="212"/>
    </row>
    <row r="104" spans="1:5" x14ac:dyDescent="0.2">
      <c r="A104" t="s">
        <v>210</v>
      </c>
      <c r="B104" s="291">
        <v>1</v>
      </c>
      <c r="C104" s="228" t="s">
        <v>2992</v>
      </c>
      <c r="D104" s="212">
        <v>3626.97</v>
      </c>
      <c r="E104" s="212"/>
    </row>
    <row r="105" spans="1:5" x14ac:dyDescent="0.2">
      <c r="A105" t="s">
        <v>210</v>
      </c>
      <c r="B105" s="291">
        <v>1</v>
      </c>
      <c r="C105" s="228" t="e">
        <v>#N/A</v>
      </c>
      <c r="D105" s="212">
        <v>-169533.33</v>
      </c>
      <c r="E105" s="212"/>
    </row>
    <row r="106" spans="1:5" x14ac:dyDescent="0.2">
      <c r="A106" t="s">
        <v>3003</v>
      </c>
      <c r="B106" s="291">
        <v>1</v>
      </c>
      <c r="C106" s="228">
        <v>2</v>
      </c>
      <c r="D106" s="212">
        <v>-382463.66</v>
      </c>
      <c r="E106" s="212"/>
    </row>
    <row r="107" spans="1:5" x14ac:dyDescent="0.2">
      <c r="A107" t="s">
        <v>3003</v>
      </c>
      <c r="B107" s="291">
        <v>1</v>
      </c>
      <c r="C107" s="228">
        <v>3</v>
      </c>
      <c r="D107" s="212">
        <v>78619.38</v>
      </c>
      <c r="E107" s="212"/>
    </row>
    <row r="108" spans="1:5" x14ac:dyDescent="0.2">
      <c r="A108" t="s">
        <v>3003</v>
      </c>
      <c r="B108" s="291">
        <v>1</v>
      </c>
      <c r="C108" s="228">
        <v>4</v>
      </c>
      <c r="D108" s="212">
        <v>1705.16</v>
      </c>
      <c r="E108" s="212"/>
    </row>
    <row r="109" spans="1:5" x14ac:dyDescent="0.2">
      <c r="A109" t="s">
        <v>3003</v>
      </c>
      <c r="B109" s="291">
        <v>1</v>
      </c>
      <c r="C109" s="228">
        <v>5</v>
      </c>
      <c r="D109" s="212">
        <v>1608.8</v>
      </c>
      <c r="E109" s="212"/>
    </row>
    <row r="110" spans="1:5" x14ac:dyDescent="0.2">
      <c r="A110" t="s">
        <v>3003</v>
      </c>
      <c r="B110" s="291">
        <v>1</v>
      </c>
      <c r="C110" s="228">
        <v>6</v>
      </c>
      <c r="D110" s="212">
        <v>8425.2199999999993</v>
      </c>
      <c r="E110" s="212"/>
    </row>
    <row r="111" spans="1:5" x14ac:dyDescent="0.2">
      <c r="A111" t="s">
        <v>3003</v>
      </c>
      <c r="B111" s="291">
        <v>1</v>
      </c>
      <c r="C111" s="228" t="s">
        <v>2964</v>
      </c>
      <c r="D111" s="212">
        <v>317.51</v>
      </c>
      <c r="E111" s="212"/>
    </row>
    <row r="112" spans="1:5" x14ac:dyDescent="0.2">
      <c r="A112" t="s">
        <v>3003</v>
      </c>
      <c r="B112" s="291">
        <v>1</v>
      </c>
      <c r="C112" s="228">
        <v>8</v>
      </c>
      <c r="D112" s="212">
        <v>61266.04</v>
      </c>
      <c r="E112" s="212"/>
    </row>
    <row r="113" spans="1:5" x14ac:dyDescent="0.2">
      <c r="A113" t="s">
        <v>3003</v>
      </c>
      <c r="B113" s="291">
        <v>1</v>
      </c>
      <c r="C113" s="228">
        <v>9</v>
      </c>
      <c r="D113" s="212">
        <v>8219.2900000000009</v>
      </c>
      <c r="E113" s="212"/>
    </row>
    <row r="114" spans="1:5" x14ac:dyDescent="0.2">
      <c r="A114" t="s">
        <v>3003</v>
      </c>
      <c r="B114" s="291">
        <v>1</v>
      </c>
      <c r="C114" s="228">
        <v>10</v>
      </c>
      <c r="D114" s="212">
        <v>27377.73</v>
      </c>
      <c r="E114" s="212"/>
    </row>
    <row r="115" spans="1:5" x14ac:dyDescent="0.2">
      <c r="A115" t="s">
        <v>3003</v>
      </c>
      <c r="B115" s="291">
        <v>1</v>
      </c>
      <c r="C115" s="228">
        <v>11</v>
      </c>
      <c r="D115" s="212">
        <v>5340.29</v>
      </c>
      <c r="E115" s="212"/>
    </row>
    <row r="116" spans="1:5" x14ac:dyDescent="0.2">
      <c r="A116" t="s">
        <v>3003</v>
      </c>
      <c r="B116" s="291">
        <v>1</v>
      </c>
      <c r="C116" s="228">
        <v>15</v>
      </c>
      <c r="D116" s="212">
        <v>281.25</v>
      </c>
      <c r="E116" s="212"/>
    </row>
    <row r="117" spans="1:5" x14ac:dyDescent="0.2">
      <c r="A117" t="s">
        <v>3003</v>
      </c>
      <c r="B117" s="291">
        <v>1</v>
      </c>
      <c r="C117" s="228">
        <v>16</v>
      </c>
      <c r="D117" s="212">
        <v>81.47</v>
      </c>
      <c r="E117" s="212"/>
    </row>
    <row r="118" spans="1:5" x14ac:dyDescent="0.2">
      <c r="A118" t="s">
        <v>3003</v>
      </c>
      <c r="B118" s="291">
        <v>1</v>
      </c>
      <c r="C118" s="228">
        <v>17</v>
      </c>
      <c r="D118" s="212">
        <v>2864.41</v>
      </c>
      <c r="E118" s="212"/>
    </row>
    <row r="119" spans="1:5" x14ac:dyDescent="0.2">
      <c r="A119" t="s">
        <v>3003</v>
      </c>
      <c r="B119" s="291">
        <v>1</v>
      </c>
      <c r="C119" s="228">
        <v>18</v>
      </c>
      <c r="D119" s="212">
        <v>1074.6400000000001</v>
      </c>
      <c r="E119" s="212"/>
    </row>
    <row r="120" spans="1:5" x14ac:dyDescent="0.2">
      <c r="A120" t="s">
        <v>3003</v>
      </c>
      <c r="B120" s="291">
        <v>1</v>
      </c>
      <c r="C120" s="228">
        <v>19</v>
      </c>
      <c r="D120" s="212">
        <v>7886.51</v>
      </c>
      <c r="E120" s="212"/>
    </row>
    <row r="121" spans="1:5" x14ac:dyDescent="0.2">
      <c r="A121" t="s">
        <v>3003</v>
      </c>
      <c r="B121" s="291">
        <v>1</v>
      </c>
      <c r="C121" s="228">
        <v>21</v>
      </c>
      <c r="D121" s="212">
        <v>3907.89</v>
      </c>
      <c r="E121" s="212"/>
    </row>
    <row r="122" spans="1:5" x14ac:dyDescent="0.2">
      <c r="A122" t="s">
        <v>3003</v>
      </c>
      <c r="B122" s="291">
        <v>1</v>
      </c>
      <c r="C122" s="228">
        <v>22</v>
      </c>
      <c r="D122" s="212">
        <v>15282.82</v>
      </c>
      <c r="E122" s="212"/>
    </row>
    <row r="123" spans="1:5" x14ac:dyDescent="0.2">
      <c r="A123" t="s">
        <v>3003</v>
      </c>
      <c r="B123" s="291">
        <v>1</v>
      </c>
      <c r="C123" s="228">
        <v>23</v>
      </c>
      <c r="D123" s="212">
        <v>6491.47</v>
      </c>
      <c r="E123" s="212"/>
    </row>
    <row r="124" spans="1:5" x14ac:dyDescent="0.2">
      <c r="A124" t="s">
        <v>3003</v>
      </c>
      <c r="B124" s="291">
        <v>1</v>
      </c>
      <c r="C124" s="228">
        <v>24</v>
      </c>
      <c r="D124" s="212">
        <v>11356.53</v>
      </c>
      <c r="E124" s="212"/>
    </row>
    <row r="125" spans="1:5" x14ac:dyDescent="0.2">
      <c r="A125" t="s">
        <v>3003</v>
      </c>
      <c r="B125" s="291">
        <v>1</v>
      </c>
      <c r="C125" s="228">
        <v>25</v>
      </c>
      <c r="D125" s="212">
        <v>2187.75</v>
      </c>
      <c r="E125" s="212"/>
    </row>
    <row r="126" spans="1:5" x14ac:dyDescent="0.2">
      <c r="A126" t="s">
        <v>3003</v>
      </c>
      <c r="B126" s="291">
        <v>1</v>
      </c>
      <c r="C126" s="228">
        <v>27</v>
      </c>
      <c r="D126" s="212">
        <v>460.73</v>
      </c>
      <c r="E126" s="212"/>
    </row>
    <row r="127" spans="1:5" x14ac:dyDescent="0.2">
      <c r="A127" t="s">
        <v>3003</v>
      </c>
      <c r="B127" s="291">
        <v>1</v>
      </c>
      <c r="C127" s="228">
        <v>29</v>
      </c>
      <c r="D127" s="212">
        <v>59949.17</v>
      </c>
      <c r="E127" s="212"/>
    </row>
    <row r="128" spans="1:5" x14ac:dyDescent="0.2">
      <c r="A128" t="s">
        <v>3003</v>
      </c>
      <c r="B128" s="291">
        <v>1</v>
      </c>
      <c r="C128" s="228">
        <v>31</v>
      </c>
      <c r="D128" s="212">
        <v>-963.25</v>
      </c>
      <c r="E128" s="212"/>
    </row>
    <row r="129" spans="1:5" x14ac:dyDescent="0.2">
      <c r="A129" t="s">
        <v>3003</v>
      </c>
      <c r="B129" s="291">
        <v>1</v>
      </c>
      <c r="C129" s="228">
        <v>33</v>
      </c>
      <c r="D129" s="212">
        <v>1100</v>
      </c>
      <c r="E129" s="212"/>
    </row>
    <row r="130" spans="1:5" x14ac:dyDescent="0.2">
      <c r="A130" t="s">
        <v>3003</v>
      </c>
      <c r="B130" s="291">
        <v>1</v>
      </c>
      <c r="C130" s="228">
        <v>34</v>
      </c>
      <c r="D130" s="212">
        <v>19338.439999999999</v>
      </c>
      <c r="E130" s="212"/>
    </row>
    <row r="131" spans="1:5" x14ac:dyDescent="0.2">
      <c r="A131" t="s">
        <v>3003</v>
      </c>
      <c r="B131" s="291">
        <v>1</v>
      </c>
      <c r="C131" s="228">
        <v>35</v>
      </c>
      <c r="D131" s="212">
        <v>1649</v>
      </c>
      <c r="E131" s="212"/>
    </row>
    <row r="132" spans="1:5" x14ac:dyDescent="0.2">
      <c r="A132" t="s">
        <v>3003</v>
      </c>
      <c r="B132" s="291">
        <v>1</v>
      </c>
      <c r="C132" s="228">
        <v>36</v>
      </c>
      <c r="D132" s="212">
        <v>1541.86</v>
      </c>
      <c r="E132" s="212"/>
    </row>
    <row r="133" spans="1:5" x14ac:dyDescent="0.2">
      <c r="A133" t="s">
        <v>3003</v>
      </c>
      <c r="B133" s="291">
        <v>1</v>
      </c>
      <c r="C133" s="228">
        <v>37</v>
      </c>
      <c r="D133" s="212">
        <v>4006.61</v>
      </c>
      <c r="E133" s="212"/>
    </row>
    <row r="134" spans="1:5" x14ac:dyDescent="0.2">
      <c r="A134" t="s">
        <v>3003</v>
      </c>
      <c r="B134" s="291">
        <v>1</v>
      </c>
      <c r="C134" s="228">
        <v>38</v>
      </c>
      <c r="D134" s="212">
        <v>23000</v>
      </c>
      <c r="E134" s="212"/>
    </row>
    <row r="135" spans="1:5" x14ac:dyDescent="0.2">
      <c r="A135" t="s">
        <v>3003</v>
      </c>
      <c r="B135" s="291">
        <v>1</v>
      </c>
      <c r="C135" s="228">
        <v>40</v>
      </c>
      <c r="D135" s="212">
        <v>2279.71</v>
      </c>
      <c r="E135" s="212"/>
    </row>
    <row r="136" spans="1:5" x14ac:dyDescent="0.2">
      <c r="A136" t="s">
        <v>3003</v>
      </c>
      <c r="B136" s="291">
        <v>1</v>
      </c>
      <c r="C136" s="228">
        <v>42</v>
      </c>
      <c r="D136" s="212">
        <v>438.64</v>
      </c>
      <c r="E136" s="212"/>
    </row>
    <row r="137" spans="1:5" x14ac:dyDescent="0.2">
      <c r="A137" t="s">
        <v>3003</v>
      </c>
      <c r="B137" s="291">
        <v>1</v>
      </c>
      <c r="C137" s="228">
        <v>45</v>
      </c>
      <c r="D137" s="212">
        <v>0</v>
      </c>
      <c r="E137" s="212"/>
    </row>
    <row r="138" spans="1:5" x14ac:dyDescent="0.2">
      <c r="A138" t="s">
        <v>3003</v>
      </c>
      <c r="B138" s="291">
        <v>1</v>
      </c>
      <c r="C138" s="228">
        <v>46</v>
      </c>
      <c r="D138" s="212">
        <v>26891.75</v>
      </c>
      <c r="E138" s="212"/>
    </row>
    <row r="139" spans="1:5" x14ac:dyDescent="0.2">
      <c r="A139" t="s">
        <v>3003</v>
      </c>
      <c r="B139" s="291">
        <v>1</v>
      </c>
      <c r="C139" s="228" t="s">
        <v>2991</v>
      </c>
      <c r="D139" s="212">
        <v>-4305.17</v>
      </c>
      <c r="E139" s="212"/>
    </row>
    <row r="140" spans="1:5" x14ac:dyDescent="0.2">
      <c r="A140" t="s">
        <v>3003</v>
      </c>
      <c r="B140" s="291">
        <v>1</v>
      </c>
      <c r="C140" s="228" t="s">
        <v>2992</v>
      </c>
      <c r="D140" s="212">
        <v>2820.3</v>
      </c>
      <c r="E140" s="212"/>
    </row>
    <row r="141" spans="1:5" x14ac:dyDescent="0.2">
      <c r="A141" t="s">
        <v>3003</v>
      </c>
      <c r="B141" s="291">
        <v>1</v>
      </c>
      <c r="C141" s="228" t="e">
        <v>#N/A</v>
      </c>
      <c r="D141" s="212">
        <v>-57295.28</v>
      </c>
      <c r="E141" s="212"/>
    </row>
    <row r="142" spans="1:5" x14ac:dyDescent="0.2">
      <c r="A142" t="s">
        <v>2156</v>
      </c>
      <c r="B142" s="291">
        <v>1</v>
      </c>
      <c r="C142" s="228">
        <v>2</v>
      </c>
      <c r="D142" s="212">
        <v>-448803.22</v>
      </c>
      <c r="E142" s="212"/>
    </row>
    <row r="143" spans="1:5" x14ac:dyDescent="0.2">
      <c r="A143" t="s">
        <v>2156</v>
      </c>
      <c r="B143" s="291">
        <v>1</v>
      </c>
      <c r="C143" s="228">
        <v>3</v>
      </c>
      <c r="D143" s="212">
        <v>99520.28</v>
      </c>
      <c r="E143" s="212"/>
    </row>
    <row r="144" spans="1:5" x14ac:dyDescent="0.2">
      <c r="A144" t="s">
        <v>2156</v>
      </c>
      <c r="B144" s="291">
        <v>1</v>
      </c>
      <c r="C144" s="228">
        <v>4</v>
      </c>
      <c r="D144" s="212">
        <v>1842.96</v>
      </c>
      <c r="E144" s="212"/>
    </row>
    <row r="145" spans="1:5" x14ac:dyDescent="0.2">
      <c r="A145" t="s">
        <v>2156</v>
      </c>
      <c r="B145" s="291">
        <v>1</v>
      </c>
      <c r="C145" s="228">
        <v>5</v>
      </c>
      <c r="D145" s="212">
        <v>1770.54</v>
      </c>
      <c r="E145" s="212"/>
    </row>
    <row r="146" spans="1:5" x14ac:dyDescent="0.2">
      <c r="A146" t="s">
        <v>2156</v>
      </c>
      <c r="B146" s="291">
        <v>1</v>
      </c>
      <c r="C146" s="228">
        <v>6</v>
      </c>
      <c r="D146" s="212">
        <v>9144.11</v>
      </c>
      <c r="E146" s="212"/>
    </row>
    <row r="147" spans="1:5" x14ac:dyDescent="0.2">
      <c r="A147" t="s">
        <v>2156</v>
      </c>
      <c r="B147" s="291">
        <v>1</v>
      </c>
      <c r="C147" s="228" t="s">
        <v>2964</v>
      </c>
      <c r="D147" s="212">
        <v>3089.11</v>
      </c>
      <c r="E147" s="212"/>
    </row>
    <row r="148" spans="1:5" x14ac:dyDescent="0.2">
      <c r="A148" t="s">
        <v>2156</v>
      </c>
      <c r="B148" s="291">
        <v>1</v>
      </c>
      <c r="C148" s="228">
        <v>8</v>
      </c>
      <c r="D148" s="212">
        <v>79042.67</v>
      </c>
      <c r="E148" s="212"/>
    </row>
    <row r="149" spans="1:5" x14ac:dyDescent="0.2">
      <c r="A149" t="s">
        <v>2156</v>
      </c>
      <c r="B149" s="291">
        <v>1</v>
      </c>
      <c r="C149" s="228">
        <v>9</v>
      </c>
      <c r="D149" s="212">
        <v>8981.56</v>
      </c>
      <c r="E149" s="212"/>
    </row>
    <row r="150" spans="1:5" x14ac:dyDescent="0.2">
      <c r="A150" t="s">
        <v>2156</v>
      </c>
      <c r="B150" s="291">
        <v>1</v>
      </c>
      <c r="C150" s="228">
        <v>10</v>
      </c>
      <c r="D150" s="212">
        <v>17063.32</v>
      </c>
      <c r="E150" s="212"/>
    </row>
    <row r="151" spans="1:5" x14ac:dyDescent="0.2">
      <c r="A151" t="s">
        <v>2156</v>
      </c>
      <c r="B151" s="291">
        <v>1</v>
      </c>
      <c r="C151" s="228">
        <v>11</v>
      </c>
      <c r="D151" s="212">
        <v>4516.0600000000004</v>
      </c>
      <c r="E151" s="212"/>
    </row>
    <row r="152" spans="1:5" x14ac:dyDescent="0.2">
      <c r="A152" t="s">
        <v>2156</v>
      </c>
      <c r="B152" s="291">
        <v>1</v>
      </c>
      <c r="C152" s="228">
        <v>16</v>
      </c>
      <c r="D152" s="212">
        <v>29</v>
      </c>
      <c r="E152" s="212"/>
    </row>
    <row r="153" spans="1:5" x14ac:dyDescent="0.2">
      <c r="A153" t="s">
        <v>2156</v>
      </c>
      <c r="B153" s="291">
        <v>1</v>
      </c>
      <c r="C153" s="228">
        <v>17</v>
      </c>
      <c r="D153" s="212">
        <v>4199.6899999999996</v>
      </c>
      <c r="E153" s="212"/>
    </row>
    <row r="154" spans="1:5" x14ac:dyDescent="0.2">
      <c r="A154" t="s">
        <v>2156</v>
      </c>
      <c r="B154" s="291">
        <v>1</v>
      </c>
      <c r="C154" s="228">
        <v>18</v>
      </c>
      <c r="D154" s="212">
        <v>1632.07</v>
      </c>
      <c r="E154" s="212"/>
    </row>
    <row r="155" spans="1:5" x14ac:dyDescent="0.2">
      <c r="A155" t="s">
        <v>2156</v>
      </c>
      <c r="B155" s="291">
        <v>1</v>
      </c>
      <c r="C155" s="228">
        <v>19</v>
      </c>
      <c r="D155" s="212">
        <v>9083.8799999999992</v>
      </c>
      <c r="E155" s="212"/>
    </row>
    <row r="156" spans="1:5" x14ac:dyDescent="0.2">
      <c r="A156" t="s">
        <v>2156</v>
      </c>
      <c r="B156" s="291">
        <v>1</v>
      </c>
      <c r="C156" s="228">
        <v>21</v>
      </c>
      <c r="D156" s="212">
        <v>1308.83</v>
      </c>
      <c r="E156" s="212"/>
    </row>
    <row r="157" spans="1:5" x14ac:dyDescent="0.2">
      <c r="A157" t="s">
        <v>2156</v>
      </c>
      <c r="B157" s="291">
        <v>1</v>
      </c>
      <c r="C157" s="228">
        <v>22</v>
      </c>
      <c r="D157" s="212">
        <v>17994.57</v>
      </c>
      <c r="E157" s="212"/>
    </row>
    <row r="158" spans="1:5" x14ac:dyDescent="0.2">
      <c r="A158" t="s">
        <v>2156</v>
      </c>
      <c r="B158" s="291">
        <v>1</v>
      </c>
      <c r="C158" s="228">
        <v>23</v>
      </c>
      <c r="D158" s="212">
        <v>7457.26</v>
      </c>
      <c r="E158" s="212"/>
    </row>
    <row r="159" spans="1:5" x14ac:dyDescent="0.2">
      <c r="A159" t="s">
        <v>2156</v>
      </c>
      <c r="B159" s="291">
        <v>1</v>
      </c>
      <c r="C159" s="228">
        <v>24</v>
      </c>
      <c r="D159" s="212">
        <v>13424</v>
      </c>
      <c r="E159" s="212"/>
    </row>
    <row r="160" spans="1:5" x14ac:dyDescent="0.2">
      <c r="A160" t="s">
        <v>2156</v>
      </c>
      <c r="B160" s="291">
        <v>1</v>
      </c>
      <c r="C160" s="228">
        <v>25</v>
      </c>
      <c r="D160" s="212">
        <v>4207.96</v>
      </c>
      <c r="E160" s="212"/>
    </row>
    <row r="161" spans="1:5" x14ac:dyDescent="0.2">
      <c r="A161" t="s">
        <v>2156</v>
      </c>
      <c r="B161" s="291">
        <v>1</v>
      </c>
      <c r="C161" s="228">
        <v>26</v>
      </c>
      <c r="D161" s="212">
        <v>20.32</v>
      </c>
      <c r="E161" s="212"/>
    </row>
    <row r="162" spans="1:5" x14ac:dyDescent="0.2">
      <c r="A162" t="s">
        <v>2156</v>
      </c>
      <c r="B162" s="291">
        <v>1</v>
      </c>
      <c r="C162" s="228">
        <v>27</v>
      </c>
      <c r="D162" s="212">
        <v>2809.24</v>
      </c>
      <c r="E162" s="212"/>
    </row>
    <row r="163" spans="1:5" x14ac:dyDescent="0.2">
      <c r="A163" t="s">
        <v>2156</v>
      </c>
      <c r="B163" s="291">
        <v>1</v>
      </c>
      <c r="C163" s="228">
        <v>29</v>
      </c>
      <c r="D163" s="212">
        <v>63901.78</v>
      </c>
      <c r="E163" s="212"/>
    </row>
    <row r="164" spans="1:5" x14ac:dyDescent="0.2">
      <c r="A164" t="s">
        <v>2156</v>
      </c>
      <c r="B164" s="291">
        <v>1</v>
      </c>
      <c r="C164" s="228">
        <v>30</v>
      </c>
      <c r="D164" s="212">
        <v>1624.14</v>
      </c>
      <c r="E164" s="212"/>
    </row>
    <row r="165" spans="1:5" x14ac:dyDescent="0.2">
      <c r="A165" t="s">
        <v>2156</v>
      </c>
      <c r="B165" s="291">
        <v>1</v>
      </c>
      <c r="C165" s="228">
        <v>31</v>
      </c>
      <c r="D165" s="212">
        <v>-3959.6</v>
      </c>
      <c r="E165" s="212"/>
    </row>
    <row r="166" spans="1:5" x14ac:dyDescent="0.2">
      <c r="A166" t="s">
        <v>2156</v>
      </c>
      <c r="B166" s="291">
        <v>1</v>
      </c>
      <c r="C166" s="228">
        <v>33</v>
      </c>
      <c r="D166" s="212">
        <v>816</v>
      </c>
      <c r="E166" s="212"/>
    </row>
    <row r="167" spans="1:5" x14ac:dyDescent="0.2">
      <c r="A167" t="s">
        <v>2156</v>
      </c>
      <c r="B167" s="291">
        <v>1</v>
      </c>
      <c r="C167" s="228">
        <v>34</v>
      </c>
      <c r="D167" s="212">
        <v>22822.06</v>
      </c>
      <c r="E167" s="212"/>
    </row>
    <row r="168" spans="1:5" x14ac:dyDescent="0.2">
      <c r="A168" t="s">
        <v>2156</v>
      </c>
      <c r="B168" s="291">
        <v>1</v>
      </c>
      <c r="C168" s="228">
        <v>35</v>
      </c>
      <c r="D168" s="212">
        <v>1502</v>
      </c>
      <c r="E168" s="212"/>
    </row>
    <row r="169" spans="1:5" x14ac:dyDescent="0.2">
      <c r="A169" t="s">
        <v>2156</v>
      </c>
      <c r="B169" s="291">
        <v>1</v>
      </c>
      <c r="C169" s="228">
        <v>36</v>
      </c>
      <c r="D169" s="212">
        <v>1798.64</v>
      </c>
      <c r="E169" s="212"/>
    </row>
    <row r="170" spans="1:5" x14ac:dyDescent="0.2">
      <c r="A170" t="s">
        <v>2156</v>
      </c>
      <c r="B170" s="291">
        <v>1</v>
      </c>
      <c r="C170" s="228">
        <v>37</v>
      </c>
      <c r="D170" s="212">
        <v>3809.51</v>
      </c>
      <c r="E170" s="212"/>
    </row>
    <row r="171" spans="1:5" x14ac:dyDescent="0.2">
      <c r="A171" t="s">
        <v>2156</v>
      </c>
      <c r="B171" s="291">
        <v>1</v>
      </c>
      <c r="C171" s="228">
        <v>38</v>
      </c>
      <c r="D171" s="212">
        <v>27578.74</v>
      </c>
      <c r="E171" s="212"/>
    </row>
    <row r="172" spans="1:5" x14ac:dyDescent="0.2">
      <c r="A172" t="s">
        <v>2156</v>
      </c>
      <c r="B172" s="291">
        <v>1</v>
      </c>
      <c r="C172" s="228">
        <v>40</v>
      </c>
      <c r="D172" s="212">
        <v>1162.94</v>
      </c>
      <c r="E172" s="212"/>
    </row>
    <row r="173" spans="1:5" x14ac:dyDescent="0.2">
      <c r="A173" t="s">
        <v>2156</v>
      </c>
      <c r="B173" s="291">
        <v>1</v>
      </c>
      <c r="C173" s="228">
        <v>42</v>
      </c>
      <c r="D173" s="212">
        <v>722.56</v>
      </c>
      <c r="E173" s="212"/>
    </row>
    <row r="174" spans="1:5" x14ac:dyDescent="0.2">
      <c r="A174" t="s">
        <v>2156</v>
      </c>
      <c r="B174" s="291">
        <v>1</v>
      </c>
      <c r="C174" s="228">
        <v>46</v>
      </c>
      <c r="D174" s="212">
        <v>32952</v>
      </c>
      <c r="E174" s="212"/>
    </row>
    <row r="175" spans="1:5" x14ac:dyDescent="0.2">
      <c r="A175" t="s">
        <v>2156</v>
      </c>
      <c r="B175" s="291">
        <v>1</v>
      </c>
      <c r="C175" s="228" t="s">
        <v>2991</v>
      </c>
      <c r="D175" s="212">
        <v>-7638.04</v>
      </c>
      <c r="E175" s="212"/>
    </row>
    <row r="176" spans="1:5" x14ac:dyDescent="0.2">
      <c r="A176" t="s">
        <v>2156</v>
      </c>
      <c r="B176" s="291">
        <v>1</v>
      </c>
      <c r="C176" s="228" t="s">
        <v>2992</v>
      </c>
      <c r="D176" s="212">
        <v>7088.84</v>
      </c>
      <c r="E176" s="212"/>
    </row>
    <row r="177" spans="1:5" x14ac:dyDescent="0.2">
      <c r="A177" t="s">
        <v>3000</v>
      </c>
      <c r="B177" s="291">
        <v>1</v>
      </c>
      <c r="C177" s="228">
        <v>2</v>
      </c>
      <c r="D177" s="212">
        <v>-242390</v>
      </c>
      <c r="E177" s="212"/>
    </row>
    <row r="178" spans="1:5" x14ac:dyDescent="0.2">
      <c r="A178" t="s">
        <v>3000</v>
      </c>
      <c r="B178" s="291">
        <v>1</v>
      </c>
      <c r="C178" s="228">
        <v>3</v>
      </c>
      <c r="D178" s="212">
        <v>52826.01</v>
      </c>
      <c r="E178" s="212"/>
    </row>
    <row r="179" spans="1:5" x14ac:dyDescent="0.2">
      <c r="A179" t="s">
        <v>3000</v>
      </c>
      <c r="B179" s="291">
        <v>1</v>
      </c>
      <c r="C179" s="228">
        <v>4</v>
      </c>
      <c r="D179" s="212">
        <v>1231.93</v>
      </c>
      <c r="E179" s="212"/>
    </row>
    <row r="180" spans="1:5" x14ac:dyDescent="0.2">
      <c r="A180" t="s">
        <v>3000</v>
      </c>
      <c r="B180" s="291">
        <v>1</v>
      </c>
      <c r="C180" s="228">
        <v>5</v>
      </c>
      <c r="D180" s="212">
        <v>1503.01</v>
      </c>
      <c r="E180" s="212"/>
    </row>
    <row r="181" spans="1:5" x14ac:dyDescent="0.2">
      <c r="A181" t="s">
        <v>3000</v>
      </c>
      <c r="B181" s="291">
        <v>1</v>
      </c>
      <c r="C181" s="228">
        <v>6</v>
      </c>
      <c r="D181" s="212">
        <v>4996.8100000000004</v>
      </c>
      <c r="E181" s="212"/>
    </row>
    <row r="182" spans="1:5" x14ac:dyDescent="0.2">
      <c r="A182" t="s">
        <v>3000</v>
      </c>
      <c r="B182" s="291">
        <v>1</v>
      </c>
      <c r="C182" s="228" t="s">
        <v>2964</v>
      </c>
      <c r="D182" s="212">
        <v>-24.32</v>
      </c>
      <c r="E182" s="212"/>
    </row>
    <row r="183" spans="1:5" x14ac:dyDescent="0.2">
      <c r="A183" t="s">
        <v>3000</v>
      </c>
      <c r="B183" s="291">
        <v>1</v>
      </c>
      <c r="C183" s="228">
        <v>8</v>
      </c>
      <c r="D183" s="212">
        <v>43283.99</v>
      </c>
      <c r="E183" s="212"/>
    </row>
    <row r="184" spans="1:5" x14ac:dyDescent="0.2">
      <c r="A184" t="s">
        <v>3000</v>
      </c>
      <c r="B184" s="291">
        <v>1</v>
      </c>
      <c r="C184" s="228">
        <v>9</v>
      </c>
      <c r="D184" s="212">
        <v>4934.9399999999996</v>
      </c>
      <c r="E184" s="212"/>
    </row>
    <row r="185" spans="1:5" x14ac:dyDescent="0.2">
      <c r="A185" t="s">
        <v>3000</v>
      </c>
      <c r="B185" s="291">
        <v>1</v>
      </c>
      <c r="C185" s="228">
        <v>10</v>
      </c>
      <c r="D185" s="212">
        <v>15393.56</v>
      </c>
      <c r="E185" s="212"/>
    </row>
    <row r="186" spans="1:5" x14ac:dyDescent="0.2">
      <c r="A186" t="s">
        <v>3000</v>
      </c>
      <c r="B186" s="291">
        <v>1</v>
      </c>
      <c r="C186" s="228">
        <v>11</v>
      </c>
      <c r="D186" s="212">
        <v>3484.86</v>
      </c>
      <c r="E186" s="212"/>
    </row>
    <row r="187" spans="1:5" x14ac:dyDescent="0.2">
      <c r="A187" t="s">
        <v>3000</v>
      </c>
      <c r="B187" s="291">
        <v>1</v>
      </c>
      <c r="C187" s="228">
        <v>15</v>
      </c>
      <c r="D187" s="212">
        <v>280</v>
      </c>
      <c r="E187" s="212"/>
    </row>
    <row r="188" spans="1:5" x14ac:dyDescent="0.2">
      <c r="A188" t="s">
        <v>3000</v>
      </c>
      <c r="B188" s="291">
        <v>1</v>
      </c>
      <c r="C188" s="228">
        <v>16</v>
      </c>
      <c r="D188" s="212">
        <v>77.44</v>
      </c>
      <c r="E188" s="212"/>
    </row>
    <row r="189" spans="1:5" x14ac:dyDescent="0.2">
      <c r="A189" t="s">
        <v>3000</v>
      </c>
      <c r="B189" s="291">
        <v>1</v>
      </c>
      <c r="C189" s="228">
        <v>17</v>
      </c>
      <c r="D189" s="212">
        <v>2128.66</v>
      </c>
      <c r="E189" s="212"/>
    </row>
    <row r="190" spans="1:5" x14ac:dyDescent="0.2">
      <c r="A190" t="s">
        <v>3000</v>
      </c>
      <c r="B190" s="291">
        <v>1</v>
      </c>
      <c r="C190" s="228">
        <v>18</v>
      </c>
      <c r="D190" s="212">
        <v>1022.47</v>
      </c>
      <c r="E190" s="212"/>
    </row>
    <row r="191" spans="1:5" x14ac:dyDescent="0.2">
      <c r="A191" t="s">
        <v>3000</v>
      </c>
      <c r="B191" s="291">
        <v>1</v>
      </c>
      <c r="C191" s="228">
        <v>19</v>
      </c>
      <c r="D191" s="212">
        <v>8960.9699999999993</v>
      </c>
      <c r="E191" s="212"/>
    </row>
    <row r="192" spans="1:5" x14ac:dyDescent="0.2">
      <c r="A192" t="s">
        <v>3000</v>
      </c>
      <c r="B192" s="291">
        <v>1</v>
      </c>
      <c r="C192" s="228">
        <v>22</v>
      </c>
      <c r="D192" s="212">
        <v>9716.9500000000007</v>
      </c>
      <c r="E192" s="212"/>
    </row>
    <row r="193" spans="1:5" x14ac:dyDescent="0.2">
      <c r="A193" t="s">
        <v>3000</v>
      </c>
      <c r="B193" s="291">
        <v>1</v>
      </c>
      <c r="C193" s="228">
        <v>23</v>
      </c>
      <c r="D193" s="212">
        <v>6144.66</v>
      </c>
      <c r="E193" s="212"/>
    </row>
    <row r="194" spans="1:5" x14ac:dyDescent="0.2">
      <c r="A194" t="s">
        <v>3000</v>
      </c>
      <c r="B194" s="291">
        <v>1</v>
      </c>
      <c r="C194" s="228">
        <v>24</v>
      </c>
      <c r="D194" s="212">
        <v>10150</v>
      </c>
      <c r="E194" s="212"/>
    </row>
    <row r="195" spans="1:5" x14ac:dyDescent="0.2">
      <c r="A195" t="s">
        <v>3000</v>
      </c>
      <c r="B195" s="291">
        <v>1</v>
      </c>
      <c r="C195" s="228">
        <v>25</v>
      </c>
      <c r="D195" s="212">
        <v>2218.4499999999998</v>
      </c>
      <c r="E195" s="212"/>
    </row>
    <row r="196" spans="1:5" x14ac:dyDescent="0.2">
      <c r="A196" t="s">
        <v>3000</v>
      </c>
      <c r="B196" s="291">
        <v>1</v>
      </c>
      <c r="C196" s="228">
        <v>27</v>
      </c>
      <c r="D196" s="212">
        <v>317.89</v>
      </c>
      <c r="E196" s="212"/>
    </row>
    <row r="197" spans="1:5" x14ac:dyDescent="0.2">
      <c r="A197" t="s">
        <v>3000</v>
      </c>
      <c r="B197" s="291">
        <v>1</v>
      </c>
      <c r="C197" s="228">
        <v>29</v>
      </c>
      <c r="D197" s="212">
        <v>35628.19</v>
      </c>
      <c r="E197" s="212"/>
    </row>
    <row r="198" spans="1:5" x14ac:dyDescent="0.2">
      <c r="A198" t="s">
        <v>3000</v>
      </c>
      <c r="B198" s="291">
        <v>1</v>
      </c>
      <c r="C198" s="228">
        <v>31</v>
      </c>
      <c r="D198" s="212">
        <v>-543.76</v>
      </c>
      <c r="E198" s="212"/>
    </row>
    <row r="199" spans="1:5" x14ac:dyDescent="0.2">
      <c r="A199" t="s">
        <v>3000</v>
      </c>
      <c r="B199" s="291">
        <v>1</v>
      </c>
      <c r="C199" s="228">
        <v>33</v>
      </c>
      <c r="D199" s="212">
        <v>545</v>
      </c>
      <c r="E199" s="212"/>
    </row>
    <row r="200" spans="1:5" x14ac:dyDescent="0.2">
      <c r="A200" t="s">
        <v>3000</v>
      </c>
      <c r="B200" s="291">
        <v>1</v>
      </c>
      <c r="C200" s="228">
        <v>34</v>
      </c>
      <c r="D200" s="212">
        <v>12285.58</v>
      </c>
      <c r="E200" s="212"/>
    </row>
    <row r="201" spans="1:5" x14ac:dyDescent="0.2">
      <c r="A201" t="s">
        <v>3000</v>
      </c>
      <c r="B201" s="291">
        <v>1</v>
      </c>
      <c r="C201" s="228">
        <v>35</v>
      </c>
      <c r="D201" s="212">
        <v>1086.5</v>
      </c>
      <c r="E201" s="212"/>
    </row>
    <row r="202" spans="1:5" x14ac:dyDescent="0.2">
      <c r="A202" t="s">
        <v>3000</v>
      </c>
      <c r="B202" s="291">
        <v>1</v>
      </c>
      <c r="C202" s="228">
        <v>36</v>
      </c>
      <c r="D202" s="212">
        <v>1000</v>
      </c>
      <c r="E202" s="212"/>
    </row>
    <row r="203" spans="1:5" x14ac:dyDescent="0.2">
      <c r="A203" t="s">
        <v>3000</v>
      </c>
      <c r="B203" s="291">
        <v>1</v>
      </c>
      <c r="C203" s="228">
        <v>37</v>
      </c>
      <c r="D203" s="212">
        <v>1998.74</v>
      </c>
      <c r="E203" s="212"/>
    </row>
    <row r="204" spans="1:5" x14ac:dyDescent="0.2">
      <c r="A204" t="s">
        <v>3000</v>
      </c>
      <c r="B204" s="291">
        <v>1</v>
      </c>
      <c r="C204" s="228">
        <v>38</v>
      </c>
      <c r="D204" s="212">
        <v>10000</v>
      </c>
      <c r="E204" s="212"/>
    </row>
    <row r="205" spans="1:5" x14ac:dyDescent="0.2">
      <c r="A205" t="s">
        <v>3000</v>
      </c>
      <c r="B205" s="291">
        <v>1</v>
      </c>
      <c r="C205" s="228">
        <v>46</v>
      </c>
      <c r="D205" s="212">
        <v>16333.33</v>
      </c>
      <c r="E205" s="212"/>
    </row>
    <row r="206" spans="1:5" x14ac:dyDescent="0.2">
      <c r="A206" t="s">
        <v>3000</v>
      </c>
      <c r="B206" s="291">
        <v>1</v>
      </c>
      <c r="C206" s="228" t="s">
        <v>2991</v>
      </c>
      <c r="D206" s="212">
        <v>-3321.64</v>
      </c>
      <c r="E206" s="212"/>
    </row>
    <row r="207" spans="1:5" x14ac:dyDescent="0.2">
      <c r="A207" t="s">
        <v>3000</v>
      </c>
      <c r="B207" s="291">
        <v>1</v>
      </c>
      <c r="C207" s="228" t="s">
        <v>2992</v>
      </c>
      <c r="D207" s="212">
        <v>1446.43</v>
      </c>
      <c r="E207" s="212"/>
    </row>
    <row r="208" spans="1:5" x14ac:dyDescent="0.2">
      <c r="A208" t="s">
        <v>3000</v>
      </c>
      <c r="B208" s="291">
        <v>1</v>
      </c>
      <c r="C208" s="228" t="e">
        <v>#N/A</v>
      </c>
      <c r="D208" s="212">
        <v>-88682.22</v>
      </c>
      <c r="E208" s="212"/>
    </row>
    <row r="209" spans="1:5" x14ac:dyDescent="0.2">
      <c r="A209" t="s">
        <v>3002</v>
      </c>
      <c r="B209" s="291">
        <v>1</v>
      </c>
      <c r="C209" s="228">
        <v>2</v>
      </c>
      <c r="D209" s="212">
        <v>-246524.07</v>
      </c>
      <c r="E209" s="212"/>
    </row>
    <row r="210" spans="1:5" x14ac:dyDescent="0.2">
      <c r="A210" t="s">
        <v>3002</v>
      </c>
      <c r="B210" s="291">
        <v>1</v>
      </c>
      <c r="C210" s="228">
        <v>3</v>
      </c>
      <c r="D210" s="212">
        <v>51504.92</v>
      </c>
      <c r="E210" s="212"/>
    </row>
    <row r="211" spans="1:5" x14ac:dyDescent="0.2">
      <c r="A211" t="s">
        <v>3002</v>
      </c>
      <c r="B211" s="291">
        <v>1</v>
      </c>
      <c r="C211" s="228">
        <v>4</v>
      </c>
      <c r="D211" s="212">
        <v>1422.71</v>
      </c>
      <c r="E211" s="212"/>
    </row>
    <row r="212" spans="1:5" x14ac:dyDescent="0.2">
      <c r="A212" t="s">
        <v>3002</v>
      </c>
      <c r="B212" s="291">
        <v>1</v>
      </c>
      <c r="C212" s="228">
        <v>5</v>
      </c>
      <c r="D212" s="212">
        <v>1576.58</v>
      </c>
      <c r="E212" s="212"/>
    </row>
    <row r="213" spans="1:5" x14ac:dyDescent="0.2">
      <c r="A213" t="s">
        <v>3002</v>
      </c>
      <c r="B213" s="291">
        <v>1</v>
      </c>
      <c r="C213" s="228">
        <v>6</v>
      </c>
      <c r="D213" s="212">
        <v>4918.43</v>
      </c>
      <c r="E213" s="212"/>
    </row>
    <row r="214" spans="1:5" x14ac:dyDescent="0.2">
      <c r="A214" t="s">
        <v>3002</v>
      </c>
      <c r="B214" s="291">
        <v>1</v>
      </c>
      <c r="C214" s="228" t="s">
        <v>2964</v>
      </c>
      <c r="D214" s="212">
        <v>-82.49</v>
      </c>
      <c r="E214" s="212"/>
    </row>
    <row r="215" spans="1:5" x14ac:dyDescent="0.2">
      <c r="A215" t="s">
        <v>3002</v>
      </c>
      <c r="B215" s="291">
        <v>1</v>
      </c>
      <c r="C215" s="228">
        <v>8</v>
      </c>
      <c r="D215" s="212">
        <v>35682.36</v>
      </c>
      <c r="E215" s="212"/>
    </row>
    <row r="216" spans="1:5" x14ac:dyDescent="0.2">
      <c r="A216" t="s">
        <v>3002</v>
      </c>
      <c r="B216" s="291">
        <v>1</v>
      </c>
      <c r="C216" s="228">
        <v>9</v>
      </c>
      <c r="D216" s="212">
        <v>3798.85</v>
      </c>
      <c r="E216" s="212"/>
    </row>
    <row r="217" spans="1:5" x14ac:dyDescent="0.2">
      <c r="A217" t="s">
        <v>3002</v>
      </c>
      <c r="B217" s="291">
        <v>1</v>
      </c>
      <c r="C217" s="228">
        <v>10</v>
      </c>
      <c r="D217" s="212">
        <v>21454.04</v>
      </c>
      <c r="E217" s="212"/>
    </row>
    <row r="218" spans="1:5" x14ac:dyDescent="0.2">
      <c r="A218" t="s">
        <v>3002</v>
      </c>
      <c r="B218" s="291">
        <v>1</v>
      </c>
      <c r="C218" s="228">
        <v>11</v>
      </c>
      <c r="D218" s="212">
        <v>5237.3500000000004</v>
      </c>
      <c r="E218" s="212"/>
    </row>
    <row r="219" spans="1:5" x14ac:dyDescent="0.2">
      <c r="A219" t="s">
        <v>3002</v>
      </c>
      <c r="B219" s="291">
        <v>1</v>
      </c>
      <c r="C219" s="228">
        <v>16</v>
      </c>
      <c r="D219" s="212">
        <v>57</v>
      </c>
      <c r="E219" s="212"/>
    </row>
    <row r="220" spans="1:5" x14ac:dyDescent="0.2">
      <c r="A220" t="s">
        <v>3002</v>
      </c>
      <c r="B220" s="291">
        <v>1</v>
      </c>
      <c r="C220" s="228">
        <v>17</v>
      </c>
      <c r="D220" s="212">
        <v>2042.52</v>
      </c>
      <c r="E220" s="212"/>
    </row>
    <row r="221" spans="1:5" x14ac:dyDescent="0.2">
      <c r="A221" t="s">
        <v>3002</v>
      </c>
      <c r="B221" s="291">
        <v>1</v>
      </c>
      <c r="C221" s="228">
        <v>18</v>
      </c>
      <c r="D221" s="212">
        <v>3331.04</v>
      </c>
      <c r="E221" s="212"/>
    </row>
    <row r="222" spans="1:5" x14ac:dyDescent="0.2">
      <c r="A222" t="s">
        <v>3002</v>
      </c>
      <c r="B222" s="291">
        <v>1</v>
      </c>
      <c r="C222" s="228">
        <v>19</v>
      </c>
      <c r="D222" s="212">
        <v>8689.08</v>
      </c>
      <c r="E222" s="212"/>
    </row>
    <row r="223" spans="1:5" x14ac:dyDescent="0.2">
      <c r="A223" t="s">
        <v>3002</v>
      </c>
      <c r="B223" s="291">
        <v>1</v>
      </c>
      <c r="C223" s="228">
        <v>22</v>
      </c>
      <c r="D223" s="212">
        <v>9870.25</v>
      </c>
      <c r="E223" s="212"/>
    </row>
    <row r="224" spans="1:5" x14ac:dyDescent="0.2">
      <c r="A224" t="s">
        <v>3002</v>
      </c>
      <c r="B224" s="291">
        <v>1</v>
      </c>
      <c r="C224" s="228">
        <v>23</v>
      </c>
      <c r="D224" s="212">
        <v>5333.37</v>
      </c>
      <c r="E224" s="212"/>
    </row>
    <row r="225" spans="1:5" x14ac:dyDescent="0.2">
      <c r="A225" t="s">
        <v>3002</v>
      </c>
      <c r="B225" s="291">
        <v>1</v>
      </c>
      <c r="C225" s="228">
        <v>24</v>
      </c>
      <c r="D225" s="212">
        <v>9078.49</v>
      </c>
      <c r="E225" s="212"/>
    </row>
    <row r="226" spans="1:5" x14ac:dyDescent="0.2">
      <c r="A226" t="s">
        <v>3002</v>
      </c>
      <c r="B226" s="291">
        <v>1</v>
      </c>
      <c r="C226" s="228">
        <v>25</v>
      </c>
      <c r="D226" s="212">
        <v>2315.11</v>
      </c>
      <c r="E226" s="212"/>
    </row>
    <row r="227" spans="1:5" x14ac:dyDescent="0.2">
      <c r="A227" t="s">
        <v>3002</v>
      </c>
      <c r="B227" s="291">
        <v>1</v>
      </c>
      <c r="C227" s="228">
        <v>26</v>
      </c>
      <c r="D227" s="212">
        <v>221.43</v>
      </c>
      <c r="E227" s="212"/>
    </row>
    <row r="228" spans="1:5" x14ac:dyDescent="0.2">
      <c r="A228" t="s">
        <v>3002</v>
      </c>
      <c r="B228" s="291">
        <v>1</v>
      </c>
      <c r="C228" s="228">
        <v>27</v>
      </c>
      <c r="D228" s="212">
        <v>1222.55</v>
      </c>
      <c r="E228" s="212"/>
    </row>
    <row r="229" spans="1:5" x14ac:dyDescent="0.2">
      <c r="A229" t="s">
        <v>3002</v>
      </c>
      <c r="B229" s="291">
        <v>1</v>
      </c>
      <c r="C229" s="228">
        <v>29</v>
      </c>
      <c r="D229" s="212">
        <v>31131.42</v>
      </c>
      <c r="E229" s="212"/>
    </row>
    <row r="230" spans="1:5" x14ac:dyDescent="0.2">
      <c r="A230" t="s">
        <v>3002</v>
      </c>
      <c r="B230" s="291">
        <v>1</v>
      </c>
      <c r="C230" s="228">
        <v>31</v>
      </c>
      <c r="D230" s="212">
        <v>-401.63</v>
      </c>
      <c r="E230" s="212"/>
    </row>
    <row r="231" spans="1:5" x14ac:dyDescent="0.2">
      <c r="A231" t="s">
        <v>3002</v>
      </c>
      <c r="B231" s="291">
        <v>1</v>
      </c>
      <c r="C231" s="228">
        <v>33</v>
      </c>
      <c r="D231" s="212">
        <v>301.08</v>
      </c>
      <c r="E231" s="212"/>
    </row>
    <row r="232" spans="1:5" x14ac:dyDescent="0.2">
      <c r="A232" t="s">
        <v>3002</v>
      </c>
      <c r="B232" s="291">
        <v>1</v>
      </c>
      <c r="C232" s="228">
        <v>34</v>
      </c>
      <c r="D232" s="212">
        <v>12452.57</v>
      </c>
      <c r="E232" s="212"/>
    </row>
    <row r="233" spans="1:5" x14ac:dyDescent="0.2">
      <c r="A233" t="s">
        <v>3002</v>
      </c>
      <c r="B233" s="291">
        <v>1</v>
      </c>
      <c r="C233" s="228">
        <v>35</v>
      </c>
      <c r="D233" s="212">
        <v>1302</v>
      </c>
      <c r="E233" s="212"/>
    </row>
    <row r="234" spans="1:5" x14ac:dyDescent="0.2">
      <c r="A234" t="s">
        <v>3002</v>
      </c>
      <c r="B234" s="291">
        <v>1</v>
      </c>
      <c r="C234" s="228">
        <v>36</v>
      </c>
      <c r="D234" s="212">
        <v>1040</v>
      </c>
      <c r="E234" s="212"/>
    </row>
    <row r="235" spans="1:5" x14ac:dyDescent="0.2">
      <c r="A235" t="s">
        <v>3002</v>
      </c>
      <c r="B235" s="291">
        <v>1</v>
      </c>
      <c r="C235" s="228">
        <v>37</v>
      </c>
      <c r="D235" s="212">
        <v>1671.7</v>
      </c>
      <c r="E235" s="212"/>
    </row>
    <row r="236" spans="1:5" x14ac:dyDescent="0.2">
      <c r="A236" t="s">
        <v>3002</v>
      </c>
      <c r="B236" s="291">
        <v>1</v>
      </c>
      <c r="C236" s="228">
        <v>38</v>
      </c>
      <c r="D236" s="212">
        <v>6110</v>
      </c>
      <c r="E236" s="212"/>
    </row>
    <row r="237" spans="1:5" x14ac:dyDescent="0.2">
      <c r="A237" t="s">
        <v>3002</v>
      </c>
      <c r="B237" s="291">
        <v>1</v>
      </c>
      <c r="C237" s="228">
        <v>40</v>
      </c>
      <c r="D237" s="212">
        <v>3209.12</v>
      </c>
      <c r="E237" s="212"/>
    </row>
    <row r="238" spans="1:5" x14ac:dyDescent="0.2">
      <c r="A238" t="s">
        <v>3002</v>
      </c>
      <c r="B238" s="291">
        <v>1</v>
      </c>
      <c r="C238" s="228">
        <v>42</v>
      </c>
      <c r="D238" s="212">
        <v>23.7</v>
      </c>
      <c r="E238" s="212"/>
    </row>
    <row r="239" spans="1:5" x14ac:dyDescent="0.2">
      <c r="A239" t="s">
        <v>3002</v>
      </c>
      <c r="B239" s="291">
        <v>1</v>
      </c>
      <c r="C239" s="228">
        <v>46</v>
      </c>
      <c r="D239" s="212">
        <v>17033</v>
      </c>
      <c r="E239" s="212"/>
    </row>
    <row r="240" spans="1:5" x14ac:dyDescent="0.2">
      <c r="A240" t="s">
        <v>3002</v>
      </c>
      <c r="B240" s="291">
        <v>1</v>
      </c>
      <c r="C240" s="228" t="s">
        <v>2991</v>
      </c>
      <c r="D240" s="212">
        <v>-2527.3000000000002</v>
      </c>
      <c r="E240" s="212"/>
    </row>
    <row r="241" spans="1:5" x14ac:dyDescent="0.2">
      <c r="A241" t="s">
        <v>3002</v>
      </c>
      <c r="B241" s="291">
        <v>1</v>
      </c>
      <c r="C241" s="228" t="s">
        <v>2992</v>
      </c>
      <c r="D241" s="212">
        <v>2458.4699999999998</v>
      </c>
      <c r="E241" s="212"/>
    </row>
    <row r="242" spans="1:5" x14ac:dyDescent="0.2">
      <c r="A242" t="s">
        <v>3002</v>
      </c>
      <c r="B242" s="291">
        <v>1</v>
      </c>
      <c r="C242" s="228" t="e">
        <v>#N/A</v>
      </c>
      <c r="D242" s="212">
        <v>5046.3500000000004</v>
      </c>
      <c r="E242" s="212"/>
    </row>
    <row r="243" spans="1:5" x14ac:dyDescent="0.2">
      <c r="A243" t="s">
        <v>297</v>
      </c>
      <c r="B243" s="291">
        <v>1</v>
      </c>
      <c r="C243" s="228">
        <v>2</v>
      </c>
      <c r="D243" s="212">
        <v>-335149.37</v>
      </c>
      <c r="E243" s="212"/>
    </row>
    <row r="244" spans="1:5" x14ac:dyDescent="0.2">
      <c r="A244" t="s">
        <v>297</v>
      </c>
      <c r="B244" s="291">
        <v>1</v>
      </c>
      <c r="C244" s="228">
        <v>3</v>
      </c>
      <c r="D244" s="212">
        <v>73811.55</v>
      </c>
      <c r="E244" s="212"/>
    </row>
    <row r="245" spans="1:5" x14ac:dyDescent="0.2">
      <c r="A245" t="s">
        <v>297</v>
      </c>
      <c r="B245" s="291">
        <v>1</v>
      </c>
      <c r="C245" s="228">
        <v>4</v>
      </c>
      <c r="D245" s="212">
        <v>1373.44</v>
      </c>
      <c r="E245" s="212"/>
    </row>
    <row r="246" spans="1:5" x14ac:dyDescent="0.2">
      <c r="A246" t="s">
        <v>297</v>
      </c>
      <c r="B246" s="291">
        <v>1</v>
      </c>
      <c r="C246" s="228">
        <v>5</v>
      </c>
      <c r="D246" s="212">
        <v>2226.6999999999998</v>
      </c>
      <c r="E246" s="212"/>
    </row>
    <row r="247" spans="1:5" x14ac:dyDescent="0.2">
      <c r="A247" t="s">
        <v>297</v>
      </c>
      <c r="B247" s="291">
        <v>1</v>
      </c>
      <c r="C247" s="228">
        <v>6</v>
      </c>
      <c r="D247" s="212">
        <v>7311.17</v>
      </c>
      <c r="E247" s="212"/>
    </row>
    <row r="248" spans="1:5" x14ac:dyDescent="0.2">
      <c r="A248" t="s">
        <v>297</v>
      </c>
      <c r="B248" s="291">
        <v>1</v>
      </c>
      <c r="C248" s="228" t="s">
        <v>2964</v>
      </c>
      <c r="D248" s="212">
        <v>564.77</v>
      </c>
      <c r="E248" s="212"/>
    </row>
    <row r="249" spans="1:5" x14ac:dyDescent="0.2">
      <c r="A249" t="s">
        <v>297</v>
      </c>
      <c r="B249" s="291">
        <v>1</v>
      </c>
      <c r="C249" s="228">
        <v>8</v>
      </c>
      <c r="D249" s="212">
        <v>49568.02</v>
      </c>
      <c r="E249" s="212"/>
    </row>
    <row r="250" spans="1:5" x14ac:dyDescent="0.2">
      <c r="A250" t="s">
        <v>297</v>
      </c>
      <c r="B250" s="291">
        <v>1</v>
      </c>
      <c r="C250" s="228">
        <v>9</v>
      </c>
      <c r="D250" s="212">
        <v>5728.4</v>
      </c>
      <c r="E250" s="212"/>
    </row>
    <row r="251" spans="1:5" x14ac:dyDescent="0.2">
      <c r="A251" t="s">
        <v>297</v>
      </c>
      <c r="B251" s="291">
        <v>1</v>
      </c>
      <c r="C251" s="228">
        <v>10</v>
      </c>
      <c r="D251" s="212">
        <v>21188.22</v>
      </c>
      <c r="E251" s="212"/>
    </row>
    <row r="252" spans="1:5" x14ac:dyDescent="0.2">
      <c r="A252" t="s">
        <v>297</v>
      </c>
      <c r="B252" s="291">
        <v>1</v>
      </c>
      <c r="C252" s="228">
        <v>11</v>
      </c>
      <c r="D252" s="212">
        <v>5110.6099999999997</v>
      </c>
      <c r="E252" s="212"/>
    </row>
    <row r="253" spans="1:5" x14ac:dyDescent="0.2">
      <c r="A253" t="s">
        <v>297</v>
      </c>
      <c r="B253" s="291">
        <v>1</v>
      </c>
      <c r="C253" s="228">
        <v>15</v>
      </c>
      <c r="D253" s="212">
        <v>549.16999999999996</v>
      </c>
      <c r="E253" s="212"/>
    </row>
    <row r="254" spans="1:5" x14ac:dyDescent="0.2">
      <c r="A254" t="s">
        <v>297</v>
      </c>
      <c r="B254" s="291">
        <v>1</v>
      </c>
      <c r="C254" s="228">
        <v>16</v>
      </c>
      <c r="D254" s="212">
        <v>591.32000000000005</v>
      </c>
      <c r="E254" s="212"/>
    </row>
    <row r="255" spans="1:5" x14ac:dyDescent="0.2">
      <c r="A255" t="s">
        <v>297</v>
      </c>
      <c r="B255" s="291">
        <v>1</v>
      </c>
      <c r="C255" s="228">
        <v>17</v>
      </c>
      <c r="D255" s="212">
        <v>2586.3200000000002</v>
      </c>
      <c r="E255" s="212"/>
    </row>
    <row r="256" spans="1:5" x14ac:dyDescent="0.2">
      <c r="A256" t="s">
        <v>297</v>
      </c>
      <c r="B256" s="291">
        <v>1</v>
      </c>
      <c r="C256" s="228">
        <v>18</v>
      </c>
      <c r="D256" s="212">
        <v>2795.93</v>
      </c>
      <c r="E256" s="212"/>
    </row>
    <row r="257" spans="1:5" x14ac:dyDescent="0.2">
      <c r="A257" t="s">
        <v>297</v>
      </c>
      <c r="B257" s="291">
        <v>1</v>
      </c>
      <c r="C257" s="228">
        <v>19</v>
      </c>
      <c r="D257" s="212">
        <v>6464.59</v>
      </c>
      <c r="E257" s="212"/>
    </row>
    <row r="258" spans="1:5" x14ac:dyDescent="0.2">
      <c r="A258" t="s">
        <v>297</v>
      </c>
      <c r="B258" s="291">
        <v>1</v>
      </c>
      <c r="C258" s="228">
        <v>22</v>
      </c>
      <c r="D258" s="212">
        <v>13394.96</v>
      </c>
      <c r="E258" s="212"/>
    </row>
    <row r="259" spans="1:5" x14ac:dyDescent="0.2">
      <c r="A259" t="s">
        <v>297</v>
      </c>
      <c r="B259" s="291">
        <v>1</v>
      </c>
      <c r="C259" s="228">
        <v>23</v>
      </c>
      <c r="D259" s="212">
        <v>7551.07</v>
      </c>
      <c r="E259" s="212"/>
    </row>
    <row r="260" spans="1:5" x14ac:dyDescent="0.2">
      <c r="A260" t="s">
        <v>297</v>
      </c>
      <c r="B260" s="291">
        <v>1</v>
      </c>
      <c r="C260" s="228">
        <v>24</v>
      </c>
      <c r="D260" s="212">
        <v>10821.79</v>
      </c>
      <c r="E260" s="212"/>
    </row>
    <row r="261" spans="1:5" x14ac:dyDescent="0.2">
      <c r="A261" t="s">
        <v>297</v>
      </c>
      <c r="B261" s="291">
        <v>1</v>
      </c>
      <c r="C261" s="228">
        <v>25</v>
      </c>
      <c r="D261" s="212">
        <v>2261.69</v>
      </c>
      <c r="E261" s="212"/>
    </row>
    <row r="262" spans="1:5" x14ac:dyDescent="0.2">
      <c r="A262" t="s">
        <v>297</v>
      </c>
      <c r="B262" s="291">
        <v>1</v>
      </c>
      <c r="C262" s="228">
        <v>26</v>
      </c>
      <c r="D262" s="212">
        <v>410.44</v>
      </c>
      <c r="E262" s="212"/>
    </row>
    <row r="263" spans="1:5" x14ac:dyDescent="0.2">
      <c r="A263" t="s">
        <v>297</v>
      </c>
      <c r="B263" s="291">
        <v>1</v>
      </c>
      <c r="C263" s="228">
        <v>27</v>
      </c>
      <c r="D263" s="212">
        <v>1070</v>
      </c>
      <c r="E263" s="212"/>
    </row>
    <row r="264" spans="1:5" x14ac:dyDescent="0.2">
      <c r="A264" t="s">
        <v>297</v>
      </c>
      <c r="B264" s="291">
        <v>1</v>
      </c>
      <c r="C264" s="228">
        <v>29</v>
      </c>
      <c r="D264" s="212">
        <v>47488.38</v>
      </c>
      <c r="E264" s="212"/>
    </row>
    <row r="265" spans="1:5" x14ac:dyDescent="0.2">
      <c r="A265" t="s">
        <v>297</v>
      </c>
      <c r="B265" s="291">
        <v>1</v>
      </c>
      <c r="C265" s="228">
        <v>31</v>
      </c>
      <c r="D265" s="212">
        <v>-839.85</v>
      </c>
      <c r="E265" s="212"/>
    </row>
    <row r="266" spans="1:5" x14ac:dyDescent="0.2">
      <c r="A266" t="s">
        <v>297</v>
      </c>
      <c r="B266" s="291">
        <v>1</v>
      </c>
      <c r="C266" s="228">
        <v>33</v>
      </c>
      <c r="D266" s="212">
        <v>550</v>
      </c>
      <c r="E266" s="212"/>
    </row>
    <row r="267" spans="1:5" x14ac:dyDescent="0.2">
      <c r="A267" t="s">
        <v>297</v>
      </c>
      <c r="B267" s="291">
        <v>1</v>
      </c>
      <c r="C267" s="228">
        <v>34</v>
      </c>
      <c r="D267" s="212">
        <v>16960.13</v>
      </c>
      <c r="E267" s="212"/>
    </row>
    <row r="268" spans="1:5" x14ac:dyDescent="0.2">
      <c r="A268" t="s">
        <v>297</v>
      </c>
      <c r="B268" s="291">
        <v>1</v>
      </c>
      <c r="C268" s="228">
        <v>35</v>
      </c>
      <c r="D268" s="212">
        <v>1439</v>
      </c>
      <c r="E268" s="212"/>
    </row>
    <row r="269" spans="1:5" x14ac:dyDescent="0.2">
      <c r="A269" t="s">
        <v>297</v>
      </c>
      <c r="B269" s="291">
        <v>1</v>
      </c>
      <c r="C269" s="228">
        <v>36</v>
      </c>
      <c r="D269" s="212">
        <v>1627.8</v>
      </c>
      <c r="E269" s="212"/>
    </row>
    <row r="270" spans="1:5" x14ac:dyDescent="0.2">
      <c r="A270" t="s">
        <v>297</v>
      </c>
      <c r="B270" s="291">
        <v>1</v>
      </c>
      <c r="C270" s="228">
        <v>37</v>
      </c>
      <c r="D270" s="212">
        <v>2711.8</v>
      </c>
      <c r="E270" s="212"/>
    </row>
    <row r="271" spans="1:5" x14ac:dyDescent="0.2">
      <c r="A271" t="s">
        <v>297</v>
      </c>
      <c r="B271" s="291">
        <v>1</v>
      </c>
      <c r="C271" s="228">
        <v>38</v>
      </c>
      <c r="D271" s="212">
        <v>12000</v>
      </c>
      <c r="E271" s="212"/>
    </row>
    <row r="272" spans="1:5" x14ac:dyDescent="0.2">
      <c r="A272" t="s">
        <v>297</v>
      </c>
      <c r="B272" s="291">
        <v>1</v>
      </c>
      <c r="C272" s="228">
        <v>40</v>
      </c>
      <c r="D272" s="212">
        <v>1113.97</v>
      </c>
      <c r="E272" s="212"/>
    </row>
    <row r="273" spans="1:5" x14ac:dyDescent="0.2">
      <c r="A273" t="s">
        <v>297</v>
      </c>
      <c r="B273" s="291">
        <v>1</v>
      </c>
      <c r="C273" s="228">
        <v>42</v>
      </c>
      <c r="D273" s="212">
        <v>30.11</v>
      </c>
      <c r="E273" s="212"/>
    </row>
    <row r="274" spans="1:5" x14ac:dyDescent="0.2">
      <c r="A274" t="s">
        <v>297</v>
      </c>
      <c r="B274" s="291">
        <v>1</v>
      </c>
      <c r="C274" s="228">
        <v>46</v>
      </c>
      <c r="D274" s="212">
        <v>21233.33</v>
      </c>
      <c r="E274" s="212"/>
    </row>
    <row r="275" spans="1:5" x14ac:dyDescent="0.2">
      <c r="A275" t="s">
        <v>297</v>
      </c>
      <c r="B275" s="291">
        <v>1</v>
      </c>
      <c r="C275" s="228" t="s">
        <v>2991</v>
      </c>
      <c r="D275" s="212">
        <v>-4053.31</v>
      </c>
      <c r="E275" s="212"/>
    </row>
    <row r="276" spans="1:5" x14ac:dyDescent="0.2">
      <c r="A276" t="s">
        <v>297</v>
      </c>
      <c r="B276" s="291">
        <v>1</v>
      </c>
      <c r="C276" s="228" t="s">
        <v>2992</v>
      </c>
      <c r="D276" s="212">
        <v>4503.93</v>
      </c>
      <c r="E276" s="212"/>
    </row>
    <row r="277" spans="1:5" x14ac:dyDescent="0.2">
      <c r="A277" t="s">
        <v>297</v>
      </c>
      <c r="B277" s="291">
        <v>1</v>
      </c>
      <c r="C277" s="228" t="e">
        <v>#N/A</v>
      </c>
      <c r="D277" s="212">
        <v>15003.92</v>
      </c>
      <c r="E277" s="212"/>
    </row>
    <row r="278" spans="1:5" x14ac:dyDescent="0.2">
      <c r="A278" t="s">
        <v>2998</v>
      </c>
      <c r="B278" s="291">
        <v>1</v>
      </c>
      <c r="C278" s="228">
        <v>2</v>
      </c>
      <c r="D278" s="212">
        <v>-232055.39</v>
      </c>
      <c r="E278" s="212"/>
    </row>
    <row r="279" spans="1:5" x14ac:dyDescent="0.2">
      <c r="A279" t="s">
        <v>2998</v>
      </c>
      <c r="B279" s="291">
        <v>1</v>
      </c>
      <c r="C279" s="228">
        <v>3</v>
      </c>
      <c r="D279" s="212">
        <v>52458.81</v>
      </c>
      <c r="E279" s="212"/>
    </row>
    <row r="280" spans="1:5" x14ac:dyDescent="0.2">
      <c r="A280" t="s">
        <v>2998</v>
      </c>
      <c r="B280" s="291">
        <v>1</v>
      </c>
      <c r="C280" s="228">
        <v>4</v>
      </c>
      <c r="D280" s="212">
        <v>854.89</v>
      </c>
      <c r="E280" s="212"/>
    </row>
    <row r="281" spans="1:5" x14ac:dyDescent="0.2">
      <c r="A281" t="s">
        <v>2998</v>
      </c>
      <c r="B281" s="291">
        <v>1</v>
      </c>
      <c r="C281" s="228">
        <v>5</v>
      </c>
      <c r="D281" s="212">
        <v>1092.3</v>
      </c>
      <c r="E281" s="212"/>
    </row>
    <row r="282" spans="1:5" x14ac:dyDescent="0.2">
      <c r="A282" t="s">
        <v>2998</v>
      </c>
      <c r="B282" s="291">
        <v>1</v>
      </c>
      <c r="C282" s="228">
        <v>6</v>
      </c>
      <c r="D282" s="212">
        <v>5484.25</v>
      </c>
      <c r="E282" s="212"/>
    </row>
    <row r="283" spans="1:5" x14ac:dyDescent="0.2">
      <c r="A283" t="s">
        <v>2998</v>
      </c>
      <c r="B283" s="291">
        <v>1</v>
      </c>
      <c r="C283" s="228" t="s">
        <v>2964</v>
      </c>
      <c r="D283" s="212">
        <v>805.18</v>
      </c>
      <c r="E283" s="212"/>
    </row>
    <row r="284" spans="1:5" x14ac:dyDescent="0.2">
      <c r="A284" t="s">
        <v>2998</v>
      </c>
      <c r="B284" s="291">
        <v>1</v>
      </c>
      <c r="C284" s="228">
        <v>8</v>
      </c>
      <c r="D284" s="212">
        <v>37599.199999999997</v>
      </c>
      <c r="E284" s="212"/>
    </row>
    <row r="285" spans="1:5" x14ac:dyDescent="0.2">
      <c r="A285" t="s">
        <v>2998</v>
      </c>
      <c r="B285" s="291">
        <v>1</v>
      </c>
      <c r="C285" s="228">
        <v>9</v>
      </c>
      <c r="D285" s="212">
        <v>4206.49</v>
      </c>
      <c r="E285" s="212"/>
    </row>
    <row r="286" spans="1:5" x14ac:dyDescent="0.2">
      <c r="A286" t="s">
        <v>2998</v>
      </c>
      <c r="B286" s="291">
        <v>1</v>
      </c>
      <c r="C286" s="228">
        <v>10</v>
      </c>
      <c r="D286" s="212">
        <v>15344.28</v>
      </c>
      <c r="E286" s="212"/>
    </row>
    <row r="287" spans="1:5" x14ac:dyDescent="0.2">
      <c r="A287" t="s">
        <v>2998</v>
      </c>
      <c r="B287" s="291">
        <v>1</v>
      </c>
      <c r="C287" s="228">
        <v>11</v>
      </c>
      <c r="D287" s="212">
        <v>4070.07</v>
      </c>
      <c r="E287" s="212"/>
    </row>
    <row r="288" spans="1:5" x14ac:dyDescent="0.2">
      <c r="A288" t="s">
        <v>2998</v>
      </c>
      <c r="B288" s="291">
        <v>1</v>
      </c>
      <c r="C288" s="228">
        <v>15</v>
      </c>
      <c r="D288" s="212">
        <v>3290</v>
      </c>
      <c r="E288" s="212"/>
    </row>
    <row r="289" spans="1:5" x14ac:dyDescent="0.2">
      <c r="A289" t="s">
        <v>2998</v>
      </c>
      <c r="B289" s="291">
        <v>1</v>
      </c>
      <c r="C289" s="228">
        <v>16</v>
      </c>
      <c r="D289" s="212">
        <v>562.13</v>
      </c>
      <c r="E289" s="212"/>
    </row>
    <row r="290" spans="1:5" x14ac:dyDescent="0.2">
      <c r="A290" t="s">
        <v>2998</v>
      </c>
      <c r="B290" s="291">
        <v>1</v>
      </c>
      <c r="C290" s="228">
        <v>17</v>
      </c>
      <c r="D290" s="212">
        <v>2239.54</v>
      </c>
      <c r="E290" s="212"/>
    </row>
    <row r="291" spans="1:5" x14ac:dyDescent="0.2">
      <c r="A291" t="s">
        <v>2998</v>
      </c>
      <c r="B291" s="291">
        <v>1</v>
      </c>
      <c r="C291" s="228">
        <v>18</v>
      </c>
      <c r="D291" s="212">
        <v>2581.67</v>
      </c>
      <c r="E291" s="212"/>
    </row>
    <row r="292" spans="1:5" x14ac:dyDescent="0.2">
      <c r="A292" t="s">
        <v>2998</v>
      </c>
      <c r="B292" s="291">
        <v>1</v>
      </c>
      <c r="C292" s="228">
        <v>19</v>
      </c>
      <c r="D292" s="212">
        <v>7111.06</v>
      </c>
      <c r="E292" s="212"/>
    </row>
    <row r="293" spans="1:5" x14ac:dyDescent="0.2">
      <c r="A293" t="s">
        <v>2998</v>
      </c>
      <c r="B293" s="291">
        <v>1</v>
      </c>
      <c r="C293" s="228">
        <v>22</v>
      </c>
      <c r="D293" s="212">
        <v>9273.61</v>
      </c>
      <c r="E293" s="212"/>
    </row>
    <row r="294" spans="1:5" x14ac:dyDescent="0.2">
      <c r="A294" t="s">
        <v>2998</v>
      </c>
      <c r="B294" s="291">
        <v>1</v>
      </c>
      <c r="C294" s="228">
        <v>23</v>
      </c>
      <c r="D294" s="212">
        <v>5320.34</v>
      </c>
      <c r="E294" s="212"/>
    </row>
    <row r="295" spans="1:5" x14ac:dyDescent="0.2">
      <c r="A295" t="s">
        <v>2998</v>
      </c>
      <c r="B295" s="291">
        <v>1</v>
      </c>
      <c r="C295" s="228">
        <v>24</v>
      </c>
      <c r="D295" s="212">
        <v>9487.7999999999993</v>
      </c>
      <c r="E295" s="212"/>
    </row>
    <row r="296" spans="1:5" x14ac:dyDescent="0.2">
      <c r="A296" t="s">
        <v>2998</v>
      </c>
      <c r="B296" s="291">
        <v>1</v>
      </c>
      <c r="C296" s="228">
        <v>25</v>
      </c>
      <c r="D296" s="212">
        <v>2205.36</v>
      </c>
      <c r="E296" s="212"/>
    </row>
    <row r="297" spans="1:5" x14ac:dyDescent="0.2">
      <c r="A297" t="s">
        <v>2998</v>
      </c>
      <c r="B297" s="291">
        <v>1</v>
      </c>
      <c r="C297" s="228">
        <v>26</v>
      </c>
      <c r="D297" s="212">
        <v>440.22</v>
      </c>
      <c r="E297" s="212"/>
    </row>
    <row r="298" spans="1:5" x14ac:dyDescent="0.2">
      <c r="A298" t="s">
        <v>2998</v>
      </c>
      <c r="B298" s="291">
        <v>1</v>
      </c>
      <c r="C298" s="228">
        <v>27</v>
      </c>
      <c r="D298" s="212">
        <v>906.98</v>
      </c>
      <c r="E298" s="212"/>
    </row>
    <row r="299" spans="1:5" x14ac:dyDescent="0.2">
      <c r="A299" t="s">
        <v>2998</v>
      </c>
      <c r="B299" s="291">
        <v>1</v>
      </c>
      <c r="C299" s="228">
        <v>29</v>
      </c>
      <c r="D299" s="212">
        <v>30449.45</v>
      </c>
      <c r="E299" s="212"/>
    </row>
    <row r="300" spans="1:5" x14ac:dyDescent="0.2">
      <c r="A300" t="s">
        <v>2998</v>
      </c>
      <c r="B300" s="291">
        <v>1</v>
      </c>
      <c r="C300" s="228">
        <v>31</v>
      </c>
      <c r="D300" s="212">
        <v>-429.57</v>
      </c>
      <c r="E300" s="212"/>
    </row>
    <row r="301" spans="1:5" x14ac:dyDescent="0.2">
      <c r="A301" t="s">
        <v>2998</v>
      </c>
      <c r="B301" s="291">
        <v>1</v>
      </c>
      <c r="C301" s="228">
        <v>33</v>
      </c>
      <c r="D301" s="212">
        <v>520</v>
      </c>
      <c r="E301" s="212"/>
    </row>
    <row r="302" spans="1:5" x14ac:dyDescent="0.2">
      <c r="A302" t="s">
        <v>2998</v>
      </c>
      <c r="B302" s="291">
        <v>1</v>
      </c>
      <c r="C302" s="228">
        <v>34</v>
      </c>
      <c r="D302" s="212">
        <v>11711.33</v>
      </c>
      <c r="E302" s="212"/>
    </row>
    <row r="303" spans="1:5" x14ac:dyDescent="0.2">
      <c r="A303" t="s">
        <v>2998</v>
      </c>
      <c r="B303" s="291">
        <v>1</v>
      </c>
      <c r="C303" s="228">
        <v>35</v>
      </c>
      <c r="D303" s="212">
        <v>1006.5</v>
      </c>
      <c r="E303" s="212"/>
    </row>
    <row r="304" spans="1:5" x14ac:dyDescent="0.2">
      <c r="A304" t="s">
        <v>2998</v>
      </c>
      <c r="B304" s="291">
        <v>1</v>
      </c>
      <c r="C304" s="228">
        <v>36</v>
      </c>
      <c r="D304" s="212">
        <v>1812.54</v>
      </c>
      <c r="E304" s="212"/>
    </row>
    <row r="305" spans="1:5" x14ac:dyDescent="0.2">
      <c r="A305" t="s">
        <v>2998</v>
      </c>
      <c r="B305" s="291">
        <v>1</v>
      </c>
      <c r="C305" s="228">
        <v>37</v>
      </c>
      <c r="D305" s="212">
        <v>3450.96</v>
      </c>
      <c r="E305" s="212"/>
    </row>
    <row r="306" spans="1:5" x14ac:dyDescent="0.2">
      <c r="A306" t="s">
        <v>2998</v>
      </c>
      <c r="B306" s="291">
        <v>1</v>
      </c>
      <c r="C306" s="228">
        <v>38</v>
      </c>
      <c r="D306" s="212">
        <v>11000</v>
      </c>
      <c r="E306" s="212"/>
    </row>
    <row r="307" spans="1:5" x14ac:dyDescent="0.2">
      <c r="A307" t="s">
        <v>2998</v>
      </c>
      <c r="B307" s="291">
        <v>1</v>
      </c>
      <c r="C307" s="228">
        <v>40</v>
      </c>
      <c r="D307" s="212">
        <v>4513.42</v>
      </c>
      <c r="E307" s="212"/>
    </row>
    <row r="308" spans="1:5" x14ac:dyDescent="0.2">
      <c r="A308" t="s">
        <v>2998</v>
      </c>
      <c r="B308" s="291">
        <v>1</v>
      </c>
      <c r="C308" s="228">
        <v>42</v>
      </c>
      <c r="D308" s="212">
        <v>16.37</v>
      </c>
      <c r="E308" s="212"/>
    </row>
    <row r="309" spans="1:5" x14ac:dyDescent="0.2">
      <c r="A309" t="s">
        <v>2998</v>
      </c>
      <c r="B309" s="291">
        <v>1</v>
      </c>
      <c r="C309" s="228">
        <v>46</v>
      </c>
      <c r="D309" s="212">
        <v>18233.330000000002</v>
      </c>
      <c r="E309" s="212"/>
    </row>
    <row r="310" spans="1:5" x14ac:dyDescent="0.2">
      <c r="A310" t="s">
        <v>2998</v>
      </c>
      <c r="B310" s="291">
        <v>1</v>
      </c>
      <c r="C310" s="228" t="s">
        <v>2991</v>
      </c>
      <c r="D310" s="212">
        <v>-2171.15</v>
      </c>
      <c r="E310" s="212"/>
    </row>
    <row r="311" spans="1:5" x14ac:dyDescent="0.2">
      <c r="A311" t="s">
        <v>2998</v>
      </c>
      <c r="B311" s="291">
        <v>1</v>
      </c>
      <c r="C311" s="228" t="s">
        <v>2992</v>
      </c>
      <c r="D311" s="212">
        <v>2747.77</v>
      </c>
      <c r="E311" s="212"/>
    </row>
    <row r="312" spans="1:5" x14ac:dyDescent="0.2">
      <c r="A312" t="s">
        <v>2998</v>
      </c>
      <c r="B312" s="291">
        <v>1</v>
      </c>
      <c r="C312" s="228" t="e">
        <v>#N/A</v>
      </c>
      <c r="D312" s="212">
        <v>-30900.01</v>
      </c>
      <c r="E312" s="212"/>
    </row>
    <row r="313" spans="1:5" x14ac:dyDescent="0.2">
      <c r="A313" t="s">
        <v>301</v>
      </c>
      <c r="B313" s="291">
        <v>1</v>
      </c>
      <c r="C313" s="228">
        <v>2</v>
      </c>
      <c r="D313" s="212">
        <v>-360434.46</v>
      </c>
      <c r="E313" s="212"/>
    </row>
    <row r="314" spans="1:5" x14ac:dyDescent="0.2">
      <c r="A314" t="s">
        <v>301</v>
      </c>
      <c r="B314" s="291">
        <v>1</v>
      </c>
      <c r="C314" s="228">
        <v>3</v>
      </c>
      <c r="D314" s="212">
        <v>77642.289999999994</v>
      </c>
      <c r="E314" s="212"/>
    </row>
    <row r="315" spans="1:5" x14ac:dyDescent="0.2">
      <c r="A315" t="s">
        <v>301</v>
      </c>
      <c r="B315" s="291">
        <v>1</v>
      </c>
      <c r="C315" s="228">
        <v>4</v>
      </c>
      <c r="D315" s="212">
        <v>1865.61</v>
      </c>
      <c r="E315" s="212"/>
    </row>
    <row r="316" spans="1:5" x14ac:dyDescent="0.2">
      <c r="A316" t="s">
        <v>301</v>
      </c>
      <c r="B316" s="291">
        <v>1</v>
      </c>
      <c r="C316" s="228">
        <v>5</v>
      </c>
      <c r="D316" s="212">
        <v>1980.99</v>
      </c>
      <c r="E316" s="212"/>
    </row>
    <row r="317" spans="1:5" x14ac:dyDescent="0.2">
      <c r="A317" t="s">
        <v>301</v>
      </c>
      <c r="B317" s="291">
        <v>1</v>
      </c>
      <c r="C317" s="228">
        <v>6</v>
      </c>
      <c r="D317" s="212">
        <v>8207.69</v>
      </c>
      <c r="E317" s="212"/>
    </row>
    <row r="318" spans="1:5" x14ac:dyDescent="0.2">
      <c r="A318" t="s">
        <v>301</v>
      </c>
      <c r="B318" s="291">
        <v>1</v>
      </c>
      <c r="C318" s="228" t="s">
        <v>2964</v>
      </c>
      <c r="D318" s="212">
        <v>47.57</v>
      </c>
      <c r="E318" s="212"/>
    </row>
    <row r="319" spans="1:5" x14ac:dyDescent="0.2">
      <c r="A319" t="s">
        <v>301</v>
      </c>
      <c r="B319" s="291">
        <v>1</v>
      </c>
      <c r="C319" s="228">
        <v>8</v>
      </c>
      <c r="D319" s="212">
        <v>48977.82</v>
      </c>
      <c r="E319" s="212"/>
    </row>
    <row r="320" spans="1:5" x14ac:dyDescent="0.2">
      <c r="A320" t="s">
        <v>301</v>
      </c>
      <c r="B320" s="291">
        <v>1</v>
      </c>
      <c r="C320" s="228">
        <v>9</v>
      </c>
      <c r="D320" s="212">
        <v>5723.62</v>
      </c>
      <c r="E320" s="212"/>
    </row>
    <row r="321" spans="1:5" x14ac:dyDescent="0.2">
      <c r="A321" t="s">
        <v>301</v>
      </c>
      <c r="B321" s="291">
        <v>1</v>
      </c>
      <c r="C321" s="228">
        <v>10</v>
      </c>
      <c r="D321" s="212">
        <v>17075.28</v>
      </c>
      <c r="E321" s="212"/>
    </row>
    <row r="322" spans="1:5" x14ac:dyDescent="0.2">
      <c r="A322" t="s">
        <v>301</v>
      </c>
      <c r="B322" s="291">
        <v>1</v>
      </c>
      <c r="C322" s="228">
        <v>11</v>
      </c>
      <c r="D322" s="212">
        <v>4031.72</v>
      </c>
      <c r="E322" s="212"/>
    </row>
    <row r="323" spans="1:5" x14ac:dyDescent="0.2">
      <c r="A323" t="s">
        <v>301</v>
      </c>
      <c r="B323" s="291">
        <v>1</v>
      </c>
      <c r="C323" s="228">
        <v>15</v>
      </c>
      <c r="D323" s="212">
        <v>7577.01</v>
      </c>
      <c r="E323" s="212"/>
    </row>
    <row r="324" spans="1:5" x14ac:dyDescent="0.2">
      <c r="A324" t="s">
        <v>301</v>
      </c>
      <c r="B324" s="291">
        <v>1</v>
      </c>
      <c r="C324" s="228">
        <v>16</v>
      </c>
      <c r="D324" s="212">
        <v>550.11</v>
      </c>
      <c r="E324" s="212"/>
    </row>
    <row r="325" spans="1:5" x14ac:dyDescent="0.2">
      <c r="A325" t="s">
        <v>301</v>
      </c>
      <c r="B325" s="291">
        <v>1</v>
      </c>
      <c r="C325" s="228">
        <v>17</v>
      </c>
      <c r="D325" s="212">
        <v>2472.0100000000002</v>
      </c>
      <c r="E325" s="212"/>
    </row>
    <row r="326" spans="1:5" x14ac:dyDescent="0.2">
      <c r="A326" t="s">
        <v>301</v>
      </c>
      <c r="B326" s="291">
        <v>1</v>
      </c>
      <c r="C326" s="228">
        <v>18</v>
      </c>
      <c r="D326" s="212">
        <v>2091.6999999999998</v>
      </c>
      <c r="E326" s="212"/>
    </row>
    <row r="327" spans="1:5" x14ac:dyDescent="0.2">
      <c r="A327" t="s">
        <v>301</v>
      </c>
      <c r="B327" s="291">
        <v>1</v>
      </c>
      <c r="C327" s="228">
        <v>19</v>
      </c>
      <c r="D327" s="212">
        <v>8876.19</v>
      </c>
      <c r="E327" s="212"/>
    </row>
    <row r="328" spans="1:5" x14ac:dyDescent="0.2">
      <c r="A328" t="s">
        <v>301</v>
      </c>
      <c r="B328" s="291">
        <v>1</v>
      </c>
      <c r="C328" s="228">
        <v>21</v>
      </c>
      <c r="D328" s="212">
        <v>2698.52</v>
      </c>
      <c r="E328" s="212"/>
    </row>
    <row r="329" spans="1:5" x14ac:dyDescent="0.2">
      <c r="A329" t="s">
        <v>301</v>
      </c>
      <c r="B329" s="291">
        <v>1</v>
      </c>
      <c r="C329" s="228">
        <v>22</v>
      </c>
      <c r="D329" s="212">
        <v>14424.79</v>
      </c>
      <c r="E329" s="212"/>
    </row>
    <row r="330" spans="1:5" x14ac:dyDescent="0.2">
      <c r="A330" t="s">
        <v>301</v>
      </c>
      <c r="B330" s="291">
        <v>1</v>
      </c>
      <c r="C330" s="228">
        <v>23</v>
      </c>
      <c r="D330" s="212">
        <v>4748.97</v>
      </c>
      <c r="E330" s="212"/>
    </row>
    <row r="331" spans="1:5" x14ac:dyDescent="0.2">
      <c r="A331" t="s">
        <v>301</v>
      </c>
      <c r="B331" s="291">
        <v>1</v>
      </c>
      <c r="C331" s="228">
        <v>24</v>
      </c>
      <c r="D331" s="212">
        <v>12410.8</v>
      </c>
      <c r="E331" s="212"/>
    </row>
    <row r="332" spans="1:5" x14ac:dyDescent="0.2">
      <c r="A332" t="s">
        <v>301</v>
      </c>
      <c r="B332" s="291">
        <v>1</v>
      </c>
      <c r="C332" s="228">
        <v>25</v>
      </c>
      <c r="D332" s="212">
        <v>3228.94</v>
      </c>
      <c r="E332" s="212"/>
    </row>
    <row r="333" spans="1:5" x14ac:dyDescent="0.2">
      <c r="A333" t="s">
        <v>301</v>
      </c>
      <c r="B333" s="291">
        <v>1</v>
      </c>
      <c r="C333" s="228">
        <v>26</v>
      </c>
      <c r="D333" s="212">
        <v>52.96</v>
      </c>
      <c r="E333" s="212"/>
    </row>
    <row r="334" spans="1:5" x14ac:dyDescent="0.2">
      <c r="A334" t="s">
        <v>301</v>
      </c>
      <c r="B334" s="291">
        <v>1</v>
      </c>
      <c r="C334" s="228">
        <v>27</v>
      </c>
      <c r="D334" s="212">
        <v>924.22</v>
      </c>
      <c r="E334" s="212"/>
    </row>
    <row r="335" spans="1:5" x14ac:dyDescent="0.2">
      <c r="A335" t="s">
        <v>301</v>
      </c>
      <c r="B335" s="291">
        <v>1</v>
      </c>
      <c r="C335" s="228">
        <v>29</v>
      </c>
      <c r="D335" s="212">
        <v>60005.91</v>
      </c>
      <c r="E335" s="212"/>
    </row>
    <row r="336" spans="1:5" x14ac:dyDescent="0.2">
      <c r="A336" t="s">
        <v>301</v>
      </c>
      <c r="B336" s="291">
        <v>1</v>
      </c>
      <c r="C336" s="228">
        <v>31</v>
      </c>
      <c r="D336" s="212">
        <v>-833.8</v>
      </c>
      <c r="E336" s="212"/>
    </row>
    <row r="337" spans="1:5" x14ac:dyDescent="0.2">
      <c r="A337" t="s">
        <v>301</v>
      </c>
      <c r="B337" s="291">
        <v>1</v>
      </c>
      <c r="C337" s="228">
        <v>33</v>
      </c>
      <c r="D337" s="212">
        <v>350</v>
      </c>
      <c r="E337" s="212"/>
    </row>
    <row r="338" spans="1:5" x14ac:dyDescent="0.2">
      <c r="A338" t="s">
        <v>301</v>
      </c>
      <c r="B338" s="291">
        <v>1</v>
      </c>
      <c r="C338" s="228">
        <v>34</v>
      </c>
      <c r="D338" s="212">
        <v>18183.61</v>
      </c>
      <c r="E338" s="212"/>
    </row>
    <row r="339" spans="1:5" x14ac:dyDescent="0.2">
      <c r="A339" t="s">
        <v>301</v>
      </c>
      <c r="B339" s="291">
        <v>1</v>
      </c>
      <c r="C339" s="228">
        <v>35</v>
      </c>
      <c r="D339" s="212">
        <v>1436</v>
      </c>
      <c r="E339" s="212"/>
    </row>
    <row r="340" spans="1:5" x14ac:dyDescent="0.2">
      <c r="A340" t="s">
        <v>301</v>
      </c>
      <c r="B340" s="291">
        <v>1</v>
      </c>
      <c r="C340" s="228">
        <v>36</v>
      </c>
      <c r="D340" s="212">
        <v>1728.8</v>
      </c>
      <c r="E340" s="212"/>
    </row>
    <row r="341" spans="1:5" x14ac:dyDescent="0.2">
      <c r="A341" t="s">
        <v>301</v>
      </c>
      <c r="B341" s="291">
        <v>1</v>
      </c>
      <c r="C341" s="228">
        <v>37</v>
      </c>
      <c r="D341" s="212">
        <v>4717.59</v>
      </c>
      <c r="E341" s="212"/>
    </row>
    <row r="342" spans="1:5" x14ac:dyDescent="0.2">
      <c r="A342" t="s">
        <v>301</v>
      </c>
      <c r="B342" s="291">
        <v>1</v>
      </c>
      <c r="C342" s="228">
        <v>38</v>
      </c>
      <c r="D342" s="212">
        <v>22504</v>
      </c>
      <c r="E342" s="212"/>
    </row>
    <row r="343" spans="1:5" x14ac:dyDescent="0.2">
      <c r="A343" t="s">
        <v>301</v>
      </c>
      <c r="B343" s="291">
        <v>1</v>
      </c>
      <c r="C343" s="228">
        <v>39</v>
      </c>
      <c r="D343" s="212">
        <v>0</v>
      </c>
      <c r="E343" s="212"/>
    </row>
    <row r="344" spans="1:5" x14ac:dyDescent="0.2">
      <c r="A344" t="s">
        <v>301</v>
      </c>
      <c r="B344" s="291">
        <v>1</v>
      </c>
      <c r="C344" s="228">
        <v>40</v>
      </c>
      <c r="D344" s="212">
        <v>4940.41</v>
      </c>
      <c r="E344" s="212"/>
    </row>
    <row r="345" spans="1:5" x14ac:dyDescent="0.2">
      <c r="A345" t="s">
        <v>301</v>
      </c>
      <c r="B345" s="291">
        <v>1</v>
      </c>
      <c r="C345" s="228">
        <v>42</v>
      </c>
      <c r="D345" s="212">
        <v>406.58</v>
      </c>
      <c r="E345" s="212"/>
    </row>
    <row r="346" spans="1:5" x14ac:dyDescent="0.2">
      <c r="A346" t="s">
        <v>301</v>
      </c>
      <c r="B346" s="291">
        <v>1</v>
      </c>
      <c r="C346" s="228">
        <v>46</v>
      </c>
      <c r="D346" s="212">
        <v>25533.33</v>
      </c>
      <c r="E346" s="212"/>
    </row>
    <row r="347" spans="1:5" x14ac:dyDescent="0.2">
      <c r="A347" t="s">
        <v>301</v>
      </c>
      <c r="B347" s="291">
        <v>1</v>
      </c>
      <c r="C347" s="228" t="s">
        <v>2991</v>
      </c>
      <c r="D347" s="212">
        <v>-3237.69</v>
      </c>
      <c r="E347" s="212"/>
    </row>
    <row r="348" spans="1:5" x14ac:dyDescent="0.2">
      <c r="A348" t="s">
        <v>301</v>
      </c>
      <c r="B348" s="291">
        <v>1</v>
      </c>
      <c r="C348" s="228" t="s">
        <v>2992</v>
      </c>
      <c r="D348" s="212">
        <v>2779.32</v>
      </c>
      <c r="E348" s="212"/>
    </row>
    <row r="349" spans="1:5" x14ac:dyDescent="0.2">
      <c r="A349" t="s">
        <v>294</v>
      </c>
      <c r="B349" s="291">
        <v>1</v>
      </c>
      <c r="C349" s="228">
        <v>2</v>
      </c>
      <c r="D349" s="212">
        <v>-316396.07</v>
      </c>
      <c r="E349" s="212"/>
    </row>
    <row r="350" spans="1:5" x14ac:dyDescent="0.2">
      <c r="A350" t="s">
        <v>294</v>
      </c>
      <c r="B350" s="291">
        <v>1</v>
      </c>
      <c r="C350" s="228">
        <v>3</v>
      </c>
      <c r="D350" s="212">
        <v>70289.440000000002</v>
      </c>
      <c r="E350" s="212"/>
    </row>
    <row r="351" spans="1:5" x14ac:dyDescent="0.2">
      <c r="A351" t="s">
        <v>294</v>
      </c>
      <c r="B351" s="291">
        <v>1</v>
      </c>
      <c r="C351" s="228">
        <v>4</v>
      </c>
      <c r="D351" s="212">
        <v>1966.73</v>
      </c>
      <c r="E351" s="212"/>
    </row>
    <row r="352" spans="1:5" x14ac:dyDescent="0.2">
      <c r="A352" t="s">
        <v>294</v>
      </c>
      <c r="B352" s="291">
        <v>1</v>
      </c>
      <c r="C352" s="228">
        <v>5</v>
      </c>
      <c r="D352" s="212">
        <v>1924.48</v>
      </c>
      <c r="E352" s="212"/>
    </row>
    <row r="353" spans="1:5" x14ac:dyDescent="0.2">
      <c r="A353" t="s">
        <v>294</v>
      </c>
      <c r="B353" s="291">
        <v>1</v>
      </c>
      <c r="C353" s="228">
        <v>6</v>
      </c>
      <c r="D353" s="212">
        <v>7191.63</v>
      </c>
      <c r="E353" s="212"/>
    </row>
    <row r="354" spans="1:5" x14ac:dyDescent="0.2">
      <c r="A354" t="s">
        <v>294</v>
      </c>
      <c r="B354" s="291">
        <v>1</v>
      </c>
      <c r="C354" s="228" t="s">
        <v>2964</v>
      </c>
      <c r="D354" s="212">
        <v>233.14</v>
      </c>
      <c r="E354" s="212"/>
    </row>
    <row r="355" spans="1:5" x14ac:dyDescent="0.2">
      <c r="A355" t="s">
        <v>294</v>
      </c>
      <c r="B355" s="291">
        <v>1</v>
      </c>
      <c r="C355" s="228">
        <v>8</v>
      </c>
      <c r="D355" s="212">
        <v>63548.7</v>
      </c>
      <c r="E355" s="212"/>
    </row>
    <row r="356" spans="1:5" x14ac:dyDescent="0.2">
      <c r="A356" t="s">
        <v>294</v>
      </c>
      <c r="B356" s="291">
        <v>1</v>
      </c>
      <c r="C356" s="228">
        <v>9</v>
      </c>
      <c r="D356" s="212">
        <v>5602.49</v>
      </c>
      <c r="E356" s="212"/>
    </row>
    <row r="357" spans="1:5" x14ac:dyDescent="0.2">
      <c r="A357" t="s">
        <v>294</v>
      </c>
      <c r="B357" s="291">
        <v>1</v>
      </c>
      <c r="C357" s="228">
        <v>10</v>
      </c>
      <c r="D357" s="212">
        <v>22103.54</v>
      </c>
      <c r="E357" s="212"/>
    </row>
    <row r="358" spans="1:5" x14ac:dyDescent="0.2">
      <c r="A358" t="s">
        <v>294</v>
      </c>
      <c r="B358" s="291">
        <v>1</v>
      </c>
      <c r="C358" s="228">
        <v>11</v>
      </c>
      <c r="D358" s="212">
        <v>5680.01</v>
      </c>
      <c r="E358" s="212"/>
    </row>
    <row r="359" spans="1:5" x14ac:dyDescent="0.2">
      <c r="A359" t="s">
        <v>294</v>
      </c>
      <c r="B359" s="291">
        <v>1</v>
      </c>
      <c r="C359" s="228">
        <v>15</v>
      </c>
      <c r="D359" s="212">
        <v>395.83</v>
      </c>
      <c r="E359" s="212"/>
    </row>
    <row r="360" spans="1:5" x14ac:dyDescent="0.2">
      <c r="A360" t="s">
        <v>294</v>
      </c>
      <c r="B360" s="291">
        <v>1</v>
      </c>
      <c r="C360" s="228">
        <v>16</v>
      </c>
      <c r="D360" s="212">
        <v>521.23</v>
      </c>
      <c r="E360" s="212"/>
    </row>
    <row r="361" spans="1:5" x14ac:dyDescent="0.2">
      <c r="A361" t="s">
        <v>294</v>
      </c>
      <c r="B361" s="291">
        <v>1</v>
      </c>
      <c r="C361" s="228">
        <v>17</v>
      </c>
      <c r="D361" s="212">
        <v>2453.13</v>
      </c>
      <c r="E361" s="212"/>
    </row>
    <row r="362" spans="1:5" x14ac:dyDescent="0.2">
      <c r="A362" t="s">
        <v>294</v>
      </c>
      <c r="B362" s="291">
        <v>1</v>
      </c>
      <c r="C362" s="228">
        <v>18</v>
      </c>
      <c r="D362" s="212">
        <v>7338.67</v>
      </c>
      <c r="E362" s="212"/>
    </row>
    <row r="363" spans="1:5" x14ac:dyDescent="0.2">
      <c r="A363" t="s">
        <v>294</v>
      </c>
      <c r="B363" s="291">
        <v>1</v>
      </c>
      <c r="C363" s="228">
        <v>19</v>
      </c>
      <c r="D363" s="212">
        <v>8012.94</v>
      </c>
      <c r="E363" s="212"/>
    </row>
    <row r="364" spans="1:5" x14ac:dyDescent="0.2">
      <c r="A364" t="s">
        <v>294</v>
      </c>
      <c r="B364" s="291">
        <v>1</v>
      </c>
      <c r="C364" s="228">
        <v>21</v>
      </c>
      <c r="D364" s="212">
        <v>4522.33</v>
      </c>
      <c r="E364" s="212"/>
    </row>
    <row r="365" spans="1:5" x14ac:dyDescent="0.2">
      <c r="A365" t="s">
        <v>294</v>
      </c>
      <c r="B365" s="291">
        <v>1</v>
      </c>
      <c r="C365" s="228">
        <v>22</v>
      </c>
      <c r="D365" s="212">
        <v>12649.31</v>
      </c>
      <c r="E365" s="212"/>
    </row>
    <row r="366" spans="1:5" x14ac:dyDescent="0.2">
      <c r="A366" t="s">
        <v>294</v>
      </c>
      <c r="B366" s="291">
        <v>1</v>
      </c>
      <c r="C366" s="228">
        <v>23</v>
      </c>
      <c r="D366" s="212">
        <v>5689.32</v>
      </c>
      <c r="E366" s="212"/>
    </row>
    <row r="367" spans="1:5" x14ac:dyDescent="0.2">
      <c r="A367" t="s">
        <v>294</v>
      </c>
      <c r="B367" s="291">
        <v>1</v>
      </c>
      <c r="C367" s="228">
        <v>24</v>
      </c>
      <c r="D367" s="212">
        <v>11331.8</v>
      </c>
      <c r="E367" s="212"/>
    </row>
    <row r="368" spans="1:5" x14ac:dyDescent="0.2">
      <c r="A368" t="s">
        <v>294</v>
      </c>
      <c r="B368" s="291">
        <v>1</v>
      </c>
      <c r="C368" s="228">
        <v>25</v>
      </c>
      <c r="D368" s="212">
        <v>2674.53</v>
      </c>
      <c r="E368" s="212"/>
    </row>
    <row r="369" spans="1:5" x14ac:dyDescent="0.2">
      <c r="A369" t="s">
        <v>294</v>
      </c>
      <c r="B369" s="291">
        <v>1</v>
      </c>
      <c r="C369" s="228">
        <v>26</v>
      </c>
      <c r="D369" s="212">
        <v>267.56</v>
      </c>
      <c r="E369" s="212"/>
    </row>
    <row r="370" spans="1:5" x14ac:dyDescent="0.2">
      <c r="A370" t="s">
        <v>294</v>
      </c>
      <c r="B370" s="291">
        <v>1</v>
      </c>
      <c r="C370" s="228">
        <v>27</v>
      </c>
      <c r="D370" s="212">
        <v>868.91</v>
      </c>
      <c r="E370" s="212"/>
    </row>
    <row r="371" spans="1:5" x14ac:dyDescent="0.2">
      <c r="A371" t="s">
        <v>294</v>
      </c>
      <c r="B371" s="291">
        <v>1</v>
      </c>
      <c r="C371" s="228">
        <v>29</v>
      </c>
      <c r="D371" s="212">
        <v>44819.66</v>
      </c>
      <c r="E371" s="212"/>
    </row>
    <row r="372" spans="1:5" x14ac:dyDescent="0.2">
      <c r="A372" t="s">
        <v>294</v>
      </c>
      <c r="B372" s="291">
        <v>1</v>
      </c>
      <c r="C372" s="228">
        <v>31</v>
      </c>
      <c r="D372" s="212">
        <v>-1083.3399999999999</v>
      </c>
      <c r="E372" s="212"/>
    </row>
    <row r="373" spans="1:5" x14ac:dyDescent="0.2">
      <c r="A373" t="s">
        <v>294</v>
      </c>
      <c r="B373" s="291">
        <v>1</v>
      </c>
      <c r="C373" s="228">
        <v>33</v>
      </c>
      <c r="D373" s="212">
        <v>563</v>
      </c>
      <c r="E373" s="212"/>
    </row>
    <row r="374" spans="1:5" x14ac:dyDescent="0.2">
      <c r="A374" t="s">
        <v>294</v>
      </c>
      <c r="B374" s="291">
        <v>1</v>
      </c>
      <c r="C374" s="228">
        <v>34</v>
      </c>
      <c r="D374" s="212">
        <v>16007.02</v>
      </c>
      <c r="E374" s="212"/>
    </row>
    <row r="375" spans="1:5" x14ac:dyDescent="0.2">
      <c r="A375" t="s">
        <v>294</v>
      </c>
      <c r="B375" s="291">
        <v>1</v>
      </c>
      <c r="C375" s="228">
        <v>35</v>
      </c>
      <c r="D375" s="212">
        <v>1450</v>
      </c>
      <c r="E375" s="212"/>
    </row>
    <row r="376" spans="1:5" x14ac:dyDescent="0.2">
      <c r="A376" t="s">
        <v>294</v>
      </c>
      <c r="B376" s="291">
        <v>1</v>
      </c>
      <c r="C376" s="228">
        <v>36</v>
      </c>
      <c r="D376" s="212">
        <v>1988.09</v>
      </c>
      <c r="E376" s="212"/>
    </row>
    <row r="377" spans="1:5" x14ac:dyDescent="0.2">
      <c r="A377" t="s">
        <v>294</v>
      </c>
      <c r="B377" s="291">
        <v>1</v>
      </c>
      <c r="C377" s="228">
        <v>37</v>
      </c>
      <c r="D377" s="212">
        <v>3058.27</v>
      </c>
      <c r="E377" s="212"/>
    </row>
    <row r="378" spans="1:5" x14ac:dyDescent="0.2">
      <c r="A378" t="s">
        <v>294</v>
      </c>
      <c r="B378" s="291">
        <v>1</v>
      </c>
      <c r="C378" s="228">
        <v>38</v>
      </c>
      <c r="D378" s="212">
        <v>15264.88</v>
      </c>
      <c r="E378" s="212"/>
    </row>
    <row r="379" spans="1:5" x14ac:dyDescent="0.2">
      <c r="A379" t="s">
        <v>294</v>
      </c>
      <c r="B379" s="291">
        <v>1</v>
      </c>
      <c r="C379" s="228">
        <v>40</v>
      </c>
      <c r="D379" s="212">
        <v>1033.42</v>
      </c>
      <c r="E379" s="212"/>
    </row>
    <row r="380" spans="1:5" x14ac:dyDescent="0.2">
      <c r="A380" t="s">
        <v>294</v>
      </c>
      <c r="B380" s="291">
        <v>1</v>
      </c>
      <c r="C380" s="228">
        <v>42</v>
      </c>
      <c r="D380" s="212">
        <v>522.55999999999995</v>
      </c>
      <c r="E380" s="212"/>
    </row>
    <row r="381" spans="1:5" x14ac:dyDescent="0.2">
      <c r="A381" t="s">
        <v>294</v>
      </c>
      <c r="B381" s="291">
        <v>1</v>
      </c>
      <c r="C381" s="228">
        <v>46</v>
      </c>
      <c r="D381" s="212">
        <v>21733.33</v>
      </c>
      <c r="E381" s="212"/>
    </row>
    <row r="382" spans="1:5" x14ac:dyDescent="0.2">
      <c r="A382" t="s">
        <v>294</v>
      </c>
      <c r="B382" s="291">
        <v>1</v>
      </c>
      <c r="C382" s="228" t="s">
        <v>2991</v>
      </c>
      <c r="D382" s="212">
        <v>-3744.36</v>
      </c>
      <c r="E382" s="212"/>
    </row>
    <row r="383" spans="1:5" x14ac:dyDescent="0.2">
      <c r="A383" t="s">
        <v>294</v>
      </c>
      <c r="B383" s="291">
        <v>1</v>
      </c>
      <c r="C383" s="228" t="s">
        <v>2992</v>
      </c>
      <c r="D383" s="212">
        <v>4073.23</v>
      </c>
      <c r="E383" s="212"/>
    </row>
    <row r="384" spans="1:5" x14ac:dyDescent="0.2">
      <c r="A384" t="s">
        <v>6963</v>
      </c>
      <c r="B384" s="291">
        <v>1</v>
      </c>
      <c r="C384" s="228">
        <v>2</v>
      </c>
      <c r="D384" s="212">
        <v>-414258.29</v>
      </c>
      <c r="E384" s="212"/>
    </row>
    <row r="385" spans="1:5" x14ac:dyDescent="0.2">
      <c r="A385" t="s">
        <v>6963</v>
      </c>
      <c r="B385" s="291">
        <v>1</v>
      </c>
      <c r="C385" s="228">
        <v>3</v>
      </c>
      <c r="D385" s="212">
        <v>87116.79</v>
      </c>
      <c r="E385" s="212"/>
    </row>
    <row r="386" spans="1:5" x14ac:dyDescent="0.2">
      <c r="A386" t="s">
        <v>6963</v>
      </c>
      <c r="B386" s="291">
        <v>1</v>
      </c>
      <c r="C386" s="228">
        <v>4</v>
      </c>
      <c r="D386" s="212">
        <v>2095.84</v>
      </c>
      <c r="E386" s="212"/>
    </row>
    <row r="387" spans="1:5" x14ac:dyDescent="0.2">
      <c r="A387" t="s">
        <v>6963</v>
      </c>
      <c r="B387" s="291">
        <v>1</v>
      </c>
      <c r="C387" s="228">
        <v>5</v>
      </c>
      <c r="D387" s="212">
        <v>3169.09</v>
      </c>
      <c r="E387" s="212"/>
    </row>
    <row r="388" spans="1:5" x14ac:dyDescent="0.2">
      <c r="A388" t="s">
        <v>6963</v>
      </c>
      <c r="B388" s="291">
        <v>1</v>
      </c>
      <c r="C388" s="228">
        <v>6</v>
      </c>
      <c r="D388" s="212">
        <v>8803.99</v>
      </c>
      <c r="E388" s="212"/>
    </row>
    <row r="389" spans="1:5" x14ac:dyDescent="0.2">
      <c r="A389" t="s">
        <v>6963</v>
      </c>
      <c r="B389" s="291">
        <v>1</v>
      </c>
      <c r="C389" s="228" t="s">
        <v>2964</v>
      </c>
      <c r="D389" s="212">
        <v>1001.5600000000002</v>
      </c>
      <c r="E389" s="212"/>
    </row>
    <row r="390" spans="1:5" x14ac:dyDescent="0.2">
      <c r="A390" t="s">
        <v>6963</v>
      </c>
      <c r="B390" s="291">
        <v>1</v>
      </c>
      <c r="C390" s="228">
        <v>7</v>
      </c>
      <c r="D390" s="212">
        <v>312071.02</v>
      </c>
      <c r="E390" s="212"/>
    </row>
    <row r="391" spans="1:5" x14ac:dyDescent="0.2">
      <c r="A391" t="s">
        <v>6963</v>
      </c>
      <c r="B391" s="291">
        <v>1</v>
      </c>
      <c r="C391" s="228">
        <v>8</v>
      </c>
      <c r="D391" s="212">
        <v>61128.460000000006</v>
      </c>
      <c r="E391" s="212"/>
    </row>
    <row r="392" spans="1:5" x14ac:dyDescent="0.2">
      <c r="A392" t="s">
        <v>6963</v>
      </c>
      <c r="B392" s="291">
        <v>1</v>
      </c>
      <c r="C392" s="228">
        <v>9</v>
      </c>
      <c r="D392" s="212">
        <v>9486.94</v>
      </c>
      <c r="E392" s="212"/>
    </row>
    <row r="393" spans="1:5" x14ac:dyDescent="0.2">
      <c r="A393" t="s">
        <v>6963</v>
      </c>
      <c r="B393" s="291">
        <v>1</v>
      </c>
      <c r="C393" s="228">
        <v>10</v>
      </c>
      <c r="D393" s="212">
        <v>26095.18</v>
      </c>
      <c r="E393" s="212"/>
    </row>
    <row r="394" spans="1:5" x14ac:dyDescent="0.2">
      <c r="A394" t="s">
        <v>6963</v>
      </c>
      <c r="B394" s="291">
        <v>1</v>
      </c>
      <c r="C394" s="228">
        <v>11</v>
      </c>
      <c r="D394" s="212">
        <v>6144.0300000000007</v>
      </c>
      <c r="E394" s="212"/>
    </row>
    <row r="395" spans="1:5" x14ac:dyDescent="0.2">
      <c r="A395" t="s">
        <v>6963</v>
      </c>
      <c r="B395" s="291">
        <v>1</v>
      </c>
      <c r="C395" s="228">
        <v>12</v>
      </c>
      <c r="D395" s="212">
        <v>0</v>
      </c>
      <c r="E395" s="212"/>
    </row>
    <row r="396" spans="1:5" x14ac:dyDescent="0.2">
      <c r="A396" t="s">
        <v>6963</v>
      </c>
      <c r="B396" s="291">
        <v>1</v>
      </c>
      <c r="C396" s="228">
        <v>13</v>
      </c>
      <c r="D396" s="212">
        <v>0</v>
      </c>
      <c r="E396" s="212"/>
    </row>
    <row r="397" spans="1:5" x14ac:dyDescent="0.2">
      <c r="A397" t="s">
        <v>6963</v>
      </c>
      <c r="B397" s="291">
        <v>1</v>
      </c>
      <c r="C397" s="228">
        <v>14</v>
      </c>
      <c r="D397" s="212">
        <v>102854.61000000002</v>
      </c>
      <c r="E397" s="212"/>
    </row>
    <row r="398" spans="1:5" x14ac:dyDescent="0.2">
      <c r="A398" t="s">
        <v>6963</v>
      </c>
      <c r="B398" s="291">
        <v>1</v>
      </c>
      <c r="C398" s="228">
        <v>15</v>
      </c>
      <c r="D398" s="212">
        <v>7977</v>
      </c>
      <c r="E398" s="212"/>
    </row>
    <row r="399" spans="1:5" x14ac:dyDescent="0.2">
      <c r="A399" t="s">
        <v>6963</v>
      </c>
      <c r="B399" s="291">
        <v>1</v>
      </c>
      <c r="C399" s="228">
        <v>16</v>
      </c>
      <c r="D399" s="212">
        <v>1287.25</v>
      </c>
      <c r="E399" s="212"/>
    </row>
    <row r="400" spans="1:5" x14ac:dyDescent="0.2">
      <c r="A400" t="s">
        <v>6963</v>
      </c>
      <c r="B400" s="291">
        <v>1</v>
      </c>
      <c r="C400" s="228">
        <v>17</v>
      </c>
      <c r="D400" s="212">
        <v>2139.63</v>
      </c>
      <c r="E400" s="212"/>
    </row>
    <row r="401" spans="1:5" x14ac:dyDescent="0.2">
      <c r="A401" t="s">
        <v>6963</v>
      </c>
      <c r="B401" s="291">
        <v>1</v>
      </c>
      <c r="C401" s="228">
        <v>18</v>
      </c>
      <c r="D401" s="212">
        <v>5202.2000000000007</v>
      </c>
      <c r="E401" s="212"/>
    </row>
    <row r="402" spans="1:5" x14ac:dyDescent="0.2">
      <c r="A402" t="s">
        <v>6963</v>
      </c>
      <c r="B402" s="291">
        <v>1</v>
      </c>
      <c r="C402" s="228">
        <v>19</v>
      </c>
      <c r="D402" s="212">
        <v>5280.59</v>
      </c>
      <c r="E402" s="212"/>
    </row>
    <row r="403" spans="1:5" x14ac:dyDescent="0.2">
      <c r="A403" t="s">
        <v>6963</v>
      </c>
      <c r="B403" s="291">
        <v>1</v>
      </c>
      <c r="C403" s="228">
        <v>20</v>
      </c>
      <c r="D403" s="212">
        <v>21886.670000000002</v>
      </c>
      <c r="E403" s="212"/>
    </row>
    <row r="404" spans="1:5" x14ac:dyDescent="0.2">
      <c r="A404" t="s">
        <v>6963</v>
      </c>
      <c r="B404" s="291">
        <v>1</v>
      </c>
      <c r="C404" s="228">
        <v>21</v>
      </c>
      <c r="D404" s="212">
        <v>12523.03</v>
      </c>
      <c r="E404" s="212"/>
    </row>
    <row r="405" spans="1:5" x14ac:dyDescent="0.2">
      <c r="A405" t="s">
        <v>6963</v>
      </c>
      <c r="B405" s="291">
        <v>1</v>
      </c>
      <c r="C405" s="228">
        <v>22</v>
      </c>
      <c r="D405" s="212">
        <v>16648.330000000002</v>
      </c>
      <c r="E405" s="212"/>
    </row>
    <row r="406" spans="1:5" x14ac:dyDescent="0.2">
      <c r="A406" t="s">
        <v>6963</v>
      </c>
      <c r="B406" s="291">
        <v>1</v>
      </c>
      <c r="C406" s="228">
        <v>23</v>
      </c>
      <c r="D406" s="212">
        <v>5340.46</v>
      </c>
      <c r="E406" s="212"/>
    </row>
    <row r="407" spans="1:5" x14ac:dyDescent="0.2">
      <c r="A407" t="s">
        <v>6963</v>
      </c>
      <c r="B407" s="291">
        <v>1</v>
      </c>
      <c r="C407" s="228">
        <v>24</v>
      </c>
      <c r="D407" s="212">
        <v>19150.32</v>
      </c>
      <c r="E407" s="212"/>
    </row>
    <row r="408" spans="1:5" x14ac:dyDescent="0.2">
      <c r="A408" t="s">
        <v>6963</v>
      </c>
      <c r="B408" s="291">
        <v>1</v>
      </c>
      <c r="C408" s="228">
        <v>25</v>
      </c>
      <c r="D408" s="212">
        <v>8848.2899999999991</v>
      </c>
      <c r="E408" s="212"/>
    </row>
    <row r="409" spans="1:5" x14ac:dyDescent="0.2">
      <c r="A409" t="s">
        <v>6963</v>
      </c>
      <c r="B409" s="291">
        <v>1</v>
      </c>
      <c r="C409" s="228">
        <v>26</v>
      </c>
      <c r="D409" s="212">
        <v>748.15</v>
      </c>
      <c r="E409" s="212"/>
    </row>
    <row r="410" spans="1:5" x14ac:dyDescent="0.2">
      <c r="A410" t="s">
        <v>6963</v>
      </c>
      <c r="B410" s="291">
        <v>1</v>
      </c>
      <c r="C410" s="228">
        <v>27</v>
      </c>
      <c r="D410" s="212">
        <v>603.56000000000006</v>
      </c>
      <c r="E410" s="212"/>
    </row>
    <row r="411" spans="1:5" x14ac:dyDescent="0.2">
      <c r="A411" t="s">
        <v>6963</v>
      </c>
      <c r="B411" s="291">
        <v>1</v>
      </c>
      <c r="C411" s="228">
        <v>28</v>
      </c>
      <c r="D411" s="212">
        <v>123467.59999999999</v>
      </c>
      <c r="E411" s="212"/>
    </row>
    <row r="412" spans="1:5" x14ac:dyDescent="0.2">
      <c r="A412" t="s">
        <v>6963</v>
      </c>
      <c r="B412" s="291">
        <v>1</v>
      </c>
      <c r="C412" s="228">
        <v>29</v>
      </c>
      <c r="D412" s="212">
        <v>62431.24</v>
      </c>
      <c r="E412" s="212"/>
    </row>
    <row r="413" spans="1:5" x14ac:dyDescent="0.2">
      <c r="A413" t="s">
        <v>6963</v>
      </c>
      <c r="B413" s="291">
        <v>1</v>
      </c>
      <c r="C413" s="228">
        <v>30</v>
      </c>
      <c r="D413" s="212">
        <v>0</v>
      </c>
      <c r="E413" s="212"/>
    </row>
    <row r="414" spans="1:5" x14ac:dyDescent="0.2">
      <c r="A414" t="s">
        <v>6963</v>
      </c>
      <c r="B414" s="291">
        <v>1</v>
      </c>
      <c r="C414" s="228">
        <v>31</v>
      </c>
      <c r="D414" s="212">
        <v>0</v>
      </c>
      <c r="E414" s="212"/>
    </row>
    <row r="415" spans="1:5" x14ac:dyDescent="0.2">
      <c r="A415" t="s">
        <v>6963</v>
      </c>
      <c r="B415" s="291">
        <v>1</v>
      </c>
      <c r="C415" s="228">
        <v>32</v>
      </c>
      <c r="D415" s="212">
        <v>62431.24</v>
      </c>
      <c r="E415" s="212"/>
    </row>
    <row r="416" spans="1:5" x14ac:dyDescent="0.2">
      <c r="A416" t="s">
        <v>6963</v>
      </c>
      <c r="B416" s="291">
        <v>1</v>
      </c>
      <c r="C416" s="228">
        <v>33</v>
      </c>
      <c r="D416" s="212">
        <v>0</v>
      </c>
      <c r="E416" s="212"/>
    </row>
    <row r="417" spans="1:5" x14ac:dyDescent="0.2">
      <c r="A417" t="s">
        <v>6963</v>
      </c>
      <c r="B417" s="291">
        <v>1</v>
      </c>
      <c r="C417" s="228">
        <v>34</v>
      </c>
      <c r="D417" s="212">
        <v>20810.41</v>
      </c>
      <c r="E417" s="212"/>
    </row>
    <row r="418" spans="1:5" x14ac:dyDescent="0.2">
      <c r="A418" t="s">
        <v>6963</v>
      </c>
      <c r="B418" s="291">
        <v>1</v>
      </c>
      <c r="C418" s="228">
        <v>35</v>
      </c>
      <c r="D418" s="212">
        <v>1210</v>
      </c>
      <c r="E418" s="212"/>
    </row>
    <row r="419" spans="1:5" x14ac:dyDescent="0.2">
      <c r="A419" t="s">
        <v>6963</v>
      </c>
      <c r="B419" s="291">
        <v>1</v>
      </c>
      <c r="C419" s="228">
        <v>36</v>
      </c>
      <c r="D419" s="212">
        <v>1883.9799999999998</v>
      </c>
      <c r="E419" s="212"/>
    </row>
    <row r="420" spans="1:5" x14ac:dyDescent="0.2">
      <c r="A420" t="s">
        <v>6963</v>
      </c>
      <c r="B420" s="291">
        <v>1</v>
      </c>
      <c r="C420" s="228">
        <v>37</v>
      </c>
      <c r="D420" s="212">
        <v>4259.12</v>
      </c>
      <c r="E420" s="212"/>
    </row>
    <row r="421" spans="1:5" x14ac:dyDescent="0.2">
      <c r="A421" t="s">
        <v>6963</v>
      </c>
      <c r="B421" s="291">
        <v>1</v>
      </c>
      <c r="C421" s="228">
        <v>38</v>
      </c>
      <c r="D421" s="212">
        <v>10000</v>
      </c>
      <c r="E421" s="212"/>
    </row>
    <row r="422" spans="1:5" x14ac:dyDescent="0.2">
      <c r="A422" t="s">
        <v>6963</v>
      </c>
      <c r="B422" s="291">
        <v>1</v>
      </c>
      <c r="C422" s="228">
        <v>39</v>
      </c>
      <c r="D422" s="212">
        <v>1020.5</v>
      </c>
      <c r="E422" s="212"/>
    </row>
    <row r="423" spans="1:5" x14ac:dyDescent="0.2">
      <c r="A423" t="s">
        <v>6963</v>
      </c>
      <c r="B423" s="291">
        <v>1</v>
      </c>
      <c r="C423" s="228">
        <v>40</v>
      </c>
      <c r="D423" s="212">
        <v>35</v>
      </c>
      <c r="E423" s="212"/>
    </row>
    <row r="424" spans="1:5" x14ac:dyDescent="0.2">
      <c r="A424" t="s">
        <v>6963</v>
      </c>
      <c r="B424" s="291">
        <v>1</v>
      </c>
      <c r="C424" s="228" t="s">
        <v>2991</v>
      </c>
      <c r="D424" s="212">
        <v>-4658.5599999999995</v>
      </c>
      <c r="E424" s="212"/>
    </row>
    <row r="425" spans="1:5" x14ac:dyDescent="0.2">
      <c r="A425" t="s">
        <v>6963</v>
      </c>
      <c r="B425" s="291">
        <v>1</v>
      </c>
      <c r="C425" s="228" t="s">
        <v>2992</v>
      </c>
      <c r="D425" s="212">
        <v>4431.8</v>
      </c>
      <c r="E425" s="212"/>
    </row>
    <row r="426" spans="1:5" x14ac:dyDescent="0.2">
      <c r="A426" t="s">
        <v>6963</v>
      </c>
      <c r="B426" s="291">
        <v>1</v>
      </c>
      <c r="C426" s="228">
        <v>41</v>
      </c>
      <c r="D426" s="212">
        <v>226.75999999999931</v>
      </c>
      <c r="E426" s="212"/>
    </row>
    <row r="427" spans="1:5" x14ac:dyDescent="0.2">
      <c r="A427" t="s">
        <v>6963</v>
      </c>
      <c r="B427" s="291">
        <v>1</v>
      </c>
      <c r="C427" s="228">
        <v>42</v>
      </c>
      <c r="D427" s="212">
        <v>33.549999999999997</v>
      </c>
      <c r="E427" s="212"/>
    </row>
    <row r="428" spans="1:5" x14ac:dyDescent="0.2">
      <c r="A428" t="s">
        <v>6963</v>
      </c>
      <c r="B428" s="291">
        <v>1</v>
      </c>
      <c r="C428" s="228">
        <v>43</v>
      </c>
      <c r="D428" s="212">
        <v>22010.560000000005</v>
      </c>
      <c r="E428" s="212"/>
    </row>
    <row r="429" spans="1:5" x14ac:dyDescent="0.2">
      <c r="A429" t="s">
        <v>6963</v>
      </c>
      <c r="B429" s="291">
        <v>1</v>
      </c>
      <c r="C429" s="228">
        <v>44</v>
      </c>
      <c r="D429" s="212">
        <v>33064.610000000008</v>
      </c>
      <c r="E429" s="212"/>
    </row>
    <row r="430" spans="1:5" x14ac:dyDescent="0.2">
      <c r="A430" t="s">
        <v>6963</v>
      </c>
      <c r="B430" s="291">
        <v>1</v>
      </c>
      <c r="C430" s="228">
        <v>45</v>
      </c>
      <c r="D430" s="212">
        <v>0</v>
      </c>
      <c r="E430" s="212"/>
    </row>
    <row r="431" spans="1:5" x14ac:dyDescent="0.2">
      <c r="A431" t="s">
        <v>6963</v>
      </c>
      <c r="B431" s="291">
        <v>1</v>
      </c>
      <c r="C431" s="228">
        <v>46</v>
      </c>
      <c r="D431" s="212">
        <v>24700</v>
      </c>
      <c r="E431" s="212"/>
    </row>
    <row r="432" spans="1:5" x14ac:dyDescent="0.2">
      <c r="A432" t="s">
        <v>6964</v>
      </c>
      <c r="B432" s="291">
        <v>1</v>
      </c>
      <c r="C432" s="228">
        <v>2</v>
      </c>
      <c r="D432" s="212">
        <v>-507935.03</v>
      </c>
      <c r="E432" s="212"/>
    </row>
    <row r="433" spans="1:5" x14ac:dyDescent="0.2">
      <c r="A433" t="s">
        <v>6964</v>
      </c>
      <c r="B433" s="291">
        <v>1</v>
      </c>
      <c r="C433" s="228">
        <v>3</v>
      </c>
      <c r="D433" s="212">
        <v>113230.04000000001</v>
      </c>
      <c r="E433" s="212"/>
    </row>
    <row r="434" spans="1:5" x14ac:dyDescent="0.2">
      <c r="A434" t="s">
        <v>6964</v>
      </c>
      <c r="B434" s="291">
        <v>1</v>
      </c>
      <c r="C434" s="228">
        <v>4</v>
      </c>
      <c r="D434" s="212">
        <v>2216.9899999999998</v>
      </c>
      <c r="E434" s="212"/>
    </row>
    <row r="435" spans="1:5" x14ac:dyDescent="0.2">
      <c r="A435" t="s">
        <v>6964</v>
      </c>
      <c r="B435" s="291">
        <v>1</v>
      </c>
      <c r="C435" s="228">
        <v>5</v>
      </c>
      <c r="D435" s="212">
        <v>4094.03</v>
      </c>
      <c r="E435" s="212"/>
    </row>
    <row r="436" spans="1:5" x14ac:dyDescent="0.2">
      <c r="A436" t="s">
        <v>6964</v>
      </c>
      <c r="B436" s="291">
        <v>1</v>
      </c>
      <c r="C436" s="228">
        <v>6</v>
      </c>
      <c r="D436" s="212">
        <v>10792.77</v>
      </c>
      <c r="E436" s="212"/>
    </row>
    <row r="437" spans="1:5" x14ac:dyDescent="0.2">
      <c r="A437" t="s">
        <v>6964</v>
      </c>
      <c r="B437" s="291">
        <v>1</v>
      </c>
      <c r="C437" s="228" t="s">
        <v>2964</v>
      </c>
      <c r="D437" s="212">
        <v>1048.92</v>
      </c>
      <c r="E437" s="212"/>
    </row>
    <row r="438" spans="1:5" x14ac:dyDescent="0.2">
      <c r="A438" t="s">
        <v>6964</v>
      </c>
      <c r="B438" s="291">
        <v>1</v>
      </c>
      <c r="C438" s="228">
        <v>7</v>
      </c>
      <c r="D438" s="212">
        <v>376552.28</v>
      </c>
      <c r="E438" s="212"/>
    </row>
    <row r="439" spans="1:5" x14ac:dyDescent="0.2">
      <c r="A439" t="s">
        <v>6964</v>
      </c>
      <c r="B439" s="291">
        <v>1</v>
      </c>
      <c r="C439" s="228">
        <v>8</v>
      </c>
      <c r="D439" s="212">
        <v>70920.37000000001</v>
      </c>
      <c r="E439" s="212"/>
    </row>
    <row r="440" spans="1:5" x14ac:dyDescent="0.2">
      <c r="A440" t="s">
        <v>6964</v>
      </c>
      <c r="B440" s="291">
        <v>1</v>
      </c>
      <c r="C440" s="228">
        <v>9</v>
      </c>
      <c r="D440" s="212">
        <v>14430.77</v>
      </c>
      <c r="E440" s="212"/>
    </row>
    <row r="441" spans="1:5" x14ac:dyDescent="0.2">
      <c r="A441" t="s">
        <v>6964</v>
      </c>
      <c r="B441" s="291">
        <v>1</v>
      </c>
      <c r="C441" s="228">
        <v>10</v>
      </c>
      <c r="D441" s="212">
        <v>29840.020000000004</v>
      </c>
      <c r="E441" s="212"/>
    </row>
    <row r="442" spans="1:5" x14ac:dyDescent="0.2">
      <c r="A442" t="s">
        <v>6964</v>
      </c>
      <c r="B442" s="291">
        <v>1</v>
      </c>
      <c r="C442" s="228">
        <v>11</v>
      </c>
      <c r="D442" s="212">
        <v>9374.25</v>
      </c>
      <c r="E442" s="212"/>
    </row>
    <row r="443" spans="1:5" x14ac:dyDescent="0.2">
      <c r="A443" t="s">
        <v>6964</v>
      </c>
      <c r="B443" s="291">
        <v>1</v>
      </c>
      <c r="C443" s="228">
        <v>12</v>
      </c>
      <c r="D443" s="212">
        <v>0</v>
      </c>
      <c r="E443" s="212"/>
    </row>
    <row r="444" spans="1:5" x14ac:dyDescent="0.2">
      <c r="A444" t="s">
        <v>6964</v>
      </c>
      <c r="B444" s="291">
        <v>1</v>
      </c>
      <c r="C444" s="228">
        <v>13</v>
      </c>
      <c r="D444" s="212">
        <v>0</v>
      </c>
      <c r="E444" s="212"/>
    </row>
    <row r="445" spans="1:5" x14ac:dyDescent="0.2">
      <c r="A445" t="s">
        <v>6964</v>
      </c>
      <c r="B445" s="291">
        <v>1</v>
      </c>
      <c r="C445" s="228">
        <v>14</v>
      </c>
      <c r="D445" s="212">
        <v>124565.41000000002</v>
      </c>
      <c r="E445" s="212"/>
    </row>
    <row r="446" spans="1:5" x14ac:dyDescent="0.2">
      <c r="A446" t="s">
        <v>6964</v>
      </c>
      <c r="B446" s="291">
        <v>1</v>
      </c>
      <c r="C446" s="228">
        <v>15</v>
      </c>
      <c r="D446" s="212">
        <v>7897.04</v>
      </c>
      <c r="E446" s="212"/>
    </row>
    <row r="447" spans="1:5" x14ac:dyDescent="0.2">
      <c r="A447" t="s">
        <v>6964</v>
      </c>
      <c r="B447" s="291">
        <v>1</v>
      </c>
      <c r="C447" s="228">
        <v>16</v>
      </c>
      <c r="D447" s="212">
        <v>97.39</v>
      </c>
      <c r="E447" s="212"/>
    </row>
    <row r="448" spans="1:5" x14ac:dyDescent="0.2">
      <c r="A448" t="s">
        <v>6964</v>
      </c>
      <c r="B448" s="291">
        <v>1</v>
      </c>
      <c r="C448" s="228">
        <v>17</v>
      </c>
      <c r="D448" s="212">
        <v>3016.4500000000003</v>
      </c>
      <c r="E448" s="212"/>
    </row>
    <row r="449" spans="1:5" x14ac:dyDescent="0.2">
      <c r="A449" t="s">
        <v>6964</v>
      </c>
      <c r="B449" s="291">
        <v>1</v>
      </c>
      <c r="C449" s="228">
        <v>18</v>
      </c>
      <c r="D449" s="212">
        <v>4476.46</v>
      </c>
      <c r="E449" s="212"/>
    </row>
    <row r="450" spans="1:5" x14ac:dyDescent="0.2">
      <c r="A450" t="s">
        <v>6964</v>
      </c>
      <c r="B450" s="291">
        <v>1</v>
      </c>
      <c r="C450" s="228">
        <v>19</v>
      </c>
      <c r="D450" s="212">
        <v>5729.57</v>
      </c>
      <c r="E450" s="212"/>
    </row>
    <row r="451" spans="1:5" x14ac:dyDescent="0.2">
      <c r="A451" t="s">
        <v>6964</v>
      </c>
      <c r="B451" s="291">
        <v>1</v>
      </c>
      <c r="C451" s="228">
        <v>20</v>
      </c>
      <c r="D451" s="212">
        <v>21216.91</v>
      </c>
      <c r="E451" s="212"/>
    </row>
    <row r="452" spans="1:5" x14ac:dyDescent="0.2">
      <c r="A452" t="s">
        <v>6964</v>
      </c>
      <c r="B452" s="291">
        <v>1</v>
      </c>
      <c r="C452" s="228">
        <v>21</v>
      </c>
      <c r="D452" s="212">
        <v>0</v>
      </c>
      <c r="E452" s="212"/>
    </row>
    <row r="453" spans="1:5" x14ac:dyDescent="0.2">
      <c r="A453" t="s">
        <v>6964</v>
      </c>
      <c r="B453" s="291">
        <v>1</v>
      </c>
      <c r="C453" s="228">
        <v>22</v>
      </c>
      <c r="D453" s="212">
        <v>20357.689999999999</v>
      </c>
      <c r="E453" s="212"/>
    </row>
    <row r="454" spans="1:5" x14ac:dyDescent="0.2">
      <c r="A454" t="s">
        <v>6964</v>
      </c>
      <c r="B454" s="291">
        <v>1</v>
      </c>
      <c r="C454" s="228">
        <v>23</v>
      </c>
      <c r="D454" s="212">
        <v>6179.51</v>
      </c>
      <c r="E454" s="212"/>
    </row>
    <row r="455" spans="1:5" x14ac:dyDescent="0.2">
      <c r="A455" t="s">
        <v>6964</v>
      </c>
      <c r="B455" s="291">
        <v>1</v>
      </c>
      <c r="C455" s="228">
        <v>24</v>
      </c>
      <c r="D455" s="212">
        <v>23402.48</v>
      </c>
      <c r="E455" s="212"/>
    </row>
    <row r="456" spans="1:5" x14ac:dyDescent="0.2">
      <c r="A456" t="s">
        <v>6964</v>
      </c>
      <c r="B456" s="291">
        <v>1</v>
      </c>
      <c r="C456" s="228">
        <v>25</v>
      </c>
      <c r="D456" s="212">
        <v>6101.05</v>
      </c>
      <c r="E456" s="212"/>
    </row>
    <row r="457" spans="1:5" x14ac:dyDescent="0.2">
      <c r="A457" t="s">
        <v>6964</v>
      </c>
      <c r="B457" s="291">
        <v>1</v>
      </c>
      <c r="C457" s="228">
        <v>26</v>
      </c>
      <c r="D457" s="212">
        <v>800.03</v>
      </c>
      <c r="E457" s="212"/>
    </row>
    <row r="458" spans="1:5" x14ac:dyDescent="0.2">
      <c r="A458" t="s">
        <v>6964</v>
      </c>
      <c r="B458" s="291">
        <v>1</v>
      </c>
      <c r="C458" s="228">
        <v>27</v>
      </c>
      <c r="D458" s="212">
        <v>1421.3</v>
      </c>
      <c r="E458" s="212"/>
    </row>
    <row r="459" spans="1:5" x14ac:dyDescent="0.2">
      <c r="A459" t="s">
        <v>6964</v>
      </c>
      <c r="B459" s="291">
        <v>1</v>
      </c>
      <c r="C459" s="228">
        <v>28</v>
      </c>
      <c r="D459" s="212">
        <v>172507.9</v>
      </c>
      <c r="E459" s="212"/>
    </row>
    <row r="460" spans="1:5" x14ac:dyDescent="0.2">
      <c r="A460" t="s">
        <v>6964</v>
      </c>
      <c r="B460" s="291">
        <v>1</v>
      </c>
      <c r="C460" s="228">
        <v>29</v>
      </c>
      <c r="D460" s="212">
        <v>76341.350000000006</v>
      </c>
      <c r="E460" s="212"/>
    </row>
    <row r="461" spans="1:5" x14ac:dyDescent="0.2">
      <c r="A461" t="s">
        <v>6964</v>
      </c>
      <c r="B461" s="291">
        <v>1</v>
      </c>
      <c r="C461" s="228">
        <v>30</v>
      </c>
      <c r="D461" s="212">
        <v>0</v>
      </c>
      <c r="E461" s="212"/>
    </row>
    <row r="462" spans="1:5" x14ac:dyDescent="0.2">
      <c r="A462" t="s">
        <v>6964</v>
      </c>
      <c r="B462" s="291">
        <v>1</v>
      </c>
      <c r="C462" s="228">
        <v>31</v>
      </c>
      <c r="D462" s="212">
        <v>0</v>
      </c>
      <c r="E462" s="212"/>
    </row>
    <row r="463" spans="1:5" x14ac:dyDescent="0.2">
      <c r="A463" t="s">
        <v>6964</v>
      </c>
      <c r="B463" s="291">
        <v>1</v>
      </c>
      <c r="C463" s="228">
        <v>32</v>
      </c>
      <c r="D463" s="212">
        <v>76341.350000000006</v>
      </c>
      <c r="E463" s="212"/>
    </row>
    <row r="464" spans="1:5" x14ac:dyDescent="0.2">
      <c r="A464" t="s">
        <v>6964</v>
      </c>
      <c r="B464" s="291">
        <v>1</v>
      </c>
      <c r="C464" s="228">
        <v>33</v>
      </c>
      <c r="D464" s="212">
        <v>0</v>
      </c>
      <c r="E464" s="212"/>
    </row>
    <row r="465" spans="1:5" x14ac:dyDescent="0.2">
      <c r="A465" t="s">
        <v>6964</v>
      </c>
      <c r="B465" s="291">
        <v>1</v>
      </c>
      <c r="C465" s="228">
        <v>34</v>
      </c>
      <c r="D465" s="212">
        <v>25447.119999999999</v>
      </c>
      <c r="E465" s="212"/>
    </row>
    <row r="466" spans="1:5" x14ac:dyDescent="0.2">
      <c r="A466" t="s">
        <v>6964</v>
      </c>
      <c r="B466" s="291">
        <v>1</v>
      </c>
      <c r="C466" s="228">
        <v>35</v>
      </c>
      <c r="D466" s="212">
        <v>1161.5999999999999</v>
      </c>
      <c r="E466" s="212"/>
    </row>
    <row r="467" spans="1:5" x14ac:dyDescent="0.2">
      <c r="A467" t="s">
        <v>6964</v>
      </c>
      <c r="B467" s="291">
        <v>1</v>
      </c>
      <c r="C467" s="228">
        <v>36</v>
      </c>
      <c r="D467" s="212">
        <v>2162.4900000000002</v>
      </c>
      <c r="E467" s="212"/>
    </row>
    <row r="468" spans="1:5" x14ac:dyDescent="0.2">
      <c r="A468" t="s">
        <v>6964</v>
      </c>
      <c r="B468" s="291">
        <v>1</v>
      </c>
      <c r="C468" s="228">
        <v>37</v>
      </c>
      <c r="D468" s="212">
        <v>7461.6500000000005</v>
      </c>
      <c r="E468" s="212"/>
    </row>
    <row r="469" spans="1:5" x14ac:dyDescent="0.2">
      <c r="A469" t="s">
        <v>6964</v>
      </c>
      <c r="B469" s="291">
        <v>1</v>
      </c>
      <c r="C469" s="228">
        <v>38</v>
      </c>
      <c r="D469" s="212">
        <v>7500</v>
      </c>
      <c r="E469" s="212"/>
    </row>
    <row r="470" spans="1:5" x14ac:dyDescent="0.2">
      <c r="A470" t="s">
        <v>6964</v>
      </c>
      <c r="B470" s="291">
        <v>1</v>
      </c>
      <c r="C470" s="228">
        <v>39</v>
      </c>
      <c r="D470" s="212">
        <v>1156.72</v>
      </c>
      <c r="E470" s="212"/>
    </row>
    <row r="471" spans="1:5" x14ac:dyDescent="0.2">
      <c r="A471" t="s">
        <v>6964</v>
      </c>
      <c r="B471" s="291">
        <v>1</v>
      </c>
      <c r="C471" s="228">
        <v>40</v>
      </c>
      <c r="D471" s="212">
        <v>35</v>
      </c>
      <c r="E471" s="212"/>
    </row>
    <row r="472" spans="1:5" x14ac:dyDescent="0.2">
      <c r="A472" t="s">
        <v>6964</v>
      </c>
      <c r="B472" s="291">
        <v>1</v>
      </c>
      <c r="C472" s="228" t="s">
        <v>2991</v>
      </c>
      <c r="D472" s="212">
        <v>-7345.8000000000011</v>
      </c>
      <c r="E472" s="212"/>
    </row>
    <row r="473" spans="1:5" x14ac:dyDescent="0.2">
      <c r="A473" t="s">
        <v>6964</v>
      </c>
      <c r="B473" s="291">
        <v>1</v>
      </c>
      <c r="C473" s="228" t="s">
        <v>2992</v>
      </c>
      <c r="D473" s="212">
        <v>7146.0599999999995</v>
      </c>
      <c r="E473" s="212"/>
    </row>
    <row r="474" spans="1:5" x14ac:dyDescent="0.2">
      <c r="A474" t="s">
        <v>6964</v>
      </c>
      <c r="B474" s="291">
        <v>1</v>
      </c>
      <c r="C474" s="228">
        <v>41</v>
      </c>
      <c r="D474" s="212">
        <v>199.7400000000016</v>
      </c>
      <c r="E474" s="212"/>
    </row>
    <row r="475" spans="1:5" x14ac:dyDescent="0.2">
      <c r="A475" t="s">
        <v>6964</v>
      </c>
      <c r="B475" s="291">
        <v>1</v>
      </c>
      <c r="C475" s="228">
        <v>42</v>
      </c>
      <c r="D475" s="212">
        <v>-680.62</v>
      </c>
      <c r="E475" s="212"/>
    </row>
    <row r="476" spans="1:5" x14ac:dyDescent="0.2">
      <c r="A476" t="s">
        <v>6964</v>
      </c>
      <c r="B476" s="291">
        <v>1</v>
      </c>
      <c r="C476" s="228">
        <v>43</v>
      </c>
      <c r="D476" s="212">
        <v>52122.329999999994</v>
      </c>
      <c r="E476" s="212"/>
    </row>
    <row r="477" spans="1:5" x14ac:dyDescent="0.2">
      <c r="A477" t="s">
        <v>6964</v>
      </c>
      <c r="B477" s="291">
        <v>1</v>
      </c>
      <c r="C477" s="228">
        <v>44</v>
      </c>
      <c r="D477" s="212">
        <v>60098.429999999993</v>
      </c>
      <c r="E477" s="212"/>
    </row>
    <row r="478" spans="1:5" x14ac:dyDescent="0.2">
      <c r="A478" t="s">
        <v>6964</v>
      </c>
      <c r="B478" s="291">
        <v>1</v>
      </c>
      <c r="C478" s="228">
        <v>45</v>
      </c>
      <c r="D478" s="212">
        <v>0</v>
      </c>
      <c r="E478" s="212"/>
    </row>
    <row r="479" spans="1:5" x14ac:dyDescent="0.2">
      <c r="A479" t="s">
        <v>6964</v>
      </c>
      <c r="B479" s="291">
        <v>1</v>
      </c>
      <c r="C479" s="228">
        <v>46</v>
      </c>
      <c r="D479" s="212">
        <v>29800</v>
      </c>
      <c r="E479" s="212"/>
    </row>
    <row r="480" spans="1:5" x14ac:dyDescent="0.2">
      <c r="A480" t="s">
        <v>6966</v>
      </c>
      <c r="B480" s="291">
        <v>1</v>
      </c>
      <c r="C480" s="228">
        <v>2</v>
      </c>
      <c r="D480" s="212">
        <v>-210623.51</v>
      </c>
      <c r="E480" s="212"/>
    </row>
    <row r="481" spans="1:5" x14ac:dyDescent="0.2">
      <c r="A481" t="s">
        <v>6966</v>
      </c>
      <c r="B481" s="291">
        <v>1</v>
      </c>
      <c r="C481" s="228">
        <v>3</v>
      </c>
      <c r="D481" s="212">
        <v>43794.619999999995</v>
      </c>
      <c r="E481" s="212"/>
    </row>
    <row r="482" spans="1:5" x14ac:dyDescent="0.2">
      <c r="A482" t="s">
        <v>6966</v>
      </c>
      <c r="B482" s="291">
        <v>1</v>
      </c>
      <c r="C482" s="228">
        <v>4</v>
      </c>
      <c r="D482" s="212">
        <v>1059.1600000000001</v>
      </c>
      <c r="E482" s="212"/>
    </row>
    <row r="483" spans="1:5" x14ac:dyDescent="0.2">
      <c r="A483" t="s">
        <v>6966</v>
      </c>
      <c r="B483" s="291">
        <v>1</v>
      </c>
      <c r="C483" s="228">
        <v>5</v>
      </c>
      <c r="D483" s="212">
        <v>1685.57</v>
      </c>
      <c r="E483" s="212"/>
    </row>
    <row r="484" spans="1:5" x14ac:dyDescent="0.2">
      <c r="A484" t="s">
        <v>6966</v>
      </c>
      <c r="B484" s="291">
        <v>1</v>
      </c>
      <c r="C484" s="228">
        <v>6</v>
      </c>
      <c r="D484" s="212">
        <v>4944.4299999999994</v>
      </c>
      <c r="E484" s="212"/>
    </row>
    <row r="485" spans="1:5" x14ac:dyDescent="0.2">
      <c r="A485" t="s">
        <v>6966</v>
      </c>
      <c r="B485" s="291">
        <v>1</v>
      </c>
      <c r="C485" s="228" t="s">
        <v>2964</v>
      </c>
      <c r="D485" s="212">
        <v>0</v>
      </c>
      <c r="E485" s="212"/>
    </row>
    <row r="486" spans="1:5" x14ac:dyDescent="0.2">
      <c r="A486" t="s">
        <v>6966</v>
      </c>
      <c r="B486" s="291">
        <v>1</v>
      </c>
      <c r="C486" s="228">
        <v>7</v>
      </c>
      <c r="D486" s="212">
        <v>159139.73000000001</v>
      </c>
      <c r="E486" s="212"/>
    </row>
    <row r="487" spans="1:5" x14ac:dyDescent="0.2">
      <c r="A487" t="s">
        <v>6966</v>
      </c>
      <c r="B487" s="291">
        <v>1</v>
      </c>
      <c r="C487" s="228">
        <v>8</v>
      </c>
      <c r="D487" s="212">
        <v>38038.680000000008</v>
      </c>
      <c r="E487" s="212"/>
    </row>
    <row r="488" spans="1:5" x14ac:dyDescent="0.2">
      <c r="A488" t="s">
        <v>6966</v>
      </c>
      <c r="B488" s="291">
        <v>1</v>
      </c>
      <c r="C488" s="228">
        <v>9</v>
      </c>
      <c r="D488" s="212">
        <v>6756.9</v>
      </c>
      <c r="E488" s="212"/>
    </row>
    <row r="489" spans="1:5" x14ac:dyDescent="0.2">
      <c r="A489" t="s">
        <v>6966</v>
      </c>
      <c r="B489" s="291">
        <v>1</v>
      </c>
      <c r="C489" s="228">
        <v>10</v>
      </c>
      <c r="D489" s="212">
        <v>13124.720000000001</v>
      </c>
      <c r="E489" s="212"/>
    </row>
    <row r="490" spans="1:5" x14ac:dyDescent="0.2">
      <c r="A490" t="s">
        <v>6966</v>
      </c>
      <c r="B490" s="291">
        <v>1</v>
      </c>
      <c r="C490" s="228">
        <v>11</v>
      </c>
      <c r="D490" s="212">
        <v>3435.35</v>
      </c>
      <c r="E490" s="212"/>
    </row>
    <row r="491" spans="1:5" x14ac:dyDescent="0.2">
      <c r="A491" t="s">
        <v>6966</v>
      </c>
      <c r="B491" s="291">
        <v>1</v>
      </c>
      <c r="C491" s="228">
        <v>12</v>
      </c>
      <c r="D491" s="212">
        <v>0</v>
      </c>
      <c r="E491" s="212"/>
    </row>
    <row r="492" spans="1:5" x14ac:dyDescent="0.2">
      <c r="A492" t="s">
        <v>6966</v>
      </c>
      <c r="B492" s="291">
        <v>1</v>
      </c>
      <c r="C492" s="228">
        <v>13</v>
      </c>
      <c r="D492" s="212">
        <v>0</v>
      </c>
      <c r="E492" s="212"/>
    </row>
    <row r="493" spans="1:5" x14ac:dyDescent="0.2">
      <c r="A493" t="s">
        <v>6966</v>
      </c>
      <c r="B493" s="291">
        <v>1</v>
      </c>
      <c r="C493" s="228">
        <v>14</v>
      </c>
      <c r="D493" s="212">
        <v>61355.650000000009</v>
      </c>
      <c r="E493" s="212"/>
    </row>
    <row r="494" spans="1:5" x14ac:dyDescent="0.2">
      <c r="A494" t="s">
        <v>6966</v>
      </c>
      <c r="B494" s="291">
        <v>1</v>
      </c>
      <c r="C494" s="228">
        <v>15</v>
      </c>
      <c r="D494" s="212">
        <v>85.23</v>
      </c>
      <c r="E494" s="212"/>
    </row>
    <row r="495" spans="1:5" x14ac:dyDescent="0.2">
      <c r="A495" t="s">
        <v>6966</v>
      </c>
      <c r="B495" s="291">
        <v>1</v>
      </c>
      <c r="C495" s="228">
        <v>16</v>
      </c>
      <c r="D495" s="212">
        <v>97.39</v>
      </c>
      <c r="E495" s="212"/>
    </row>
    <row r="496" spans="1:5" x14ac:dyDescent="0.2">
      <c r="A496" t="s">
        <v>6966</v>
      </c>
      <c r="B496" s="291">
        <v>1</v>
      </c>
      <c r="C496" s="228">
        <v>17</v>
      </c>
      <c r="D496" s="212">
        <v>756.56</v>
      </c>
      <c r="E496" s="212"/>
    </row>
    <row r="497" spans="1:5" x14ac:dyDescent="0.2">
      <c r="A497" t="s">
        <v>6966</v>
      </c>
      <c r="B497" s="291">
        <v>1</v>
      </c>
      <c r="C497" s="228">
        <v>18</v>
      </c>
      <c r="D497" s="212">
        <v>3534.7500000000005</v>
      </c>
      <c r="E497" s="212"/>
    </row>
    <row r="498" spans="1:5" x14ac:dyDescent="0.2">
      <c r="A498" t="s">
        <v>6966</v>
      </c>
      <c r="B498" s="291">
        <v>1</v>
      </c>
      <c r="C498" s="228">
        <v>19</v>
      </c>
      <c r="D498" s="212">
        <v>2810.47</v>
      </c>
      <c r="E498" s="212"/>
    </row>
    <row r="499" spans="1:5" x14ac:dyDescent="0.2">
      <c r="A499" t="s">
        <v>6966</v>
      </c>
      <c r="B499" s="291">
        <v>1</v>
      </c>
      <c r="C499" s="228">
        <v>20</v>
      </c>
      <c r="D499" s="212">
        <v>7284.4</v>
      </c>
      <c r="E499" s="212"/>
    </row>
    <row r="500" spans="1:5" x14ac:dyDescent="0.2">
      <c r="A500" t="s">
        <v>6966</v>
      </c>
      <c r="B500" s="291">
        <v>1</v>
      </c>
      <c r="C500" s="228">
        <v>21</v>
      </c>
      <c r="D500" s="212">
        <v>11851.04</v>
      </c>
      <c r="E500" s="212"/>
    </row>
    <row r="501" spans="1:5" x14ac:dyDescent="0.2">
      <c r="A501" t="s">
        <v>6966</v>
      </c>
      <c r="B501" s="291">
        <v>1</v>
      </c>
      <c r="C501" s="228">
        <v>22</v>
      </c>
      <c r="D501" s="212">
        <v>8490.31</v>
      </c>
      <c r="E501" s="212"/>
    </row>
    <row r="502" spans="1:5" x14ac:dyDescent="0.2">
      <c r="A502" t="s">
        <v>6966</v>
      </c>
      <c r="B502" s="291">
        <v>1</v>
      </c>
      <c r="C502" s="228">
        <v>23</v>
      </c>
      <c r="D502" s="212">
        <v>3402.41</v>
      </c>
      <c r="E502" s="212"/>
    </row>
    <row r="503" spans="1:5" x14ac:dyDescent="0.2">
      <c r="A503" t="s">
        <v>6966</v>
      </c>
      <c r="B503" s="291">
        <v>1</v>
      </c>
      <c r="C503" s="228">
        <v>24</v>
      </c>
      <c r="D503" s="212">
        <v>19326.509999999998</v>
      </c>
      <c r="E503" s="212"/>
    </row>
    <row r="504" spans="1:5" x14ac:dyDescent="0.2">
      <c r="A504" t="s">
        <v>6966</v>
      </c>
      <c r="B504" s="291">
        <v>1</v>
      </c>
      <c r="C504" s="228">
        <v>25</v>
      </c>
      <c r="D504" s="212">
        <v>9357.0499999999993</v>
      </c>
      <c r="E504" s="212"/>
    </row>
    <row r="505" spans="1:5" x14ac:dyDescent="0.2">
      <c r="A505" t="s">
        <v>6966</v>
      </c>
      <c r="B505" s="291">
        <v>1</v>
      </c>
      <c r="C505" s="228">
        <v>26</v>
      </c>
      <c r="D505" s="212">
        <v>533.01</v>
      </c>
      <c r="E505" s="212"/>
    </row>
    <row r="506" spans="1:5" x14ac:dyDescent="0.2">
      <c r="A506" t="s">
        <v>6966</v>
      </c>
      <c r="B506" s="291">
        <v>1</v>
      </c>
      <c r="C506" s="228">
        <v>27</v>
      </c>
      <c r="D506" s="212">
        <v>1521.5800000000002</v>
      </c>
      <c r="E506" s="212"/>
    </row>
    <row r="507" spans="1:5" x14ac:dyDescent="0.2">
      <c r="A507" t="s">
        <v>6966</v>
      </c>
      <c r="B507" s="291">
        <v>1</v>
      </c>
      <c r="C507" s="228">
        <v>28</v>
      </c>
      <c r="D507" s="212">
        <v>36017.770000000011</v>
      </c>
      <c r="E507" s="212"/>
    </row>
    <row r="508" spans="1:5" x14ac:dyDescent="0.2">
      <c r="A508" t="s">
        <v>6966</v>
      </c>
      <c r="B508" s="291">
        <v>1</v>
      </c>
      <c r="C508" s="228">
        <v>29</v>
      </c>
      <c r="D508" s="212">
        <v>21225.78</v>
      </c>
      <c r="E508" s="212"/>
    </row>
    <row r="509" spans="1:5" x14ac:dyDescent="0.2">
      <c r="A509" t="s">
        <v>6966</v>
      </c>
      <c r="B509" s="291">
        <v>1</v>
      </c>
      <c r="C509" s="228">
        <v>30</v>
      </c>
      <c r="D509" s="212">
        <v>2100.1799999999998</v>
      </c>
      <c r="E509" s="212"/>
    </row>
    <row r="510" spans="1:5" x14ac:dyDescent="0.2">
      <c r="A510" t="s">
        <v>6966</v>
      </c>
      <c r="B510" s="291">
        <v>1</v>
      </c>
      <c r="C510" s="228">
        <v>31</v>
      </c>
      <c r="D510" s="212">
        <v>0</v>
      </c>
      <c r="E510" s="212"/>
    </row>
    <row r="511" spans="1:5" x14ac:dyDescent="0.2">
      <c r="A511" t="s">
        <v>6966</v>
      </c>
      <c r="B511" s="291">
        <v>1</v>
      </c>
      <c r="C511" s="228">
        <v>32</v>
      </c>
      <c r="D511" s="212">
        <v>23325.96</v>
      </c>
      <c r="E511" s="212"/>
    </row>
    <row r="512" spans="1:5" x14ac:dyDescent="0.2">
      <c r="A512" t="s">
        <v>6966</v>
      </c>
      <c r="B512" s="291">
        <v>1</v>
      </c>
      <c r="C512" s="228">
        <v>33</v>
      </c>
      <c r="D512" s="212">
        <v>2711.82</v>
      </c>
      <c r="E512" s="212"/>
    </row>
    <row r="513" spans="1:5" x14ac:dyDescent="0.2">
      <c r="A513" t="s">
        <v>6966</v>
      </c>
      <c r="B513" s="291">
        <v>1</v>
      </c>
      <c r="C513" s="228">
        <v>34</v>
      </c>
      <c r="D513" s="212">
        <v>10612.88</v>
      </c>
      <c r="E513" s="212"/>
    </row>
    <row r="514" spans="1:5" x14ac:dyDescent="0.2">
      <c r="A514" t="s">
        <v>6966</v>
      </c>
      <c r="B514" s="291">
        <v>1</v>
      </c>
      <c r="C514" s="228">
        <v>35</v>
      </c>
      <c r="D514" s="212">
        <v>733.85</v>
      </c>
      <c r="E514" s="212"/>
    </row>
    <row r="515" spans="1:5" x14ac:dyDescent="0.2">
      <c r="A515" t="s">
        <v>6966</v>
      </c>
      <c r="B515" s="291">
        <v>1</v>
      </c>
      <c r="C515" s="228">
        <v>36</v>
      </c>
      <c r="D515" s="212">
        <v>872.04</v>
      </c>
      <c r="E515" s="212"/>
    </row>
    <row r="516" spans="1:5" x14ac:dyDescent="0.2">
      <c r="A516" t="s">
        <v>6966</v>
      </c>
      <c r="B516" s="291">
        <v>1</v>
      </c>
      <c r="C516" s="228">
        <v>37</v>
      </c>
      <c r="D516" s="212">
        <v>2018.1399999999999</v>
      </c>
      <c r="E516" s="212"/>
    </row>
    <row r="517" spans="1:5" x14ac:dyDescent="0.2">
      <c r="A517" t="s">
        <v>6966</v>
      </c>
      <c r="B517" s="291">
        <v>1</v>
      </c>
      <c r="C517" s="228">
        <v>38</v>
      </c>
      <c r="D517" s="212">
        <v>9200</v>
      </c>
      <c r="E517" s="212"/>
    </row>
    <row r="518" spans="1:5" x14ac:dyDescent="0.2">
      <c r="A518" t="s">
        <v>6966</v>
      </c>
      <c r="B518" s="291">
        <v>1</v>
      </c>
      <c r="C518" s="228">
        <v>39</v>
      </c>
      <c r="D518" s="212">
        <v>556.53</v>
      </c>
      <c r="E518" s="212"/>
    </row>
    <row r="519" spans="1:5" x14ac:dyDescent="0.2">
      <c r="A519" t="s">
        <v>6966</v>
      </c>
      <c r="B519" s="291">
        <v>1</v>
      </c>
      <c r="C519" s="228">
        <v>40</v>
      </c>
      <c r="D519" s="212">
        <v>35</v>
      </c>
      <c r="E519" s="212"/>
    </row>
    <row r="520" spans="1:5" x14ac:dyDescent="0.2">
      <c r="A520" t="s">
        <v>6966</v>
      </c>
      <c r="B520" s="291">
        <v>1</v>
      </c>
      <c r="C520" s="228" t="s">
        <v>2991</v>
      </c>
      <c r="D520" s="212">
        <v>-2325.94</v>
      </c>
      <c r="E520" s="212"/>
    </row>
    <row r="521" spans="1:5" x14ac:dyDescent="0.2">
      <c r="A521" t="s">
        <v>6966</v>
      </c>
      <c r="B521" s="291">
        <v>1</v>
      </c>
      <c r="C521" s="228" t="s">
        <v>2992</v>
      </c>
      <c r="D521" s="212">
        <v>2058.79</v>
      </c>
      <c r="E521" s="212"/>
    </row>
    <row r="522" spans="1:5" x14ac:dyDescent="0.2">
      <c r="A522" t="s">
        <v>6966</v>
      </c>
      <c r="B522" s="291">
        <v>1</v>
      </c>
      <c r="C522" s="228">
        <v>41</v>
      </c>
      <c r="D522" s="212">
        <v>267.15000000000009</v>
      </c>
      <c r="E522" s="212"/>
    </row>
    <row r="523" spans="1:5" x14ac:dyDescent="0.2">
      <c r="A523" t="s">
        <v>6966</v>
      </c>
      <c r="B523" s="291">
        <v>1</v>
      </c>
      <c r="C523" s="228">
        <v>42</v>
      </c>
      <c r="D523" s="212">
        <v>303.48</v>
      </c>
      <c r="E523" s="212"/>
    </row>
    <row r="524" spans="1:5" x14ac:dyDescent="0.2">
      <c r="A524" t="s">
        <v>6966</v>
      </c>
      <c r="B524" s="291">
        <v>1</v>
      </c>
      <c r="C524" s="228">
        <v>43</v>
      </c>
      <c r="D524" s="212">
        <v>-14084.779999999982</v>
      </c>
      <c r="E524" s="212"/>
    </row>
    <row r="525" spans="1:5" x14ac:dyDescent="0.2">
      <c r="A525" t="s">
        <v>6966</v>
      </c>
      <c r="B525" s="291">
        <v>1</v>
      </c>
      <c r="C525" s="228">
        <v>44</v>
      </c>
      <c r="D525" s="212">
        <v>-4024.7699999999827</v>
      </c>
      <c r="E525" s="212"/>
    </row>
    <row r="526" spans="1:5" x14ac:dyDescent="0.2">
      <c r="A526" t="s">
        <v>6966</v>
      </c>
      <c r="B526" s="291">
        <v>1</v>
      </c>
      <c r="C526" s="228">
        <v>45</v>
      </c>
      <c r="D526" s="212">
        <v>0</v>
      </c>
      <c r="E526" s="212"/>
    </row>
    <row r="527" spans="1:5" x14ac:dyDescent="0.2">
      <c r="A527" t="s">
        <v>6966</v>
      </c>
      <c r="B527" s="291">
        <v>1</v>
      </c>
      <c r="C527" s="228">
        <v>46</v>
      </c>
      <c r="D527" s="212">
        <v>12000</v>
      </c>
      <c r="E527" s="212"/>
    </row>
    <row r="528" spans="1:5" x14ac:dyDescent="0.2">
      <c r="A528" t="s">
        <v>6965</v>
      </c>
      <c r="B528" s="291">
        <v>1</v>
      </c>
      <c r="C528" s="228">
        <v>2</v>
      </c>
      <c r="D528" s="212">
        <v>-349402.23000000004</v>
      </c>
      <c r="E528" s="212"/>
    </row>
    <row r="529" spans="1:5" x14ac:dyDescent="0.2">
      <c r="A529" t="s">
        <v>6965</v>
      </c>
      <c r="B529" s="291">
        <v>1</v>
      </c>
      <c r="C529" s="228">
        <v>3</v>
      </c>
      <c r="D529" s="212">
        <v>77023.950000000012</v>
      </c>
      <c r="E529" s="212"/>
    </row>
    <row r="530" spans="1:5" x14ac:dyDescent="0.2">
      <c r="A530" t="s">
        <v>6965</v>
      </c>
      <c r="B530" s="291">
        <v>1</v>
      </c>
      <c r="C530" s="228">
        <v>4</v>
      </c>
      <c r="D530" s="212">
        <v>1700.81</v>
      </c>
      <c r="E530" s="212"/>
    </row>
    <row r="531" spans="1:5" x14ac:dyDescent="0.2">
      <c r="A531" t="s">
        <v>6965</v>
      </c>
      <c r="B531" s="291">
        <v>1</v>
      </c>
      <c r="C531" s="228">
        <v>5</v>
      </c>
      <c r="D531" s="212">
        <v>3010.68</v>
      </c>
      <c r="E531" s="212"/>
    </row>
    <row r="532" spans="1:5" x14ac:dyDescent="0.2">
      <c r="A532" t="s">
        <v>6965</v>
      </c>
      <c r="B532" s="291">
        <v>1</v>
      </c>
      <c r="C532" s="228">
        <v>6</v>
      </c>
      <c r="D532" s="212">
        <v>9108.7099999999991</v>
      </c>
      <c r="E532" s="212"/>
    </row>
    <row r="533" spans="1:5" x14ac:dyDescent="0.2">
      <c r="A533" t="s">
        <v>6965</v>
      </c>
      <c r="B533" s="291">
        <v>1</v>
      </c>
      <c r="C533" s="228" t="s">
        <v>2964</v>
      </c>
      <c r="D533" s="212">
        <v>490.85</v>
      </c>
      <c r="E533" s="212"/>
    </row>
    <row r="534" spans="1:5" x14ac:dyDescent="0.2">
      <c r="A534" t="s">
        <v>6965</v>
      </c>
      <c r="B534" s="291">
        <v>1</v>
      </c>
      <c r="C534" s="228">
        <v>7</v>
      </c>
      <c r="D534" s="212">
        <v>258067.23000000004</v>
      </c>
      <c r="E534" s="212"/>
    </row>
    <row r="535" spans="1:5" x14ac:dyDescent="0.2">
      <c r="A535" t="s">
        <v>6965</v>
      </c>
      <c r="B535" s="291">
        <v>1</v>
      </c>
      <c r="C535" s="228">
        <v>8</v>
      </c>
      <c r="D535" s="212">
        <v>58903.049999999996</v>
      </c>
      <c r="E535" s="212"/>
    </row>
    <row r="536" spans="1:5" x14ac:dyDescent="0.2">
      <c r="A536" t="s">
        <v>6965</v>
      </c>
      <c r="B536" s="291">
        <v>1</v>
      </c>
      <c r="C536" s="228">
        <v>9</v>
      </c>
      <c r="D536" s="212">
        <v>11776.67</v>
      </c>
      <c r="E536" s="212"/>
    </row>
    <row r="537" spans="1:5" x14ac:dyDescent="0.2">
      <c r="A537" t="s">
        <v>6965</v>
      </c>
      <c r="B537" s="291">
        <v>1</v>
      </c>
      <c r="C537" s="228">
        <v>10</v>
      </c>
      <c r="D537" s="212">
        <v>20461.649999999998</v>
      </c>
      <c r="E537" s="212"/>
    </row>
    <row r="538" spans="1:5" x14ac:dyDescent="0.2">
      <c r="A538" t="s">
        <v>6965</v>
      </c>
      <c r="B538" s="291">
        <v>1</v>
      </c>
      <c r="C538" s="228">
        <v>11</v>
      </c>
      <c r="D538" s="212">
        <v>5981.2200000000012</v>
      </c>
      <c r="E538" s="212"/>
    </row>
    <row r="539" spans="1:5" x14ac:dyDescent="0.2">
      <c r="A539" t="s">
        <v>6965</v>
      </c>
      <c r="B539" s="291">
        <v>1</v>
      </c>
      <c r="C539" s="228">
        <v>12</v>
      </c>
      <c r="D539" s="212">
        <v>0</v>
      </c>
      <c r="E539" s="212"/>
    </row>
    <row r="540" spans="1:5" x14ac:dyDescent="0.2">
      <c r="A540" t="s">
        <v>6965</v>
      </c>
      <c r="B540" s="291">
        <v>1</v>
      </c>
      <c r="C540" s="228">
        <v>13</v>
      </c>
      <c r="D540" s="212">
        <v>0</v>
      </c>
      <c r="E540" s="212"/>
    </row>
    <row r="541" spans="1:5" x14ac:dyDescent="0.2">
      <c r="A541" t="s">
        <v>6965</v>
      </c>
      <c r="B541" s="291">
        <v>1</v>
      </c>
      <c r="C541" s="228">
        <v>14</v>
      </c>
      <c r="D541" s="212">
        <v>97122.59</v>
      </c>
      <c r="E541" s="212"/>
    </row>
    <row r="542" spans="1:5" x14ac:dyDescent="0.2">
      <c r="A542" t="s">
        <v>6965</v>
      </c>
      <c r="B542" s="291">
        <v>1</v>
      </c>
      <c r="C542" s="228">
        <v>15</v>
      </c>
      <c r="D542" s="212">
        <v>109.12</v>
      </c>
      <c r="E542" s="212"/>
    </row>
    <row r="543" spans="1:5" x14ac:dyDescent="0.2">
      <c r="A543" t="s">
        <v>6965</v>
      </c>
      <c r="B543" s="291">
        <v>1</v>
      </c>
      <c r="C543" s="228">
        <v>16</v>
      </c>
      <c r="D543" s="212">
        <v>65.39</v>
      </c>
      <c r="E543" s="212"/>
    </row>
    <row r="544" spans="1:5" x14ac:dyDescent="0.2">
      <c r="A544" t="s">
        <v>6965</v>
      </c>
      <c r="B544" s="291">
        <v>1</v>
      </c>
      <c r="C544" s="228">
        <v>17</v>
      </c>
      <c r="D544" s="212">
        <v>1949.2</v>
      </c>
      <c r="E544" s="212"/>
    </row>
    <row r="545" spans="1:5" x14ac:dyDescent="0.2">
      <c r="A545" t="s">
        <v>6965</v>
      </c>
      <c r="B545" s="291">
        <v>1</v>
      </c>
      <c r="C545" s="228">
        <v>18</v>
      </c>
      <c r="D545" s="212">
        <v>4641.37</v>
      </c>
      <c r="E545" s="212"/>
    </row>
    <row r="546" spans="1:5" x14ac:dyDescent="0.2">
      <c r="A546" t="s">
        <v>6965</v>
      </c>
      <c r="B546" s="291">
        <v>1</v>
      </c>
      <c r="C546" s="228">
        <v>19</v>
      </c>
      <c r="D546" s="212">
        <v>4002.3599999999997</v>
      </c>
      <c r="E546" s="212"/>
    </row>
    <row r="547" spans="1:5" x14ac:dyDescent="0.2">
      <c r="A547" t="s">
        <v>6965</v>
      </c>
      <c r="B547" s="291">
        <v>1</v>
      </c>
      <c r="C547" s="228">
        <v>20</v>
      </c>
      <c r="D547" s="212">
        <v>10767.439999999999</v>
      </c>
      <c r="E547" s="212"/>
    </row>
    <row r="548" spans="1:5" x14ac:dyDescent="0.2">
      <c r="A548" t="s">
        <v>6965</v>
      </c>
      <c r="B548" s="291">
        <v>1</v>
      </c>
      <c r="C548" s="228">
        <v>21</v>
      </c>
      <c r="D548" s="212">
        <v>6492.0199999999995</v>
      </c>
      <c r="E548" s="212"/>
    </row>
    <row r="549" spans="1:5" x14ac:dyDescent="0.2">
      <c r="A549" t="s">
        <v>6965</v>
      </c>
      <c r="B549" s="291">
        <v>1</v>
      </c>
      <c r="C549" s="228">
        <v>22</v>
      </c>
      <c r="D549" s="212">
        <v>13991.45</v>
      </c>
      <c r="E549" s="212"/>
    </row>
    <row r="550" spans="1:5" x14ac:dyDescent="0.2">
      <c r="A550" t="s">
        <v>6965</v>
      </c>
      <c r="B550" s="291">
        <v>1</v>
      </c>
      <c r="C550" s="228">
        <v>23</v>
      </c>
      <c r="D550" s="212">
        <v>4333.13</v>
      </c>
      <c r="E550" s="212"/>
    </row>
    <row r="551" spans="1:5" x14ac:dyDescent="0.2">
      <c r="A551" t="s">
        <v>6965</v>
      </c>
      <c r="B551" s="291">
        <v>1</v>
      </c>
      <c r="C551" s="228">
        <v>24</v>
      </c>
      <c r="D551" s="212">
        <v>19297.620000000003</v>
      </c>
      <c r="E551" s="212"/>
    </row>
    <row r="552" spans="1:5" x14ac:dyDescent="0.2">
      <c r="A552" t="s">
        <v>6965</v>
      </c>
      <c r="B552" s="291">
        <v>1</v>
      </c>
      <c r="C552" s="228">
        <v>25</v>
      </c>
      <c r="D552" s="212">
        <v>4683.66</v>
      </c>
      <c r="E552" s="212"/>
    </row>
    <row r="553" spans="1:5" x14ac:dyDescent="0.2">
      <c r="A553" t="s">
        <v>6965</v>
      </c>
      <c r="B553" s="291">
        <v>1</v>
      </c>
      <c r="C553" s="228">
        <v>26</v>
      </c>
      <c r="D553" s="212">
        <v>802.97</v>
      </c>
      <c r="E553" s="212"/>
    </row>
    <row r="554" spans="1:5" x14ac:dyDescent="0.2">
      <c r="A554" t="s">
        <v>6965</v>
      </c>
      <c r="B554" s="291">
        <v>1</v>
      </c>
      <c r="C554" s="228">
        <v>27</v>
      </c>
      <c r="D554" s="212">
        <v>192.87000000000003</v>
      </c>
      <c r="E554" s="212"/>
    </row>
    <row r="555" spans="1:5" x14ac:dyDescent="0.2">
      <c r="A555" t="s">
        <v>6965</v>
      </c>
      <c r="B555" s="291">
        <v>1</v>
      </c>
      <c r="C555" s="228">
        <v>28</v>
      </c>
      <c r="D555" s="212">
        <v>100383.48000000004</v>
      </c>
      <c r="E555" s="212"/>
    </row>
    <row r="556" spans="1:5" x14ac:dyDescent="0.2">
      <c r="A556" t="s">
        <v>6965</v>
      </c>
      <c r="B556" s="291">
        <v>1</v>
      </c>
      <c r="C556" s="228">
        <v>29</v>
      </c>
      <c r="D556" s="212">
        <v>62961.53</v>
      </c>
      <c r="E556" s="212"/>
    </row>
    <row r="557" spans="1:5" x14ac:dyDescent="0.2">
      <c r="A557" t="s">
        <v>6965</v>
      </c>
      <c r="B557" s="291">
        <v>1</v>
      </c>
      <c r="C557" s="228">
        <v>30</v>
      </c>
      <c r="D557" s="212">
        <v>0</v>
      </c>
      <c r="E557" s="212"/>
    </row>
    <row r="558" spans="1:5" x14ac:dyDescent="0.2">
      <c r="A558" t="s">
        <v>6965</v>
      </c>
      <c r="B558" s="291">
        <v>1</v>
      </c>
      <c r="C558" s="228">
        <v>31</v>
      </c>
      <c r="D558" s="212">
        <v>0</v>
      </c>
      <c r="E558" s="212"/>
    </row>
    <row r="559" spans="1:5" x14ac:dyDescent="0.2">
      <c r="A559" t="s">
        <v>6965</v>
      </c>
      <c r="B559" s="291">
        <v>1</v>
      </c>
      <c r="C559" s="228">
        <v>32</v>
      </c>
      <c r="D559" s="212">
        <v>62961.53</v>
      </c>
      <c r="E559" s="212"/>
    </row>
    <row r="560" spans="1:5" x14ac:dyDescent="0.2">
      <c r="A560" t="s">
        <v>6965</v>
      </c>
      <c r="B560" s="291">
        <v>1</v>
      </c>
      <c r="C560" s="228">
        <v>33</v>
      </c>
      <c r="D560" s="212">
        <v>0</v>
      </c>
      <c r="E560" s="212"/>
    </row>
    <row r="561" spans="1:5" x14ac:dyDescent="0.2">
      <c r="A561" t="s">
        <v>6965</v>
      </c>
      <c r="B561" s="291">
        <v>1</v>
      </c>
      <c r="C561" s="228">
        <v>34</v>
      </c>
      <c r="D561" s="212">
        <v>17489.32</v>
      </c>
      <c r="E561" s="212"/>
    </row>
    <row r="562" spans="1:5" x14ac:dyDescent="0.2">
      <c r="A562" t="s">
        <v>6965</v>
      </c>
      <c r="B562" s="291">
        <v>1</v>
      </c>
      <c r="C562" s="228">
        <v>35</v>
      </c>
      <c r="D562" s="212">
        <v>1059.5</v>
      </c>
      <c r="E562" s="212"/>
    </row>
    <row r="563" spans="1:5" x14ac:dyDescent="0.2">
      <c r="A563" t="s">
        <v>6965</v>
      </c>
      <c r="B563" s="291">
        <v>1</v>
      </c>
      <c r="C563" s="228">
        <v>36</v>
      </c>
      <c r="D563" s="212">
        <v>1565.76</v>
      </c>
      <c r="E563" s="212"/>
    </row>
    <row r="564" spans="1:5" x14ac:dyDescent="0.2">
      <c r="A564" t="s">
        <v>6965</v>
      </c>
      <c r="B564" s="291">
        <v>1</v>
      </c>
      <c r="C564" s="228">
        <v>37</v>
      </c>
      <c r="D564" s="212">
        <v>4509.01</v>
      </c>
      <c r="E564" s="212"/>
    </row>
    <row r="565" spans="1:5" x14ac:dyDescent="0.2">
      <c r="A565" t="s">
        <v>6965</v>
      </c>
      <c r="B565" s="291">
        <v>1</v>
      </c>
      <c r="C565" s="228">
        <v>38</v>
      </c>
      <c r="D565" s="212">
        <v>5000</v>
      </c>
      <c r="E565" s="212"/>
    </row>
    <row r="566" spans="1:5" x14ac:dyDescent="0.2">
      <c r="A566" t="s">
        <v>6965</v>
      </c>
      <c r="B566" s="291">
        <v>1</v>
      </c>
      <c r="C566" s="228">
        <v>39</v>
      </c>
      <c r="D566" s="212">
        <v>1038.23</v>
      </c>
      <c r="E566" s="212"/>
    </row>
    <row r="567" spans="1:5" x14ac:dyDescent="0.2">
      <c r="A567" t="s">
        <v>6965</v>
      </c>
      <c r="B567" s="291">
        <v>1</v>
      </c>
      <c r="C567" s="228">
        <v>40</v>
      </c>
      <c r="D567" s="212">
        <v>35</v>
      </c>
      <c r="E567" s="212"/>
    </row>
    <row r="568" spans="1:5" x14ac:dyDescent="0.2">
      <c r="A568" t="s">
        <v>6965</v>
      </c>
      <c r="B568" s="291">
        <v>1</v>
      </c>
      <c r="C568" s="228" t="s">
        <v>2991</v>
      </c>
      <c r="D568" s="212">
        <v>-4809.01</v>
      </c>
      <c r="E568" s="212"/>
    </row>
    <row r="569" spans="1:5" x14ac:dyDescent="0.2">
      <c r="A569" t="s">
        <v>6965</v>
      </c>
      <c r="B569" s="291">
        <v>1</v>
      </c>
      <c r="C569" s="228" t="s">
        <v>2992</v>
      </c>
      <c r="D569" s="212">
        <v>4836.38</v>
      </c>
      <c r="E569" s="212"/>
    </row>
    <row r="570" spans="1:5" x14ac:dyDescent="0.2">
      <c r="A570" t="s">
        <v>6965</v>
      </c>
      <c r="B570" s="291">
        <v>1</v>
      </c>
      <c r="C570" s="228">
        <v>41</v>
      </c>
      <c r="D570" s="212">
        <v>-27.369999999999891</v>
      </c>
      <c r="E570" s="212"/>
    </row>
    <row r="571" spans="1:5" x14ac:dyDescent="0.2">
      <c r="A571" t="s">
        <v>6965</v>
      </c>
      <c r="B571" s="291">
        <v>1</v>
      </c>
      <c r="C571" s="228">
        <v>42</v>
      </c>
      <c r="D571" s="212">
        <v>26.49</v>
      </c>
      <c r="E571" s="212"/>
    </row>
    <row r="572" spans="1:5" x14ac:dyDescent="0.2">
      <c r="A572" t="s">
        <v>6965</v>
      </c>
      <c r="B572" s="291">
        <v>1</v>
      </c>
      <c r="C572" s="228">
        <v>43</v>
      </c>
      <c r="D572" s="212">
        <v>6671.2700000000486</v>
      </c>
      <c r="E572" s="212"/>
    </row>
    <row r="573" spans="1:5" x14ac:dyDescent="0.2">
      <c r="A573" t="s">
        <v>6965</v>
      </c>
      <c r="B573" s="291">
        <v>1</v>
      </c>
      <c r="C573" s="228">
        <v>44</v>
      </c>
      <c r="D573" s="212">
        <v>12735.990000000047</v>
      </c>
      <c r="E573" s="212"/>
    </row>
    <row r="574" spans="1:5" x14ac:dyDescent="0.2">
      <c r="A574" t="s">
        <v>6965</v>
      </c>
      <c r="B574" s="291">
        <v>1</v>
      </c>
      <c r="C574" s="228">
        <v>45</v>
      </c>
      <c r="D574" s="212">
        <v>0</v>
      </c>
      <c r="E574" s="212"/>
    </row>
    <row r="575" spans="1:5" x14ac:dyDescent="0.2">
      <c r="A575" t="s">
        <v>6965</v>
      </c>
      <c r="B575" s="291">
        <v>1</v>
      </c>
      <c r="C575" s="228">
        <v>46</v>
      </c>
      <c r="D575" s="212">
        <v>21400</v>
      </c>
      <c r="E575" s="212"/>
    </row>
    <row r="576" spans="1:5" x14ac:dyDescent="0.2">
      <c r="B576" s="291"/>
      <c r="E576" s="212"/>
    </row>
    <row r="577" spans="2:5" x14ac:dyDescent="0.2">
      <c r="B577" s="291"/>
      <c r="E577" s="212"/>
    </row>
    <row r="578" spans="2:5" x14ac:dyDescent="0.2">
      <c r="B578" s="291"/>
      <c r="E578" s="212"/>
    </row>
    <row r="579" spans="2:5" x14ac:dyDescent="0.2">
      <c r="B579" s="291"/>
      <c r="E579" s="212"/>
    </row>
    <row r="580" spans="2:5" x14ac:dyDescent="0.2">
      <c r="B580" s="291"/>
      <c r="E580" s="212"/>
    </row>
    <row r="581" spans="2:5" x14ac:dyDescent="0.2">
      <c r="B581" s="291"/>
      <c r="E581" s="212"/>
    </row>
    <row r="582" spans="2:5" x14ac:dyDescent="0.2">
      <c r="B582" s="291"/>
      <c r="E582" s="212"/>
    </row>
    <row r="583" spans="2:5" x14ac:dyDescent="0.2">
      <c r="B583" s="291"/>
      <c r="E583" s="212"/>
    </row>
    <row r="584" spans="2:5" x14ac:dyDescent="0.2">
      <c r="B584" s="291"/>
      <c r="E584" s="212"/>
    </row>
    <row r="585" spans="2:5" x14ac:dyDescent="0.2">
      <c r="B585" s="291"/>
      <c r="E585" s="212"/>
    </row>
    <row r="586" spans="2:5" x14ac:dyDescent="0.2">
      <c r="B586" s="291"/>
      <c r="E586" s="212"/>
    </row>
    <row r="587" spans="2:5" x14ac:dyDescent="0.2">
      <c r="B587" s="291"/>
      <c r="E587" s="212"/>
    </row>
    <row r="588" spans="2:5" x14ac:dyDescent="0.2">
      <c r="B588" s="291"/>
      <c r="E588" s="212"/>
    </row>
    <row r="589" spans="2:5" x14ac:dyDescent="0.2">
      <c r="B589" s="291"/>
      <c r="E589" s="212"/>
    </row>
    <row r="590" spans="2:5" x14ac:dyDescent="0.2">
      <c r="B590" s="291"/>
      <c r="E590" s="212"/>
    </row>
    <row r="591" spans="2:5" x14ac:dyDescent="0.2">
      <c r="B591" s="291"/>
      <c r="E591" s="212"/>
    </row>
    <row r="592" spans="2:5" x14ac:dyDescent="0.2">
      <c r="B592" s="291"/>
      <c r="E592" s="212"/>
    </row>
    <row r="593" spans="2:5" x14ac:dyDescent="0.2">
      <c r="B593" s="291"/>
      <c r="E593" s="212"/>
    </row>
    <row r="594" spans="2:5" x14ac:dyDescent="0.2">
      <c r="B594" s="291"/>
      <c r="E594" s="212"/>
    </row>
    <row r="595" spans="2:5" x14ac:dyDescent="0.2">
      <c r="B595" s="291"/>
      <c r="E595" s="212"/>
    </row>
    <row r="596" spans="2:5" x14ac:dyDescent="0.2">
      <c r="B596" s="291"/>
      <c r="E596" s="212"/>
    </row>
    <row r="597" spans="2:5" x14ac:dyDescent="0.2">
      <c r="B597" s="291"/>
      <c r="E597" s="212"/>
    </row>
    <row r="598" spans="2:5" x14ac:dyDescent="0.2">
      <c r="B598" s="291"/>
      <c r="E598" s="212"/>
    </row>
    <row r="599" spans="2:5" x14ac:dyDescent="0.2">
      <c r="B599" s="291"/>
      <c r="E599" s="212"/>
    </row>
    <row r="600" spans="2:5" x14ac:dyDescent="0.2">
      <c r="B600" s="291"/>
      <c r="E600" s="212"/>
    </row>
    <row r="601" spans="2:5" x14ac:dyDescent="0.2">
      <c r="B601" s="291"/>
      <c r="E601" s="212"/>
    </row>
    <row r="602" spans="2:5" x14ac:dyDescent="0.2">
      <c r="B602" s="291"/>
      <c r="E602" s="212"/>
    </row>
    <row r="603" spans="2:5" x14ac:dyDescent="0.2">
      <c r="B603" s="291"/>
      <c r="E603" s="212"/>
    </row>
    <row r="604" spans="2:5" x14ac:dyDescent="0.2">
      <c r="B604" s="291"/>
      <c r="E604" s="212"/>
    </row>
    <row r="605" spans="2:5" x14ac:dyDescent="0.2">
      <c r="B605" s="291"/>
      <c r="E605" s="212"/>
    </row>
    <row r="606" spans="2:5" x14ac:dyDescent="0.2">
      <c r="B606" s="291"/>
      <c r="E606" s="212"/>
    </row>
    <row r="607" spans="2:5" x14ac:dyDescent="0.2">
      <c r="B607" s="291"/>
      <c r="E607" s="212"/>
    </row>
    <row r="608" spans="2:5" x14ac:dyDescent="0.2">
      <c r="B608" s="291"/>
      <c r="E608" s="212"/>
    </row>
    <row r="609" spans="2:5" x14ac:dyDescent="0.2">
      <c r="B609" s="291"/>
      <c r="E609" s="212"/>
    </row>
    <row r="610" spans="2:5" x14ac:dyDescent="0.2">
      <c r="B610" s="291"/>
      <c r="E610" s="212"/>
    </row>
    <row r="611" spans="2:5" x14ac:dyDescent="0.2">
      <c r="B611" s="291"/>
      <c r="E611" s="212"/>
    </row>
    <row r="612" spans="2:5" x14ac:dyDescent="0.2">
      <c r="B612" s="291"/>
      <c r="E612" s="212"/>
    </row>
    <row r="613" spans="2:5" x14ac:dyDescent="0.2">
      <c r="B613" s="291"/>
      <c r="E613" s="212"/>
    </row>
    <row r="614" spans="2:5" x14ac:dyDescent="0.2">
      <c r="B614" s="291"/>
      <c r="E614" s="212"/>
    </row>
    <row r="615" spans="2:5" x14ac:dyDescent="0.2">
      <c r="B615" s="291"/>
      <c r="E615" s="212"/>
    </row>
    <row r="616" spans="2:5" x14ac:dyDescent="0.2">
      <c r="B616" s="291"/>
      <c r="E616" s="212"/>
    </row>
    <row r="617" spans="2:5" x14ac:dyDescent="0.2">
      <c r="B617" s="291"/>
      <c r="E617" s="212"/>
    </row>
    <row r="618" spans="2:5" x14ac:dyDescent="0.2">
      <c r="B618" s="291"/>
      <c r="E618" s="212"/>
    </row>
    <row r="619" spans="2:5" x14ac:dyDescent="0.2">
      <c r="B619" s="291"/>
      <c r="E619" s="212"/>
    </row>
    <row r="620" spans="2:5" x14ac:dyDescent="0.2">
      <c r="B620" s="291"/>
      <c r="E620" s="212"/>
    </row>
    <row r="621" spans="2:5" x14ac:dyDescent="0.2">
      <c r="B621" s="291"/>
      <c r="E621" s="212"/>
    </row>
    <row r="622" spans="2:5" x14ac:dyDescent="0.2">
      <c r="B622" s="291"/>
      <c r="E622" s="212"/>
    </row>
    <row r="623" spans="2:5" x14ac:dyDescent="0.2">
      <c r="B623" s="291"/>
      <c r="E623" s="212"/>
    </row>
    <row r="624" spans="2:5" x14ac:dyDescent="0.2">
      <c r="B624" s="291"/>
      <c r="E624" s="212"/>
    </row>
    <row r="625" spans="2:5" x14ac:dyDescent="0.2">
      <c r="B625" s="291"/>
      <c r="E625" s="212"/>
    </row>
    <row r="626" spans="2:5" x14ac:dyDescent="0.2">
      <c r="B626" s="291"/>
      <c r="E626" s="212"/>
    </row>
    <row r="627" spans="2:5" x14ac:dyDescent="0.2">
      <c r="B627" s="291"/>
      <c r="E627" s="212"/>
    </row>
    <row r="628" spans="2:5" x14ac:dyDescent="0.2">
      <c r="B628" s="291"/>
      <c r="E628" s="212"/>
    </row>
    <row r="629" spans="2:5" x14ac:dyDescent="0.2">
      <c r="B629" s="291"/>
      <c r="E629" s="212"/>
    </row>
    <row r="630" spans="2:5" x14ac:dyDescent="0.2">
      <c r="B630" s="291"/>
      <c r="E630" s="212"/>
    </row>
    <row r="631" spans="2:5" x14ac:dyDescent="0.2">
      <c r="B631" s="291"/>
      <c r="E631" s="212"/>
    </row>
    <row r="632" spans="2:5" x14ac:dyDescent="0.2">
      <c r="B632" s="291"/>
      <c r="E632" s="212"/>
    </row>
    <row r="633" spans="2:5" x14ac:dyDescent="0.2">
      <c r="B633" s="291"/>
      <c r="E633" s="212"/>
    </row>
    <row r="634" spans="2:5" x14ac:dyDescent="0.2">
      <c r="B634" s="291"/>
      <c r="E634" s="212"/>
    </row>
    <row r="635" spans="2:5" x14ac:dyDescent="0.2">
      <c r="B635" s="291"/>
      <c r="E635" s="212"/>
    </row>
    <row r="636" spans="2:5" x14ac:dyDescent="0.2">
      <c r="B636" s="291"/>
      <c r="E636" s="212"/>
    </row>
    <row r="637" spans="2:5" x14ac:dyDescent="0.2">
      <c r="B637" s="291"/>
      <c r="E637" s="212"/>
    </row>
    <row r="638" spans="2:5" x14ac:dyDescent="0.2">
      <c r="B638" s="291"/>
      <c r="E638" s="212"/>
    </row>
    <row r="639" spans="2:5" x14ac:dyDescent="0.2">
      <c r="B639" s="291"/>
      <c r="E639" s="212"/>
    </row>
    <row r="640" spans="2:5" x14ac:dyDescent="0.2">
      <c r="B640" s="291"/>
      <c r="E640" s="212"/>
    </row>
    <row r="641" spans="2:5" x14ac:dyDescent="0.2">
      <c r="B641" s="291"/>
      <c r="E641" s="212"/>
    </row>
    <row r="642" spans="2:5" x14ac:dyDescent="0.2">
      <c r="B642" s="291"/>
      <c r="E642" s="212"/>
    </row>
    <row r="643" spans="2:5" x14ac:dyDescent="0.2">
      <c r="B643" s="291"/>
      <c r="E643" s="212"/>
    </row>
    <row r="644" spans="2:5" x14ac:dyDescent="0.2">
      <c r="B644" s="291"/>
      <c r="E644" s="212"/>
    </row>
    <row r="645" spans="2:5" x14ac:dyDescent="0.2">
      <c r="B645" s="291"/>
      <c r="E645" s="212"/>
    </row>
    <row r="646" spans="2:5" x14ac:dyDescent="0.2">
      <c r="B646" s="291"/>
      <c r="E646" s="212"/>
    </row>
    <row r="647" spans="2:5" x14ac:dyDescent="0.2">
      <c r="B647" s="291"/>
      <c r="E647" s="212"/>
    </row>
    <row r="648" spans="2:5" x14ac:dyDescent="0.2">
      <c r="B648" s="291"/>
      <c r="E648" s="212"/>
    </row>
    <row r="649" spans="2:5" x14ac:dyDescent="0.2">
      <c r="B649" s="291"/>
      <c r="E649" s="212"/>
    </row>
    <row r="650" spans="2:5" x14ac:dyDescent="0.2">
      <c r="B650" s="291"/>
      <c r="E650" s="212"/>
    </row>
    <row r="651" spans="2:5" x14ac:dyDescent="0.2">
      <c r="B651" s="291"/>
      <c r="E651" s="212"/>
    </row>
    <row r="652" spans="2:5" x14ac:dyDescent="0.2">
      <c r="B652" s="291"/>
      <c r="E652" s="212"/>
    </row>
    <row r="653" spans="2:5" x14ac:dyDescent="0.2">
      <c r="B653" s="291"/>
      <c r="E653" s="212"/>
    </row>
    <row r="654" spans="2:5" x14ac:dyDescent="0.2">
      <c r="B654" s="291"/>
      <c r="E654" s="212"/>
    </row>
    <row r="655" spans="2:5" x14ac:dyDescent="0.2">
      <c r="B655" s="291"/>
      <c r="E655" s="212"/>
    </row>
    <row r="656" spans="2:5" x14ac:dyDescent="0.2">
      <c r="B656" s="291"/>
      <c r="E656" s="212"/>
    </row>
    <row r="657" spans="2:5" x14ac:dyDescent="0.2">
      <c r="B657" s="291"/>
      <c r="E657" s="212"/>
    </row>
    <row r="658" spans="2:5" x14ac:dyDescent="0.2">
      <c r="B658" s="291"/>
      <c r="E658" s="212"/>
    </row>
    <row r="659" spans="2:5" x14ac:dyDescent="0.2">
      <c r="B659" s="291"/>
      <c r="E659" s="212"/>
    </row>
    <row r="660" spans="2:5" x14ac:dyDescent="0.2">
      <c r="B660" s="291"/>
      <c r="E660" s="212"/>
    </row>
    <row r="661" spans="2:5" x14ac:dyDescent="0.2">
      <c r="B661" s="291"/>
      <c r="E661" s="212"/>
    </row>
    <row r="662" spans="2:5" x14ac:dyDescent="0.2">
      <c r="B662" s="291"/>
      <c r="E662" s="212"/>
    </row>
    <row r="663" spans="2:5" x14ac:dyDescent="0.2">
      <c r="B663" s="291"/>
      <c r="E663" s="212"/>
    </row>
    <row r="664" spans="2:5" x14ac:dyDescent="0.2">
      <c r="B664" s="291"/>
      <c r="E664" s="212"/>
    </row>
    <row r="665" spans="2:5" x14ac:dyDescent="0.2">
      <c r="B665" s="291"/>
      <c r="E665" s="212"/>
    </row>
    <row r="666" spans="2:5" x14ac:dyDescent="0.2">
      <c r="B666" s="291"/>
      <c r="E666" s="212"/>
    </row>
    <row r="667" spans="2:5" x14ac:dyDescent="0.2">
      <c r="B667" s="291"/>
      <c r="E667" s="212"/>
    </row>
    <row r="668" spans="2:5" x14ac:dyDescent="0.2">
      <c r="B668" s="291"/>
      <c r="E668" s="212"/>
    </row>
    <row r="669" spans="2:5" x14ac:dyDescent="0.2">
      <c r="B669" s="291"/>
      <c r="E669" s="212"/>
    </row>
    <row r="670" spans="2:5" x14ac:dyDescent="0.2">
      <c r="B670" s="291"/>
      <c r="E670" s="212"/>
    </row>
    <row r="671" spans="2:5" x14ac:dyDescent="0.2">
      <c r="B671" s="291"/>
      <c r="E671" s="212"/>
    </row>
    <row r="672" spans="2:5" x14ac:dyDescent="0.2">
      <c r="B672" s="291"/>
      <c r="E672" s="212"/>
    </row>
    <row r="673" spans="2:5" x14ac:dyDescent="0.2">
      <c r="B673" s="291"/>
      <c r="E673" s="212"/>
    </row>
    <row r="674" spans="2:5" x14ac:dyDescent="0.2">
      <c r="B674" s="291"/>
      <c r="E674" s="212"/>
    </row>
    <row r="675" spans="2:5" x14ac:dyDescent="0.2">
      <c r="B675" s="291"/>
      <c r="E675" s="212"/>
    </row>
    <row r="676" spans="2:5" x14ac:dyDescent="0.2">
      <c r="B676" s="291"/>
      <c r="E676" s="212"/>
    </row>
    <row r="677" spans="2:5" x14ac:dyDescent="0.2">
      <c r="B677" s="291"/>
      <c r="E677" s="212"/>
    </row>
    <row r="678" spans="2:5" x14ac:dyDescent="0.2">
      <c r="B678" s="291"/>
      <c r="E678" s="212"/>
    </row>
    <row r="679" spans="2:5" x14ac:dyDescent="0.2">
      <c r="B679" s="291"/>
      <c r="E679" s="212"/>
    </row>
    <row r="680" spans="2:5" x14ac:dyDescent="0.2">
      <c r="B680" s="291"/>
      <c r="E680" s="212"/>
    </row>
    <row r="681" spans="2:5" x14ac:dyDescent="0.2">
      <c r="B681" s="291"/>
      <c r="E681" s="212"/>
    </row>
    <row r="682" spans="2:5" x14ac:dyDescent="0.2">
      <c r="B682" s="291"/>
      <c r="E682" s="212"/>
    </row>
    <row r="683" spans="2:5" x14ac:dyDescent="0.2">
      <c r="B683" s="291"/>
      <c r="E683" s="212"/>
    </row>
    <row r="684" spans="2:5" x14ac:dyDescent="0.2">
      <c r="B684" s="291"/>
      <c r="E684" s="212"/>
    </row>
    <row r="685" spans="2:5" x14ac:dyDescent="0.2">
      <c r="B685" s="291"/>
      <c r="E685" s="212"/>
    </row>
    <row r="686" spans="2:5" x14ac:dyDescent="0.2">
      <c r="B686" s="291"/>
      <c r="E686" s="212"/>
    </row>
    <row r="687" spans="2:5" x14ac:dyDescent="0.2">
      <c r="B687" s="291"/>
      <c r="E687" s="212"/>
    </row>
    <row r="688" spans="2:5" x14ac:dyDescent="0.2">
      <c r="B688" s="291"/>
      <c r="E688" s="212"/>
    </row>
    <row r="689" spans="2:5" x14ac:dyDescent="0.2">
      <c r="B689" s="291"/>
      <c r="E689" s="212"/>
    </row>
    <row r="690" spans="2:5" x14ac:dyDescent="0.2">
      <c r="B690" s="291"/>
      <c r="E690" s="212"/>
    </row>
    <row r="691" spans="2:5" x14ac:dyDescent="0.2">
      <c r="B691" s="291"/>
      <c r="E691" s="212"/>
    </row>
    <row r="692" spans="2:5" x14ac:dyDescent="0.2">
      <c r="B692" s="291"/>
      <c r="E692" s="212"/>
    </row>
    <row r="693" spans="2:5" x14ac:dyDescent="0.2">
      <c r="B693" s="291"/>
      <c r="E693" s="212"/>
    </row>
    <row r="694" spans="2:5" x14ac:dyDescent="0.2">
      <c r="B694" s="291"/>
      <c r="E694" s="212"/>
    </row>
    <row r="695" spans="2:5" x14ac:dyDescent="0.2">
      <c r="B695" s="291"/>
      <c r="E695" s="212"/>
    </row>
    <row r="696" spans="2:5" x14ac:dyDescent="0.2">
      <c r="B696" s="291"/>
      <c r="E696" s="212"/>
    </row>
    <row r="697" spans="2:5" x14ac:dyDescent="0.2">
      <c r="B697" s="291"/>
      <c r="E697" s="212"/>
    </row>
    <row r="698" spans="2:5" x14ac:dyDescent="0.2">
      <c r="B698" s="291"/>
      <c r="E698" s="212"/>
    </row>
    <row r="699" spans="2:5" x14ac:dyDescent="0.2">
      <c r="B699" s="291"/>
      <c r="E699" s="212"/>
    </row>
    <row r="700" spans="2:5" x14ac:dyDescent="0.2">
      <c r="B700" s="291"/>
      <c r="E700" s="212"/>
    </row>
    <row r="701" spans="2:5" x14ac:dyDescent="0.2">
      <c r="B701" s="291"/>
      <c r="E701" s="212"/>
    </row>
    <row r="702" spans="2:5" x14ac:dyDescent="0.2">
      <c r="B702" s="291"/>
      <c r="E702" s="212"/>
    </row>
    <row r="703" spans="2:5" x14ac:dyDescent="0.2">
      <c r="B703" s="291"/>
      <c r="E703" s="212"/>
    </row>
    <row r="704" spans="2:5" x14ac:dyDescent="0.2">
      <c r="B704" s="291"/>
      <c r="E704" s="212"/>
    </row>
    <row r="705" spans="2:5" x14ac:dyDescent="0.2">
      <c r="B705" s="291"/>
      <c r="E705" s="212"/>
    </row>
    <row r="706" spans="2:5" x14ac:dyDescent="0.2">
      <c r="B706" s="291"/>
      <c r="E706" s="212"/>
    </row>
    <row r="707" spans="2:5" x14ac:dyDescent="0.2">
      <c r="B707" s="291"/>
      <c r="E707" s="212"/>
    </row>
    <row r="708" spans="2:5" x14ac:dyDescent="0.2">
      <c r="B708" s="291"/>
      <c r="E708" s="212"/>
    </row>
    <row r="709" spans="2:5" x14ac:dyDescent="0.2">
      <c r="B709" s="291"/>
      <c r="E709" s="212"/>
    </row>
    <row r="710" spans="2:5" x14ac:dyDescent="0.2">
      <c r="B710" s="291"/>
      <c r="E710" s="212"/>
    </row>
    <row r="711" spans="2:5" x14ac:dyDescent="0.2">
      <c r="B711" s="291"/>
      <c r="E711" s="212"/>
    </row>
    <row r="712" spans="2:5" x14ac:dyDescent="0.2">
      <c r="B712" s="291"/>
      <c r="E712" s="212"/>
    </row>
    <row r="713" spans="2:5" x14ac:dyDescent="0.2">
      <c r="B713" s="291"/>
      <c r="E713" s="212"/>
    </row>
    <row r="714" spans="2:5" x14ac:dyDescent="0.2">
      <c r="B714" s="291"/>
      <c r="E714" s="212"/>
    </row>
    <row r="715" spans="2:5" x14ac:dyDescent="0.2">
      <c r="B715" s="291"/>
      <c r="E715" s="212"/>
    </row>
    <row r="716" spans="2:5" x14ac:dyDescent="0.2">
      <c r="B716" s="291"/>
      <c r="E716" s="212"/>
    </row>
    <row r="717" spans="2:5" x14ac:dyDescent="0.2">
      <c r="B717" s="291"/>
      <c r="E717" s="212"/>
    </row>
    <row r="718" spans="2:5" x14ac:dyDescent="0.2">
      <c r="B718" s="291"/>
      <c r="E718" s="212"/>
    </row>
    <row r="719" spans="2:5" x14ac:dyDescent="0.2">
      <c r="B719" s="291"/>
      <c r="E719" s="212"/>
    </row>
    <row r="720" spans="2:5" x14ac:dyDescent="0.2">
      <c r="B720" s="291"/>
      <c r="E720" s="212"/>
    </row>
    <row r="721" spans="2:5" x14ac:dyDescent="0.2">
      <c r="B721" s="291"/>
      <c r="E721" s="212"/>
    </row>
    <row r="722" spans="2:5" x14ac:dyDescent="0.2">
      <c r="B722" s="291"/>
      <c r="E722" s="212"/>
    </row>
    <row r="723" spans="2:5" x14ac:dyDescent="0.2">
      <c r="B723" s="291"/>
      <c r="E723" s="212"/>
    </row>
    <row r="724" spans="2:5" x14ac:dyDescent="0.2">
      <c r="B724" s="291"/>
      <c r="E724" s="212"/>
    </row>
    <row r="725" spans="2:5" x14ac:dyDescent="0.2">
      <c r="B725" s="291"/>
      <c r="E725" s="212"/>
    </row>
    <row r="726" spans="2:5" x14ac:dyDescent="0.2">
      <c r="B726" s="291"/>
      <c r="E726" s="212"/>
    </row>
    <row r="727" spans="2:5" x14ac:dyDescent="0.2">
      <c r="B727" s="291"/>
      <c r="E727" s="212"/>
    </row>
    <row r="728" spans="2:5" x14ac:dyDescent="0.2">
      <c r="B728" s="291"/>
      <c r="E728" s="212"/>
    </row>
    <row r="729" spans="2:5" x14ac:dyDescent="0.2">
      <c r="B729" s="291"/>
      <c r="E729" s="212"/>
    </row>
    <row r="730" spans="2:5" x14ac:dyDescent="0.2">
      <c r="B730" s="291"/>
      <c r="E730" s="212"/>
    </row>
    <row r="731" spans="2:5" x14ac:dyDescent="0.2">
      <c r="B731" s="291"/>
      <c r="E731" s="212"/>
    </row>
    <row r="732" spans="2:5" x14ac:dyDescent="0.2">
      <c r="B732" s="291"/>
      <c r="E732" s="212"/>
    </row>
    <row r="733" spans="2:5" x14ac:dyDescent="0.2">
      <c r="B733" s="291"/>
      <c r="E733" s="212"/>
    </row>
    <row r="734" spans="2:5" x14ac:dyDescent="0.2">
      <c r="B734" s="291"/>
      <c r="E734" s="212"/>
    </row>
    <row r="735" spans="2:5" x14ac:dyDescent="0.2">
      <c r="B735" s="291"/>
      <c r="E735" s="212"/>
    </row>
    <row r="736" spans="2:5" x14ac:dyDescent="0.2">
      <c r="B736" s="291"/>
      <c r="E736" s="212"/>
    </row>
    <row r="737" spans="2:5" x14ac:dyDescent="0.2">
      <c r="B737" s="291"/>
      <c r="E737" s="212"/>
    </row>
    <row r="738" spans="2:5" x14ac:dyDescent="0.2">
      <c r="B738" s="291"/>
      <c r="E738" s="212"/>
    </row>
    <row r="739" spans="2:5" x14ac:dyDescent="0.2">
      <c r="B739" s="291"/>
      <c r="E739" s="212"/>
    </row>
    <row r="740" spans="2:5" x14ac:dyDescent="0.2">
      <c r="B740" s="291"/>
      <c r="E740" s="212"/>
    </row>
    <row r="741" spans="2:5" x14ac:dyDescent="0.2">
      <c r="B741" s="291"/>
      <c r="E741" s="212"/>
    </row>
    <row r="742" spans="2:5" x14ac:dyDescent="0.2">
      <c r="B742" s="291"/>
      <c r="E742" s="212"/>
    </row>
    <row r="743" spans="2:5" x14ac:dyDescent="0.2">
      <c r="B743" s="291"/>
      <c r="E743" s="212"/>
    </row>
    <row r="744" spans="2:5" x14ac:dyDescent="0.2">
      <c r="B744" s="291"/>
      <c r="E744" s="212"/>
    </row>
    <row r="745" spans="2:5" x14ac:dyDescent="0.2">
      <c r="B745" s="291"/>
      <c r="E745" s="212"/>
    </row>
    <row r="746" spans="2:5" x14ac:dyDescent="0.2">
      <c r="B746" s="291"/>
      <c r="E746" s="212"/>
    </row>
    <row r="747" spans="2:5" x14ac:dyDescent="0.2">
      <c r="B747" s="291"/>
      <c r="E747" s="212"/>
    </row>
    <row r="748" spans="2:5" x14ac:dyDescent="0.2">
      <c r="B748" s="291"/>
      <c r="E748" s="212"/>
    </row>
    <row r="749" spans="2:5" x14ac:dyDescent="0.2">
      <c r="B749" s="291"/>
      <c r="E749" s="212"/>
    </row>
    <row r="750" spans="2:5" x14ac:dyDescent="0.2">
      <c r="B750" s="291"/>
      <c r="E750" s="212"/>
    </row>
    <row r="751" spans="2:5" x14ac:dyDescent="0.2">
      <c r="B751" s="291"/>
      <c r="E751" s="212"/>
    </row>
    <row r="752" spans="2:5" x14ac:dyDescent="0.2">
      <c r="B752" s="291"/>
      <c r="E752" s="212"/>
    </row>
    <row r="753" spans="2:5" x14ac:dyDescent="0.2">
      <c r="B753" s="291"/>
      <c r="E753" s="212"/>
    </row>
    <row r="754" spans="2:5" x14ac:dyDescent="0.2">
      <c r="B754" s="291"/>
      <c r="E754" s="212"/>
    </row>
    <row r="755" spans="2:5" x14ac:dyDescent="0.2">
      <c r="B755" s="291"/>
      <c r="E755" s="212"/>
    </row>
    <row r="756" spans="2:5" x14ac:dyDescent="0.2">
      <c r="B756" s="291"/>
      <c r="E756" s="212"/>
    </row>
    <row r="757" spans="2:5" x14ac:dyDescent="0.2">
      <c r="B757" s="291"/>
      <c r="E757" s="212"/>
    </row>
    <row r="758" spans="2:5" x14ac:dyDescent="0.2">
      <c r="B758" s="291"/>
      <c r="E758" s="212"/>
    </row>
    <row r="759" spans="2:5" x14ac:dyDescent="0.2">
      <c r="B759" s="291"/>
      <c r="E759" s="212"/>
    </row>
    <row r="760" spans="2:5" x14ac:dyDescent="0.2">
      <c r="B760" s="291"/>
      <c r="E760" s="212"/>
    </row>
    <row r="761" spans="2:5" x14ac:dyDescent="0.2">
      <c r="B761" s="291"/>
      <c r="E761" s="212"/>
    </row>
    <row r="762" spans="2:5" x14ac:dyDescent="0.2">
      <c r="B762" s="291"/>
      <c r="E762" s="212"/>
    </row>
    <row r="763" spans="2:5" x14ac:dyDescent="0.2">
      <c r="B763" s="291"/>
      <c r="E763" s="212"/>
    </row>
    <row r="764" spans="2:5" x14ac:dyDescent="0.2">
      <c r="B764" s="291"/>
      <c r="E764" s="212"/>
    </row>
    <row r="765" spans="2:5" x14ac:dyDescent="0.2">
      <c r="B765" s="291"/>
      <c r="E765" s="212"/>
    </row>
    <row r="766" spans="2:5" x14ac:dyDescent="0.2">
      <c r="B766" s="291"/>
      <c r="E766" s="212"/>
    </row>
    <row r="767" spans="2:5" x14ac:dyDescent="0.2">
      <c r="B767" s="291"/>
      <c r="E767" s="212"/>
    </row>
    <row r="768" spans="2:5" x14ac:dyDescent="0.2">
      <c r="B768" s="291"/>
      <c r="E768" s="212"/>
    </row>
    <row r="769" spans="2:5" x14ac:dyDescent="0.2">
      <c r="B769" s="291"/>
      <c r="E769" s="212"/>
    </row>
    <row r="770" spans="2:5" x14ac:dyDescent="0.2">
      <c r="B770" s="291"/>
      <c r="E770" s="212"/>
    </row>
    <row r="771" spans="2:5" x14ac:dyDescent="0.2">
      <c r="B771" s="291"/>
      <c r="E771" s="212"/>
    </row>
    <row r="772" spans="2:5" x14ac:dyDescent="0.2">
      <c r="B772" s="291"/>
      <c r="E772" s="212"/>
    </row>
    <row r="773" spans="2:5" x14ac:dyDescent="0.2">
      <c r="B773" s="291"/>
      <c r="E773" s="212"/>
    </row>
    <row r="774" spans="2:5" x14ac:dyDescent="0.2">
      <c r="B774" s="291"/>
      <c r="E774" s="212"/>
    </row>
    <row r="775" spans="2:5" x14ac:dyDescent="0.2">
      <c r="B775" s="291"/>
      <c r="E775" s="212"/>
    </row>
    <row r="776" spans="2:5" x14ac:dyDescent="0.2">
      <c r="B776" s="291"/>
      <c r="E776" s="212"/>
    </row>
    <row r="777" spans="2:5" x14ac:dyDescent="0.2">
      <c r="B777" s="291"/>
      <c r="E777" s="212"/>
    </row>
    <row r="778" spans="2:5" x14ac:dyDescent="0.2">
      <c r="B778" s="291"/>
      <c r="E778" s="212"/>
    </row>
    <row r="779" spans="2:5" x14ac:dyDescent="0.2">
      <c r="B779" s="291"/>
      <c r="E779" s="212"/>
    </row>
    <row r="780" spans="2:5" x14ac:dyDescent="0.2">
      <c r="B780" s="291"/>
      <c r="E780" s="212"/>
    </row>
    <row r="781" spans="2:5" x14ac:dyDescent="0.2">
      <c r="B781" s="291"/>
      <c r="E781" s="212"/>
    </row>
    <row r="782" spans="2:5" x14ac:dyDescent="0.2">
      <c r="B782" s="291"/>
      <c r="E782" s="212"/>
    </row>
    <row r="783" spans="2:5" x14ac:dyDescent="0.2">
      <c r="B783" s="291"/>
      <c r="E783" s="212"/>
    </row>
    <row r="784" spans="2:5" x14ac:dyDescent="0.2">
      <c r="B784" s="291"/>
      <c r="E784" s="212"/>
    </row>
    <row r="785" spans="2:5" x14ac:dyDescent="0.2">
      <c r="B785" s="291"/>
      <c r="E785" s="212"/>
    </row>
    <row r="786" spans="2:5" x14ac:dyDescent="0.2">
      <c r="B786" s="291"/>
      <c r="E786" s="212"/>
    </row>
    <row r="787" spans="2:5" x14ac:dyDescent="0.2">
      <c r="B787" s="291"/>
      <c r="E787" s="212"/>
    </row>
    <row r="788" spans="2:5" x14ac:dyDescent="0.2">
      <c r="B788" s="291"/>
      <c r="E788" s="212"/>
    </row>
    <row r="789" spans="2:5" x14ac:dyDescent="0.2">
      <c r="B789" s="291"/>
      <c r="E789" s="212"/>
    </row>
    <row r="790" spans="2:5" x14ac:dyDescent="0.2">
      <c r="B790" s="291"/>
      <c r="E790" s="212"/>
    </row>
    <row r="791" spans="2:5" x14ac:dyDescent="0.2">
      <c r="B791" s="291"/>
      <c r="E791" s="212"/>
    </row>
    <row r="792" spans="2:5" x14ac:dyDescent="0.2">
      <c r="B792" s="291"/>
      <c r="E792" s="212"/>
    </row>
    <row r="793" spans="2:5" x14ac:dyDescent="0.2">
      <c r="B793" s="291"/>
      <c r="E793" s="212"/>
    </row>
    <row r="794" spans="2:5" x14ac:dyDescent="0.2">
      <c r="B794" s="291"/>
      <c r="E794" s="212"/>
    </row>
    <row r="795" spans="2:5" x14ac:dyDescent="0.2">
      <c r="B795" s="291"/>
      <c r="E795" s="212"/>
    </row>
    <row r="796" spans="2:5" x14ac:dyDescent="0.2">
      <c r="B796" s="291"/>
      <c r="E796" s="212"/>
    </row>
    <row r="797" spans="2:5" x14ac:dyDescent="0.2">
      <c r="B797" s="291"/>
      <c r="E797" s="212"/>
    </row>
    <row r="798" spans="2:5" x14ac:dyDescent="0.2">
      <c r="B798" s="291"/>
      <c r="E798" s="212"/>
    </row>
    <row r="799" spans="2:5" x14ac:dyDescent="0.2">
      <c r="B799" s="291"/>
      <c r="E799" s="212"/>
    </row>
    <row r="800" spans="2:5" x14ac:dyDescent="0.2">
      <c r="B800" s="291"/>
      <c r="E800" s="212"/>
    </row>
    <row r="801" spans="2:5" x14ac:dyDescent="0.2">
      <c r="B801" s="291"/>
      <c r="E801" s="212"/>
    </row>
    <row r="802" spans="2:5" x14ac:dyDescent="0.2">
      <c r="B802" s="291"/>
      <c r="E802" s="212"/>
    </row>
    <row r="803" spans="2:5" x14ac:dyDescent="0.2">
      <c r="B803" s="291"/>
      <c r="E803" s="212"/>
    </row>
    <row r="804" spans="2:5" x14ac:dyDescent="0.2">
      <c r="B804" s="291"/>
      <c r="E804" s="212"/>
    </row>
    <row r="805" spans="2:5" x14ac:dyDescent="0.2">
      <c r="B805" s="291"/>
      <c r="E805" s="212"/>
    </row>
    <row r="806" spans="2:5" x14ac:dyDescent="0.2">
      <c r="B806" s="291"/>
      <c r="E806" s="212"/>
    </row>
    <row r="807" spans="2:5" x14ac:dyDescent="0.2">
      <c r="B807" s="291"/>
      <c r="E807" s="212"/>
    </row>
    <row r="808" spans="2:5" x14ac:dyDescent="0.2">
      <c r="B808" s="291"/>
      <c r="E808" s="212"/>
    </row>
    <row r="809" spans="2:5" x14ac:dyDescent="0.2">
      <c r="B809" s="291"/>
      <c r="E809" s="212"/>
    </row>
    <row r="810" spans="2:5" x14ac:dyDescent="0.2">
      <c r="B810" s="291"/>
      <c r="E810" s="212"/>
    </row>
    <row r="811" spans="2:5" x14ac:dyDescent="0.2">
      <c r="B811" s="291"/>
      <c r="E811" s="212"/>
    </row>
    <row r="812" spans="2:5" x14ac:dyDescent="0.2">
      <c r="B812" s="291"/>
      <c r="E812" s="212"/>
    </row>
    <row r="813" spans="2:5" x14ac:dyDescent="0.2">
      <c r="B813" s="291"/>
      <c r="E813" s="212"/>
    </row>
    <row r="814" spans="2:5" x14ac:dyDescent="0.2">
      <c r="B814" s="291"/>
      <c r="E814" s="212"/>
    </row>
    <row r="815" spans="2:5" x14ac:dyDescent="0.2">
      <c r="B815" s="291"/>
      <c r="E815" s="212"/>
    </row>
    <row r="816" spans="2:5" x14ac:dyDescent="0.2">
      <c r="B816" s="291"/>
      <c r="E816" s="212"/>
    </row>
    <row r="817" spans="2:5" x14ac:dyDescent="0.2">
      <c r="B817" s="291"/>
      <c r="E817" s="212"/>
    </row>
    <row r="818" spans="2:5" x14ac:dyDescent="0.2">
      <c r="B818" s="291"/>
      <c r="E818" s="212"/>
    </row>
    <row r="819" spans="2:5" x14ac:dyDescent="0.2">
      <c r="B819" s="291"/>
      <c r="E819" s="212"/>
    </row>
    <row r="820" spans="2:5" x14ac:dyDescent="0.2">
      <c r="B820" s="291"/>
      <c r="E820" s="212"/>
    </row>
    <row r="821" spans="2:5" x14ac:dyDescent="0.2">
      <c r="B821" s="291"/>
      <c r="E821" s="212"/>
    </row>
    <row r="822" spans="2:5" x14ac:dyDescent="0.2">
      <c r="B822" s="291"/>
      <c r="E822" s="212"/>
    </row>
    <row r="823" spans="2:5" x14ac:dyDescent="0.2">
      <c r="B823" s="291"/>
      <c r="E823" s="212"/>
    </row>
    <row r="824" spans="2:5" x14ac:dyDescent="0.2">
      <c r="B824" s="291"/>
      <c r="E824" s="212"/>
    </row>
    <row r="825" spans="2:5" x14ac:dyDescent="0.2">
      <c r="B825" s="291"/>
      <c r="E825" s="212"/>
    </row>
    <row r="826" spans="2:5" x14ac:dyDescent="0.2">
      <c r="B826" s="291"/>
      <c r="E826" s="212"/>
    </row>
    <row r="827" spans="2:5" x14ac:dyDescent="0.2">
      <c r="B827" s="291"/>
      <c r="E827" s="212"/>
    </row>
    <row r="828" spans="2:5" x14ac:dyDescent="0.2">
      <c r="B828" s="291"/>
      <c r="E828" s="212"/>
    </row>
    <row r="829" spans="2:5" x14ac:dyDescent="0.2">
      <c r="B829" s="291"/>
      <c r="E829" s="212"/>
    </row>
    <row r="830" spans="2:5" x14ac:dyDescent="0.2">
      <c r="B830" s="291"/>
      <c r="E830" s="212"/>
    </row>
    <row r="831" spans="2:5" x14ac:dyDescent="0.2">
      <c r="B831" s="291"/>
      <c r="E831" s="212"/>
    </row>
    <row r="832" spans="2:5" x14ac:dyDescent="0.2">
      <c r="B832" s="291"/>
      <c r="E832" s="212"/>
    </row>
    <row r="833" spans="2:5" x14ac:dyDescent="0.2">
      <c r="B833" s="291"/>
      <c r="E833" s="212"/>
    </row>
    <row r="834" spans="2:5" x14ac:dyDescent="0.2">
      <c r="B834" s="291"/>
      <c r="E834" s="212"/>
    </row>
    <row r="835" spans="2:5" x14ac:dyDescent="0.2">
      <c r="B835" s="291"/>
      <c r="E835" s="212"/>
    </row>
    <row r="836" spans="2:5" x14ac:dyDescent="0.2">
      <c r="B836" s="291"/>
      <c r="E836" s="212"/>
    </row>
    <row r="837" spans="2:5" x14ac:dyDescent="0.2">
      <c r="B837" s="291"/>
      <c r="E837" s="212"/>
    </row>
    <row r="838" spans="2:5" x14ac:dyDescent="0.2">
      <c r="B838" s="291"/>
      <c r="E838" s="212"/>
    </row>
    <row r="839" spans="2:5" x14ac:dyDescent="0.2">
      <c r="B839" s="291"/>
      <c r="E839" s="212"/>
    </row>
    <row r="840" spans="2:5" x14ac:dyDescent="0.2">
      <c r="B840" s="291"/>
      <c r="E840" s="212"/>
    </row>
    <row r="841" spans="2:5" x14ac:dyDescent="0.2">
      <c r="B841" s="291"/>
      <c r="E841" s="212"/>
    </row>
    <row r="842" spans="2:5" x14ac:dyDescent="0.2">
      <c r="B842" s="291"/>
      <c r="E842" s="212"/>
    </row>
    <row r="843" spans="2:5" x14ac:dyDescent="0.2">
      <c r="B843" s="291"/>
      <c r="E843" s="212"/>
    </row>
    <row r="844" spans="2:5" x14ac:dyDescent="0.2">
      <c r="B844" s="291"/>
      <c r="E844" s="212"/>
    </row>
    <row r="845" spans="2:5" x14ac:dyDescent="0.2">
      <c r="B845" s="291"/>
      <c r="E845" s="212"/>
    </row>
    <row r="846" spans="2:5" x14ac:dyDescent="0.2">
      <c r="B846" s="291"/>
      <c r="E846" s="212"/>
    </row>
    <row r="847" spans="2:5" x14ac:dyDescent="0.2">
      <c r="B847" s="291"/>
      <c r="E847" s="212"/>
    </row>
    <row r="848" spans="2:5" x14ac:dyDescent="0.2">
      <c r="B848" s="291"/>
      <c r="E848" s="212"/>
    </row>
    <row r="849" spans="2:5" x14ac:dyDescent="0.2">
      <c r="B849" s="291"/>
      <c r="E849" s="212"/>
    </row>
    <row r="850" spans="2:5" x14ac:dyDescent="0.2">
      <c r="B850" s="291"/>
      <c r="E850" s="212"/>
    </row>
    <row r="851" spans="2:5" x14ac:dyDescent="0.2">
      <c r="B851" s="291"/>
      <c r="E851" s="212"/>
    </row>
    <row r="852" spans="2:5" x14ac:dyDescent="0.2">
      <c r="B852" s="291"/>
      <c r="E852" s="212"/>
    </row>
    <row r="853" spans="2:5" x14ac:dyDescent="0.2">
      <c r="B853" s="291"/>
      <c r="E853" s="212"/>
    </row>
    <row r="854" spans="2:5" x14ac:dyDescent="0.2">
      <c r="B854" s="291"/>
      <c r="E854" s="212"/>
    </row>
    <row r="855" spans="2:5" x14ac:dyDescent="0.2">
      <c r="B855" s="291"/>
      <c r="E855" s="212"/>
    </row>
    <row r="856" spans="2:5" x14ac:dyDescent="0.2">
      <c r="B856" s="291"/>
      <c r="E856" s="212"/>
    </row>
    <row r="857" spans="2:5" x14ac:dyDescent="0.2">
      <c r="B857" s="291"/>
      <c r="E857" s="212"/>
    </row>
    <row r="858" spans="2:5" x14ac:dyDescent="0.2">
      <c r="B858" s="291"/>
      <c r="E858" s="212"/>
    </row>
    <row r="859" spans="2:5" x14ac:dyDescent="0.2">
      <c r="B859" s="291"/>
      <c r="E859" s="212"/>
    </row>
    <row r="860" spans="2:5" x14ac:dyDescent="0.2">
      <c r="B860" s="291"/>
      <c r="E860" s="212"/>
    </row>
    <row r="861" spans="2:5" x14ac:dyDescent="0.2">
      <c r="B861" s="291"/>
      <c r="E861" s="212"/>
    </row>
    <row r="862" spans="2:5" x14ac:dyDescent="0.2">
      <c r="B862" s="291"/>
      <c r="E862" s="212"/>
    </row>
    <row r="863" spans="2:5" x14ac:dyDescent="0.2">
      <c r="B863" s="291"/>
      <c r="E863" s="212"/>
    </row>
    <row r="864" spans="2:5" x14ac:dyDescent="0.2">
      <c r="B864" s="291"/>
      <c r="E864" s="212"/>
    </row>
    <row r="865" spans="2:5" x14ac:dyDescent="0.2">
      <c r="B865" s="291"/>
      <c r="E865" s="212"/>
    </row>
    <row r="866" spans="2:5" x14ac:dyDescent="0.2">
      <c r="B866" s="291"/>
      <c r="E866" s="212"/>
    </row>
    <row r="867" spans="2:5" x14ac:dyDescent="0.2">
      <c r="B867" s="291"/>
      <c r="E867" s="212"/>
    </row>
    <row r="868" spans="2:5" x14ac:dyDescent="0.2">
      <c r="B868" s="291"/>
      <c r="E868" s="212"/>
    </row>
    <row r="869" spans="2:5" x14ac:dyDescent="0.2">
      <c r="B869" s="291"/>
      <c r="E869" s="212"/>
    </row>
    <row r="870" spans="2:5" x14ac:dyDescent="0.2">
      <c r="B870" s="291"/>
      <c r="E870" s="212"/>
    </row>
    <row r="871" spans="2:5" x14ac:dyDescent="0.2">
      <c r="B871" s="291"/>
      <c r="E871" s="212"/>
    </row>
    <row r="872" spans="2:5" x14ac:dyDescent="0.2">
      <c r="B872" s="291"/>
      <c r="E872" s="212"/>
    </row>
    <row r="873" spans="2:5" x14ac:dyDescent="0.2">
      <c r="B873" s="291"/>
      <c r="E873" s="212"/>
    </row>
    <row r="874" spans="2:5" x14ac:dyDescent="0.2">
      <c r="B874" s="291"/>
      <c r="E874" s="212"/>
    </row>
    <row r="875" spans="2:5" x14ac:dyDescent="0.2">
      <c r="B875" s="291"/>
      <c r="E875" s="212"/>
    </row>
    <row r="876" spans="2:5" x14ac:dyDescent="0.2">
      <c r="B876" s="291"/>
      <c r="E876" s="212"/>
    </row>
    <row r="877" spans="2:5" x14ac:dyDescent="0.2">
      <c r="B877" s="291"/>
      <c r="E877" s="212"/>
    </row>
    <row r="878" spans="2:5" x14ac:dyDescent="0.2">
      <c r="B878" s="291"/>
      <c r="E878" s="212"/>
    </row>
    <row r="879" spans="2:5" x14ac:dyDescent="0.2">
      <c r="B879" s="291"/>
      <c r="E879" s="212"/>
    </row>
    <row r="880" spans="2:5" x14ac:dyDescent="0.2">
      <c r="B880" s="291"/>
      <c r="E880" s="212"/>
    </row>
    <row r="881" spans="2:5" x14ac:dyDescent="0.2">
      <c r="B881" s="291"/>
      <c r="E881" s="212"/>
    </row>
    <row r="882" spans="2:5" x14ac:dyDescent="0.2">
      <c r="B882" s="291"/>
      <c r="E882" s="212"/>
    </row>
    <row r="883" spans="2:5" x14ac:dyDescent="0.2">
      <c r="B883" s="291"/>
      <c r="E883" s="212"/>
    </row>
    <row r="884" spans="2:5" x14ac:dyDescent="0.2">
      <c r="B884" s="291"/>
      <c r="E884" s="212"/>
    </row>
    <row r="885" spans="2:5" x14ac:dyDescent="0.2">
      <c r="B885" s="291"/>
      <c r="E885" s="212"/>
    </row>
    <row r="886" spans="2:5" x14ac:dyDescent="0.2">
      <c r="B886" s="291"/>
      <c r="E886" s="212"/>
    </row>
    <row r="887" spans="2:5" x14ac:dyDescent="0.2">
      <c r="B887" s="291"/>
      <c r="E887" s="212"/>
    </row>
    <row r="888" spans="2:5" x14ac:dyDescent="0.2">
      <c r="B888" s="291"/>
      <c r="E888" s="212"/>
    </row>
    <row r="889" spans="2:5" x14ac:dyDescent="0.2">
      <c r="B889" s="291"/>
      <c r="E889" s="212"/>
    </row>
    <row r="890" spans="2:5" x14ac:dyDescent="0.2">
      <c r="B890" s="291"/>
      <c r="E890" s="212"/>
    </row>
    <row r="891" spans="2:5" x14ac:dyDescent="0.2">
      <c r="B891" s="291"/>
      <c r="E891" s="212"/>
    </row>
    <row r="892" spans="2:5" x14ac:dyDescent="0.2">
      <c r="B892" s="291"/>
      <c r="E892" s="212"/>
    </row>
    <row r="893" spans="2:5" x14ac:dyDescent="0.2">
      <c r="B893" s="291"/>
      <c r="E893" s="212"/>
    </row>
    <row r="894" spans="2:5" x14ac:dyDescent="0.2">
      <c r="B894" s="291"/>
      <c r="E894" s="212"/>
    </row>
    <row r="895" spans="2:5" x14ac:dyDescent="0.2">
      <c r="B895" s="291"/>
      <c r="E895" s="212"/>
    </row>
    <row r="896" spans="2:5" x14ac:dyDescent="0.2">
      <c r="B896" s="291"/>
      <c r="E896" s="212"/>
    </row>
    <row r="897" spans="2:5" x14ac:dyDescent="0.2">
      <c r="B897" s="291"/>
      <c r="E897" s="212"/>
    </row>
    <row r="898" spans="2:5" x14ac:dyDescent="0.2">
      <c r="B898" s="291"/>
      <c r="E898" s="212"/>
    </row>
    <row r="899" spans="2:5" x14ac:dyDescent="0.2">
      <c r="B899" s="291"/>
      <c r="E899" s="212"/>
    </row>
    <row r="900" spans="2:5" x14ac:dyDescent="0.2">
      <c r="B900" s="291"/>
      <c r="E900" s="212"/>
    </row>
    <row r="901" spans="2:5" x14ac:dyDescent="0.2">
      <c r="B901" s="291"/>
      <c r="E901" s="212"/>
    </row>
    <row r="902" spans="2:5" x14ac:dyDescent="0.2">
      <c r="B902" s="291"/>
      <c r="E902" s="212"/>
    </row>
    <row r="903" spans="2:5" x14ac:dyDescent="0.2">
      <c r="B903" s="291"/>
      <c r="E903" s="212"/>
    </row>
    <row r="904" spans="2:5" x14ac:dyDescent="0.2">
      <c r="B904" s="291"/>
      <c r="E904" s="212"/>
    </row>
    <row r="905" spans="2:5" x14ac:dyDescent="0.2">
      <c r="B905" s="291"/>
      <c r="E905" s="212"/>
    </row>
    <row r="906" spans="2:5" x14ac:dyDescent="0.2">
      <c r="B906" s="291"/>
      <c r="E906" s="212"/>
    </row>
    <row r="907" spans="2:5" x14ac:dyDescent="0.2">
      <c r="B907" s="291"/>
      <c r="E907" s="212"/>
    </row>
    <row r="908" spans="2:5" x14ac:dyDescent="0.2">
      <c r="B908" s="291"/>
      <c r="E908" s="212"/>
    </row>
    <row r="909" spans="2:5" x14ac:dyDescent="0.2">
      <c r="B909" s="291"/>
      <c r="E909" s="212"/>
    </row>
    <row r="910" spans="2:5" x14ac:dyDescent="0.2">
      <c r="B910" s="291"/>
      <c r="E910" s="212"/>
    </row>
    <row r="911" spans="2:5" x14ac:dyDescent="0.2">
      <c r="B911" s="291"/>
      <c r="E911" s="212"/>
    </row>
    <row r="912" spans="2:5" x14ac:dyDescent="0.2">
      <c r="B912" s="291"/>
      <c r="E912" s="212"/>
    </row>
    <row r="913" spans="2:5" x14ac:dyDescent="0.2">
      <c r="B913" s="291"/>
      <c r="E913" s="212"/>
    </row>
    <row r="914" spans="2:5" x14ac:dyDescent="0.2">
      <c r="B914" s="291"/>
      <c r="E914" s="212"/>
    </row>
    <row r="915" spans="2:5" x14ac:dyDescent="0.2">
      <c r="B915" s="291"/>
      <c r="E915" s="212"/>
    </row>
    <row r="916" spans="2:5" x14ac:dyDescent="0.2">
      <c r="B916" s="291"/>
      <c r="E916" s="212"/>
    </row>
    <row r="917" spans="2:5" x14ac:dyDescent="0.2">
      <c r="B917" s="291"/>
      <c r="E917" s="212"/>
    </row>
    <row r="918" spans="2:5" x14ac:dyDescent="0.2">
      <c r="B918" s="291"/>
      <c r="E918" s="212"/>
    </row>
    <row r="919" spans="2:5" x14ac:dyDescent="0.2">
      <c r="B919" s="291"/>
      <c r="E919" s="212"/>
    </row>
    <row r="920" spans="2:5" x14ac:dyDescent="0.2">
      <c r="B920" s="291"/>
      <c r="E920" s="212"/>
    </row>
    <row r="921" spans="2:5" x14ac:dyDescent="0.2">
      <c r="B921" s="291"/>
      <c r="E921" s="212"/>
    </row>
    <row r="922" spans="2:5" x14ac:dyDescent="0.2">
      <c r="B922" s="291"/>
      <c r="E922" s="212"/>
    </row>
    <row r="923" spans="2:5" x14ac:dyDescent="0.2">
      <c r="B923" s="291"/>
      <c r="E923" s="212"/>
    </row>
    <row r="924" spans="2:5" x14ac:dyDescent="0.2">
      <c r="B924" s="291"/>
      <c r="E924" s="212"/>
    </row>
    <row r="925" spans="2:5" x14ac:dyDescent="0.2">
      <c r="B925" s="291"/>
      <c r="E925" s="212"/>
    </row>
    <row r="926" spans="2:5" x14ac:dyDescent="0.2">
      <c r="B926" s="291"/>
      <c r="E926" s="212"/>
    </row>
    <row r="927" spans="2:5" x14ac:dyDescent="0.2">
      <c r="B927" s="291"/>
      <c r="E927" s="212"/>
    </row>
    <row r="928" spans="2:5" x14ac:dyDescent="0.2">
      <c r="B928" s="291"/>
      <c r="E928" s="212"/>
    </row>
    <row r="929" spans="2:5" x14ac:dyDescent="0.2">
      <c r="B929" s="291"/>
      <c r="E929" s="212"/>
    </row>
    <row r="930" spans="2:5" x14ac:dyDescent="0.2">
      <c r="B930" s="291"/>
      <c r="E930" s="212"/>
    </row>
    <row r="931" spans="2:5" x14ac:dyDescent="0.2">
      <c r="B931" s="291"/>
      <c r="E931" s="212"/>
    </row>
    <row r="932" spans="2:5" x14ac:dyDescent="0.2">
      <c r="B932" s="291"/>
      <c r="E932" s="212"/>
    </row>
    <row r="933" spans="2:5" x14ac:dyDescent="0.2">
      <c r="B933" s="291"/>
      <c r="E933" s="212"/>
    </row>
    <row r="934" spans="2:5" x14ac:dyDescent="0.2">
      <c r="B934" s="291"/>
      <c r="E934" s="212"/>
    </row>
    <row r="935" spans="2:5" x14ac:dyDescent="0.2">
      <c r="B935" s="291"/>
      <c r="E935" s="212"/>
    </row>
    <row r="936" spans="2:5" x14ac:dyDescent="0.2">
      <c r="B936" s="291"/>
      <c r="E936" s="212"/>
    </row>
    <row r="937" spans="2:5" x14ac:dyDescent="0.2">
      <c r="B937" s="291"/>
      <c r="E937" s="212"/>
    </row>
    <row r="938" spans="2:5" x14ac:dyDescent="0.2">
      <c r="B938" s="291"/>
      <c r="E938" s="212"/>
    </row>
    <row r="939" spans="2:5" x14ac:dyDescent="0.2">
      <c r="B939" s="291"/>
      <c r="E939" s="212"/>
    </row>
    <row r="940" spans="2:5" x14ac:dyDescent="0.2">
      <c r="B940" s="291"/>
      <c r="E940" s="212"/>
    </row>
    <row r="941" spans="2:5" x14ac:dyDescent="0.2">
      <c r="B941" s="291"/>
      <c r="E941" s="212"/>
    </row>
    <row r="942" spans="2:5" x14ac:dyDescent="0.2">
      <c r="B942" s="291"/>
      <c r="E942" s="212"/>
    </row>
    <row r="943" spans="2:5" x14ac:dyDescent="0.2">
      <c r="B943" s="291"/>
      <c r="E943" s="212"/>
    </row>
    <row r="944" spans="2:5" x14ac:dyDescent="0.2">
      <c r="B944" s="291"/>
      <c r="E944" s="212"/>
    </row>
    <row r="945" spans="2:5" x14ac:dyDescent="0.2">
      <c r="B945" s="291"/>
      <c r="E945" s="212"/>
    </row>
    <row r="946" spans="2:5" x14ac:dyDescent="0.2">
      <c r="B946" s="291"/>
      <c r="E946" s="212"/>
    </row>
    <row r="947" spans="2:5" x14ac:dyDescent="0.2">
      <c r="B947" s="291"/>
      <c r="E947" s="212"/>
    </row>
    <row r="948" spans="2:5" x14ac:dyDescent="0.2">
      <c r="B948" s="291"/>
      <c r="E948" s="212"/>
    </row>
    <row r="949" spans="2:5" x14ac:dyDescent="0.2">
      <c r="B949" s="291"/>
      <c r="E949" s="212"/>
    </row>
    <row r="950" spans="2:5" x14ac:dyDescent="0.2">
      <c r="B950" s="291"/>
      <c r="E950" s="212"/>
    </row>
    <row r="951" spans="2:5" x14ac:dyDescent="0.2">
      <c r="B951" s="291"/>
      <c r="E951" s="212"/>
    </row>
    <row r="952" spans="2:5" x14ac:dyDescent="0.2">
      <c r="B952" s="291"/>
      <c r="E952" s="212"/>
    </row>
    <row r="953" spans="2:5" x14ac:dyDescent="0.2">
      <c r="B953" s="291"/>
      <c r="E953" s="212"/>
    </row>
    <row r="954" spans="2:5" x14ac:dyDescent="0.2">
      <c r="B954" s="291"/>
      <c r="E954" s="212"/>
    </row>
    <row r="955" spans="2:5" x14ac:dyDescent="0.2">
      <c r="B955" s="291"/>
      <c r="E955" s="212"/>
    </row>
    <row r="956" spans="2:5" x14ac:dyDescent="0.2">
      <c r="B956" s="291"/>
      <c r="E956" s="212"/>
    </row>
    <row r="957" spans="2:5" x14ac:dyDescent="0.2">
      <c r="B957" s="291"/>
      <c r="E957" s="212"/>
    </row>
    <row r="958" spans="2:5" x14ac:dyDescent="0.2">
      <c r="B958" s="291"/>
      <c r="E958" s="212"/>
    </row>
    <row r="959" spans="2:5" x14ac:dyDescent="0.2">
      <c r="B959" s="291"/>
      <c r="E959" s="212"/>
    </row>
    <row r="960" spans="2:5" x14ac:dyDescent="0.2">
      <c r="B960" s="291"/>
      <c r="E960" s="212"/>
    </row>
    <row r="961" spans="2:5" x14ac:dyDescent="0.2">
      <c r="B961" s="291"/>
      <c r="E961" s="212"/>
    </row>
    <row r="962" spans="2:5" x14ac:dyDescent="0.2">
      <c r="B962" s="291"/>
      <c r="E962" s="212"/>
    </row>
    <row r="963" spans="2:5" x14ac:dyDescent="0.2">
      <c r="B963" s="291"/>
      <c r="E963" s="212"/>
    </row>
    <row r="964" spans="2:5" x14ac:dyDescent="0.2">
      <c r="B964" s="291"/>
      <c r="E964" s="212"/>
    </row>
    <row r="965" spans="2:5" x14ac:dyDescent="0.2">
      <c r="B965" s="291"/>
      <c r="E965" s="212"/>
    </row>
    <row r="966" spans="2:5" x14ac:dyDescent="0.2">
      <c r="B966" s="291"/>
      <c r="E966" s="212"/>
    </row>
    <row r="967" spans="2:5" x14ac:dyDescent="0.2">
      <c r="B967" s="291"/>
      <c r="E967" s="212"/>
    </row>
    <row r="968" spans="2:5" x14ac:dyDescent="0.2">
      <c r="B968" s="291"/>
      <c r="E968" s="212"/>
    </row>
    <row r="969" spans="2:5" x14ac:dyDescent="0.2">
      <c r="B969" s="291"/>
      <c r="E969" s="212"/>
    </row>
    <row r="970" spans="2:5" x14ac:dyDescent="0.2">
      <c r="B970" s="291"/>
      <c r="E970" s="212"/>
    </row>
    <row r="971" spans="2:5" x14ac:dyDescent="0.2">
      <c r="B971" s="291"/>
      <c r="E971" s="212"/>
    </row>
    <row r="972" spans="2:5" x14ac:dyDescent="0.2">
      <c r="B972" s="291"/>
      <c r="E972" s="212"/>
    </row>
    <row r="973" spans="2:5" x14ac:dyDescent="0.2">
      <c r="B973" s="291"/>
      <c r="E973" s="212"/>
    </row>
    <row r="974" spans="2:5" x14ac:dyDescent="0.2">
      <c r="B974" s="291"/>
      <c r="E974" s="212"/>
    </row>
    <row r="975" spans="2:5" x14ac:dyDescent="0.2">
      <c r="B975" s="291"/>
      <c r="E975" s="212"/>
    </row>
    <row r="976" spans="2:5" x14ac:dyDescent="0.2">
      <c r="B976" s="291"/>
      <c r="E976" s="212"/>
    </row>
    <row r="977" spans="2:5" x14ac:dyDescent="0.2">
      <c r="B977" s="291"/>
      <c r="E977" s="212"/>
    </row>
    <row r="978" spans="2:5" x14ac:dyDescent="0.2">
      <c r="B978" s="291"/>
      <c r="E978" s="212"/>
    </row>
    <row r="979" spans="2:5" x14ac:dyDescent="0.2">
      <c r="B979" s="291"/>
      <c r="E979" s="212"/>
    </row>
    <row r="980" spans="2:5" x14ac:dyDescent="0.2">
      <c r="B980" s="291"/>
      <c r="E980" s="212"/>
    </row>
    <row r="981" spans="2:5" x14ac:dyDescent="0.2">
      <c r="B981" s="291"/>
      <c r="E981" s="212"/>
    </row>
    <row r="982" spans="2:5" x14ac:dyDescent="0.2">
      <c r="B982" s="291"/>
      <c r="E982" s="212"/>
    </row>
    <row r="983" spans="2:5" x14ac:dyDescent="0.2">
      <c r="B983" s="291"/>
      <c r="E983" s="212"/>
    </row>
    <row r="984" spans="2:5" x14ac:dyDescent="0.2">
      <c r="B984" s="291"/>
      <c r="E984" s="212"/>
    </row>
    <row r="985" spans="2:5" x14ac:dyDescent="0.2">
      <c r="B985" s="291"/>
      <c r="E985" s="212"/>
    </row>
    <row r="986" spans="2:5" x14ac:dyDescent="0.2">
      <c r="B986" s="291"/>
      <c r="E986" s="212"/>
    </row>
    <row r="987" spans="2:5" x14ac:dyDescent="0.2">
      <c r="B987" s="291"/>
      <c r="E987" s="212"/>
    </row>
    <row r="988" spans="2:5" x14ac:dyDescent="0.2">
      <c r="B988" s="291"/>
      <c r="E988" s="212"/>
    </row>
    <row r="989" spans="2:5" x14ac:dyDescent="0.2">
      <c r="B989" s="291"/>
      <c r="E989" s="212"/>
    </row>
    <row r="990" spans="2:5" x14ac:dyDescent="0.2">
      <c r="B990" s="291"/>
      <c r="E990" s="212"/>
    </row>
    <row r="991" spans="2:5" x14ac:dyDescent="0.2">
      <c r="B991" s="291"/>
      <c r="E991" s="212"/>
    </row>
    <row r="992" spans="2:5" x14ac:dyDescent="0.2">
      <c r="B992" s="291"/>
      <c r="E992" s="212"/>
    </row>
    <row r="993" spans="2:5" x14ac:dyDescent="0.2">
      <c r="B993" s="291"/>
      <c r="E993" s="212"/>
    </row>
    <row r="994" spans="2:5" x14ac:dyDescent="0.2">
      <c r="B994" s="291"/>
      <c r="E994" s="212"/>
    </row>
    <row r="995" spans="2:5" x14ac:dyDescent="0.2">
      <c r="B995" s="291"/>
      <c r="E995" s="212"/>
    </row>
    <row r="996" spans="2:5" x14ac:dyDescent="0.2">
      <c r="B996" s="291"/>
      <c r="E996" s="212"/>
    </row>
    <row r="997" spans="2:5" x14ac:dyDescent="0.2">
      <c r="B997" s="291"/>
      <c r="E997" s="212"/>
    </row>
    <row r="998" spans="2:5" x14ac:dyDescent="0.2">
      <c r="B998" s="291"/>
      <c r="E998" s="212"/>
    </row>
    <row r="999" spans="2:5" x14ac:dyDescent="0.2">
      <c r="B999" s="291"/>
      <c r="E999" s="212"/>
    </row>
    <row r="1000" spans="2:5" x14ac:dyDescent="0.2">
      <c r="B1000" s="291"/>
      <c r="E1000" s="212"/>
    </row>
    <row r="1001" spans="2:5" x14ac:dyDescent="0.2">
      <c r="B1001" s="291"/>
      <c r="E1001" s="212"/>
    </row>
    <row r="1002" spans="2:5" x14ac:dyDescent="0.2">
      <c r="B1002" s="291"/>
      <c r="E1002" s="212"/>
    </row>
    <row r="1003" spans="2:5" x14ac:dyDescent="0.2">
      <c r="B1003" s="291"/>
      <c r="E1003" s="212"/>
    </row>
    <row r="1004" spans="2:5" x14ac:dyDescent="0.2">
      <c r="B1004" s="291"/>
      <c r="E1004" s="212"/>
    </row>
    <row r="1005" spans="2:5" x14ac:dyDescent="0.2">
      <c r="B1005" s="291"/>
      <c r="E1005" s="212"/>
    </row>
    <row r="1006" spans="2:5" x14ac:dyDescent="0.2">
      <c r="B1006" s="291"/>
      <c r="E1006" s="212"/>
    </row>
    <row r="1007" spans="2:5" x14ac:dyDescent="0.2">
      <c r="B1007" s="291"/>
      <c r="E1007" s="212"/>
    </row>
    <row r="1008" spans="2:5" x14ac:dyDescent="0.2">
      <c r="B1008" s="291"/>
      <c r="E1008" s="212"/>
    </row>
    <row r="1009" spans="2:5" x14ac:dyDescent="0.2">
      <c r="B1009" s="291"/>
      <c r="E1009" s="212"/>
    </row>
    <row r="1010" spans="2:5" x14ac:dyDescent="0.2">
      <c r="B1010" s="291"/>
      <c r="E1010" s="212"/>
    </row>
    <row r="1011" spans="2:5" x14ac:dyDescent="0.2">
      <c r="B1011" s="291"/>
      <c r="E1011" s="212"/>
    </row>
    <row r="1012" spans="2:5" x14ac:dyDescent="0.2">
      <c r="B1012" s="291"/>
      <c r="E1012" s="212"/>
    </row>
    <row r="1013" spans="2:5" x14ac:dyDescent="0.2">
      <c r="B1013" s="291"/>
      <c r="E1013" s="212"/>
    </row>
    <row r="1014" spans="2:5" x14ac:dyDescent="0.2">
      <c r="B1014" s="291"/>
      <c r="E1014" s="212"/>
    </row>
    <row r="1015" spans="2:5" x14ac:dyDescent="0.2">
      <c r="B1015" s="291"/>
      <c r="E1015" s="212"/>
    </row>
    <row r="1016" spans="2:5" x14ac:dyDescent="0.2">
      <c r="B1016" s="291"/>
      <c r="E1016" s="212"/>
    </row>
    <row r="1017" spans="2:5" x14ac:dyDescent="0.2">
      <c r="B1017" s="291"/>
      <c r="E1017" s="212"/>
    </row>
    <row r="1018" spans="2:5" x14ac:dyDescent="0.2">
      <c r="B1018" s="291"/>
      <c r="E1018" s="212"/>
    </row>
    <row r="1019" spans="2:5" x14ac:dyDescent="0.2">
      <c r="B1019" s="291"/>
      <c r="E1019" s="212"/>
    </row>
    <row r="1020" spans="2:5" x14ac:dyDescent="0.2">
      <c r="B1020" s="291"/>
      <c r="E1020" s="212"/>
    </row>
    <row r="1021" spans="2:5" x14ac:dyDescent="0.2">
      <c r="B1021" s="291"/>
      <c r="E1021" s="212"/>
    </row>
    <row r="1022" spans="2:5" x14ac:dyDescent="0.2">
      <c r="B1022" s="291"/>
      <c r="E1022" s="212"/>
    </row>
    <row r="1023" spans="2:5" x14ac:dyDescent="0.2">
      <c r="B1023" s="291"/>
      <c r="E1023" s="212"/>
    </row>
    <row r="1024" spans="2:5" x14ac:dyDescent="0.2">
      <c r="B1024" s="291"/>
      <c r="E1024" s="212"/>
    </row>
    <row r="1025" spans="2:5" x14ac:dyDescent="0.2">
      <c r="B1025" s="291"/>
      <c r="E1025" s="212"/>
    </row>
    <row r="1026" spans="2:5" x14ac:dyDescent="0.2">
      <c r="B1026" s="291"/>
      <c r="E1026" s="212"/>
    </row>
    <row r="1027" spans="2:5" x14ac:dyDescent="0.2">
      <c r="B1027" s="291"/>
      <c r="E1027" s="212"/>
    </row>
    <row r="1028" spans="2:5" x14ac:dyDescent="0.2">
      <c r="B1028" s="291"/>
      <c r="E1028" s="212"/>
    </row>
    <row r="1029" spans="2:5" x14ac:dyDescent="0.2">
      <c r="B1029" s="291"/>
      <c r="E1029" s="212"/>
    </row>
    <row r="1030" spans="2:5" x14ac:dyDescent="0.2">
      <c r="B1030" s="291"/>
      <c r="E1030" s="212"/>
    </row>
    <row r="1031" spans="2:5" x14ac:dyDescent="0.2">
      <c r="B1031" s="291"/>
      <c r="E1031" s="212"/>
    </row>
    <row r="1032" spans="2:5" x14ac:dyDescent="0.2">
      <c r="B1032" s="291"/>
      <c r="E1032" s="212"/>
    </row>
    <row r="1033" spans="2:5" x14ac:dyDescent="0.2">
      <c r="B1033" s="291"/>
      <c r="E1033" s="212"/>
    </row>
    <row r="1034" spans="2:5" x14ac:dyDescent="0.2">
      <c r="B1034" s="291"/>
      <c r="E1034" s="212"/>
    </row>
    <row r="1035" spans="2:5" x14ac:dyDescent="0.2">
      <c r="B1035" s="291"/>
      <c r="E1035" s="212"/>
    </row>
    <row r="1036" spans="2:5" x14ac:dyDescent="0.2">
      <c r="B1036" s="291"/>
      <c r="E1036" s="212"/>
    </row>
    <row r="1037" spans="2:5" x14ac:dyDescent="0.2">
      <c r="B1037" s="291"/>
      <c r="E1037" s="212"/>
    </row>
    <row r="1038" spans="2:5" x14ac:dyDescent="0.2">
      <c r="B1038" s="291"/>
      <c r="E1038" s="212"/>
    </row>
    <row r="1039" spans="2:5" x14ac:dyDescent="0.2">
      <c r="B1039" s="291"/>
      <c r="E1039" s="212"/>
    </row>
    <row r="1040" spans="2:5" x14ac:dyDescent="0.2">
      <c r="B1040" s="291"/>
      <c r="E1040" s="212"/>
    </row>
    <row r="1041" spans="2:5" x14ac:dyDescent="0.2">
      <c r="B1041" s="291"/>
      <c r="E1041" s="212"/>
    </row>
    <row r="1042" spans="2:5" x14ac:dyDescent="0.2">
      <c r="B1042" s="291"/>
      <c r="E1042" s="212"/>
    </row>
    <row r="1043" spans="2:5" x14ac:dyDescent="0.2">
      <c r="B1043" s="291"/>
      <c r="E1043" s="212"/>
    </row>
    <row r="1044" spans="2:5" x14ac:dyDescent="0.2">
      <c r="B1044" s="291"/>
      <c r="E1044" s="212"/>
    </row>
    <row r="1045" spans="2:5" x14ac:dyDescent="0.2">
      <c r="B1045" s="291"/>
      <c r="E1045" s="212"/>
    </row>
    <row r="1046" spans="2:5" x14ac:dyDescent="0.2">
      <c r="B1046" s="291"/>
      <c r="E1046" s="212"/>
    </row>
    <row r="1047" spans="2:5" x14ac:dyDescent="0.2">
      <c r="B1047" s="291"/>
      <c r="E1047" s="212"/>
    </row>
    <row r="1048" spans="2:5" x14ac:dyDescent="0.2">
      <c r="B1048" s="291"/>
      <c r="E1048" s="212"/>
    </row>
    <row r="1049" spans="2:5" x14ac:dyDescent="0.2">
      <c r="B1049" s="291"/>
      <c r="E1049" s="212"/>
    </row>
    <row r="1050" spans="2:5" x14ac:dyDescent="0.2">
      <c r="B1050" s="291"/>
      <c r="E1050" s="212"/>
    </row>
    <row r="1051" spans="2:5" x14ac:dyDescent="0.2">
      <c r="B1051" s="291"/>
      <c r="E1051" s="212"/>
    </row>
    <row r="1052" spans="2:5" x14ac:dyDescent="0.2">
      <c r="B1052" s="291"/>
      <c r="E1052" s="212"/>
    </row>
    <row r="1053" spans="2:5" x14ac:dyDescent="0.2">
      <c r="B1053" s="291"/>
      <c r="E1053" s="212"/>
    </row>
    <row r="1054" spans="2:5" x14ac:dyDescent="0.2">
      <c r="B1054" s="291"/>
      <c r="E1054" s="212"/>
    </row>
    <row r="1055" spans="2:5" x14ac:dyDescent="0.2">
      <c r="B1055" s="291"/>
      <c r="E1055" s="212"/>
    </row>
    <row r="1056" spans="2:5" x14ac:dyDescent="0.2">
      <c r="B1056" s="291"/>
      <c r="E1056" s="212"/>
    </row>
    <row r="1057" spans="2:5" x14ac:dyDescent="0.2">
      <c r="B1057" s="291"/>
      <c r="E1057" s="212"/>
    </row>
    <row r="1058" spans="2:5" x14ac:dyDescent="0.2">
      <c r="B1058" s="291"/>
      <c r="E1058" s="212"/>
    </row>
    <row r="1059" spans="2:5" x14ac:dyDescent="0.2">
      <c r="B1059" s="291"/>
      <c r="E1059" s="212"/>
    </row>
    <row r="1060" spans="2:5" x14ac:dyDescent="0.2">
      <c r="B1060" s="291"/>
      <c r="E1060" s="212"/>
    </row>
    <row r="1061" spans="2:5" x14ac:dyDescent="0.2">
      <c r="B1061" s="291"/>
      <c r="E1061" s="212"/>
    </row>
    <row r="1062" spans="2:5" x14ac:dyDescent="0.2">
      <c r="B1062" s="291"/>
      <c r="E1062" s="212"/>
    </row>
    <row r="1063" spans="2:5" x14ac:dyDescent="0.2">
      <c r="B1063" s="291"/>
      <c r="E1063" s="212"/>
    </row>
    <row r="1064" spans="2:5" x14ac:dyDescent="0.2">
      <c r="B1064" s="291"/>
      <c r="E1064" s="212"/>
    </row>
    <row r="1065" spans="2:5" x14ac:dyDescent="0.2">
      <c r="B1065" s="291"/>
      <c r="E1065" s="212"/>
    </row>
    <row r="1066" spans="2:5" x14ac:dyDescent="0.2">
      <c r="B1066" s="291"/>
      <c r="E1066" s="212"/>
    </row>
    <row r="1067" spans="2:5" x14ac:dyDescent="0.2">
      <c r="B1067" s="291"/>
      <c r="E1067" s="212"/>
    </row>
    <row r="1068" spans="2:5" x14ac:dyDescent="0.2">
      <c r="B1068" s="291"/>
      <c r="E1068" s="212"/>
    </row>
    <row r="1069" spans="2:5" x14ac:dyDescent="0.2">
      <c r="B1069" s="291"/>
      <c r="E1069" s="212"/>
    </row>
    <row r="1070" spans="2:5" x14ac:dyDescent="0.2">
      <c r="B1070" s="291"/>
      <c r="E1070" s="212"/>
    </row>
    <row r="1071" spans="2:5" x14ac:dyDescent="0.2">
      <c r="B1071" s="291"/>
      <c r="E1071" s="212"/>
    </row>
    <row r="1072" spans="2:5" x14ac:dyDescent="0.2">
      <c r="B1072" s="291"/>
      <c r="E1072" s="212"/>
    </row>
    <row r="1073" spans="2:5" x14ac:dyDescent="0.2">
      <c r="B1073" s="291"/>
      <c r="E1073" s="212"/>
    </row>
    <row r="1074" spans="2:5" x14ac:dyDescent="0.2">
      <c r="B1074" s="291"/>
      <c r="E1074" s="212"/>
    </row>
    <row r="1075" spans="2:5" x14ac:dyDescent="0.2">
      <c r="B1075" s="291"/>
      <c r="E1075" s="212"/>
    </row>
    <row r="1076" spans="2:5" x14ac:dyDescent="0.2">
      <c r="B1076" s="291"/>
      <c r="E1076" s="212"/>
    </row>
    <row r="1077" spans="2:5" x14ac:dyDescent="0.2">
      <c r="B1077" s="291"/>
      <c r="E1077" s="212"/>
    </row>
    <row r="1078" spans="2:5" x14ac:dyDescent="0.2">
      <c r="B1078" s="291"/>
      <c r="E1078" s="212"/>
    </row>
    <row r="1079" spans="2:5" x14ac:dyDescent="0.2">
      <c r="B1079" s="291"/>
      <c r="E1079" s="212"/>
    </row>
    <row r="1080" spans="2:5" x14ac:dyDescent="0.2">
      <c r="B1080" s="291"/>
      <c r="E1080" s="212"/>
    </row>
    <row r="1081" spans="2:5" x14ac:dyDescent="0.2">
      <c r="B1081" s="291"/>
      <c r="E1081" s="212"/>
    </row>
    <row r="1082" spans="2:5" x14ac:dyDescent="0.2">
      <c r="B1082" s="291"/>
      <c r="E1082" s="212"/>
    </row>
    <row r="1083" spans="2:5" x14ac:dyDescent="0.2">
      <c r="B1083" s="291"/>
      <c r="E1083" s="212"/>
    </row>
    <row r="1084" spans="2:5" x14ac:dyDescent="0.2">
      <c r="B1084" s="291"/>
      <c r="E1084" s="212"/>
    </row>
    <row r="1085" spans="2:5" x14ac:dyDescent="0.2">
      <c r="B1085" s="291"/>
      <c r="E1085" s="212"/>
    </row>
    <row r="1086" spans="2:5" x14ac:dyDescent="0.2">
      <c r="B1086" s="291"/>
      <c r="E1086" s="212"/>
    </row>
    <row r="1087" spans="2:5" x14ac:dyDescent="0.2">
      <c r="B1087" s="291"/>
      <c r="E1087" s="212"/>
    </row>
    <row r="1088" spans="2:5" x14ac:dyDescent="0.2">
      <c r="B1088" s="291"/>
      <c r="E1088" s="212"/>
    </row>
    <row r="1089" spans="2:5" x14ac:dyDescent="0.2">
      <c r="B1089" s="291"/>
      <c r="E1089" s="212"/>
    </row>
    <row r="1090" spans="2:5" x14ac:dyDescent="0.2">
      <c r="B1090" s="291"/>
      <c r="E1090" s="212"/>
    </row>
    <row r="1091" spans="2:5" x14ac:dyDescent="0.2">
      <c r="B1091" s="291"/>
      <c r="E1091" s="212"/>
    </row>
    <row r="1092" spans="2:5" x14ac:dyDescent="0.2">
      <c r="B1092" s="291"/>
      <c r="E1092" s="212"/>
    </row>
    <row r="1093" spans="2:5" x14ac:dyDescent="0.2">
      <c r="B1093" s="291"/>
      <c r="E1093" s="212"/>
    </row>
    <row r="1094" spans="2:5" x14ac:dyDescent="0.2">
      <c r="B1094" s="291"/>
      <c r="E1094" s="212"/>
    </row>
    <row r="1095" spans="2:5" x14ac:dyDescent="0.2">
      <c r="B1095" s="291"/>
      <c r="E1095" s="212"/>
    </row>
    <row r="1096" spans="2:5" x14ac:dyDescent="0.2">
      <c r="B1096" s="291"/>
      <c r="E1096" s="212"/>
    </row>
    <row r="1097" spans="2:5" x14ac:dyDescent="0.2">
      <c r="B1097" s="291"/>
      <c r="E1097" s="212"/>
    </row>
    <row r="1098" spans="2:5" x14ac:dyDescent="0.2">
      <c r="B1098" s="291"/>
      <c r="E1098" s="212"/>
    </row>
    <row r="1099" spans="2:5" x14ac:dyDescent="0.2">
      <c r="B1099" s="291"/>
      <c r="E1099" s="212"/>
    </row>
    <row r="1100" spans="2:5" x14ac:dyDescent="0.2">
      <c r="B1100" s="291"/>
      <c r="E1100" s="212"/>
    </row>
    <row r="1101" spans="2:5" x14ac:dyDescent="0.2">
      <c r="B1101" s="291"/>
      <c r="E1101" s="212"/>
    </row>
    <row r="1102" spans="2:5" x14ac:dyDescent="0.2">
      <c r="B1102" s="291"/>
      <c r="E1102" s="212"/>
    </row>
    <row r="1103" spans="2:5" x14ac:dyDescent="0.2">
      <c r="B1103" s="291"/>
      <c r="E1103" s="212"/>
    </row>
    <row r="1104" spans="2:5" x14ac:dyDescent="0.2">
      <c r="B1104" s="291"/>
      <c r="E1104" s="212"/>
    </row>
    <row r="1105" spans="2:5" x14ac:dyDescent="0.2">
      <c r="B1105" s="291"/>
      <c r="E1105" s="212"/>
    </row>
    <row r="1106" spans="2:5" x14ac:dyDescent="0.2">
      <c r="B1106" s="291"/>
      <c r="E1106" s="212"/>
    </row>
    <row r="1107" spans="2:5" x14ac:dyDescent="0.2">
      <c r="B1107" s="291"/>
      <c r="E1107" s="212"/>
    </row>
    <row r="1108" spans="2:5" x14ac:dyDescent="0.2">
      <c r="B1108" s="291"/>
      <c r="E1108" s="212"/>
    </row>
    <row r="1109" spans="2:5" x14ac:dyDescent="0.2">
      <c r="B1109" s="291"/>
      <c r="E1109" s="212"/>
    </row>
    <row r="1110" spans="2:5" x14ac:dyDescent="0.2">
      <c r="B1110" s="291"/>
      <c r="E1110" s="212"/>
    </row>
    <row r="1111" spans="2:5" x14ac:dyDescent="0.2">
      <c r="B1111" s="291"/>
      <c r="E1111" s="212"/>
    </row>
    <row r="1112" spans="2:5" x14ac:dyDescent="0.2">
      <c r="B1112" s="291"/>
      <c r="E1112" s="212"/>
    </row>
    <row r="1113" spans="2:5" x14ac:dyDescent="0.2">
      <c r="B1113" s="291"/>
      <c r="E1113" s="212"/>
    </row>
    <row r="1114" spans="2:5" x14ac:dyDescent="0.2">
      <c r="B1114" s="291"/>
      <c r="E1114" s="212"/>
    </row>
    <row r="1115" spans="2:5" x14ac:dyDescent="0.2">
      <c r="B1115" s="291"/>
      <c r="E1115" s="212"/>
    </row>
    <row r="1116" spans="2:5" x14ac:dyDescent="0.2">
      <c r="B1116" s="291"/>
      <c r="E1116" s="212"/>
    </row>
    <row r="1117" spans="2:5" x14ac:dyDescent="0.2">
      <c r="B1117" s="291"/>
      <c r="E1117" s="212"/>
    </row>
    <row r="1118" spans="2:5" x14ac:dyDescent="0.2">
      <c r="B1118" s="291"/>
      <c r="E1118" s="212"/>
    </row>
    <row r="1119" spans="2:5" x14ac:dyDescent="0.2">
      <c r="B1119" s="291"/>
      <c r="E1119" s="212"/>
    </row>
    <row r="1120" spans="2:5" x14ac:dyDescent="0.2">
      <c r="B1120" s="291"/>
      <c r="E1120" s="212"/>
    </row>
    <row r="1121" spans="2:5" x14ac:dyDescent="0.2">
      <c r="B1121" s="291"/>
      <c r="E1121" s="212"/>
    </row>
    <row r="1122" spans="2:5" x14ac:dyDescent="0.2">
      <c r="B1122" s="291"/>
      <c r="E1122" s="212"/>
    </row>
    <row r="1123" spans="2:5" x14ac:dyDescent="0.2">
      <c r="B1123" s="291"/>
      <c r="E1123" s="212"/>
    </row>
    <row r="1124" spans="2:5" x14ac:dyDescent="0.2">
      <c r="B1124" s="291"/>
      <c r="E1124" s="212"/>
    </row>
    <row r="1125" spans="2:5" x14ac:dyDescent="0.2">
      <c r="B1125" s="291"/>
      <c r="E1125" s="212"/>
    </row>
    <row r="1126" spans="2:5" x14ac:dyDescent="0.2">
      <c r="B1126" s="291"/>
      <c r="E1126" s="212"/>
    </row>
    <row r="1127" spans="2:5" x14ac:dyDescent="0.2">
      <c r="B1127" s="291"/>
      <c r="E1127" s="212"/>
    </row>
    <row r="1128" spans="2:5" x14ac:dyDescent="0.2">
      <c r="B1128" s="291"/>
      <c r="E1128" s="212"/>
    </row>
    <row r="1129" spans="2:5" x14ac:dyDescent="0.2">
      <c r="B1129" s="291"/>
      <c r="E1129" s="212"/>
    </row>
    <row r="1130" spans="2:5" x14ac:dyDescent="0.2">
      <c r="B1130" s="291"/>
      <c r="E1130" s="212"/>
    </row>
    <row r="1131" spans="2:5" x14ac:dyDescent="0.2">
      <c r="B1131" s="291"/>
      <c r="E1131" s="212"/>
    </row>
    <row r="1132" spans="2:5" x14ac:dyDescent="0.2">
      <c r="B1132" s="291"/>
      <c r="E1132" s="212"/>
    </row>
    <row r="1133" spans="2:5" x14ac:dyDescent="0.2">
      <c r="B1133" s="291"/>
      <c r="E1133" s="212"/>
    </row>
    <row r="1134" spans="2:5" x14ac:dyDescent="0.2">
      <c r="B1134" s="291"/>
      <c r="E1134" s="212"/>
    </row>
    <row r="1135" spans="2:5" x14ac:dyDescent="0.2">
      <c r="B1135" s="291"/>
      <c r="E1135" s="212"/>
    </row>
    <row r="1136" spans="2:5" x14ac:dyDescent="0.2">
      <c r="B1136" s="291"/>
      <c r="E1136" s="212"/>
    </row>
    <row r="1137" spans="2:5" x14ac:dyDescent="0.2">
      <c r="B1137" s="291"/>
      <c r="E1137" s="212"/>
    </row>
    <row r="1138" spans="2:5" x14ac:dyDescent="0.2">
      <c r="B1138" s="291"/>
      <c r="E1138" s="212"/>
    </row>
    <row r="1139" spans="2:5" x14ac:dyDescent="0.2">
      <c r="B1139" s="291"/>
      <c r="E1139" s="212"/>
    </row>
    <row r="1140" spans="2:5" x14ac:dyDescent="0.2">
      <c r="B1140" s="291"/>
      <c r="E1140" s="212"/>
    </row>
    <row r="1141" spans="2:5" x14ac:dyDescent="0.2">
      <c r="B1141" s="291"/>
      <c r="E1141" s="212"/>
    </row>
    <row r="1142" spans="2:5" x14ac:dyDescent="0.2">
      <c r="B1142" s="291"/>
      <c r="E1142" s="212"/>
    </row>
    <row r="1143" spans="2:5" x14ac:dyDescent="0.2">
      <c r="B1143" s="291"/>
      <c r="E1143" s="212"/>
    </row>
    <row r="1144" spans="2:5" x14ac:dyDescent="0.2">
      <c r="B1144" s="291"/>
      <c r="E1144" s="212"/>
    </row>
    <row r="1145" spans="2:5" x14ac:dyDescent="0.2">
      <c r="B1145" s="291"/>
      <c r="E1145" s="212"/>
    </row>
    <row r="1146" spans="2:5" x14ac:dyDescent="0.2">
      <c r="B1146" s="291"/>
      <c r="E1146" s="212"/>
    </row>
    <row r="1147" spans="2:5" x14ac:dyDescent="0.2">
      <c r="B1147" s="291"/>
      <c r="E1147" s="212"/>
    </row>
    <row r="1148" spans="2:5" x14ac:dyDescent="0.2">
      <c r="B1148" s="291"/>
      <c r="E1148" s="212"/>
    </row>
    <row r="1149" spans="2:5" x14ac:dyDescent="0.2">
      <c r="B1149" s="291"/>
      <c r="E1149" s="212"/>
    </row>
    <row r="1150" spans="2:5" x14ac:dyDescent="0.2">
      <c r="B1150" s="291"/>
      <c r="E1150" s="212"/>
    </row>
    <row r="1151" spans="2:5" x14ac:dyDescent="0.2">
      <c r="B1151" s="291"/>
      <c r="E1151" s="212"/>
    </row>
    <row r="1152" spans="2:5" x14ac:dyDescent="0.2">
      <c r="B1152" s="291"/>
      <c r="E1152" s="212"/>
    </row>
    <row r="1153" spans="2:5" x14ac:dyDescent="0.2">
      <c r="B1153" s="291"/>
      <c r="E1153" s="212"/>
    </row>
    <row r="1154" spans="2:5" x14ac:dyDescent="0.2">
      <c r="B1154" s="291"/>
      <c r="E1154" s="212"/>
    </row>
    <row r="1155" spans="2:5" x14ac:dyDescent="0.2">
      <c r="B1155" s="291"/>
      <c r="E1155" s="212"/>
    </row>
    <row r="1156" spans="2:5" x14ac:dyDescent="0.2">
      <c r="B1156" s="291"/>
      <c r="E1156" s="212"/>
    </row>
    <row r="1157" spans="2:5" x14ac:dyDescent="0.2">
      <c r="B1157" s="291"/>
      <c r="E1157" s="212"/>
    </row>
    <row r="1158" spans="2:5" x14ac:dyDescent="0.2">
      <c r="B1158" s="291"/>
      <c r="E1158" s="212"/>
    </row>
    <row r="1159" spans="2:5" x14ac:dyDescent="0.2">
      <c r="B1159" s="291"/>
      <c r="E1159" s="212"/>
    </row>
    <row r="1160" spans="2:5" x14ac:dyDescent="0.2">
      <c r="B1160" s="291"/>
      <c r="E1160" s="212"/>
    </row>
    <row r="1161" spans="2:5" x14ac:dyDescent="0.2">
      <c r="B1161" s="291"/>
      <c r="E1161" s="212"/>
    </row>
    <row r="1162" spans="2:5" x14ac:dyDescent="0.2">
      <c r="B1162" s="291"/>
      <c r="E1162" s="212"/>
    </row>
    <row r="1163" spans="2:5" x14ac:dyDescent="0.2">
      <c r="B1163" s="291"/>
      <c r="E1163" s="212"/>
    </row>
    <row r="1164" spans="2:5" x14ac:dyDescent="0.2">
      <c r="B1164" s="291"/>
      <c r="E1164" s="212"/>
    </row>
    <row r="1165" spans="2:5" x14ac:dyDescent="0.2">
      <c r="B1165" s="291"/>
      <c r="E1165" s="212"/>
    </row>
    <row r="1166" spans="2:5" x14ac:dyDescent="0.2">
      <c r="B1166" s="291"/>
      <c r="E1166" s="212"/>
    </row>
    <row r="1167" spans="2:5" x14ac:dyDescent="0.2">
      <c r="B1167" s="291"/>
      <c r="E1167" s="212"/>
    </row>
    <row r="1168" spans="2:5" x14ac:dyDescent="0.2">
      <c r="B1168" s="291"/>
      <c r="E1168" s="212"/>
    </row>
    <row r="1169" spans="2:5" x14ac:dyDescent="0.2">
      <c r="B1169" s="291"/>
      <c r="E1169" s="212"/>
    </row>
    <row r="1170" spans="2:5" x14ac:dyDescent="0.2">
      <c r="B1170" s="291"/>
      <c r="E1170" s="212"/>
    </row>
    <row r="1171" spans="2:5" x14ac:dyDescent="0.2">
      <c r="B1171" s="291"/>
      <c r="E1171" s="212"/>
    </row>
    <row r="1172" spans="2:5" x14ac:dyDescent="0.2">
      <c r="B1172" s="291"/>
      <c r="E1172" s="212"/>
    </row>
    <row r="1173" spans="2:5" x14ac:dyDescent="0.2">
      <c r="B1173" s="291"/>
      <c r="E1173" s="212"/>
    </row>
    <row r="1174" spans="2:5" x14ac:dyDescent="0.2">
      <c r="B1174" s="291"/>
      <c r="E1174" s="212"/>
    </row>
    <row r="1175" spans="2:5" x14ac:dyDescent="0.2">
      <c r="B1175" s="291"/>
      <c r="E1175" s="212"/>
    </row>
    <row r="1176" spans="2:5" x14ac:dyDescent="0.2">
      <c r="B1176" s="291"/>
      <c r="E1176" s="212"/>
    </row>
    <row r="1177" spans="2:5" x14ac:dyDescent="0.2">
      <c r="B1177" s="291"/>
      <c r="E1177" s="212"/>
    </row>
    <row r="1178" spans="2:5" x14ac:dyDescent="0.2">
      <c r="B1178" s="291"/>
      <c r="E1178" s="212"/>
    </row>
    <row r="1179" spans="2:5" x14ac:dyDescent="0.2">
      <c r="B1179" s="291"/>
      <c r="E1179" s="212"/>
    </row>
    <row r="1180" spans="2:5" x14ac:dyDescent="0.2">
      <c r="B1180" s="291"/>
      <c r="E1180" s="212"/>
    </row>
    <row r="1181" spans="2:5" x14ac:dyDescent="0.2">
      <c r="B1181" s="291"/>
      <c r="E1181" s="212"/>
    </row>
    <row r="1182" spans="2:5" x14ac:dyDescent="0.2">
      <c r="B1182" s="291"/>
      <c r="E1182" s="212"/>
    </row>
    <row r="1183" spans="2:5" x14ac:dyDescent="0.2">
      <c r="B1183" s="291"/>
      <c r="E1183" s="212"/>
    </row>
    <row r="1184" spans="2:5" x14ac:dyDescent="0.2">
      <c r="B1184" s="291"/>
      <c r="E1184" s="212"/>
    </row>
    <row r="1185" spans="2:5" x14ac:dyDescent="0.2">
      <c r="B1185" s="291"/>
      <c r="E1185" s="212"/>
    </row>
    <row r="1186" spans="2:5" x14ac:dyDescent="0.2">
      <c r="B1186" s="291"/>
      <c r="E1186" s="212"/>
    </row>
    <row r="1187" spans="2:5" x14ac:dyDescent="0.2">
      <c r="B1187" s="291"/>
      <c r="E1187" s="212"/>
    </row>
    <row r="1188" spans="2:5" x14ac:dyDescent="0.2">
      <c r="B1188" s="291"/>
      <c r="E1188" s="212"/>
    </row>
    <row r="1189" spans="2:5" x14ac:dyDescent="0.2">
      <c r="B1189" s="291"/>
      <c r="E1189" s="212"/>
    </row>
    <row r="1190" spans="2:5" x14ac:dyDescent="0.2">
      <c r="B1190" s="291"/>
      <c r="E1190" s="212"/>
    </row>
    <row r="1191" spans="2:5" x14ac:dyDescent="0.2">
      <c r="B1191" s="291"/>
      <c r="E1191" s="212"/>
    </row>
    <row r="1192" spans="2:5" x14ac:dyDescent="0.2">
      <c r="B1192" s="291"/>
      <c r="E1192" s="212"/>
    </row>
    <row r="1193" spans="2:5" x14ac:dyDescent="0.2">
      <c r="B1193" s="291"/>
      <c r="E1193" s="212"/>
    </row>
    <row r="1194" spans="2:5" x14ac:dyDescent="0.2">
      <c r="B1194" s="291"/>
      <c r="E1194" s="212"/>
    </row>
    <row r="1195" spans="2:5" x14ac:dyDescent="0.2">
      <c r="B1195" s="291"/>
      <c r="E1195" s="212"/>
    </row>
    <row r="1196" spans="2:5" x14ac:dyDescent="0.2">
      <c r="B1196" s="291"/>
      <c r="E1196" s="212"/>
    </row>
    <row r="1197" spans="2:5" x14ac:dyDescent="0.2">
      <c r="B1197" s="291"/>
      <c r="E1197" s="212"/>
    </row>
    <row r="1198" spans="2:5" x14ac:dyDescent="0.2">
      <c r="B1198" s="291"/>
      <c r="E1198" s="212"/>
    </row>
    <row r="1199" spans="2:5" x14ac:dyDescent="0.2">
      <c r="B1199" s="291"/>
      <c r="E1199" s="212"/>
    </row>
    <row r="1200" spans="2:5" x14ac:dyDescent="0.2">
      <c r="B1200" s="291"/>
      <c r="E1200" s="212"/>
    </row>
    <row r="1201" spans="2:5" x14ac:dyDescent="0.2">
      <c r="B1201" s="291"/>
      <c r="E1201" s="212"/>
    </row>
    <row r="1202" spans="2:5" x14ac:dyDescent="0.2">
      <c r="B1202" s="291"/>
      <c r="E1202" s="212"/>
    </row>
    <row r="1203" spans="2:5" x14ac:dyDescent="0.2">
      <c r="B1203" s="291"/>
      <c r="E1203" s="212"/>
    </row>
    <row r="1204" spans="2:5" x14ac:dyDescent="0.2">
      <c r="B1204" s="291"/>
      <c r="E1204" s="212"/>
    </row>
    <row r="1205" spans="2:5" x14ac:dyDescent="0.2">
      <c r="B1205" s="291"/>
      <c r="E1205" s="212"/>
    </row>
    <row r="1206" spans="2:5" x14ac:dyDescent="0.2">
      <c r="B1206" s="291"/>
      <c r="E1206" s="212"/>
    </row>
    <row r="1207" spans="2:5" x14ac:dyDescent="0.2">
      <c r="B1207" s="291"/>
      <c r="E1207" s="212"/>
    </row>
    <row r="1208" spans="2:5" x14ac:dyDescent="0.2">
      <c r="B1208" s="291"/>
      <c r="E1208" s="212"/>
    </row>
    <row r="1209" spans="2:5" x14ac:dyDescent="0.2">
      <c r="B1209" s="291"/>
      <c r="E1209" s="212"/>
    </row>
    <row r="1210" spans="2:5" x14ac:dyDescent="0.2">
      <c r="B1210" s="291"/>
      <c r="E1210" s="212"/>
    </row>
    <row r="1211" spans="2:5" x14ac:dyDescent="0.2">
      <c r="B1211" s="291"/>
      <c r="E1211" s="212"/>
    </row>
    <row r="1212" spans="2:5" x14ac:dyDescent="0.2">
      <c r="B1212" s="291"/>
      <c r="E1212" s="212"/>
    </row>
    <row r="1213" spans="2:5" x14ac:dyDescent="0.2">
      <c r="B1213" s="291"/>
      <c r="E1213" s="212"/>
    </row>
    <row r="1214" spans="2:5" x14ac:dyDescent="0.2">
      <c r="B1214" s="291"/>
      <c r="E1214" s="212"/>
    </row>
    <row r="1215" spans="2:5" x14ac:dyDescent="0.2">
      <c r="B1215" s="291"/>
      <c r="E1215" s="212"/>
    </row>
    <row r="1216" spans="2:5" x14ac:dyDescent="0.2">
      <c r="B1216" s="291"/>
      <c r="E1216" s="212"/>
    </row>
    <row r="1217" spans="2:5" x14ac:dyDescent="0.2">
      <c r="B1217" s="291"/>
      <c r="E1217" s="212"/>
    </row>
    <row r="1218" spans="2:5" x14ac:dyDescent="0.2">
      <c r="B1218" s="291"/>
      <c r="E1218" s="212"/>
    </row>
    <row r="1219" spans="2:5" x14ac:dyDescent="0.2">
      <c r="B1219" s="291"/>
      <c r="E1219" s="212"/>
    </row>
    <row r="1220" spans="2:5" x14ac:dyDescent="0.2">
      <c r="B1220" s="291"/>
      <c r="E1220" s="212"/>
    </row>
    <row r="1221" spans="2:5" x14ac:dyDescent="0.2">
      <c r="B1221" s="291"/>
      <c r="E1221" s="212"/>
    </row>
    <row r="1222" spans="2:5" x14ac:dyDescent="0.2">
      <c r="B1222" s="291"/>
      <c r="E1222" s="212"/>
    </row>
    <row r="1223" spans="2:5" x14ac:dyDescent="0.2">
      <c r="B1223" s="291"/>
      <c r="E1223" s="212"/>
    </row>
    <row r="1224" spans="2:5" x14ac:dyDescent="0.2">
      <c r="B1224" s="291"/>
      <c r="E1224" s="212"/>
    </row>
    <row r="1225" spans="2:5" x14ac:dyDescent="0.2">
      <c r="B1225" s="291"/>
      <c r="E1225" s="212"/>
    </row>
    <row r="1226" spans="2:5" x14ac:dyDescent="0.2">
      <c r="B1226" s="291"/>
      <c r="E1226" s="212"/>
    </row>
    <row r="1227" spans="2:5" x14ac:dyDescent="0.2">
      <c r="B1227" s="291"/>
      <c r="E1227" s="212"/>
    </row>
    <row r="1228" spans="2:5" x14ac:dyDescent="0.2">
      <c r="B1228" s="291"/>
      <c r="E1228" s="212"/>
    </row>
    <row r="1229" spans="2:5" x14ac:dyDescent="0.2">
      <c r="B1229" s="291"/>
      <c r="E1229" s="212"/>
    </row>
    <row r="1230" spans="2:5" x14ac:dyDescent="0.2">
      <c r="B1230" s="291"/>
      <c r="E1230" s="212"/>
    </row>
    <row r="1231" spans="2:5" x14ac:dyDescent="0.2">
      <c r="B1231" s="291"/>
      <c r="E1231" s="212"/>
    </row>
    <row r="1232" spans="2:5" x14ac:dyDescent="0.2">
      <c r="B1232" s="291"/>
      <c r="E1232" s="212"/>
    </row>
    <row r="1233" spans="2:5" x14ac:dyDescent="0.2">
      <c r="B1233" s="291"/>
      <c r="E1233" s="212"/>
    </row>
    <row r="1234" spans="2:5" x14ac:dyDescent="0.2">
      <c r="B1234" s="291"/>
      <c r="E1234" s="212"/>
    </row>
    <row r="1235" spans="2:5" x14ac:dyDescent="0.2">
      <c r="B1235" s="291"/>
      <c r="E1235" s="212"/>
    </row>
    <row r="1236" spans="2:5" x14ac:dyDescent="0.2">
      <c r="B1236" s="291"/>
      <c r="E1236" s="212"/>
    </row>
    <row r="1237" spans="2:5" x14ac:dyDescent="0.2">
      <c r="B1237" s="291"/>
      <c r="E1237" s="212"/>
    </row>
    <row r="1238" spans="2:5" x14ac:dyDescent="0.2">
      <c r="B1238" s="291"/>
      <c r="E1238" s="212"/>
    </row>
    <row r="1239" spans="2:5" x14ac:dyDescent="0.2">
      <c r="B1239" s="291"/>
      <c r="E1239" s="212"/>
    </row>
    <row r="1240" spans="2:5" x14ac:dyDescent="0.2">
      <c r="B1240" s="291"/>
      <c r="E1240" s="212"/>
    </row>
    <row r="1241" spans="2:5" x14ac:dyDescent="0.2">
      <c r="B1241" s="291"/>
      <c r="E1241" s="212"/>
    </row>
    <row r="1242" spans="2:5" x14ac:dyDescent="0.2">
      <c r="B1242" s="291"/>
      <c r="E1242" s="212"/>
    </row>
    <row r="1243" spans="2:5" x14ac:dyDescent="0.2">
      <c r="B1243" s="291"/>
      <c r="E1243" s="212"/>
    </row>
    <row r="1244" spans="2:5" x14ac:dyDescent="0.2">
      <c r="B1244" s="291"/>
      <c r="E1244" s="212"/>
    </row>
    <row r="1245" spans="2:5" x14ac:dyDescent="0.2">
      <c r="B1245" s="291"/>
      <c r="E1245" s="212"/>
    </row>
    <row r="1246" spans="2:5" x14ac:dyDescent="0.2">
      <c r="B1246" s="291"/>
      <c r="E1246" s="212"/>
    </row>
    <row r="1247" spans="2:5" x14ac:dyDescent="0.2">
      <c r="B1247" s="291"/>
      <c r="E1247" s="212"/>
    </row>
    <row r="1248" spans="2:5" x14ac:dyDescent="0.2">
      <c r="B1248" s="291"/>
      <c r="E1248" s="212"/>
    </row>
    <row r="1249" spans="2:5" x14ac:dyDescent="0.2">
      <c r="B1249" s="291"/>
      <c r="E1249" s="212"/>
    </row>
    <row r="1250" spans="2:5" x14ac:dyDescent="0.2">
      <c r="B1250" s="291"/>
      <c r="E1250" s="212"/>
    </row>
    <row r="1251" spans="2:5" x14ac:dyDescent="0.2">
      <c r="B1251" s="291"/>
      <c r="E1251" s="212"/>
    </row>
    <row r="1252" spans="2:5" x14ac:dyDescent="0.2">
      <c r="B1252" s="291"/>
      <c r="E1252" s="212"/>
    </row>
    <row r="1253" spans="2:5" x14ac:dyDescent="0.2">
      <c r="B1253" s="291"/>
      <c r="E1253" s="212"/>
    </row>
    <row r="1254" spans="2:5" x14ac:dyDescent="0.2">
      <c r="B1254" s="291"/>
      <c r="E1254" s="212"/>
    </row>
    <row r="1255" spans="2:5" x14ac:dyDescent="0.2">
      <c r="B1255" s="291"/>
      <c r="E1255" s="212"/>
    </row>
    <row r="1256" spans="2:5" x14ac:dyDescent="0.2">
      <c r="B1256" s="291"/>
      <c r="E1256" s="212"/>
    </row>
    <row r="1257" spans="2:5" x14ac:dyDescent="0.2">
      <c r="B1257" s="291"/>
      <c r="E1257" s="212"/>
    </row>
    <row r="1258" spans="2:5" x14ac:dyDescent="0.2">
      <c r="B1258" s="291"/>
      <c r="E1258" s="212"/>
    </row>
    <row r="1259" spans="2:5" x14ac:dyDescent="0.2">
      <c r="B1259" s="291"/>
      <c r="E1259" s="212"/>
    </row>
    <row r="1260" spans="2:5" x14ac:dyDescent="0.2">
      <c r="B1260" s="291"/>
      <c r="E1260" s="212"/>
    </row>
    <row r="1261" spans="2:5" x14ac:dyDescent="0.2">
      <c r="B1261" s="291"/>
      <c r="E1261" s="212"/>
    </row>
    <row r="1262" spans="2:5" x14ac:dyDescent="0.2">
      <c r="B1262" s="291"/>
      <c r="E1262" s="212"/>
    </row>
    <row r="1263" spans="2:5" x14ac:dyDescent="0.2">
      <c r="B1263" s="291"/>
      <c r="E1263" s="212"/>
    </row>
    <row r="1264" spans="2:5" x14ac:dyDescent="0.2">
      <c r="B1264" s="291"/>
      <c r="E1264" s="212"/>
    </row>
    <row r="1265" spans="2:5" x14ac:dyDescent="0.2">
      <c r="B1265" s="291"/>
      <c r="E1265" s="212"/>
    </row>
    <row r="1266" spans="2:5" x14ac:dyDescent="0.2">
      <c r="B1266" s="291"/>
      <c r="E1266" s="212"/>
    </row>
    <row r="1267" spans="2:5" x14ac:dyDescent="0.2">
      <c r="B1267" s="291"/>
      <c r="E1267" s="212"/>
    </row>
    <row r="1268" spans="2:5" x14ac:dyDescent="0.2">
      <c r="B1268" s="291"/>
      <c r="E1268" s="212"/>
    </row>
    <row r="1269" spans="2:5" x14ac:dyDescent="0.2">
      <c r="B1269" s="291"/>
      <c r="E1269" s="212"/>
    </row>
    <row r="1270" spans="2:5" x14ac:dyDescent="0.2">
      <c r="B1270" s="291"/>
      <c r="E1270" s="212"/>
    </row>
    <row r="1271" spans="2:5" x14ac:dyDescent="0.2">
      <c r="B1271" s="291"/>
      <c r="E1271" s="212"/>
    </row>
    <row r="1272" spans="2:5" x14ac:dyDescent="0.2">
      <c r="B1272" s="291"/>
      <c r="E1272" s="212"/>
    </row>
    <row r="1273" spans="2:5" x14ac:dyDescent="0.2">
      <c r="B1273" s="291"/>
      <c r="E1273" s="212"/>
    </row>
    <row r="1274" spans="2:5" x14ac:dyDescent="0.2">
      <c r="B1274" s="291"/>
      <c r="E1274" s="212"/>
    </row>
    <row r="1275" spans="2:5" x14ac:dyDescent="0.2">
      <c r="B1275" s="291"/>
      <c r="E1275" s="212"/>
    </row>
    <row r="1276" spans="2:5" x14ac:dyDescent="0.2">
      <c r="B1276" s="291"/>
      <c r="E1276" s="212"/>
    </row>
    <row r="1277" spans="2:5" x14ac:dyDescent="0.2">
      <c r="B1277" s="291"/>
      <c r="E1277" s="212"/>
    </row>
    <row r="1278" spans="2:5" x14ac:dyDescent="0.2">
      <c r="B1278" s="291"/>
      <c r="E1278" s="212"/>
    </row>
    <row r="1279" spans="2:5" x14ac:dyDescent="0.2">
      <c r="B1279" s="291"/>
      <c r="E1279" s="212"/>
    </row>
    <row r="1280" spans="2:5" x14ac:dyDescent="0.2">
      <c r="B1280" s="291"/>
      <c r="E1280" s="212"/>
    </row>
    <row r="1281" spans="2:5" x14ac:dyDescent="0.2">
      <c r="B1281" s="291"/>
      <c r="E1281" s="212"/>
    </row>
    <row r="1282" spans="2:5" x14ac:dyDescent="0.2">
      <c r="B1282" s="291"/>
      <c r="E1282" s="212"/>
    </row>
    <row r="1283" spans="2:5" x14ac:dyDescent="0.2">
      <c r="B1283" s="291"/>
      <c r="E1283" s="212"/>
    </row>
    <row r="1284" spans="2:5" x14ac:dyDescent="0.2">
      <c r="B1284" s="291"/>
      <c r="E1284" s="212"/>
    </row>
    <row r="1285" spans="2:5" x14ac:dyDescent="0.2">
      <c r="B1285" s="291"/>
      <c r="E1285" s="212"/>
    </row>
    <row r="1286" spans="2:5" x14ac:dyDescent="0.2">
      <c r="B1286" s="291"/>
      <c r="E1286" s="212"/>
    </row>
    <row r="1287" spans="2:5" x14ac:dyDescent="0.2">
      <c r="B1287" s="291"/>
      <c r="E1287" s="212"/>
    </row>
    <row r="1288" spans="2:5" x14ac:dyDescent="0.2">
      <c r="B1288" s="291"/>
      <c r="E1288" s="212"/>
    </row>
    <row r="1289" spans="2:5" x14ac:dyDescent="0.2">
      <c r="B1289" s="291"/>
      <c r="E1289" s="212"/>
    </row>
    <row r="1290" spans="2:5" x14ac:dyDescent="0.2">
      <c r="B1290" s="291"/>
      <c r="E1290" s="212"/>
    </row>
    <row r="1291" spans="2:5" x14ac:dyDescent="0.2">
      <c r="B1291" s="291"/>
      <c r="E1291" s="212"/>
    </row>
    <row r="1292" spans="2:5" x14ac:dyDescent="0.2">
      <c r="B1292" s="291"/>
      <c r="E1292" s="212"/>
    </row>
    <row r="1293" spans="2:5" x14ac:dyDescent="0.2">
      <c r="B1293" s="291"/>
      <c r="E1293" s="212"/>
    </row>
    <row r="1294" spans="2:5" x14ac:dyDescent="0.2">
      <c r="B1294" s="291"/>
      <c r="E1294" s="212"/>
    </row>
    <row r="1295" spans="2:5" x14ac:dyDescent="0.2">
      <c r="B1295" s="291"/>
      <c r="E1295" s="212"/>
    </row>
    <row r="1296" spans="2:5" x14ac:dyDescent="0.2">
      <c r="B1296" s="291"/>
      <c r="E1296" s="212"/>
    </row>
    <row r="1297" spans="2:5" x14ac:dyDescent="0.2">
      <c r="B1297" s="291"/>
      <c r="E1297" s="212"/>
    </row>
    <row r="1298" spans="2:5" x14ac:dyDescent="0.2">
      <c r="B1298" s="291"/>
      <c r="E1298" s="212"/>
    </row>
    <row r="1299" spans="2:5" x14ac:dyDescent="0.2">
      <c r="B1299" s="291"/>
      <c r="E1299" s="212"/>
    </row>
    <row r="1300" spans="2:5" x14ac:dyDescent="0.2">
      <c r="B1300" s="291"/>
      <c r="E1300" s="212"/>
    </row>
    <row r="1301" spans="2:5" x14ac:dyDescent="0.2">
      <c r="B1301" s="291"/>
      <c r="E1301" s="212"/>
    </row>
    <row r="1302" spans="2:5" x14ac:dyDescent="0.2">
      <c r="B1302" s="291"/>
      <c r="E1302" s="212"/>
    </row>
    <row r="1303" spans="2:5" x14ac:dyDescent="0.2">
      <c r="B1303" s="291"/>
      <c r="E1303" s="212"/>
    </row>
    <row r="1304" spans="2:5" x14ac:dyDescent="0.2">
      <c r="B1304" s="291"/>
      <c r="E1304" s="212"/>
    </row>
    <row r="1305" spans="2:5" x14ac:dyDescent="0.2">
      <c r="B1305" s="291"/>
      <c r="E1305" s="212"/>
    </row>
    <row r="1306" spans="2:5" x14ac:dyDescent="0.2">
      <c r="B1306" s="291"/>
      <c r="E1306" s="212"/>
    </row>
    <row r="1307" spans="2:5" x14ac:dyDescent="0.2">
      <c r="B1307" s="291"/>
      <c r="E1307" s="212"/>
    </row>
    <row r="1308" spans="2:5" x14ac:dyDescent="0.2">
      <c r="B1308" s="291"/>
      <c r="E1308" s="212"/>
    </row>
    <row r="1309" spans="2:5" x14ac:dyDescent="0.2">
      <c r="B1309" s="291"/>
      <c r="E1309" s="212"/>
    </row>
    <row r="1310" spans="2:5" x14ac:dyDescent="0.2">
      <c r="B1310" s="291"/>
      <c r="E1310" s="212"/>
    </row>
    <row r="1311" spans="2:5" x14ac:dyDescent="0.2">
      <c r="B1311" s="291"/>
      <c r="E1311" s="212"/>
    </row>
    <row r="1312" spans="2:5" x14ac:dyDescent="0.2">
      <c r="B1312" s="291"/>
      <c r="E1312" s="212"/>
    </row>
    <row r="1313" spans="2:5" x14ac:dyDescent="0.2">
      <c r="B1313" s="291"/>
      <c r="E1313" s="212"/>
    </row>
    <row r="1314" spans="2:5" x14ac:dyDescent="0.2">
      <c r="B1314" s="291"/>
      <c r="E1314" s="212"/>
    </row>
    <row r="1315" spans="2:5" x14ac:dyDescent="0.2">
      <c r="B1315" s="291"/>
      <c r="E1315" s="212"/>
    </row>
    <row r="1316" spans="2:5" x14ac:dyDescent="0.2">
      <c r="B1316" s="291"/>
      <c r="E1316" s="212"/>
    </row>
    <row r="1317" spans="2:5" x14ac:dyDescent="0.2">
      <c r="B1317" s="291"/>
      <c r="E1317" s="212"/>
    </row>
    <row r="1318" spans="2:5" x14ac:dyDescent="0.2">
      <c r="B1318" s="291"/>
      <c r="E1318" s="212"/>
    </row>
    <row r="1319" spans="2:5" x14ac:dyDescent="0.2">
      <c r="B1319" s="291"/>
      <c r="E1319" s="212"/>
    </row>
    <row r="1320" spans="2:5" x14ac:dyDescent="0.2">
      <c r="B1320" s="291"/>
      <c r="E1320" s="212"/>
    </row>
    <row r="1321" spans="2:5" x14ac:dyDescent="0.2">
      <c r="B1321" s="291"/>
      <c r="E1321" s="212"/>
    </row>
    <row r="1322" spans="2:5" x14ac:dyDescent="0.2">
      <c r="B1322" s="291"/>
      <c r="E1322" s="212"/>
    </row>
    <row r="1323" spans="2:5" x14ac:dyDescent="0.2">
      <c r="B1323" s="291"/>
      <c r="E1323" s="212"/>
    </row>
    <row r="1324" spans="2:5" x14ac:dyDescent="0.2">
      <c r="B1324" s="291"/>
      <c r="E1324" s="212"/>
    </row>
    <row r="1325" spans="2:5" x14ac:dyDescent="0.2">
      <c r="B1325" s="291"/>
      <c r="E1325" s="212"/>
    </row>
    <row r="1326" spans="2:5" x14ac:dyDescent="0.2">
      <c r="B1326" s="291"/>
      <c r="E1326" s="212"/>
    </row>
    <row r="1327" spans="2:5" x14ac:dyDescent="0.2">
      <c r="B1327" s="291"/>
      <c r="E1327" s="212"/>
    </row>
    <row r="1328" spans="2:5" x14ac:dyDescent="0.2">
      <c r="B1328" s="291"/>
      <c r="E1328" s="212"/>
    </row>
    <row r="1329" spans="2:5" x14ac:dyDescent="0.2">
      <c r="B1329" s="291"/>
      <c r="E1329" s="212"/>
    </row>
    <row r="1330" spans="2:5" x14ac:dyDescent="0.2">
      <c r="B1330" s="291"/>
      <c r="E1330" s="212"/>
    </row>
    <row r="1331" spans="2:5" x14ac:dyDescent="0.2">
      <c r="B1331" s="291"/>
      <c r="E1331" s="212"/>
    </row>
    <row r="1332" spans="2:5" x14ac:dyDescent="0.2">
      <c r="B1332" s="291"/>
      <c r="E1332" s="212"/>
    </row>
    <row r="1333" spans="2:5" x14ac:dyDescent="0.2">
      <c r="B1333" s="291"/>
      <c r="E1333" s="212"/>
    </row>
    <row r="1334" spans="2:5" x14ac:dyDescent="0.2">
      <c r="B1334" s="291"/>
      <c r="E1334" s="212"/>
    </row>
    <row r="1335" spans="2:5" x14ac:dyDescent="0.2">
      <c r="B1335" s="291"/>
      <c r="E1335" s="212"/>
    </row>
    <row r="1336" spans="2:5" x14ac:dyDescent="0.2">
      <c r="B1336" s="291"/>
      <c r="E1336" s="212"/>
    </row>
    <row r="1337" spans="2:5" x14ac:dyDescent="0.2">
      <c r="B1337" s="291"/>
      <c r="E1337" s="212"/>
    </row>
    <row r="1338" spans="2:5" x14ac:dyDescent="0.2">
      <c r="B1338" s="291"/>
      <c r="E1338" s="212"/>
    </row>
    <row r="1339" spans="2:5" x14ac:dyDescent="0.2">
      <c r="B1339" s="291"/>
      <c r="E1339" s="212"/>
    </row>
    <row r="1340" spans="2:5" x14ac:dyDescent="0.2">
      <c r="B1340" s="291"/>
      <c r="E1340" s="212"/>
    </row>
    <row r="1341" spans="2:5" x14ac:dyDescent="0.2">
      <c r="B1341" s="291"/>
      <c r="E1341" s="212"/>
    </row>
    <row r="1342" spans="2:5" x14ac:dyDescent="0.2">
      <c r="B1342" s="291"/>
      <c r="E1342" s="212"/>
    </row>
    <row r="1343" spans="2:5" x14ac:dyDescent="0.2">
      <c r="B1343" s="291"/>
      <c r="E1343" s="212"/>
    </row>
    <row r="1344" spans="2:5" x14ac:dyDescent="0.2">
      <c r="B1344" s="291"/>
      <c r="E1344" s="212"/>
    </row>
    <row r="1345" spans="2:5" x14ac:dyDescent="0.2">
      <c r="B1345" s="291"/>
      <c r="E1345" s="212"/>
    </row>
    <row r="1346" spans="2:5" x14ac:dyDescent="0.2">
      <c r="B1346" s="291"/>
      <c r="E1346" s="212"/>
    </row>
    <row r="1347" spans="2:5" x14ac:dyDescent="0.2">
      <c r="B1347" s="291"/>
      <c r="E1347" s="212"/>
    </row>
    <row r="1348" spans="2:5" x14ac:dyDescent="0.2">
      <c r="B1348" s="291"/>
      <c r="E1348" s="212"/>
    </row>
    <row r="1349" spans="2:5" x14ac:dyDescent="0.2">
      <c r="B1349" s="291"/>
      <c r="E1349" s="212"/>
    </row>
    <row r="1350" spans="2:5" x14ac:dyDescent="0.2">
      <c r="B1350" s="291"/>
      <c r="E1350" s="212"/>
    </row>
    <row r="1351" spans="2:5" x14ac:dyDescent="0.2">
      <c r="B1351" s="291"/>
      <c r="E1351" s="212"/>
    </row>
    <row r="1352" spans="2:5" x14ac:dyDescent="0.2">
      <c r="B1352" s="291"/>
      <c r="E1352" s="212"/>
    </row>
    <row r="1353" spans="2:5" x14ac:dyDescent="0.2">
      <c r="B1353" s="291"/>
      <c r="E1353" s="212"/>
    </row>
    <row r="1354" spans="2:5" x14ac:dyDescent="0.2">
      <c r="B1354" s="291"/>
      <c r="E1354" s="212"/>
    </row>
    <row r="1355" spans="2:5" x14ac:dyDescent="0.2">
      <c r="B1355" s="291"/>
      <c r="E1355" s="212"/>
    </row>
    <row r="1356" spans="2:5" x14ac:dyDescent="0.2">
      <c r="B1356" s="291"/>
      <c r="E1356" s="212"/>
    </row>
    <row r="1357" spans="2:5" x14ac:dyDescent="0.2">
      <c r="B1357" s="291"/>
      <c r="E1357" s="212"/>
    </row>
    <row r="1358" spans="2:5" x14ac:dyDescent="0.2">
      <c r="B1358" s="291"/>
      <c r="E1358" s="212"/>
    </row>
    <row r="1359" spans="2:5" x14ac:dyDescent="0.2">
      <c r="B1359" s="291"/>
      <c r="E1359" s="212"/>
    </row>
    <row r="1360" spans="2:5" x14ac:dyDescent="0.2">
      <c r="B1360" s="291"/>
      <c r="E1360" s="212"/>
    </row>
    <row r="1361" spans="2:5" x14ac:dyDescent="0.2">
      <c r="B1361" s="291"/>
      <c r="E1361" s="212"/>
    </row>
    <row r="1362" spans="2:5" x14ac:dyDescent="0.2">
      <c r="B1362" s="291"/>
      <c r="E1362" s="212"/>
    </row>
    <row r="1363" spans="2:5" x14ac:dyDescent="0.2">
      <c r="B1363" s="291"/>
      <c r="E1363" s="212"/>
    </row>
    <row r="1364" spans="2:5" x14ac:dyDescent="0.2">
      <c r="B1364" s="291"/>
      <c r="E1364" s="212"/>
    </row>
    <row r="1365" spans="2:5" x14ac:dyDescent="0.2">
      <c r="B1365" s="291"/>
      <c r="E1365" s="212"/>
    </row>
    <row r="1366" spans="2:5" x14ac:dyDescent="0.2">
      <c r="B1366" s="291"/>
      <c r="E1366" s="212"/>
    </row>
    <row r="1367" spans="2:5" x14ac:dyDescent="0.2">
      <c r="B1367" s="291"/>
      <c r="E1367" s="212"/>
    </row>
    <row r="1368" spans="2:5" x14ac:dyDescent="0.2">
      <c r="B1368" s="291"/>
      <c r="E1368" s="212"/>
    </row>
    <row r="1369" spans="2:5" x14ac:dyDescent="0.2">
      <c r="B1369" s="291"/>
      <c r="E1369" s="212"/>
    </row>
    <row r="1370" spans="2:5" x14ac:dyDescent="0.2">
      <c r="B1370" s="291"/>
      <c r="E1370" s="212"/>
    </row>
    <row r="1371" spans="2:5" x14ac:dyDescent="0.2">
      <c r="B1371" s="291"/>
      <c r="E1371" s="212"/>
    </row>
    <row r="1372" spans="2:5" x14ac:dyDescent="0.2">
      <c r="B1372" s="291"/>
      <c r="E1372" s="212"/>
    </row>
    <row r="1373" spans="2:5" x14ac:dyDescent="0.2">
      <c r="B1373" s="291"/>
      <c r="E1373" s="212"/>
    </row>
    <row r="1374" spans="2:5" x14ac:dyDescent="0.2">
      <c r="B1374" s="291"/>
      <c r="E1374" s="212"/>
    </row>
    <row r="1375" spans="2:5" x14ac:dyDescent="0.2">
      <c r="B1375" s="291"/>
      <c r="E1375" s="212"/>
    </row>
    <row r="1376" spans="2:5" x14ac:dyDescent="0.2">
      <c r="B1376" s="291"/>
      <c r="E1376" s="212"/>
    </row>
    <row r="1377" spans="2:5" x14ac:dyDescent="0.2">
      <c r="B1377" s="291"/>
      <c r="C1377" s="229"/>
      <c r="E1377" s="212"/>
    </row>
    <row r="1378" spans="2:5" x14ac:dyDescent="0.2">
      <c r="B1378" s="291"/>
      <c r="E1378" s="212"/>
    </row>
    <row r="1379" spans="2:5" x14ac:dyDescent="0.2">
      <c r="B1379" s="291"/>
      <c r="E1379" s="212"/>
    </row>
    <row r="1380" spans="2:5" x14ac:dyDescent="0.2">
      <c r="B1380" s="291"/>
      <c r="E1380" s="212"/>
    </row>
    <row r="1381" spans="2:5" x14ac:dyDescent="0.2">
      <c r="B1381" s="291"/>
      <c r="E1381" s="212"/>
    </row>
    <row r="1382" spans="2:5" x14ac:dyDescent="0.2">
      <c r="B1382" s="291"/>
      <c r="E1382" s="212"/>
    </row>
    <row r="1383" spans="2:5" x14ac:dyDescent="0.2">
      <c r="B1383" s="291"/>
      <c r="E1383" s="212"/>
    </row>
    <row r="1384" spans="2:5" x14ac:dyDescent="0.2">
      <c r="B1384" s="291"/>
      <c r="E1384" s="212"/>
    </row>
    <row r="1385" spans="2:5" x14ac:dyDescent="0.2">
      <c r="B1385" s="291"/>
      <c r="E1385" s="212"/>
    </row>
    <row r="1386" spans="2:5" x14ac:dyDescent="0.2">
      <c r="B1386" s="291"/>
      <c r="E1386" s="212"/>
    </row>
    <row r="1387" spans="2:5" x14ac:dyDescent="0.2">
      <c r="B1387" s="291"/>
      <c r="E1387" s="212"/>
    </row>
    <row r="1388" spans="2:5" x14ac:dyDescent="0.2">
      <c r="B1388" s="291"/>
      <c r="E1388" s="212"/>
    </row>
    <row r="1389" spans="2:5" x14ac:dyDescent="0.2">
      <c r="B1389" s="291"/>
      <c r="E1389" s="212"/>
    </row>
    <row r="1390" spans="2:5" x14ac:dyDescent="0.2">
      <c r="B1390" s="291"/>
      <c r="E1390" s="212"/>
    </row>
    <row r="1391" spans="2:5" x14ac:dyDescent="0.2">
      <c r="B1391" s="291"/>
      <c r="E1391" s="212"/>
    </row>
    <row r="1392" spans="2:5" x14ac:dyDescent="0.2">
      <c r="B1392" s="291"/>
      <c r="E1392" s="212"/>
    </row>
    <row r="1393" spans="2:5" x14ac:dyDescent="0.2">
      <c r="B1393" s="291"/>
      <c r="E1393" s="212"/>
    </row>
    <row r="1394" spans="2:5" x14ac:dyDescent="0.2">
      <c r="B1394" s="291"/>
      <c r="E1394" s="212"/>
    </row>
    <row r="1395" spans="2:5" x14ac:dyDescent="0.2">
      <c r="B1395" s="291"/>
      <c r="E1395" s="212"/>
    </row>
    <row r="1396" spans="2:5" x14ac:dyDescent="0.2">
      <c r="B1396" s="291"/>
      <c r="E1396" s="212"/>
    </row>
    <row r="1397" spans="2:5" x14ac:dyDescent="0.2">
      <c r="B1397" s="291"/>
      <c r="E1397" s="212"/>
    </row>
    <row r="1398" spans="2:5" x14ac:dyDescent="0.2">
      <c r="B1398" s="291"/>
      <c r="E1398" s="212"/>
    </row>
    <row r="1399" spans="2:5" x14ac:dyDescent="0.2">
      <c r="B1399" s="291"/>
      <c r="E1399" s="212"/>
    </row>
    <row r="1400" spans="2:5" x14ac:dyDescent="0.2">
      <c r="B1400" s="291"/>
      <c r="E1400" s="212"/>
    </row>
    <row r="1401" spans="2:5" x14ac:dyDescent="0.2">
      <c r="B1401" s="291"/>
      <c r="E1401" s="212"/>
    </row>
    <row r="1402" spans="2:5" x14ac:dyDescent="0.2">
      <c r="B1402" s="291"/>
      <c r="E1402" s="212"/>
    </row>
    <row r="1403" spans="2:5" x14ac:dyDescent="0.2">
      <c r="B1403" s="291"/>
      <c r="E1403" s="212"/>
    </row>
    <row r="1404" spans="2:5" x14ac:dyDescent="0.2">
      <c r="B1404" s="291"/>
      <c r="E1404" s="212"/>
    </row>
    <row r="1405" spans="2:5" x14ac:dyDescent="0.2">
      <c r="B1405" s="291"/>
      <c r="E1405" s="212"/>
    </row>
    <row r="1406" spans="2:5" x14ac:dyDescent="0.2">
      <c r="B1406" s="291"/>
      <c r="E1406" s="212"/>
    </row>
    <row r="1407" spans="2:5" x14ac:dyDescent="0.2">
      <c r="B1407" s="291"/>
      <c r="E1407" s="212"/>
    </row>
    <row r="1408" spans="2:5" x14ac:dyDescent="0.2">
      <c r="B1408" s="291"/>
      <c r="E1408" s="212"/>
    </row>
    <row r="1409" spans="2:5" x14ac:dyDescent="0.2">
      <c r="B1409" s="291"/>
      <c r="E1409" s="212"/>
    </row>
    <row r="1410" spans="2:5" x14ac:dyDescent="0.2">
      <c r="B1410" s="291"/>
      <c r="E1410" s="212"/>
    </row>
    <row r="1411" spans="2:5" x14ac:dyDescent="0.2">
      <c r="B1411" s="291"/>
      <c r="E1411" s="212"/>
    </row>
    <row r="1412" spans="2:5" x14ac:dyDescent="0.2">
      <c r="B1412" s="291"/>
      <c r="E1412" s="212"/>
    </row>
    <row r="1413" spans="2:5" x14ac:dyDescent="0.2">
      <c r="B1413" s="291"/>
      <c r="E1413" s="212"/>
    </row>
    <row r="1414" spans="2:5" x14ac:dyDescent="0.2">
      <c r="B1414" s="291"/>
      <c r="E1414" s="212"/>
    </row>
    <row r="1415" spans="2:5" x14ac:dyDescent="0.2">
      <c r="B1415" s="291"/>
      <c r="E1415" s="212"/>
    </row>
    <row r="1416" spans="2:5" x14ac:dyDescent="0.2">
      <c r="B1416" s="291"/>
      <c r="E1416" s="212"/>
    </row>
    <row r="1417" spans="2:5" x14ac:dyDescent="0.2">
      <c r="B1417" s="291"/>
      <c r="E1417" s="212"/>
    </row>
    <row r="1418" spans="2:5" x14ac:dyDescent="0.2">
      <c r="B1418" s="291"/>
      <c r="E1418" s="212"/>
    </row>
    <row r="1419" spans="2:5" x14ac:dyDescent="0.2">
      <c r="B1419" s="291"/>
      <c r="E1419" s="212"/>
    </row>
    <row r="1420" spans="2:5" x14ac:dyDescent="0.2">
      <c r="B1420" s="291"/>
      <c r="E1420" s="212"/>
    </row>
    <row r="1421" spans="2:5" x14ac:dyDescent="0.2">
      <c r="B1421" s="291"/>
      <c r="E1421" s="212"/>
    </row>
    <row r="1422" spans="2:5" x14ac:dyDescent="0.2">
      <c r="B1422" s="291"/>
      <c r="E1422" s="212"/>
    </row>
    <row r="1423" spans="2:5" x14ac:dyDescent="0.2">
      <c r="B1423" s="291"/>
      <c r="E1423" s="212"/>
    </row>
    <row r="1424" spans="2:5" x14ac:dyDescent="0.2">
      <c r="B1424" s="291"/>
      <c r="E1424" s="212"/>
    </row>
    <row r="1425" spans="2:5" x14ac:dyDescent="0.2">
      <c r="B1425" s="291"/>
      <c r="E1425" s="212"/>
    </row>
    <row r="1426" spans="2:5" x14ac:dyDescent="0.2">
      <c r="B1426" s="291"/>
      <c r="E1426" s="212"/>
    </row>
    <row r="1427" spans="2:5" x14ac:dyDescent="0.2">
      <c r="B1427" s="291"/>
      <c r="E1427" s="212"/>
    </row>
    <row r="1428" spans="2:5" x14ac:dyDescent="0.2">
      <c r="B1428" s="291"/>
      <c r="E1428" s="212"/>
    </row>
    <row r="1429" spans="2:5" x14ac:dyDescent="0.2">
      <c r="B1429" s="291"/>
      <c r="E1429" s="212"/>
    </row>
    <row r="1430" spans="2:5" x14ac:dyDescent="0.2">
      <c r="B1430" s="291"/>
      <c r="E1430" s="212"/>
    </row>
    <row r="1431" spans="2:5" x14ac:dyDescent="0.2">
      <c r="B1431" s="291"/>
      <c r="E1431" s="212"/>
    </row>
    <row r="1432" spans="2:5" x14ac:dyDescent="0.2">
      <c r="B1432" s="291"/>
      <c r="E1432" s="212"/>
    </row>
    <row r="1433" spans="2:5" x14ac:dyDescent="0.2">
      <c r="B1433" s="291"/>
      <c r="E1433" s="212"/>
    </row>
    <row r="1434" spans="2:5" x14ac:dyDescent="0.2">
      <c r="B1434" s="291"/>
      <c r="E1434" s="212"/>
    </row>
    <row r="1435" spans="2:5" x14ac:dyDescent="0.2">
      <c r="B1435" s="291"/>
      <c r="E1435" s="212"/>
    </row>
    <row r="1436" spans="2:5" x14ac:dyDescent="0.2">
      <c r="B1436" s="291"/>
      <c r="E1436" s="212"/>
    </row>
    <row r="1437" spans="2:5" x14ac:dyDescent="0.2">
      <c r="B1437" s="291"/>
      <c r="E1437" s="212"/>
    </row>
    <row r="1438" spans="2:5" x14ac:dyDescent="0.2">
      <c r="B1438" s="291"/>
      <c r="E1438" s="212"/>
    </row>
    <row r="1439" spans="2:5" x14ac:dyDescent="0.2">
      <c r="B1439" s="291"/>
      <c r="E1439" s="212"/>
    </row>
    <row r="1440" spans="2:5" x14ac:dyDescent="0.2">
      <c r="B1440" s="291"/>
      <c r="E1440" s="212"/>
    </row>
    <row r="1441" spans="2:5" x14ac:dyDescent="0.2">
      <c r="B1441" s="291"/>
      <c r="E1441" s="212"/>
    </row>
    <row r="1442" spans="2:5" x14ac:dyDescent="0.2">
      <c r="B1442" s="291"/>
      <c r="E1442" s="212"/>
    </row>
    <row r="1443" spans="2:5" x14ac:dyDescent="0.2">
      <c r="B1443" s="291"/>
      <c r="E1443" s="212"/>
    </row>
    <row r="1444" spans="2:5" x14ac:dyDescent="0.2">
      <c r="B1444" s="291"/>
      <c r="E1444" s="212"/>
    </row>
    <row r="1445" spans="2:5" x14ac:dyDescent="0.2">
      <c r="B1445" s="291"/>
      <c r="E1445" s="212"/>
    </row>
    <row r="1446" spans="2:5" x14ac:dyDescent="0.2">
      <c r="B1446" s="291"/>
      <c r="E1446" s="212"/>
    </row>
    <row r="1447" spans="2:5" x14ac:dyDescent="0.2">
      <c r="B1447" s="291"/>
      <c r="E1447" s="212"/>
    </row>
    <row r="1448" spans="2:5" x14ac:dyDescent="0.2">
      <c r="B1448" s="291"/>
      <c r="E1448" s="212"/>
    </row>
    <row r="1449" spans="2:5" x14ac:dyDescent="0.2">
      <c r="B1449" s="291"/>
      <c r="E1449" s="212"/>
    </row>
    <row r="1450" spans="2:5" x14ac:dyDescent="0.2">
      <c r="B1450" s="291"/>
      <c r="E1450" s="212"/>
    </row>
    <row r="1451" spans="2:5" x14ac:dyDescent="0.2">
      <c r="B1451" s="291"/>
      <c r="E1451" s="212"/>
    </row>
    <row r="1452" spans="2:5" x14ac:dyDescent="0.2">
      <c r="B1452" s="291"/>
      <c r="E1452" s="212"/>
    </row>
    <row r="1453" spans="2:5" x14ac:dyDescent="0.2">
      <c r="B1453" s="291"/>
      <c r="E1453" s="212"/>
    </row>
    <row r="1454" spans="2:5" x14ac:dyDescent="0.2">
      <c r="B1454" s="291"/>
      <c r="E1454" s="212"/>
    </row>
    <row r="1455" spans="2:5" x14ac:dyDescent="0.2">
      <c r="B1455" s="291"/>
      <c r="E1455" s="212"/>
    </row>
    <row r="1456" spans="2:5" x14ac:dyDescent="0.2">
      <c r="B1456" s="291"/>
      <c r="E1456" s="212"/>
    </row>
    <row r="1457" spans="2:5" x14ac:dyDescent="0.2">
      <c r="B1457" s="291"/>
      <c r="E1457" s="212"/>
    </row>
    <row r="1458" spans="2:5" x14ac:dyDescent="0.2">
      <c r="B1458" s="291"/>
      <c r="E1458" s="212"/>
    </row>
    <row r="1459" spans="2:5" x14ac:dyDescent="0.2">
      <c r="B1459" s="291"/>
      <c r="E1459" s="212"/>
    </row>
    <row r="1460" spans="2:5" x14ac:dyDescent="0.2">
      <c r="B1460" s="291"/>
      <c r="E1460" s="212"/>
    </row>
    <row r="1461" spans="2:5" x14ac:dyDescent="0.2">
      <c r="B1461" s="291"/>
      <c r="E1461" s="212"/>
    </row>
    <row r="1462" spans="2:5" x14ac:dyDescent="0.2">
      <c r="B1462" s="291"/>
      <c r="E1462" s="212"/>
    </row>
    <row r="1463" spans="2:5" x14ac:dyDescent="0.2">
      <c r="B1463" s="291"/>
      <c r="E1463" s="212"/>
    </row>
    <row r="1464" spans="2:5" x14ac:dyDescent="0.2">
      <c r="B1464" s="291"/>
      <c r="E1464" s="212"/>
    </row>
    <row r="1465" spans="2:5" x14ac:dyDescent="0.2">
      <c r="B1465" s="291"/>
      <c r="E1465" s="212"/>
    </row>
    <row r="1466" spans="2:5" x14ac:dyDescent="0.2">
      <c r="B1466" s="291"/>
      <c r="E1466" s="212"/>
    </row>
    <row r="1467" spans="2:5" x14ac:dyDescent="0.2">
      <c r="B1467" s="291"/>
      <c r="E1467" s="212"/>
    </row>
    <row r="1468" spans="2:5" x14ac:dyDescent="0.2">
      <c r="B1468" s="291"/>
      <c r="E1468" s="212"/>
    </row>
    <row r="1469" spans="2:5" x14ac:dyDescent="0.2">
      <c r="B1469" s="291"/>
      <c r="E1469" s="212"/>
    </row>
    <row r="1470" spans="2:5" x14ac:dyDescent="0.2">
      <c r="B1470" s="291"/>
      <c r="E1470" s="212"/>
    </row>
    <row r="1471" spans="2:5" x14ac:dyDescent="0.2">
      <c r="B1471" s="291"/>
      <c r="E1471" s="212"/>
    </row>
    <row r="1472" spans="2:5" x14ac:dyDescent="0.2">
      <c r="B1472" s="291"/>
      <c r="E1472" s="212"/>
    </row>
    <row r="1473" spans="2:5" x14ac:dyDescent="0.2">
      <c r="B1473" s="291"/>
      <c r="E1473" s="212"/>
    </row>
    <row r="1474" spans="2:5" x14ac:dyDescent="0.2">
      <c r="B1474" s="291"/>
      <c r="E1474" s="212"/>
    </row>
    <row r="1475" spans="2:5" x14ac:dyDescent="0.2">
      <c r="B1475" s="291"/>
      <c r="E1475" s="212"/>
    </row>
    <row r="1476" spans="2:5" x14ac:dyDescent="0.2">
      <c r="B1476" s="291"/>
      <c r="E1476" s="212"/>
    </row>
    <row r="1477" spans="2:5" x14ac:dyDescent="0.2">
      <c r="B1477" s="291"/>
      <c r="E1477" s="212"/>
    </row>
    <row r="1478" spans="2:5" x14ac:dyDescent="0.2">
      <c r="B1478" s="291"/>
      <c r="E1478" s="212"/>
    </row>
    <row r="1479" spans="2:5" x14ac:dyDescent="0.2">
      <c r="B1479" s="291"/>
      <c r="E1479" s="212"/>
    </row>
    <row r="1480" spans="2:5" x14ac:dyDescent="0.2">
      <c r="B1480" s="291"/>
      <c r="E1480" s="212"/>
    </row>
    <row r="1481" spans="2:5" x14ac:dyDescent="0.2">
      <c r="B1481" s="291"/>
      <c r="E1481" s="212"/>
    </row>
    <row r="1482" spans="2:5" x14ac:dyDescent="0.2">
      <c r="B1482" s="291"/>
      <c r="E1482" s="212"/>
    </row>
    <row r="1483" spans="2:5" x14ac:dyDescent="0.2">
      <c r="B1483" s="291"/>
      <c r="E1483" s="212"/>
    </row>
    <row r="1484" spans="2:5" x14ac:dyDescent="0.2">
      <c r="B1484" s="291"/>
      <c r="E1484" s="212"/>
    </row>
    <row r="1485" spans="2:5" x14ac:dyDescent="0.2">
      <c r="B1485" s="291"/>
      <c r="E1485" s="212"/>
    </row>
    <row r="1486" spans="2:5" x14ac:dyDescent="0.2">
      <c r="B1486" s="291"/>
      <c r="E1486" s="212"/>
    </row>
    <row r="1487" spans="2:5" x14ac:dyDescent="0.2">
      <c r="B1487" s="291"/>
      <c r="E1487" s="212"/>
    </row>
    <row r="1488" spans="2:5" x14ac:dyDescent="0.2">
      <c r="B1488" s="291"/>
      <c r="E1488" s="212"/>
    </row>
    <row r="1489" spans="2:5" x14ac:dyDescent="0.2">
      <c r="B1489" s="291"/>
      <c r="E1489" s="212"/>
    </row>
    <row r="1490" spans="2:5" x14ac:dyDescent="0.2">
      <c r="B1490" s="291"/>
      <c r="C1490" s="229"/>
      <c r="E1490" s="212"/>
    </row>
    <row r="1491" spans="2:5" x14ac:dyDescent="0.2">
      <c r="B1491" s="291"/>
      <c r="E1491" s="212"/>
    </row>
    <row r="1492" spans="2:5" x14ac:dyDescent="0.2">
      <c r="B1492" s="291"/>
      <c r="E1492" s="212"/>
    </row>
    <row r="1493" spans="2:5" x14ac:dyDescent="0.2">
      <c r="B1493" s="291"/>
      <c r="E1493" s="212"/>
    </row>
    <row r="1494" spans="2:5" x14ac:dyDescent="0.2">
      <c r="B1494" s="291"/>
      <c r="E1494" s="212"/>
    </row>
    <row r="1495" spans="2:5" x14ac:dyDescent="0.2">
      <c r="B1495" s="291"/>
      <c r="E1495" s="212"/>
    </row>
    <row r="1496" spans="2:5" x14ac:dyDescent="0.2">
      <c r="B1496" s="291"/>
      <c r="E1496" s="212"/>
    </row>
    <row r="1497" spans="2:5" x14ac:dyDescent="0.2">
      <c r="B1497" s="291"/>
      <c r="E1497" s="212"/>
    </row>
    <row r="1498" spans="2:5" x14ac:dyDescent="0.2">
      <c r="B1498" s="291"/>
      <c r="E1498" s="212"/>
    </row>
    <row r="1499" spans="2:5" x14ac:dyDescent="0.2">
      <c r="B1499" s="291"/>
      <c r="E1499" s="212"/>
    </row>
    <row r="1500" spans="2:5" x14ac:dyDescent="0.2">
      <c r="B1500" s="291"/>
      <c r="E1500" s="212"/>
    </row>
    <row r="1501" spans="2:5" x14ac:dyDescent="0.2">
      <c r="B1501" s="291"/>
      <c r="E1501" s="212"/>
    </row>
    <row r="1502" spans="2:5" x14ac:dyDescent="0.2">
      <c r="B1502" s="291"/>
      <c r="E1502" s="212"/>
    </row>
    <row r="1503" spans="2:5" x14ac:dyDescent="0.2">
      <c r="B1503" s="291"/>
      <c r="E1503" s="212"/>
    </row>
    <row r="1504" spans="2:5" x14ac:dyDescent="0.2">
      <c r="B1504" s="291"/>
      <c r="E1504" s="212"/>
    </row>
    <row r="1505" spans="2:5" x14ac:dyDescent="0.2">
      <c r="B1505" s="291"/>
      <c r="E1505" s="212"/>
    </row>
    <row r="1506" spans="2:5" x14ac:dyDescent="0.2">
      <c r="B1506" s="291"/>
      <c r="E1506" s="212"/>
    </row>
    <row r="1507" spans="2:5" x14ac:dyDescent="0.2">
      <c r="B1507" s="291"/>
      <c r="E1507" s="212"/>
    </row>
    <row r="1508" spans="2:5" x14ac:dyDescent="0.2">
      <c r="B1508" s="291"/>
      <c r="E1508" s="212"/>
    </row>
    <row r="1509" spans="2:5" x14ac:dyDescent="0.2">
      <c r="B1509" s="291"/>
      <c r="E1509" s="212"/>
    </row>
    <row r="1510" spans="2:5" x14ac:dyDescent="0.2">
      <c r="B1510" s="291"/>
      <c r="E1510" s="212"/>
    </row>
    <row r="1511" spans="2:5" x14ac:dyDescent="0.2">
      <c r="B1511" s="291"/>
      <c r="E1511" s="212"/>
    </row>
    <row r="1512" spans="2:5" x14ac:dyDescent="0.2">
      <c r="B1512" s="291"/>
      <c r="E1512" s="212"/>
    </row>
    <row r="1513" spans="2:5" x14ac:dyDescent="0.2">
      <c r="B1513" s="291"/>
      <c r="E1513" s="212"/>
    </row>
    <row r="1514" spans="2:5" x14ac:dyDescent="0.2">
      <c r="B1514" s="291"/>
      <c r="E1514" s="212"/>
    </row>
    <row r="1515" spans="2:5" x14ac:dyDescent="0.2">
      <c r="B1515" s="291"/>
      <c r="E1515" s="212"/>
    </row>
    <row r="1516" spans="2:5" x14ac:dyDescent="0.2">
      <c r="B1516" s="291"/>
      <c r="E1516" s="212"/>
    </row>
    <row r="1517" spans="2:5" x14ac:dyDescent="0.2">
      <c r="B1517" s="291"/>
      <c r="E1517" s="212"/>
    </row>
    <row r="1518" spans="2:5" x14ac:dyDescent="0.2">
      <c r="B1518" s="291"/>
      <c r="E1518" s="212"/>
    </row>
    <row r="1519" spans="2:5" x14ac:dyDescent="0.2">
      <c r="B1519" s="291"/>
      <c r="E1519" s="212"/>
    </row>
    <row r="1520" spans="2:5" x14ac:dyDescent="0.2">
      <c r="B1520" s="291"/>
      <c r="E1520" s="212"/>
    </row>
    <row r="1521" spans="2:5" x14ac:dyDescent="0.2">
      <c r="B1521" s="291"/>
      <c r="E1521" s="212"/>
    </row>
    <row r="1522" spans="2:5" x14ac:dyDescent="0.2">
      <c r="B1522" s="291"/>
      <c r="E1522" s="212"/>
    </row>
    <row r="1523" spans="2:5" x14ac:dyDescent="0.2">
      <c r="B1523" s="291"/>
      <c r="E1523" s="212"/>
    </row>
    <row r="1524" spans="2:5" x14ac:dyDescent="0.2">
      <c r="B1524" s="291"/>
      <c r="E1524" s="212"/>
    </row>
    <row r="1525" spans="2:5" x14ac:dyDescent="0.2">
      <c r="B1525" s="291"/>
      <c r="E1525" s="212"/>
    </row>
    <row r="1526" spans="2:5" x14ac:dyDescent="0.2">
      <c r="B1526" s="291"/>
      <c r="E1526" s="212"/>
    </row>
    <row r="1527" spans="2:5" x14ac:dyDescent="0.2">
      <c r="B1527" s="291"/>
      <c r="E1527" s="212"/>
    </row>
    <row r="1528" spans="2:5" x14ac:dyDescent="0.2">
      <c r="B1528" s="291"/>
      <c r="E1528" s="212"/>
    </row>
    <row r="1529" spans="2:5" x14ac:dyDescent="0.2">
      <c r="B1529" s="291"/>
      <c r="E1529" s="212"/>
    </row>
    <row r="1530" spans="2:5" x14ac:dyDescent="0.2">
      <c r="B1530" s="291"/>
      <c r="E1530" s="212"/>
    </row>
    <row r="1531" spans="2:5" x14ac:dyDescent="0.2">
      <c r="B1531" s="291"/>
      <c r="E1531" s="212"/>
    </row>
    <row r="1532" spans="2:5" x14ac:dyDescent="0.2">
      <c r="B1532" s="291"/>
      <c r="E1532" s="212"/>
    </row>
    <row r="1533" spans="2:5" x14ac:dyDescent="0.2">
      <c r="B1533" s="291"/>
      <c r="E1533" s="212"/>
    </row>
    <row r="1534" spans="2:5" x14ac:dyDescent="0.2">
      <c r="B1534" s="291"/>
      <c r="E1534" s="212"/>
    </row>
    <row r="1535" spans="2:5" x14ac:dyDescent="0.2">
      <c r="B1535" s="291"/>
      <c r="E1535" s="212"/>
    </row>
    <row r="1536" spans="2:5" x14ac:dyDescent="0.2">
      <c r="B1536" s="291"/>
      <c r="E1536" s="212"/>
    </row>
    <row r="1537" spans="2:5" x14ac:dyDescent="0.2">
      <c r="B1537" s="291"/>
      <c r="E1537" s="212"/>
    </row>
    <row r="1538" spans="2:5" x14ac:dyDescent="0.2">
      <c r="B1538" s="291"/>
      <c r="E1538" s="212"/>
    </row>
    <row r="1539" spans="2:5" x14ac:dyDescent="0.2">
      <c r="B1539" s="291"/>
      <c r="E1539" s="212"/>
    </row>
    <row r="1540" spans="2:5" x14ac:dyDescent="0.2">
      <c r="B1540" s="291"/>
      <c r="E1540" s="212"/>
    </row>
    <row r="1541" spans="2:5" x14ac:dyDescent="0.2">
      <c r="B1541" s="291"/>
      <c r="E1541" s="212"/>
    </row>
    <row r="1542" spans="2:5" x14ac:dyDescent="0.2">
      <c r="B1542" s="291"/>
      <c r="E1542" s="212"/>
    </row>
    <row r="1543" spans="2:5" x14ac:dyDescent="0.2">
      <c r="B1543" s="291"/>
      <c r="E1543" s="212"/>
    </row>
    <row r="1544" spans="2:5" x14ac:dyDescent="0.2">
      <c r="B1544" s="291"/>
      <c r="E1544" s="212"/>
    </row>
    <row r="1545" spans="2:5" x14ac:dyDescent="0.2">
      <c r="B1545" s="291"/>
      <c r="E1545" s="212"/>
    </row>
    <row r="1546" spans="2:5" x14ac:dyDescent="0.2">
      <c r="B1546" s="291"/>
      <c r="E1546" s="212"/>
    </row>
    <row r="1547" spans="2:5" x14ac:dyDescent="0.2">
      <c r="B1547" s="291"/>
      <c r="E1547" s="212"/>
    </row>
    <row r="1548" spans="2:5" x14ac:dyDescent="0.2">
      <c r="B1548" s="291"/>
      <c r="E1548" s="212"/>
    </row>
    <row r="1549" spans="2:5" x14ac:dyDescent="0.2">
      <c r="B1549" s="291"/>
      <c r="E1549" s="212"/>
    </row>
    <row r="1550" spans="2:5" x14ac:dyDescent="0.2">
      <c r="B1550" s="291"/>
      <c r="E1550" s="212"/>
    </row>
    <row r="1551" spans="2:5" x14ac:dyDescent="0.2">
      <c r="B1551" s="291"/>
      <c r="E1551" s="212"/>
    </row>
    <row r="1552" spans="2:5" x14ac:dyDescent="0.2">
      <c r="B1552" s="291"/>
      <c r="E1552" s="212"/>
    </row>
    <row r="1553" spans="2:5" x14ac:dyDescent="0.2">
      <c r="B1553" s="291"/>
      <c r="E1553" s="212"/>
    </row>
    <row r="1554" spans="2:5" x14ac:dyDescent="0.2">
      <c r="B1554" s="291"/>
      <c r="E1554" s="212"/>
    </row>
    <row r="1555" spans="2:5" x14ac:dyDescent="0.2">
      <c r="B1555" s="291"/>
      <c r="E1555" s="212"/>
    </row>
    <row r="1556" spans="2:5" x14ac:dyDescent="0.2">
      <c r="B1556" s="291"/>
      <c r="E1556" s="212"/>
    </row>
    <row r="1557" spans="2:5" x14ac:dyDescent="0.2">
      <c r="B1557" s="291"/>
      <c r="E1557" s="212"/>
    </row>
    <row r="1558" spans="2:5" x14ac:dyDescent="0.2">
      <c r="B1558" s="291"/>
      <c r="E1558" s="212"/>
    </row>
    <row r="1559" spans="2:5" x14ac:dyDescent="0.2">
      <c r="B1559" s="291"/>
      <c r="E1559" s="212"/>
    </row>
    <row r="1560" spans="2:5" x14ac:dyDescent="0.2">
      <c r="B1560" s="291"/>
      <c r="E1560" s="212"/>
    </row>
    <row r="1561" spans="2:5" x14ac:dyDescent="0.2">
      <c r="B1561" s="291"/>
      <c r="E1561" s="212"/>
    </row>
    <row r="1562" spans="2:5" x14ac:dyDescent="0.2">
      <c r="B1562" s="291"/>
      <c r="E1562" s="212"/>
    </row>
    <row r="1563" spans="2:5" x14ac:dyDescent="0.2">
      <c r="B1563" s="291"/>
      <c r="E1563" s="212"/>
    </row>
    <row r="1564" spans="2:5" x14ac:dyDescent="0.2">
      <c r="B1564" s="291"/>
      <c r="E1564" s="212"/>
    </row>
    <row r="1565" spans="2:5" x14ac:dyDescent="0.2">
      <c r="B1565" s="291"/>
      <c r="E1565" s="212"/>
    </row>
    <row r="1566" spans="2:5" x14ac:dyDescent="0.2">
      <c r="B1566" s="291"/>
      <c r="E1566" s="212"/>
    </row>
    <row r="1567" spans="2:5" x14ac:dyDescent="0.2">
      <c r="B1567" s="291"/>
      <c r="E1567" s="212"/>
    </row>
    <row r="1568" spans="2:5" x14ac:dyDescent="0.2">
      <c r="B1568" s="291"/>
      <c r="E1568" s="212"/>
    </row>
    <row r="1569" spans="2:5" x14ac:dyDescent="0.2">
      <c r="B1569" s="291"/>
      <c r="E1569" s="212"/>
    </row>
    <row r="1570" spans="2:5" x14ac:dyDescent="0.2">
      <c r="B1570" s="291"/>
      <c r="E1570" s="212"/>
    </row>
    <row r="1571" spans="2:5" x14ac:dyDescent="0.2">
      <c r="B1571" s="291"/>
      <c r="E1571" s="212"/>
    </row>
    <row r="1572" spans="2:5" x14ac:dyDescent="0.2">
      <c r="B1572" s="291"/>
      <c r="E1572" s="212"/>
    </row>
    <row r="1573" spans="2:5" x14ac:dyDescent="0.2">
      <c r="B1573" s="291"/>
      <c r="E1573" s="212"/>
    </row>
    <row r="1574" spans="2:5" x14ac:dyDescent="0.2">
      <c r="B1574" s="291"/>
      <c r="E1574" s="212"/>
    </row>
    <row r="1575" spans="2:5" x14ac:dyDescent="0.2">
      <c r="B1575" s="291"/>
      <c r="E1575" s="212"/>
    </row>
    <row r="1576" spans="2:5" x14ac:dyDescent="0.2">
      <c r="B1576" s="291"/>
      <c r="E1576" s="212"/>
    </row>
    <row r="1577" spans="2:5" x14ac:dyDescent="0.2">
      <c r="B1577" s="291"/>
      <c r="E1577" s="212"/>
    </row>
    <row r="1578" spans="2:5" x14ac:dyDescent="0.2">
      <c r="B1578" s="291"/>
      <c r="E1578" s="212"/>
    </row>
    <row r="1579" spans="2:5" x14ac:dyDescent="0.2">
      <c r="B1579" s="291"/>
      <c r="E1579" s="212"/>
    </row>
    <row r="1580" spans="2:5" x14ac:dyDescent="0.2">
      <c r="B1580" s="291"/>
      <c r="E1580" s="212"/>
    </row>
    <row r="1581" spans="2:5" x14ac:dyDescent="0.2">
      <c r="B1581" s="291"/>
      <c r="E1581" s="212"/>
    </row>
    <row r="1582" spans="2:5" x14ac:dyDescent="0.2">
      <c r="B1582" s="291"/>
      <c r="E1582" s="212"/>
    </row>
    <row r="1583" spans="2:5" x14ac:dyDescent="0.2">
      <c r="B1583" s="291"/>
      <c r="E1583" s="212"/>
    </row>
    <row r="1584" spans="2:5" x14ac:dyDescent="0.2">
      <c r="B1584" s="291"/>
      <c r="E1584" s="212"/>
    </row>
    <row r="1585" spans="2:5" x14ac:dyDescent="0.2">
      <c r="B1585" s="291"/>
      <c r="E1585" s="212"/>
    </row>
    <row r="1586" spans="2:5" x14ac:dyDescent="0.2">
      <c r="B1586" s="291"/>
      <c r="E1586" s="212"/>
    </row>
    <row r="1587" spans="2:5" x14ac:dyDescent="0.2">
      <c r="B1587" s="291"/>
      <c r="E1587" s="212"/>
    </row>
    <row r="1588" spans="2:5" x14ac:dyDescent="0.2">
      <c r="B1588" s="291"/>
      <c r="E1588" s="212"/>
    </row>
    <row r="1589" spans="2:5" x14ac:dyDescent="0.2">
      <c r="B1589" s="291"/>
      <c r="E1589" s="212"/>
    </row>
    <row r="1590" spans="2:5" x14ac:dyDescent="0.2">
      <c r="B1590" s="291"/>
      <c r="E1590" s="212"/>
    </row>
    <row r="1591" spans="2:5" x14ac:dyDescent="0.2">
      <c r="B1591" s="291"/>
      <c r="E1591" s="212"/>
    </row>
    <row r="1592" spans="2:5" x14ac:dyDescent="0.2">
      <c r="B1592" s="291"/>
      <c r="E1592" s="212"/>
    </row>
    <row r="1593" spans="2:5" x14ac:dyDescent="0.2">
      <c r="B1593" s="291"/>
      <c r="E1593" s="212"/>
    </row>
    <row r="1594" spans="2:5" x14ac:dyDescent="0.2">
      <c r="B1594" s="291"/>
      <c r="E1594" s="212"/>
    </row>
    <row r="1595" spans="2:5" x14ac:dyDescent="0.2">
      <c r="B1595" s="291"/>
      <c r="E1595" s="212"/>
    </row>
    <row r="1596" spans="2:5" x14ac:dyDescent="0.2">
      <c r="B1596" s="291"/>
      <c r="E1596" s="212"/>
    </row>
    <row r="1597" spans="2:5" x14ac:dyDescent="0.2">
      <c r="B1597" s="291"/>
      <c r="E1597" s="212"/>
    </row>
    <row r="1598" spans="2:5" x14ac:dyDescent="0.2">
      <c r="B1598" s="291"/>
      <c r="E1598" s="212"/>
    </row>
    <row r="1599" spans="2:5" x14ac:dyDescent="0.2">
      <c r="B1599" s="291"/>
      <c r="E1599" s="212"/>
    </row>
    <row r="1600" spans="2:5" x14ac:dyDescent="0.2">
      <c r="B1600" s="291"/>
      <c r="E1600" s="212"/>
    </row>
    <row r="1601" spans="2:5" x14ac:dyDescent="0.2">
      <c r="B1601" s="291"/>
      <c r="E1601" s="212"/>
    </row>
    <row r="1602" spans="2:5" x14ac:dyDescent="0.2">
      <c r="B1602" s="291"/>
      <c r="E1602" s="212"/>
    </row>
    <row r="1603" spans="2:5" x14ac:dyDescent="0.2">
      <c r="B1603" s="291"/>
      <c r="E1603" s="212"/>
    </row>
    <row r="1604" spans="2:5" x14ac:dyDescent="0.2">
      <c r="B1604" s="291"/>
      <c r="E1604" s="212"/>
    </row>
    <row r="1605" spans="2:5" x14ac:dyDescent="0.2">
      <c r="B1605" s="291"/>
      <c r="E1605" s="212"/>
    </row>
    <row r="1606" spans="2:5" x14ac:dyDescent="0.2">
      <c r="B1606" s="291"/>
      <c r="E1606" s="212"/>
    </row>
    <row r="1607" spans="2:5" x14ac:dyDescent="0.2">
      <c r="B1607" s="291"/>
      <c r="E1607" s="212"/>
    </row>
    <row r="1608" spans="2:5" x14ac:dyDescent="0.2">
      <c r="B1608" s="291"/>
      <c r="E1608" s="212"/>
    </row>
    <row r="1609" spans="2:5" x14ac:dyDescent="0.2">
      <c r="B1609" s="291"/>
      <c r="E1609" s="212"/>
    </row>
    <row r="1610" spans="2:5" x14ac:dyDescent="0.2">
      <c r="B1610" s="291"/>
      <c r="E1610" s="212"/>
    </row>
    <row r="1611" spans="2:5" x14ac:dyDescent="0.2">
      <c r="B1611" s="291"/>
      <c r="E1611" s="212"/>
    </row>
    <row r="1612" spans="2:5" x14ac:dyDescent="0.2">
      <c r="B1612" s="291"/>
      <c r="E1612" s="212"/>
    </row>
    <row r="1613" spans="2:5" x14ac:dyDescent="0.2">
      <c r="B1613" s="291"/>
      <c r="E1613" s="212"/>
    </row>
    <row r="1614" spans="2:5" x14ac:dyDescent="0.2">
      <c r="B1614" s="291"/>
      <c r="E1614" s="212"/>
    </row>
    <row r="1615" spans="2:5" x14ac:dyDescent="0.2">
      <c r="B1615" s="291"/>
      <c r="E1615" s="212"/>
    </row>
    <row r="1616" spans="2:5" x14ac:dyDescent="0.2">
      <c r="B1616" s="291"/>
      <c r="E1616" s="212"/>
    </row>
    <row r="1617" spans="2:5" x14ac:dyDescent="0.2">
      <c r="B1617" s="291"/>
      <c r="E1617" s="212"/>
    </row>
    <row r="1618" spans="2:5" x14ac:dyDescent="0.2">
      <c r="B1618" s="291"/>
      <c r="E1618" s="212"/>
    </row>
    <row r="1619" spans="2:5" x14ac:dyDescent="0.2">
      <c r="B1619" s="291"/>
      <c r="E1619" s="212"/>
    </row>
    <row r="1620" spans="2:5" x14ac:dyDescent="0.2">
      <c r="B1620" s="291"/>
      <c r="E1620" s="212"/>
    </row>
    <row r="1621" spans="2:5" x14ac:dyDescent="0.2">
      <c r="B1621" s="291"/>
      <c r="E1621" s="212"/>
    </row>
    <row r="1622" spans="2:5" x14ac:dyDescent="0.2">
      <c r="B1622" s="291"/>
      <c r="E1622" s="212"/>
    </row>
    <row r="1623" spans="2:5" x14ac:dyDescent="0.2">
      <c r="B1623" s="291"/>
      <c r="E1623" s="212"/>
    </row>
    <row r="1624" spans="2:5" x14ac:dyDescent="0.2">
      <c r="B1624" s="291"/>
      <c r="E1624" s="212"/>
    </row>
    <row r="1625" spans="2:5" x14ac:dyDescent="0.2">
      <c r="B1625" s="291"/>
      <c r="E1625" s="212"/>
    </row>
    <row r="1626" spans="2:5" x14ac:dyDescent="0.2">
      <c r="B1626" s="291"/>
      <c r="E1626" s="212"/>
    </row>
    <row r="1627" spans="2:5" x14ac:dyDescent="0.2">
      <c r="B1627" s="291"/>
      <c r="E1627" s="212"/>
    </row>
    <row r="1628" spans="2:5" x14ac:dyDescent="0.2">
      <c r="B1628" s="291"/>
      <c r="E1628" s="212"/>
    </row>
    <row r="1629" spans="2:5" x14ac:dyDescent="0.2">
      <c r="B1629" s="291"/>
      <c r="E1629" s="212"/>
    </row>
    <row r="1630" spans="2:5" x14ac:dyDescent="0.2">
      <c r="B1630" s="291"/>
      <c r="E1630" s="212"/>
    </row>
    <row r="1631" spans="2:5" x14ac:dyDescent="0.2">
      <c r="B1631" s="291"/>
      <c r="E1631" s="212"/>
    </row>
    <row r="1632" spans="2:5" x14ac:dyDescent="0.2">
      <c r="B1632" s="291"/>
      <c r="E1632" s="212"/>
    </row>
    <row r="1633" spans="2:5" x14ac:dyDescent="0.2">
      <c r="B1633" s="291"/>
      <c r="E1633" s="212"/>
    </row>
    <row r="1634" spans="2:5" x14ac:dyDescent="0.2">
      <c r="B1634" s="291"/>
      <c r="E1634" s="212"/>
    </row>
    <row r="1635" spans="2:5" x14ac:dyDescent="0.2">
      <c r="B1635" s="291"/>
      <c r="E1635" s="212"/>
    </row>
    <row r="1636" spans="2:5" x14ac:dyDescent="0.2">
      <c r="B1636" s="291"/>
      <c r="E1636" s="212"/>
    </row>
    <row r="1637" spans="2:5" x14ac:dyDescent="0.2">
      <c r="B1637" s="291"/>
      <c r="E1637" s="212"/>
    </row>
    <row r="1638" spans="2:5" x14ac:dyDescent="0.2">
      <c r="B1638" s="291"/>
      <c r="E1638" s="212"/>
    </row>
    <row r="1639" spans="2:5" x14ac:dyDescent="0.2">
      <c r="B1639" s="291"/>
      <c r="E1639" s="212"/>
    </row>
    <row r="1640" spans="2:5" x14ac:dyDescent="0.2">
      <c r="B1640" s="291"/>
      <c r="E1640" s="212"/>
    </row>
    <row r="1641" spans="2:5" x14ac:dyDescent="0.2">
      <c r="B1641" s="291"/>
      <c r="E1641" s="212"/>
    </row>
    <row r="1642" spans="2:5" x14ac:dyDescent="0.2">
      <c r="B1642" s="291"/>
      <c r="E1642" s="212"/>
    </row>
    <row r="1643" spans="2:5" x14ac:dyDescent="0.2">
      <c r="B1643" s="291"/>
      <c r="E1643" s="212"/>
    </row>
    <row r="1644" spans="2:5" x14ac:dyDescent="0.2">
      <c r="B1644" s="291"/>
      <c r="E1644" s="212"/>
    </row>
    <row r="1645" spans="2:5" x14ac:dyDescent="0.2">
      <c r="B1645" s="291"/>
      <c r="E1645" s="212"/>
    </row>
    <row r="1646" spans="2:5" x14ac:dyDescent="0.2">
      <c r="B1646" s="291"/>
      <c r="E1646" s="212"/>
    </row>
    <row r="1647" spans="2:5" x14ac:dyDescent="0.2">
      <c r="B1647" s="291"/>
      <c r="E1647" s="212"/>
    </row>
    <row r="1648" spans="2:5" x14ac:dyDescent="0.2">
      <c r="B1648" s="291"/>
      <c r="E1648" s="212"/>
    </row>
    <row r="1649" spans="2:5" x14ac:dyDescent="0.2">
      <c r="B1649" s="291"/>
      <c r="E1649" s="212"/>
    </row>
    <row r="1650" spans="2:5" x14ac:dyDescent="0.2">
      <c r="B1650" s="291"/>
      <c r="E1650" s="212"/>
    </row>
    <row r="1651" spans="2:5" x14ac:dyDescent="0.2">
      <c r="B1651" s="291"/>
      <c r="E1651" s="212"/>
    </row>
    <row r="1652" spans="2:5" x14ac:dyDescent="0.2">
      <c r="B1652" s="291"/>
      <c r="E1652" s="212"/>
    </row>
    <row r="1653" spans="2:5" x14ac:dyDescent="0.2">
      <c r="B1653" s="291"/>
      <c r="E1653" s="212"/>
    </row>
    <row r="1654" spans="2:5" x14ac:dyDescent="0.2">
      <c r="B1654" s="291"/>
      <c r="E1654" s="212"/>
    </row>
    <row r="1655" spans="2:5" x14ac:dyDescent="0.2">
      <c r="B1655" s="291"/>
      <c r="E1655" s="212"/>
    </row>
    <row r="1656" spans="2:5" x14ac:dyDescent="0.2">
      <c r="B1656" s="291"/>
      <c r="E1656" s="212"/>
    </row>
    <row r="1657" spans="2:5" x14ac:dyDescent="0.2">
      <c r="B1657" s="291"/>
      <c r="E1657" s="212"/>
    </row>
    <row r="1658" spans="2:5" x14ac:dyDescent="0.2">
      <c r="B1658" s="291"/>
      <c r="E1658" s="212"/>
    </row>
    <row r="1659" spans="2:5" x14ac:dyDescent="0.2">
      <c r="B1659" s="291"/>
      <c r="E1659" s="212"/>
    </row>
    <row r="1660" spans="2:5" x14ac:dyDescent="0.2">
      <c r="B1660" s="291"/>
      <c r="E1660" s="212"/>
    </row>
    <row r="1661" spans="2:5" x14ac:dyDescent="0.2">
      <c r="B1661" s="291"/>
      <c r="E1661" s="212"/>
    </row>
    <row r="1662" spans="2:5" x14ac:dyDescent="0.2">
      <c r="B1662" s="291"/>
      <c r="E1662" s="212"/>
    </row>
    <row r="1663" spans="2:5" x14ac:dyDescent="0.2">
      <c r="B1663" s="291"/>
      <c r="E1663" s="212"/>
    </row>
    <row r="1664" spans="2:5" x14ac:dyDescent="0.2">
      <c r="B1664" s="291"/>
      <c r="E1664" s="212"/>
    </row>
    <row r="1665" spans="2:5" x14ac:dyDescent="0.2">
      <c r="B1665" s="291"/>
      <c r="E1665" s="212"/>
    </row>
    <row r="1666" spans="2:5" x14ac:dyDescent="0.2">
      <c r="B1666" s="291"/>
      <c r="E1666" s="212"/>
    </row>
    <row r="1667" spans="2:5" x14ac:dyDescent="0.2">
      <c r="B1667" s="291"/>
      <c r="E1667" s="212"/>
    </row>
    <row r="1668" spans="2:5" x14ac:dyDescent="0.2">
      <c r="B1668" s="291"/>
      <c r="E1668" s="212"/>
    </row>
    <row r="1669" spans="2:5" x14ac:dyDescent="0.2">
      <c r="B1669" s="291"/>
      <c r="E1669" s="212"/>
    </row>
    <row r="1670" spans="2:5" x14ac:dyDescent="0.2">
      <c r="B1670" s="291"/>
      <c r="E1670" s="212"/>
    </row>
    <row r="1671" spans="2:5" x14ac:dyDescent="0.2">
      <c r="B1671" s="291"/>
      <c r="E1671" s="212"/>
    </row>
    <row r="1672" spans="2:5" x14ac:dyDescent="0.2">
      <c r="B1672" s="291"/>
      <c r="E1672" s="212"/>
    </row>
    <row r="1673" spans="2:5" x14ac:dyDescent="0.2">
      <c r="B1673" s="291"/>
      <c r="E1673" s="212"/>
    </row>
    <row r="1674" spans="2:5" x14ac:dyDescent="0.2">
      <c r="B1674" s="291"/>
      <c r="E1674" s="212"/>
    </row>
    <row r="1675" spans="2:5" x14ac:dyDescent="0.2">
      <c r="B1675" s="291"/>
      <c r="E1675" s="212"/>
    </row>
    <row r="1676" spans="2:5" x14ac:dyDescent="0.2">
      <c r="B1676" s="291"/>
      <c r="E1676" s="212"/>
    </row>
    <row r="1677" spans="2:5" x14ac:dyDescent="0.2">
      <c r="B1677" s="291"/>
      <c r="E1677" s="212"/>
    </row>
    <row r="1678" spans="2:5" x14ac:dyDescent="0.2">
      <c r="B1678" s="291"/>
      <c r="E1678" s="212"/>
    </row>
    <row r="1679" spans="2:5" x14ac:dyDescent="0.2">
      <c r="B1679" s="291"/>
      <c r="E1679" s="212"/>
    </row>
    <row r="1680" spans="2:5" x14ac:dyDescent="0.2">
      <c r="B1680" s="291"/>
      <c r="E1680" s="212"/>
    </row>
    <row r="1681" spans="2:5" x14ac:dyDescent="0.2">
      <c r="B1681" s="291"/>
      <c r="E1681" s="212"/>
    </row>
    <row r="1682" spans="2:5" x14ac:dyDescent="0.2">
      <c r="B1682" s="291"/>
      <c r="E1682" s="212"/>
    </row>
    <row r="1683" spans="2:5" x14ac:dyDescent="0.2">
      <c r="B1683" s="291"/>
      <c r="E1683" s="212"/>
    </row>
    <row r="1684" spans="2:5" x14ac:dyDescent="0.2">
      <c r="B1684" s="291"/>
      <c r="E1684" s="212"/>
    </row>
    <row r="1685" spans="2:5" x14ac:dyDescent="0.2">
      <c r="B1685" s="291"/>
      <c r="E1685" s="212"/>
    </row>
    <row r="1686" spans="2:5" x14ac:dyDescent="0.2">
      <c r="B1686" s="291"/>
      <c r="E1686" s="212"/>
    </row>
    <row r="1687" spans="2:5" x14ac:dyDescent="0.2">
      <c r="B1687" s="291"/>
      <c r="E1687" s="212"/>
    </row>
    <row r="1688" spans="2:5" x14ac:dyDescent="0.2">
      <c r="B1688" s="291"/>
      <c r="E1688" s="212"/>
    </row>
    <row r="1689" spans="2:5" x14ac:dyDescent="0.2">
      <c r="B1689" s="291"/>
      <c r="E1689" s="212"/>
    </row>
    <row r="1690" spans="2:5" x14ac:dyDescent="0.2">
      <c r="B1690" s="291"/>
      <c r="E1690" s="212"/>
    </row>
    <row r="1691" spans="2:5" x14ac:dyDescent="0.2">
      <c r="B1691" s="291"/>
      <c r="E1691" s="212"/>
    </row>
    <row r="1692" spans="2:5" x14ac:dyDescent="0.2">
      <c r="B1692" s="291"/>
      <c r="E1692" s="212"/>
    </row>
    <row r="1693" spans="2:5" x14ac:dyDescent="0.2">
      <c r="B1693" s="291"/>
      <c r="E1693" s="212"/>
    </row>
    <row r="1694" spans="2:5" x14ac:dyDescent="0.2">
      <c r="B1694" s="291"/>
      <c r="E1694" s="212"/>
    </row>
    <row r="1695" spans="2:5" x14ac:dyDescent="0.2">
      <c r="B1695" s="291"/>
      <c r="E1695" s="212"/>
    </row>
    <row r="1696" spans="2:5" x14ac:dyDescent="0.2">
      <c r="B1696" s="291"/>
      <c r="E1696" s="212"/>
    </row>
    <row r="1697" spans="2:5" x14ac:dyDescent="0.2">
      <c r="B1697" s="291"/>
      <c r="E1697" s="212"/>
    </row>
    <row r="1698" spans="2:5" x14ac:dyDescent="0.2">
      <c r="B1698" s="291"/>
      <c r="E1698" s="212"/>
    </row>
    <row r="1699" spans="2:5" x14ac:dyDescent="0.2">
      <c r="B1699" s="291"/>
      <c r="E1699" s="212"/>
    </row>
    <row r="1700" spans="2:5" x14ac:dyDescent="0.2">
      <c r="B1700" s="291"/>
      <c r="E1700" s="212"/>
    </row>
    <row r="1701" spans="2:5" x14ac:dyDescent="0.2">
      <c r="B1701" s="291"/>
      <c r="E1701" s="212"/>
    </row>
    <row r="1702" spans="2:5" x14ac:dyDescent="0.2">
      <c r="B1702" s="291"/>
      <c r="E1702" s="212"/>
    </row>
    <row r="1703" spans="2:5" x14ac:dyDescent="0.2">
      <c r="B1703" s="291"/>
      <c r="E1703" s="212"/>
    </row>
    <row r="1704" spans="2:5" x14ac:dyDescent="0.2">
      <c r="B1704" s="291"/>
      <c r="E1704" s="212"/>
    </row>
    <row r="1705" spans="2:5" x14ac:dyDescent="0.2">
      <c r="B1705" s="291"/>
      <c r="E1705" s="212"/>
    </row>
    <row r="1706" spans="2:5" x14ac:dyDescent="0.2">
      <c r="B1706" s="291"/>
      <c r="E1706" s="212"/>
    </row>
    <row r="1707" spans="2:5" x14ac:dyDescent="0.2">
      <c r="B1707" s="291"/>
      <c r="E1707" s="212"/>
    </row>
    <row r="1708" spans="2:5" x14ac:dyDescent="0.2">
      <c r="B1708" s="291"/>
      <c r="E1708" s="212"/>
    </row>
    <row r="1709" spans="2:5" x14ac:dyDescent="0.2">
      <c r="B1709" s="291"/>
      <c r="E1709" s="212"/>
    </row>
    <row r="1710" spans="2:5" x14ac:dyDescent="0.2">
      <c r="B1710" s="291"/>
      <c r="E1710" s="212"/>
    </row>
    <row r="1711" spans="2:5" x14ac:dyDescent="0.2">
      <c r="B1711" s="291"/>
      <c r="E1711" s="212"/>
    </row>
    <row r="1712" spans="2:5" x14ac:dyDescent="0.2">
      <c r="B1712" s="291"/>
      <c r="E1712" s="212"/>
    </row>
    <row r="1713" spans="2:5" x14ac:dyDescent="0.2">
      <c r="B1713" s="291"/>
      <c r="E1713" s="212"/>
    </row>
    <row r="1714" spans="2:5" x14ac:dyDescent="0.2">
      <c r="B1714" s="291"/>
      <c r="E1714" s="212"/>
    </row>
    <row r="1715" spans="2:5" x14ac:dyDescent="0.2">
      <c r="B1715" s="291"/>
      <c r="E1715" s="212"/>
    </row>
    <row r="1716" spans="2:5" x14ac:dyDescent="0.2">
      <c r="B1716" s="291"/>
      <c r="E1716" s="212"/>
    </row>
    <row r="1717" spans="2:5" x14ac:dyDescent="0.2">
      <c r="B1717" s="291"/>
      <c r="E1717" s="212"/>
    </row>
    <row r="1718" spans="2:5" x14ac:dyDescent="0.2">
      <c r="B1718" s="291"/>
      <c r="E1718" s="212"/>
    </row>
    <row r="1719" spans="2:5" x14ac:dyDescent="0.2">
      <c r="B1719" s="291"/>
      <c r="E1719" s="212"/>
    </row>
    <row r="1720" spans="2:5" x14ac:dyDescent="0.2">
      <c r="B1720" s="291"/>
      <c r="E1720" s="212"/>
    </row>
    <row r="1721" spans="2:5" x14ac:dyDescent="0.2">
      <c r="B1721" s="291"/>
      <c r="E1721" s="212"/>
    </row>
    <row r="1722" spans="2:5" x14ac:dyDescent="0.2">
      <c r="B1722" s="291"/>
      <c r="E1722" s="212"/>
    </row>
    <row r="1723" spans="2:5" x14ac:dyDescent="0.2">
      <c r="B1723" s="291"/>
      <c r="E1723" s="212"/>
    </row>
    <row r="1724" spans="2:5" x14ac:dyDescent="0.2">
      <c r="B1724" s="291"/>
      <c r="E1724" s="212"/>
    </row>
    <row r="1725" spans="2:5" x14ac:dyDescent="0.2">
      <c r="B1725" s="291"/>
      <c r="E1725" s="212"/>
    </row>
    <row r="1726" spans="2:5" x14ac:dyDescent="0.2">
      <c r="B1726" s="291"/>
      <c r="E1726" s="212"/>
    </row>
    <row r="1727" spans="2:5" x14ac:dyDescent="0.2">
      <c r="B1727" s="291"/>
      <c r="E1727" s="212"/>
    </row>
    <row r="1728" spans="2:5" x14ac:dyDescent="0.2">
      <c r="B1728" s="291"/>
      <c r="E1728" s="212"/>
    </row>
    <row r="1729" spans="2:5" x14ac:dyDescent="0.2">
      <c r="B1729" s="291"/>
      <c r="E1729" s="212"/>
    </row>
    <row r="1730" spans="2:5" x14ac:dyDescent="0.2">
      <c r="B1730" s="291"/>
      <c r="E1730" s="212"/>
    </row>
    <row r="1731" spans="2:5" x14ac:dyDescent="0.2">
      <c r="B1731" s="291"/>
      <c r="E1731" s="212"/>
    </row>
    <row r="1732" spans="2:5" x14ac:dyDescent="0.2">
      <c r="B1732" s="291"/>
      <c r="E1732" s="212"/>
    </row>
    <row r="1733" spans="2:5" x14ac:dyDescent="0.2">
      <c r="B1733" s="291"/>
      <c r="E1733" s="212"/>
    </row>
    <row r="1734" spans="2:5" x14ac:dyDescent="0.2">
      <c r="B1734" s="291"/>
      <c r="E1734" s="212"/>
    </row>
    <row r="1735" spans="2:5" x14ac:dyDescent="0.2">
      <c r="B1735" s="291"/>
      <c r="E1735" s="212"/>
    </row>
    <row r="1736" spans="2:5" x14ac:dyDescent="0.2">
      <c r="B1736" s="291"/>
      <c r="E1736" s="212"/>
    </row>
    <row r="1737" spans="2:5" x14ac:dyDescent="0.2">
      <c r="B1737" s="291"/>
      <c r="E1737" s="212"/>
    </row>
    <row r="1738" spans="2:5" x14ac:dyDescent="0.2">
      <c r="B1738" s="291"/>
      <c r="E1738" s="212"/>
    </row>
    <row r="1739" spans="2:5" x14ac:dyDescent="0.2">
      <c r="B1739" s="291"/>
      <c r="E1739" s="212"/>
    </row>
    <row r="1740" spans="2:5" x14ac:dyDescent="0.2">
      <c r="B1740" s="291"/>
      <c r="E1740" s="212"/>
    </row>
    <row r="1741" spans="2:5" x14ac:dyDescent="0.2">
      <c r="B1741" s="291"/>
      <c r="E1741" s="212"/>
    </row>
    <row r="1742" spans="2:5" x14ac:dyDescent="0.2">
      <c r="B1742" s="291"/>
      <c r="E1742" s="212"/>
    </row>
    <row r="1743" spans="2:5" x14ac:dyDescent="0.2">
      <c r="B1743" s="291"/>
      <c r="E1743" s="212"/>
    </row>
    <row r="1744" spans="2:5" x14ac:dyDescent="0.2">
      <c r="B1744" s="291"/>
      <c r="E1744" s="212"/>
    </row>
    <row r="1745" spans="2:5" x14ac:dyDescent="0.2">
      <c r="B1745" s="291"/>
      <c r="E1745" s="212"/>
    </row>
    <row r="1746" spans="2:5" x14ac:dyDescent="0.2">
      <c r="B1746" s="291"/>
      <c r="E1746" s="212"/>
    </row>
    <row r="1747" spans="2:5" x14ac:dyDescent="0.2">
      <c r="B1747" s="291"/>
      <c r="E1747" s="212"/>
    </row>
    <row r="1748" spans="2:5" x14ac:dyDescent="0.2">
      <c r="B1748" s="291"/>
      <c r="E1748" s="212"/>
    </row>
    <row r="1749" spans="2:5" x14ac:dyDescent="0.2">
      <c r="B1749" s="291"/>
      <c r="E1749" s="212"/>
    </row>
    <row r="1750" spans="2:5" x14ac:dyDescent="0.2">
      <c r="B1750" s="291"/>
      <c r="E1750" s="212"/>
    </row>
    <row r="1751" spans="2:5" x14ac:dyDescent="0.2">
      <c r="B1751" s="291"/>
      <c r="E1751" s="212"/>
    </row>
    <row r="1752" spans="2:5" x14ac:dyDescent="0.2">
      <c r="B1752" s="291"/>
      <c r="E1752" s="212"/>
    </row>
    <row r="1753" spans="2:5" x14ac:dyDescent="0.2">
      <c r="B1753" s="291"/>
      <c r="E1753" s="212"/>
    </row>
    <row r="1754" spans="2:5" x14ac:dyDescent="0.2">
      <c r="B1754" s="291"/>
      <c r="E1754" s="212"/>
    </row>
    <row r="1755" spans="2:5" x14ac:dyDescent="0.2">
      <c r="B1755" s="291"/>
      <c r="E1755" s="212"/>
    </row>
    <row r="1756" spans="2:5" x14ac:dyDescent="0.2">
      <c r="B1756" s="291"/>
      <c r="E1756" s="212"/>
    </row>
    <row r="1757" spans="2:5" x14ac:dyDescent="0.2">
      <c r="B1757" s="291"/>
      <c r="E1757" s="212"/>
    </row>
    <row r="1758" spans="2:5" x14ac:dyDescent="0.2">
      <c r="B1758" s="291"/>
      <c r="E1758" s="212"/>
    </row>
    <row r="1759" spans="2:5" x14ac:dyDescent="0.2">
      <c r="B1759" s="291"/>
      <c r="E1759" s="212"/>
    </row>
    <row r="1760" spans="2:5" x14ac:dyDescent="0.2">
      <c r="B1760" s="291"/>
      <c r="E1760" s="212"/>
    </row>
    <row r="1761" spans="2:5" x14ac:dyDescent="0.2">
      <c r="B1761" s="291"/>
      <c r="E1761" s="212"/>
    </row>
    <row r="1762" spans="2:5" x14ac:dyDescent="0.2">
      <c r="B1762" s="291"/>
      <c r="E1762" s="212"/>
    </row>
    <row r="1763" spans="2:5" x14ac:dyDescent="0.2">
      <c r="B1763" s="291"/>
      <c r="E1763" s="212"/>
    </row>
    <row r="1764" spans="2:5" x14ac:dyDescent="0.2">
      <c r="B1764" s="291"/>
      <c r="E1764" s="212"/>
    </row>
    <row r="1765" spans="2:5" x14ac:dyDescent="0.2">
      <c r="B1765" s="291"/>
      <c r="E1765" s="212"/>
    </row>
    <row r="1766" spans="2:5" x14ac:dyDescent="0.2">
      <c r="B1766" s="291"/>
      <c r="E1766" s="212"/>
    </row>
    <row r="1767" spans="2:5" x14ac:dyDescent="0.2">
      <c r="B1767" s="291"/>
      <c r="E1767" s="212"/>
    </row>
    <row r="1768" spans="2:5" x14ac:dyDescent="0.2">
      <c r="B1768" s="291"/>
      <c r="E1768" s="212"/>
    </row>
    <row r="1769" spans="2:5" x14ac:dyDescent="0.2">
      <c r="B1769" s="291"/>
      <c r="E1769" s="212"/>
    </row>
    <row r="1770" spans="2:5" x14ac:dyDescent="0.2">
      <c r="B1770" s="291"/>
      <c r="E1770" s="212"/>
    </row>
    <row r="1771" spans="2:5" x14ac:dyDescent="0.2">
      <c r="B1771" s="291"/>
      <c r="E1771" s="212"/>
    </row>
    <row r="1772" spans="2:5" x14ac:dyDescent="0.2">
      <c r="B1772" s="291"/>
      <c r="E1772" s="212"/>
    </row>
    <row r="1773" spans="2:5" x14ac:dyDescent="0.2">
      <c r="B1773" s="291"/>
      <c r="E1773" s="212"/>
    </row>
    <row r="1774" spans="2:5" x14ac:dyDescent="0.2">
      <c r="B1774" s="291"/>
      <c r="E1774" s="212"/>
    </row>
    <row r="1775" spans="2:5" x14ac:dyDescent="0.2">
      <c r="B1775" s="291"/>
      <c r="E1775" s="212"/>
    </row>
    <row r="1776" spans="2:5" x14ac:dyDescent="0.2">
      <c r="B1776" s="291"/>
      <c r="E1776" s="212"/>
    </row>
    <row r="1777" spans="2:5" x14ac:dyDescent="0.2">
      <c r="B1777" s="291"/>
      <c r="E1777" s="212"/>
    </row>
    <row r="1778" spans="2:5" x14ac:dyDescent="0.2">
      <c r="B1778" s="291"/>
      <c r="E1778" s="212"/>
    </row>
    <row r="1779" spans="2:5" x14ac:dyDescent="0.2">
      <c r="B1779" s="291"/>
      <c r="E1779" s="212"/>
    </row>
    <row r="1780" spans="2:5" x14ac:dyDescent="0.2">
      <c r="B1780" s="291"/>
      <c r="E1780" s="212"/>
    </row>
    <row r="1781" spans="2:5" x14ac:dyDescent="0.2">
      <c r="B1781" s="291"/>
      <c r="E1781" s="212"/>
    </row>
    <row r="1782" spans="2:5" x14ac:dyDescent="0.2">
      <c r="B1782" s="291"/>
      <c r="E1782" s="212"/>
    </row>
    <row r="1783" spans="2:5" x14ac:dyDescent="0.2">
      <c r="B1783" s="291"/>
      <c r="E1783" s="212"/>
    </row>
    <row r="1784" spans="2:5" x14ac:dyDescent="0.2">
      <c r="B1784" s="291"/>
      <c r="E1784" s="212"/>
    </row>
    <row r="1785" spans="2:5" x14ac:dyDescent="0.2">
      <c r="B1785" s="291"/>
      <c r="E1785" s="212"/>
    </row>
    <row r="1786" spans="2:5" x14ac:dyDescent="0.2">
      <c r="B1786" s="291"/>
      <c r="E1786" s="212"/>
    </row>
    <row r="1787" spans="2:5" x14ac:dyDescent="0.2">
      <c r="B1787" s="291"/>
      <c r="E1787" s="212"/>
    </row>
    <row r="1788" spans="2:5" x14ac:dyDescent="0.2">
      <c r="B1788" s="291"/>
      <c r="E1788" s="212"/>
    </row>
    <row r="1789" spans="2:5" x14ac:dyDescent="0.2">
      <c r="B1789" s="291"/>
      <c r="E1789" s="212"/>
    </row>
    <row r="1790" spans="2:5" x14ac:dyDescent="0.2">
      <c r="B1790" s="291"/>
      <c r="E1790" s="212"/>
    </row>
    <row r="1791" spans="2:5" x14ac:dyDescent="0.2">
      <c r="B1791" s="291"/>
      <c r="E1791" s="212"/>
    </row>
    <row r="1792" spans="2:5" x14ac:dyDescent="0.2">
      <c r="B1792" s="291"/>
      <c r="E1792" s="212"/>
    </row>
    <row r="1793" spans="2:5" x14ac:dyDescent="0.2">
      <c r="B1793" s="291"/>
      <c r="E1793" s="212"/>
    </row>
    <row r="1794" spans="2:5" x14ac:dyDescent="0.2">
      <c r="B1794" s="291"/>
      <c r="E1794" s="212"/>
    </row>
    <row r="1795" spans="2:5" x14ac:dyDescent="0.2">
      <c r="B1795" s="291"/>
      <c r="E1795" s="212"/>
    </row>
    <row r="1796" spans="2:5" x14ac:dyDescent="0.2">
      <c r="B1796" s="291"/>
      <c r="E1796" s="212"/>
    </row>
    <row r="1797" spans="2:5" x14ac:dyDescent="0.2">
      <c r="B1797" s="291"/>
      <c r="E1797" s="212"/>
    </row>
    <row r="1798" spans="2:5" x14ac:dyDescent="0.2">
      <c r="B1798" s="291"/>
      <c r="E1798" s="212"/>
    </row>
    <row r="1799" spans="2:5" x14ac:dyDescent="0.2">
      <c r="B1799" s="291"/>
      <c r="E1799" s="212"/>
    </row>
    <row r="1800" spans="2:5" x14ac:dyDescent="0.2">
      <c r="B1800" s="291"/>
      <c r="E1800" s="212"/>
    </row>
    <row r="1801" spans="2:5" x14ac:dyDescent="0.2">
      <c r="B1801" s="291"/>
      <c r="E1801" s="212"/>
    </row>
    <row r="1802" spans="2:5" x14ac:dyDescent="0.2">
      <c r="B1802" s="291"/>
      <c r="E1802" s="212"/>
    </row>
    <row r="1803" spans="2:5" x14ac:dyDescent="0.2">
      <c r="B1803" s="291"/>
      <c r="E1803" s="212"/>
    </row>
    <row r="1804" spans="2:5" x14ac:dyDescent="0.2">
      <c r="B1804" s="291"/>
      <c r="E1804" s="212"/>
    </row>
    <row r="1805" spans="2:5" x14ac:dyDescent="0.2">
      <c r="B1805" s="291"/>
      <c r="E1805" s="212"/>
    </row>
    <row r="1806" spans="2:5" x14ac:dyDescent="0.2">
      <c r="B1806" s="291"/>
      <c r="E1806" s="212"/>
    </row>
    <row r="1807" spans="2:5" x14ac:dyDescent="0.2">
      <c r="B1807" s="291"/>
      <c r="E1807" s="212"/>
    </row>
    <row r="1808" spans="2:5" x14ac:dyDescent="0.2">
      <c r="B1808" s="291"/>
      <c r="E1808" s="212"/>
    </row>
    <row r="1809" spans="2:5" x14ac:dyDescent="0.2">
      <c r="B1809" s="291"/>
      <c r="E1809" s="212"/>
    </row>
    <row r="1810" spans="2:5" x14ac:dyDescent="0.2">
      <c r="B1810" s="291"/>
      <c r="E1810" s="212"/>
    </row>
    <row r="1811" spans="2:5" x14ac:dyDescent="0.2">
      <c r="B1811" s="291"/>
      <c r="E1811" s="212"/>
    </row>
    <row r="1812" spans="2:5" x14ac:dyDescent="0.2">
      <c r="B1812" s="291"/>
      <c r="E1812" s="212"/>
    </row>
    <row r="1813" spans="2:5" x14ac:dyDescent="0.2">
      <c r="B1813" s="291"/>
      <c r="E1813" s="212"/>
    </row>
    <row r="1814" spans="2:5" x14ac:dyDescent="0.2">
      <c r="B1814" s="291"/>
      <c r="E1814" s="212"/>
    </row>
    <row r="1815" spans="2:5" x14ac:dyDescent="0.2">
      <c r="B1815" s="291"/>
      <c r="E1815" s="212"/>
    </row>
    <row r="1816" spans="2:5" x14ac:dyDescent="0.2">
      <c r="B1816" s="291"/>
      <c r="E1816" s="212"/>
    </row>
    <row r="1817" spans="2:5" x14ac:dyDescent="0.2">
      <c r="B1817" s="291"/>
      <c r="E1817" s="212"/>
    </row>
    <row r="1818" spans="2:5" x14ac:dyDescent="0.2">
      <c r="B1818" s="291"/>
      <c r="E1818" s="212"/>
    </row>
    <row r="1819" spans="2:5" x14ac:dyDescent="0.2">
      <c r="B1819" s="291"/>
      <c r="E1819" s="212"/>
    </row>
    <row r="1820" spans="2:5" x14ac:dyDescent="0.2">
      <c r="B1820" s="291"/>
      <c r="E1820" s="212"/>
    </row>
    <row r="1821" spans="2:5" x14ac:dyDescent="0.2">
      <c r="B1821" s="291"/>
      <c r="E1821" s="212"/>
    </row>
    <row r="1822" spans="2:5" x14ac:dyDescent="0.2">
      <c r="B1822" s="291"/>
      <c r="E1822" s="212"/>
    </row>
    <row r="1823" spans="2:5" x14ac:dyDescent="0.2">
      <c r="B1823" s="291"/>
      <c r="E1823" s="212"/>
    </row>
    <row r="1824" spans="2:5" x14ac:dyDescent="0.2">
      <c r="B1824" s="291"/>
      <c r="E1824" s="212"/>
    </row>
    <row r="1825" spans="2:5" x14ac:dyDescent="0.2">
      <c r="B1825" s="291"/>
      <c r="E1825" s="212"/>
    </row>
    <row r="1826" spans="2:5" x14ac:dyDescent="0.2">
      <c r="B1826" s="291"/>
      <c r="E1826" s="212"/>
    </row>
    <row r="1827" spans="2:5" x14ac:dyDescent="0.2">
      <c r="B1827" s="291"/>
      <c r="E1827" s="212"/>
    </row>
    <row r="1828" spans="2:5" x14ac:dyDescent="0.2">
      <c r="B1828" s="291"/>
      <c r="E1828" s="212"/>
    </row>
    <row r="1829" spans="2:5" x14ac:dyDescent="0.2">
      <c r="B1829" s="291"/>
      <c r="E1829" s="212"/>
    </row>
    <row r="1830" spans="2:5" x14ac:dyDescent="0.2">
      <c r="B1830" s="291"/>
      <c r="E1830" s="212"/>
    </row>
    <row r="1831" spans="2:5" x14ac:dyDescent="0.2">
      <c r="B1831" s="291"/>
      <c r="E1831" s="212"/>
    </row>
    <row r="1832" spans="2:5" x14ac:dyDescent="0.2">
      <c r="B1832" s="291"/>
      <c r="E1832" s="212"/>
    </row>
    <row r="1833" spans="2:5" x14ac:dyDescent="0.2">
      <c r="B1833" s="291"/>
      <c r="E1833" s="212"/>
    </row>
    <row r="1834" spans="2:5" x14ac:dyDescent="0.2">
      <c r="B1834" s="291"/>
      <c r="E1834" s="212"/>
    </row>
    <row r="1835" spans="2:5" x14ac:dyDescent="0.2">
      <c r="B1835" s="291"/>
      <c r="E1835" s="212"/>
    </row>
    <row r="1836" spans="2:5" x14ac:dyDescent="0.2">
      <c r="B1836" s="291"/>
      <c r="E1836" s="212"/>
    </row>
    <row r="1837" spans="2:5" x14ac:dyDescent="0.2">
      <c r="B1837" s="291"/>
      <c r="E1837" s="212"/>
    </row>
    <row r="1838" spans="2:5" x14ac:dyDescent="0.2">
      <c r="B1838" s="291"/>
      <c r="E1838" s="212"/>
    </row>
    <row r="1839" spans="2:5" x14ac:dyDescent="0.2">
      <c r="B1839" s="291"/>
      <c r="E1839" s="212"/>
    </row>
    <row r="1840" spans="2:5" x14ac:dyDescent="0.2">
      <c r="B1840" s="291"/>
      <c r="E1840" s="212"/>
    </row>
    <row r="1841" spans="2:5" x14ac:dyDescent="0.2">
      <c r="B1841" s="291"/>
      <c r="E1841" s="212"/>
    </row>
    <row r="1842" spans="2:5" x14ac:dyDescent="0.2">
      <c r="B1842" s="291"/>
      <c r="E1842" s="212"/>
    </row>
    <row r="1843" spans="2:5" x14ac:dyDescent="0.2">
      <c r="B1843" s="291"/>
      <c r="E1843" s="212"/>
    </row>
    <row r="1844" spans="2:5" x14ac:dyDescent="0.2">
      <c r="B1844" s="291"/>
      <c r="E1844" s="212"/>
    </row>
    <row r="1845" spans="2:5" x14ac:dyDescent="0.2">
      <c r="B1845" s="291"/>
      <c r="E1845" s="212"/>
    </row>
    <row r="1846" spans="2:5" x14ac:dyDescent="0.2">
      <c r="B1846" s="291"/>
      <c r="E1846" s="212"/>
    </row>
    <row r="1847" spans="2:5" x14ac:dyDescent="0.2">
      <c r="B1847" s="291"/>
      <c r="E1847" s="212"/>
    </row>
    <row r="1848" spans="2:5" x14ac:dyDescent="0.2">
      <c r="B1848" s="291"/>
      <c r="E1848" s="212"/>
    </row>
    <row r="1849" spans="2:5" x14ac:dyDescent="0.2">
      <c r="B1849" s="291"/>
      <c r="E1849" s="212"/>
    </row>
    <row r="1850" spans="2:5" x14ac:dyDescent="0.2">
      <c r="B1850" s="291"/>
      <c r="E1850" s="212"/>
    </row>
    <row r="1851" spans="2:5" x14ac:dyDescent="0.2">
      <c r="B1851" s="291"/>
      <c r="E1851" s="212"/>
    </row>
    <row r="1852" spans="2:5" x14ac:dyDescent="0.2">
      <c r="B1852" s="291"/>
      <c r="E1852" s="212"/>
    </row>
    <row r="1853" spans="2:5" x14ac:dyDescent="0.2">
      <c r="B1853" s="291"/>
      <c r="E1853" s="212"/>
    </row>
    <row r="1854" spans="2:5" x14ac:dyDescent="0.2">
      <c r="B1854" s="291"/>
      <c r="E1854" s="212"/>
    </row>
    <row r="1855" spans="2:5" x14ac:dyDescent="0.2">
      <c r="B1855" s="291"/>
      <c r="E1855" s="212"/>
    </row>
    <row r="1856" spans="2:5" x14ac:dyDescent="0.2">
      <c r="B1856" s="291"/>
      <c r="E1856" s="212"/>
    </row>
    <row r="1857" spans="2:5" x14ac:dyDescent="0.2">
      <c r="B1857" s="291"/>
      <c r="E1857" s="212"/>
    </row>
    <row r="1858" spans="2:5" x14ac:dyDescent="0.2">
      <c r="B1858" s="291"/>
      <c r="E1858" s="212"/>
    </row>
    <row r="1859" spans="2:5" x14ac:dyDescent="0.2">
      <c r="B1859" s="291"/>
      <c r="E1859" s="212"/>
    </row>
    <row r="1860" spans="2:5" x14ac:dyDescent="0.2">
      <c r="B1860" s="291"/>
      <c r="E1860" s="212"/>
    </row>
    <row r="1861" spans="2:5" x14ac:dyDescent="0.2">
      <c r="B1861" s="291"/>
      <c r="E1861" s="212"/>
    </row>
    <row r="1862" spans="2:5" x14ac:dyDescent="0.2">
      <c r="B1862" s="291"/>
      <c r="E1862" s="212"/>
    </row>
    <row r="1863" spans="2:5" x14ac:dyDescent="0.2">
      <c r="B1863" s="291"/>
      <c r="E1863" s="212"/>
    </row>
    <row r="1864" spans="2:5" x14ac:dyDescent="0.2">
      <c r="B1864" s="291"/>
      <c r="E1864" s="212"/>
    </row>
    <row r="1865" spans="2:5" x14ac:dyDescent="0.2">
      <c r="B1865" s="291"/>
      <c r="E1865" s="212"/>
    </row>
    <row r="1866" spans="2:5" x14ac:dyDescent="0.2">
      <c r="B1866" s="291"/>
      <c r="E1866" s="212"/>
    </row>
    <row r="1867" spans="2:5" x14ac:dyDescent="0.2">
      <c r="B1867" s="291"/>
      <c r="E1867" s="212"/>
    </row>
    <row r="1868" spans="2:5" x14ac:dyDescent="0.2">
      <c r="B1868" s="291"/>
      <c r="E1868" s="212"/>
    </row>
    <row r="1869" spans="2:5" x14ac:dyDescent="0.2">
      <c r="B1869" s="291"/>
      <c r="E1869" s="212"/>
    </row>
    <row r="1870" spans="2:5" x14ac:dyDescent="0.2">
      <c r="B1870" s="291"/>
      <c r="E1870" s="212"/>
    </row>
    <row r="1871" spans="2:5" x14ac:dyDescent="0.2">
      <c r="B1871" s="291"/>
      <c r="E1871" s="212"/>
    </row>
    <row r="1872" spans="2:5" x14ac:dyDescent="0.2">
      <c r="B1872" s="291"/>
      <c r="E1872" s="212"/>
    </row>
    <row r="1873" spans="2:5" x14ac:dyDescent="0.2">
      <c r="B1873" s="291"/>
      <c r="E1873" s="212"/>
    </row>
    <row r="1874" spans="2:5" x14ac:dyDescent="0.2">
      <c r="B1874" s="291"/>
      <c r="E1874" s="212"/>
    </row>
    <row r="1875" spans="2:5" x14ac:dyDescent="0.2">
      <c r="B1875" s="291"/>
      <c r="E1875" s="212"/>
    </row>
    <row r="1876" spans="2:5" x14ac:dyDescent="0.2">
      <c r="B1876" s="291"/>
      <c r="E1876" s="212"/>
    </row>
    <row r="1877" spans="2:5" x14ac:dyDescent="0.2">
      <c r="B1877" s="291"/>
      <c r="E1877" s="212"/>
    </row>
    <row r="1878" spans="2:5" x14ac:dyDescent="0.2">
      <c r="B1878" s="291"/>
      <c r="E1878" s="212"/>
    </row>
    <row r="1879" spans="2:5" x14ac:dyDescent="0.2">
      <c r="B1879" s="291"/>
      <c r="E1879" s="212"/>
    </row>
    <row r="1880" spans="2:5" x14ac:dyDescent="0.2">
      <c r="B1880" s="291"/>
      <c r="E1880" s="212"/>
    </row>
    <row r="1881" spans="2:5" x14ac:dyDescent="0.2">
      <c r="B1881" s="291"/>
      <c r="E1881" s="212"/>
    </row>
    <row r="1882" spans="2:5" x14ac:dyDescent="0.2">
      <c r="B1882" s="291"/>
      <c r="E1882" s="212"/>
    </row>
    <row r="1883" spans="2:5" x14ac:dyDescent="0.2">
      <c r="B1883" s="291"/>
      <c r="E1883" s="212"/>
    </row>
    <row r="1884" spans="2:5" x14ac:dyDescent="0.2">
      <c r="B1884" s="291"/>
      <c r="E1884" s="212"/>
    </row>
    <row r="1885" spans="2:5" x14ac:dyDescent="0.2">
      <c r="B1885" s="291"/>
      <c r="E1885" s="212"/>
    </row>
    <row r="1886" spans="2:5" x14ac:dyDescent="0.2">
      <c r="B1886" s="291"/>
      <c r="E1886" s="212"/>
    </row>
    <row r="1887" spans="2:5" x14ac:dyDescent="0.2">
      <c r="B1887" s="291"/>
      <c r="E1887" s="212"/>
    </row>
    <row r="1888" spans="2:5" x14ac:dyDescent="0.2">
      <c r="B1888" s="291"/>
      <c r="E1888" s="212"/>
    </row>
    <row r="1889" spans="2:5" x14ac:dyDescent="0.2">
      <c r="B1889" s="291"/>
      <c r="E1889" s="212"/>
    </row>
    <row r="1890" spans="2:5" x14ac:dyDescent="0.2">
      <c r="B1890" s="291"/>
      <c r="E1890" s="212"/>
    </row>
    <row r="1891" spans="2:5" x14ac:dyDescent="0.2">
      <c r="B1891" s="291"/>
      <c r="E1891" s="212"/>
    </row>
    <row r="1892" spans="2:5" x14ac:dyDescent="0.2">
      <c r="B1892" s="291"/>
      <c r="E1892" s="212"/>
    </row>
    <row r="1893" spans="2:5" x14ac:dyDescent="0.2">
      <c r="B1893" s="291"/>
      <c r="E1893" s="212"/>
    </row>
    <row r="1894" spans="2:5" x14ac:dyDescent="0.2">
      <c r="B1894" s="291"/>
      <c r="E1894" s="212"/>
    </row>
    <row r="1895" spans="2:5" x14ac:dyDescent="0.2">
      <c r="B1895" s="291"/>
      <c r="E1895" s="212"/>
    </row>
    <row r="1896" spans="2:5" x14ac:dyDescent="0.2">
      <c r="B1896" s="291"/>
      <c r="E1896" s="212"/>
    </row>
    <row r="1897" spans="2:5" x14ac:dyDescent="0.2">
      <c r="B1897" s="291"/>
      <c r="E1897" s="212"/>
    </row>
    <row r="1898" spans="2:5" x14ac:dyDescent="0.2">
      <c r="B1898" s="291"/>
      <c r="E1898" s="212"/>
    </row>
    <row r="1899" spans="2:5" x14ac:dyDescent="0.2">
      <c r="B1899" s="291"/>
      <c r="E1899" s="212"/>
    </row>
    <row r="1900" spans="2:5" x14ac:dyDescent="0.2">
      <c r="B1900" s="291"/>
      <c r="E1900" s="212"/>
    </row>
    <row r="1901" spans="2:5" x14ac:dyDescent="0.2">
      <c r="B1901" s="291"/>
      <c r="E1901" s="212"/>
    </row>
    <row r="1902" spans="2:5" x14ac:dyDescent="0.2">
      <c r="B1902" s="291"/>
      <c r="E1902" s="212"/>
    </row>
    <row r="1903" spans="2:5" x14ac:dyDescent="0.2">
      <c r="B1903" s="291"/>
      <c r="E1903" s="212"/>
    </row>
    <row r="1904" spans="2:5" x14ac:dyDescent="0.2">
      <c r="B1904" s="291"/>
      <c r="E1904" s="212"/>
    </row>
    <row r="1905" spans="2:5" x14ac:dyDescent="0.2">
      <c r="B1905" s="291"/>
      <c r="E1905" s="212"/>
    </row>
    <row r="1906" spans="2:5" x14ac:dyDescent="0.2">
      <c r="B1906" s="291"/>
      <c r="E1906" s="212"/>
    </row>
    <row r="1907" spans="2:5" x14ac:dyDescent="0.2">
      <c r="B1907" s="291"/>
      <c r="E1907" s="212"/>
    </row>
    <row r="1908" spans="2:5" x14ac:dyDescent="0.2">
      <c r="B1908" s="291"/>
      <c r="E1908" s="212"/>
    </row>
    <row r="1909" spans="2:5" x14ac:dyDescent="0.2">
      <c r="B1909" s="291"/>
      <c r="E1909" s="212"/>
    </row>
    <row r="1910" spans="2:5" x14ac:dyDescent="0.2">
      <c r="B1910" s="291"/>
      <c r="E1910" s="212"/>
    </row>
    <row r="1911" spans="2:5" x14ac:dyDescent="0.2">
      <c r="B1911" s="291"/>
      <c r="E1911" s="212"/>
    </row>
    <row r="1912" spans="2:5" x14ac:dyDescent="0.2">
      <c r="B1912" s="291"/>
      <c r="E1912" s="212"/>
    </row>
    <row r="1913" spans="2:5" x14ac:dyDescent="0.2">
      <c r="B1913" s="291"/>
      <c r="E1913" s="212"/>
    </row>
    <row r="1914" spans="2:5" x14ac:dyDescent="0.2">
      <c r="B1914" s="291"/>
      <c r="E1914" s="212"/>
    </row>
    <row r="1915" spans="2:5" x14ac:dyDescent="0.2">
      <c r="B1915" s="291"/>
      <c r="E1915" s="212"/>
    </row>
    <row r="1916" spans="2:5" x14ac:dyDescent="0.2">
      <c r="B1916" s="291"/>
      <c r="E1916" s="212"/>
    </row>
    <row r="1917" spans="2:5" x14ac:dyDescent="0.2">
      <c r="B1917" s="291"/>
      <c r="E1917" s="212"/>
    </row>
    <row r="1918" spans="2:5" x14ac:dyDescent="0.2">
      <c r="B1918" s="291"/>
      <c r="E1918" s="212"/>
    </row>
    <row r="1919" spans="2:5" x14ac:dyDescent="0.2">
      <c r="B1919" s="291"/>
      <c r="E1919" s="212"/>
    </row>
    <row r="1920" spans="2:5" x14ac:dyDescent="0.2">
      <c r="B1920" s="291"/>
      <c r="E1920" s="212"/>
    </row>
    <row r="1921" spans="2:5" x14ac:dyDescent="0.2">
      <c r="B1921" s="291"/>
      <c r="E1921" s="212"/>
    </row>
    <row r="1922" spans="2:5" x14ac:dyDescent="0.2">
      <c r="B1922" s="291"/>
      <c r="E1922" s="212"/>
    </row>
    <row r="1923" spans="2:5" x14ac:dyDescent="0.2">
      <c r="B1923" s="291"/>
      <c r="E1923" s="212"/>
    </row>
    <row r="1924" spans="2:5" x14ac:dyDescent="0.2">
      <c r="B1924" s="291"/>
      <c r="E1924" s="212"/>
    </row>
    <row r="1925" spans="2:5" x14ac:dyDescent="0.2">
      <c r="B1925" s="291"/>
      <c r="E1925" s="212"/>
    </row>
    <row r="1926" spans="2:5" x14ac:dyDescent="0.2">
      <c r="B1926" s="291"/>
      <c r="E1926" s="212"/>
    </row>
    <row r="1927" spans="2:5" x14ac:dyDescent="0.2">
      <c r="B1927" s="291"/>
      <c r="E1927" s="212"/>
    </row>
    <row r="1928" spans="2:5" x14ac:dyDescent="0.2">
      <c r="B1928" s="291"/>
      <c r="E1928" s="212"/>
    </row>
    <row r="1929" spans="2:5" x14ac:dyDescent="0.2">
      <c r="B1929" s="291"/>
      <c r="E1929" s="212"/>
    </row>
    <row r="1930" spans="2:5" x14ac:dyDescent="0.2">
      <c r="B1930" s="291"/>
      <c r="E1930" s="212"/>
    </row>
    <row r="1931" spans="2:5" x14ac:dyDescent="0.2">
      <c r="B1931" s="291"/>
      <c r="E1931" s="212"/>
    </row>
    <row r="1932" spans="2:5" x14ac:dyDescent="0.2">
      <c r="B1932" s="291"/>
      <c r="E1932" s="212"/>
    </row>
    <row r="1933" spans="2:5" x14ac:dyDescent="0.2">
      <c r="B1933" s="291"/>
      <c r="E1933" s="212"/>
    </row>
    <row r="1934" spans="2:5" x14ac:dyDescent="0.2">
      <c r="B1934" s="291"/>
      <c r="E1934" s="212"/>
    </row>
    <row r="1935" spans="2:5" x14ac:dyDescent="0.2">
      <c r="B1935" s="291"/>
      <c r="E1935" s="212"/>
    </row>
    <row r="1936" spans="2:5" x14ac:dyDescent="0.2">
      <c r="B1936" s="291"/>
      <c r="E1936" s="212"/>
    </row>
    <row r="1937" spans="2:5" x14ac:dyDescent="0.2">
      <c r="B1937" s="291"/>
      <c r="E1937" s="212"/>
    </row>
    <row r="1938" spans="2:5" x14ac:dyDescent="0.2">
      <c r="B1938" s="291"/>
      <c r="E1938" s="212"/>
    </row>
    <row r="1939" spans="2:5" x14ac:dyDescent="0.2">
      <c r="B1939" s="291"/>
      <c r="E1939" s="212"/>
    </row>
    <row r="1940" spans="2:5" x14ac:dyDescent="0.2">
      <c r="B1940" s="291"/>
      <c r="E1940" s="212"/>
    </row>
    <row r="1941" spans="2:5" x14ac:dyDescent="0.2">
      <c r="B1941" s="291"/>
      <c r="E1941" s="212"/>
    </row>
    <row r="1942" spans="2:5" x14ac:dyDescent="0.2">
      <c r="B1942" s="291"/>
      <c r="E1942" s="212"/>
    </row>
    <row r="1943" spans="2:5" x14ac:dyDescent="0.2">
      <c r="B1943" s="291"/>
      <c r="E1943" s="212"/>
    </row>
    <row r="1944" spans="2:5" x14ac:dyDescent="0.2">
      <c r="B1944" s="291"/>
      <c r="E1944" s="212"/>
    </row>
    <row r="1945" spans="2:5" x14ac:dyDescent="0.2">
      <c r="B1945" s="291"/>
      <c r="E1945" s="212"/>
    </row>
    <row r="1946" spans="2:5" x14ac:dyDescent="0.2">
      <c r="B1946" s="291"/>
      <c r="E1946" s="212"/>
    </row>
    <row r="1947" spans="2:5" x14ac:dyDescent="0.2">
      <c r="B1947" s="291"/>
      <c r="E1947" s="212"/>
    </row>
    <row r="1948" spans="2:5" x14ac:dyDescent="0.2">
      <c r="B1948" s="291"/>
      <c r="E1948" s="212"/>
    </row>
    <row r="1949" spans="2:5" x14ac:dyDescent="0.2">
      <c r="B1949" s="291"/>
      <c r="E1949" s="212"/>
    </row>
    <row r="1950" spans="2:5" x14ac:dyDescent="0.2">
      <c r="B1950" s="291"/>
      <c r="E1950" s="212"/>
    </row>
    <row r="1951" spans="2:5" x14ac:dyDescent="0.2">
      <c r="B1951" s="291"/>
      <c r="E1951" s="212"/>
    </row>
    <row r="1952" spans="2:5" x14ac:dyDescent="0.2">
      <c r="B1952" s="291"/>
      <c r="E1952" s="212"/>
    </row>
    <row r="1953" spans="2:5" x14ac:dyDescent="0.2">
      <c r="B1953" s="291"/>
      <c r="E1953" s="212"/>
    </row>
    <row r="1954" spans="2:5" x14ac:dyDescent="0.2">
      <c r="B1954" s="291"/>
      <c r="E1954" s="212"/>
    </row>
    <row r="1955" spans="2:5" x14ac:dyDescent="0.2">
      <c r="B1955" s="291"/>
      <c r="E1955" s="212"/>
    </row>
    <row r="1956" spans="2:5" x14ac:dyDescent="0.2">
      <c r="B1956" s="291"/>
      <c r="E1956" s="212"/>
    </row>
    <row r="1957" spans="2:5" x14ac:dyDescent="0.2">
      <c r="B1957" s="291"/>
      <c r="E1957" s="212"/>
    </row>
    <row r="1958" spans="2:5" x14ac:dyDescent="0.2">
      <c r="B1958" s="291"/>
      <c r="E1958" s="212"/>
    </row>
    <row r="1959" spans="2:5" x14ac:dyDescent="0.2">
      <c r="B1959" s="291"/>
      <c r="E1959" s="212"/>
    </row>
    <row r="1960" spans="2:5" x14ac:dyDescent="0.2">
      <c r="B1960" s="291"/>
      <c r="E1960" s="212"/>
    </row>
    <row r="1961" spans="2:5" x14ac:dyDescent="0.2">
      <c r="B1961" s="291"/>
      <c r="E1961" s="212"/>
    </row>
    <row r="1962" spans="2:5" x14ac:dyDescent="0.2">
      <c r="B1962" s="291"/>
      <c r="E1962" s="212"/>
    </row>
    <row r="1963" spans="2:5" x14ac:dyDescent="0.2">
      <c r="B1963" s="291"/>
      <c r="E1963" s="212"/>
    </row>
    <row r="1964" spans="2:5" x14ac:dyDescent="0.2">
      <c r="B1964" s="291"/>
      <c r="E1964" s="212"/>
    </row>
    <row r="1965" spans="2:5" x14ac:dyDescent="0.2">
      <c r="B1965" s="291"/>
      <c r="E1965" s="212"/>
    </row>
    <row r="1966" spans="2:5" x14ac:dyDescent="0.2">
      <c r="B1966" s="291"/>
      <c r="E1966" s="212"/>
    </row>
    <row r="1967" spans="2:5" x14ac:dyDescent="0.2">
      <c r="B1967" s="291"/>
      <c r="E1967" s="212"/>
    </row>
    <row r="1968" spans="2:5" x14ac:dyDescent="0.2">
      <c r="B1968" s="291"/>
      <c r="E1968" s="212"/>
    </row>
    <row r="1969" spans="2:5" x14ac:dyDescent="0.2">
      <c r="B1969" s="291"/>
      <c r="E1969" s="212"/>
    </row>
    <row r="1970" spans="2:5" x14ac:dyDescent="0.2">
      <c r="B1970" s="291"/>
      <c r="E1970" s="212"/>
    </row>
    <row r="1971" spans="2:5" x14ac:dyDescent="0.2">
      <c r="B1971" s="291"/>
      <c r="E1971" s="212"/>
    </row>
    <row r="1972" spans="2:5" x14ac:dyDescent="0.2">
      <c r="B1972" s="291"/>
      <c r="E1972" s="212"/>
    </row>
    <row r="1973" spans="2:5" x14ac:dyDescent="0.2">
      <c r="B1973" s="291"/>
      <c r="E1973" s="212"/>
    </row>
    <row r="1974" spans="2:5" x14ac:dyDescent="0.2">
      <c r="B1974" s="291"/>
      <c r="E1974" s="212"/>
    </row>
    <row r="1975" spans="2:5" x14ac:dyDescent="0.2">
      <c r="B1975" s="291"/>
      <c r="E1975" s="212"/>
    </row>
    <row r="1976" spans="2:5" x14ac:dyDescent="0.2">
      <c r="B1976" s="291"/>
      <c r="E1976" s="212"/>
    </row>
    <row r="1977" spans="2:5" x14ac:dyDescent="0.2">
      <c r="B1977" s="291"/>
      <c r="E1977" s="212"/>
    </row>
    <row r="1978" spans="2:5" x14ac:dyDescent="0.2">
      <c r="B1978" s="291"/>
      <c r="E1978" s="212"/>
    </row>
    <row r="1979" spans="2:5" x14ac:dyDescent="0.2">
      <c r="B1979" s="291"/>
      <c r="E1979" s="212"/>
    </row>
    <row r="1980" spans="2:5" x14ac:dyDescent="0.2">
      <c r="B1980" s="291"/>
      <c r="E1980" s="212"/>
    </row>
    <row r="1981" spans="2:5" x14ac:dyDescent="0.2">
      <c r="B1981" s="291"/>
      <c r="E1981" s="212"/>
    </row>
    <row r="1982" spans="2:5" x14ac:dyDescent="0.2">
      <c r="B1982" s="291"/>
      <c r="E1982" s="212"/>
    </row>
    <row r="1983" spans="2:5" x14ac:dyDescent="0.2">
      <c r="B1983" s="291"/>
      <c r="E1983" s="212"/>
    </row>
    <row r="1984" spans="2:5" x14ac:dyDescent="0.2">
      <c r="B1984" s="291"/>
      <c r="E1984" s="212"/>
    </row>
    <row r="1985" spans="2:5" x14ac:dyDescent="0.2">
      <c r="B1985" s="291"/>
      <c r="E1985" s="212"/>
    </row>
    <row r="1986" spans="2:5" x14ac:dyDescent="0.2">
      <c r="B1986" s="291"/>
      <c r="E1986" s="212"/>
    </row>
    <row r="1987" spans="2:5" x14ac:dyDescent="0.2">
      <c r="B1987" s="291"/>
      <c r="E1987" s="212"/>
    </row>
    <row r="1988" spans="2:5" x14ac:dyDescent="0.2">
      <c r="B1988" s="291"/>
      <c r="E1988" s="212"/>
    </row>
    <row r="1989" spans="2:5" x14ac:dyDescent="0.2">
      <c r="B1989" s="291"/>
      <c r="E1989" s="212"/>
    </row>
    <row r="1990" spans="2:5" x14ac:dyDescent="0.2">
      <c r="B1990" s="291"/>
      <c r="E1990" s="212"/>
    </row>
    <row r="1991" spans="2:5" x14ac:dyDescent="0.2">
      <c r="B1991" s="291"/>
      <c r="E1991" s="212"/>
    </row>
    <row r="1992" spans="2:5" x14ac:dyDescent="0.2">
      <c r="B1992" s="291"/>
      <c r="E1992" s="212"/>
    </row>
    <row r="1993" spans="2:5" x14ac:dyDescent="0.2">
      <c r="B1993" s="291"/>
      <c r="E1993" s="212"/>
    </row>
    <row r="1994" spans="2:5" x14ac:dyDescent="0.2">
      <c r="B1994" s="291"/>
      <c r="E1994" s="212"/>
    </row>
    <row r="1995" spans="2:5" x14ac:dyDescent="0.2">
      <c r="B1995" s="291"/>
      <c r="E1995" s="212"/>
    </row>
    <row r="1996" spans="2:5" x14ac:dyDescent="0.2">
      <c r="B1996" s="291"/>
      <c r="E1996" s="212"/>
    </row>
    <row r="1997" spans="2:5" x14ac:dyDescent="0.2">
      <c r="B1997" s="291"/>
      <c r="E1997" s="212"/>
    </row>
    <row r="1998" spans="2:5" x14ac:dyDescent="0.2">
      <c r="B1998" s="291"/>
      <c r="E1998" s="212"/>
    </row>
    <row r="1999" spans="2:5" x14ac:dyDescent="0.2">
      <c r="B1999" s="291"/>
      <c r="E1999" s="212"/>
    </row>
    <row r="2000" spans="2:5" x14ac:dyDescent="0.2">
      <c r="B2000" s="291"/>
      <c r="E2000" s="212"/>
    </row>
    <row r="2001" spans="2:5" x14ac:dyDescent="0.2">
      <c r="B2001" s="291"/>
      <c r="E2001" s="212"/>
    </row>
    <row r="2002" spans="2:5" x14ac:dyDescent="0.2">
      <c r="B2002" s="291"/>
      <c r="E2002" s="212"/>
    </row>
    <row r="2003" spans="2:5" x14ac:dyDescent="0.2">
      <c r="B2003" s="291"/>
      <c r="E2003" s="212"/>
    </row>
    <row r="2004" spans="2:5" x14ac:dyDescent="0.2">
      <c r="B2004" s="291"/>
      <c r="E2004" s="212"/>
    </row>
    <row r="2005" spans="2:5" x14ac:dyDescent="0.2">
      <c r="B2005" s="291"/>
      <c r="E2005" s="212"/>
    </row>
    <row r="2006" spans="2:5" x14ac:dyDescent="0.2">
      <c r="B2006" s="291"/>
      <c r="E2006" s="212"/>
    </row>
    <row r="2007" spans="2:5" x14ac:dyDescent="0.2">
      <c r="B2007" s="291"/>
      <c r="E2007" s="212"/>
    </row>
    <row r="2008" spans="2:5" x14ac:dyDescent="0.2">
      <c r="B2008" s="291"/>
      <c r="E2008" s="212"/>
    </row>
    <row r="2009" spans="2:5" x14ac:dyDescent="0.2">
      <c r="B2009" s="291"/>
      <c r="E2009" s="212"/>
    </row>
    <row r="2010" spans="2:5" x14ac:dyDescent="0.2">
      <c r="B2010" s="291"/>
      <c r="E2010" s="212"/>
    </row>
    <row r="2011" spans="2:5" x14ac:dyDescent="0.2">
      <c r="B2011" s="291"/>
      <c r="E2011" s="212"/>
    </row>
    <row r="2012" spans="2:5" x14ac:dyDescent="0.2">
      <c r="B2012" s="291"/>
      <c r="E2012" s="212"/>
    </row>
    <row r="2013" spans="2:5" x14ac:dyDescent="0.2">
      <c r="B2013" s="291"/>
      <c r="E2013" s="212"/>
    </row>
    <row r="2014" spans="2:5" x14ac:dyDescent="0.2">
      <c r="B2014" s="291"/>
      <c r="E2014" s="212"/>
    </row>
    <row r="2015" spans="2:5" x14ac:dyDescent="0.2">
      <c r="B2015" s="291"/>
      <c r="E2015" s="212"/>
    </row>
    <row r="2016" spans="2:5" x14ac:dyDescent="0.2">
      <c r="B2016" s="291"/>
      <c r="E2016" s="212"/>
    </row>
    <row r="2017" spans="2:5" x14ac:dyDescent="0.2">
      <c r="B2017" s="291"/>
      <c r="E2017" s="212"/>
    </row>
    <row r="2018" spans="2:5" x14ac:dyDescent="0.2">
      <c r="B2018" s="291"/>
      <c r="E2018" s="212"/>
    </row>
    <row r="2019" spans="2:5" x14ac:dyDescent="0.2">
      <c r="B2019" s="291"/>
      <c r="E2019" s="212"/>
    </row>
    <row r="2020" spans="2:5" x14ac:dyDescent="0.2">
      <c r="B2020" s="291"/>
      <c r="E2020" s="212"/>
    </row>
    <row r="2021" spans="2:5" x14ac:dyDescent="0.2">
      <c r="B2021" s="291"/>
      <c r="E2021" s="212"/>
    </row>
    <row r="2022" spans="2:5" x14ac:dyDescent="0.2">
      <c r="B2022" s="291"/>
      <c r="E2022" s="212"/>
    </row>
    <row r="2023" spans="2:5" x14ac:dyDescent="0.2">
      <c r="B2023" s="291"/>
      <c r="E2023" s="212"/>
    </row>
    <row r="2024" spans="2:5" x14ac:dyDescent="0.2">
      <c r="B2024" s="291"/>
      <c r="E2024" s="212"/>
    </row>
    <row r="2025" spans="2:5" x14ac:dyDescent="0.2">
      <c r="B2025" s="291"/>
      <c r="E2025" s="212"/>
    </row>
    <row r="2026" spans="2:5" x14ac:dyDescent="0.2">
      <c r="B2026" s="291"/>
      <c r="E2026" s="212"/>
    </row>
    <row r="2027" spans="2:5" x14ac:dyDescent="0.2">
      <c r="B2027" s="291"/>
      <c r="E2027" s="212"/>
    </row>
    <row r="2028" spans="2:5" x14ac:dyDescent="0.2">
      <c r="B2028" s="291"/>
      <c r="E2028" s="212"/>
    </row>
    <row r="2029" spans="2:5" x14ac:dyDescent="0.2">
      <c r="B2029" s="291"/>
      <c r="E2029" s="212"/>
    </row>
    <row r="2030" spans="2:5" x14ac:dyDescent="0.2">
      <c r="B2030" s="291"/>
      <c r="E2030" s="212"/>
    </row>
    <row r="2031" spans="2:5" x14ac:dyDescent="0.2">
      <c r="B2031" s="291"/>
      <c r="E2031" s="212"/>
    </row>
    <row r="2032" spans="2:5" x14ac:dyDescent="0.2">
      <c r="B2032" s="291"/>
      <c r="E2032" s="212"/>
    </row>
    <row r="2033" spans="2:5" x14ac:dyDescent="0.2">
      <c r="B2033" s="291"/>
      <c r="E2033" s="212"/>
    </row>
    <row r="2034" spans="2:5" x14ac:dyDescent="0.2">
      <c r="B2034" s="291"/>
      <c r="E2034" s="212"/>
    </row>
    <row r="2035" spans="2:5" x14ac:dyDescent="0.2">
      <c r="B2035" s="291"/>
      <c r="E2035" s="212"/>
    </row>
    <row r="2036" spans="2:5" x14ac:dyDescent="0.2">
      <c r="B2036" s="291"/>
      <c r="E2036" s="212"/>
    </row>
    <row r="2037" spans="2:5" x14ac:dyDescent="0.2">
      <c r="B2037" s="291"/>
      <c r="E2037" s="212"/>
    </row>
    <row r="2038" spans="2:5" x14ac:dyDescent="0.2">
      <c r="B2038" s="291"/>
      <c r="E2038" s="212"/>
    </row>
    <row r="2039" spans="2:5" x14ac:dyDescent="0.2">
      <c r="B2039" s="291"/>
      <c r="E2039" s="212"/>
    </row>
    <row r="2040" spans="2:5" x14ac:dyDescent="0.2">
      <c r="B2040" s="291"/>
      <c r="E2040" s="212"/>
    </row>
    <row r="2041" spans="2:5" x14ac:dyDescent="0.2">
      <c r="B2041" s="291"/>
      <c r="E2041" s="212"/>
    </row>
    <row r="2042" spans="2:5" x14ac:dyDescent="0.2">
      <c r="B2042" s="291"/>
      <c r="E2042" s="212"/>
    </row>
    <row r="2043" spans="2:5" x14ac:dyDescent="0.2">
      <c r="B2043" s="291"/>
      <c r="E2043" s="212"/>
    </row>
    <row r="2044" spans="2:5" x14ac:dyDescent="0.2">
      <c r="B2044" s="291"/>
      <c r="E2044" s="212"/>
    </row>
    <row r="2045" spans="2:5" x14ac:dyDescent="0.2">
      <c r="B2045" s="291"/>
      <c r="E2045" s="212"/>
    </row>
    <row r="2046" spans="2:5" x14ac:dyDescent="0.2">
      <c r="B2046" s="291"/>
      <c r="E2046" s="212"/>
    </row>
    <row r="2047" spans="2:5" x14ac:dyDescent="0.2">
      <c r="B2047" s="291"/>
      <c r="E2047" s="212"/>
    </row>
    <row r="2048" spans="2:5" x14ac:dyDescent="0.2">
      <c r="B2048" s="291"/>
      <c r="E2048" s="212"/>
    </row>
    <row r="2049" spans="2:5" x14ac:dyDescent="0.2">
      <c r="B2049" s="291"/>
      <c r="E2049" s="212"/>
    </row>
    <row r="2050" spans="2:5" x14ac:dyDescent="0.2">
      <c r="B2050" s="291"/>
      <c r="E2050" s="212"/>
    </row>
    <row r="2051" spans="2:5" x14ac:dyDescent="0.2">
      <c r="B2051" s="291"/>
      <c r="E2051" s="212"/>
    </row>
    <row r="2052" spans="2:5" x14ac:dyDescent="0.2">
      <c r="B2052" s="291"/>
      <c r="E2052" s="212"/>
    </row>
    <row r="2053" spans="2:5" x14ac:dyDescent="0.2">
      <c r="B2053" s="291"/>
      <c r="E2053" s="212"/>
    </row>
    <row r="2054" spans="2:5" x14ac:dyDescent="0.2">
      <c r="B2054" s="291"/>
      <c r="E2054" s="212"/>
    </row>
    <row r="2055" spans="2:5" x14ac:dyDescent="0.2">
      <c r="B2055" s="291"/>
      <c r="E2055" s="212"/>
    </row>
    <row r="2056" spans="2:5" x14ac:dyDescent="0.2">
      <c r="B2056" s="291"/>
      <c r="E2056" s="212"/>
    </row>
    <row r="2057" spans="2:5" x14ac:dyDescent="0.2">
      <c r="B2057" s="291"/>
      <c r="E2057" s="212"/>
    </row>
    <row r="2058" spans="2:5" x14ac:dyDescent="0.2">
      <c r="B2058" s="291"/>
      <c r="E2058" s="212"/>
    </row>
    <row r="2059" spans="2:5" x14ac:dyDescent="0.2">
      <c r="B2059" s="291"/>
      <c r="E2059" s="212"/>
    </row>
    <row r="2060" spans="2:5" x14ac:dyDescent="0.2">
      <c r="B2060" s="291"/>
      <c r="E2060" s="212"/>
    </row>
    <row r="2061" spans="2:5" x14ac:dyDescent="0.2">
      <c r="B2061" s="291"/>
      <c r="E2061" s="212"/>
    </row>
    <row r="2062" spans="2:5" x14ac:dyDescent="0.2">
      <c r="B2062" s="291"/>
      <c r="E2062" s="212"/>
    </row>
    <row r="2063" spans="2:5" x14ac:dyDescent="0.2">
      <c r="B2063" s="291"/>
      <c r="E2063" s="212"/>
    </row>
    <row r="2064" spans="2:5" x14ac:dyDescent="0.2">
      <c r="B2064" s="291"/>
      <c r="E2064" s="212"/>
    </row>
    <row r="2065" spans="2:5" x14ac:dyDescent="0.2">
      <c r="B2065" s="291"/>
      <c r="E2065" s="212"/>
    </row>
    <row r="2066" spans="2:5" x14ac:dyDescent="0.2">
      <c r="B2066" s="291"/>
      <c r="E2066" s="212"/>
    </row>
    <row r="2067" spans="2:5" x14ac:dyDescent="0.2">
      <c r="B2067" s="291"/>
      <c r="E2067" s="212"/>
    </row>
    <row r="2068" spans="2:5" x14ac:dyDescent="0.2">
      <c r="B2068" s="291"/>
      <c r="E2068" s="212"/>
    </row>
    <row r="2069" spans="2:5" x14ac:dyDescent="0.2">
      <c r="B2069" s="291"/>
      <c r="E2069" s="212"/>
    </row>
    <row r="2070" spans="2:5" x14ac:dyDescent="0.2">
      <c r="B2070" s="291"/>
      <c r="E2070" s="212"/>
    </row>
    <row r="2071" spans="2:5" x14ac:dyDescent="0.2">
      <c r="B2071" s="291"/>
      <c r="E2071" s="212"/>
    </row>
    <row r="2072" spans="2:5" x14ac:dyDescent="0.2">
      <c r="B2072" s="291"/>
      <c r="E2072" s="212"/>
    </row>
    <row r="2073" spans="2:5" x14ac:dyDescent="0.2">
      <c r="B2073" s="291"/>
      <c r="E2073" s="212"/>
    </row>
    <row r="2074" spans="2:5" x14ac:dyDescent="0.2">
      <c r="B2074" s="291"/>
      <c r="E2074" s="212"/>
    </row>
    <row r="2075" spans="2:5" x14ac:dyDescent="0.2">
      <c r="B2075" s="291"/>
      <c r="E2075" s="212"/>
    </row>
    <row r="2076" spans="2:5" x14ac:dyDescent="0.2">
      <c r="B2076" s="291"/>
      <c r="E2076" s="212"/>
    </row>
    <row r="2077" spans="2:5" x14ac:dyDescent="0.2">
      <c r="B2077" s="291"/>
      <c r="E2077" s="212"/>
    </row>
    <row r="2078" spans="2:5" x14ac:dyDescent="0.2">
      <c r="B2078" s="291"/>
      <c r="E2078" s="212"/>
    </row>
    <row r="2079" spans="2:5" x14ac:dyDescent="0.2">
      <c r="B2079" s="291"/>
      <c r="E2079" s="212"/>
    </row>
    <row r="2080" spans="2:5" x14ac:dyDescent="0.2">
      <c r="B2080" s="291"/>
      <c r="E2080" s="212"/>
    </row>
    <row r="2081" spans="2:5" x14ac:dyDescent="0.2">
      <c r="B2081" s="291"/>
      <c r="E2081" s="212"/>
    </row>
    <row r="2082" spans="2:5" x14ac:dyDescent="0.2">
      <c r="B2082" s="291"/>
      <c r="E2082" s="212"/>
    </row>
    <row r="2083" spans="2:5" x14ac:dyDescent="0.2">
      <c r="B2083" s="291"/>
      <c r="E2083" s="212"/>
    </row>
    <row r="2084" spans="2:5" x14ac:dyDescent="0.2">
      <c r="B2084" s="291"/>
      <c r="E2084" s="212"/>
    </row>
    <row r="2085" spans="2:5" x14ac:dyDescent="0.2">
      <c r="B2085" s="291"/>
      <c r="E2085" s="212"/>
    </row>
    <row r="2086" spans="2:5" x14ac:dyDescent="0.2">
      <c r="B2086" s="291"/>
      <c r="E2086" s="212"/>
    </row>
    <row r="2087" spans="2:5" x14ac:dyDescent="0.2">
      <c r="B2087" s="291"/>
      <c r="E2087" s="212"/>
    </row>
    <row r="2088" spans="2:5" x14ac:dyDescent="0.2">
      <c r="B2088" s="291"/>
      <c r="E2088" s="212"/>
    </row>
    <row r="2089" spans="2:5" x14ac:dyDescent="0.2">
      <c r="B2089" s="291"/>
      <c r="E2089" s="212"/>
    </row>
    <row r="2090" spans="2:5" x14ac:dyDescent="0.2">
      <c r="B2090" s="291"/>
      <c r="E2090" s="212"/>
    </row>
    <row r="2091" spans="2:5" x14ac:dyDescent="0.2">
      <c r="B2091" s="291"/>
      <c r="E2091" s="212"/>
    </row>
    <row r="2092" spans="2:5" x14ac:dyDescent="0.2">
      <c r="B2092" s="291"/>
      <c r="E2092" s="212"/>
    </row>
    <row r="2093" spans="2:5" x14ac:dyDescent="0.2">
      <c r="B2093" s="291"/>
      <c r="E2093" s="212"/>
    </row>
    <row r="2094" spans="2:5" x14ac:dyDescent="0.2">
      <c r="B2094" s="291"/>
      <c r="E2094" s="212"/>
    </row>
    <row r="2095" spans="2:5" x14ac:dyDescent="0.2">
      <c r="B2095" s="291"/>
      <c r="E2095" s="212"/>
    </row>
    <row r="2096" spans="2:5" x14ac:dyDescent="0.2">
      <c r="B2096" s="291"/>
      <c r="E2096" s="212"/>
    </row>
    <row r="2097" spans="2:5" x14ac:dyDescent="0.2">
      <c r="B2097" s="291"/>
      <c r="E2097" s="212"/>
    </row>
    <row r="2098" spans="2:5" x14ac:dyDescent="0.2">
      <c r="B2098" s="291"/>
      <c r="E2098" s="212"/>
    </row>
    <row r="2099" spans="2:5" x14ac:dyDescent="0.2">
      <c r="B2099" s="291"/>
      <c r="E2099" s="212"/>
    </row>
    <row r="2100" spans="2:5" x14ac:dyDescent="0.2">
      <c r="B2100" s="291"/>
      <c r="E2100" s="212"/>
    </row>
    <row r="2101" spans="2:5" x14ac:dyDescent="0.2">
      <c r="B2101" s="291"/>
      <c r="E2101" s="212"/>
    </row>
    <row r="2102" spans="2:5" x14ac:dyDescent="0.2">
      <c r="B2102" s="291"/>
      <c r="E2102" s="212"/>
    </row>
    <row r="2103" spans="2:5" x14ac:dyDescent="0.2">
      <c r="B2103" s="291"/>
      <c r="E2103" s="212"/>
    </row>
    <row r="2104" spans="2:5" x14ac:dyDescent="0.2">
      <c r="B2104" s="291"/>
      <c r="E2104" s="212"/>
    </row>
    <row r="2105" spans="2:5" x14ac:dyDescent="0.2">
      <c r="B2105" s="291"/>
      <c r="E2105" s="212"/>
    </row>
    <row r="2106" spans="2:5" x14ac:dyDescent="0.2">
      <c r="B2106" s="291"/>
      <c r="E2106" s="212"/>
    </row>
    <row r="2107" spans="2:5" x14ac:dyDescent="0.2">
      <c r="B2107" s="291"/>
      <c r="E2107" s="212"/>
    </row>
    <row r="2108" spans="2:5" x14ac:dyDescent="0.2">
      <c r="B2108" s="291"/>
      <c r="E2108" s="212"/>
    </row>
    <row r="2109" spans="2:5" x14ac:dyDescent="0.2">
      <c r="B2109" s="291"/>
      <c r="E2109" s="212"/>
    </row>
    <row r="2110" spans="2:5" x14ac:dyDescent="0.2">
      <c r="B2110" s="291"/>
      <c r="E2110" s="212"/>
    </row>
    <row r="2111" spans="2:5" x14ac:dyDescent="0.2">
      <c r="B2111" s="291"/>
      <c r="E2111" s="212"/>
    </row>
    <row r="2112" spans="2:5" x14ac:dyDescent="0.2">
      <c r="B2112" s="291"/>
      <c r="E2112" s="212"/>
    </row>
    <row r="2113" spans="2:5" x14ac:dyDescent="0.2">
      <c r="B2113" s="291"/>
      <c r="E2113" s="212"/>
    </row>
    <row r="2114" spans="2:5" x14ac:dyDescent="0.2">
      <c r="B2114" s="291"/>
      <c r="E2114" s="212"/>
    </row>
    <row r="2115" spans="2:5" x14ac:dyDescent="0.2">
      <c r="B2115" s="291"/>
      <c r="E2115" s="212"/>
    </row>
    <row r="2116" spans="2:5" x14ac:dyDescent="0.2">
      <c r="B2116" s="291"/>
      <c r="E2116" s="212"/>
    </row>
    <row r="2117" spans="2:5" x14ac:dyDescent="0.2">
      <c r="B2117" s="291"/>
      <c r="E2117" s="212"/>
    </row>
    <row r="2118" spans="2:5" x14ac:dyDescent="0.2">
      <c r="B2118" s="291"/>
      <c r="E2118" s="212"/>
    </row>
    <row r="2119" spans="2:5" x14ac:dyDescent="0.2">
      <c r="B2119" s="291"/>
      <c r="E2119" s="212"/>
    </row>
    <row r="2120" spans="2:5" x14ac:dyDescent="0.2">
      <c r="B2120" s="291"/>
      <c r="E2120" s="212"/>
    </row>
    <row r="2121" spans="2:5" x14ac:dyDescent="0.2">
      <c r="B2121" s="291"/>
      <c r="E2121" s="212"/>
    </row>
    <row r="2122" spans="2:5" x14ac:dyDescent="0.2">
      <c r="B2122" s="291"/>
      <c r="E2122" s="212"/>
    </row>
    <row r="2123" spans="2:5" x14ac:dyDescent="0.2">
      <c r="B2123" s="291"/>
      <c r="E2123" s="212"/>
    </row>
    <row r="2124" spans="2:5" x14ac:dyDescent="0.2">
      <c r="B2124" s="291"/>
      <c r="E2124" s="212"/>
    </row>
    <row r="2125" spans="2:5" x14ac:dyDescent="0.2">
      <c r="B2125" s="291"/>
      <c r="E2125" s="212"/>
    </row>
    <row r="2126" spans="2:5" x14ac:dyDescent="0.2">
      <c r="B2126" s="291"/>
      <c r="E2126" s="212"/>
    </row>
    <row r="2127" spans="2:5" x14ac:dyDescent="0.2">
      <c r="B2127" s="291"/>
      <c r="E2127" s="212"/>
    </row>
    <row r="2128" spans="2:5" x14ac:dyDescent="0.2">
      <c r="B2128" s="291"/>
      <c r="E2128" s="212"/>
    </row>
    <row r="2129" spans="2:5" x14ac:dyDescent="0.2">
      <c r="B2129" s="291"/>
      <c r="E2129" s="212"/>
    </row>
    <row r="2130" spans="2:5" x14ac:dyDescent="0.2">
      <c r="B2130" s="291"/>
      <c r="E2130" s="212"/>
    </row>
    <row r="2131" spans="2:5" x14ac:dyDescent="0.2">
      <c r="B2131" s="291"/>
      <c r="E2131" s="212"/>
    </row>
    <row r="2132" spans="2:5" x14ac:dyDescent="0.2">
      <c r="B2132" s="291"/>
      <c r="E2132" s="212"/>
    </row>
    <row r="2133" spans="2:5" x14ac:dyDescent="0.2">
      <c r="B2133" s="291"/>
      <c r="E2133" s="212"/>
    </row>
    <row r="2134" spans="2:5" x14ac:dyDescent="0.2">
      <c r="B2134" s="291"/>
      <c r="E2134" s="212"/>
    </row>
    <row r="2135" spans="2:5" x14ac:dyDescent="0.2">
      <c r="B2135" s="291"/>
      <c r="E2135" s="212"/>
    </row>
    <row r="2136" spans="2:5" x14ac:dyDescent="0.2">
      <c r="B2136" s="291"/>
      <c r="E2136" s="212"/>
    </row>
    <row r="2137" spans="2:5" x14ac:dyDescent="0.2">
      <c r="B2137" s="291"/>
      <c r="E2137" s="212"/>
    </row>
    <row r="2138" spans="2:5" x14ac:dyDescent="0.2">
      <c r="B2138" s="291"/>
      <c r="E2138" s="212"/>
    </row>
    <row r="2139" spans="2:5" x14ac:dyDescent="0.2">
      <c r="B2139" s="291"/>
      <c r="E2139" s="212"/>
    </row>
    <row r="2140" spans="2:5" x14ac:dyDescent="0.2">
      <c r="B2140" s="291"/>
      <c r="E2140" s="212"/>
    </row>
    <row r="2141" spans="2:5" x14ac:dyDescent="0.2">
      <c r="B2141" s="291"/>
      <c r="E2141" s="212"/>
    </row>
    <row r="2142" spans="2:5" x14ac:dyDescent="0.2">
      <c r="B2142" s="291"/>
      <c r="E2142" s="212"/>
    </row>
    <row r="2143" spans="2:5" x14ac:dyDescent="0.2">
      <c r="B2143" s="291"/>
      <c r="E2143" s="212"/>
    </row>
    <row r="2144" spans="2:5" x14ac:dyDescent="0.2">
      <c r="B2144" s="291"/>
      <c r="E2144" s="212"/>
    </row>
    <row r="2145" spans="2:5" x14ac:dyDescent="0.2">
      <c r="B2145" s="291"/>
      <c r="E2145" s="212"/>
    </row>
    <row r="2146" spans="2:5" x14ac:dyDescent="0.2">
      <c r="B2146" s="291"/>
      <c r="E2146" s="212"/>
    </row>
    <row r="2147" spans="2:5" x14ac:dyDescent="0.2">
      <c r="B2147" s="291"/>
      <c r="E2147" s="212"/>
    </row>
    <row r="2148" spans="2:5" x14ac:dyDescent="0.2">
      <c r="B2148" s="291"/>
      <c r="E2148" s="212"/>
    </row>
    <row r="2149" spans="2:5" x14ac:dyDescent="0.2">
      <c r="B2149" s="291"/>
      <c r="E2149" s="212"/>
    </row>
    <row r="2150" spans="2:5" x14ac:dyDescent="0.2">
      <c r="B2150" s="291"/>
      <c r="E2150" s="212"/>
    </row>
    <row r="2151" spans="2:5" x14ac:dyDescent="0.2">
      <c r="B2151" s="291"/>
      <c r="E2151" s="212"/>
    </row>
    <row r="2152" spans="2:5" x14ac:dyDescent="0.2">
      <c r="B2152" s="291"/>
      <c r="E2152" s="212"/>
    </row>
    <row r="2153" spans="2:5" x14ac:dyDescent="0.2">
      <c r="B2153" s="291"/>
      <c r="E2153" s="212"/>
    </row>
    <row r="2154" spans="2:5" x14ac:dyDescent="0.2">
      <c r="B2154" s="291"/>
      <c r="E2154" s="212"/>
    </row>
    <row r="2155" spans="2:5" x14ac:dyDescent="0.2">
      <c r="B2155" s="291"/>
      <c r="E2155" s="212"/>
    </row>
    <row r="2156" spans="2:5" x14ac:dyDescent="0.2">
      <c r="B2156" s="291"/>
      <c r="E2156" s="212"/>
    </row>
    <row r="2157" spans="2:5" x14ac:dyDescent="0.2">
      <c r="B2157" s="291"/>
      <c r="E2157" s="212"/>
    </row>
    <row r="2158" spans="2:5" x14ac:dyDescent="0.2">
      <c r="B2158" s="291"/>
      <c r="E2158" s="212"/>
    </row>
    <row r="2159" spans="2:5" x14ac:dyDescent="0.2">
      <c r="B2159" s="291"/>
      <c r="E2159" s="212"/>
    </row>
    <row r="2160" spans="2:5" x14ac:dyDescent="0.2">
      <c r="B2160" s="291"/>
      <c r="E2160" s="212"/>
    </row>
    <row r="2161" spans="2:5" x14ac:dyDescent="0.2">
      <c r="B2161" s="291"/>
      <c r="E2161" s="212"/>
    </row>
    <row r="2162" spans="2:5" x14ac:dyDescent="0.2">
      <c r="B2162" s="291"/>
      <c r="E2162" s="212"/>
    </row>
    <row r="2163" spans="2:5" x14ac:dyDescent="0.2">
      <c r="B2163" s="291"/>
      <c r="E2163" s="212"/>
    </row>
    <row r="2164" spans="2:5" x14ac:dyDescent="0.2">
      <c r="B2164" s="291"/>
      <c r="E2164" s="212"/>
    </row>
    <row r="2165" spans="2:5" x14ac:dyDescent="0.2">
      <c r="B2165" s="291"/>
      <c r="E2165" s="212"/>
    </row>
    <row r="2166" spans="2:5" x14ac:dyDescent="0.2">
      <c r="B2166" s="291"/>
      <c r="E2166" s="212"/>
    </row>
    <row r="2167" spans="2:5" x14ac:dyDescent="0.2">
      <c r="B2167" s="291"/>
      <c r="E2167" s="212"/>
    </row>
    <row r="2168" spans="2:5" x14ac:dyDescent="0.2">
      <c r="B2168" s="291"/>
      <c r="E2168" s="212"/>
    </row>
    <row r="2169" spans="2:5" x14ac:dyDescent="0.2">
      <c r="B2169" s="291"/>
      <c r="E2169" s="212"/>
    </row>
    <row r="2170" spans="2:5" x14ac:dyDescent="0.2">
      <c r="B2170" s="291"/>
      <c r="E2170" s="212"/>
    </row>
    <row r="2171" spans="2:5" x14ac:dyDescent="0.2">
      <c r="B2171" s="291"/>
      <c r="E2171" s="212"/>
    </row>
    <row r="2172" spans="2:5" x14ac:dyDescent="0.2">
      <c r="B2172" s="291"/>
      <c r="E2172" s="212"/>
    </row>
    <row r="2173" spans="2:5" x14ac:dyDescent="0.2">
      <c r="B2173" s="291"/>
      <c r="E2173" s="212"/>
    </row>
    <row r="2174" spans="2:5" x14ac:dyDescent="0.2">
      <c r="B2174" s="291"/>
      <c r="E2174" s="212"/>
    </row>
    <row r="2175" spans="2:5" x14ac:dyDescent="0.2">
      <c r="B2175" s="291"/>
      <c r="E2175" s="212"/>
    </row>
    <row r="2176" spans="2:5" x14ac:dyDescent="0.2">
      <c r="B2176" s="291"/>
      <c r="E2176" s="212"/>
    </row>
    <row r="2177" spans="2:5" x14ac:dyDescent="0.2">
      <c r="B2177" s="291"/>
      <c r="E2177" s="212"/>
    </row>
    <row r="2178" spans="2:5" x14ac:dyDescent="0.2">
      <c r="B2178" s="291"/>
      <c r="E2178" s="212"/>
    </row>
    <row r="2179" spans="2:5" x14ac:dyDescent="0.2">
      <c r="B2179" s="291"/>
      <c r="E2179" s="212"/>
    </row>
    <row r="2180" spans="2:5" x14ac:dyDescent="0.2">
      <c r="B2180" s="291"/>
      <c r="E2180" s="212"/>
    </row>
    <row r="2181" spans="2:5" x14ac:dyDescent="0.2">
      <c r="B2181" s="291"/>
      <c r="E2181" s="212"/>
    </row>
    <row r="2182" spans="2:5" x14ac:dyDescent="0.2">
      <c r="B2182" s="291"/>
      <c r="E2182" s="212"/>
    </row>
    <row r="2183" spans="2:5" x14ac:dyDescent="0.2">
      <c r="B2183" s="291"/>
      <c r="E2183" s="212"/>
    </row>
    <row r="2184" spans="2:5" x14ac:dyDescent="0.2">
      <c r="B2184" s="291"/>
      <c r="E2184" s="212"/>
    </row>
    <row r="2185" spans="2:5" x14ac:dyDescent="0.2">
      <c r="B2185" s="291"/>
      <c r="E2185" s="212"/>
    </row>
    <row r="2186" spans="2:5" x14ac:dyDescent="0.2">
      <c r="B2186" s="291"/>
      <c r="E2186" s="212"/>
    </row>
    <row r="2187" spans="2:5" x14ac:dyDescent="0.2">
      <c r="B2187" s="291"/>
      <c r="E2187" s="212"/>
    </row>
    <row r="2188" spans="2:5" x14ac:dyDescent="0.2">
      <c r="B2188" s="291"/>
      <c r="E2188" s="212"/>
    </row>
    <row r="2189" spans="2:5" x14ac:dyDescent="0.2">
      <c r="B2189" s="291"/>
      <c r="E2189" s="212"/>
    </row>
    <row r="2190" spans="2:5" x14ac:dyDescent="0.2">
      <c r="B2190" s="291"/>
      <c r="E2190" s="212"/>
    </row>
    <row r="2191" spans="2:5" x14ac:dyDescent="0.2">
      <c r="B2191" s="291"/>
      <c r="E2191" s="212"/>
    </row>
    <row r="2192" spans="2:5" x14ac:dyDescent="0.2">
      <c r="B2192" s="291"/>
      <c r="E2192" s="212"/>
    </row>
    <row r="2193" spans="2:5" x14ac:dyDescent="0.2">
      <c r="B2193" s="291"/>
      <c r="E2193" s="212"/>
    </row>
    <row r="2194" spans="2:5" x14ac:dyDescent="0.2">
      <c r="B2194" s="291"/>
      <c r="E2194" s="212"/>
    </row>
    <row r="2195" spans="2:5" x14ac:dyDescent="0.2">
      <c r="B2195" s="291"/>
      <c r="E2195" s="212"/>
    </row>
    <row r="2196" spans="2:5" x14ac:dyDescent="0.2">
      <c r="B2196" s="291"/>
      <c r="E2196" s="212"/>
    </row>
    <row r="2197" spans="2:5" x14ac:dyDescent="0.2">
      <c r="B2197" s="291"/>
      <c r="E2197" s="212"/>
    </row>
    <row r="2198" spans="2:5" x14ac:dyDescent="0.2">
      <c r="B2198" s="291"/>
      <c r="E2198" s="212"/>
    </row>
    <row r="2199" spans="2:5" x14ac:dyDescent="0.2">
      <c r="B2199" s="291"/>
      <c r="E2199" s="212"/>
    </row>
    <row r="2200" spans="2:5" x14ac:dyDescent="0.2">
      <c r="B2200" s="291"/>
      <c r="E2200" s="212"/>
    </row>
    <row r="2201" spans="2:5" x14ac:dyDescent="0.2">
      <c r="B2201" s="291"/>
      <c r="E2201" s="212"/>
    </row>
    <row r="2202" spans="2:5" x14ac:dyDescent="0.2">
      <c r="B2202" s="291"/>
      <c r="E2202" s="212"/>
    </row>
    <row r="2203" spans="2:5" x14ac:dyDescent="0.2">
      <c r="B2203" s="291"/>
      <c r="E2203" s="212"/>
    </row>
    <row r="2204" spans="2:5" x14ac:dyDescent="0.2">
      <c r="B2204" s="291"/>
      <c r="E2204" s="212"/>
    </row>
    <row r="2205" spans="2:5" x14ac:dyDescent="0.2">
      <c r="B2205" s="291"/>
      <c r="E2205" s="212"/>
    </row>
    <row r="2206" spans="2:5" x14ac:dyDescent="0.2">
      <c r="B2206" s="291"/>
      <c r="E2206" s="212"/>
    </row>
    <row r="2207" spans="2:5" x14ac:dyDescent="0.2">
      <c r="B2207" s="291"/>
      <c r="E2207" s="212"/>
    </row>
    <row r="2208" spans="2:5" x14ac:dyDescent="0.2">
      <c r="B2208" s="291"/>
      <c r="E2208" s="212"/>
    </row>
    <row r="2209" spans="2:5" x14ac:dyDescent="0.2">
      <c r="B2209" s="291"/>
      <c r="E2209" s="212"/>
    </row>
    <row r="2210" spans="2:5" x14ac:dyDescent="0.2">
      <c r="B2210" s="291"/>
      <c r="E2210" s="212"/>
    </row>
    <row r="2211" spans="2:5" x14ac:dyDescent="0.2">
      <c r="B2211" s="291"/>
      <c r="E2211" s="212"/>
    </row>
    <row r="2212" spans="2:5" x14ac:dyDescent="0.2">
      <c r="B2212" s="291"/>
      <c r="E2212" s="212"/>
    </row>
    <row r="2213" spans="2:5" x14ac:dyDescent="0.2">
      <c r="B2213" s="291"/>
      <c r="E2213" s="212"/>
    </row>
    <row r="2214" spans="2:5" x14ac:dyDescent="0.2">
      <c r="B2214" s="291"/>
      <c r="E2214" s="212"/>
    </row>
    <row r="2215" spans="2:5" x14ac:dyDescent="0.2">
      <c r="B2215" s="291"/>
      <c r="E2215" s="212"/>
    </row>
    <row r="2216" spans="2:5" x14ac:dyDescent="0.2">
      <c r="B2216" s="291"/>
      <c r="E2216" s="212"/>
    </row>
    <row r="2217" spans="2:5" x14ac:dyDescent="0.2">
      <c r="B2217" s="291"/>
      <c r="E2217" s="212"/>
    </row>
    <row r="2218" spans="2:5" x14ac:dyDescent="0.2">
      <c r="B2218" s="291"/>
      <c r="E2218" s="212"/>
    </row>
    <row r="2219" spans="2:5" x14ac:dyDescent="0.2">
      <c r="B2219" s="291"/>
      <c r="E2219" s="212"/>
    </row>
    <row r="2220" spans="2:5" x14ac:dyDescent="0.2">
      <c r="B2220" s="291"/>
      <c r="E2220" s="212"/>
    </row>
    <row r="2221" spans="2:5" x14ac:dyDescent="0.2">
      <c r="B2221" s="291"/>
      <c r="E2221" s="212"/>
    </row>
    <row r="2222" spans="2:5" x14ac:dyDescent="0.2">
      <c r="B2222" s="291"/>
      <c r="E2222" s="212"/>
    </row>
    <row r="2223" spans="2:5" x14ac:dyDescent="0.2">
      <c r="B2223" s="291"/>
      <c r="E2223" s="212"/>
    </row>
    <row r="2224" spans="2:5" x14ac:dyDescent="0.2">
      <c r="B2224" s="291"/>
      <c r="E2224" s="212"/>
    </row>
    <row r="2225" spans="2:5" x14ac:dyDescent="0.2">
      <c r="B2225" s="291"/>
      <c r="E2225" s="212"/>
    </row>
    <row r="2226" spans="2:5" x14ac:dyDescent="0.2">
      <c r="B2226" s="291"/>
      <c r="E2226" s="212"/>
    </row>
    <row r="2227" spans="2:5" x14ac:dyDescent="0.2">
      <c r="B2227" s="291"/>
      <c r="E2227" s="212"/>
    </row>
    <row r="2228" spans="2:5" x14ac:dyDescent="0.2">
      <c r="B2228" s="291"/>
      <c r="E2228" s="212"/>
    </row>
    <row r="2229" spans="2:5" x14ac:dyDescent="0.2">
      <c r="B2229" s="291"/>
      <c r="E2229" s="212"/>
    </row>
    <row r="2230" spans="2:5" x14ac:dyDescent="0.2">
      <c r="B2230" s="291"/>
      <c r="E2230" s="212"/>
    </row>
    <row r="2231" spans="2:5" x14ac:dyDescent="0.2">
      <c r="B2231" s="291"/>
      <c r="E2231" s="212"/>
    </row>
    <row r="2232" spans="2:5" x14ac:dyDescent="0.2">
      <c r="B2232" s="291"/>
      <c r="E2232" s="212"/>
    </row>
    <row r="2233" spans="2:5" x14ac:dyDescent="0.2">
      <c r="B2233" s="291"/>
      <c r="E2233" s="212"/>
    </row>
    <row r="2234" spans="2:5" x14ac:dyDescent="0.2">
      <c r="B2234" s="291"/>
      <c r="E2234" s="212"/>
    </row>
    <row r="2235" spans="2:5" x14ac:dyDescent="0.2">
      <c r="B2235" s="291"/>
      <c r="E2235" s="212"/>
    </row>
    <row r="2236" spans="2:5" x14ac:dyDescent="0.2">
      <c r="B2236" s="291"/>
      <c r="E2236" s="212"/>
    </row>
    <row r="2237" spans="2:5" x14ac:dyDescent="0.2">
      <c r="B2237" s="291"/>
      <c r="E2237" s="212"/>
    </row>
    <row r="2238" spans="2:5" x14ac:dyDescent="0.2">
      <c r="B2238" s="291"/>
      <c r="E2238" s="212"/>
    </row>
    <row r="2239" spans="2:5" x14ac:dyDescent="0.2">
      <c r="B2239" s="291"/>
      <c r="E2239" s="212"/>
    </row>
    <row r="2240" spans="2:5" x14ac:dyDescent="0.2">
      <c r="B2240" s="291"/>
      <c r="E2240" s="212"/>
    </row>
    <row r="2241" spans="2:5" x14ac:dyDescent="0.2">
      <c r="B2241" s="291"/>
      <c r="E2241" s="212"/>
    </row>
    <row r="2242" spans="2:5" x14ac:dyDescent="0.2">
      <c r="B2242" s="291"/>
      <c r="E2242" s="212"/>
    </row>
    <row r="2243" spans="2:5" x14ac:dyDescent="0.2">
      <c r="B2243" s="291"/>
      <c r="E2243" s="212"/>
    </row>
    <row r="2244" spans="2:5" x14ac:dyDescent="0.2">
      <c r="B2244" s="291"/>
      <c r="E2244" s="212"/>
    </row>
    <row r="2245" spans="2:5" x14ac:dyDescent="0.2">
      <c r="B2245" s="291"/>
      <c r="E2245" s="212"/>
    </row>
    <row r="2246" spans="2:5" x14ac:dyDescent="0.2">
      <c r="B2246" s="291"/>
      <c r="E2246" s="212"/>
    </row>
    <row r="2247" spans="2:5" x14ac:dyDescent="0.2">
      <c r="B2247" s="291"/>
      <c r="E2247" s="212"/>
    </row>
    <row r="2248" spans="2:5" x14ac:dyDescent="0.2">
      <c r="B2248" s="291"/>
      <c r="E2248" s="212"/>
    </row>
    <row r="2249" spans="2:5" x14ac:dyDescent="0.2">
      <c r="B2249" s="291"/>
      <c r="E2249" s="212"/>
    </row>
    <row r="2250" spans="2:5" x14ac:dyDescent="0.2">
      <c r="B2250" s="291"/>
      <c r="E2250" s="212"/>
    </row>
    <row r="2251" spans="2:5" x14ac:dyDescent="0.2">
      <c r="B2251" s="291"/>
      <c r="E2251" s="212"/>
    </row>
    <row r="2252" spans="2:5" x14ac:dyDescent="0.2">
      <c r="B2252" s="291"/>
      <c r="E2252" s="212"/>
    </row>
    <row r="2253" spans="2:5" x14ac:dyDescent="0.2">
      <c r="B2253" s="291"/>
      <c r="E2253" s="212"/>
    </row>
    <row r="2254" spans="2:5" x14ac:dyDescent="0.2">
      <c r="B2254" s="291"/>
      <c r="E2254" s="212"/>
    </row>
    <row r="2255" spans="2:5" x14ac:dyDescent="0.2">
      <c r="B2255" s="291"/>
      <c r="E2255" s="212"/>
    </row>
    <row r="2256" spans="2:5" x14ac:dyDescent="0.2">
      <c r="B2256" s="291"/>
      <c r="E2256" s="212"/>
    </row>
    <row r="2257" spans="2:5" x14ac:dyDescent="0.2">
      <c r="B2257" s="291"/>
      <c r="E2257" s="212"/>
    </row>
    <row r="2258" spans="2:5" x14ac:dyDescent="0.2">
      <c r="B2258" s="291"/>
      <c r="E2258" s="212"/>
    </row>
    <row r="2259" spans="2:5" x14ac:dyDescent="0.2">
      <c r="B2259" s="291"/>
      <c r="E2259" s="212"/>
    </row>
    <row r="2260" spans="2:5" x14ac:dyDescent="0.2">
      <c r="B2260" s="291"/>
      <c r="E2260" s="212"/>
    </row>
    <row r="2261" spans="2:5" x14ac:dyDescent="0.2">
      <c r="B2261" s="291"/>
      <c r="E2261" s="212"/>
    </row>
    <row r="2262" spans="2:5" x14ac:dyDescent="0.2">
      <c r="B2262" s="291"/>
      <c r="E2262" s="212"/>
    </row>
    <row r="2263" spans="2:5" x14ac:dyDescent="0.2">
      <c r="B2263" s="291"/>
      <c r="E2263" s="212"/>
    </row>
    <row r="2264" spans="2:5" x14ac:dyDescent="0.2">
      <c r="B2264" s="291"/>
      <c r="E2264" s="212"/>
    </row>
    <row r="2265" spans="2:5" x14ac:dyDescent="0.2">
      <c r="B2265" s="291"/>
      <c r="E2265" s="212"/>
    </row>
    <row r="2266" spans="2:5" x14ac:dyDescent="0.2">
      <c r="B2266" s="291"/>
      <c r="E2266" s="212"/>
    </row>
    <row r="2267" spans="2:5" x14ac:dyDescent="0.2">
      <c r="B2267" s="291"/>
      <c r="E2267" s="212"/>
    </row>
    <row r="2268" spans="2:5" x14ac:dyDescent="0.2">
      <c r="B2268" s="291"/>
      <c r="E2268" s="212"/>
    </row>
    <row r="2269" spans="2:5" x14ac:dyDescent="0.2">
      <c r="B2269" s="291"/>
      <c r="E2269" s="212"/>
    </row>
    <row r="2270" spans="2:5" x14ac:dyDescent="0.2">
      <c r="B2270" s="291"/>
      <c r="E2270" s="212"/>
    </row>
    <row r="2271" spans="2:5" x14ac:dyDescent="0.2">
      <c r="B2271" s="291"/>
      <c r="E2271" s="212"/>
    </row>
    <row r="2272" spans="2:5" x14ac:dyDescent="0.2">
      <c r="B2272" s="291"/>
      <c r="E2272" s="212"/>
    </row>
    <row r="2273" spans="2:5" x14ac:dyDescent="0.2">
      <c r="B2273" s="291"/>
      <c r="E2273" s="212"/>
    </row>
    <row r="2274" spans="2:5" x14ac:dyDescent="0.2">
      <c r="B2274" s="291"/>
      <c r="E2274" s="212"/>
    </row>
    <row r="2275" spans="2:5" x14ac:dyDescent="0.2">
      <c r="B2275" s="291"/>
      <c r="E2275" s="212"/>
    </row>
    <row r="2276" spans="2:5" x14ac:dyDescent="0.2">
      <c r="B2276" s="291"/>
      <c r="E2276" s="212"/>
    </row>
    <row r="2277" spans="2:5" x14ac:dyDescent="0.2">
      <c r="B2277" s="291"/>
      <c r="E2277" s="212"/>
    </row>
    <row r="2278" spans="2:5" x14ac:dyDescent="0.2">
      <c r="B2278" s="291"/>
      <c r="E2278" s="212"/>
    </row>
    <row r="2279" spans="2:5" x14ac:dyDescent="0.2">
      <c r="B2279" s="291"/>
      <c r="E2279" s="212"/>
    </row>
    <row r="2280" spans="2:5" x14ac:dyDescent="0.2">
      <c r="B2280" s="291"/>
      <c r="E2280" s="212"/>
    </row>
    <row r="2281" spans="2:5" x14ac:dyDescent="0.2">
      <c r="B2281" s="291"/>
      <c r="E2281" s="212"/>
    </row>
    <row r="2282" spans="2:5" x14ac:dyDescent="0.2">
      <c r="B2282" s="291"/>
      <c r="E2282" s="212"/>
    </row>
    <row r="2283" spans="2:5" x14ac:dyDescent="0.2">
      <c r="B2283" s="291"/>
      <c r="E2283" s="212"/>
    </row>
    <row r="2284" spans="2:5" x14ac:dyDescent="0.2">
      <c r="B2284" s="291"/>
      <c r="E2284" s="212"/>
    </row>
    <row r="2285" spans="2:5" x14ac:dyDescent="0.2">
      <c r="B2285" s="291"/>
      <c r="E2285" s="212"/>
    </row>
    <row r="2286" spans="2:5" x14ac:dyDescent="0.2">
      <c r="B2286" s="291"/>
      <c r="E2286" s="212"/>
    </row>
    <row r="2287" spans="2:5" x14ac:dyDescent="0.2">
      <c r="B2287" s="291"/>
      <c r="E2287" s="212"/>
    </row>
    <row r="2288" spans="2:5" x14ac:dyDescent="0.2">
      <c r="B2288" s="291"/>
      <c r="E2288" s="212"/>
    </row>
    <row r="2289" spans="2:5" x14ac:dyDescent="0.2">
      <c r="B2289" s="291"/>
      <c r="E2289" s="212"/>
    </row>
    <row r="2290" spans="2:5" x14ac:dyDescent="0.2">
      <c r="B2290" s="291"/>
      <c r="E2290" s="212"/>
    </row>
    <row r="2291" spans="2:5" x14ac:dyDescent="0.2">
      <c r="B2291" s="291"/>
      <c r="E2291" s="212"/>
    </row>
    <row r="2292" spans="2:5" x14ac:dyDescent="0.2">
      <c r="B2292" s="291"/>
      <c r="E2292" s="212"/>
    </row>
    <row r="2293" spans="2:5" x14ac:dyDescent="0.2">
      <c r="B2293" s="291"/>
      <c r="E2293" s="212"/>
    </row>
    <row r="2294" spans="2:5" x14ac:dyDescent="0.2">
      <c r="B2294" s="291"/>
      <c r="E2294" s="212"/>
    </row>
    <row r="2295" spans="2:5" x14ac:dyDescent="0.2">
      <c r="B2295" s="291"/>
      <c r="E2295" s="212"/>
    </row>
    <row r="2296" spans="2:5" x14ac:dyDescent="0.2">
      <c r="B2296" s="291"/>
      <c r="E2296" s="212"/>
    </row>
    <row r="2297" spans="2:5" x14ac:dyDescent="0.2">
      <c r="B2297" s="291"/>
      <c r="E2297" s="212"/>
    </row>
    <row r="2298" spans="2:5" x14ac:dyDescent="0.2">
      <c r="B2298" s="291"/>
      <c r="E2298" s="212"/>
    </row>
    <row r="2299" spans="2:5" x14ac:dyDescent="0.2">
      <c r="B2299" s="291"/>
      <c r="E2299" s="212"/>
    </row>
    <row r="2300" spans="2:5" x14ac:dyDescent="0.2">
      <c r="B2300" s="291"/>
      <c r="E2300" s="212"/>
    </row>
    <row r="2301" spans="2:5" x14ac:dyDescent="0.2">
      <c r="B2301" s="291"/>
      <c r="E2301" s="212"/>
    </row>
    <row r="2302" spans="2:5" x14ac:dyDescent="0.2">
      <c r="B2302" s="291"/>
      <c r="E2302" s="212"/>
    </row>
    <row r="2303" spans="2:5" x14ac:dyDescent="0.2">
      <c r="B2303" s="291"/>
      <c r="E2303" s="212"/>
    </row>
    <row r="2304" spans="2:5" x14ac:dyDescent="0.2">
      <c r="B2304" s="291"/>
      <c r="E2304" s="212"/>
    </row>
    <row r="2305" spans="2:5" x14ac:dyDescent="0.2">
      <c r="B2305" s="291"/>
      <c r="E2305" s="212"/>
    </row>
    <row r="2306" spans="2:5" x14ac:dyDescent="0.2">
      <c r="B2306" s="291"/>
      <c r="E2306" s="212"/>
    </row>
    <row r="2307" spans="2:5" x14ac:dyDescent="0.2">
      <c r="B2307" s="291"/>
      <c r="E2307" s="212"/>
    </row>
    <row r="2308" spans="2:5" x14ac:dyDescent="0.2">
      <c r="B2308" s="291"/>
      <c r="E2308" s="212"/>
    </row>
    <row r="2309" spans="2:5" x14ac:dyDescent="0.2">
      <c r="B2309" s="291"/>
      <c r="E2309" s="212"/>
    </row>
    <row r="2310" spans="2:5" x14ac:dyDescent="0.2">
      <c r="B2310" s="291"/>
      <c r="E2310" s="212"/>
    </row>
    <row r="2311" spans="2:5" x14ac:dyDescent="0.2">
      <c r="B2311" s="291"/>
      <c r="E2311" s="212"/>
    </row>
    <row r="2312" spans="2:5" x14ac:dyDescent="0.2">
      <c r="B2312" s="291"/>
      <c r="E2312" s="212"/>
    </row>
    <row r="2313" spans="2:5" x14ac:dyDescent="0.2">
      <c r="B2313" s="291"/>
      <c r="E2313" s="212"/>
    </row>
    <row r="2314" spans="2:5" x14ac:dyDescent="0.2">
      <c r="B2314" s="291"/>
      <c r="E2314" s="212"/>
    </row>
    <row r="2315" spans="2:5" x14ac:dyDescent="0.2">
      <c r="B2315" s="291"/>
      <c r="E2315" s="212"/>
    </row>
    <row r="2316" spans="2:5" x14ac:dyDescent="0.2">
      <c r="B2316" s="291"/>
      <c r="E2316" s="212"/>
    </row>
    <row r="2317" spans="2:5" x14ac:dyDescent="0.2">
      <c r="B2317" s="291"/>
      <c r="E2317" s="212"/>
    </row>
    <row r="2318" spans="2:5" x14ac:dyDescent="0.2">
      <c r="B2318" s="291"/>
      <c r="E2318" s="212"/>
    </row>
    <row r="2319" spans="2:5" x14ac:dyDescent="0.2">
      <c r="B2319" s="291"/>
      <c r="E2319" s="212"/>
    </row>
    <row r="2320" spans="2:5" x14ac:dyDescent="0.2">
      <c r="B2320" s="291"/>
      <c r="E2320" s="212"/>
    </row>
    <row r="2321" spans="2:5" x14ac:dyDescent="0.2">
      <c r="B2321" s="291"/>
      <c r="E2321" s="212"/>
    </row>
    <row r="2322" spans="2:5" x14ac:dyDescent="0.2">
      <c r="B2322" s="291"/>
      <c r="E2322" s="212"/>
    </row>
    <row r="2323" spans="2:5" x14ac:dyDescent="0.2">
      <c r="B2323" s="291"/>
      <c r="E2323" s="212"/>
    </row>
    <row r="2324" spans="2:5" x14ac:dyDescent="0.2">
      <c r="B2324" s="291"/>
      <c r="E2324" s="212"/>
    </row>
    <row r="2325" spans="2:5" x14ac:dyDescent="0.2">
      <c r="B2325" s="291"/>
      <c r="E2325" s="212"/>
    </row>
    <row r="2326" spans="2:5" x14ac:dyDescent="0.2">
      <c r="B2326" s="291"/>
      <c r="E2326" s="212"/>
    </row>
    <row r="2327" spans="2:5" x14ac:dyDescent="0.2">
      <c r="B2327" s="291"/>
      <c r="E2327" s="212"/>
    </row>
    <row r="2328" spans="2:5" x14ac:dyDescent="0.2">
      <c r="B2328" s="291"/>
      <c r="E2328" s="212"/>
    </row>
    <row r="2329" spans="2:5" x14ac:dyDescent="0.2">
      <c r="B2329" s="291"/>
      <c r="E2329" s="212"/>
    </row>
    <row r="2330" spans="2:5" x14ac:dyDescent="0.2">
      <c r="B2330" s="291"/>
      <c r="E2330" s="212"/>
    </row>
    <row r="2331" spans="2:5" x14ac:dyDescent="0.2">
      <c r="B2331" s="291"/>
      <c r="E2331" s="212"/>
    </row>
    <row r="2332" spans="2:5" x14ac:dyDescent="0.2">
      <c r="B2332" s="291"/>
      <c r="E2332" s="212"/>
    </row>
    <row r="2333" spans="2:5" x14ac:dyDescent="0.2">
      <c r="B2333" s="291"/>
      <c r="E2333" s="212"/>
    </row>
    <row r="2334" spans="2:5" x14ac:dyDescent="0.2">
      <c r="B2334" s="291"/>
      <c r="E2334" s="212"/>
    </row>
    <row r="2335" spans="2:5" x14ac:dyDescent="0.2">
      <c r="B2335" s="291"/>
      <c r="E2335" s="212"/>
    </row>
    <row r="2336" spans="2:5" x14ac:dyDescent="0.2">
      <c r="B2336" s="291"/>
      <c r="E2336" s="212"/>
    </row>
    <row r="2337" spans="2:5" x14ac:dyDescent="0.2">
      <c r="B2337" s="291"/>
      <c r="E2337" s="212"/>
    </row>
    <row r="2338" spans="2:5" x14ac:dyDescent="0.2">
      <c r="B2338" s="291"/>
      <c r="E2338" s="212"/>
    </row>
    <row r="2339" spans="2:5" x14ac:dyDescent="0.2">
      <c r="B2339" s="291"/>
      <c r="E2339" s="212"/>
    </row>
    <row r="2340" spans="2:5" x14ac:dyDescent="0.2">
      <c r="B2340" s="291"/>
      <c r="E2340" s="212"/>
    </row>
    <row r="2341" spans="2:5" x14ac:dyDescent="0.2">
      <c r="B2341" s="291"/>
      <c r="E2341" s="212"/>
    </row>
    <row r="2342" spans="2:5" x14ac:dyDescent="0.2">
      <c r="B2342" s="291"/>
      <c r="E2342" s="212"/>
    </row>
    <row r="2343" spans="2:5" x14ac:dyDescent="0.2">
      <c r="B2343" s="291"/>
      <c r="E2343" s="212"/>
    </row>
    <row r="2344" spans="2:5" x14ac:dyDescent="0.2">
      <c r="B2344" s="291"/>
      <c r="E2344" s="212"/>
    </row>
    <row r="2345" spans="2:5" x14ac:dyDescent="0.2">
      <c r="B2345" s="291"/>
      <c r="E2345" s="212"/>
    </row>
    <row r="2346" spans="2:5" x14ac:dyDescent="0.2">
      <c r="B2346" s="291"/>
      <c r="E2346" s="212"/>
    </row>
    <row r="2347" spans="2:5" x14ac:dyDescent="0.2">
      <c r="B2347" s="291"/>
      <c r="E2347" s="212"/>
    </row>
    <row r="2348" spans="2:5" x14ac:dyDescent="0.2">
      <c r="B2348" s="291"/>
      <c r="E2348" s="212"/>
    </row>
    <row r="2349" spans="2:5" x14ac:dyDescent="0.2">
      <c r="B2349" s="291"/>
      <c r="E2349" s="212"/>
    </row>
    <row r="2350" spans="2:5" x14ac:dyDescent="0.2">
      <c r="B2350" s="291"/>
      <c r="E2350" s="212"/>
    </row>
    <row r="2351" spans="2:5" x14ac:dyDescent="0.2">
      <c r="B2351" s="291"/>
      <c r="E2351" s="212"/>
    </row>
    <row r="2352" spans="2:5" x14ac:dyDescent="0.2">
      <c r="B2352" s="291"/>
      <c r="E2352" s="212"/>
    </row>
    <row r="2353" spans="2:5" x14ac:dyDescent="0.2">
      <c r="B2353" s="291"/>
      <c r="E2353" s="212"/>
    </row>
    <row r="2354" spans="2:5" x14ac:dyDescent="0.2">
      <c r="B2354" s="291"/>
      <c r="E2354" s="212"/>
    </row>
    <row r="2355" spans="2:5" x14ac:dyDescent="0.2">
      <c r="B2355" s="291"/>
      <c r="E2355" s="212"/>
    </row>
    <row r="2356" spans="2:5" x14ac:dyDescent="0.2">
      <c r="B2356" s="291"/>
      <c r="E2356" s="212"/>
    </row>
    <row r="2357" spans="2:5" x14ac:dyDescent="0.2">
      <c r="B2357" s="291"/>
      <c r="E2357" s="212"/>
    </row>
    <row r="2358" spans="2:5" x14ac:dyDescent="0.2">
      <c r="B2358" s="291"/>
      <c r="E2358" s="212"/>
    </row>
    <row r="2359" spans="2:5" x14ac:dyDescent="0.2">
      <c r="B2359" s="291"/>
      <c r="E2359" s="212"/>
    </row>
    <row r="2360" spans="2:5" x14ac:dyDescent="0.2">
      <c r="B2360" s="291"/>
      <c r="E2360" s="212"/>
    </row>
    <row r="2361" spans="2:5" x14ac:dyDescent="0.2">
      <c r="B2361" s="291"/>
      <c r="E2361" s="212"/>
    </row>
    <row r="2362" spans="2:5" x14ac:dyDescent="0.2">
      <c r="B2362" s="291"/>
      <c r="E2362" s="212"/>
    </row>
    <row r="2363" spans="2:5" x14ac:dyDescent="0.2">
      <c r="B2363" s="291"/>
      <c r="E2363" s="212"/>
    </row>
    <row r="2364" spans="2:5" x14ac:dyDescent="0.2">
      <c r="B2364" s="291"/>
      <c r="E2364" s="212"/>
    </row>
    <row r="2365" spans="2:5" x14ac:dyDescent="0.2">
      <c r="B2365" s="291"/>
      <c r="E2365" s="212"/>
    </row>
    <row r="2366" spans="2:5" x14ac:dyDescent="0.2">
      <c r="B2366" s="291"/>
      <c r="E2366" s="212"/>
    </row>
    <row r="2367" spans="2:5" x14ac:dyDescent="0.2">
      <c r="B2367" s="291"/>
      <c r="E2367" s="212"/>
    </row>
    <row r="2368" spans="2:5" x14ac:dyDescent="0.2">
      <c r="B2368" s="291"/>
      <c r="E2368" s="212"/>
    </row>
    <row r="2369" spans="2:5" x14ac:dyDescent="0.2">
      <c r="B2369" s="291"/>
      <c r="E2369" s="212"/>
    </row>
    <row r="2370" spans="2:5" x14ac:dyDescent="0.2">
      <c r="B2370" s="291"/>
      <c r="E2370" s="212"/>
    </row>
    <row r="2371" spans="2:5" x14ac:dyDescent="0.2">
      <c r="B2371" s="291"/>
      <c r="E2371" s="212"/>
    </row>
    <row r="2372" spans="2:5" x14ac:dyDescent="0.2">
      <c r="B2372" s="291"/>
      <c r="E2372" s="212"/>
    </row>
    <row r="2373" spans="2:5" x14ac:dyDescent="0.2">
      <c r="B2373" s="291"/>
      <c r="E2373" s="212"/>
    </row>
    <row r="2374" spans="2:5" x14ac:dyDescent="0.2">
      <c r="B2374" s="291"/>
      <c r="E2374" s="212"/>
    </row>
    <row r="2375" spans="2:5" x14ac:dyDescent="0.2">
      <c r="B2375" s="291"/>
      <c r="E2375" s="212"/>
    </row>
    <row r="2376" spans="2:5" x14ac:dyDescent="0.2">
      <c r="B2376" s="291"/>
      <c r="E2376" s="212"/>
    </row>
    <row r="2377" spans="2:5" x14ac:dyDescent="0.2">
      <c r="B2377" s="291"/>
      <c r="E2377" s="212"/>
    </row>
    <row r="2378" spans="2:5" x14ac:dyDescent="0.2">
      <c r="B2378" s="291"/>
      <c r="E2378" s="212"/>
    </row>
    <row r="2379" spans="2:5" x14ac:dyDescent="0.2">
      <c r="B2379" s="291"/>
      <c r="E2379" s="212"/>
    </row>
    <row r="2380" spans="2:5" x14ac:dyDescent="0.2">
      <c r="B2380" s="291"/>
      <c r="E2380" s="212"/>
    </row>
    <row r="2381" spans="2:5" x14ac:dyDescent="0.2">
      <c r="B2381" s="291"/>
      <c r="E2381" s="212"/>
    </row>
    <row r="2382" spans="2:5" x14ac:dyDescent="0.2">
      <c r="B2382" s="291"/>
      <c r="E2382" s="212"/>
    </row>
    <row r="2383" spans="2:5" x14ac:dyDescent="0.2">
      <c r="B2383" s="291"/>
      <c r="E2383" s="212"/>
    </row>
    <row r="2384" spans="2:5" x14ac:dyDescent="0.2">
      <c r="B2384" s="291"/>
      <c r="E2384" s="212"/>
    </row>
    <row r="2385" spans="2:5" x14ac:dyDescent="0.2">
      <c r="B2385" s="291"/>
      <c r="E2385" s="212"/>
    </row>
    <row r="2386" spans="2:5" x14ac:dyDescent="0.2">
      <c r="B2386" s="291"/>
      <c r="E2386" s="212"/>
    </row>
    <row r="2387" spans="2:5" x14ac:dyDescent="0.2">
      <c r="B2387" s="291"/>
      <c r="E2387" s="212"/>
    </row>
    <row r="2388" spans="2:5" x14ac:dyDescent="0.2">
      <c r="B2388" s="291"/>
      <c r="E2388" s="212"/>
    </row>
    <row r="2389" spans="2:5" x14ac:dyDescent="0.2">
      <c r="B2389" s="291"/>
      <c r="E2389" s="212"/>
    </row>
    <row r="2390" spans="2:5" x14ac:dyDescent="0.2">
      <c r="B2390" s="291"/>
      <c r="E2390" s="212"/>
    </row>
    <row r="2391" spans="2:5" x14ac:dyDescent="0.2">
      <c r="B2391" s="291"/>
      <c r="E2391" s="212"/>
    </row>
    <row r="2392" spans="2:5" x14ac:dyDescent="0.2">
      <c r="B2392" s="291"/>
      <c r="E2392" s="212"/>
    </row>
    <row r="2393" spans="2:5" x14ac:dyDescent="0.2">
      <c r="B2393" s="291"/>
      <c r="E2393" s="212"/>
    </row>
    <row r="2394" spans="2:5" x14ac:dyDescent="0.2">
      <c r="B2394" s="291"/>
      <c r="E2394" s="212"/>
    </row>
    <row r="2395" spans="2:5" x14ac:dyDescent="0.2">
      <c r="B2395" s="291"/>
      <c r="E2395" s="212"/>
    </row>
    <row r="2396" spans="2:5" x14ac:dyDescent="0.2">
      <c r="B2396" s="291"/>
      <c r="E2396" s="212"/>
    </row>
    <row r="2397" spans="2:5" x14ac:dyDescent="0.2">
      <c r="B2397" s="291"/>
      <c r="E2397" s="212"/>
    </row>
    <row r="2398" spans="2:5" x14ac:dyDescent="0.2">
      <c r="B2398" s="291"/>
      <c r="E2398" s="212"/>
    </row>
    <row r="2399" spans="2:5" x14ac:dyDescent="0.2">
      <c r="B2399" s="291"/>
      <c r="E2399" s="212"/>
    </row>
    <row r="2400" spans="2:5" x14ac:dyDescent="0.2">
      <c r="B2400" s="291"/>
      <c r="E2400" s="212"/>
    </row>
    <row r="2401" spans="2:5" x14ac:dyDescent="0.2">
      <c r="B2401" s="291"/>
      <c r="E2401" s="212"/>
    </row>
    <row r="2402" spans="2:5" x14ac:dyDescent="0.2">
      <c r="B2402" s="291"/>
      <c r="E2402" s="212"/>
    </row>
    <row r="2403" spans="2:5" x14ac:dyDescent="0.2">
      <c r="B2403" s="291"/>
      <c r="E2403" s="212"/>
    </row>
    <row r="2404" spans="2:5" x14ac:dyDescent="0.2">
      <c r="B2404" s="291"/>
      <c r="E2404" s="212"/>
    </row>
    <row r="2405" spans="2:5" x14ac:dyDescent="0.2">
      <c r="B2405" s="291"/>
      <c r="E2405" s="212"/>
    </row>
    <row r="2406" spans="2:5" x14ac:dyDescent="0.2">
      <c r="B2406" s="291"/>
      <c r="E2406" s="212"/>
    </row>
    <row r="2407" spans="2:5" x14ac:dyDescent="0.2">
      <c r="B2407" s="291"/>
      <c r="E2407" s="212"/>
    </row>
    <row r="2408" spans="2:5" x14ac:dyDescent="0.2">
      <c r="B2408" s="291"/>
      <c r="E2408" s="212"/>
    </row>
    <row r="2409" spans="2:5" x14ac:dyDescent="0.2">
      <c r="B2409" s="291"/>
      <c r="E2409" s="212"/>
    </row>
    <row r="2410" spans="2:5" x14ac:dyDescent="0.2">
      <c r="B2410" s="291"/>
      <c r="E2410" s="212"/>
    </row>
    <row r="2411" spans="2:5" x14ac:dyDescent="0.2">
      <c r="B2411" s="291"/>
      <c r="E2411" s="212"/>
    </row>
    <row r="2412" spans="2:5" x14ac:dyDescent="0.2">
      <c r="B2412" s="291"/>
      <c r="E2412" s="212"/>
    </row>
    <row r="2413" spans="2:5" x14ac:dyDescent="0.2">
      <c r="B2413" s="291"/>
      <c r="E2413" s="212"/>
    </row>
    <row r="2414" spans="2:5" x14ac:dyDescent="0.2">
      <c r="B2414" s="291"/>
      <c r="E2414" s="212"/>
    </row>
    <row r="2415" spans="2:5" x14ac:dyDescent="0.2">
      <c r="B2415" s="291"/>
      <c r="E2415" s="212"/>
    </row>
    <row r="2416" spans="2:5" x14ac:dyDescent="0.2">
      <c r="B2416" s="291"/>
      <c r="E2416" s="212"/>
    </row>
    <row r="2417" spans="2:5" x14ac:dyDescent="0.2">
      <c r="B2417" s="291"/>
      <c r="E2417" s="212"/>
    </row>
    <row r="2418" spans="2:5" x14ac:dyDescent="0.2">
      <c r="B2418" s="291"/>
      <c r="E2418" s="212"/>
    </row>
    <row r="2419" spans="2:5" x14ac:dyDescent="0.2">
      <c r="B2419" s="291"/>
      <c r="E2419" s="212"/>
    </row>
    <row r="2420" spans="2:5" x14ac:dyDescent="0.2">
      <c r="B2420" s="291"/>
      <c r="E2420" s="212"/>
    </row>
    <row r="2421" spans="2:5" x14ac:dyDescent="0.2">
      <c r="B2421" s="291"/>
      <c r="E2421" s="212"/>
    </row>
    <row r="2422" spans="2:5" x14ac:dyDescent="0.2">
      <c r="B2422" s="291"/>
      <c r="E2422" s="212"/>
    </row>
    <row r="2423" spans="2:5" x14ac:dyDescent="0.2">
      <c r="B2423" s="291"/>
      <c r="E2423" s="212"/>
    </row>
    <row r="2424" spans="2:5" x14ac:dyDescent="0.2">
      <c r="B2424" s="291"/>
      <c r="E2424" s="212"/>
    </row>
    <row r="2425" spans="2:5" x14ac:dyDescent="0.2">
      <c r="B2425" s="291"/>
      <c r="E2425" s="212"/>
    </row>
    <row r="2426" spans="2:5" x14ac:dyDescent="0.2">
      <c r="B2426" s="291"/>
      <c r="E2426" s="212"/>
    </row>
    <row r="2427" spans="2:5" x14ac:dyDescent="0.2">
      <c r="B2427" s="291"/>
      <c r="E2427" s="212"/>
    </row>
    <row r="2428" spans="2:5" x14ac:dyDescent="0.2">
      <c r="B2428" s="291"/>
      <c r="E2428" s="212"/>
    </row>
    <row r="2429" spans="2:5" x14ac:dyDescent="0.2">
      <c r="B2429" s="291"/>
      <c r="E2429" s="212"/>
    </row>
    <row r="2430" spans="2:5" x14ac:dyDescent="0.2">
      <c r="B2430" s="291"/>
      <c r="E2430" s="212"/>
    </row>
    <row r="2431" spans="2:5" x14ac:dyDescent="0.2">
      <c r="B2431" s="291"/>
      <c r="E2431" s="212"/>
    </row>
    <row r="2432" spans="2:5" x14ac:dyDescent="0.2">
      <c r="B2432" s="291"/>
      <c r="E2432" s="212"/>
    </row>
    <row r="2433" spans="2:5" x14ac:dyDescent="0.2">
      <c r="B2433" s="291"/>
      <c r="E2433" s="212"/>
    </row>
    <row r="2434" spans="2:5" x14ac:dyDescent="0.2">
      <c r="B2434" s="291"/>
      <c r="E2434" s="212"/>
    </row>
    <row r="2435" spans="2:5" x14ac:dyDescent="0.2">
      <c r="B2435" s="291"/>
      <c r="E2435" s="212"/>
    </row>
    <row r="2436" spans="2:5" x14ac:dyDescent="0.2">
      <c r="B2436" s="291"/>
      <c r="E2436" s="212"/>
    </row>
    <row r="2437" spans="2:5" x14ac:dyDescent="0.2">
      <c r="B2437" s="291"/>
      <c r="E2437" s="212"/>
    </row>
    <row r="2438" spans="2:5" x14ac:dyDescent="0.2">
      <c r="B2438" s="291"/>
      <c r="E2438" s="212"/>
    </row>
    <row r="2439" spans="2:5" x14ac:dyDescent="0.2">
      <c r="B2439" s="291"/>
      <c r="E2439" s="212"/>
    </row>
    <row r="2440" spans="2:5" x14ac:dyDescent="0.2">
      <c r="B2440" s="291"/>
      <c r="E2440" s="212"/>
    </row>
    <row r="2441" spans="2:5" x14ac:dyDescent="0.2">
      <c r="B2441" s="291"/>
      <c r="E2441" s="212"/>
    </row>
    <row r="2442" spans="2:5" x14ac:dyDescent="0.2">
      <c r="B2442" s="291"/>
      <c r="E2442" s="212"/>
    </row>
    <row r="2443" spans="2:5" x14ac:dyDescent="0.2">
      <c r="B2443" s="291"/>
      <c r="E2443" s="212"/>
    </row>
    <row r="2444" spans="2:5" x14ac:dyDescent="0.2">
      <c r="B2444" s="291"/>
      <c r="E2444" s="212"/>
    </row>
    <row r="2445" spans="2:5" x14ac:dyDescent="0.2">
      <c r="B2445" s="291"/>
      <c r="E2445" s="212"/>
    </row>
    <row r="2446" spans="2:5" x14ac:dyDescent="0.2">
      <c r="B2446" s="291"/>
      <c r="E2446" s="212"/>
    </row>
    <row r="2447" spans="2:5" x14ac:dyDescent="0.2">
      <c r="B2447" s="291"/>
      <c r="E2447" s="212"/>
    </row>
    <row r="2448" spans="2:5" x14ac:dyDescent="0.2">
      <c r="B2448" s="291"/>
      <c r="E2448" s="212"/>
    </row>
    <row r="2449" spans="2:5" x14ac:dyDescent="0.2">
      <c r="B2449" s="291"/>
      <c r="E2449" s="212"/>
    </row>
    <row r="2450" spans="2:5" x14ac:dyDescent="0.2">
      <c r="B2450" s="291"/>
      <c r="E2450" s="212"/>
    </row>
    <row r="2451" spans="2:5" x14ac:dyDescent="0.2">
      <c r="B2451" s="291"/>
      <c r="E2451" s="212"/>
    </row>
    <row r="2452" spans="2:5" x14ac:dyDescent="0.2">
      <c r="B2452" s="291"/>
      <c r="E2452" s="212"/>
    </row>
    <row r="2453" spans="2:5" x14ac:dyDescent="0.2">
      <c r="B2453" s="291"/>
      <c r="E2453" s="212"/>
    </row>
    <row r="2454" spans="2:5" x14ac:dyDescent="0.2">
      <c r="B2454" s="291"/>
      <c r="E2454" s="212"/>
    </row>
    <row r="2455" spans="2:5" x14ac:dyDescent="0.2">
      <c r="B2455" s="291"/>
      <c r="E2455" s="212"/>
    </row>
    <row r="2456" spans="2:5" x14ac:dyDescent="0.2">
      <c r="B2456" s="291"/>
      <c r="E2456" s="212"/>
    </row>
    <row r="2457" spans="2:5" x14ac:dyDescent="0.2">
      <c r="B2457" s="291"/>
      <c r="E2457" s="212"/>
    </row>
    <row r="2458" spans="2:5" x14ac:dyDescent="0.2">
      <c r="B2458" s="291"/>
      <c r="E2458" s="212"/>
    </row>
    <row r="2459" spans="2:5" x14ac:dyDescent="0.2">
      <c r="B2459" s="291"/>
      <c r="E2459" s="212"/>
    </row>
    <row r="2460" spans="2:5" x14ac:dyDescent="0.2">
      <c r="B2460" s="291"/>
      <c r="E2460" s="212"/>
    </row>
    <row r="2461" spans="2:5" x14ac:dyDescent="0.2">
      <c r="B2461" s="291"/>
      <c r="E2461" s="212"/>
    </row>
    <row r="2462" spans="2:5" x14ac:dyDescent="0.2">
      <c r="B2462" s="291"/>
      <c r="E2462" s="212"/>
    </row>
    <row r="2463" spans="2:5" x14ac:dyDescent="0.2">
      <c r="B2463" s="291"/>
      <c r="E2463" s="212"/>
    </row>
    <row r="2464" spans="2:5" x14ac:dyDescent="0.2">
      <c r="B2464" s="291"/>
      <c r="E2464" s="212"/>
    </row>
    <row r="2465" spans="2:5" x14ac:dyDescent="0.2">
      <c r="B2465" s="291"/>
      <c r="E2465" s="212"/>
    </row>
    <row r="2466" spans="2:5" x14ac:dyDescent="0.2">
      <c r="B2466" s="291"/>
      <c r="E2466" s="212"/>
    </row>
    <row r="2467" spans="2:5" x14ac:dyDescent="0.2">
      <c r="B2467" s="291"/>
      <c r="E2467" s="212"/>
    </row>
    <row r="2468" spans="2:5" x14ac:dyDescent="0.2">
      <c r="B2468" s="291"/>
      <c r="E2468" s="212"/>
    </row>
    <row r="2469" spans="2:5" x14ac:dyDescent="0.2">
      <c r="B2469" s="291"/>
      <c r="E2469" s="212"/>
    </row>
    <row r="2470" spans="2:5" x14ac:dyDescent="0.2">
      <c r="B2470" s="291"/>
      <c r="E2470" s="212"/>
    </row>
    <row r="2471" spans="2:5" x14ac:dyDescent="0.2">
      <c r="B2471" s="291"/>
      <c r="E2471" s="212"/>
    </row>
    <row r="2472" spans="2:5" x14ac:dyDescent="0.2">
      <c r="B2472" s="291"/>
      <c r="E2472" s="212"/>
    </row>
    <row r="2473" spans="2:5" x14ac:dyDescent="0.2">
      <c r="B2473" s="291"/>
      <c r="E2473" s="212"/>
    </row>
    <row r="2474" spans="2:5" x14ac:dyDescent="0.2">
      <c r="B2474" s="291"/>
      <c r="E2474" s="212"/>
    </row>
    <row r="2475" spans="2:5" x14ac:dyDescent="0.2">
      <c r="B2475" s="291"/>
      <c r="E2475" s="212"/>
    </row>
    <row r="2476" spans="2:5" x14ac:dyDescent="0.2">
      <c r="B2476" s="291"/>
      <c r="E2476" s="212"/>
    </row>
    <row r="2477" spans="2:5" x14ac:dyDescent="0.2">
      <c r="B2477" s="291"/>
      <c r="E2477" s="212"/>
    </row>
    <row r="2478" spans="2:5" x14ac:dyDescent="0.2">
      <c r="B2478" s="291"/>
      <c r="E2478" s="212"/>
    </row>
    <row r="2479" spans="2:5" x14ac:dyDescent="0.2">
      <c r="B2479" s="291"/>
      <c r="E2479" s="212"/>
    </row>
    <row r="2480" spans="2:5" x14ac:dyDescent="0.2">
      <c r="B2480" s="291"/>
      <c r="E2480" s="212"/>
    </row>
    <row r="2481" spans="2:5" x14ac:dyDescent="0.2">
      <c r="B2481" s="291"/>
      <c r="E2481" s="212"/>
    </row>
    <row r="2482" spans="2:5" x14ac:dyDescent="0.2">
      <c r="B2482" s="291"/>
      <c r="E2482" s="212"/>
    </row>
    <row r="2483" spans="2:5" x14ac:dyDescent="0.2">
      <c r="B2483" s="291"/>
      <c r="E2483" s="212"/>
    </row>
    <row r="2484" spans="2:5" x14ac:dyDescent="0.2">
      <c r="B2484" s="291"/>
      <c r="E2484" s="212"/>
    </row>
    <row r="2485" spans="2:5" x14ac:dyDescent="0.2">
      <c r="B2485" s="291"/>
      <c r="E2485" s="212"/>
    </row>
    <row r="2486" spans="2:5" x14ac:dyDescent="0.2">
      <c r="B2486" s="291"/>
      <c r="E2486" s="212"/>
    </row>
    <row r="2487" spans="2:5" x14ac:dyDescent="0.2">
      <c r="B2487" s="291"/>
      <c r="E2487" s="212"/>
    </row>
    <row r="2488" spans="2:5" x14ac:dyDescent="0.2">
      <c r="B2488" s="291"/>
      <c r="E2488" s="212"/>
    </row>
    <row r="2489" spans="2:5" x14ac:dyDescent="0.2">
      <c r="B2489" s="291"/>
      <c r="E2489" s="212"/>
    </row>
    <row r="2490" spans="2:5" x14ac:dyDescent="0.2">
      <c r="B2490" s="291"/>
      <c r="E2490" s="212"/>
    </row>
    <row r="2491" spans="2:5" x14ac:dyDescent="0.2">
      <c r="B2491" s="291"/>
      <c r="E2491" s="212"/>
    </row>
    <row r="2492" spans="2:5" x14ac:dyDescent="0.2">
      <c r="B2492" s="291"/>
      <c r="E2492" s="212"/>
    </row>
    <row r="2493" spans="2:5" x14ac:dyDescent="0.2">
      <c r="B2493" s="291"/>
      <c r="E2493" s="212"/>
    </row>
    <row r="2494" spans="2:5" x14ac:dyDescent="0.2">
      <c r="B2494" s="291"/>
      <c r="E2494" s="212"/>
    </row>
    <row r="2495" spans="2:5" x14ac:dyDescent="0.2">
      <c r="B2495" s="291"/>
      <c r="E2495" s="212"/>
    </row>
    <row r="2496" spans="2:5" x14ac:dyDescent="0.2">
      <c r="B2496" s="291"/>
      <c r="E2496" s="212"/>
    </row>
    <row r="2497" spans="2:5" x14ac:dyDescent="0.2">
      <c r="B2497" s="291"/>
      <c r="E2497" s="212"/>
    </row>
    <row r="2498" spans="2:5" x14ac:dyDescent="0.2">
      <c r="B2498" s="291"/>
      <c r="E2498" s="212"/>
    </row>
    <row r="2499" spans="2:5" x14ac:dyDescent="0.2">
      <c r="B2499" s="291"/>
      <c r="E2499" s="212"/>
    </row>
    <row r="2500" spans="2:5" x14ac:dyDescent="0.2">
      <c r="B2500" s="291"/>
      <c r="E2500" s="212"/>
    </row>
    <row r="2501" spans="2:5" x14ac:dyDescent="0.2">
      <c r="B2501" s="291"/>
      <c r="E2501" s="212"/>
    </row>
    <row r="2502" spans="2:5" x14ac:dyDescent="0.2">
      <c r="B2502" s="291"/>
      <c r="E2502" s="212"/>
    </row>
    <row r="2503" spans="2:5" x14ac:dyDescent="0.2">
      <c r="B2503" s="291"/>
      <c r="E2503" s="212"/>
    </row>
    <row r="2504" spans="2:5" x14ac:dyDescent="0.2">
      <c r="B2504" s="291"/>
      <c r="E2504" s="212"/>
    </row>
    <row r="2505" spans="2:5" x14ac:dyDescent="0.2">
      <c r="B2505" s="291"/>
      <c r="E2505" s="212"/>
    </row>
    <row r="2506" spans="2:5" x14ac:dyDescent="0.2">
      <c r="B2506" s="291"/>
      <c r="E2506" s="212"/>
    </row>
    <row r="2507" spans="2:5" x14ac:dyDescent="0.2">
      <c r="B2507" s="291"/>
      <c r="E2507" s="212"/>
    </row>
    <row r="2508" spans="2:5" x14ac:dyDescent="0.2">
      <c r="B2508" s="291"/>
      <c r="E2508" s="212"/>
    </row>
    <row r="2509" spans="2:5" x14ac:dyDescent="0.2">
      <c r="B2509" s="291"/>
      <c r="E2509" s="212"/>
    </row>
    <row r="2510" spans="2:5" x14ac:dyDescent="0.2">
      <c r="B2510" s="291"/>
      <c r="E2510" s="212"/>
    </row>
    <row r="2511" spans="2:5" x14ac:dyDescent="0.2">
      <c r="B2511" s="291"/>
      <c r="E2511" s="212"/>
    </row>
    <row r="2512" spans="2:5" x14ac:dyDescent="0.2">
      <c r="B2512" s="291"/>
      <c r="E2512" s="212"/>
    </row>
    <row r="2513" spans="2:5" x14ac:dyDescent="0.2">
      <c r="B2513" s="291"/>
      <c r="E2513" s="212"/>
    </row>
    <row r="2514" spans="2:5" x14ac:dyDescent="0.2">
      <c r="B2514" s="291"/>
      <c r="E2514" s="212"/>
    </row>
    <row r="2515" spans="2:5" x14ac:dyDescent="0.2">
      <c r="B2515" s="291"/>
      <c r="E2515" s="212"/>
    </row>
    <row r="2516" spans="2:5" x14ac:dyDescent="0.2">
      <c r="B2516" s="291"/>
      <c r="E2516" s="212"/>
    </row>
    <row r="2517" spans="2:5" x14ac:dyDescent="0.2">
      <c r="B2517" s="291"/>
      <c r="E2517" s="212"/>
    </row>
    <row r="2518" spans="2:5" x14ac:dyDescent="0.2">
      <c r="B2518" s="291"/>
      <c r="E2518" s="212"/>
    </row>
    <row r="2519" spans="2:5" x14ac:dyDescent="0.2">
      <c r="B2519" s="291"/>
      <c r="E2519" s="212"/>
    </row>
    <row r="2520" spans="2:5" x14ac:dyDescent="0.2">
      <c r="B2520" s="291"/>
      <c r="E2520" s="212"/>
    </row>
    <row r="2521" spans="2:5" x14ac:dyDescent="0.2">
      <c r="B2521" s="291"/>
      <c r="E2521" s="212"/>
    </row>
    <row r="2522" spans="2:5" x14ac:dyDescent="0.2">
      <c r="B2522" s="291"/>
      <c r="E2522" s="212"/>
    </row>
    <row r="2523" spans="2:5" x14ac:dyDescent="0.2">
      <c r="B2523" s="291"/>
      <c r="E2523" s="212"/>
    </row>
    <row r="2524" spans="2:5" x14ac:dyDescent="0.2">
      <c r="B2524" s="291"/>
      <c r="E2524" s="212"/>
    </row>
    <row r="2525" spans="2:5" x14ac:dyDescent="0.2">
      <c r="B2525" s="291"/>
      <c r="E2525" s="212"/>
    </row>
    <row r="2526" spans="2:5" x14ac:dyDescent="0.2">
      <c r="B2526" s="291"/>
      <c r="E2526" s="212"/>
    </row>
    <row r="2527" spans="2:5" x14ac:dyDescent="0.2">
      <c r="B2527" s="291"/>
      <c r="E2527" s="212"/>
    </row>
    <row r="2528" spans="2:5" x14ac:dyDescent="0.2">
      <c r="B2528" s="291"/>
      <c r="E2528" s="212"/>
    </row>
    <row r="2529" spans="2:5" x14ac:dyDescent="0.2">
      <c r="B2529" s="291"/>
      <c r="E2529" s="212"/>
    </row>
    <row r="2530" spans="2:5" x14ac:dyDescent="0.2">
      <c r="B2530" s="291"/>
      <c r="E2530" s="212"/>
    </row>
    <row r="2531" spans="2:5" x14ac:dyDescent="0.2">
      <c r="B2531" s="291"/>
      <c r="E2531" s="212"/>
    </row>
    <row r="2532" spans="2:5" x14ac:dyDescent="0.2">
      <c r="B2532" s="291"/>
      <c r="E2532" s="212"/>
    </row>
    <row r="2533" spans="2:5" x14ac:dyDescent="0.2">
      <c r="B2533" s="291"/>
      <c r="E2533" s="212"/>
    </row>
    <row r="2534" spans="2:5" x14ac:dyDescent="0.2">
      <c r="B2534" s="291"/>
      <c r="E2534" s="212"/>
    </row>
    <row r="2535" spans="2:5" x14ac:dyDescent="0.2">
      <c r="B2535" s="291"/>
      <c r="E2535" s="212"/>
    </row>
    <row r="2536" spans="2:5" x14ac:dyDescent="0.2">
      <c r="B2536" s="291"/>
      <c r="E2536" s="212"/>
    </row>
    <row r="2537" spans="2:5" x14ac:dyDescent="0.2">
      <c r="B2537" s="291"/>
      <c r="E2537" s="212"/>
    </row>
    <row r="2538" spans="2:5" x14ac:dyDescent="0.2">
      <c r="B2538" s="291"/>
      <c r="E2538" s="212"/>
    </row>
    <row r="2539" spans="2:5" x14ac:dyDescent="0.2">
      <c r="B2539" s="291"/>
      <c r="E2539" s="212"/>
    </row>
    <row r="2540" spans="2:5" x14ac:dyDescent="0.2">
      <c r="B2540" s="291"/>
      <c r="E2540" s="212"/>
    </row>
    <row r="2541" spans="2:5" x14ac:dyDescent="0.2">
      <c r="B2541" s="291"/>
      <c r="E2541" s="212"/>
    </row>
    <row r="2542" spans="2:5" x14ac:dyDescent="0.2">
      <c r="B2542" s="291"/>
      <c r="E2542" s="212"/>
    </row>
    <row r="2543" spans="2:5" x14ac:dyDescent="0.2">
      <c r="B2543" s="291"/>
      <c r="E2543" s="212"/>
    </row>
    <row r="2544" spans="2:5" x14ac:dyDescent="0.2">
      <c r="B2544" s="291"/>
      <c r="E2544" s="212"/>
    </row>
    <row r="2545" spans="2:5" x14ac:dyDescent="0.2">
      <c r="B2545" s="291"/>
      <c r="E2545" s="212"/>
    </row>
    <row r="2546" spans="2:5" x14ac:dyDescent="0.2">
      <c r="B2546" s="291"/>
      <c r="E2546" s="212"/>
    </row>
    <row r="2547" spans="2:5" x14ac:dyDescent="0.2">
      <c r="B2547" s="291"/>
      <c r="E2547" s="212"/>
    </row>
    <row r="2548" spans="2:5" x14ac:dyDescent="0.2">
      <c r="B2548" s="291"/>
      <c r="E2548" s="212"/>
    </row>
    <row r="2549" spans="2:5" x14ac:dyDescent="0.2">
      <c r="B2549" s="291"/>
      <c r="E2549" s="212"/>
    </row>
    <row r="2550" spans="2:5" x14ac:dyDescent="0.2">
      <c r="B2550" s="291"/>
      <c r="E2550" s="212"/>
    </row>
    <row r="2551" spans="2:5" x14ac:dyDescent="0.2">
      <c r="B2551" s="291"/>
      <c r="E2551" s="212"/>
    </row>
    <row r="2552" spans="2:5" x14ac:dyDescent="0.2">
      <c r="B2552" s="291"/>
      <c r="E2552" s="212"/>
    </row>
    <row r="2553" spans="2:5" x14ac:dyDescent="0.2">
      <c r="B2553" s="291"/>
      <c r="E2553" s="212"/>
    </row>
    <row r="2554" spans="2:5" x14ac:dyDescent="0.2">
      <c r="B2554" s="291"/>
      <c r="E2554" s="212"/>
    </row>
    <row r="2555" spans="2:5" x14ac:dyDescent="0.2">
      <c r="B2555" s="291"/>
      <c r="E2555" s="212"/>
    </row>
    <row r="2556" spans="2:5" x14ac:dyDescent="0.2">
      <c r="B2556" s="291"/>
      <c r="E2556" s="212"/>
    </row>
    <row r="2557" spans="2:5" x14ac:dyDescent="0.2">
      <c r="B2557" s="291"/>
      <c r="E2557" s="212"/>
    </row>
    <row r="2558" spans="2:5" x14ac:dyDescent="0.2">
      <c r="B2558" s="291"/>
      <c r="E2558" s="212"/>
    </row>
    <row r="2559" spans="2:5" x14ac:dyDescent="0.2">
      <c r="B2559" s="291"/>
      <c r="E2559" s="212"/>
    </row>
    <row r="2560" spans="2:5" x14ac:dyDescent="0.2">
      <c r="B2560" s="291"/>
      <c r="E2560" s="212"/>
    </row>
    <row r="2561" spans="2:5" x14ac:dyDescent="0.2">
      <c r="B2561" s="291"/>
      <c r="E2561" s="212"/>
    </row>
    <row r="2562" spans="2:5" x14ac:dyDescent="0.2">
      <c r="B2562" s="291"/>
      <c r="E2562" s="212"/>
    </row>
    <row r="2563" spans="2:5" x14ac:dyDescent="0.2">
      <c r="B2563" s="291"/>
      <c r="E2563" s="212"/>
    </row>
    <row r="2564" spans="2:5" x14ac:dyDescent="0.2">
      <c r="B2564" s="291"/>
      <c r="E2564" s="212"/>
    </row>
    <row r="2565" spans="2:5" x14ac:dyDescent="0.2">
      <c r="B2565" s="291"/>
      <c r="E2565" s="212"/>
    </row>
    <row r="2566" spans="2:5" x14ac:dyDescent="0.2">
      <c r="B2566" s="291"/>
      <c r="E2566" s="212"/>
    </row>
    <row r="2567" spans="2:5" x14ac:dyDescent="0.2">
      <c r="B2567" s="291"/>
      <c r="E2567" s="212"/>
    </row>
    <row r="2568" spans="2:5" x14ac:dyDescent="0.2">
      <c r="B2568" s="291"/>
      <c r="E2568" s="212"/>
    </row>
    <row r="2569" spans="2:5" x14ac:dyDescent="0.2">
      <c r="B2569" s="291"/>
      <c r="E2569" s="212"/>
    </row>
    <row r="2570" spans="2:5" x14ac:dyDescent="0.2">
      <c r="B2570" s="291"/>
      <c r="E2570" s="212"/>
    </row>
    <row r="2571" spans="2:5" x14ac:dyDescent="0.2">
      <c r="B2571" s="291"/>
      <c r="E2571" s="212"/>
    </row>
    <row r="2572" spans="2:5" x14ac:dyDescent="0.2">
      <c r="B2572" s="291"/>
      <c r="E2572" s="212"/>
    </row>
    <row r="2573" spans="2:5" x14ac:dyDescent="0.2">
      <c r="B2573" s="291"/>
      <c r="E2573" s="212"/>
    </row>
    <row r="2574" spans="2:5" x14ac:dyDescent="0.2">
      <c r="B2574" s="291"/>
      <c r="E2574" s="212"/>
    </row>
    <row r="2575" spans="2:5" x14ac:dyDescent="0.2">
      <c r="B2575" s="291"/>
      <c r="E2575" s="212"/>
    </row>
    <row r="2576" spans="2:5" x14ac:dyDescent="0.2">
      <c r="B2576" s="291"/>
      <c r="E2576" s="212"/>
    </row>
    <row r="2577" spans="2:5" x14ac:dyDescent="0.2">
      <c r="B2577" s="291"/>
      <c r="E2577" s="212"/>
    </row>
    <row r="2578" spans="2:5" x14ac:dyDescent="0.2">
      <c r="B2578" s="291"/>
      <c r="E2578" s="212"/>
    </row>
    <row r="2579" spans="2:5" x14ac:dyDescent="0.2">
      <c r="B2579" s="291"/>
      <c r="E2579" s="212"/>
    </row>
    <row r="2580" spans="2:5" x14ac:dyDescent="0.2">
      <c r="B2580" s="291"/>
      <c r="E2580" s="212"/>
    </row>
    <row r="2581" spans="2:5" x14ac:dyDescent="0.2">
      <c r="B2581" s="291"/>
      <c r="E2581" s="212"/>
    </row>
    <row r="2582" spans="2:5" x14ac:dyDescent="0.2">
      <c r="B2582" s="291"/>
      <c r="E2582" s="212"/>
    </row>
    <row r="2583" spans="2:5" x14ac:dyDescent="0.2">
      <c r="B2583" s="291"/>
      <c r="E2583" s="212"/>
    </row>
    <row r="2584" spans="2:5" x14ac:dyDescent="0.2">
      <c r="B2584" s="291"/>
      <c r="E2584" s="212"/>
    </row>
    <row r="2585" spans="2:5" x14ac:dyDescent="0.2">
      <c r="B2585" s="291"/>
      <c r="E2585" s="212"/>
    </row>
    <row r="2586" spans="2:5" x14ac:dyDescent="0.2">
      <c r="B2586" s="291"/>
      <c r="E2586" s="212"/>
    </row>
    <row r="2587" spans="2:5" x14ac:dyDescent="0.2">
      <c r="B2587" s="291"/>
      <c r="E2587" s="212"/>
    </row>
    <row r="2588" spans="2:5" x14ac:dyDescent="0.2">
      <c r="B2588" s="291"/>
      <c r="E2588" s="212"/>
    </row>
    <row r="2589" spans="2:5" x14ac:dyDescent="0.2">
      <c r="B2589" s="291"/>
      <c r="E2589" s="212"/>
    </row>
    <row r="2590" spans="2:5" x14ac:dyDescent="0.2">
      <c r="B2590" s="291"/>
      <c r="E2590" s="212"/>
    </row>
    <row r="2591" spans="2:5" x14ac:dyDescent="0.2">
      <c r="B2591" s="291"/>
      <c r="E2591" s="212"/>
    </row>
    <row r="2592" spans="2:5" x14ac:dyDescent="0.2">
      <c r="B2592" s="291"/>
      <c r="E2592" s="212"/>
    </row>
    <row r="2593" spans="2:5" x14ac:dyDescent="0.2">
      <c r="B2593" s="291"/>
      <c r="E2593" s="212"/>
    </row>
    <row r="2594" spans="2:5" x14ac:dyDescent="0.2">
      <c r="B2594" s="291"/>
      <c r="E2594" s="212"/>
    </row>
    <row r="2595" spans="2:5" x14ac:dyDescent="0.2">
      <c r="B2595" s="291"/>
      <c r="E2595" s="212"/>
    </row>
    <row r="2596" spans="2:5" x14ac:dyDescent="0.2">
      <c r="B2596" s="291"/>
      <c r="E2596" s="212"/>
    </row>
    <row r="2597" spans="2:5" x14ac:dyDescent="0.2">
      <c r="B2597" s="291"/>
      <c r="E2597" s="212"/>
    </row>
    <row r="2598" spans="2:5" x14ac:dyDescent="0.2">
      <c r="B2598" s="291"/>
      <c r="E2598" s="212"/>
    </row>
    <row r="2599" spans="2:5" x14ac:dyDescent="0.2">
      <c r="B2599" s="291"/>
      <c r="E2599" s="212"/>
    </row>
    <row r="2600" spans="2:5" x14ac:dyDescent="0.2">
      <c r="B2600" s="291"/>
      <c r="E2600" s="212"/>
    </row>
    <row r="2601" spans="2:5" x14ac:dyDescent="0.2">
      <c r="B2601" s="291"/>
      <c r="E2601" s="212"/>
    </row>
    <row r="2602" spans="2:5" x14ac:dyDescent="0.2">
      <c r="B2602" s="291"/>
      <c r="E2602" s="212"/>
    </row>
    <row r="2603" spans="2:5" x14ac:dyDescent="0.2">
      <c r="B2603" s="291"/>
      <c r="E2603" s="212"/>
    </row>
    <row r="2604" spans="2:5" x14ac:dyDescent="0.2">
      <c r="B2604" s="291"/>
      <c r="E2604" s="212"/>
    </row>
    <row r="2605" spans="2:5" x14ac:dyDescent="0.2">
      <c r="B2605" s="291"/>
      <c r="E2605" s="212"/>
    </row>
    <row r="2606" spans="2:5" x14ac:dyDescent="0.2">
      <c r="B2606" s="291"/>
      <c r="E2606" s="212"/>
    </row>
    <row r="2607" spans="2:5" x14ac:dyDescent="0.2">
      <c r="B2607" s="291"/>
      <c r="E2607" s="212"/>
    </row>
    <row r="2608" spans="2:5" x14ac:dyDescent="0.2">
      <c r="B2608" s="291"/>
      <c r="E2608" s="212"/>
    </row>
    <row r="2609" spans="2:5" x14ac:dyDescent="0.2">
      <c r="B2609" s="291"/>
      <c r="E2609" s="212"/>
    </row>
    <row r="2610" spans="2:5" x14ac:dyDescent="0.2">
      <c r="B2610" s="291"/>
      <c r="E2610" s="212"/>
    </row>
    <row r="2611" spans="2:5" x14ac:dyDescent="0.2">
      <c r="B2611" s="291"/>
      <c r="E2611" s="212"/>
    </row>
    <row r="2612" spans="2:5" x14ac:dyDescent="0.2">
      <c r="B2612" s="291"/>
      <c r="E2612" s="212"/>
    </row>
    <row r="2613" spans="2:5" x14ac:dyDescent="0.2">
      <c r="B2613" s="291"/>
      <c r="E2613" s="212"/>
    </row>
    <row r="2614" spans="2:5" x14ac:dyDescent="0.2">
      <c r="B2614" s="291"/>
      <c r="E2614" s="212"/>
    </row>
    <row r="2615" spans="2:5" x14ac:dyDescent="0.2">
      <c r="B2615" s="291"/>
      <c r="E2615" s="212"/>
    </row>
    <row r="2616" spans="2:5" x14ac:dyDescent="0.2">
      <c r="B2616" s="291"/>
      <c r="E2616" s="212"/>
    </row>
    <row r="2617" spans="2:5" x14ac:dyDescent="0.2">
      <c r="B2617" s="291"/>
      <c r="E2617" s="212"/>
    </row>
    <row r="2618" spans="2:5" x14ac:dyDescent="0.2">
      <c r="B2618" s="291"/>
      <c r="E2618" s="212"/>
    </row>
    <row r="2619" spans="2:5" x14ac:dyDescent="0.2">
      <c r="B2619" s="291"/>
      <c r="E2619" s="212"/>
    </row>
    <row r="2620" spans="2:5" x14ac:dyDescent="0.2">
      <c r="B2620" s="291"/>
      <c r="E2620" s="212"/>
    </row>
    <row r="2621" spans="2:5" x14ac:dyDescent="0.2">
      <c r="B2621" s="291"/>
      <c r="E2621" s="212"/>
    </row>
    <row r="2622" spans="2:5" x14ac:dyDescent="0.2">
      <c r="B2622" s="291"/>
      <c r="E2622" s="212"/>
    </row>
    <row r="2623" spans="2:5" x14ac:dyDescent="0.2">
      <c r="B2623" s="291"/>
      <c r="E2623" s="212"/>
    </row>
    <row r="2624" spans="2:5" x14ac:dyDescent="0.2">
      <c r="B2624" s="291"/>
      <c r="E2624" s="212"/>
    </row>
    <row r="2625" spans="2:5" x14ac:dyDescent="0.2">
      <c r="B2625" s="291"/>
      <c r="E2625" s="212"/>
    </row>
    <row r="2626" spans="2:5" x14ac:dyDescent="0.2">
      <c r="B2626" s="291"/>
      <c r="E2626" s="212"/>
    </row>
    <row r="2627" spans="2:5" x14ac:dyDescent="0.2">
      <c r="B2627" s="291"/>
      <c r="E2627" s="212"/>
    </row>
    <row r="2628" spans="2:5" x14ac:dyDescent="0.2">
      <c r="B2628" s="291"/>
      <c r="E2628" s="212"/>
    </row>
    <row r="2629" spans="2:5" x14ac:dyDescent="0.2">
      <c r="B2629" s="291"/>
      <c r="E2629" s="212"/>
    </row>
    <row r="2630" spans="2:5" x14ac:dyDescent="0.2">
      <c r="B2630" s="291"/>
      <c r="E2630" s="212"/>
    </row>
    <row r="2631" spans="2:5" x14ac:dyDescent="0.2">
      <c r="B2631" s="291"/>
      <c r="E2631" s="212"/>
    </row>
    <row r="2632" spans="2:5" x14ac:dyDescent="0.2">
      <c r="B2632" s="291"/>
      <c r="E2632" s="212"/>
    </row>
    <row r="2633" spans="2:5" x14ac:dyDescent="0.2">
      <c r="B2633" s="291"/>
      <c r="E2633" s="212"/>
    </row>
    <row r="2634" spans="2:5" x14ac:dyDescent="0.2">
      <c r="B2634" s="291"/>
      <c r="E2634" s="212"/>
    </row>
    <row r="2635" spans="2:5" x14ac:dyDescent="0.2">
      <c r="B2635" s="291"/>
      <c r="E2635" s="212"/>
    </row>
    <row r="2636" spans="2:5" x14ac:dyDescent="0.2">
      <c r="B2636" s="291"/>
      <c r="E2636" s="212"/>
    </row>
    <row r="2637" spans="2:5" x14ac:dyDescent="0.2">
      <c r="B2637" s="291"/>
      <c r="E2637" s="212"/>
    </row>
    <row r="2638" spans="2:5" x14ac:dyDescent="0.2">
      <c r="B2638" s="291"/>
      <c r="E2638" s="212"/>
    </row>
    <row r="2639" spans="2:5" x14ac:dyDescent="0.2">
      <c r="B2639" s="291"/>
      <c r="E2639" s="212"/>
    </row>
    <row r="2640" spans="2:5" x14ac:dyDescent="0.2">
      <c r="B2640" s="291"/>
      <c r="E2640" s="212"/>
    </row>
    <row r="2641" spans="2:5" x14ac:dyDescent="0.2">
      <c r="B2641" s="291"/>
      <c r="E2641" s="212"/>
    </row>
    <row r="2642" spans="2:5" x14ac:dyDescent="0.2">
      <c r="B2642" s="291"/>
      <c r="E2642" s="212"/>
    </row>
    <row r="2643" spans="2:5" x14ac:dyDescent="0.2">
      <c r="B2643" s="291"/>
      <c r="E2643" s="212"/>
    </row>
    <row r="2644" spans="2:5" x14ac:dyDescent="0.2">
      <c r="B2644" s="291"/>
      <c r="E2644" s="212"/>
    </row>
    <row r="2645" spans="2:5" x14ac:dyDescent="0.2">
      <c r="B2645" s="291"/>
      <c r="E2645" s="212"/>
    </row>
    <row r="2646" spans="2:5" x14ac:dyDescent="0.2">
      <c r="B2646" s="291"/>
      <c r="E2646" s="212"/>
    </row>
    <row r="2647" spans="2:5" x14ac:dyDescent="0.2">
      <c r="B2647" s="291"/>
      <c r="E2647" s="212"/>
    </row>
    <row r="2648" spans="2:5" x14ac:dyDescent="0.2">
      <c r="B2648" s="291"/>
      <c r="E2648" s="212"/>
    </row>
    <row r="2649" spans="2:5" x14ac:dyDescent="0.2">
      <c r="B2649" s="291"/>
      <c r="E2649" s="212"/>
    </row>
    <row r="2650" spans="2:5" x14ac:dyDescent="0.2">
      <c r="B2650" s="291"/>
      <c r="E2650" s="212"/>
    </row>
    <row r="2651" spans="2:5" x14ac:dyDescent="0.2">
      <c r="B2651" s="291"/>
      <c r="E2651" s="212"/>
    </row>
    <row r="2652" spans="2:5" x14ac:dyDescent="0.2">
      <c r="B2652" s="291"/>
      <c r="E2652" s="212"/>
    </row>
    <row r="2653" spans="2:5" x14ac:dyDescent="0.2">
      <c r="B2653" s="291"/>
      <c r="E2653" s="212"/>
    </row>
    <row r="2654" spans="2:5" x14ac:dyDescent="0.2">
      <c r="B2654" s="291"/>
      <c r="E2654" s="212"/>
    </row>
    <row r="2655" spans="2:5" x14ac:dyDescent="0.2">
      <c r="B2655" s="291"/>
      <c r="E2655" s="212"/>
    </row>
    <row r="2656" spans="2:5" x14ac:dyDescent="0.2">
      <c r="B2656" s="291"/>
      <c r="E2656" s="212"/>
    </row>
    <row r="2657" spans="2:5" x14ac:dyDescent="0.2">
      <c r="B2657" s="291"/>
      <c r="E2657" s="212"/>
    </row>
    <row r="2658" spans="2:5" x14ac:dyDescent="0.2">
      <c r="B2658" s="291"/>
      <c r="E2658" s="212"/>
    </row>
    <row r="2659" spans="2:5" x14ac:dyDescent="0.2">
      <c r="B2659" s="291"/>
      <c r="E2659" s="212"/>
    </row>
    <row r="2660" spans="2:5" x14ac:dyDescent="0.2">
      <c r="B2660" s="291"/>
      <c r="E2660" s="212"/>
    </row>
    <row r="2661" spans="2:5" x14ac:dyDescent="0.2">
      <c r="B2661" s="291"/>
      <c r="E2661" s="212"/>
    </row>
    <row r="2662" spans="2:5" x14ac:dyDescent="0.2">
      <c r="B2662" s="291"/>
      <c r="E2662" s="212"/>
    </row>
    <row r="2663" spans="2:5" x14ac:dyDescent="0.2">
      <c r="B2663" s="291"/>
      <c r="E2663" s="212"/>
    </row>
    <row r="2664" spans="2:5" x14ac:dyDescent="0.2">
      <c r="B2664" s="291"/>
      <c r="E2664" s="212"/>
    </row>
    <row r="2665" spans="2:5" x14ac:dyDescent="0.2">
      <c r="B2665" s="291"/>
      <c r="E2665" s="212"/>
    </row>
    <row r="2666" spans="2:5" x14ac:dyDescent="0.2">
      <c r="B2666" s="291"/>
      <c r="E2666" s="212"/>
    </row>
    <row r="2667" spans="2:5" x14ac:dyDescent="0.2">
      <c r="B2667" s="291"/>
      <c r="E2667" s="212"/>
    </row>
    <row r="2668" spans="2:5" x14ac:dyDescent="0.2">
      <c r="B2668" s="291"/>
      <c r="E2668" s="212"/>
    </row>
    <row r="2669" spans="2:5" x14ac:dyDescent="0.2">
      <c r="B2669" s="291"/>
      <c r="E2669" s="212"/>
    </row>
    <row r="2670" spans="2:5" x14ac:dyDescent="0.2">
      <c r="B2670" s="291"/>
      <c r="E2670" s="212"/>
    </row>
    <row r="2671" spans="2:5" x14ac:dyDescent="0.2">
      <c r="B2671" s="291"/>
      <c r="E2671" s="212"/>
    </row>
    <row r="2672" spans="2:5" x14ac:dyDescent="0.2">
      <c r="B2672" s="291"/>
      <c r="E2672" s="212"/>
    </row>
    <row r="2673" spans="2:5" x14ac:dyDescent="0.2">
      <c r="B2673" s="291"/>
      <c r="E2673" s="212"/>
    </row>
    <row r="2674" spans="2:5" x14ac:dyDescent="0.2">
      <c r="B2674" s="291"/>
      <c r="E2674" s="212"/>
    </row>
    <row r="2675" spans="2:5" x14ac:dyDescent="0.2">
      <c r="B2675" s="291"/>
      <c r="E2675" s="212"/>
    </row>
    <row r="2676" spans="2:5" x14ac:dyDescent="0.2">
      <c r="B2676" s="291"/>
      <c r="E2676" s="212"/>
    </row>
    <row r="2677" spans="2:5" x14ac:dyDescent="0.2">
      <c r="B2677" s="291"/>
      <c r="E2677" s="212"/>
    </row>
    <row r="2678" spans="2:5" x14ac:dyDescent="0.2">
      <c r="B2678" s="291"/>
      <c r="E2678" s="212"/>
    </row>
    <row r="2679" spans="2:5" x14ac:dyDescent="0.2">
      <c r="B2679" s="291"/>
      <c r="E2679" s="212"/>
    </row>
    <row r="2680" spans="2:5" x14ac:dyDescent="0.2">
      <c r="B2680" s="291"/>
      <c r="E2680" s="212"/>
    </row>
    <row r="2681" spans="2:5" x14ac:dyDescent="0.2">
      <c r="B2681" s="291"/>
      <c r="E2681" s="212"/>
    </row>
    <row r="2682" spans="2:5" x14ac:dyDescent="0.2">
      <c r="B2682" s="291"/>
      <c r="E2682" s="212"/>
    </row>
    <row r="2683" spans="2:5" x14ac:dyDescent="0.2">
      <c r="B2683" s="291"/>
      <c r="E2683" s="212"/>
    </row>
    <row r="2684" spans="2:5" x14ac:dyDescent="0.2">
      <c r="B2684" s="291"/>
      <c r="E2684" s="212"/>
    </row>
    <row r="2685" spans="2:5" x14ac:dyDescent="0.2">
      <c r="B2685" s="291"/>
      <c r="E2685" s="212"/>
    </row>
    <row r="2686" spans="2:5" x14ac:dyDescent="0.2">
      <c r="B2686" s="291"/>
      <c r="E2686" s="212"/>
    </row>
    <row r="2687" spans="2:5" x14ac:dyDescent="0.2">
      <c r="B2687" s="291"/>
      <c r="E2687" s="212"/>
    </row>
    <row r="2688" spans="2:5" x14ac:dyDescent="0.2">
      <c r="B2688" s="291"/>
      <c r="E2688" s="212"/>
    </row>
    <row r="2689" spans="2:5" x14ac:dyDescent="0.2">
      <c r="B2689" s="291"/>
      <c r="E2689" s="212"/>
    </row>
    <row r="2690" spans="2:5" x14ac:dyDescent="0.2">
      <c r="B2690" s="291"/>
      <c r="E2690" s="212"/>
    </row>
    <row r="2691" spans="2:5" x14ac:dyDescent="0.2">
      <c r="B2691" s="291"/>
      <c r="E2691" s="212"/>
    </row>
    <row r="2692" spans="2:5" x14ac:dyDescent="0.2">
      <c r="B2692" s="291"/>
      <c r="E2692" s="212"/>
    </row>
    <row r="2693" spans="2:5" x14ac:dyDescent="0.2">
      <c r="B2693" s="291"/>
      <c r="E2693" s="212"/>
    </row>
    <row r="2694" spans="2:5" x14ac:dyDescent="0.2">
      <c r="B2694" s="291"/>
      <c r="E2694" s="212"/>
    </row>
    <row r="2695" spans="2:5" x14ac:dyDescent="0.2">
      <c r="B2695" s="291"/>
      <c r="E2695" s="212"/>
    </row>
    <row r="2696" spans="2:5" x14ac:dyDescent="0.2">
      <c r="B2696" s="291"/>
      <c r="E2696" s="212"/>
    </row>
    <row r="2697" spans="2:5" x14ac:dyDescent="0.2">
      <c r="B2697" s="291"/>
      <c r="E2697" s="212"/>
    </row>
    <row r="2698" spans="2:5" x14ac:dyDescent="0.2">
      <c r="B2698" s="291"/>
      <c r="E2698" s="212"/>
    </row>
    <row r="2699" spans="2:5" x14ac:dyDescent="0.2">
      <c r="B2699" s="291"/>
      <c r="E2699" s="212"/>
    </row>
    <row r="2700" spans="2:5" x14ac:dyDescent="0.2">
      <c r="B2700" s="291"/>
      <c r="E2700" s="212"/>
    </row>
    <row r="2701" spans="2:5" x14ac:dyDescent="0.2">
      <c r="B2701" s="291"/>
      <c r="E2701" s="212"/>
    </row>
    <row r="2702" spans="2:5" x14ac:dyDescent="0.2">
      <c r="B2702" s="291"/>
      <c r="E2702" s="212"/>
    </row>
    <row r="2703" spans="2:5" x14ac:dyDescent="0.2">
      <c r="B2703" s="291"/>
      <c r="E2703" s="212"/>
    </row>
    <row r="2704" spans="2:5" x14ac:dyDescent="0.2">
      <c r="B2704" s="291"/>
      <c r="E2704" s="212"/>
    </row>
    <row r="2705" spans="2:5" x14ac:dyDescent="0.2">
      <c r="B2705" s="291"/>
      <c r="E2705" s="212"/>
    </row>
    <row r="2706" spans="2:5" x14ac:dyDescent="0.2">
      <c r="B2706" s="291"/>
      <c r="E2706" s="212"/>
    </row>
    <row r="2707" spans="2:5" x14ac:dyDescent="0.2">
      <c r="B2707" s="291"/>
      <c r="E2707" s="212"/>
    </row>
    <row r="2708" spans="2:5" x14ac:dyDescent="0.2">
      <c r="B2708" s="291"/>
      <c r="E2708" s="212"/>
    </row>
    <row r="2709" spans="2:5" x14ac:dyDescent="0.2">
      <c r="B2709" s="291"/>
      <c r="E2709" s="212"/>
    </row>
    <row r="2710" spans="2:5" x14ac:dyDescent="0.2">
      <c r="B2710" s="291"/>
      <c r="E2710" s="212"/>
    </row>
    <row r="2711" spans="2:5" x14ac:dyDescent="0.2">
      <c r="B2711" s="291"/>
      <c r="E2711" s="212"/>
    </row>
    <row r="2712" spans="2:5" x14ac:dyDescent="0.2">
      <c r="B2712" s="291"/>
      <c r="E2712" s="212"/>
    </row>
    <row r="2713" spans="2:5" x14ac:dyDescent="0.2">
      <c r="B2713" s="291"/>
      <c r="E2713" s="212"/>
    </row>
    <row r="2714" spans="2:5" x14ac:dyDescent="0.2">
      <c r="B2714" s="291"/>
      <c r="E2714" s="212"/>
    </row>
    <row r="2715" spans="2:5" x14ac:dyDescent="0.2">
      <c r="B2715" s="291"/>
      <c r="E2715" s="212"/>
    </row>
    <row r="2716" spans="2:5" x14ac:dyDescent="0.2">
      <c r="B2716" s="291"/>
      <c r="E2716" s="212"/>
    </row>
    <row r="2717" spans="2:5" x14ac:dyDescent="0.2">
      <c r="B2717" s="291"/>
      <c r="E2717" s="212"/>
    </row>
    <row r="2718" spans="2:5" x14ac:dyDescent="0.2">
      <c r="B2718" s="291"/>
      <c r="E2718" s="212"/>
    </row>
    <row r="2719" spans="2:5" x14ac:dyDescent="0.2">
      <c r="B2719" s="291"/>
      <c r="E2719" s="212"/>
    </row>
    <row r="2720" spans="2:5" x14ac:dyDescent="0.2">
      <c r="B2720" s="291"/>
      <c r="E2720" s="212"/>
    </row>
    <row r="2721" spans="2:5" x14ac:dyDescent="0.2">
      <c r="B2721" s="291"/>
      <c r="E2721" s="212"/>
    </row>
    <row r="2722" spans="2:5" x14ac:dyDescent="0.2">
      <c r="B2722" s="291"/>
      <c r="E2722" s="212"/>
    </row>
    <row r="2723" spans="2:5" x14ac:dyDescent="0.2">
      <c r="B2723" s="291"/>
      <c r="E2723" s="212"/>
    </row>
    <row r="2724" spans="2:5" x14ac:dyDescent="0.2">
      <c r="B2724" s="291"/>
      <c r="E2724" s="212"/>
    </row>
    <row r="2725" spans="2:5" x14ac:dyDescent="0.2">
      <c r="B2725" s="291"/>
      <c r="E2725" s="212"/>
    </row>
    <row r="2726" spans="2:5" x14ac:dyDescent="0.2">
      <c r="B2726" s="291"/>
      <c r="E2726" s="212"/>
    </row>
    <row r="2727" spans="2:5" x14ac:dyDescent="0.2">
      <c r="B2727" s="291"/>
      <c r="E2727" s="212"/>
    </row>
    <row r="2728" spans="2:5" x14ac:dyDescent="0.2">
      <c r="B2728" s="291"/>
      <c r="E2728" s="212"/>
    </row>
    <row r="2729" spans="2:5" x14ac:dyDescent="0.2">
      <c r="B2729" s="291"/>
      <c r="E2729" s="212"/>
    </row>
    <row r="2730" spans="2:5" x14ac:dyDescent="0.2">
      <c r="B2730" s="291"/>
      <c r="E2730" s="212"/>
    </row>
    <row r="2731" spans="2:5" x14ac:dyDescent="0.2">
      <c r="B2731" s="291"/>
      <c r="E2731" s="212"/>
    </row>
    <row r="2732" spans="2:5" x14ac:dyDescent="0.2">
      <c r="B2732" s="291"/>
      <c r="E2732" s="212"/>
    </row>
    <row r="2733" spans="2:5" x14ac:dyDescent="0.2">
      <c r="B2733" s="291"/>
      <c r="E2733" s="212"/>
    </row>
    <row r="2734" spans="2:5" x14ac:dyDescent="0.2">
      <c r="B2734" s="291"/>
      <c r="E2734" s="212"/>
    </row>
    <row r="2735" spans="2:5" x14ac:dyDescent="0.2">
      <c r="B2735" s="291"/>
      <c r="E2735" s="212"/>
    </row>
    <row r="2736" spans="2:5" x14ac:dyDescent="0.2">
      <c r="B2736" s="291"/>
      <c r="E2736" s="212"/>
    </row>
    <row r="2737" spans="2:5" x14ac:dyDescent="0.2">
      <c r="B2737" s="291"/>
      <c r="E2737" s="212"/>
    </row>
    <row r="2738" spans="2:5" x14ac:dyDescent="0.2">
      <c r="B2738" s="291"/>
      <c r="E2738" s="212"/>
    </row>
    <row r="2739" spans="2:5" x14ac:dyDescent="0.2">
      <c r="B2739" s="291"/>
      <c r="E2739" s="212"/>
    </row>
    <row r="2740" spans="2:5" x14ac:dyDescent="0.2">
      <c r="B2740" s="291"/>
      <c r="E2740" s="212"/>
    </row>
    <row r="2741" spans="2:5" x14ac:dyDescent="0.2">
      <c r="B2741" s="291"/>
      <c r="E2741" s="212"/>
    </row>
    <row r="2742" spans="2:5" x14ac:dyDescent="0.2">
      <c r="B2742" s="291"/>
      <c r="E2742" s="212"/>
    </row>
    <row r="2743" spans="2:5" x14ac:dyDescent="0.2">
      <c r="B2743" s="291"/>
      <c r="E2743" s="212"/>
    </row>
    <row r="2744" spans="2:5" x14ac:dyDescent="0.2">
      <c r="B2744" s="291"/>
      <c r="E2744" s="212"/>
    </row>
    <row r="2745" spans="2:5" x14ac:dyDescent="0.2">
      <c r="B2745" s="291"/>
      <c r="E2745" s="212"/>
    </row>
    <row r="2746" spans="2:5" x14ac:dyDescent="0.2">
      <c r="B2746" s="291"/>
      <c r="E2746" s="212"/>
    </row>
    <row r="2747" spans="2:5" x14ac:dyDescent="0.2">
      <c r="B2747" s="291"/>
      <c r="E2747" s="212"/>
    </row>
    <row r="2748" spans="2:5" x14ac:dyDescent="0.2">
      <c r="B2748" s="291"/>
      <c r="E2748" s="212"/>
    </row>
    <row r="2749" spans="2:5" x14ac:dyDescent="0.2">
      <c r="B2749" s="291"/>
      <c r="E2749" s="212"/>
    </row>
    <row r="2750" spans="2:5" x14ac:dyDescent="0.2">
      <c r="B2750" s="291"/>
      <c r="E2750" s="212"/>
    </row>
    <row r="2751" spans="2:5" x14ac:dyDescent="0.2">
      <c r="B2751" s="291"/>
      <c r="E2751" s="212"/>
    </row>
    <row r="2752" spans="2:5" x14ac:dyDescent="0.2">
      <c r="B2752" s="291"/>
      <c r="E2752" s="212"/>
    </row>
    <row r="2753" spans="2:5" x14ac:dyDescent="0.2">
      <c r="B2753" s="291"/>
      <c r="E2753" s="212"/>
    </row>
    <row r="2754" spans="2:5" x14ac:dyDescent="0.2">
      <c r="B2754" s="291"/>
      <c r="E2754" s="212"/>
    </row>
    <row r="2755" spans="2:5" x14ac:dyDescent="0.2">
      <c r="B2755" s="291"/>
      <c r="E2755" s="212"/>
    </row>
    <row r="2756" spans="2:5" x14ac:dyDescent="0.2">
      <c r="B2756" s="291"/>
      <c r="E2756" s="212"/>
    </row>
    <row r="2757" spans="2:5" x14ac:dyDescent="0.2">
      <c r="B2757" s="291"/>
      <c r="E2757" s="212"/>
    </row>
    <row r="2758" spans="2:5" x14ac:dyDescent="0.2">
      <c r="B2758" s="291"/>
      <c r="E2758" s="212"/>
    </row>
    <row r="2759" spans="2:5" x14ac:dyDescent="0.2">
      <c r="B2759" s="291"/>
      <c r="E2759" s="212"/>
    </row>
    <row r="2760" spans="2:5" x14ac:dyDescent="0.2">
      <c r="B2760" s="291"/>
      <c r="E2760" s="212"/>
    </row>
    <row r="2761" spans="2:5" x14ac:dyDescent="0.2">
      <c r="B2761" s="291"/>
      <c r="E2761" s="212"/>
    </row>
    <row r="2762" spans="2:5" x14ac:dyDescent="0.2">
      <c r="B2762" s="291"/>
      <c r="E2762" s="212"/>
    </row>
    <row r="2763" spans="2:5" x14ac:dyDescent="0.2">
      <c r="B2763" s="291"/>
      <c r="E2763" s="212"/>
    </row>
    <row r="2764" spans="2:5" x14ac:dyDescent="0.2">
      <c r="B2764" s="291"/>
      <c r="E2764" s="212"/>
    </row>
    <row r="2765" spans="2:5" x14ac:dyDescent="0.2">
      <c r="B2765" s="291"/>
      <c r="E2765" s="212"/>
    </row>
    <row r="2766" spans="2:5" x14ac:dyDescent="0.2">
      <c r="B2766" s="291"/>
      <c r="E2766" s="212"/>
    </row>
    <row r="2767" spans="2:5" x14ac:dyDescent="0.2">
      <c r="B2767" s="291"/>
      <c r="E2767" s="212"/>
    </row>
    <row r="2768" spans="2:5" x14ac:dyDescent="0.2">
      <c r="B2768" s="291"/>
      <c r="E2768" s="212"/>
    </row>
    <row r="2769" spans="2:5" x14ac:dyDescent="0.2">
      <c r="B2769" s="291"/>
      <c r="E2769" s="212"/>
    </row>
    <row r="2770" spans="2:5" x14ac:dyDescent="0.2">
      <c r="B2770" s="291"/>
      <c r="E2770" s="212"/>
    </row>
    <row r="2771" spans="2:5" x14ac:dyDescent="0.2">
      <c r="B2771" s="291"/>
      <c r="E2771" s="212"/>
    </row>
    <row r="2772" spans="2:5" x14ac:dyDescent="0.2">
      <c r="B2772" s="291"/>
      <c r="E2772" s="212"/>
    </row>
    <row r="2773" spans="2:5" x14ac:dyDescent="0.2">
      <c r="B2773" s="291"/>
      <c r="E2773" s="212"/>
    </row>
    <row r="2774" spans="2:5" x14ac:dyDescent="0.2">
      <c r="B2774" s="291"/>
      <c r="E2774" s="212"/>
    </row>
    <row r="2775" spans="2:5" x14ac:dyDescent="0.2">
      <c r="B2775" s="291"/>
      <c r="E2775" s="212"/>
    </row>
    <row r="2776" spans="2:5" x14ac:dyDescent="0.2">
      <c r="B2776" s="291"/>
      <c r="E2776" s="212"/>
    </row>
    <row r="2777" spans="2:5" x14ac:dyDescent="0.2">
      <c r="B2777" s="291"/>
      <c r="E2777" s="212"/>
    </row>
    <row r="2778" spans="2:5" x14ac:dyDescent="0.2">
      <c r="B2778" s="291"/>
      <c r="E2778" s="212"/>
    </row>
    <row r="2779" spans="2:5" x14ac:dyDescent="0.2">
      <c r="B2779" s="291"/>
      <c r="E2779" s="212"/>
    </row>
    <row r="2780" spans="2:5" x14ac:dyDescent="0.2">
      <c r="B2780" s="291"/>
      <c r="E2780" s="212"/>
    </row>
    <row r="2781" spans="2:5" x14ac:dyDescent="0.2">
      <c r="B2781" s="291"/>
      <c r="E2781" s="212"/>
    </row>
    <row r="2782" spans="2:5" x14ac:dyDescent="0.2">
      <c r="B2782" s="291"/>
      <c r="E2782" s="212"/>
    </row>
    <row r="2783" spans="2:5" x14ac:dyDescent="0.2">
      <c r="B2783" s="291"/>
      <c r="E2783" s="212"/>
    </row>
    <row r="2784" spans="2:5" x14ac:dyDescent="0.2">
      <c r="B2784" s="291"/>
      <c r="E2784" s="212"/>
    </row>
    <row r="2785" spans="2:5" x14ac:dyDescent="0.2">
      <c r="B2785" s="291"/>
      <c r="E2785" s="212"/>
    </row>
    <row r="2786" spans="2:5" x14ac:dyDescent="0.2">
      <c r="B2786" s="291"/>
      <c r="E2786" s="212"/>
    </row>
    <row r="2787" spans="2:5" x14ac:dyDescent="0.2">
      <c r="B2787" s="291"/>
      <c r="E2787" s="212"/>
    </row>
    <row r="2788" spans="2:5" x14ac:dyDescent="0.2">
      <c r="B2788" s="291"/>
      <c r="E2788" s="212"/>
    </row>
    <row r="2789" spans="2:5" x14ac:dyDescent="0.2">
      <c r="B2789" s="291"/>
      <c r="E2789" s="212"/>
    </row>
    <row r="2790" spans="2:5" x14ac:dyDescent="0.2">
      <c r="B2790" s="291"/>
      <c r="E2790" s="212"/>
    </row>
    <row r="2791" spans="2:5" x14ac:dyDescent="0.2">
      <c r="B2791" s="291"/>
      <c r="E2791" s="212"/>
    </row>
    <row r="2792" spans="2:5" x14ac:dyDescent="0.2">
      <c r="B2792" s="291"/>
      <c r="E2792" s="212"/>
    </row>
    <row r="2793" spans="2:5" x14ac:dyDescent="0.2">
      <c r="B2793" s="291"/>
      <c r="E2793" s="212"/>
    </row>
    <row r="2794" spans="2:5" x14ac:dyDescent="0.2">
      <c r="B2794" s="291"/>
      <c r="E2794" s="212"/>
    </row>
    <row r="2795" spans="2:5" x14ac:dyDescent="0.2">
      <c r="B2795" s="291"/>
      <c r="E2795" s="212"/>
    </row>
    <row r="2796" spans="2:5" x14ac:dyDescent="0.2">
      <c r="B2796" s="291"/>
      <c r="E2796" s="212"/>
    </row>
    <row r="2797" spans="2:5" x14ac:dyDescent="0.2">
      <c r="B2797" s="291"/>
      <c r="E2797" s="212"/>
    </row>
    <row r="2798" spans="2:5" x14ac:dyDescent="0.2">
      <c r="B2798" s="291"/>
      <c r="E2798" s="212"/>
    </row>
    <row r="2799" spans="2:5" x14ac:dyDescent="0.2">
      <c r="B2799" s="291"/>
      <c r="E2799" s="212"/>
    </row>
    <row r="2800" spans="2:5" x14ac:dyDescent="0.2">
      <c r="B2800" s="291"/>
      <c r="E2800" s="212"/>
    </row>
    <row r="2801" spans="2:5" x14ac:dyDescent="0.2">
      <c r="B2801" s="291"/>
      <c r="E2801" s="212"/>
    </row>
    <row r="2802" spans="2:5" x14ac:dyDescent="0.2">
      <c r="B2802" s="291"/>
      <c r="E2802" s="212"/>
    </row>
    <row r="2803" spans="2:5" x14ac:dyDescent="0.2">
      <c r="B2803" s="291"/>
      <c r="E2803" s="212"/>
    </row>
    <row r="2804" spans="2:5" x14ac:dyDescent="0.2">
      <c r="B2804" s="291"/>
      <c r="E2804" s="212"/>
    </row>
    <row r="2805" spans="2:5" x14ac:dyDescent="0.2">
      <c r="B2805" s="291"/>
      <c r="E2805" s="212"/>
    </row>
    <row r="2806" spans="2:5" x14ac:dyDescent="0.2">
      <c r="B2806" s="291"/>
      <c r="E2806" s="212"/>
    </row>
    <row r="2807" spans="2:5" x14ac:dyDescent="0.2">
      <c r="B2807" s="291"/>
      <c r="E2807" s="212"/>
    </row>
    <row r="2808" spans="2:5" x14ac:dyDescent="0.2">
      <c r="B2808" s="291"/>
      <c r="E2808" s="212"/>
    </row>
    <row r="2809" spans="2:5" x14ac:dyDescent="0.2">
      <c r="B2809" s="291"/>
      <c r="E2809" s="212"/>
    </row>
    <row r="2810" spans="2:5" x14ac:dyDescent="0.2">
      <c r="B2810" s="291"/>
      <c r="E2810" s="212"/>
    </row>
    <row r="2811" spans="2:5" x14ac:dyDescent="0.2">
      <c r="B2811" s="291"/>
      <c r="E2811" s="212"/>
    </row>
    <row r="2812" spans="2:5" x14ac:dyDescent="0.2">
      <c r="B2812" s="291"/>
      <c r="E2812" s="212"/>
    </row>
    <row r="2813" spans="2:5" x14ac:dyDescent="0.2">
      <c r="B2813" s="291"/>
      <c r="E2813" s="212"/>
    </row>
    <row r="2814" spans="2:5" x14ac:dyDescent="0.2">
      <c r="B2814" s="291"/>
      <c r="E2814" s="212"/>
    </row>
    <row r="2815" spans="2:5" x14ac:dyDescent="0.2">
      <c r="B2815" s="291"/>
      <c r="E2815" s="212"/>
    </row>
    <row r="2816" spans="2:5" x14ac:dyDescent="0.2">
      <c r="B2816" s="291"/>
      <c r="E2816" s="212"/>
    </row>
    <row r="2817" spans="2:5" x14ac:dyDescent="0.2">
      <c r="B2817" s="291"/>
      <c r="E2817" s="212"/>
    </row>
    <row r="2818" spans="2:5" x14ac:dyDescent="0.2">
      <c r="B2818" s="291"/>
      <c r="E2818" s="212"/>
    </row>
    <row r="2819" spans="2:5" x14ac:dyDescent="0.2">
      <c r="B2819" s="291"/>
      <c r="E2819" s="212"/>
    </row>
    <row r="2820" spans="2:5" x14ac:dyDescent="0.2">
      <c r="B2820" s="291"/>
      <c r="E2820" s="212"/>
    </row>
    <row r="2821" spans="2:5" x14ac:dyDescent="0.2">
      <c r="B2821" s="291"/>
      <c r="E2821" s="212"/>
    </row>
    <row r="2822" spans="2:5" x14ac:dyDescent="0.2">
      <c r="B2822" s="291"/>
      <c r="E2822" s="212"/>
    </row>
    <row r="2823" spans="2:5" x14ac:dyDescent="0.2">
      <c r="B2823" s="291"/>
      <c r="E2823" s="212"/>
    </row>
    <row r="2824" spans="2:5" x14ac:dyDescent="0.2">
      <c r="B2824" s="291"/>
      <c r="E2824" s="212"/>
    </row>
    <row r="2825" spans="2:5" x14ac:dyDescent="0.2">
      <c r="B2825" s="291"/>
      <c r="E2825" s="212"/>
    </row>
    <row r="2826" spans="2:5" x14ac:dyDescent="0.2">
      <c r="B2826" s="291"/>
      <c r="E2826" s="212"/>
    </row>
    <row r="2827" spans="2:5" x14ac:dyDescent="0.2">
      <c r="B2827" s="291"/>
      <c r="E2827" s="212"/>
    </row>
    <row r="2828" spans="2:5" x14ac:dyDescent="0.2">
      <c r="B2828" s="291"/>
      <c r="E2828" s="212"/>
    </row>
    <row r="2829" spans="2:5" x14ac:dyDescent="0.2">
      <c r="B2829" s="291"/>
      <c r="E2829" s="212"/>
    </row>
    <row r="2830" spans="2:5" x14ac:dyDescent="0.2">
      <c r="B2830" s="291"/>
      <c r="E2830" s="212"/>
    </row>
    <row r="2831" spans="2:5" x14ac:dyDescent="0.2">
      <c r="B2831" s="291"/>
      <c r="E2831" s="212"/>
    </row>
    <row r="2832" spans="2:5" x14ac:dyDescent="0.2">
      <c r="B2832" s="291"/>
      <c r="E2832" s="212"/>
    </row>
    <row r="2833" spans="2:5" x14ac:dyDescent="0.2">
      <c r="B2833" s="291"/>
      <c r="E2833" s="212"/>
    </row>
    <row r="2834" spans="2:5" x14ac:dyDescent="0.2">
      <c r="B2834" s="291"/>
      <c r="E2834" s="212"/>
    </row>
    <row r="2835" spans="2:5" x14ac:dyDescent="0.2">
      <c r="B2835" s="291"/>
      <c r="E2835" s="212"/>
    </row>
    <row r="2836" spans="2:5" x14ac:dyDescent="0.2">
      <c r="B2836" s="291"/>
      <c r="E2836" s="212"/>
    </row>
    <row r="2837" spans="2:5" x14ac:dyDescent="0.2">
      <c r="B2837" s="291"/>
      <c r="E2837" s="212"/>
    </row>
    <row r="2838" spans="2:5" x14ac:dyDescent="0.2">
      <c r="B2838" s="291"/>
      <c r="E2838" s="212"/>
    </row>
    <row r="2839" spans="2:5" x14ac:dyDescent="0.2">
      <c r="B2839" s="291"/>
      <c r="E2839" s="212"/>
    </row>
    <row r="2840" spans="2:5" x14ac:dyDescent="0.2">
      <c r="B2840" s="291"/>
      <c r="E2840" s="212"/>
    </row>
    <row r="2841" spans="2:5" x14ac:dyDescent="0.2">
      <c r="B2841" s="291"/>
      <c r="E2841" s="212"/>
    </row>
    <row r="2842" spans="2:5" x14ac:dyDescent="0.2">
      <c r="B2842" s="291"/>
      <c r="E2842" s="212"/>
    </row>
    <row r="2843" spans="2:5" x14ac:dyDescent="0.2">
      <c r="B2843" s="291"/>
      <c r="E2843" s="212"/>
    </row>
    <row r="2844" spans="2:5" x14ac:dyDescent="0.2">
      <c r="B2844" s="291"/>
      <c r="E2844" s="212"/>
    </row>
    <row r="2845" spans="2:5" x14ac:dyDescent="0.2">
      <c r="B2845" s="291"/>
      <c r="E2845" s="212"/>
    </row>
    <row r="2846" spans="2:5" x14ac:dyDescent="0.2">
      <c r="B2846" s="291"/>
      <c r="E2846" s="212"/>
    </row>
    <row r="2847" spans="2:5" x14ac:dyDescent="0.2">
      <c r="B2847" s="291"/>
      <c r="E2847" s="212"/>
    </row>
    <row r="2848" spans="2:5" x14ac:dyDescent="0.2">
      <c r="B2848" s="291"/>
      <c r="E2848" s="212"/>
    </row>
    <row r="2849" spans="2:5" x14ac:dyDescent="0.2">
      <c r="B2849" s="291"/>
      <c r="E2849" s="212"/>
    </row>
    <row r="2850" spans="2:5" x14ac:dyDescent="0.2">
      <c r="B2850" s="291"/>
      <c r="E2850" s="212"/>
    </row>
    <row r="2851" spans="2:5" x14ac:dyDescent="0.2">
      <c r="B2851" s="291"/>
      <c r="E2851" s="212"/>
    </row>
    <row r="2852" spans="2:5" x14ac:dyDescent="0.2">
      <c r="B2852" s="291"/>
      <c r="E2852" s="212"/>
    </row>
    <row r="2853" spans="2:5" x14ac:dyDescent="0.2">
      <c r="B2853" s="291"/>
      <c r="E2853" s="212"/>
    </row>
    <row r="2854" spans="2:5" x14ac:dyDescent="0.2">
      <c r="B2854" s="291"/>
      <c r="E2854" s="212"/>
    </row>
    <row r="2855" spans="2:5" x14ac:dyDescent="0.2">
      <c r="B2855" s="291"/>
      <c r="E2855" s="212"/>
    </row>
    <row r="2856" spans="2:5" x14ac:dyDescent="0.2">
      <c r="B2856" s="291"/>
      <c r="E2856" s="212"/>
    </row>
    <row r="2857" spans="2:5" x14ac:dyDescent="0.2">
      <c r="B2857" s="291"/>
      <c r="E2857" s="212"/>
    </row>
    <row r="2858" spans="2:5" x14ac:dyDescent="0.2">
      <c r="B2858" s="291"/>
      <c r="E2858" s="212"/>
    </row>
    <row r="2859" spans="2:5" x14ac:dyDescent="0.2">
      <c r="B2859" s="291"/>
      <c r="E2859" s="212"/>
    </row>
    <row r="2860" spans="2:5" x14ac:dyDescent="0.2">
      <c r="B2860" s="291"/>
      <c r="E2860" s="212"/>
    </row>
    <row r="2861" spans="2:5" x14ac:dyDescent="0.2">
      <c r="B2861" s="291"/>
      <c r="E2861" s="212"/>
    </row>
    <row r="2862" spans="2:5" x14ac:dyDescent="0.2">
      <c r="B2862" s="291"/>
      <c r="E2862" s="212"/>
    </row>
    <row r="2863" spans="2:5" x14ac:dyDescent="0.2">
      <c r="B2863" s="291"/>
      <c r="E2863" s="212"/>
    </row>
    <row r="2864" spans="2:5" x14ac:dyDescent="0.2">
      <c r="B2864" s="291"/>
      <c r="E2864" s="212"/>
    </row>
    <row r="2865" spans="2:5" x14ac:dyDescent="0.2">
      <c r="B2865" s="291"/>
      <c r="E2865" s="212"/>
    </row>
    <row r="2866" spans="2:5" x14ac:dyDescent="0.2">
      <c r="B2866" s="291"/>
      <c r="E2866" s="212"/>
    </row>
    <row r="2867" spans="2:5" x14ac:dyDescent="0.2">
      <c r="B2867" s="291"/>
      <c r="E2867" s="212"/>
    </row>
    <row r="2868" spans="2:5" x14ac:dyDescent="0.2">
      <c r="B2868" s="291"/>
      <c r="E2868" s="212"/>
    </row>
    <row r="2869" spans="2:5" x14ac:dyDescent="0.2">
      <c r="B2869" s="291"/>
      <c r="E2869" s="212"/>
    </row>
    <row r="2870" spans="2:5" x14ac:dyDescent="0.2">
      <c r="B2870" s="291"/>
      <c r="E2870" s="212"/>
    </row>
    <row r="2871" spans="2:5" x14ac:dyDescent="0.2">
      <c r="B2871" s="291"/>
      <c r="E2871" s="212"/>
    </row>
    <row r="2872" spans="2:5" x14ac:dyDescent="0.2">
      <c r="B2872" s="291"/>
      <c r="E2872" s="212"/>
    </row>
    <row r="2873" spans="2:5" x14ac:dyDescent="0.2">
      <c r="B2873" s="291"/>
      <c r="E2873" s="212"/>
    </row>
    <row r="2874" spans="2:5" x14ac:dyDescent="0.2">
      <c r="B2874" s="291"/>
      <c r="E2874" s="212"/>
    </row>
    <row r="2875" spans="2:5" x14ac:dyDescent="0.2">
      <c r="B2875" s="291"/>
      <c r="E2875" s="212"/>
    </row>
    <row r="2876" spans="2:5" x14ac:dyDescent="0.2">
      <c r="B2876" s="291"/>
      <c r="E2876" s="212"/>
    </row>
    <row r="2877" spans="2:5" x14ac:dyDescent="0.2">
      <c r="B2877" s="291"/>
      <c r="E2877" s="212"/>
    </row>
    <row r="2878" spans="2:5" x14ac:dyDescent="0.2">
      <c r="B2878" s="291"/>
      <c r="E2878" s="212"/>
    </row>
    <row r="2879" spans="2:5" x14ac:dyDescent="0.2">
      <c r="B2879" s="291"/>
      <c r="E2879" s="212"/>
    </row>
    <row r="2880" spans="2:5" x14ac:dyDescent="0.2">
      <c r="B2880" s="291"/>
      <c r="E2880" s="212"/>
    </row>
    <row r="2881" spans="2:5" x14ac:dyDescent="0.2">
      <c r="B2881" s="291"/>
      <c r="E2881" s="212"/>
    </row>
    <row r="2882" spans="2:5" x14ac:dyDescent="0.2">
      <c r="B2882" s="291"/>
      <c r="E2882" s="212"/>
    </row>
    <row r="2883" spans="2:5" x14ac:dyDescent="0.2">
      <c r="B2883" s="291"/>
      <c r="E2883" s="212"/>
    </row>
    <row r="2884" spans="2:5" x14ac:dyDescent="0.2">
      <c r="B2884" s="291"/>
      <c r="E2884" s="212"/>
    </row>
    <row r="2885" spans="2:5" x14ac:dyDescent="0.2">
      <c r="B2885" s="291"/>
      <c r="E2885" s="212"/>
    </row>
    <row r="2886" spans="2:5" x14ac:dyDescent="0.2">
      <c r="B2886" s="291"/>
      <c r="E2886" s="212"/>
    </row>
    <row r="2887" spans="2:5" x14ac:dyDescent="0.2">
      <c r="B2887" s="291"/>
      <c r="E2887" s="212"/>
    </row>
    <row r="2888" spans="2:5" x14ac:dyDescent="0.2">
      <c r="B2888" s="291"/>
      <c r="E2888" s="212"/>
    </row>
    <row r="2889" spans="2:5" x14ac:dyDescent="0.2">
      <c r="B2889" s="291"/>
      <c r="E2889" s="212"/>
    </row>
    <row r="2890" spans="2:5" x14ac:dyDescent="0.2">
      <c r="B2890" s="291"/>
      <c r="E2890" s="212"/>
    </row>
    <row r="2891" spans="2:5" x14ac:dyDescent="0.2">
      <c r="B2891" s="291"/>
      <c r="E2891" s="212"/>
    </row>
    <row r="2892" spans="2:5" x14ac:dyDescent="0.2">
      <c r="B2892" s="291"/>
      <c r="E2892" s="212"/>
    </row>
    <row r="2893" spans="2:5" x14ac:dyDescent="0.2">
      <c r="B2893" s="291"/>
      <c r="E2893" s="212"/>
    </row>
    <row r="2894" spans="2:5" x14ac:dyDescent="0.2">
      <c r="B2894" s="291"/>
      <c r="E2894" s="212"/>
    </row>
    <row r="2895" spans="2:5" x14ac:dyDescent="0.2">
      <c r="B2895" s="291"/>
      <c r="E2895" s="212"/>
    </row>
    <row r="2896" spans="2:5" x14ac:dyDescent="0.2">
      <c r="B2896" s="291"/>
      <c r="E2896" s="212"/>
    </row>
    <row r="2897" spans="2:5" x14ac:dyDescent="0.2">
      <c r="B2897" s="291"/>
      <c r="E2897" s="212"/>
    </row>
    <row r="2898" spans="2:5" x14ac:dyDescent="0.2">
      <c r="B2898" s="291"/>
      <c r="E2898" s="212"/>
    </row>
    <row r="2899" spans="2:5" x14ac:dyDescent="0.2">
      <c r="B2899" s="291"/>
      <c r="E2899" s="212"/>
    </row>
    <row r="2900" spans="2:5" x14ac:dyDescent="0.2">
      <c r="B2900" s="291"/>
      <c r="E2900" s="212"/>
    </row>
    <row r="2901" spans="2:5" x14ac:dyDescent="0.2">
      <c r="B2901" s="291"/>
      <c r="E2901" s="212"/>
    </row>
    <row r="2902" spans="2:5" x14ac:dyDescent="0.2">
      <c r="B2902" s="291"/>
      <c r="E2902" s="212"/>
    </row>
    <row r="2903" spans="2:5" x14ac:dyDescent="0.2">
      <c r="B2903" s="291"/>
      <c r="E2903" s="212"/>
    </row>
    <row r="2904" spans="2:5" x14ac:dyDescent="0.2">
      <c r="B2904" s="291"/>
      <c r="E2904" s="212"/>
    </row>
    <row r="2905" spans="2:5" x14ac:dyDescent="0.2">
      <c r="B2905" s="291"/>
      <c r="E2905" s="212"/>
    </row>
    <row r="2906" spans="2:5" x14ac:dyDescent="0.2">
      <c r="B2906" s="291"/>
      <c r="E2906" s="212"/>
    </row>
    <row r="2907" spans="2:5" x14ac:dyDescent="0.2">
      <c r="B2907" s="291"/>
      <c r="E2907" s="212"/>
    </row>
    <row r="2908" spans="2:5" x14ac:dyDescent="0.2">
      <c r="B2908" s="291"/>
      <c r="E2908" s="212"/>
    </row>
    <row r="2909" spans="2:5" x14ac:dyDescent="0.2">
      <c r="B2909" s="291"/>
      <c r="E2909" s="212"/>
    </row>
    <row r="2910" spans="2:5" x14ac:dyDescent="0.2">
      <c r="B2910" s="291"/>
      <c r="E2910" s="212"/>
    </row>
    <row r="2911" spans="2:5" x14ac:dyDescent="0.2">
      <c r="B2911" s="291"/>
      <c r="E2911" s="212"/>
    </row>
    <row r="2912" spans="2:5" x14ac:dyDescent="0.2">
      <c r="B2912" s="291"/>
      <c r="E2912" s="212"/>
    </row>
    <row r="2913" spans="2:5" x14ac:dyDescent="0.2">
      <c r="B2913" s="291"/>
      <c r="E2913" s="212"/>
    </row>
    <row r="2914" spans="2:5" x14ac:dyDescent="0.2">
      <c r="B2914" s="291"/>
      <c r="E2914" s="212"/>
    </row>
    <row r="2915" spans="2:5" x14ac:dyDescent="0.2">
      <c r="B2915" s="291"/>
      <c r="E2915" s="212"/>
    </row>
    <row r="2916" spans="2:5" x14ac:dyDescent="0.2">
      <c r="B2916" s="291"/>
      <c r="E2916" s="212"/>
    </row>
    <row r="2917" spans="2:5" x14ac:dyDescent="0.2">
      <c r="B2917" s="291"/>
      <c r="E2917" s="212"/>
    </row>
    <row r="2918" spans="2:5" x14ac:dyDescent="0.2">
      <c r="B2918" s="291"/>
      <c r="E2918" s="212"/>
    </row>
    <row r="2919" spans="2:5" x14ac:dyDescent="0.2">
      <c r="B2919" s="291"/>
      <c r="E2919" s="212"/>
    </row>
    <row r="2920" spans="2:5" x14ac:dyDescent="0.2">
      <c r="B2920" s="291"/>
      <c r="E2920" s="212"/>
    </row>
    <row r="2921" spans="2:5" x14ac:dyDescent="0.2">
      <c r="B2921" s="291"/>
      <c r="E2921" s="212"/>
    </row>
    <row r="2922" spans="2:5" x14ac:dyDescent="0.2">
      <c r="B2922" s="291"/>
      <c r="E2922" s="212"/>
    </row>
    <row r="2923" spans="2:5" x14ac:dyDescent="0.2">
      <c r="B2923" s="291"/>
      <c r="E2923" s="212"/>
    </row>
    <row r="2924" spans="2:5" x14ac:dyDescent="0.2">
      <c r="B2924" s="291"/>
      <c r="E2924" s="212"/>
    </row>
    <row r="2925" spans="2:5" x14ac:dyDescent="0.2">
      <c r="B2925" s="291"/>
      <c r="E2925" s="212"/>
    </row>
    <row r="2926" spans="2:5" x14ac:dyDescent="0.2">
      <c r="B2926" s="291"/>
      <c r="E2926" s="212"/>
    </row>
    <row r="2927" spans="2:5" x14ac:dyDescent="0.2">
      <c r="B2927" s="291"/>
      <c r="E2927" s="212"/>
    </row>
    <row r="2928" spans="2:5" x14ac:dyDescent="0.2">
      <c r="B2928" s="291"/>
      <c r="E2928" s="212"/>
    </row>
    <row r="2929" spans="2:5" x14ac:dyDescent="0.2">
      <c r="B2929" s="291"/>
      <c r="E2929" s="212"/>
    </row>
    <row r="2930" spans="2:5" x14ac:dyDescent="0.2">
      <c r="B2930" s="291"/>
      <c r="E2930" s="212"/>
    </row>
    <row r="2931" spans="2:5" x14ac:dyDescent="0.2">
      <c r="B2931" s="291"/>
      <c r="E2931" s="212"/>
    </row>
    <row r="2932" spans="2:5" x14ac:dyDescent="0.2">
      <c r="B2932" s="291"/>
      <c r="E2932" s="212"/>
    </row>
    <row r="2933" spans="2:5" x14ac:dyDescent="0.2">
      <c r="B2933" s="291"/>
      <c r="E2933" s="212"/>
    </row>
    <row r="2934" spans="2:5" x14ac:dyDescent="0.2">
      <c r="B2934" s="291"/>
      <c r="E2934" s="212"/>
    </row>
    <row r="2935" spans="2:5" x14ac:dyDescent="0.2">
      <c r="B2935" s="291"/>
      <c r="E2935" s="212"/>
    </row>
    <row r="2936" spans="2:5" x14ac:dyDescent="0.2">
      <c r="B2936" s="291"/>
      <c r="E2936" s="212"/>
    </row>
    <row r="2937" spans="2:5" x14ac:dyDescent="0.2">
      <c r="B2937" s="291"/>
      <c r="E2937" s="212"/>
    </row>
    <row r="2938" spans="2:5" x14ac:dyDescent="0.2">
      <c r="B2938" s="291"/>
      <c r="E2938" s="212"/>
    </row>
    <row r="2939" spans="2:5" x14ac:dyDescent="0.2">
      <c r="B2939" s="291"/>
      <c r="E2939" s="212"/>
    </row>
    <row r="2940" spans="2:5" x14ac:dyDescent="0.2">
      <c r="B2940" s="291"/>
      <c r="E2940" s="212"/>
    </row>
    <row r="2941" spans="2:5" x14ac:dyDescent="0.2">
      <c r="B2941" s="291"/>
      <c r="E2941" s="212"/>
    </row>
    <row r="2942" spans="2:5" x14ac:dyDescent="0.2">
      <c r="B2942" s="291"/>
      <c r="E2942" s="212"/>
    </row>
    <row r="2943" spans="2:5" x14ac:dyDescent="0.2">
      <c r="B2943" s="291"/>
      <c r="E2943" s="212"/>
    </row>
    <row r="2944" spans="2:5" x14ac:dyDescent="0.2">
      <c r="B2944" s="291"/>
      <c r="E2944" s="212"/>
    </row>
    <row r="2945" spans="2:5" x14ac:dyDescent="0.2">
      <c r="B2945" s="291"/>
      <c r="E2945" s="212"/>
    </row>
    <row r="2946" spans="2:5" x14ac:dyDescent="0.2">
      <c r="B2946" s="291"/>
      <c r="E2946" s="212"/>
    </row>
    <row r="2947" spans="2:5" x14ac:dyDescent="0.2">
      <c r="B2947" s="291"/>
      <c r="E2947" s="212"/>
    </row>
    <row r="2948" spans="2:5" x14ac:dyDescent="0.2">
      <c r="B2948" s="291"/>
      <c r="E2948" s="212"/>
    </row>
    <row r="2949" spans="2:5" x14ac:dyDescent="0.2">
      <c r="B2949" s="291"/>
      <c r="E2949" s="212"/>
    </row>
    <row r="2950" spans="2:5" x14ac:dyDescent="0.2">
      <c r="B2950" s="291"/>
      <c r="E2950" s="212"/>
    </row>
    <row r="2951" spans="2:5" x14ac:dyDescent="0.2">
      <c r="B2951" s="291"/>
      <c r="E2951" s="212"/>
    </row>
    <row r="2952" spans="2:5" x14ac:dyDescent="0.2">
      <c r="B2952" s="291"/>
      <c r="E2952" s="212"/>
    </row>
    <row r="2953" spans="2:5" x14ac:dyDescent="0.2">
      <c r="B2953" s="291"/>
      <c r="E2953" s="212"/>
    </row>
    <row r="2954" spans="2:5" x14ac:dyDescent="0.2">
      <c r="B2954" s="291"/>
      <c r="E2954" s="212"/>
    </row>
    <row r="2955" spans="2:5" x14ac:dyDescent="0.2">
      <c r="B2955" s="291"/>
      <c r="E2955" s="212"/>
    </row>
    <row r="2956" spans="2:5" x14ac:dyDescent="0.2">
      <c r="B2956" s="291"/>
      <c r="E2956" s="212"/>
    </row>
    <row r="2957" spans="2:5" x14ac:dyDescent="0.2">
      <c r="B2957" s="291"/>
      <c r="E2957" s="212"/>
    </row>
    <row r="2958" spans="2:5" x14ac:dyDescent="0.2">
      <c r="B2958" s="291"/>
      <c r="E2958" s="212"/>
    </row>
    <row r="2959" spans="2:5" x14ac:dyDescent="0.2">
      <c r="B2959" s="291"/>
      <c r="E2959" s="212"/>
    </row>
    <row r="2960" spans="2:5" x14ac:dyDescent="0.2">
      <c r="B2960" s="291"/>
      <c r="E2960" s="212"/>
    </row>
    <row r="2961" spans="2:5" x14ac:dyDescent="0.2">
      <c r="B2961" s="291"/>
      <c r="E2961" s="212"/>
    </row>
    <row r="2962" spans="2:5" x14ac:dyDescent="0.2">
      <c r="B2962" s="291"/>
      <c r="E2962" s="212"/>
    </row>
    <row r="2963" spans="2:5" x14ac:dyDescent="0.2">
      <c r="B2963" s="291"/>
      <c r="E2963" s="212"/>
    </row>
    <row r="2964" spans="2:5" x14ac:dyDescent="0.2">
      <c r="B2964" s="291"/>
      <c r="E2964" s="212"/>
    </row>
    <row r="2965" spans="2:5" x14ac:dyDescent="0.2">
      <c r="B2965" s="291"/>
      <c r="E2965" s="212"/>
    </row>
    <row r="2966" spans="2:5" x14ac:dyDescent="0.2">
      <c r="B2966" s="291"/>
      <c r="E2966" s="212"/>
    </row>
    <row r="2967" spans="2:5" x14ac:dyDescent="0.2">
      <c r="B2967" s="291"/>
      <c r="E2967" s="212"/>
    </row>
    <row r="2968" spans="2:5" x14ac:dyDescent="0.2">
      <c r="B2968" s="291"/>
      <c r="E2968" s="212"/>
    </row>
    <row r="2969" spans="2:5" x14ac:dyDescent="0.2">
      <c r="B2969" s="291"/>
      <c r="E2969" s="212"/>
    </row>
    <row r="2970" spans="2:5" x14ac:dyDescent="0.2">
      <c r="B2970" s="291"/>
      <c r="E2970" s="212"/>
    </row>
    <row r="2971" spans="2:5" x14ac:dyDescent="0.2">
      <c r="B2971" s="291"/>
      <c r="E2971" s="212"/>
    </row>
    <row r="2972" spans="2:5" x14ac:dyDescent="0.2">
      <c r="B2972" s="291"/>
      <c r="E2972" s="212"/>
    </row>
    <row r="2973" spans="2:5" x14ac:dyDescent="0.2">
      <c r="B2973" s="291"/>
      <c r="E2973" s="212"/>
    </row>
    <row r="2974" spans="2:5" x14ac:dyDescent="0.2">
      <c r="B2974" s="291"/>
      <c r="E2974" s="212"/>
    </row>
    <row r="2975" spans="2:5" x14ac:dyDescent="0.2">
      <c r="B2975" s="291"/>
      <c r="E2975" s="212"/>
    </row>
    <row r="2976" spans="2:5" x14ac:dyDescent="0.2">
      <c r="B2976" s="291"/>
      <c r="E2976" s="212"/>
    </row>
    <row r="2977" spans="2:5" x14ac:dyDescent="0.2">
      <c r="B2977" s="291"/>
      <c r="E2977" s="212"/>
    </row>
    <row r="2978" spans="2:5" x14ac:dyDescent="0.2">
      <c r="B2978" s="291"/>
      <c r="E2978" s="212"/>
    </row>
    <row r="2979" spans="2:5" x14ac:dyDescent="0.2">
      <c r="B2979" s="291"/>
      <c r="E2979" s="212"/>
    </row>
    <row r="2980" spans="2:5" x14ac:dyDescent="0.2">
      <c r="B2980" s="291"/>
      <c r="E2980" s="212"/>
    </row>
    <row r="2981" spans="2:5" x14ac:dyDescent="0.2">
      <c r="B2981" s="291"/>
      <c r="E2981" s="212"/>
    </row>
    <row r="2982" spans="2:5" x14ac:dyDescent="0.2">
      <c r="B2982" s="291"/>
      <c r="E2982" s="212"/>
    </row>
    <row r="2983" spans="2:5" x14ac:dyDescent="0.2">
      <c r="B2983" s="291"/>
      <c r="E2983" s="212"/>
    </row>
    <row r="2984" spans="2:5" x14ac:dyDescent="0.2">
      <c r="B2984" s="291"/>
      <c r="E2984" s="212"/>
    </row>
    <row r="2985" spans="2:5" x14ac:dyDescent="0.2">
      <c r="B2985" s="291"/>
      <c r="E2985" s="212"/>
    </row>
    <row r="2986" spans="2:5" x14ac:dyDescent="0.2">
      <c r="B2986" s="291"/>
      <c r="E2986" s="212"/>
    </row>
    <row r="2987" spans="2:5" x14ac:dyDescent="0.2">
      <c r="B2987" s="291"/>
      <c r="E2987" s="212"/>
    </row>
    <row r="2988" spans="2:5" x14ac:dyDescent="0.2">
      <c r="B2988" s="291"/>
      <c r="E2988" s="212"/>
    </row>
    <row r="2989" spans="2:5" x14ac:dyDescent="0.2">
      <c r="B2989" s="291"/>
      <c r="E2989" s="212"/>
    </row>
    <row r="2990" spans="2:5" x14ac:dyDescent="0.2">
      <c r="B2990" s="291"/>
      <c r="E2990" s="212"/>
    </row>
    <row r="2991" spans="2:5" x14ac:dyDescent="0.2">
      <c r="B2991" s="291"/>
      <c r="E2991" s="212"/>
    </row>
    <row r="2992" spans="2:5" x14ac:dyDescent="0.2">
      <c r="B2992" s="291"/>
      <c r="E2992" s="212"/>
    </row>
    <row r="2993" spans="2:5" x14ac:dyDescent="0.2">
      <c r="B2993" s="291"/>
      <c r="E2993" s="212"/>
    </row>
    <row r="2994" spans="2:5" x14ac:dyDescent="0.2">
      <c r="B2994" s="291"/>
      <c r="E2994" s="212"/>
    </row>
    <row r="2995" spans="2:5" x14ac:dyDescent="0.2">
      <c r="B2995" s="291"/>
      <c r="E2995" s="212"/>
    </row>
    <row r="2996" spans="2:5" x14ac:dyDescent="0.2">
      <c r="B2996" s="291"/>
      <c r="E2996" s="212"/>
    </row>
    <row r="2997" spans="2:5" x14ac:dyDescent="0.2">
      <c r="B2997" s="291"/>
      <c r="E2997" s="212"/>
    </row>
    <row r="2998" spans="2:5" x14ac:dyDescent="0.2">
      <c r="B2998" s="291"/>
      <c r="E2998" s="212"/>
    </row>
    <row r="2999" spans="2:5" x14ac:dyDescent="0.2">
      <c r="B2999" s="291"/>
      <c r="E2999" s="212"/>
    </row>
    <row r="3000" spans="2:5" x14ac:dyDescent="0.2">
      <c r="B3000" s="291"/>
      <c r="E3000" s="212"/>
    </row>
    <row r="3001" spans="2:5" x14ac:dyDescent="0.2">
      <c r="B3001" s="291"/>
      <c r="E3001" s="212"/>
    </row>
    <row r="3002" spans="2:5" x14ac:dyDescent="0.2">
      <c r="B3002" s="291"/>
      <c r="E3002" s="212"/>
    </row>
    <row r="3003" spans="2:5" x14ac:dyDescent="0.2">
      <c r="B3003" s="291"/>
      <c r="E3003" s="212"/>
    </row>
    <row r="3004" spans="2:5" x14ac:dyDescent="0.2">
      <c r="B3004" s="291"/>
      <c r="E3004" s="212"/>
    </row>
    <row r="3005" spans="2:5" x14ac:dyDescent="0.2">
      <c r="B3005" s="291"/>
      <c r="E3005" s="212"/>
    </row>
    <row r="3006" spans="2:5" x14ac:dyDescent="0.2">
      <c r="B3006" s="291"/>
      <c r="E3006" s="212"/>
    </row>
    <row r="3007" spans="2:5" x14ac:dyDescent="0.2">
      <c r="B3007" s="291"/>
      <c r="E3007" s="212"/>
    </row>
    <row r="3008" spans="2:5" x14ac:dyDescent="0.2">
      <c r="B3008" s="291"/>
      <c r="E3008" s="212"/>
    </row>
    <row r="3009" spans="2:5" x14ac:dyDescent="0.2">
      <c r="B3009" s="291"/>
      <c r="E3009" s="212"/>
    </row>
    <row r="3010" spans="2:5" x14ac:dyDescent="0.2">
      <c r="B3010" s="291"/>
      <c r="E3010" s="212"/>
    </row>
    <row r="3011" spans="2:5" x14ac:dyDescent="0.2">
      <c r="B3011" s="291"/>
      <c r="E3011" s="212"/>
    </row>
    <row r="3012" spans="2:5" x14ac:dyDescent="0.2">
      <c r="B3012" s="291"/>
      <c r="E3012" s="212"/>
    </row>
    <row r="3013" spans="2:5" x14ac:dyDescent="0.2">
      <c r="B3013" s="291"/>
      <c r="E3013" s="212"/>
    </row>
    <row r="3014" spans="2:5" x14ac:dyDescent="0.2">
      <c r="B3014" s="291"/>
      <c r="E3014" s="212"/>
    </row>
    <row r="3015" spans="2:5" x14ac:dyDescent="0.2">
      <c r="B3015" s="291"/>
      <c r="E3015" s="212"/>
    </row>
    <row r="3016" spans="2:5" x14ac:dyDescent="0.2">
      <c r="B3016" s="291"/>
      <c r="E3016" s="212"/>
    </row>
    <row r="3017" spans="2:5" x14ac:dyDescent="0.2">
      <c r="B3017" s="291"/>
      <c r="E3017" s="212"/>
    </row>
    <row r="3018" spans="2:5" x14ac:dyDescent="0.2">
      <c r="B3018" s="291"/>
      <c r="E3018" s="212"/>
    </row>
    <row r="3019" spans="2:5" x14ac:dyDescent="0.2">
      <c r="B3019" s="291"/>
      <c r="E3019" s="212"/>
    </row>
    <row r="3020" spans="2:5" x14ac:dyDescent="0.2">
      <c r="B3020" s="291"/>
      <c r="E3020" s="212"/>
    </row>
    <row r="3021" spans="2:5" x14ac:dyDescent="0.2">
      <c r="B3021" s="291"/>
      <c r="E3021" s="212"/>
    </row>
    <row r="3022" spans="2:5" x14ac:dyDescent="0.2">
      <c r="B3022" s="291"/>
      <c r="E3022" s="212"/>
    </row>
    <row r="3023" spans="2:5" x14ac:dyDescent="0.2">
      <c r="B3023" s="291"/>
      <c r="E3023" s="212"/>
    </row>
    <row r="3024" spans="2:5" x14ac:dyDescent="0.2">
      <c r="B3024" s="291"/>
      <c r="E3024" s="212"/>
    </row>
    <row r="3025" spans="2:5" x14ac:dyDescent="0.2">
      <c r="B3025" s="291"/>
      <c r="E3025" s="212"/>
    </row>
    <row r="3026" spans="2:5" x14ac:dyDescent="0.2">
      <c r="B3026" s="291"/>
      <c r="E3026" s="212"/>
    </row>
    <row r="3027" spans="2:5" x14ac:dyDescent="0.2">
      <c r="B3027" s="291"/>
      <c r="E3027" s="212"/>
    </row>
    <row r="3028" spans="2:5" x14ac:dyDescent="0.2">
      <c r="B3028" s="291"/>
      <c r="E3028" s="212"/>
    </row>
    <row r="3029" spans="2:5" x14ac:dyDescent="0.2">
      <c r="B3029" s="291"/>
      <c r="E3029" s="212"/>
    </row>
    <row r="3030" spans="2:5" x14ac:dyDescent="0.2">
      <c r="B3030" s="291"/>
      <c r="E3030" s="212"/>
    </row>
    <row r="3031" spans="2:5" x14ac:dyDescent="0.2">
      <c r="B3031" s="291"/>
      <c r="E3031" s="212"/>
    </row>
    <row r="3032" spans="2:5" x14ac:dyDescent="0.2">
      <c r="B3032" s="291"/>
      <c r="E3032" s="212"/>
    </row>
    <row r="3033" spans="2:5" x14ac:dyDescent="0.2">
      <c r="B3033" s="291"/>
      <c r="E3033" s="212"/>
    </row>
    <row r="3034" spans="2:5" x14ac:dyDescent="0.2">
      <c r="B3034" s="291"/>
      <c r="E3034" s="212"/>
    </row>
    <row r="3035" spans="2:5" x14ac:dyDescent="0.2">
      <c r="B3035" s="291"/>
      <c r="E3035" s="212"/>
    </row>
    <row r="3036" spans="2:5" x14ac:dyDescent="0.2">
      <c r="B3036" s="291"/>
      <c r="E3036" s="212"/>
    </row>
    <row r="3037" spans="2:5" x14ac:dyDescent="0.2">
      <c r="B3037" s="291"/>
      <c r="E3037" s="212"/>
    </row>
    <row r="3038" spans="2:5" x14ac:dyDescent="0.2">
      <c r="B3038" s="291"/>
      <c r="E3038" s="212"/>
    </row>
    <row r="3039" spans="2:5" x14ac:dyDescent="0.2">
      <c r="B3039" s="291"/>
      <c r="E3039" s="212"/>
    </row>
    <row r="3040" spans="2:5" x14ac:dyDescent="0.2">
      <c r="B3040" s="291"/>
      <c r="E3040" s="212"/>
    </row>
    <row r="3041" spans="2:5" x14ac:dyDescent="0.2">
      <c r="B3041" s="291"/>
      <c r="E3041" s="212"/>
    </row>
    <row r="3042" spans="2:5" x14ac:dyDescent="0.2">
      <c r="B3042" s="291"/>
      <c r="E3042" s="212"/>
    </row>
    <row r="3043" spans="2:5" x14ac:dyDescent="0.2">
      <c r="B3043" s="291"/>
      <c r="E3043" s="212"/>
    </row>
    <row r="3044" spans="2:5" x14ac:dyDescent="0.2">
      <c r="B3044" s="291"/>
      <c r="E3044" s="212"/>
    </row>
    <row r="3045" spans="2:5" x14ac:dyDescent="0.2">
      <c r="B3045" s="291"/>
      <c r="E3045" s="212"/>
    </row>
    <row r="3046" spans="2:5" x14ac:dyDescent="0.2">
      <c r="B3046" s="291"/>
      <c r="E3046" s="212"/>
    </row>
    <row r="3047" spans="2:5" x14ac:dyDescent="0.2">
      <c r="B3047" s="291"/>
      <c r="E3047" s="212"/>
    </row>
    <row r="3048" spans="2:5" x14ac:dyDescent="0.2">
      <c r="B3048" s="291"/>
      <c r="E3048" s="212"/>
    </row>
    <row r="3049" spans="2:5" x14ac:dyDescent="0.2">
      <c r="B3049" s="291"/>
      <c r="E3049" s="212"/>
    </row>
    <row r="3050" spans="2:5" x14ac:dyDescent="0.2">
      <c r="B3050" s="291"/>
      <c r="E3050" s="212"/>
    </row>
    <row r="3051" spans="2:5" x14ac:dyDescent="0.2">
      <c r="B3051" s="291"/>
      <c r="E3051" s="212"/>
    </row>
    <row r="3052" spans="2:5" x14ac:dyDescent="0.2">
      <c r="B3052" s="291"/>
      <c r="E3052" s="212"/>
    </row>
    <row r="3053" spans="2:5" x14ac:dyDescent="0.2">
      <c r="B3053" s="291"/>
      <c r="E3053" s="212"/>
    </row>
    <row r="3054" spans="2:5" x14ac:dyDescent="0.2">
      <c r="B3054" s="291"/>
      <c r="E3054" s="212"/>
    </row>
    <row r="3055" spans="2:5" x14ac:dyDescent="0.2">
      <c r="B3055" s="291"/>
      <c r="E3055" s="212"/>
    </row>
    <row r="3056" spans="2:5" x14ac:dyDescent="0.2">
      <c r="B3056" s="291"/>
      <c r="E3056" s="212"/>
    </row>
    <row r="3057" spans="2:5" x14ac:dyDescent="0.2">
      <c r="B3057" s="291"/>
      <c r="E3057" s="212"/>
    </row>
    <row r="3058" spans="2:5" x14ac:dyDescent="0.2">
      <c r="B3058" s="291"/>
      <c r="E3058" s="212"/>
    </row>
    <row r="3059" spans="2:5" x14ac:dyDescent="0.2">
      <c r="B3059" s="291"/>
      <c r="E3059" s="212"/>
    </row>
    <row r="3060" spans="2:5" x14ac:dyDescent="0.2">
      <c r="B3060" s="291"/>
      <c r="E3060" s="212"/>
    </row>
    <row r="3061" spans="2:5" x14ac:dyDescent="0.2">
      <c r="B3061" s="291"/>
      <c r="E3061" s="212"/>
    </row>
    <row r="3062" spans="2:5" x14ac:dyDescent="0.2">
      <c r="B3062" s="291"/>
      <c r="E3062" s="212"/>
    </row>
    <row r="3063" spans="2:5" x14ac:dyDescent="0.2">
      <c r="B3063" s="291"/>
      <c r="E3063" s="212"/>
    </row>
    <row r="3064" spans="2:5" x14ac:dyDescent="0.2">
      <c r="B3064" s="291"/>
      <c r="E3064" s="212"/>
    </row>
    <row r="3065" spans="2:5" x14ac:dyDescent="0.2">
      <c r="B3065" s="291"/>
      <c r="E3065" s="212"/>
    </row>
    <row r="3066" spans="2:5" x14ac:dyDescent="0.2">
      <c r="B3066" s="291"/>
      <c r="E3066" s="212"/>
    </row>
    <row r="3067" spans="2:5" x14ac:dyDescent="0.2">
      <c r="B3067" s="291"/>
      <c r="E3067" s="212"/>
    </row>
    <row r="3068" spans="2:5" x14ac:dyDescent="0.2">
      <c r="B3068" s="291"/>
      <c r="E3068" s="212"/>
    </row>
    <row r="3069" spans="2:5" x14ac:dyDescent="0.2">
      <c r="B3069" s="291"/>
      <c r="E3069" s="212"/>
    </row>
    <row r="3070" spans="2:5" x14ac:dyDescent="0.2">
      <c r="B3070" s="291"/>
      <c r="E3070" s="212"/>
    </row>
    <row r="3071" spans="2:5" x14ac:dyDescent="0.2">
      <c r="B3071" s="291"/>
      <c r="E3071" s="212"/>
    </row>
    <row r="3072" spans="2:5" x14ac:dyDescent="0.2">
      <c r="B3072" s="291"/>
      <c r="E3072" s="212"/>
    </row>
    <row r="3073" spans="2:5" x14ac:dyDescent="0.2">
      <c r="B3073" s="291"/>
      <c r="E3073" s="212"/>
    </row>
    <row r="3074" spans="2:5" x14ac:dyDescent="0.2">
      <c r="B3074" s="291"/>
      <c r="E3074" s="212"/>
    </row>
    <row r="3075" spans="2:5" x14ac:dyDescent="0.2">
      <c r="B3075" s="291"/>
      <c r="E3075" s="212"/>
    </row>
    <row r="3076" spans="2:5" x14ac:dyDescent="0.2">
      <c r="B3076" s="291"/>
      <c r="E3076" s="212"/>
    </row>
    <row r="3077" spans="2:5" x14ac:dyDescent="0.2">
      <c r="B3077" s="291"/>
      <c r="E3077" s="212"/>
    </row>
    <row r="3078" spans="2:5" x14ac:dyDescent="0.2">
      <c r="B3078" s="291"/>
      <c r="E3078" s="212"/>
    </row>
    <row r="3079" spans="2:5" x14ac:dyDescent="0.2">
      <c r="B3079" s="291"/>
      <c r="E3079" s="212"/>
    </row>
    <row r="3080" spans="2:5" x14ac:dyDescent="0.2">
      <c r="B3080" s="291"/>
      <c r="E3080" s="212"/>
    </row>
    <row r="3081" spans="2:5" x14ac:dyDescent="0.2">
      <c r="B3081" s="291"/>
      <c r="E3081" s="212"/>
    </row>
    <row r="3082" spans="2:5" x14ac:dyDescent="0.2">
      <c r="B3082" s="291"/>
      <c r="E3082" s="212"/>
    </row>
    <row r="3083" spans="2:5" x14ac:dyDescent="0.2">
      <c r="B3083" s="291"/>
      <c r="E3083" s="212"/>
    </row>
    <row r="3084" spans="2:5" x14ac:dyDescent="0.2">
      <c r="B3084" s="291"/>
      <c r="E3084" s="212"/>
    </row>
    <row r="3085" spans="2:5" x14ac:dyDescent="0.2">
      <c r="B3085" s="291"/>
      <c r="E3085" s="212"/>
    </row>
    <row r="3086" spans="2:5" x14ac:dyDescent="0.2">
      <c r="B3086" s="291"/>
      <c r="E3086" s="212"/>
    </row>
    <row r="3087" spans="2:5" x14ac:dyDescent="0.2">
      <c r="B3087" s="291"/>
      <c r="E3087" s="212"/>
    </row>
    <row r="3088" spans="2:5" x14ac:dyDescent="0.2">
      <c r="B3088" s="291"/>
      <c r="E3088" s="212"/>
    </row>
    <row r="3089" spans="2:5" x14ac:dyDescent="0.2">
      <c r="B3089" s="291"/>
      <c r="E3089" s="212"/>
    </row>
    <row r="3090" spans="2:5" x14ac:dyDescent="0.2">
      <c r="B3090" s="291"/>
      <c r="E3090" s="212"/>
    </row>
    <row r="3091" spans="2:5" x14ac:dyDescent="0.2">
      <c r="B3091" s="291"/>
      <c r="E3091" s="212"/>
    </row>
    <row r="3092" spans="2:5" x14ac:dyDescent="0.2">
      <c r="B3092" s="291"/>
      <c r="E3092" s="212"/>
    </row>
    <row r="3093" spans="2:5" x14ac:dyDescent="0.2">
      <c r="B3093" s="291"/>
      <c r="E3093" s="212"/>
    </row>
    <row r="3094" spans="2:5" x14ac:dyDescent="0.2">
      <c r="B3094" s="291"/>
      <c r="E3094" s="212"/>
    </row>
    <row r="3095" spans="2:5" x14ac:dyDescent="0.2">
      <c r="B3095" s="291"/>
      <c r="E3095" s="212"/>
    </row>
    <row r="3096" spans="2:5" x14ac:dyDescent="0.2">
      <c r="B3096" s="291"/>
      <c r="E3096" s="212"/>
    </row>
    <row r="3097" spans="2:5" x14ac:dyDescent="0.2">
      <c r="B3097" s="291"/>
      <c r="E3097" s="212"/>
    </row>
    <row r="3098" spans="2:5" x14ac:dyDescent="0.2">
      <c r="B3098" s="291"/>
      <c r="E3098" s="212"/>
    </row>
    <row r="3099" spans="2:5" x14ac:dyDescent="0.2">
      <c r="B3099" s="291"/>
      <c r="E3099" s="212"/>
    </row>
    <row r="3100" spans="2:5" x14ac:dyDescent="0.2">
      <c r="B3100" s="291"/>
      <c r="E3100" s="212"/>
    </row>
    <row r="3101" spans="2:5" x14ac:dyDescent="0.2">
      <c r="B3101" s="291"/>
      <c r="E3101" s="212"/>
    </row>
    <row r="3102" spans="2:5" x14ac:dyDescent="0.2">
      <c r="B3102" s="291"/>
      <c r="E3102" s="212"/>
    </row>
    <row r="3103" spans="2:5" x14ac:dyDescent="0.2">
      <c r="B3103" s="291"/>
      <c r="E3103" s="212"/>
    </row>
    <row r="3104" spans="2:5" x14ac:dyDescent="0.2">
      <c r="B3104" s="291"/>
      <c r="E3104" s="212"/>
    </row>
    <row r="3105" spans="2:5" x14ac:dyDescent="0.2">
      <c r="B3105" s="291"/>
      <c r="E3105" s="212"/>
    </row>
    <row r="3106" spans="2:5" x14ac:dyDescent="0.2">
      <c r="B3106" s="291"/>
      <c r="E3106" s="212"/>
    </row>
    <row r="3107" spans="2:5" x14ac:dyDescent="0.2">
      <c r="B3107" s="291"/>
      <c r="E3107" s="212"/>
    </row>
    <row r="3108" spans="2:5" x14ac:dyDescent="0.2">
      <c r="B3108" s="291"/>
      <c r="E3108" s="212"/>
    </row>
    <row r="3109" spans="2:5" x14ac:dyDescent="0.2">
      <c r="B3109" s="291"/>
      <c r="E3109" s="212"/>
    </row>
    <row r="3110" spans="2:5" x14ac:dyDescent="0.2">
      <c r="B3110" s="291"/>
      <c r="E3110" s="212"/>
    </row>
    <row r="3111" spans="2:5" x14ac:dyDescent="0.2">
      <c r="B3111" s="291"/>
      <c r="E3111" s="212"/>
    </row>
    <row r="3112" spans="2:5" x14ac:dyDescent="0.2">
      <c r="B3112" s="291"/>
      <c r="E3112" s="212"/>
    </row>
    <row r="3113" spans="2:5" x14ac:dyDescent="0.2">
      <c r="B3113" s="291"/>
      <c r="E3113" s="212"/>
    </row>
    <row r="3114" spans="2:5" x14ac:dyDescent="0.2">
      <c r="B3114" s="291"/>
      <c r="E3114" s="212"/>
    </row>
    <row r="3115" spans="2:5" x14ac:dyDescent="0.2">
      <c r="B3115" s="291"/>
      <c r="E3115" s="212"/>
    </row>
    <row r="3116" spans="2:5" x14ac:dyDescent="0.2">
      <c r="B3116" s="291"/>
      <c r="E3116" s="212"/>
    </row>
    <row r="3117" spans="2:5" x14ac:dyDescent="0.2">
      <c r="B3117" s="291"/>
      <c r="E3117" s="212"/>
    </row>
    <row r="3118" spans="2:5" x14ac:dyDescent="0.2">
      <c r="B3118" s="291"/>
      <c r="E3118" s="212"/>
    </row>
    <row r="3119" spans="2:5" x14ac:dyDescent="0.2">
      <c r="B3119" s="291"/>
      <c r="E3119" s="212"/>
    </row>
    <row r="3120" spans="2:5" x14ac:dyDescent="0.2">
      <c r="B3120" s="291"/>
      <c r="E3120" s="212"/>
    </row>
    <row r="3121" spans="2:5" x14ac:dyDescent="0.2">
      <c r="B3121" s="291"/>
      <c r="E3121" s="212"/>
    </row>
    <row r="3122" spans="2:5" x14ac:dyDescent="0.2">
      <c r="B3122" s="291"/>
      <c r="E3122" s="212"/>
    </row>
    <row r="3123" spans="2:5" x14ac:dyDescent="0.2">
      <c r="B3123" s="291"/>
      <c r="E3123" s="212"/>
    </row>
    <row r="3124" spans="2:5" x14ac:dyDescent="0.2">
      <c r="B3124" s="291"/>
      <c r="E3124" s="212"/>
    </row>
    <row r="3125" spans="2:5" x14ac:dyDescent="0.2">
      <c r="B3125" s="291"/>
      <c r="E3125" s="212"/>
    </row>
    <row r="3126" spans="2:5" x14ac:dyDescent="0.2">
      <c r="B3126" s="291"/>
      <c r="E3126" s="212"/>
    </row>
    <row r="3127" spans="2:5" x14ac:dyDescent="0.2">
      <c r="B3127" s="291"/>
      <c r="E3127" s="212"/>
    </row>
    <row r="3128" spans="2:5" x14ac:dyDescent="0.2">
      <c r="B3128" s="291"/>
      <c r="E3128" s="212"/>
    </row>
    <row r="3129" spans="2:5" x14ac:dyDescent="0.2">
      <c r="B3129" s="291"/>
      <c r="E3129" s="212"/>
    </row>
    <row r="3130" spans="2:5" x14ac:dyDescent="0.2">
      <c r="B3130" s="291"/>
      <c r="E3130" s="212"/>
    </row>
    <row r="3131" spans="2:5" x14ac:dyDescent="0.2">
      <c r="B3131" s="291"/>
      <c r="E3131" s="212"/>
    </row>
    <row r="3132" spans="2:5" x14ac:dyDescent="0.2">
      <c r="B3132" s="291"/>
      <c r="E3132" s="212"/>
    </row>
    <row r="3133" spans="2:5" x14ac:dyDescent="0.2">
      <c r="B3133" s="291"/>
      <c r="E3133" s="212"/>
    </row>
    <row r="3134" spans="2:5" x14ac:dyDescent="0.2">
      <c r="B3134" s="291"/>
      <c r="E3134" s="212"/>
    </row>
    <row r="3135" spans="2:5" x14ac:dyDescent="0.2">
      <c r="B3135" s="291"/>
      <c r="E3135" s="212"/>
    </row>
    <row r="3136" spans="2:5" x14ac:dyDescent="0.2">
      <c r="B3136" s="291"/>
      <c r="E3136" s="212"/>
    </row>
    <row r="3137" spans="2:5" x14ac:dyDescent="0.2">
      <c r="B3137" s="291"/>
      <c r="E3137" s="212"/>
    </row>
    <row r="3138" spans="2:5" x14ac:dyDescent="0.2">
      <c r="B3138" s="291"/>
      <c r="E3138" s="212"/>
    </row>
    <row r="3139" spans="2:5" x14ac:dyDescent="0.2">
      <c r="B3139" s="291"/>
      <c r="E3139" s="212"/>
    </row>
    <row r="3140" spans="2:5" x14ac:dyDescent="0.2">
      <c r="B3140" s="291"/>
      <c r="E3140" s="212"/>
    </row>
    <row r="3141" spans="2:5" x14ac:dyDescent="0.2">
      <c r="B3141" s="291"/>
      <c r="E3141" s="212"/>
    </row>
    <row r="3142" spans="2:5" x14ac:dyDescent="0.2">
      <c r="B3142" s="291"/>
      <c r="E3142" s="212"/>
    </row>
    <row r="3143" spans="2:5" x14ac:dyDescent="0.2">
      <c r="B3143" s="291"/>
      <c r="E3143" s="212"/>
    </row>
    <row r="3144" spans="2:5" x14ac:dyDescent="0.2">
      <c r="B3144" s="291"/>
      <c r="E3144" s="212"/>
    </row>
    <row r="3145" spans="2:5" x14ac:dyDescent="0.2">
      <c r="B3145" s="291"/>
      <c r="E3145" s="212"/>
    </row>
    <row r="3146" spans="2:5" x14ac:dyDescent="0.2">
      <c r="B3146" s="291"/>
      <c r="E3146" s="212"/>
    </row>
    <row r="3147" spans="2:5" x14ac:dyDescent="0.2">
      <c r="B3147" s="291"/>
      <c r="E3147" s="212"/>
    </row>
    <row r="3148" spans="2:5" x14ac:dyDescent="0.2">
      <c r="B3148" s="291"/>
      <c r="E3148" s="212"/>
    </row>
    <row r="3149" spans="2:5" x14ac:dyDescent="0.2">
      <c r="B3149" s="291"/>
      <c r="E3149" s="212"/>
    </row>
    <row r="3150" spans="2:5" x14ac:dyDescent="0.2">
      <c r="B3150" s="291"/>
      <c r="E3150" s="212"/>
    </row>
    <row r="3151" spans="2:5" x14ac:dyDescent="0.2">
      <c r="B3151" s="291"/>
      <c r="E3151" s="212"/>
    </row>
    <row r="3152" spans="2:5" x14ac:dyDescent="0.2">
      <c r="B3152" s="291"/>
      <c r="E3152" s="212"/>
    </row>
    <row r="3153" spans="2:5" x14ac:dyDescent="0.2">
      <c r="B3153" s="291"/>
      <c r="E3153" s="212"/>
    </row>
    <row r="3154" spans="2:5" x14ac:dyDescent="0.2">
      <c r="B3154" s="291"/>
      <c r="E3154" s="212"/>
    </row>
    <row r="3155" spans="2:5" x14ac:dyDescent="0.2">
      <c r="B3155" s="291"/>
      <c r="E3155" s="212"/>
    </row>
    <row r="3156" spans="2:5" x14ac:dyDescent="0.2">
      <c r="B3156" s="291"/>
      <c r="E3156" s="212"/>
    </row>
    <row r="3157" spans="2:5" x14ac:dyDescent="0.2">
      <c r="B3157" s="291"/>
      <c r="E3157" s="212"/>
    </row>
    <row r="3158" spans="2:5" x14ac:dyDescent="0.2">
      <c r="B3158" s="291"/>
      <c r="E3158" s="212"/>
    </row>
    <row r="3159" spans="2:5" x14ac:dyDescent="0.2">
      <c r="B3159" s="291"/>
      <c r="E3159" s="212"/>
    </row>
    <row r="3160" spans="2:5" x14ac:dyDescent="0.2">
      <c r="B3160" s="291"/>
      <c r="E3160" s="212"/>
    </row>
    <row r="3161" spans="2:5" x14ac:dyDescent="0.2">
      <c r="B3161" s="291"/>
      <c r="E3161" s="212"/>
    </row>
    <row r="3162" spans="2:5" x14ac:dyDescent="0.2">
      <c r="B3162" s="291"/>
      <c r="E3162" s="212"/>
    </row>
    <row r="3163" spans="2:5" x14ac:dyDescent="0.2">
      <c r="B3163" s="291"/>
      <c r="E3163" s="212"/>
    </row>
    <row r="3164" spans="2:5" x14ac:dyDescent="0.2">
      <c r="B3164" s="291"/>
      <c r="E3164" s="212"/>
    </row>
    <row r="3165" spans="2:5" x14ac:dyDescent="0.2">
      <c r="B3165" s="291"/>
      <c r="E3165" s="212"/>
    </row>
    <row r="3166" spans="2:5" x14ac:dyDescent="0.2">
      <c r="B3166" s="291"/>
      <c r="E3166" s="212"/>
    </row>
    <row r="3167" spans="2:5" x14ac:dyDescent="0.2">
      <c r="B3167" s="291"/>
      <c r="E3167" s="212"/>
    </row>
    <row r="3168" spans="2:5" x14ac:dyDescent="0.2">
      <c r="B3168" s="291"/>
      <c r="E3168" s="212"/>
    </row>
    <row r="3169" spans="2:5" x14ac:dyDescent="0.2">
      <c r="B3169" s="291"/>
      <c r="E3169" s="212"/>
    </row>
    <row r="3170" spans="2:5" x14ac:dyDescent="0.2">
      <c r="B3170" s="291"/>
      <c r="E3170" s="212"/>
    </row>
    <row r="3171" spans="2:5" x14ac:dyDescent="0.2">
      <c r="B3171" s="291"/>
      <c r="E3171" s="212"/>
    </row>
    <row r="3172" spans="2:5" x14ac:dyDescent="0.2">
      <c r="B3172" s="291"/>
      <c r="E3172" s="212"/>
    </row>
    <row r="3173" spans="2:5" x14ac:dyDescent="0.2">
      <c r="B3173" s="291"/>
      <c r="E3173" s="212"/>
    </row>
    <row r="3174" spans="2:5" x14ac:dyDescent="0.2">
      <c r="B3174" s="291"/>
      <c r="E3174" s="212"/>
    </row>
    <row r="3175" spans="2:5" x14ac:dyDescent="0.2">
      <c r="B3175" s="291"/>
      <c r="E3175" s="212"/>
    </row>
    <row r="3176" spans="2:5" x14ac:dyDescent="0.2">
      <c r="B3176" s="291"/>
      <c r="E3176" s="212"/>
    </row>
    <row r="3177" spans="2:5" x14ac:dyDescent="0.2">
      <c r="B3177" s="291"/>
      <c r="E3177" s="212"/>
    </row>
    <row r="3178" spans="2:5" x14ac:dyDescent="0.2">
      <c r="B3178" s="291"/>
      <c r="E3178" s="212"/>
    </row>
    <row r="3179" spans="2:5" x14ac:dyDescent="0.2">
      <c r="B3179" s="291"/>
      <c r="E3179" s="212"/>
    </row>
    <row r="3180" spans="2:5" x14ac:dyDescent="0.2">
      <c r="B3180" s="291"/>
      <c r="E3180" s="212"/>
    </row>
    <row r="3181" spans="2:5" x14ac:dyDescent="0.2">
      <c r="B3181" s="291"/>
      <c r="E3181" s="212"/>
    </row>
    <row r="3182" spans="2:5" x14ac:dyDescent="0.2">
      <c r="B3182" s="291"/>
      <c r="E3182" s="212"/>
    </row>
    <row r="3183" spans="2:5" x14ac:dyDescent="0.2">
      <c r="B3183" s="291"/>
      <c r="E3183" s="212"/>
    </row>
    <row r="3184" spans="2:5" x14ac:dyDescent="0.2">
      <c r="B3184" s="291"/>
      <c r="E3184" s="212"/>
    </row>
    <row r="3185" spans="2:5" x14ac:dyDescent="0.2">
      <c r="B3185" s="291"/>
      <c r="E3185" s="212"/>
    </row>
    <row r="3186" spans="2:5" x14ac:dyDescent="0.2">
      <c r="B3186" s="291"/>
      <c r="E3186" s="212"/>
    </row>
    <row r="3187" spans="2:5" x14ac:dyDescent="0.2">
      <c r="B3187" s="291"/>
      <c r="E3187" s="212"/>
    </row>
    <row r="3188" spans="2:5" x14ac:dyDescent="0.2">
      <c r="B3188" s="291"/>
      <c r="E3188" s="212"/>
    </row>
    <row r="3189" spans="2:5" x14ac:dyDescent="0.2">
      <c r="B3189" s="291"/>
      <c r="E3189" s="212"/>
    </row>
    <row r="3190" spans="2:5" x14ac:dyDescent="0.2">
      <c r="B3190" s="291"/>
      <c r="E3190" s="212"/>
    </row>
    <row r="3191" spans="2:5" x14ac:dyDescent="0.2">
      <c r="B3191" s="291"/>
      <c r="E3191" s="212"/>
    </row>
    <row r="3192" spans="2:5" x14ac:dyDescent="0.2">
      <c r="B3192" s="291"/>
      <c r="E3192" s="212"/>
    </row>
    <row r="3193" spans="2:5" x14ac:dyDescent="0.2">
      <c r="B3193" s="291"/>
      <c r="E3193" s="212"/>
    </row>
    <row r="3194" spans="2:5" x14ac:dyDescent="0.2">
      <c r="B3194" s="291"/>
      <c r="E3194" s="212"/>
    </row>
    <row r="3195" spans="2:5" x14ac:dyDescent="0.2">
      <c r="B3195" s="291"/>
      <c r="E3195" s="212"/>
    </row>
    <row r="3196" spans="2:5" x14ac:dyDescent="0.2">
      <c r="B3196" s="291"/>
      <c r="E3196" s="212"/>
    </row>
    <row r="3197" spans="2:5" x14ac:dyDescent="0.2">
      <c r="B3197" s="291"/>
      <c r="E3197" s="212"/>
    </row>
    <row r="3198" spans="2:5" x14ac:dyDescent="0.2">
      <c r="B3198" s="291"/>
      <c r="E3198" s="212"/>
    </row>
    <row r="3199" spans="2:5" x14ac:dyDescent="0.2">
      <c r="B3199" s="291"/>
      <c r="E3199" s="212"/>
    </row>
    <row r="3200" spans="2:5" x14ac:dyDescent="0.2">
      <c r="B3200" s="291"/>
      <c r="E3200" s="212"/>
    </row>
    <row r="3201" spans="2:5" x14ac:dyDescent="0.2">
      <c r="B3201" s="291"/>
      <c r="E3201" s="212"/>
    </row>
    <row r="3202" spans="2:5" x14ac:dyDescent="0.2">
      <c r="B3202" s="291"/>
      <c r="E3202" s="212"/>
    </row>
    <row r="3203" spans="2:5" x14ac:dyDescent="0.2">
      <c r="B3203" s="291"/>
      <c r="E3203" s="212"/>
    </row>
    <row r="3204" spans="2:5" x14ac:dyDescent="0.2">
      <c r="B3204" s="291"/>
      <c r="E3204" s="212"/>
    </row>
    <row r="3205" spans="2:5" x14ac:dyDescent="0.2">
      <c r="B3205" s="291"/>
      <c r="E3205" s="212"/>
    </row>
    <row r="3206" spans="2:5" x14ac:dyDescent="0.2">
      <c r="B3206" s="291"/>
      <c r="E3206" s="212"/>
    </row>
    <row r="3207" spans="2:5" x14ac:dyDescent="0.2">
      <c r="B3207" s="291"/>
      <c r="E3207" s="212"/>
    </row>
    <row r="3208" spans="2:5" x14ac:dyDescent="0.2">
      <c r="B3208" s="291"/>
      <c r="E3208" s="212"/>
    </row>
    <row r="3209" spans="2:5" x14ac:dyDescent="0.2">
      <c r="B3209" s="291"/>
      <c r="E3209" s="212"/>
    </row>
    <row r="3210" spans="2:5" x14ac:dyDescent="0.2">
      <c r="B3210" s="291"/>
      <c r="E3210" s="212"/>
    </row>
    <row r="3211" spans="2:5" x14ac:dyDescent="0.2">
      <c r="B3211" s="291"/>
      <c r="E3211" s="212"/>
    </row>
    <row r="3212" spans="2:5" x14ac:dyDescent="0.2">
      <c r="B3212" s="291"/>
      <c r="E3212" s="212"/>
    </row>
    <row r="3213" spans="2:5" x14ac:dyDescent="0.2">
      <c r="B3213" s="291"/>
      <c r="E3213" s="212"/>
    </row>
    <row r="3214" spans="2:5" x14ac:dyDescent="0.2">
      <c r="B3214" s="291"/>
      <c r="E3214" s="212"/>
    </row>
    <row r="3215" spans="2:5" x14ac:dyDescent="0.2">
      <c r="B3215" s="291"/>
      <c r="E3215" s="212"/>
    </row>
    <row r="3216" spans="2:5" x14ac:dyDescent="0.2">
      <c r="B3216" s="291"/>
      <c r="E3216" s="212"/>
    </row>
    <row r="3217" spans="2:5" x14ac:dyDescent="0.2">
      <c r="B3217" s="291"/>
      <c r="E3217" s="212"/>
    </row>
    <row r="3218" spans="2:5" x14ac:dyDescent="0.2">
      <c r="B3218" s="291"/>
      <c r="E3218" s="212"/>
    </row>
    <row r="3219" spans="2:5" x14ac:dyDescent="0.2">
      <c r="B3219" s="291"/>
      <c r="E3219" s="212"/>
    </row>
    <row r="3220" spans="2:5" x14ac:dyDescent="0.2">
      <c r="B3220" s="291"/>
      <c r="E3220" s="212"/>
    </row>
    <row r="3221" spans="2:5" x14ac:dyDescent="0.2">
      <c r="B3221" s="291"/>
      <c r="E3221" s="212"/>
    </row>
    <row r="3222" spans="2:5" x14ac:dyDescent="0.2">
      <c r="B3222" s="291"/>
      <c r="E3222" s="212"/>
    </row>
    <row r="3223" spans="2:5" x14ac:dyDescent="0.2">
      <c r="B3223" s="291"/>
      <c r="E3223" s="212"/>
    </row>
    <row r="3224" spans="2:5" x14ac:dyDescent="0.2">
      <c r="B3224" s="291"/>
      <c r="E3224" s="212"/>
    </row>
    <row r="3225" spans="2:5" x14ac:dyDescent="0.2">
      <c r="B3225" s="291"/>
      <c r="E3225" s="212"/>
    </row>
    <row r="3226" spans="2:5" x14ac:dyDescent="0.2">
      <c r="B3226" s="291"/>
      <c r="E3226" s="212"/>
    </row>
    <row r="3227" spans="2:5" x14ac:dyDescent="0.2">
      <c r="B3227" s="291"/>
      <c r="E3227" s="212"/>
    </row>
    <row r="3228" spans="2:5" x14ac:dyDescent="0.2">
      <c r="B3228" s="291"/>
      <c r="E3228" s="212"/>
    </row>
    <row r="3229" spans="2:5" x14ac:dyDescent="0.2">
      <c r="B3229" s="291"/>
      <c r="E3229" s="212"/>
    </row>
    <row r="3230" spans="2:5" x14ac:dyDescent="0.2">
      <c r="B3230" s="291"/>
      <c r="E3230" s="212"/>
    </row>
    <row r="3231" spans="2:5" x14ac:dyDescent="0.2">
      <c r="B3231" s="291"/>
      <c r="E3231" s="212"/>
    </row>
    <row r="3232" spans="2:5" x14ac:dyDescent="0.2">
      <c r="B3232" s="291"/>
      <c r="E3232" s="212"/>
    </row>
    <row r="3233" spans="2:5" x14ac:dyDescent="0.2">
      <c r="B3233" s="291"/>
      <c r="E3233" s="212"/>
    </row>
    <row r="3234" spans="2:5" x14ac:dyDescent="0.2">
      <c r="B3234" s="291"/>
      <c r="E3234" s="212"/>
    </row>
    <row r="3235" spans="2:5" x14ac:dyDescent="0.2">
      <c r="B3235" s="291"/>
      <c r="E3235" s="212"/>
    </row>
    <row r="3236" spans="2:5" x14ac:dyDescent="0.2">
      <c r="B3236" s="291"/>
      <c r="E3236" s="212"/>
    </row>
    <row r="3237" spans="2:5" x14ac:dyDescent="0.2">
      <c r="B3237" s="291"/>
      <c r="E3237" s="212"/>
    </row>
    <row r="3238" spans="2:5" x14ac:dyDescent="0.2">
      <c r="B3238" s="291"/>
      <c r="E3238" s="212"/>
    </row>
    <row r="3239" spans="2:5" x14ac:dyDescent="0.2">
      <c r="B3239" s="291"/>
      <c r="E3239" s="212"/>
    </row>
    <row r="3240" spans="2:5" x14ac:dyDescent="0.2">
      <c r="B3240" s="291"/>
      <c r="E3240" s="212"/>
    </row>
    <row r="3241" spans="2:5" x14ac:dyDescent="0.2">
      <c r="B3241" s="291"/>
      <c r="E3241" s="212"/>
    </row>
    <row r="3242" spans="2:5" x14ac:dyDescent="0.2">
      <c r="B3242" s="291"/>
      <c r="E3242" s="212"/>
    </row>
    <row r="3243" spans="2:5" x14ac:dyDescent="0.2">
      <c r="B3243" s="291"/>
      <c r="E3243" s="212"/>
    </row>
    <row r="3244" spans="2:5" x14ac:dyDescent="0.2">
      <c r="B3244" s="291"/>
      <c r="E3244" s="212"/>
    </row>
    <row r="3245" spans="2:5" x14ac:dyDescent="0.2">
      <c r="B3245" s="291"/>
      <c r="E3245" s="212"/>
    </row>
    <row r="3246" spans="2:5" x14ac:dyDescent="0.2">
      <c r="B3246" s="291"/>
      <c r="E3246" s="212"/>
    </row>
    <row r="3247" spans="2:5" x14ac:dyDescent="0.2">
      <c r="B3247" s="291"/>
      <c r="E3247" s="212"/>
    </row>
    <row r="3248" spans="2:5" x14ac:dyDescent="0.2">
      <c r="B3248" s="291"/>
      <c r="E3248" s="212"/>
    </row>
    <row r="3249" spans="2:5" x14ac:dyDescent="0.2">
      <c r="B3249" s="291"/>
      <c r="E3249" s="212"/>
    </row>
    <row r="3250" spans="2:5" x14ac:dyDescent="0.2">
      <c r="B3250" s="291"/>
      <c r="E3250" s="212"/>
    </row>
    <row r="3251" spans="2:5" x14ac:dyDescent="0.2">
      <c r="B3251" s="291"/>
      <c r="E3251" s="212"/>
    </row>
    <row r="3252" spans="2:5" x14ac:dyDescent="0.2">
      <c r="B3252" s="291"/>
      <c r="E3252" s="212"/>
    </row>
    <row r="3253" spans="2:5" x14ac:dyDescent="0.2">
      <c r="B3253" s="291"/>
      <c r="E3253" s="212"/>
    </row>
    <row r="3254" spans="2:5" x14ac:dyDescent="0.2">
      <c r="B3254" s="291"/>
      <c r="E3254" s="212"/>
    </row>
    <row r="3255" spans="2:5" x14ac:dyDescent="0.2">
      <c r="B3255" s="291"/>
      <c r="E3255" s="212"/>
    </row>
    <row r="3256" spans="2:5" x14ac:dyDescent="0.2">
      <c r="B3256" s="291"/>
      <c r="E3256" s="212"/>
    </row>
    <row r="3257" spans="2:5" x14ac:dyDescent="0.2">
      <c r="B3257" s="291"/>
      <c r="E3257" s="212"/>
    </row>
    <row r="3258" spans="2:5" x14ac:dyDescent="0.2">
      <c r="B3258" s="291"/>
      <c r="E3258" s="212"/>
    </row>
    <row r="3259" spans="2:5" x14ac:dyDescent="0.2">
      <c r="B3259" s="291"/>
      <c r="E3259" s="212"/>
    </row>
    <row r="3260" spans="2:5" x14ac:dyDescent="0.2">
      <c r="B3260" s="291"/>
      <c r="E3260" s="212"/>
    </row>
    <row r="3261" spans="2:5" x14ac:dyDescent="0.2">
      <c r="B3261" s="291"/>
      <c r="E3261" s="212"/>
    </row>
    <row r="3262" spans="2:5" x14ac:dyDescent="0.2">
      <c r="B3262" s="291"/>
      <c r="E3262" s="212"/>
    </row>
    <row r="3263" spans="2:5" x14ac:dyDescent="0.2">
      <c r="B3263" s="291"/>
      <c r="E3263" s="212"/>
    </row>
    <row r="3264" spans="2:5" x14ac:dyDescent="0.2">
      <c r="B3264" s="291"/>
      <c r="E3264" s="212"/>
    </row>
    <row r="3265" spans="2:5" x14ac:dyDescent="0.2">
      <c r="B3265" s="291"/>
      <c r="E3265" s="212"/>
    </row>
    <row r="3266" spans="2:5" x14ac:dyDescent="0.2">
      <c r="B3266" s="291"/>
      <c r="E3266" s="212"/>
    </row>
    <row r="3267" spans="2:5" x14ac:dyDescent="0.2">
      <c r="B3267" s="291"/>
      <c r="E3267" s="212"/>
    </row>
    <row r="3268" spans="2:5" x14ac:dyDescent="0.2">
      <c r="B3268" s="291"/>
      <c r="E3268" s="212"/>
    </row>
    <row r="3269" spans="2:5" x14ac:dyDescent="0.2">
      <c r="B3269" s="291"/>
      <c r="E3269" s="212"/>
    </row>
    <row r="3270" spans="2:5" x14ac:dyDescent="0.2">
      <c r="B3270" s="291"/>
      <c r="E3270" s="212"/>
    </row>
    <row r="3271" spans="2:5" x14ac:dyDescent="0.2">
      <c r="B3271" s="291"/>
      <c r="E3271" s="212"/>
    </row>
    <row r="3272" spans="2:5" x14ac:dyDescent="0.2">
      <c r="B3272" s="291"/>
      <c r="E3272" s="212"/>
    </row>
    <row r="3273" spans="2:5" x14ac:dyDescent="0.2">
      <c r="B3273" s="291"/>
      <c r="E3273" s="212"/>
    </row>
    <row r="3274" spans="2:5" x14ac:dyDescent="0.2">
      <c r="B3274" s="291"/>
      <c r="E3274" s="212"/>
    </row>
    <row r="3275" spans="2:5" x14ac:dyDescent="0.2">
      <c r="B3275" s="291"/>
      <c r="E3275" s="212"/>
    </row>
    <row r="3276" spans="2:5" x14ac:dyDescent="0.2">
      <c r="B3276" s="291"/>
      <c r="E3276" s="212"/>
    </row>
    <row r="3277" spans="2:5" x14ac:dyDescent="0.2">
      <c r="B3277" s="291"/>
      <c r="E3277" s="212"/>
    </row>
    <row r="3278" spans="2:5" x14ac:dyDescent="0.2">
      <c r="B3278" s="291"/>
      <c r="E3278" s="212"/>
    </row>
    <row r="3279" spans="2:5" x14ac:dyDescent="0.2">
      <c r="B3279" s="291"/>
      <c r="E3279" s="212"/>
    </row>
    <row r="3280" spans="2:5" x14ac:dyDescent="0.2">
      <c r="B3280" s="291"/>
      <c r="E3280" s="212"/>
    </row>
    <row r="3281" spans="2:5" x14ac:dyDescent="0.2">
      <c r="B3281" s="291"/>
      <c r="E3281" s="212"/>
    </row>
    <row r="3282" spans="2:5" x14ac:dyDescent="0.2">
      <c r="B3282" s="291"/>
      <c r="E3282" s="212"/>
    </row>
    <row r="3283" spans="2:5" x14ac:dyDescent="0.2">
      <c r="B3283" s="291"/>
      <c r="E3283" s="212"/>
    </row>
    <row r="3284" spans="2:5" x14ac:dyDescent="0.2">
      <c r="B3284" s="291"/>
      <c r="E3284" s="212"/>
    </row>
    <row r="3285" spans="2:5" x14ac:dyDescent="0.2">
      <c r="B3285" s="291"/>
      <c r="E3285" s="212"/>
    </row>
    <row r="3286" spans="2:5" x14ac:dyDescent="0.2">
      <c r="B3286" s="291"/>
      <c r="E3286" s="212"/>
    </row>
    <row r="3287" spans="2:5" x14ac:dyDescent="0.2">
      <c r="B3287" s="291"/>
      <c r="E3287" s="212"/>
    </row>
    <row r="3288" spans="2:5" x14ac:dyDescent="0.2">
      <c r="B3288" s="291"/>
      <c r="E3288" s="212"/>
    </row>
    <row r="3289" spans="2:5" x14ac:dyDescent="0.2">
      <c r="B3289" s="291"/>
      <c r="E3289" s="212"/>
    </row>
    <row r="3290" spans="2:5" x14ac:dyDescent="0.2">
      <c r="B3290" s="291"/>
      <c r="E3290" s="212"/>
    </row>
    <row r="3291" spans="2:5" x14ac:dyDescent="0.2">
      <c r="B3291" s="291"/>
      <c r="E3291" s="212"/>
    </row>
    <row r="3292" spans="2:5" x14ac:dyDescent="0.2">
      <c r="B3292" s="291"/>
      <c r="E3292" s="212"/>
    </row>
    <row r="3293" spans="2:5" x14ac:dyDescent="0.2">
      <c r="B3293" s="291"/>
      <c r="E3293" s="212"/>
    </row>
    <row r="3294" spans="2:5" x14ac:dyDescent="0.2">
      <c r="B3294" s="291"/>
      <c r="E3294" s="212"/>
    </row>
    <row r="3295" spans="2:5" x14ac:dyDescent="0.2">
      <c r="B3295" s="291"/>
      <c r="E3295" s="212"/>
    </row>
    <row r="3296" spans="2:5" x14ac:dyDescent="0.2">
      <c r="B3296" s="291"/>
      <c r="E3296" s="212"/>
    </row>
    <row r="3297" spans="2:5" x14ac:dyDescent="0.2">
      <c r="B3297" s="291"/>
      <c r="E3297" s="212"/>
    </row>
    <row r="3298" spans="2:5" x14ac:dyDescent="0.2">
      <c r="B3298" s="291"/>
      <c r="E3298" s="212"/>
    </row>
    <row r="3299" spans="2:5" x14ac:dyDescent="0.2">
      <c r="B3299" s="291"/>
      <c r="E3299" s="212"/>
    </row>
    <row r="3300" spans="2:5" x14ac:dyDescent="0.2">
      <c r="B3300" s="291"/>
      <c r="E3300" s="212"/>
    </row>
    <row r="3301" spans="2:5" x14ac:dyDescent="0.2">
      <c r="B3301" s="291"/>
      <c r="E3301" s="212"/>
    </row>
    <row r="3302" spans="2:5" x14ac:dyDescent="0.2">
      <c r="B3302" s="291"/>
      <c r="E3302" s="212"/>
    </row>
    <row r="3303" spans="2:5" x14ac:dyDescent="0.2">
      <c r="B3303" s="291"/>
      <c r="E3303" s="212"/>
    </row>
    <row r="3304" spans="2:5" x14ac:dyDescent="0.2">
      <c r="B3304" s="291"/>
      <c r="E3304" s="212"/>
    </row>
    <row r="3305" spans="2:5" x14ac:dyDescent="0.2">
      <c r="B3305" s="291"/>
      <c r="E3305" s="212"/>
    </row>
    <row r="3306" spans="2:5" x14ac:dyDescent="0.2">
      <c r="B3306" s="291"/>
      <c r="E3306" s="212"/>
    </row>
    <row r="3307" spans="2:5" x14ac:dyDescent="0.2">
      <c r="B3307" s="291"/>
      <c r="E3307" s="212"/>
    </row>
    <row r="3308" spans="2:5" x14ac:dyDescent="0.2">
      <c r="B3308" s="291"/>
      <c r="E3308" s="212"/>
    </row>
    <row r="3309" spans="2:5" x14ac:dyDescent="0.2">
      <c r="B3309" s="291"/>
      <c r="E3309" s="212"/>
    </row>
    <row r="3310" spans="2:5" x14ac:dyDescent="0.2">
      <c r="B3310" s="291"/>
      <c r="E3310" s="212"/>
    </row>
    <row r="3311" spans="2:5" x14ac:dyDescent="0.2">
      <c r="B3311" s="291"/>
      <c r="E3311" s="212"/>
    </row>
    <row r="3312" spans="2:5" x14ac:dyDescent="0.2">
      <c r="B3312" s="291"/>
      <c r="E3312" s="212"/>
    </row>
    <row r="3313" spans="2:5" x14ac:dyDescent="0.2">
      <c r="B3313" s="291"/>
      <c r="E3313" s="212"/>
    </row>
    <row r="3314" spans="2:5" x14ac:dyDescent="0.2">
      <c r="B3314" s="291"/>
      <c r="E3314" s="212"/>
    </row>
    <row r="3315" spans="2:5" x14ac:dyDescent="0.2">
      <c r="B3315" s="291"/>
      <c r="E3315" s="212"/>
    </row>
    <row r="3316" spans="2:5" x14ac:dyDescent="0.2">
      <c r="B3316" s="291"/>
      <c r="E3316" s="212"/>
    </row>
    <row r="3317" spans="2:5" x14ac:dyDescent="0.2">
      <c r="B3317" s="291"/>
      <c r="E3317" s="212"/>
    </row>
    <row r="3318" spans="2:5" x14ac:dyDescent="0.2">
      <c r="B3318" s="291"/>
      <c r="E3318" s="212"/>
    </row>
    <row r="3319" spans="2:5" x14ac:dyDescent="0.2">
      <c r="B3319" s="291"/>
      <c r="E3319" s="212"/>
    </row>
    <row r="3320" spans="2:5" x14ac:dyDescent="0.2">
      <c r="B3320" s="291"/>
      <c r="E3320" s="212"/>
    </row>
    <row r="3321" spans="2:5" x14ac:dyDescent="0.2">
      <c r="B3321" s="291"/>
      <c r="E3321" s="212"/>
    </row>
    <row r="3322" spans="2:5" x14ac:dyDescent="0.2">
      <c r="B3322" s="291"/>
      <c r="E3322" s="212"/>
    </row>
    <row r="3323" spans="2:5" x14ac:dyDescent="0.2">
      <c r="B3323" s="291"/>
      <c r="E3323" s="212"/>
    </row>
    <row r="3324" spans="2:5" x14ac:dyDescent="0.2">
      <c r="B3324" s="291"/>
      <c r="E3324" s="212"/>
    </row>
    <row r="3325" spans="2:5" x14ac:dyDescent="0.2">
      <c r="B3325" s="291"/>
      <c r="E3325" s="212"/>
    </row>
    <row r="3326" spans="2:5" x14ac:dyDescent="0.2">
      <c r="B3326" s="291"/>
      <c r="E3326" s="212"/>
    </row>
    <row r="3327" spans="2:5" x14ac:dyDescent="0.2">
      <c r="B3327" s="291"/>
      <c r="E3327" s="212"/>
    </row>
    <row r="3328" spans="2:5" x14ac:dyDescent="0.2">
      <c r="B3328" s="291"/>
      <c r="E3328" s="212"/>
    </row>
    <row r="3329" spans="2:5" x14ac:dyDescent="0.2">
      <c r="B3329" s="291"/>
      <c r="E3329" s="212"/>
    </row>
    <row r="3330" spans="2:5" x14ac:dyDescent="0.2">
      <c r="B3330" s="291"/>
      <c r="E3330" s="212"/>
    </row>
    <row r="3331" spans="2:5" x14ac:dyDescent="0.2">
      <c r="B3331" s="291"/>
      <c r="E3331" s="212"/>
    </row>
    <row r="3332" spans="2:5" x14ac:dyDescent="0.2">
      <c r="B3332" s="291"/>
      <c r="E3332" s="212"/>
    </row>
    <row r="3333" spans="2:5" x14ac:dyDescent="0.2">
      <c r="B3333" s="291"/>
      <c r="E3333" s="212"/>
    </row>
    <row r="3334" spans="2:5" x14ac:dyDescent="0.2">
      <c r="B3334" s="291"/>
      <c r="E3334" s="212"/>
    </row>
    <row r="3335" spans="2:5" x14ac:dyDescent="0.2">
      <c r="B3335" s="291"/>
      <c r="E3335" s="212"/>
    </row>
    <row r="3336" spans="2:5" x14ac:dyDescent="0.2">
      <c r="B3336" s="291"/>
      <c r="E3336" s="212"/>
    </row>
    <row r="3337" spans="2:5" x14ac:dyDescent="0.2">
      <c r="B3337" s="291"/>
      <c r="E3337" s="212"/>
    </row>
    <row r="3338" spans="2:5" x14ac:dyDescent="0.2">
      <c r="B3338" s="291"/>
      <c r="E3338" s="212"/>
    </row>
    <row r="3339" spans="2:5" x14ac:dyDescent="0.2">
      <c r="B3339" s="291"/>
      <c r="E3339" s="212"/>
    </row>
    <row r="3340" spans="2:5" x14ac:dyDescent="0.2">
      <c r="B3340" s="291"/>
      <c r="E3340" s="212"/>
    </row>
    <row r="3341" spans="2:5" x14ac:dyDescent="0.2">
      <c r="B3341" s="291"/>
      <c r="E3341" s="212"/>
    </row>
    <row r="3342" spans="2:5" x14ac:dyDescent="0.2">
      <c r="B3342" s="291"/>
      <c r="E3342" s="212"/>
    </row>
    <row r="3343" spans="2:5" x14ac:dyDescent="0.2">
      <c r="B3343" s="291"/>
      <c r="E3343" s="212"/>
    </row>
    <row r="3344" spans="2:5" x14ac:dyDescent="0.2">
      <c r="B3344" s="291"/>
      <c r="E3344" s="212"/>
    </row>
    <row r="3345" spans="2:5" x14ac:dyDescent="0.2">
      <c r="B3345" s="291"/>
      <c r="E3345" s="212"/>
    </row>
    <row r="3346" spans="2:5" x14ac:dyDescent="0.2">
      <c r="B3346" s="291"/>
      <c r="E3346" s="212"/>
    </row>
    <row r="3347" spans="2:5" x14ac:dyDescent="0.2">
      <c r="B3347" s="291"/>
      <c r="E3347" s="212"/>
    </row>
    <row r="3348" spans="2:5" x14ac:dyDescent="0.2">
      <c r="B3348" s="291"/>
      <c r="E3348" s="212"/>
    </row>
    <row r="3349" spans="2:5" x14ac:dyDescent="0.2">
      <c r="B3349" s="291"/>
      <c r="E3349" s="212"/>
    </row>
    <row r="3350" spans="2:5" x14ac:dyDescent="0.2">
      <c r="B3350" s="291"/>
      <c r="E3350" s="212"/>
    </row>
    <row r="3351" spans="2:5" x14ac:dyDescent="0.2">
      <c r="B3351" s="291"/>
      <c r="E3351" s="212"/>
    </row>
    <row r="3352" spans="2:5" x14ac:dyDescent="0.2">
      <c r="B3352" s="291"/>
      <c r="E3352" s="212"/>
    </row>
    <row r="3353" spans="2:5" x14ac:dyDescent="0.2">
      <c r="B3353" s="291"/>
      <c r="E3353" s="212"/>
    </row>
    <row r="3354" spans="2:5" x14ac:dyDescent="0.2">
      <c r="B3354" s="291"/>
      <c r="E3354" s="212"/>
    </row>
    <row r="3355" spans="2:5" x14ac:dyDescent="0.2">
      <c r="B3355" s="291"/>
      <c r="E3355" s="212"/>
    </row>
    <row r="3356" spans="2:5" x14ac:dyDescent="0.2">
      <c r="B3356" s="291"/>
      <c r="E3356" s="212"/>
    </row>
    <row r="3357" spans="2:5" x14ac:dyDescent="0.2">
      <c r="B3357" s="291"/>
      <c r="E3357" s="212"/>
    </row>
    <row r="3358" spans="2:5" x14ac:dyDescent="0.2">
      <c r="B3358" s="291"/>
      <c r="E3358" s="212"/>
    </row>
    <row r="3359" spans="2:5" x14ac:dyDescent="0.2">
      <c r="B3359" s="291"/>
      <c r="E3359" s="212"/>
    </row>
    <row r="3360" spans="2:5" x14ac:dyDescent="0.2">
      <c r="B3360" s="291"/>
      <c r="E3360" s="212"/>
    </row>
    <row r="3361" spans="2:5" x14ac:dyDescent="0.2">
      <c r="B3361" s="291"/>
      <c r="E3361" s="212"/>
    </row>
    <row r="3362" spans="2:5" x14ac:dyDescent="0.2">
      <c r="B3362" s="291"/>
      <c r="E3362" s="212"/>
    </row>
    <row r="3363" spans="2:5" x14ac:dyDescent="0.2">
      <c r="B3363" s="291"/>
      <c r="E3363" s="212"/>
    </row>
    <row r="3364" spans="2:5" x14ac:dyDescent="0.2">
      <c r="B3364" s="291"/>
      <c r="E3364" s="212"/>
    </row>
    <row r="3365" spans="2:5" x14ac:dyDescent="0.2">
      <c r="B3365" s="291"/>
      <c r="E3365" s="212"/>
    </row>
    <row r="3366" spans="2:5" x14ac:dyDescent="0.2">
      <c r="B3366" s="291"/>
      <c r="E3366" s="212"/>
    </row>
    <row r="3367" spans="2:5" x14ac:dyDescent="0.2">
      <c r="B3367" s="291"/>
      <c r="E3367" s="212"/>
    </row>
    <row r="3368" spans="2:5" x14ac:dyDescent="0.2">
      <c r="B3368" s="291"/>
      <c r="E3368" s="212"/>
    </row>
    <row r="3369" spans="2:5" x14ac:dyDescent="0.2">
      <c r="B3369" s="291"/>
      <c r="E3369" s="212"/>
    </row>
    <row r="3370" spans="2:5" x14ac:dyDescent="0.2">
      <c r="B3370" s="291"/>
      <c r="E3370" s="212"/>
    </row>
    <row r="3371" spans="2:5" x14ac:dyDescent="0.2">
      <c r="B3371" s="291"/>
      <c r="E3371" s="212"/>
    </row>
    <row r="3372" spans="2:5" x14ac:dyDescent="0.2">
      <c r="B3372" s="291"/>
      <c r="E3372" s="212"/>
    </row>
    <row r="3373" spans="2:5" x14ac:dyDescent="0.2">
      <c r="B3373" s="291"/>
      <c r="E3373" s="212"/>
    </row>
    <row r="3374" spans="2:5" x14ac:dyDescent="0.2">
      <c r="B3374" s="291"/>
      <c r="E3374" s="212"/>
    </row>
    <row r="3375" spans="2:5" x14ac:dyDescent="0.2">
      <c r="B3375" s="291"/>
      <c r="E3375" s="212"/>
    </row>
    <row r="3376" spans="2:5" x14ac:dyDescent="0.2">
      <c r="B3376" s="291"/>
      <c r="E3376" s="212"/>
    </row>
    <row r="3377" spans="2:5" x14ac:dyDescent="0.2">
      <c r="B3377" s="291"/>
      <c r="E3377" s="212"/>
    </row>
    <row r="3378" spans="2:5" x14ac:dyDescent="0.2">
      <c r="B3378" s="291"/>
      <c r="E3378" s="212"/>
    </row>
    <row r="3379" spans="2:5" x14ac:dyDescent="0.2">
      <c r="B3379" s="291"/>
      <c r="E3379" s="212"/>
    </row>
    <row r="3380" spans="2:5" x14ac:dyDescent="0.2">
      <c r="B3380" s="291"/>
      <c r="E3380" s="212"/>
    </row>
    <row r="3381" spans="2:5" x14ac:dyDescent="0.2">
      <c r="B3381" s="291"/>
      <c r="E3381" s="212"/>
    </row>
    <row r="3382" spans="2:5" x14ac:dyDescent="0.2">
      <c r="B3382" s="291"/>
      <c r="E3382" s="212"/>
    </row>
    <row r="3383" spans="2:5" x14ac:dyDescent="0.2">
      <c r="B3383" s="291"/>
      <c r="E3383" s="212"/>
    </row>
    <row r="3384" spans="2:5" x14ac:dyDescent="0.2">
      <c r="B3384" s="291"/>
      <c r="E3384" s="212"/>
    </row>
    <row r="3385" spans="2:5" x14ac:dyDescent="0.2">
      <c r="B3385" s="291"/>
      <c r="E3385" s="212"/>
    </row>
    <row r="3386" spans="2:5" x14ac:dyDescent="0.2">
      <c r="B3386" s="291"/>
      <c r="E3386" s="212"/>
    </row>
    <row r="3387" spans="2:5" x14ac:dyDescent="0.2">
      <c r="B3387" s="291"/>
      <c r="E3387" s="212"/>
    </row>
    <row r="3388" spans="2:5" x14ac:dyDescent="0.2">
      <c r="B3388" s="291"/>
      <c r="E3388" s="212"/>
    </row>
    <row r="3389" spans="2:5" x14ac:dyDescent="0.2">
      <c r="B3389" s="291"/>
      <c r="E3389" s="212"/>
    </row>
    <row r="3390" spans="2:5" x14ac:dyDescent="0.2">
      <c r="B3390" s="291"/>
      <c r="E3390" s="212"/>
    </row>
    <row r="3391" spans="2:5" x14ac:dyDescent="0.2">
      <c r="B3391" s="291"/>
      <c r="E3391" s="212"/>
    </row>
    <row r="3392" spans="2:5" x14ac:dyDescent="0.2">
      <c r="B3392" s="291"/>
      <c r="E3392" s="212"/>
    </row>
    <row r="3393" spans="2:5" x14ac:dyDescent="0.2">
      <c r="B3393" s="291"/>
      <c r="E3393" s="212"/>
    </row>
    <row r="3394" spans="2:5" x14ac:dyDescent="0.2">
      <c r="B3394" s="291"/>
      <c r="E3394" s="212"/>
    </row>
    <row r="3395" spans="2:5" x14ac:dyDescent="0.2">
      <c r="B3395" s="291"/>
      <c r="E3395" s="212"/>
    </row>
    <row r="3396" spans="2:5" x14ac:dyDescent="0.2">
      <c r="B3396" s="291"/>
      <c r="E3396" s="212"/>
    </row>
    <row r="3397" spans="2:5" x14ac:dyDescent="0.2">
      <c r="B3397" s="291"/>
      <c r="E3397" s="212"/>
    </row>
    <row r="3398" spans="2:5" x14ac:dyDescent="0.2">
      <c r="B3398" s="291"/>
      <c r="E3398" s="212"/>
    </row>
    <row r="3399" spans="2:5" x14ac:dyDescent="0.2">
      <c r="B3399" s="291"/>
      <c r="E3399" s="212"/>
    </row>
    <row r="3400" spans="2:5" x14ac:dyDescent="0.2">
      <c r="B3400" s="291"/>
      <c r="E3400" s="212"/>
    </row>
    <row r="3401" spans="2:5" x14ac:dyDescent="0.2">
      <c r="B3401" s="291"/>
      <c r="E3401" s="212"/>
    </row>
    <row r="3402" spans="2:5" x14ac:dyDescent="0.2">
      <c r="B3402" s="291"/>
      <c r="E3402" s="212"/>
    </row>
    <row r="3403" spans="2:5" x14ac:dyDescent="0.2">
      <c r="B3403" s="291"/>
      <c r="E3403" s="212"/>
    </row>
    <row r="3404" spans="2:5" x14ac:dyDescent="0.2">
      <c r="B3404" s="291"/>
      <c r="E3404" s="212"/>
    </row>
    <row r="3405" spans="2:5" x14ac:dyDescent="0.2">
      <c r="B3405" s="291"/>
      <c r="E3405" s="212"/>
    </row>
    <row r="3406" spans="2:5" x14ac:dyDescent="0.2">
      <c r="B3406" s="291"/>
      <c r="E3406" s="212"/>
    </row>
    <row r="3407" spans="2:5" x14ac:dyDescent="0.2">
      <c r="B3407" s="291"/>
      <c r="E3407" s="212"/>
    </row>
    <row r="3408" spans="2:5" x14ac:dyDescent="0.2">
      <c r="B3408" s="291"/>
      <c r="E3408" s="212"/>
    </row>
    <row r="3409" spans="2:5" x14ac:dyDescent="0.2">
      <c r="B3409" s="291"/>
      <c r="E3409" s="212"/>
    </row>
    <row r="3410" spans="2:5" x14ac:dyDescent="0.2">
      <c r="B3410" s="291"/>
      <c r="E3410" s="212"/>
    </row>
    <row r="3411" spans="2:5" x14ac:dyDescent="0.2">
      <c r="B3411" s="291"/>
      <c r="E3411" s="212"/>
    </row>
    <row r="3412" spans="2:5" x14ac:dyDescent="0.2">
      <c r="B3412" s="291"/>
      <c r="E3412" s="212"/>
    </row>
    <row r="3413" spans="2:5" x14ac:dyDescent="0.2">
      <c r="B3413" s="291"/>
      <c r="E3413" s="212"/>
    </row>
    <row r="3414" spans="2:5" x14ac:dyDescent="0.2">
      <c r="B3414" s="291"/>
      <c r="E3414" s="212"/>
    </row>
    <row r="3415" spans="2:5" x14ac:dyDescent="0.2">
      <c r="B3415" s="291"/>
      <c r="E3415" s="212"/>
    </row>
    <row r="3416" spans="2:5" x14ac:dyDescent="0.2">
      <c r="B3416" s="291"/>
      <c r="E3416" s="212"/>
    </row>
    <row r="3417" spans="2:5" x14ac:dyDescent="0.2">
      <c r="B3417" s="291"/>
      <c r="E3417" s="212"/>
    </row>
    <row r="3418" spans="2:5" x14ac:dyDescent="0.2">
      <c r="B3418" s="291"/>
      <c r="E3418" s="212"/>
    </row>
    <row r="3419" spans="2:5" x14ac:dyDescent="0.2">
      <c r="B3419" s="291"/>
      <c r="E3419" s="212"/>
    </row>
    <row r="3420" spans="2:5" x14ac:dyDescent="0.2">
      <c r="B3420" s="291"/>
      <c r="E3420" s="212"/>
    </row>
    <row r="3421" spans="2:5" x14ac:dyDescent="0.2">
      <c r="B3421" s="291"/>
      <c r="E3421" s="212"/>
    </row>
    <row r="3422" spans="2:5" x14ac:dyDescent="0.2">
      <c r="B3422" s="291"/>
      <c r="E3422" s="212"/>
    </row>
    <row r="3423" spans="2:5" x14ac:dyDescent="0.2">
      <c r="B3423" s="291"/>
      <c r="E3423" s="212"/>
    </row>
    <row r="3424" spans="2:5" x14ac:dyDescent="0.2">
      <c r="B3424" s="291"/>
      <c r="E3424" s="212"/>
    </row>
    <row r="3425" spans="2:5" x14ac:dyDescent="0.2">
      <c r="B3425" s="291"/>
      <c r="E3425" s="212"/>
    </row>
    <row r="3426" spans="2:5" x14ac:dyDescent="0.2">
      <c r="B3426" s="291"/>
      <c r="E3426" s="212"/>
    </row>
    <row r="3427" spans="2:5" x14ac:dyDescent="0.2">
      <c r="B3427" s="291"/>
      <c r="E3427" s="212"/>
    </row>
    <row r="3428" spans="2:5" x14ac:dyDescent="0.2">
      <c r="B3428" s="291"/>
      <c r="E3428" s="212"/>
    </row>
    <row r="3429" spans="2:5" x14ac:dyDescent="0.2">
      <c r="B3429" s="291"/>
      <c r="E3429" s="212"/>
    </row>
    <row r="3430" spans="2:5" x14ac:dyDescent="0.2">
      <c r="B3430" s="291"/>
      <c r="E3430" s="212"/>
    </row>
    <row r="3431" spans="2:5" x14ac:dyDescent="0.2">
      <c r="B3431" s="291"/>
      <c r="E3431" s="212"/>
    </row>
    <row r="3432" spans="2:5" x14ac:dyDescent="0.2">
      <c r="B3432" s="291"/>
      <c r="E3432" s="212"/>
    </row>
    <row r="3433" spans="2:5" x14ac:dyDescent="0.2">
      <c r="B3433" s="291"/>
      <c r="E3433" s="212"/>
    </row>
    <row r="3434" spans="2:5" x14ac:dyDescent="0.2">
      <c r="B3434" s="291"/>
      <c r="E3434" s="212"/>
    </row>
    <row r="3435" spans="2:5" x14ac:dyDescent="0.2">
      <c r="B3435" s="291"/>
      <c r="E3435" s="212"/>
    </row>
    <row r="3436" spans="2:5" x14ac:dyDescent="0.2">
      <c r="B3436" s="291"/>
      <c r="E3436" s="212"/>
    </row>
    <row r="3437" spans="2:5" x14ac:dyDescent="0.2">
      <c r="B3437" s="291"/>
      <c r="E3437" s="212"/>
    </row>
    <row r="3438" spans="2:5" x14ac:dyDescent="0.2">
      <c r="B3438" s="291"/>
      <c r="E3438" s="212"/>
    </row>
    <row r="3439" spans="2:5" x14ac:dyDescent="0.2">
      <c r="B3439" s="291"/>
      <c r="E3439" s="212"/>
    </row>
    <row r="3440" spans="2:5" x14ac:dyDescent="0.2">
      <c r="B3440" s="291"/>
      <c r="E3440" s="212"/>
    </row>
    <row r="3441" spans="2:5" x14ac:dyDescent="0.2">
      <c r="B3441" s="291"/>
      <c r="E3441" s="212"/>
    </row>
    <row r="3442" spans="2:5" x14ac:dyDescent="0.2">
      <c r="B3442" s="291"/>
      <c r="E3442" s="212"/>
    </row>
    <row r="3443" spans="2:5" x14ac:dyDescent="0.2">
      <c r="B3443" s="291"/>
      <c r="E3443" s="212"/>
    </row>
    <row r="3444" spans="2:5" x14ac:dyDescent="0.2">
      <c r="B3444" s="291"/>
      <c r="E3444" s="212"/>
    </row>
    <row r="3445" spans="2:5" x14ac:dyDescent="0.2">
      <c r="B3445" s="291"/>
      <c r="E3445" s="212"/>
    </row>
    <row r="3446" spans="2:5" x14ac:dyDescent="0.2">
      <c r="B3446" s="291"/>
      <c r="E3446" s="212"/>
    </row>
    <row r="3447" spans="2:5" x14ac:dyDescent="0.2">
      <c r="B3447" s="291"/>
      <c r="E3447" s="212"/>
    </row>
    <row r="3448" spans="2:5" x14ac:dyDescent="0.2">
      <c r="B3448" s="291"/>
      <c r="E3448" s="212"/>
    </row>
    <row r="3449" spans="2:5" x14ac:dyDescent="0.2">
      <c r="B3449" s="291"/>
      <c r="E3449" s="212"/>
    </row>
    <row r="3450" spans="2:5" x14ac:dyDescent="0.2">
      <c r="B3450" s="291"/>
      <c r="E3450" s="212"/>
    </row>
    <row r="3451" spans="2:5" x14ac:dyDescent="0.2">
      <c r="B3451" s="291"/>
      <c r="E3451" s="212"/>
    </row>
    <row r="3452" spans="2:5" x14ac:dyDescent="0.2">
      <c r="B3452" s="291"/>
      <c r="E3452" s="212"/>
    </row>
    <row r="3453" spans="2:5" x14ac:dyDescent="0.2">
      <c r="B3453" s="291"/>
      <c r="E3453" s="212"/>
    </row>
    <row r="3454" spans="2:5" x14ac:dyDescent="0.2">
      <c r="B3454" s="291"/>
      <c r="E3454" s="212"/>
    </row>
    <row r="3455" spans="2:5" x14ac:dyDescent="0.2">
      <c r="B3455" s="291"/>
      <c r="E3455" s="212"/>
    </row>
    <row r="3456" spans="2:5" x14ac:dyDescent="0.2">
      <c r="B3456" s="291"/>
      <c r="E3456" s="212"/>
    </row>
    <row r="3457" spans="2:5" x14ac:dyDescent="0.2">
      <c r="B3457" s="291"/>
      <c r="E3457" s="212"/>
    </row>
    <row r="3458" spans="2:5" x14ac:dyDescent="0.2">
      <c r="B3458" s="291"/>
      <c r="E3458" s="212"/>
    </row>
    <row r="3459" spans="2:5" x14ac:dyDescent="0.2">
      <c r="B3459" s="291"/>
      <c r="E3459" s="212"/>
    </row>
    <row r="3460" spans="2:5" x14ac:dyDescent="0.2">
      <c r="B3460" s="291"/>
      <c r="E3460" s="212"/>
    </row>
    <row r="3461" spans="2:5" x14ac:dyDescent="0.2">
      <c r="B3461" s="291"/>
      <c r="E3461" s="212"/>
    </row>
    <row r="3462" spans="2:5" x14ac:dyDescent="0.2">
      <c r="B3462" s="291"/>
      <c r="E3462" s="212"/>
    </row>
    <row r="3463" spans="2:5" x14ac:dyDescent="0.2">
      <c r="B3463" s="291"/>
      <c r="E3463" s="212"/>
    </row>
    <row r="3464" spans="2:5" x14ac:dyDescent="0.2">
      <c r="B3464" s="291"/>
      <c r="E3464" s="212"/>
    </row>
    <row r="3465" spans="2:5" x14ac:dyDescent="0.2">
      <c r="B3465" s="291"/>
      <c r="E3465" s="212"/>
    </row>
    <row r="3466" spans="2:5" x14ac:dyDescent="0.2">
      <c r="B3466" s="291"/>
      <c r="E3466" s="212"/>
    </row>
    <row r="3467" spans="2:5" x14ac:dyDescent="0.2">
      <c r="B3467" s="291"/>
      <c r="E3467" s="212"/>
    </row>
    <row r="3468" spans="2:5" x14ac:dyDescent="0.2">
      <c r="B3468" s="291"/>
      <c r="E3468" s="212"/>
    </row>
    <row r="3469" spans="2:5" x14ac:dyDescent="0.2">
      <c r="B3469" s="291"/>
      <c r="E3469" s="212"/>
    </row>
    <row r="3470" spans="2:5" x14ac:dyDescent="0.2">
      <c r="B3470" s="291"/>
      <c r="E3470" s="212"/>
    </row>
    <row r="3471" spans="2:5" x14ac:dyDescent="0.2">
      <c r="B3471" s="291"/>
      <c r="E3471" s="212"/>
    </row>
    <row r="3472" spans="2:5" x14ac:dyDescent="0.2">
      <c r="B3472" s="291"/>
      <c r="E3472" s="212"/>
    </row>
    <row r="3473" spans="2:5" x14ac:dyDescent="0.2">
      <c r="B3473" s="291"/>
      <c r="E3473" s="212"/>
    </row>
    <row r="3474" spans="2:5" x14ac:dyDescent="0.2">
      <c r="B3474" s="291"/>
      <c r="E3474" s="212"/>
    </row>
    <row r="3475" spans="2:5" x14ac:dyDescent="0.2">
      <c r="B3475" s="291"/>
      <c r="E3475" s="212"/>
    </row>
    <row r="3476" spans="2:5" x14ac:dyDescent="0.2">
      <c r="B3476" s="291"/>
      <c r="E3476" s="212"/>
    </row>
    <row r="3477" spans="2:5" x14ac:dyDescent="0.2">
      <c r="B3477" s="291"/>
      <c r="E3477" s="212"/>
    </row>
    <row r="3478" spans="2:5" x14ac:dyDescent="0.2">
      <c r="B3478" s="291"/>
      <c r="E3478" s="212"/>
    </row>
    <row r="3479" spans="2:5" x14ac:dyDescent="0.2">
      <c r="B3479" s="291"/>
      <c r="E3479" s="212"/>
    </row>
    <row r="3480" spans="2:5" x14ac:dyDescent="0.2">
      <c r="B3480" s="291"/>
      <c r="E3480" s="212"/>
    </row>
    <row r="3481" spans="2:5" x14ac:dyDescent="0.2">
      <c r="B3481" s="291"/>
      <c r="E3481" s="212"/>
    </row>
    <row r="3482" spans="2:5" x14ac:dyDescent="0.2">
      <c r="B3482" s="291"/>
      <c r="E3482" s="212"/>
    </row>
    <row r="3483" spans="2:5" x14ac:dyDescent="0.2">
      <c r="B3483" s="291"/>
      <c r="E3483" s="212"/>
    </row>
    <row r="3484" spans="2:5" x14ac:dyDescent="0.2">
      <c r="B3484" s="291"/>
      <c r="E3484" s="212"/>
    </row>
    <row r="3485" spans="2:5" x14ac:dyDescent="0.2">
      <c r="B3485" s="291"/>
      <c r="E3485" s="212"/>
    </row>
    <row r="3486" spans="2:5" x14ac:dyDescent="0.2">
      <c r="B3486" s="291"/>
      <c r="E3486" s="212"/>
    </row>
    <row r="3487" spans="2:5" x14ac:dyDescent="0.2">
      <c r="B3487" s="291"/>
      <c r="E3487" s="212"/>
    </row>
    <row r="3488" spans="2:5" x14ac:dyDescent="0.2">
      <c r="B3488" s="291"/>
      <c r="E3488" s="212"/>
    </row>
    <row r="3489" spans="2:5" x14ac:dyDescent="0.2">
      <c r="B3489" s="291"/>
      <c r="E3489" s="212"/>
    </row>
    <row r="3490" spans="2:5" x14ac:dyDescent="0.2">
      <c r="B3490" s="291"/>
      <c r="E3490" s="212"/>
    </row>
    <row r="3491" spans="2:5" x14ac:dyDescent="0.2">
      <c r="B3491" s="291"/>
      <c r="E3491" s="212"/>
    </row>
    <row r="3492" spans="2:5" x14ac:dyDescent="0.2">
      <c r="B3492" s="291"/>
      <c r="E3492" s="212"/>
    </row>
    <row r="3493" spans="2:5" x14ac:dyDescent="0.2">
      <c r="B3493" s="291"/>
      <c r="E3493" s="212"/>
    </row>
    <row r="3494" spans="2:5" x14ac:dyDescent="0.2">
      <c r="B3494" s="291"/>
      <c r="E3494" s="212"/>
    </row>
    <row r="3495" spans="2:5" x14ac:dyDescent="0.2">
      <c r="B3495" s="291"/>
      <c r="E3495" s="212"/>
    </row>
    <row r="3496" spans="2:5" x14ac:dyDescent="0.2">
      <c r="B3496" s="291"/>
      <c r="E3496" s="212"/>
    </row>
    <row r="3497" spans="2:5" x14ac:dyDescent="0.2">
      <c r="B3497" s="291"/>
      <c r="E3497" s="212"/>
    </row>
    <row r="3498" spans="2:5" x14ac:dyDescent="0.2">
      <c r="B3498" s="291"/>
      <c r="E3498" s="212"/>
    </row>
    <row r="3499" spans="2:5" x14ac:dyDescent="0.2">
      <c r="B3499" s="291"/>
      <c r="E3499" s="212"/>
    </row>
    <row r="3500" spans="2:5" x14ac:dyDescent="0.2">
      <c r="B3500" s="291"/>
      <c r="E3500" s="212"/>
    </row>
    <row r="3501" spans="2:5" x14ac:dyDescent="0.2">
      <c r="B3501" s="291"/>
      <c r="E3501" s="212"/>
    </row>
    <row r="3502" spans="2:5" x14ac:dyDescent="0.2">
      <c r="B3502" s="291"/>
      <c r="E3502" s="212"/>
    </row>
    <row r="3503" spans="2:5" x14ac:dyDescent="0.2">
      <c r="B3503" s="291"/>
      <c r="E3503" s="212"/>
    </row>
    <row r="3504" spans="2:5" x14ac:dyDescent="0.2">
      <c r="B3504" s="291"/>
      <c r="E3504" s="212"/>
    </row>
    <row r="3505" spans="2:5" x14ac:dyDescent="0.2">
      <c r="B3505" s="291"/>
      <c r="E3505" s="212"/>
    </row>
    <row r="3506" spans="2:5" x14ac:dyDescent="0.2">
      <c r="B3506" s="291"/>
      <c r="E3506" s="212"/>
    </row>
    <row r="3507" spans="2:5" x14ac:dyDescent="0.2">
      <c r="B3507" s="291"/>
      <c r="E3507" s="212"/>
    </row>
    <row r="3508" spans="2:5" x14ac:dyDescent="0.2">
      <c r="B3508" s="291"/>
      <c r="E3508" s="212"/>
    </row>
    <row r="3509" spans="2:5" x14ac:dyDescent="0.2">
      <c r="B3509" s="291"/>
      <c r="E3509" s="212"/>
    </row>
    <row r="3510" spans="2:5" x14ac:dyDescent="0.2">
      <c r="B3510" s="291"/>
      <c r="E3510" s="212"/>
    </row>
    <row r="3511" spans="2:5" x14ac:dyDescent="0.2">
      <c r="B3511" s="291"/>
      <c r="E3511" s="212"/>
    </row>
    <row r="3512" spans="2:5" x14ac:dyDescent="0.2">
      <c r="B3512" s="291"/>
      <c r="E3512" s="212"/>
    </row>
    <row r="3513" spans="2:5" x14ac:dyDescent="0.2">
      <c r="B3513" s="291"/>
      <c r="E3513" s="212"/>
    </row>
    <row r="3514" spans="2:5" x14ac:dyDescent="0.2">
      <c r="B3514" s="291"/>
      <c r="E3514" s="212"/>
    </row>
    <row r="3515" spans="2:5" x14ac:dyDescent="0.2">
      <c r="B3515" s="291"/>
      <c r="E3515" s="212"/>
    </row>
    <row r="3516" spans="2:5" x14ac:dyDescent="0.2">
      <c r="B3516" s="291"/>
      <c r="E3516" s="212"/>
    </row>
    <row r="3517" spans="2:5" x14ac:dyDescent="0.2">
      <c r="B3517" s="291"/>
      <c r="E3517" s="212"/>
    </row>
    <row r="3518" spans="2:5" x14ac:dyDescent="0.2">
      <c r="B3518" s="291"/>
      <c r="E3518" s="212"/>
    </row>
    <row r="3519" spans="2:5" x14ac:dyDescent="0.2">
      <c r="B3519" s="291"/>
      <c r="E3519" s="212"/>
    </row>
    <row r="3520" spans="2:5" x14ac:dyDescent="0.2">
      <c r="B3520" s="291"/>
      <c r="E3520" s="212"/>
    </row>
    <row r="3521" spans="2:5" x14ac:dyDescent="0.2">
      <c r="B3521" s="291"/>
      <c r="E3521" s="212"/>
    </row>
    <row r="3522" spans="2:5" x14ac:dyDescent="0.2">
      <c r="B3522" s="291"/>
      <c r="E3522" s="212"/>
    </row>
    <row r="3523" spans="2:5" x14ac:dyDescent="0.2">
      <c r="B3523" s="291"/>
      <c r="E3523" s="212"/>
    </row>
    <row r="3524" spans="2:5" x14ac:dyDescent="0.2">
      <c r="B3524" s="291"/>
      <c r="E3524" s="212"/>
    </row>
    <row r="3525" spans="2:5" x14ac:dyDescent="0.2">
      <c r="B3525" s="291"/>
      <c r="E3525" s="212"/>
    </row>
    <row r="3526" spans="2:5" x14ac:dyDescent="0.2">
      <c r="B3526" s="291"/>
      <c r="E3526" s="212"/>
    </row>
    <row r="3527" spans="2:5" x14ac:dyDescent="0.2">
      <c r="B3527" s="291"/>
      <c r="E3527" s="212"/>
    </row>
    <row r="3528" spans="2:5" x14ac:dyDescent="0.2">
      <c r="B3528" s="291"/>
      <c r="E3528" s="212"/>
    </row>
    <row r="3529" spans="2:5" x14ac:dyDescent="0.2">
      <c r="B3529" s="291"/>
      <c r="E3529" s="212"/>
    </row>
    <row r="3530" spans="2:5" x14ac:dyDescent="0.2">
      <c r="B3530" s="291"/>
      <c r="E3530" s="212"/>
    </row>
    <row r="3531" spans="2:5" x14ac:dyDescent="0.2">
      <c r="B3531" s="291"/>
      <c r="E3531" s="212"/>
    </row>
    <row r="3532" spans="2:5" x14ac:dyDescent="0.2">
      <c r="B3532" s="291"/>
      <c r="E3532" s="212"/>
    </row>
    <row r="3533" spans="2:5" x14ac:dyDescent="0.2">
      <c r="B3533" s="291"/>
      <c r="E3533" s="212"/>
    </row>
    <row r="3534" spans="2:5" x14ac:dyDescent="0.2">
      <c r="B3534" s="291"/>
      <c r="E3534" s="212"/>
    </row>
    <row r="3535" spans="2:5" x14ac:dyDescent="0.2">
      <c r="B3535" s="291"/>
      <c r="E3535" s="212"/>
    </row>
    <row r="3536" spans="2:5" x14ac:dyDescent="0.2">
      <c r="B3536" s="291"/>
      <c r="E3536" s="212"/>
    </row>
    <row r="3537" spans="2:5" x14ac:dyDescent="0.2">
      <c r="B3537" s="291"/>
      <c r="E3537" s="212"/>
    </row>
    <row r="3538" spans="2:5" x14ac:dyDescent="0.2">
      <c r="B3538" s="291"/>
      <c r="E3538" s="212"/>
    </row>
    <row r="3539" spans="2:5" x14ac:dyDescent="0.2">
      <c r="B3539" s="291"/>
      <c r="E3539" s="212"/>
    </row>
    <row r="3540" spans="2:5" x14ac:dyDescent="0.2">
      <c r="B3540" s="291"/>
      <c r="E3540" s="212"/>
    </row>
    <row r="3541" spans="2:5" x14ac:dyDescent="0.2">
      <c r="B3541" s="291"/>
      <c r="E3541" s="212"/>
    </row>
    <row r="3542" spans="2:5" x14ac:dyDescent="0.2">
      <c r="B3542" s="291"/>
      <c r="E3542" s="212"/>
    </row>
    <row r="3543" spans="2:5" x14ac:dyDescent="0.2">
      <c r="B3543" s="291"/>
      <c r="E3543" s="212"/>
    </row>
    <row r="3544" spans="2:5" x14ac:dyDescent="0.2">
      <c r="B3544" s="291"/>
      <c r="E3544" s="212"/>
    </row>
    <row r="3545" spans="2:5" x14ac:dyDescent="0.2">
      <c r="B3545" s="291"/>
      <c r="E3545" s="212"/>
    </row>
    <row r="3546" spans="2:5" x14ac:dyDescent="0.2">
      <c r="B3546" s="291"/>
      <c r="E3546" s="212"/>
    </row>
    <row r="3547" spans="2:5" x14ac:dyDescent="0.2">
      <c r="B3547" s="291"/>
      <c r="E3547" s="212"/>
    </row>
    <row r="3548" spans="2:5" x14ac:dyDescent="0.2">
      <c r="B3548" s="291"/>
      <c r="E3548" s="212"/>
    </row>
    <row r="3549" spans="2:5" x14ac:dyDescent="0.2">
      <c r="B3549" s="291"/>
      <c r="E3549" s="212"/>
    </row>
    <row r="3550" spans="2:5" x14ac:dyDescent="0.2">
      <c r="B3550" s="291"/>
      <c r="E3550" s="212"/>
    </row>
    <row r="3551" spans="2:5" x14ac:dyDescent="0.2">
      <c r="B3551" s="291"/>
      <c r="E3551" s="212"/>
    </row>
    <row r="3552" spans="2:5" x14ac:dyDescent="0.2">
      <c r="B3552" s="291"/>
      <c r="E3552" s="212"/>
    </row>
    <row r="3553" spans="2:5" x14ac:dyDescent="0.2">
      <c r="B3553" s="291"/>
      <c r="E3553" s="212"/>
    </row>
    <row r="3554" spans="2:5" x14ac:dyDescent="0.2">
      <c r="B3554" s="291"/>
      <c r="E3554" s="212"/>
    </row>
    <row r="3555" spans="2:5" x14ac:dyDescent="0.2">
      <c r="B3555" s="291"/>
      <c r="E3555" s="212"/>
    </row>
    <row r="3556" spans="2:5" x14ac:dyDescent="0.2">
      <c r="B3556" s="291"/>
      <c r="E3556" s="212"/>
    </row>
    <row r="3557" spans="2:5" x14ac:dyDescent="0.2">
      <c r="B3557" s="291"/>
      <c r="E3557" s="212"/>
    </row>
    <row r="3558" spans="2:5" x14ac:dyDescent="0.2">
      <c r="B3558" s="291"/>
      <c r="E3558" s="212"/>
    </row>
    <row r="3559" spans="2:5" x14ac:dyDescent="0.2">
      <c r="B3559" s="291"/>
      <c r="E3559" s="212"/>
    </row>
    <row r="3560" spans="2:5" x14ac:dyDescent="0.2">
      <c r="B3560" s="291"/>
      <c r="E3560" s="212"/>
    </row>
    <row r="3561" spans="2:5" x14ac:dyDescent="0.2">
      <c r="B3561" s="291"/>
      <c r="E3561" s="212"/>
    </row>
    <row r="3562" spans="2:5" x14ac:dyDescent="0.2">
      <c r="B3562" s="291"/>
      <c r="E3562" s="212"/>
    </row>
    <row r="3563" spans="2:5" x14ac:dyDescent="0.2">
      <c r="B3563" s="291"/>
      <c r="E3563" s="212"/>
    </row>
    <row r="3564" spans="2:5" x14ac:dyDescent="0.2">
      <c r="B3564" s="291"/>
      <c r="E3564" s="212"/>
    </row>
    <row r="3565" spans="2:5" x14ac:dyDescent="0.2">
      <c r="B3565" s="291"/>
      <c r="E3565" s="212"/>
    </row>
    <row r="3566" spans="2:5" x14ac:dyDescent="0.2">
      <c r="B3566" s="291"/>
      <c r="E3566" s="212"/>
    </row>
    <row r="3567" spans="2:5" x14ac:dyDescent="0.2">
      <c r="B3567" s="291"/>
      <c r="E3567" s="212"/>
    </row>
    <row r="3568" spans="2:5" x14ac:dyDescent="0.2">
      <c r="B3568" s="291"/>
      <c r="E3568" s="212"/>
    </row>
    <row r="3569" spans="2:5" x14ac:dyDescent="0.2">
      <c r="B3569" s="291"/>
      <c r="E3569" s="212"/>
    </row>
    <row r="3570" spans="2:5" x14ac:dyDescent="0.2">
      <c r="B3570" s="291"/>
      <c r="E3570" s="212"/>
    </row>
    <row r="3571" spans="2:5" x14ac:dyDescent="0.2">
      <c r="B3571" s="291"/>
      <c r="E3571" s="212"/>
    </row>
    <row r="3572" spans="2:5" x14ac:dyDescent="0.2">
      <c r="B3572" s="291"/>
      <c r="E3572" s="212"/>
    </row>
    <row r="3573" spans="2:5" x14ac:dyDescent="0.2">
      <c r="B3573" s="291"/>
      <c r="E3573" s="212"/>
    </row>
    <row r="3574" spans="2:5" x14ac:dyDescent="0.2">
      <c r="B3574" s="291"/>
      <c r="E3574" s="212"/>
    </row>
    <row r="3575" spans="2:5" x14ac:dyDescent="0.2">
      <c r="B3575" s="291"/>
      <c r="E3575" s="212"/>
    </row>
    <row r="3576" spans="2:5" x14ac:dyDescent="0.2">
      <c r="B3576" s="291"/>
      <c r="E3576" s="212"/>
    </row>
    <row r="3577" spans="2:5" x14ac:dyDescent="0.2">
      <c r="B3577" s="291"/>
      <c r="E3577" s="212"/>
    </row>
    <row r="3578" spans="2:5" x14ac:dyDescent="0.2">
      <c r="B3578" s="291"/>
      <c r="E3578" s="212"/>
    </row>
    <row r="3579" spans="2:5" x14ac:dyDescent="0.2">
      <c r="B3579" s="291"/>
      <c r="E3579" s="212"/>
    </row>
    <row r="3580" spans="2:5" x14ac:dyDescent="0.2">
      <c r="B3580" s="291"/>
      <c r="E3580" s="212"/>
    </row>
    <row r="3581" spans="2:5" x14ac:dyDescent="0.2">
      <c r="B3581" s="291"/>
      <c r="E3581" s="212"/>
    </row>
    <row r="3582" spans="2:5" x14ac:dyDescent="0.2">
      <c r="B3582" s="291"/>
      <c r="E3582" s="212"/>
    </row>
    <row r="3583" spans="2:5" x14ac:dyDescent="0.2">
      <c r="B3583" s="291"/>
      <c r="E3583" s="212"/>
    </row>
    <row r="3584" spans="2:5" x14ac:dyDescent="0.2">
      <c r="B3584" s="291"/>
      <c r="E3584" s="212"/>
    </row>
    <row r="3585" spans="2:5" x14ac:dyDescent="0.2">
      <c r="B3585" s="291"/>
      <c r="E3585" s="212"/>
    </row>
    <row r="3586" spans="2:5" x14ac:dyDescent="0.2">
      <c r="B3586" s="291"/>
      <c r="E3586" s="212"/>
    </row>
    <row r="3587" spans="2:5" x14ac:dyDescent="0.2">
      <c r="B3587" s="291"/>
      <c r="E3587" s="212"/>
    </row>
    <row r="3588" spans="2:5" x14ac:dyDescent="0.2">
      <c r="B3588" s="291"/>
      <c r="E3588" s="212"/>
    </row>
    <row r="3589" spans="2:5" x14ac:dyDescent="0.2">
      <c r="B3589" s="291"/>
      <c r="E3589" s="212"/>
    </row>
    <row r="3590" spans="2:5" x14ac:dyDescent="0.2">
      <c r="B3590" s="291"/>
      <c r="E3590" s="212"/>
    </row>
    <row r="3591" spans="2:5" x14ac:dyDescent="0.2">
      <c r="B3591" s="291"/>
      <c r="E3591" s="212"/>
    </row>
    <row r="3592" spans="2:5" x14ac:dyDescent="0.2">
      <c r="B3592" s="291"/>
      <c r="E3592" s="212"/>
    </row>
    <row r="3593" spans="2:5" x14ac:dyDescent="0.2">
      <c r="B3593" s="291"/>
      <c r="E3593" s="212"/>
    </row>
    <row r="3594" spans="2:5" x14ac:dyDescent="0.2">
      <c r="B3594" s="291"/>
      <c r="E3594" s="212"/>
    </row>
    <row r="3595" spans="2:5" x14ac:dyDescent="0.2">
      <c r="B3595" s="291"/>
      <c r="E3595" s="212"/>
    </row>
    <row r="3596" spans="2:5" x14ac:dyDescent="0.2">
      <c r="B3596" s="291"/>
      <c r="E3596" s="212"/>
    </row>
    <row r="3597" spans="2:5" x14ac:dyDescent="0.2">
      <c r="B3597" s="291"/>
      <c r="E3597" s="212"/>
    </row>
    <row r="3598" spans="2:5" x14ac:dyDescent="0.2">
      <c r="B3598" s="291"/>
      <c r="E3598" s="212"/>
    </row>
    <row r="3599" spans="2:5" x14ac:dyDescent="0.2">
      <c r="B3599" s="291"/>
      <c r="E3599" s="212"/>
    </row>
    <row r="3600" spans="2:5" x14ac:dyDescent="0.2">
      <c r="B3600" s="291"/>
      <c r="E3600" s="212"/>
    </row>
    <row r="3601" spans="2:5" x14ac:dyDescent="0.2">
      <c r="B3601" s="291"/>
      <c r="E3601" s="212"/>
    </row>
    <row r="3602" spans="2:5" x14ac:dyDescent="0.2">
      <c r="B3602" s="291"/>
      <c r="E3602" s="212"/>
    </row>
    <row r="3603" spans="2:5" x14ac:dyDescent="0.2">
      <c r="B3603" s="291"/>
      <c r="E3603" s="212"/>
    </row>
    <row r="3604" spans="2:5" x14ac:dyDescent="0.2">
      <c r="B3604" s="291"/>
      <c r="E3604" s="212"/>
    </row>
    <row r="3605" spans="2:5" x14ac:dyDescent="0.2">
      <c r="B3605" s="291"/>
      <c r="E3605" s="212"/>
    </row>
    <row r="3606" spans="2:5" x14ac:dyDescent="0.2">
      <c r="B3606" s="291"/>
      <c r="E3606" s="212"/>
    </row>
    <row r="3607" spans="2:5" x14ac:dyDescent="0.2">
      <c r="B3607" s="291"/>
      <c r="E3607" s="212"/>
    </row>
    <row r="3608" spans="2:5" x14ac:dyDescent="0.2">
      <c r="B3608" s="291"/>
      <c r="E3608" s="212"/>
    </row>
    <row r="3609" spans="2:5" x14ac:dyDescent="0.2">
      <c r="B3609" s="291"/>
      <c r="E3609" s="212"/>
    </row>
    <row r="3610" spans="2:5" x14ac:dyDescent="0.2">
      <c r="B3610" s="291"/>
      <c r="E3610" s="212"/>
    </row>
    <row r="3611" spans="2:5" x14ac:dyDescent="0.2">
      <c r="B3611" s="291"/>
      <c r="E3611" s="212"/>
    </row>
    <row r="3612" spans="2:5" x14ac:dyDescent="0.2">
      <c r="B3612" s="291"/>
      <c r="E3612" s="212"/>
    </row>
    <row r="3613" spans="2:5" x14ac:dyDescent="0.2">
      <c r="B3613" s="291"/>
      <c r="E3613" s="212"/>
    </row>
    <row r="3614" spans="2:5" x14ac:dyDescent="0.2">
      <c r="B3614" s="291"/>
      <c r="E3614" s="212"/>
    </row>
    <row r="3615" spans="2:5" x14ac:dyDescent="0.2">
      <c r="B3615" s="291"/>
      <c r="E3615" s="212"/>
    </row>
    <row r="3616" spans="2:5" x14ac:dyDescent="0.2">
      <c r="B3616" s="291"/>
      <c r="E3616" s="212"/>
    </row>
    <row r="3617" spans="2:5" x14ac:dyDescent="0.2">
      <c r="B3617" s="291"/>
      <c r="E3617" s="212"/>
    </row>
    <row r="3618" spans="2:5" x14ac:dyDescent="0.2">
      <c r="B3618" s="291"/>
      <c r="E3618" s="212"/>
    </row>
    <row r="3619" spans="2:5" x14ac:dyDescent="0.2">
      <c r="B3619" s="291"/>
      <c r="E3619" s="212"/>
    </row>
    <row r="3620" spans="2:5" x14ac:dyDescent="0.2">
      <c r="B3620" s="291"/>
      <c r="E3620" s="212"/>
    </row>
    <row r="3621" spans="2:5" x14ac:dyDescent="0.2">
      <c r="B3621" s="291"/>
      <c r="E3621" s="212"/>
    </row>
    <row r="3622" spans="2:5" x14ac:dyDescent="0.2">
      <c r="B3622" s="291"/>
      <c r="E3622" s="212"/>
    </row>
    <row r="3623" spans="2:5" x14ac:dyDescent="0.2">
      <c r="B3623" s="291"/>
      <c r="E3623" s="212"/>
    </row>
    <row r="3624" spans="2:5" x14ac:dyDescent="0.2">
      <c r="B3624" s="291"/>
      <c r="E3624" s="212"/>
    </row>
    <row r="3625" spans="2:5" x14ac:dyDescent="0.2">
      <c r="B3625" s="291"/>
      <c r="E3625" s="212"/>
    </row>
    <row r="3626" spans="2:5" x14ac:dyDescent="0.2">
      <c r="B3626" s="291"/>
      <c r="E3626" s="212"/>
    </row>
    <row r="3627" spans="2:5" x14ac:dyDescent="0.2">
      <c r="B3627" s="291"/>
      <c r="E3627" s="212"/>
    </row>
    <row r="3628" spans="2:5" x14ac:dyDescent="0.2">
      <c r="B3628" s="291"/>
      <c r="E3628" s="212"/>
    </row>
    <row r="3629" spans="2:5" x14ac:dyDescent="0.2">
      <c r="B3629" s="291"/>
      <c r="E3629" s="212"/>
    </row>
    <row r="3630" spans="2:5" x14ac:dyDescent="0.2">
      <c r="B3630" s="291"/>
      <c r="E3630" s="212"/>
    </row>
    <row r="3631" spans="2:5" x14ac:dyDescent="0.2">
      <c r="B3631" s="291"/>
      <c r="E3631" s="212"/>
    </row>
    <row r="3632" spans="2:5" x14ac:dyDescent="0.2">
      <c r="B3632" s="291"/>
      <c r="E3632" s="212"/>
    </row>
    <row r="3633" spans="2:5" x14ac:dyDescent="0.2">
      <c r="B3633" s="291"/>
      <c r="E3633" s="212"/>
    </row>
    <row r="3634" spans="2:5" x14ac:dyDescent="0.2">
      <c r="B3634" s="291"/>
      <c r="E3634" s="212"/>
    </row>
    <row r="3635" spans="2:5" x14ac:dyDescent="0.2">
      <c r="B3635" s="291"/>
      <c r="E3635" s="212"/>
    </row>
    <row r="3636" spans="2:5" x14ac:dyDescent="0.2">
      <c r="B3636" s="291"/>
      <c r="E3636" s="212"/>
    </row>
    <row r="3637" spans="2:5" x14ac:dyDescent="0.2">
      <c r="B3637" s="291"/>
      <c r="E3637" s="212"/>
    </row>
    <row r="3638" spans="2:5" x14ac:dyDescent="0.2">
      <c r="B3638" s="291"/>
      <c r="E3638" s="212"/>
    </row>
    <row r="3639" spans="2:5" x14ac:dyDescent="0.2">
      <c r="B3639" s="291"/>
      <c r="E3639" s="212"/>
    </row>
    <row r="3640" spans="2:5" x14ac:dyDescent="0.2">
      <c r="B3640" s="291"/>
      <c r="E3640" s="212"/>
    </row>
    <row r="3641" spans="2:5" x14ac:dyDescent="0.2">
      <c r="B3641" s="291"/>
      <c r="E3641" s="212"/>
    </row>
    <row r="3642" spans="2:5" x14ac:dyDescent="0.2">
      <c r="B3642" s="291"/>
      <c r="E3642" s="212"/>
    </row>
    <row r="3643" spans="2:5" x14ac:dyDescent="0.2">
      <c r="B3643" s="291"/>
      <c r="E3643" s="212"/>
    </row>
    <row r="3644" spans="2:5" x14ac:dyDescent="0.2">
      <c r="B3644" s="291"/>
      <c r="E3644" s="212"/>
    </row>
    <row r="3645" spans="2:5" x14ac:dyDescent="0.2">
      <c r="B3645" s="291"/>
      <c r="E3645" s="212"/>
    </row>
    <row r="3646" spans="2:5" x14ac:dyDescent="0.2">
      <c r="B3646" s="291"/>
      <c r="E3646" s="212"/>
    </row>
    <row r="3647" spans="2:5" x14ac:dyDescent="0.2">
      <c r="B3647" s="291"/>
      <c r="E3647" s="212"/>
    </row>
    <row r="3648" spans="2:5" x14ac:dyDescent="0.2">
      <c r="B3648" s="291"/>
      <c r="E3648" s="212"/>
    </row>
    <row r="3649" spans="2:5" x14ac:dyDescent="0.2">
      <c r="B3649" s="291"/>
      <c r="E3649" s="212"/>
    </row>
    <row r="3650" spans="2:5" x14ac:dyDescent="0.2">
      <c r="B3650" s="291"/>
      <c r="E3650" s="212"/>
    </row>
    <row r="3651" spans="2:5" x14ac:dyDescent="0.2">
      <c r="B3651" s="291"/>
      <c r="E3651" s="212"/>
    </row>
    <row r="3652" spans="2:5" x14ac:dyDescent="0.2">
      <c r="B3652" s="291"/>
      <c r="E3652" s="212"/>
    </row>
    <row r="3653" spans="2:5" x14ac:dyDescent="0.2">
      <c r="B3653" s="291"/>
      <c r="E3653" s="212"/>
    </row>
    <row r="3654" spans="2:5" x14ac:dyDescent="0.2">
      <c r="B3654" s="291"/>
      <c r="E3654" s="212"/>
    </row>
    <row r="3655" spans="2:5" x14ac:dyDescent="0.2">
      <c r="B3655" s="291"/>
      <c r="E3655" s="212"/>
    </row>
    <row r="3656" spans="2:5" x14ac:dyDescent="0.2">
      <c r="B3656" s="291"/>
      <c r="E3656" s="212"/>
    </row>
    <row r="3657" spans="2:5" x14ac:dyDescent="0.2">
      <c r="B3657" s="291"/>
      <c r="E3657" s="212"/>
    </row>
    <row r="3658" spans="2:5" x14ac:dyDescent="0.2">
      <c r="B3658" s="291"/>
      <c r="E3658" s="212"/>
    </row>
    <row r="3659" spans="2:5" x14ac:dyDescent="0.2">
      <c r="B3659" s="291"/>
      <c r="E3659" s="212"/>
    </row>
    <row r="3660" spans="2:5" x14ac:dyDescent="0.2">
      <c r="B3660" s="291"/>
      <c r="E3660" s="212"/>
    </row>
    <row r="3661" spans="2:5" x14ac:dyDescent="0.2">
      <c r="B3661" s="291"/>
      <c r="E3661" s="212"/>
    </row>
    <row r="3662" spans="2:5" x14ac:dyDescent="0.2">
      <c r="B3662" s="291"/>
      <c r="E3662" s="212"/>
    </row>
    <row r="3663" spans="2:5" x14ac:dyDescent="0.2">
      <c r="B3663" s="291"/>
      <c r="E3663" s="212"/>
    </row>
    <row r="3664" spans="2:5" x14ac:dyDescent="0.2">
      <c r="B3664" s="291"/>
      <c r="E3664" s="212"/>
    </row>
    <row r="3665" spans="2:5" x14ac:dyDescent="0.2">
      <c r="B3665" s="291"/>
      <c r="E3665" s="212"/>
    </row>
    <row r="3666" spans="2:5" x14ac:dyDescent="0.2">
      <c r="B3666" s="291"/>
      <c r="E3666" s="212"/>
    </row>
    <row r="3667" spans="2:5" x14ac:dyDescent="0.2">
      <c r="B3667" s="291"/>
      <c r="E3667" s="212"/>
    </row>
    <row r="3668" spans="2:5" x14ac:dyDescent="0.2">
      <c r="B3668" s="291"/>
      <c r="E3668" s="212"/>
    </row>
    <row r="3669" spans="2:5" x14ac:dyDescent="0.2">
      <c r="B3669" s="291"/>
      <c r="E3669" s="212"/>
    </row>
    <row r="3670" spans="2:5" x14ac:dyDescent="0.2">
      <c r="B3670" s="291"/>
      <c r="E3670" s="212"/>
    </row>
    <row r="3671" spans="2:5" x14ac:dyDescent="0.2">
      <c r="B3671" s="291"/>
      <c r="E3671" s="212"/>
    </row>
    <row r="3672" spans="2:5" x14ac:dyDescent="0.2">
      <c r="B3672" s="291"/>
      <c r="E3672" s="212"/>
    </row>
    <row r="3673" spans="2:5" x14ac:dyDescent="0.2">
      <c r="B3673" s="291"/>
      <c r="E3673" s="212"/>
    </row>
    <row r="3674" spans="2:5" x14ac:dyDescent="0.2">
      <c r="B3674" s="291"/>
      <c r="E3674" s="212"/>
    </row>
    <row r="3675" spans="2:5" x14ac:dyDescent="0.2">
      <c r="B3675" s="291"/>
      <c r="E3675" s="212"/>
    </row>
    <row r="3676" spans="2:5" x14ac:dyDescent="0.2">
      <c r="B3676" s="291"/>
      <c r="E3676" s="212"/>
    </row>
    <row r="3677" spans="2:5" x14ac:dyDescent="0.2">
      <c r="B3677" s="291"/>
      <c r="E3677" s="212"/>
    </row>
    <row r="3678" spans="2:5" x14ac:dyDescent="0.2">
      <c r="B3678" s="291"/>
      <c r="E3678" s="212"/>
    </row>
    <row r="3679" spans="2:5" x14ac:dyDescent="0.2">
      <c r="B3679" s="291"/>
      <c r="E3679" s="212"/>
    </row>
    <row r="3680" spans="2:5" x14ac:dyDescent="0.2">
      <c r="B3680" s="291"/>
      <c r="E3680" s="212"/>
    </row>
    <row r="3681" spans="2:5" x14ac:dyDescent="0.2">
      <c r="B3681" s="291"/>
      <c r="E3681" s="212"/>
    </row>
    <row r="3682" spans="2:5" x14ac:dyDescent="0.2">
      <c r="B3682" s="291"/>
      <c r="E3682" s="212"/>
    </row>
    <row r="3683" spans="2:5" x14ac:dyDescent="0.2">
      <c r="B3683" s="291"/>
      <c r="E3683" s="212"/>
    </row>
    <row r="3684" spans="2:5" x14ac:dyDescent="0.2">
      <c r="B3684" s="291"/>
      <c r="E3684" s="212"/>
    </row>
    <row r="3685" spans="2:5" x14ac:dyDescent="0.2">
      <c r="B3685" s="291"/>
      <c r="E3685" s="212"/>
    </row>
    <row r="3686" spans="2:5" x14ac:dyDescent="0.2">
      <c r="B3686" s="291"/>
      <c r="E3686" s="212"/>
    </row>
    <row r="3687" spans="2:5" x14ac:dyDescent="0.2">
      <c r="B3687" s="291"/>
      <c r="E3687" s="212"/>
    </row>
    <row r="3688" spans="2:5" x14ac:dyDescent="0.2">
      <c r="B3688" s="291"/>
      <c r="E3688" s="212"/>
    </row>
    <row r="3689" spans="2:5" x14ac:dyDescent="0.2">
      <c r="B3689" s="291"/>
      <c r="E3689" s="212"/>
    </row>
    <row r="3690" spans="2:5" x14ac:dyDescent="0.2">
      <c r="B3690" s="291"/>
      <c r="E3690" s="212"/>
    </row>
    <row r="3691" spans="2:5" x14ac:dyDescent="0.2">
      <c r="B3691" s="291"/>
      <c r="E3691" s="212"/>
    </row>
    <row r="3692" spans="2:5" x14ac:dyDescent="0.2">
      <c r="B3692" s="291"/>
      <c r="E3692" s="212"/>
    </row>
    <row r="3693" spans="2:5" x14ac:dyDescent="0.2">
      <c r="B3693" s="291"/>
      <c r="E3693" s="212"/>
    </row>
    <row r="3694" spans="2:5" x14ac:dyDescent="0.2">
      <c r="B3694" s="291"/>
      <c r="E3694" s="212"/>
    </row>
    <row r="3695" spans="2:5" x14ac:dyDescent="0.2">
      <c r="B3695" s="291"/>
      <c r="E3695" s="212"/>
    </row>
    <row r="3696" spans="2:5" x14ac:dyDescent="0.2">
      <c r="B3696" s="291"/>
      <c r="E3696" s="212"/>
    </row>
    <row r="3697" spans="2:5" x14ac:dyDescent="0.2">
      <c r="B3697" s="291"/>
      <c r="E3697" s="212"/>
    </row>
    <row r="3698" spans="2:5" x14ac:dyDescent="0.2">
      <c r="B3698" s="291"/>
      <c r="E3698" s="212"/>
    </row>
    <row r="3699" spans="2:5" x14ac:dyDescent="0.2">
      <c r="B3699" s="291"/>
      <c r="E3699" s="212"/>
    </row>
    <row r="3700" spans="2:5" x14ac:dyDescent="0.2">
      <c r="B3700" s="291"/>
      <c r="E3700" s="212"/>
    </row>
    <row r="3701" spans="2:5" x14ac:dyDescent="0.2">
      <c r="B3701" s="291"/>
      <c r="E3701" s="212"/>
    </row>
    <row r="3702" spans="2:5" x14ac:dyDescent="0.2">
      <c r="B3702" s="291"/>
      <c r="E3702" s="212"/>
    </row>
    <row r="3703" spans="2:5" x14ac:dyDescent="0.2">
      <c r="B3703" s="291"/>
      <c r="E3703" s="212"/>
    </row>
    <row r="3704" spans="2:5" x14ac:dyDescent="0.2">
      <c r="B3704" s="291"/>
      <c r="E3704" s="212"/>
    </row>
    <row r="3705" spans="2:5" x14ac:dyDescent="0.2">
      <c r="B3705" s="291"/>
      <c r="E3705" s="212"/>
    </row>
    <row r="3706" spans="2:5" x14ac:dyDescent="0.2">
      <c r="B3706" s="291"/>
      <c r="E3706" s="212"/>
    </row>
    <row r="3707" spans="2:5" x14ac:dyDescent="0.2">
      <c r="B3707" s="291"/>
      <c r="E3707" s="212"/>
    </row>
    <row r="3708" spans="2:5" x14ac:dyDescent="0.2">
      <c r="B3708" s="291"/>
      <c r="E3708" s="212"/>
    </row>
    <row r="3709" spans="2:5" x14ac:dyDescent="0.2">
      <c r="B3709" s="291"/>
      <c r="E3709" s="212"/>
    </row>
    <row r="3710" spans="2:5" x14ac:dyDescent="0.2">
      <c r="B3710" s="291"/>
      <c r="E3710" s="212"/>
    </row>
    <row r="3711" spans="2:5" x14ac:dyDescent="0.2">
      <c r="B3711" s="291"/>
      <c r="E3711" s="212"/>
    </row>
    <row r="3712" spans="2:5" x14ac:dyDescent="0.2">
      <c r="B3712" s="291"/>
      <c r="E3712" s="212"/>
    </row>
    <row r="3713" spans="2:5" x14ac:dyDescent="0.2">
      <c r="B3713" s="291"/>
      <c r="E3713" s="212"/>
    </row>
    <row r="3714" spans="2:5" x14ac:dyDescent="0.2">
      <c r="B3714" s="291"/>
      <c r="E3714" s="212"/>
    </row>
    <row r="3715" spans="2:5" x14ac:dyDescent="0.2">
      <c r="B3715" s="291"/>
      <c r="E3715" s="212"/>
    </row>
    <row r="3716" spans="2:5" x14ac:dyDescent="0.2">
      <c r="B3716" s="291"/>
      <c r="E3716" s="212"/>
    </row>
    <row r="3717" spans="2:5" x14ac:dyDescent="0.2">
      <c r="B3717" s="291"/>
      <c r="E3717" s="212"/>
    </row>
    <row r="3718" spans="2:5" x14ac:dyDescent="0.2">
      <c r="B3718" s="291"/>
      <c r="E3718" s="212"/>
    </row>
    <row r="3719" spans="2:5" x14ac:dyDescent="0.2">
      <c r="B3719" s="291"/>
      <c r="E3719" s="212"/>
    </row>
    <row r="3720" spans="2:5" x14ac:dyDescent="0.2">
      <c r="B3720" s="291"/>
      <c r="E3720" s="212"/>
    </row>
    <row r="3721" spans="2:5" x14ac:dyDescent="0.2">
      <c r="B3721" s="291"/>
      <c r="E3721" s="212"/>
    </row>
    <row r="3722" spans="2:5" x14ac:dyDescent="0.2">
      <c r="B3722" s="291"/>
      <c r="E3722" s="212"/>
    </row>
    <row r="3723" spans="2:5" x14ac:dyDescent="0.2">
      <c r="B3723" s="291"/>
      <c r="E3723" s="212"/>
    </row>
    <row r="3724" spans="2:5" x14ac:dyDescent="0.2">
      <c r="B3724" s="291"/>
      <c r="E3724" s="212"/>
    </row>
    <row r="3725" spans="2:5" x14ac:dyDescent="0.2">
      <c r="B3725" s="291"/>
      <c r="E3725" s="212"/>
    </row>
    <row r="3726" spans="2:5" x14ac:dyDescent="0.2">
      <c r="B3726" s="291"/>
      <c r="E3726" s="212"/>
    </row>
    <row r="3727" spans="2:5" x14ac:dyDescent="0.2">
      <c r="B3727" s="291"/>
      <c r="E3727" s="212"/>
    </row>
    <row r="3728" spans="2:5" x14ac:dyDescent="0.2">
      <c r="B3728" s="291"/>
      <c r="E3728" s="212"/>
    </row>
    <row r="3729" spans="2:5" x14ac:dyDescent="0.2">
      <c r="B3729" s="291"/>
      <c r="E3729" s="212"/>
    </row>
    <row r="3730" spans="2:5" x14ac:dyDescent="0.2">
      <c r="B3730" s="291"/>
      <c r="E3730" s="212"/>
    </row>
    <row r="3731" spans="2:5" x14ac:dyDescent="0.2">
      <c r="B3731" s="291"/>
      <c r="E3731" s="212"/>
    </row>
    <row r="3732" spans="2:5" x14ac:dyDescent="0.2">
      <c r="B3732" s="291"/>
      <c r="E3732" s="212"/>
    </row>
    <row r="3733" spans="2:5" x14ac:dyDescent="0.2">
      <c r="B3733" s="291"/>
      <c r="E3733" s="212"/>
    </row>
    <row r="3734" spans="2:5" x14ac:dyDescent="0.2">
      <c r="B3734" s="291"/>
      <c r="E3734" s="212"/>
    </row>
    <row r="3735" spans="2:5" x14ac:dyDescent="0.2">
      <c r="B3735" s="291"/>
      <c r="E3735" s="212"/>
    </row>
    <row r="3736" spans="2:5" x14ac:dyDescent="0.2">
      <c r="B3736" s="291"/>
      <c r="E3736" s="212"/>
    </row>
    <row r="3737" spans="2:5" x14ac:dyDescent="0.2">
      <c r="B3737" s="291"/>
      <c r="E3737" s="212"/>
    </row>
    <row r="3738" spans="2:5" x14ac:dyDescent="0.2">
      <c r="B3738" s="291"/>
      <c r="E3738" s="212"/>
    </row>
    <row r="3739" spans="2:5" x14ac:dyDescent="0.2">
      <c r="B3739" s="291"/>
      <c r="E3739" s="212"/>
    </row>
    <row r="3740" spans="2:5" x14ac:dyDescent="0.2">
      <c r="B3740" s="291"/>
      <c r="E3740" s="212"/>
    </row>
    <row r="3741" spans="2:5" x14ac:dyDescent="0.2">
      <c r="B3741" s="291"/>
      <c r="E3741" s="212"/>
    </row>
    <row r="3742" spans="2:5" x14ac:dyDescent="0.2">
      <c r="B3742" s="291"/>
      <c r="E3742" s="212"/>
    </row>
    <row r="3743" spans="2:5" x14ac:dyDescent="0.2">
      <c r="B3743" s="291"/>
      <c r="E3743" s="212"/>
    </row>
    <row r="3744" spans="2:5" x14ac:dyDescent="0.2">
      <c r="B3744" s="291"/>
      <c r="E3744" s="212"/>
    </row>
    <row r="3745" spans="2:5" x14ac:dyDescent="0.2">
      <c r="B3745" s="291"/>
      <c r="E3745" s="212"/>
    </row>
    <row r="3746" spans="2:5" x14ac:dyDescent="0.2">
      <c r="B3746" s="291"/>
      <c r="E3746" s="212"/>
    </row>
    <row r="3747" spans="2:5" x14ac:dyDescent="0.2">
      <c r="B3747" s="291"/>
      <c r="E3747" s="212"/>
    </row>
    <row r="3748" spans="2:5" x14ac:dyDescent="0.2">
      <c r="B3748" s="291"/>
      <c r="E3748" s="212"/>
    </row>
    <row r="3749" spans="2:5" x14ac:dyDescent="0.2">
      <c r="B3749" s="291"/>
      <c r="E3749" s="212"/>
    </row>
    <row r="3750" spans="2:5" x14ac:dyDescent="0.2">
      <c r="B3750" s="291"/>
      <c r="E3750" s="212"/>
    </row>
    <row r="3751" spans="2:5" x14ac:dyDescent="0.2">
      <c r="B3751" s="291"/>
      <c r="E3751" s="212"/>
    </row>
    <row r="3752" spans="2:5" x14ac:dyDescent="0.2">
      <c r="B3752" s="291"/>
      <c r="E3752" s="212"/>
    </row>
    <row r="3753" spans="2:5" x14ac:dyDescent="0.2">
      <c r="B3753" s="291"/>
      <c r="E3753" s="212"/>
    </row>
    <row r="3754" spans="2:5" x14ac:dyDescent="0.2">
      <c r="B3754" s="291"/>
      <c r="E3754" s="212"/>
    </row>
    <row r="3755" spans="2:5" x14ac:dyDescent="0.2">
      <c r="B3755" s="291"/>
      <c r="E3755" s="212"/>
    </row>
    <row r="3756" spans="2:5" x14ac:dyDescent="0.2">
      <c r="B3756" s="291"/>
      <c r="E3756" s="212"/>
    </row>
    <row r="3757" spans="2:5" x14ac:dyDescent="0.2">
      <c r="B3757" s="291"/>
      <c r="E3757" s="212"/>
    </row>
    <row r="3758" spans="2:5" x14ac:dyDescent="0.2">
      <c r="B3758" s="291"/>
      <c r="E3758" s="212"/>
    </row>
    <row r="3759" spans="2:5" x14ac:dyDescent="0.2">
      <c r="B3759" s="291"/>
      <c r="E3759" s="212"/>
    </row>
    <row r="3760" spans="2:5" x14ac:dyDescent="0.2">
      <c r="B3760" s="291"/>
      <c r="E3760" s="212"/>
    </row>
    <row r="3761" spans="2:5" x14ac:dyDescent="0.2">
      <c r="B3761" s="291"/>
      <c r="E3761" s="212"/>
    </row>
    <row r="3762" spans="2:5" x14ac:dyDescent="0.2">
      <c r="B3762" s="291"/>
      <c r="E3762" s="212"/>
    </row>
    <row r="3763" spans="2:5" x14ac:dyDescent="0.2">
      <c r="B3763" s="291"/>
      <c r="E3763" s="212"/>
    </row>
    <row r="3764" spans="2:5" x14ac:dyDescent="0.2">
      <c r="B3764" s="291"/>
      <c r="E3764" s="212"/>
    </row>
    <row r="3765" spans="2:5" x14ac:dyDescent="0.2">
      <c r="B3765" s="291"/>
      <c r="E3765" s="212"/>
    </row>
    <row r="3766" spans="2:5" x14ac:dyDescent="0.2">
      <c r="B3766" s="291"/>
      <c r="E3766" s="212"/>
    </row>
    <row r="3767" spans="2:5" x14ac:dyDescent="0.2">
      <c r="B3767" s="291"/>
      <c r="E3767" s="212"/>
    </row>
    <row r="3768" spans="2:5" x14ac:dyDescent="0.2">
      <c r="B3768" s="291"/>
      <c r="E3768" s="212"/>
    </row>
    <row r="3769" spans="2:5" x14ac:dyDescent="0.2">
      <c r="B3769" s="291"/>
      <c r="E3769" s="212"/>
    </row>
    <row r="3770" spans="2:5" x14ac:dyDescent="0.2">
      <c r="B3770" s="291"/>
      <c r="E3770" s="212"/>
    </row>
    <row r="3771" spans="2:5" x14ac:dyDescent="0.2">
      <c r="B3771" s="291"/>
      <c r="E3771" s="212"/>
    </row>
    <row r="3772" spans="2:5" x14ac:dyDescent="0.2">
      <c r="B3772" s="291"/>
      <c r="E3772" s="212"/>
    </row>
    <row r="3773" spans="2:5" x14ac:dyDescent="0.2">
      <c r="B3773" s="291"/>
      <c r="E3773" s="212"/>
    </row>
    <row r="3774" spans="2:5" x14ac:dyDescent="0.2">
      <c r="B3774" s="291"/>
      <c r="E3774" s="212"/>
    </row>
    <row r="3775" spans="2:5" x14ac:dyDescent="0.2">
      <c r="B3775" s="291"/>
      <c r="E3775" s="212"/>
    </row>
    <row r="3776" spans="2:5" x14ac:dyDescent="0.2">
      <c r="B3776" s="291"/>
      <c r="E3776" s="212"/>
    </row>
    <row r="3777" spans="2:5" x14ac:dyDescent="0.2">
      <c r="B3777" s="291"/>
      <c r="E3777" s="212"/>
    </row>
    <row r="3778" spans="2:5" x14ac:dyDescent="0.2">
      <c r="B3778" s="291"/>
      <c r="E3778" s="212"/>
    </row>
    <row r="3779" spans="2:5" x14ac:dyDescent="0.2">
      <c r="B3779" s="291"/>
      <c r="E3779" s="212"/>
    </row>
    <row r="3780" spans="2:5" x14ac:dyDescent="0.2">
      <c r="B3780" s="291"/>
      <c r="E3780" s="212"/>
    </row>
    <row r="3781" spans="2:5" x14ac:dyDescent="0.2">
      <c r="B3781" s="291"/>
      <c r="E3781" s="212"/>
    </row>
    <row r="3782" spans="2:5" x14ac:dyDescent="0.2">
      <c r="B3782" s="291"/>
      <c r="E3782" s="212"/>
    </row>
    <row r="3783" spans="2:5" x14ac:dyDescent="0.2">
      <c r="B3783" s="291"/>
      <c r="E3783" s="212"/>
    </row>
    <row r="3784" spans="2:5" x14ac:dyDescent="0.2">
      <c r="B3784" s="291"/>
      <c r="E3784" s="212"/>
    </row>
    <row r="3785" spans="2:5" x14ac:dyDescent="0.2">
      <c r="B3785" s="291"/>
      <c r="E3785" s="212"/>
    </row>
    <row r="3786" spans="2:5" x14ac:dyDescent="0.2">
      <c r="B3786" s="291"/>
      <c r="E3786" s="212"/>
    </row>
    <row r="3787" spans="2:5" x14ac:dyDescent="0.2">
      <c r="B3787" s="291"/>
      <c r="E3787" s="212"/>
    </row>
    <row r="3788" spans="2:5" x14ac:dyDescent="0.2">
      <c r="B3788" s="291"/>
      <c r="E3788" s="212"/>
    </row>
    <row r="3789" spans="2:5" x14ac:dyDescent="0.2">
      <c r="B3789" s="291"/>
      <c r="E3789" s="212"/>
    </row>
    <row r="3790" spans="2:5" x14ac:dyDescent="0.2">
      <c r="B3790" s="291"/>
      <c r="E3790" s="212"/>
    </row>
    <row r="3791" spans="2:5" x14ac:dyDescent="0.2">
      <c r="B3791" s="291"/>
      <c r="E3791" s="212"/>
    </row>
    <row r="3792" spans="2:5" x14ac:dyDescent="0.2">
      <c r="B3792" s="291"/>
      <c r="E3792" s="212"/>
    </row>
    <row r="3793" spans="2:5" x14ac:dyDescent="0.2">
      <c r="B3793" s="291"/>
      <c r="E3793" s="212"/>
    </row>
    <row r="3794" spans="2:5" x14ac:dyDescent="0.2">
      <c r="B3794" s="291"/>
      <c r="E3794" s="212"/>
    </row>
    <row r="3795" spans="2:5" x14ac:dyDescent="0.2">
      <c r="B3795" s="291"/>
      <c r="E3795" s="212"/>
    </row>
    <row r="3796" spans="2:5" x14ac:dyDescent="0.2">
      <c r="B3796" s="291"/>
      <c r="E3796" s="212"/>
    </row>
    <row r="3797" spans="2:5" x14ac:dyDescent="0.2">
      <c r="B3797" s="291"/>
      <c r="E3797" s="212"/>
    </row>
    <row r="3798" spans="2:5" x14ac:dyDescent="0.2">
      <c r="B3798" s="291"/>
      <c r="E3798" s="212"/>
    </row>
    <row r="3799" spans="2:5" x14ac:dyDescent="0.2">
      <c r="B3799" s="291"/>
      <c r="E3799" s="212"/>
    </row>
    <row r="3800" spans="2:5" x14ac:dyDescent="0.2">
      <c r="B3800" s="291"/>
      <c r="E3800" s="212"/>
    </row>
    <row r="3801" spans="2:5" x14ac:dyDescent="0.2">
      <c r="B3801" s="291"/>
      <c r="E3801" s="212"/>
    </row>
    <row r="3802" spans="2:5" x14ac:dyDescent="0.2">
      <c r="B3802" s="291"/>
      <c r="E3802" s="212"/>
    </row>
    <row r="3803" spans="2:5" x14ac:dyDescent="0.2">
      <c r="B3803" s="291"/>
      <c r="E3803" s="212"/>
    </row>
    <row r="3804" spans="2:5" x14ac:dyDescent="0.2">
      <c r="B3804" s="291"/>
      <c r="E3804" s="212"/>
    </row>
    <row r="3805" spans="2:5" x14ac:dyDescent="0.2">
      <c r="B3805" s="291"/>
      <c r="E3805" s="212"/>
    </row>
    <row r="3806" spans="2:5" x14ac:dyDescent="0.2">
      <c r="B3806" s="291"/>
      <c r="E3806" s="212"/>
    </row>
    <row r="3807" spans="2:5" x14ac:dyDescent="0.2">
      <c r="B3807" s="291"/>
      <c r="E3807" s="212"/>
    </row>
    <row r="3808" spans="2:5" x14ac:dyDescent="0.2">
      <c r="B3808" s="291"/>
      <c r="E3808" s="212"/>
    </row>
    <row r="3809" spans="2:5" x14ac:dyDescent="0.2">
      <c r="B3809" s="291"/>
      <c r="E3809" s="212"/>
    </row>
    <row r="3810" spans="2:5" x14ac:dyDescent="0.2">
      <c r="B3810" s="291"/>
      <c r="E3810" s="212"/>
    </row>
    <row r="3811" spans="2:5" x14ac:dyDescent="0.2">
      <c r="B3811" s="291"/>
      <c r="E3811" s="212"/>
    </row>
    <row r="3812" spans="2:5" x14ac:dyDescent="0.2">
      <c r="B3812" s="291"/>
      <c r="E3812" s="212"/>
    </row>
    <row r="3813" spans="2:5" x14ac:dyDescent="0.2">
      <c r="B3813" s="291"/>
      <c r="E3813" s="212"/>
    </row>
    <row r="3814" spans="2:5" x14ac:dyDescent="0.2">
      <c r="B3814" s="291"/>
      <c r="E3814" s="212"/>
    </row>
    <row r="3815" spans="2:5" x14ac:dyDescent="0.2">
      <c r="B3815" s="291"/>
      <c r="E3815" s="212"/>
    </row>
    <row r="3816" spans="2:5" x14ac:dyDescent="0.2">
      <c r="B3816" s="291"/>
      <c r="E3816" s="212"/>
    </row>
    <row r="3817" spans="2:5" x14ac:dyDescent="0.2">
      <c r="B3817" s="291"/>
      <c r="E3817" s="212"/>
    </row>
    <row r="3818" spans="2:5" x14ac:dyDescent="0.2">
      <c r="B3818" s="291"/>
      <c r="E3818" s="212"/>
    </row>
    <row r="3819" spans="2:5" x14ac:dyDescent="0.2">
      <c r="B3819" s="291"/>
      <c r="E3819" s="212"/>
    </row>
    <row r="3820" spans="2:5" x14ac:dyDescent="0.2">
      <c r="B3820" s="291"/>
      <c r="E3820" s="212"/>
    </row>
    <row r="3821" spans="2:5" x14ac:dyDescent="0.2">
      <c r="B3821" s="291"/>
      <c r="E3821" s="212"/>
    </row>
    <row r="3822" spans="2:5" x14ac:dyDescent="0.2">
      <c r="B3822" s="291"/>
      <c r="E3822" s="212"/>
    </row>
    <row r="3823" spans="2:5" x14ac:dyDescent="0.2">
      <c r="B3823" s="291"/>
      <c r="E3823" s="212"/>
    </row>
    <row r="3824" spans="2:5" x14ac:dyDescent="0.2">
      <c r="B3824" s="291"/>
      <c r="E3824" s="212"/>
    </row>
    <row r="3825" spans="2:5" x14ac:dyDescent="0.2">
      <c r="B3825" s="291"/>
      <c r="E3825" s="212"/>
    </row>
    <row r="3826" spans="2:5" x14ac:dyDescent="0.2">
      <c r="B3826" s="291"/>
      <c r="E3826" s="212"/>
    </row>
    <row r="3827" spans="2:5" x14ac:dyDescent="0.2">
      <c r="B3827" s="291"/>
      <c r="E3827" s="212"/>
    </row>
    <row r="3828" spans="2:5" x14ac:dyDescent="0.2">
      <c r="B3828" s="291"/>
      <c r="E3828" s="212"/>
    </row>
    <row r="3829" spans="2:5" x14ac:dyDescent="0.2">
      <c r="B3829" s="291"/>
      <c r="E3829" s="212"/>
    </row>
    <row r="3830" spans="2:5" x14ac:dyDescent="0.2">
      <c r="B3830" s="291"/>
      <c r="E3830" s="212"/>
    </row>
    <row r="3831" spans="2:5" x14ac:dyDescent="0.2">
      <c r="B3831" s="291"/>
      <c r="E3831" s="212"/>
    </row>
    <row r="3832" spans="2:5" x14ac:dyDescent="0.2">
      <c r="B3832" s="291"/>
      <c r="E3832" s="212"/>
    </row>
    <row r="3833" spans="2:5" x14ac:dyDescent="0.2">
      <c r="B3833" s="291"/>
      <c r="E3833" s="212"/>
    </row>
    <row r="3834" spans="2:5" x14ac:dyDescent="0.2">
      <c r="B3834" s="291"/>
      <c r="E3834" s="212"/>
    </row>
    <row r="3835" spans="2:5" x14ac:dyDescent="0.2">
      <c r="B3835" s="291"/>
      <c r="E3835" s="212"/>
    </row>
    <row r="3836" spans="2:5" x14ac:dyDescent="0.2">
      <c r="B3836" s="291"/>
      <c r="E3836" s="212"/>
    </row>
    <row r="3837" spans="2:5" x14ac:dyDescent="0.2">
      <c r="B3837" s="291"/>
      <c r="E3837" s="212"/>
    </row>
    <row r="3838" spans="2:5" x14ac:dyDescent="0.2">
      <c r="B3838" s="291"/>
      <c r="E3838" s="212"/>
    </row>
    <row r="3839" spans="2:5" x14ac:dyDescent="0.2">
      <c r="B3839" s="291"/>
      <c r="E3839" s="212"/>
    </row>
    <row r="3840" spans="2:5" x14ac:dyDescent="0.2">
      <c r="B3840" s="291"/>
      <c r="E3840" s="212"/>
    </row>
    <row r="3841" spans="2:5" x14ac:dyDescent="0.2">
      <c r="B3841" s="291"/>
      <c r="E3841" s="212"/>
    </row>
    <row r="3842" spans="2:5" x14ac:dyDescent="0.2">
      <c r="B3842" s="291"/>
      <c r="E3842" s="212"/>
    </row>
    <row r="3843" spans="2:5" x14ac:dyDescent="0.2">
      <c r="B3843" s="291"/>
      <c r="E3843" s="212"/>
    </row>
    <row r="3844" spans="2:5" x14ac:dyDescent="0.2">
      <c r="B3844" s="291"/>
      <c r="E3844" s="212"/>
    </row>
    <row r="3845" spans="2:5" x14ac:dyDescent="0.2">
      <c r="B3845" s="291"/>
      <c r="E3845" s="212"/>
    </row>
    <row r="3846" spans="2:5" x14ac:dyDescent="0.2">
      <c r="B3846" s="291"/>
      <c r="E3846" s="212"/>
    </row>
    <row r="3847" spans="2:5" x14ac:dyDescent="0.2">
      <c r="B3847" s="291"/>
      <c r="E3847" s="212"/>
    </row>
    <row r="3848" spans="2:5" x14ac:dyDescent="0.2">
      <c r="B3848" s="291"/>
      <c r="E3848" s="212"/>
    </row>
    <row r="3849" spans="2:5" x14ac:dyDescent="0.2">
      <c r="B3849" s="291"/>
      <c r="E3849" s="212"/>
    </row>
    <row r="3850" spans="2:5" x14ac:dyDescent="0.2">
      <c r="B3850" s="291"/>
      <c r="E3850" s="212"/>
    </row>
    <row r="3851" spans="2:5" x14ac:dyDescent="0.2">
      <c r="B3851" s="291"/>
      <c r="E3851" s="212"/>
    </row>
    <row r="3852" spans="2:5" x14ac:dyDescent="0.2">
      <c r="B3852" s="291"/>
      <c r="E3852" s="212"/>
    </row>
    <row r="3853" spans="2:5" x14ac:dyDescent="0.2">
      <c r="B3853" s="291"/>
      <c r="E3853" s="212"/>
    </row>
    <row r="3854" spans="2:5" x14ac:dyDescent="0.2">
      <c r="B3854" s="291"/>
      <c r="E3854" s="212"/>
    </row>
    <row r="3855" spans="2:5" x14ac:dyDescent="0.2">
      <c r="B3855" s="291"/>
      <c r="E3855" s="212"/>
    </row>
    <row r="3856" spans="2:5" x14ac:dyDescent="0.2">
      <c r="B3856" s="291"/>
      <c r="E3856" s="212"/>
    </row>
    <row r="3857" spans="2:5" x14ac:dyDescent="0.2">
      <c r="B3857" s="291"/>
      <c r="E3857" s="212"/>
    </row>
    <row r="3858" spans="2:5" x14ac:dyDescent="0.2">
      <c r="B3858" s="291"/>
      <c r="E3858" s="212"/>
    </row>
    <row r="3859" spans="2:5" x14ac:dyDescent="0.2">
      <c r="B3859" s="291"/>
      <c r="E3859" s="212"/>
    </row>
    <row r="3860" spans="2:5" x14ac:dyDescent="0.2">
      <c r="B3860" s="291"/>
      <c r="E3860" s="212"/>
    </row>
    <row r="3861" spans="2:5" x14ac:dyDescent="0.2">
      <c r="B3861" s="291"/>
      <c r="E3861" s="212"/>
    </row>
    <row r="3862" spans="2:5" x14ac:dyDescent="0.2">
      <c r="B3862" s="291"/>
      <c r="E3862" s="212"/>
    </row>
    <row r="3863" spans="2:5" x14ac:dyDescent="0.2">
      <c r="B3863" s="291"/>
      <c r="E3863" s="212"/>
    </row>
    <row r="3864" spans="2:5" x14ac:dyDescent="0.2">
      <c r="B3864" s="291"/>
      <c r="E3864" s="212"/>
    </row>
    <row r="3865" spans="2:5" x14ac:dyDescent="0.2">
      <c r="B3865" s="291"/>
      <c r="E3865" s="212"/>
    </row>
    <row r="3866" spans="2:5" x14ac:dyDescent="0.2">
      <c r="B3866" s="291"/>
      <c r="E3866" s="212"/>
    </row>
    <row r="3867" spans="2:5" x14ac:dyDescent="0.2">
      <c r="B3867" s="291"/>
      <c r="E3867" s="212"/>
    </row>
    <row r="3868" spans="2:5" x14ac:dyDescent="0.2">
      <c r="B3868" s="291"/>
      <c r="E3868" s="212"/>
    </row>
    <row r="3869" spans="2:5" x14ac:dyDescent="0.2">
      <c r="B3869" s="291"/>
      <c r="E3869" s="212"/>
    </row>
    <row r="3870" spans="2:5" x14ac:dyDescent="0.2">
      <c r="B3870" s="291"/>
      <c r="E3870" s="212"/>
    </row>
    <row r="3871" spans="2:5" x14ac:dyDescent="0.2">
      <c r="B3871" s="291"/>
      <c r="E3871" s="212"/>
    </row>
    <row r="3872" spans="2:5" x14ac:dyDescent="0.2">
      <c r="B3872" s="291"/>
      <c r="E3872" s="212"/>
    </row>
    <row r="3873" spans="2:5" x14ac:dyDescent="0.2">
      <c r="B3873" s="291"/>
      <c r="E3873" s="212"/>
    </row>
    <row r="3874" spans="2:5" x14ac:dyDescent="0.2">
      <c r="B3874" s="291"/>
      <c r="E3874" s="212"/>
    </row>
    <row r="3875" spans="2:5" x14ac:dyDescent="0.2">
      <c r="B3875" s="291"/>
      <c r="E3875" s="212"/>
    </row>
    <row r="3876" spans="2:5" x14ac:dyDescent="0.2">
      <c r="B3876" s="291"/>
      <c r="E3876" s="212"/>
    </row>
    <row r="3877" spans="2:5" x14ac:dyDescent="0.2">
      <c r="B3877" s="291"/>
      <c r="E3877" s="212"/>
    </row>
    <row r="3878" spans="2:5" x14ac:dyDescent="0.2">
      <c r="B3878" s="291"/>
      <c r="E3878" s="212"/>
    </row>
    <row r="3879" spans="2:5" x14ac:dyDescent="0.2">
      <c r="B3879" s="291"/>
      <c r="E3879" s="212"/>
    </row>
    <row r="3880" spans="2:5" x14ac:dyDescent="0.2">
      <c r="B3880" s="291"/>
      <c r="E3880" s="212"/>
    </row>
    <row r="3881" spans="2:5" x14ac:dyDescent="0.2">
      <c r="B3881" s="291"/>
      <c r="E3881" s="212"/>
    </row>
    <row r="3882" spans="2:5" x14ac:dyDescent="0.2">
      <c r="B3882" s="291"/>
      <c r="E3882" s="212"/>
    </row>
    <row r="3883" spans="2:5" x14ac:dyDescent="0.2">
      <c r="B3883" s="291"/>
      <c r="E3883" s="212"/>
    </row>
    <row r="3884" spans="2:5" x14ac:dyDescent="0.2">
      <c r="B3884" s="291"/>
      <c r="E3884" s="212"/>
    </row>
    <row r="3885" spans="2:5" x14ac:dyDescent="0.2">
      <c r="B3885" s="291"/>
      <c r="E3885" s="212"/>
    </row>
    <row r="3886" spans="2:5" x14ac:dyDescent="0.2">
      <c r="B3886" s="291"/>
      <c r="E3886" s="212"/>
    </row>
    <row r="3887" spans="2:5" x14ac:dyDescent="0.2">
      <c r="B3887" s="291"/>
      <c r="E3887" s="212"/>
    </row>
    <row r="3888" spans="2:5" x14ac:dyDescent="0.2">
      <c r="B3888" s="291"/>
      <c r="E3888" s="212"/>
    </row>
    <row r="3889" spans="2:5" x14ac:dyDescent="0.2">
      <c r="B3889" s="291"/>
      <c r="E3889" s="212"/>
    </row>
    <row r="3890" spans="2:5" x14ac:dyDescent="0.2">
      <c r="B3890" s="291"/>
      <c r="E3890" s="212"/>
    </row>
    <row r="3891" spans="2:5" x14ac:dyDescent="0.2">
      <c r="B3891" s="291"/>
      <c r="E3891" s="212"/>
    </row>
    <row r="3892" spans="2:5" x14ac:dyDescent="0.2">
      <c r="B3892" s="291"/>
      <c r="E3892" s="212"/>
    </row>
    <row r="3893" spans="2:5" x14ac:dyDescent="0.2">
      <c r="B3893" s="291"/>
      <c r="E3893" s="212"/>
    </row>
    <row r="3894" spans="2:5" x14ac:dyDescent="0.2">
      <c r="B3894" s="291"/>
      <c r="E3894" s="212"/>
    </row>
    <row r="3895" spans="2:5" x14ac:dyDescent="0.2">
      <c r="B3895" s="291"/>
      <c r="E3895" s="212"/>
    </row>
    <row r="3896" spans="2:5" x14ac:dyDescent="0.2">
      <c r="B3896" s="291"/>
      <c r="E3896" s="212"/>
    </row>
    <row r="3897" spans="2:5" x14ac:dyDescent="0.2">
      <c r="B3897" s="291"/>
      <c r="E3897" s="212"/>
    </row>
    <row r="3898" spans="2:5" x14ac:dyDescent="0.2">
      <c r="B3898" s="291"/>
      <c r="E3898" s="212"/>
    </row>
    <row r="3899" spans="2:5" x14ac:dyDescent="0.2">
      <c r="B3899" s="291"/>
      <c r="E3899" s="212"/>
    </row>
    <row r="3900" spans="2:5" x14ac:dyDescent="0.2">
      <c r="B3900" s="291"/>
      <c r="E3900" s="212"/>
    </row>
    <row r="3901" spans="2:5" x14ac:dyDescent="0.2">
      <c r="B3901" s="291"/>
      <c r="E3901" s="212"/>
    </row>
    <row r="3902" spans="2:5" x14ac:dyDescent="0.2">
      <c r="B3902" s="291"/>
      <c r="E3902" s="212"/>
    </row>
    <row r="3903" spans="2:5" x14ac:dyDescent="0.2">
      <c r="B3903" s="291"/>
      <c r="E3903" s="212"/>
    </row>
    <row r="3904" spans="2:5" x14ac:dyDescent="0.2">
      <c r="B3904" s="291"/>
      <c r="E3904" s="212"/>
    </row>
    <row r="3905" spans="2:5" x14ac:dyDescent="0.2">
      <c r="B3905" s="291"/>
      <c r="E3905" s="212"/>
    </row>
    <row r="3906" spans="2:5" x14ac:dyDescent="0.2">
      <c r="B3906" s="291"/>
      <c r="E3906" s="212"/>
    </row>
    <row r="3907" spans="2:5" x14ac:dyDescent="0.2">
      <c r="B3907" s="291"/>
      <c r="E3907" s="212"/>
    </row>
    <row r="3908" spans="2:5" x14ac:dyDescent="0.2">
      <c r="B3908" s="291"/>
      <c r="E3908" s="212"/>
    </row>
    <row r="3909" spans="2:5" x14ac:dyDescent="0.2">
      <c r="B3909" s="291"/>
      <c r="E3909" s="212"/>
    </row>
    <row r="3910" spans="2:5" x14ac:dyDescent="0.2">
      <c r="B3910" s="291"/>
      <c r="E3910" s="212"/>
    </row>
    <row r="3911" spans="2:5" x14ac:dyDescent="0.2">
      <c r="B3911" s="291"/>
      <c r="E3911" s="212"/>
    </row>
    <row r="3912" spans="2:5" x14ac:dyDescent="0.2">
      <c r="B3912" s="291"/>
      <c r="E3912" s="212"/>
    </row>
    <row r="3913" spans="2:5" x14ac:dyDescent="0.2">
      <c r="B3913" s="291"/>
      <c r="E3913" s="212"/>
    </row>
    <row r="3914" spans="2:5" x14ac:dyDescent="0.2">
      <c r="B3914" s="291"/>
      <c r="E3914" s="212"/>
    </row>
    <row r="3915" spans="2:5" x14ac:dyDescent="0.2">
      <c r="B3915" s="291"/>
      <c r="E3915" s="212"/>
    </row>
    <row r="3916" spans="2:5" x14ac:dyDescent="0.2">
      <c r="B3916" s="291"/>
      <c r="E3916" s="212"/>
    </row>
    <row r="3917" spans="2:5" x14ac:dyDescent="0.2">
      <c r="B3917" s="291"/>
      <c r="E3917" s="212"/>
    </row>
    <row r="3918" spans="2:5" x14ac:dyDescent="0.2">
      <c r="B3918" s="291"/>
      <c r="E3918" s="212"/>
    </row>
    <row r="3919" spans="2:5" x14ac:dyDescent="0.2">
      <c r="B3919" s="291"/>
      <c r="E3919" s="212"/>
    </row>
    <row r="3920" spans="2:5" x14ac:dyDescent="0.2">
      <c r="B3920" s="291"/>
      <c r="E3920" s="212"/>
    </row>
    <row r="3921" spans="2:5" x14ac:dyDescent="0.2">
      <c r="B3921" s="291"/>
      <c r="E3921" s="212"/>
    </row>
    <row r="3922" spans="2:5" x14ac:dyDescent="0.2">
      <c r="B3922" s="291"/>
      <c r="E3922" s="212"/>
    </row>
    <row r="3923" spans="2:5" x14ac:dyDescent="0.2">
      <c r="B3923" s="291"/>
      <c r="E3923" s="212"/>
    </row>
    <row r="3924" spans="2:5" x14ac:dyDescent="0.2">
      <c r="B3924" s="291"/>
      <c r="E3924" s="212"/>
    </row>
    <row r="3925" spans="2:5" x14ac:dyDescent="0.2">
      <c r="B3925" s="291"/>
      <c r="E3925" s="212"/>
    </row>
    <row r="3926" spans="2:5" x14ac:dyDescent="0.2">
      <c r="B3926" s="291"/>
      <c r="E3926" s="212"/>
    </row>
    <row r="3927" spans="2:5" x14ac:dyDescent="0.2">
      <c r="B3927" s="291"/>
      <c r="E3927" s="212"/>
    </row>
    <row r="3928" spans="2:5" x14ac:dyDescent="0.2">
      <c r="B3928" s="291"/>
      <c r="E3928" s="212"/>
    </row>
    <row r="3929" spans="2:5" x14ac:dyDescent="0.2">
      <c r="B3929" s="291"/>
      <c r="E3929" s="212"/>
    </row>
    <row r="3930" spans="2:5" x14ac:dyDescent="0.2">
      <c r="B3930" s="291"/>
      <c r="E3930" s="212"/>
    </row>
    <row r="3931" spans="2:5" x14ac:dyDescent="0.2">
      <c r="B3931" s="291"/>
      <c r="E3931" s="212"/>
    </row>
    <row r="3932" spans="2:5" x14ac:dyDescent="0.2">
      <c r="B3932" s="291"/>
      <c r="E3932" s="212"/>
    </row>
    <row r="3933" spans="2:5" x14ac:dyDescent="0.2">
      <c r="B3933" s="291"/>
      <c r="E3933" s="212"/>
    </row>
    <row r="3934" spans="2:5" x14ac:dyDescent="0.2">
      <c r="B3934" s="291"/>
      <c r="E3934" s="212"/>
    </row>
    <row r="3935" spans="2:5" x14ac:dyDescent="0.2">
      <c r="B3935" s="291"/>
      <c r="E3935" s="212"/>
    </row>
    <row r="3936" spans="2:5" x14ac:dyDescent="0.2">
      <c r="B3936" s="291"/>
      <c r="E3936" s="212"/>
    </row>
    <row r="3937" spans="2:5" x14ac:dyDescent="0.2">
      <c r="B3937" s="291"/>
      <c r="E3937" s="212"/>
    </row>
    <row r="3938" spans="2:5" x14ac:dyDescent="0.2">
      <c r="B3938" s="291"/>
      <c r="E3938" s="212"/>
    </row>
    <row r="3939" spans="2:5" x14ac:dyDescent="0.2">
      <c r="B3939" s="291"/>
      <c r="E3939" s="212"/>
    </row>
    <row r="3940" spans="2:5" x14ac:dyDescent="0.2">
      <c r="B3940" s="291"/>
      <c r="E3940" s="212"/>
    </row>
    <row r="3941" spans="2:5" x14ac:dyDescent="0.2">
      <c r="B3941" s="291"/>
      <c r="E3941" s="212"/>
    </row>
    <row r="3942" spans="2:5" x14ac:dyDescent="0.2">
      <c r="B3942" s="291"/>
      <c r="E3942" s="212"/>
    </row>
    <row r="3943" spans="2:5" x14ac:dyDescent="0.2">
      <c r="B3943" s="291"/>
      <c r="E3943" s="212"/>
    </row>
    <row r="3944" spans="2:5" x14ac:dyDescent="0.2">
      <c r="B3944" s="291"/>
      <c r="E3944" s="212"/>
    </row>
    <row r="3945" spans="2:5" x14ac:dyDescent="0.2">
      <c r="B3945" s="291"/>
      <c r="E3945" s="212"/>
    </row>
    <row r="3946" spans="2:5" x14ac:dyDescent="0.2">
      <c r="B3946" s="291"/>
      <c r="E3946" s="212"/>
    </row>
    <row r="3947" spans="2:5" x14ac:dyDescent="0.2">
      <c r="B3947" s="291"/>
      <c r="E3947" s="212"/>
    </row>
    <row r="3948" spans="2:5" x14ac:dyDescent="0.2">
      <c r="B3948" s="291"/>
      <c r="E3948" s="212"/>
    </row>
    <row r="3949" spans="2:5" x14ac:dyDescent="0.2">
      <c r="B3949" s="291"/>
      <c r="E3949" s="212"/>
    </row>
    <row r="3950" spans="2:5" x14ac:dyDescent="0.2">
      <c r="B3950" s="291"/>
      <c r="E3950" s="212"/>
    </row>
    <row r="3951" spans="2:5" x14ac:dyDescent="0.2">
      <c r="B3951" s="291"/>
      <c r="E3951" s="212"/>
    </row>
    <row r="3952" spans="2:5" x14ac:dyDescent="0.2">
      <c r="B3952" s="291"/>
      <c r="E3952" s="212"/>
    </row>
    <row r="3953" spans="2:5" x14ac:dyDescent="0.2">
      <c r="B3953" s="291"/>
      <c r="E3953" s="212"/>
    </row>
    <row r="3954" spans="2:5" x14ac:dyDescent="0.2">
      <c r="B3954" s="291"/>
      <c r="E3954" s="212"/>
    </row>
    <row r="3955" spans="2:5" x14ac:dyDescent="0.2">
      <c r="B3955" s="291"/>
      <c r="E3955" s="212"/>
    </row>
    <row r="3956" spans="2:5" x14ac:dyDescent="0.2">
      <c r="B3956" s="291"/>
      <c r="E3956" s="212"/>
    </row>
    <row r="3957" spans="2:5" x14ac:dyDescent="0.2">
      <c r="B3957" s="291"/>
      <c r="E3957" s="212"/>
    </row>
    <row r="3958" spans="2:5" x14ac:dyDescent="0.2">
      <c r="B3958" s="291"/>
      <c r="E3958" s="212"/>
    </row>
    <row r="3959" spans="2:5" x14ac:dyDescent="0.2">
      <c r="B3959" s="291"/>
      <c r="E3959" s="212"/>
    </row>
    <row r="3960" spans="2:5" x14ac:dyDescent="0.2">
      <c r="B3960" s="291"/>
      <c r="E3960" s="212"/>
    </row>
    <row r="3961" spans="2:5" x14ac:dyDescent="0.2">
      <c r="B3961" s="291"/>
      <c r="E3961" s="212"/>
    </row>
    <row r="3962" spans="2:5" x14ac:dyDescent="0.2">
      <c r="B3962" s="291"/>
      <c r="E3962" s="212"/>
    </row>
    <row r="3963" spans="2:5" x14ac:dyDescent="0.2">
      <c r="B3963" s="291"/>
      <c r="E3963" s="212"/>
    </row>
    <row r="3964" spans="2:5" x14ac:dyDescent="0.2">
      <c r="B3964" s="291"/>
      <c r="E3964" s="212"/>
    </row>
    <row r="3965" spans="2:5" x14ac:dyDescent="0.2">
      <c r="B3965" s="291"/>
      <c r="E3965" s="212"/>
    </row>
    <row r="3966" spans="2:5" x14ac:dyDescent="0.2">
      <c r="B3966" s="291"/>
      <c r="E3966" s="212"/>
    </row>
    <row r="3967" spans="2:5" x14ac:dyDescent="0.2">
      <c r="B3967" s="291"/>
      <c r="E3967" s="212"/>
    </row>
    <row r="3968" spans="2:5" x14ac:dyDescent="0.2">
      <c r="B3968" s="291"/>
      <c r="E3968" s="212"/>
    </row>
    <row r="3969" spans="2:5" x14ac:dyDescent="0.2">
      <c r="B3969" s="291"/>
      <c r="E3969" s="212"/>
    </row>
    <row r="3970" spans="2:5" x14ac:dyDescent="0.2">
      <c r="B3970" s="291"/>
      <c r="E3970" s="212"/>
    </row>
    <row r="3971" spans="2:5" x14ac:dyDescent="0.2">
      <c r="B3971" s="291"/>
      <c r="E3971" s="212"/>
    </row>
    <row r="3972" spans="2:5" x14ac:dyDescent="0.2">
      <c r="B3972" s="291"/>
      <c r="E3972" s="212"/>
    </row>
    <row r="3973" spans="2:5" x14ac:dyDescent="0.2">
      <c r="B3973" s="291"/>
      <c r="E3973" s="212"/>
    </row>
    <row r="3974" spans="2:5" x14ac:dyDescent="0.2">
      <c r="B3974" s="291"/>
      <c r="E3974" s="212"/>
    </row>
    <row r="3975" spans="2:5" x14ac:dyDescent="0.2">
      <c r="B3975" s="291"/>
      <c r="E3975" s="212"/>
    </row>
    <row r="3976" spans="2:5" x14ac:dyDescent="0.2">
      <c r="B3976" s="291"/>
      <c r="E3976" s="212"/>
    </row>
    <row r="3977" spans="2:5" x14ac:dyDescent="0.2">
      <c r="B3977" s="291"/>
      <c r="E3977" s="212"/>
    </row>
    <row r="3978" spans="2:5" x14ac:dyDescent="0.2">
      <c r="B3978" s="291"/>
      <c r="E3978" s="212"/>
    </row>
    <row r="3979" spans="2:5" x14ac:dyDescent="0.2">
      <c r="B3979" s="291"/>
      <c r="E3979" s="212"/>
    </row>
    <row r="3980" spans="2:5" x14ac:dyDescent="0.2">
      <c r="B3980" s="291"/>
      <c r="E3980" s="212"/>
    </row>
    <row r="3981" spans="2:5" x14ac:dyDescent="0.2">
      <c r="B3981" s="291"/>
      <c r="E3981" s="212"/>
    </row>
    <row r="3982" spans="2:5" x14ac:dyDescent="0.2">
      <c r="B3982" s="291"/>
      <c r="E3982" s="212"/>
    </row>
    <row r="3983" spans="2:5" x14ac:dyDescent="0.2">
      <c r="B3983" s="291"/>
      <c r="E3983" s="212"/>
    </row>
    <row r="3984" spans="2:5" x14ac:dyDescent="0.2">
      <c r="B3984" s="291"/>
      <c r="E3984" s="212"/>
    </row>
    <row r="3985" spans="2:5" x14ac:dyDescent="0.2">
      <c r="B3985" s="291"/>
      <c r="E3985" s="212"/>
    </row>
    <row r="3986" spans="2:5" x14ac:dyDescent="0.2">
      <c r="B3986" s="291"/>
      <c r="E3986" s="212"/>
    </row>
    <row r="3987" spans="2:5" x14ac:dyDescent="0.2">
      <c r="B3987" s="291"/>
      <c r="E3987" s="212"/>
    </row>
    <row r="3988" spans="2:5" x14ac:dyDescent="0.2">
      <c r="B3988" s="291"/>
      <c r="E3988" s="212"/>
    </row>
    <row r="3989" spans="2:5" x14ac:dyDescent="0.2">
      <c r="B3989" s="291"/>
      <c r="E3989" s="212"/>
    </row>
    <row r="3990" spans="2:5" x14ac:dyDescent="0.2">
      <c r="B3990" s="291"/>
      <c r="E3990" s="212"/>
    </row>
    <row r="3991" spans="2:5" x14ac:dyDescent="0.2">
      <c r="B3991" s="291"/>
      <c r="E3991" s="212"/>
    </row>
    <row r="3992" spans="2:5" x14ac:dyDescent="0.2">
      <c r="B3992" s="291"/>
      <c r="E3992" s="212"/>
    </row>
    <row r="3993" spans="2:5" x14ac:dyDescent="0.2">
      <c r="B3993" s="291"/>
      <c r="E3993" s="212"/>
    </row>
    <row r="3994" spans="2:5" x14ac:dyDescent="0.2">
      <c r="B3994" s="291"/>
      <c r="E3994" s="212"/>
    </row>
    <row r="3995" spans="2:5" x14ac:dyDescent="0.2">
      <c r="B3995" s="291"/>
      <c r="E3995" s="212"/>
    </row>
    <row r="3996" spans="2:5" x14ac:dyDescent="0.2">
      <c r="B3996" s="291"/>
      <c r="E3996" s="212"/>
    </row>
    <row r="3997" spans="2:5" x14ac:dyDescent="0.2">
      <c r="B3997" s="291"/>
      <c r="E3997" s="212"/>
    </row>
    <row r="3998" spans="2:5" x14ac:dyDescent="0.2">
      <c r="B3998" s="291"/>
      <c r="E3998" s="212"/>
    </row>
    <row r="3999" spans="2:5" x14ac:dyDescent="0.2">
      <c r="B3999" s="291"/>
      <c r="E3999" s="212"/>
    </row>
    <row r="4000" spans="2:5" x14ac:dyDescent="0.2">
      <c r="B4000" s="291"/>
      <c r="E4000" s="212"/>
    </row>
    <row r="4001" spans="2:5" x14ac:dyDescent="0.2">
      <c r="B4001" s="291"/>
      <c r="E4001" s="212"/>
    </row>
    <row r="4002" spans="2:5" x14ac:dyDescent="0.2">
      <c r="B4002" s="291"/>
      <c r="E4002" s="212"/>
    </row>
    <row r="4003" spans="2:5" x14ac:dyDescent="0.2">
      <c r="B4003" s="291"/>
      <c r="E4003" s="212"/>
    </row>
    <row r="4004" spans="2:5" x14ac:dyDescent="0.2">
      <c r="B4004" s="291"/>
      <c r="E4004" s="212"/>
    </row>
    <row r="4005" spans="2:5" x14ac:dyDescent="0.2">
      <c r="B4005" s="291"/>
      <c r="E4005" s="212"/>
    </row>
    <row r="4006" spans="2:5" x14ac:dyDescent="0.2">
      <c r="B4006" s="291"/>
      <c r="E4006" s="212"/>
    </row>
    <row r="4007" spans="2:5" x14ac:dyDescent="0.2">
      <c r="B4007" s="291"/>
      <c r="E4007" s="212"/>
    </row>
    <row r="4008" spans="2:5" x14ac:dyDescent="0.2">
      <c r="B4008" s="291"/>
      <c r="E4008" s="212"/>
    </row>
    <row r="4009" spans="2:5" x14ac:dyDescent="0.2">
      <c r="B4009" s="291"/>
      <c r="E4009" s="212"/>
    </row>
    <row r="4010" spans="2:5" x14ac:dyDescent="0.2">
      <c r="B4010" s="291"/>
      <c r="E4010" s="212"/>
    </row>
    <row r="4011" spans="2:5" x14ac:dyDescent="0.2">
      <c r="B4011" s="291"/>
      <c r="E4011" s="212"/>
    </row>
    <row r="4012" spans="2:5" x14ac:dyDescent="0.2">
      <c r="B4012" s="291"/>
      <c r="E4012" s="212"/>
    </row>
    <row r="4013" spans="2:5" x14ac:dyDescent="0.2">
      <c r="B4013" s="291"/>
      <c r="E4013" s="212"/>
    </row>
    <row r="4014" spans="2:5" x14ac:dyDescent="0.2">
      <c r="B4014" s="291"/>
      <c r="E4014" s="212"/>
    </row>
    <row r="4015" spans="2:5" x14ac:dyDescent="0.2">
      <c r="B4015" s="291"/>
      <c r="E4015" s="212"/>
    </row>
    <row r="4016" spans="2:5" x14ac:dyDescent="0.2">
      <c r="B4016" s="291"/>
      <c r="E4016" s="212"/>
    </row>
    <row r="4017" spans="2:5" x14ac:dyDescent="0.2">
      <c r="B4017" s="291"/>
      <c r="E4017" s="212"/>
    </row>
    <row r="4018" spans="2:5" x14ac:dyDescent="0.2">
      <c r="B4018" s="291"/>
      <c r="E4018" s="212"/>
    </row>
    <row r="4019" spans="2:5" x14ac:dyDescent="0.2">
      <c r="B4019" s="291"/>
      <c r="E4019" s="212"/>
    </row>
    <row r="4020" spans="2:5" x14ac:dyDescent="0.2">
      <c r="B4020" s="291"/>
      <c r="E4020" s="212"/>
    </row>
    <row r="4021" spans="2:5" x14ac:dyDescent="0.2">
      <c r="B4021" s="291"/>
      <c r="E4021" s="212"/>
    </row>
    <row r="4022" spans="2:5" x14ac:dyDescent="0.2">
      <c r="B4022" s="291"/>
      <c r="E4022" s="212"/>
    </row>
    <row r="4023" spans="2:5" x14ac:dyDescent="0.2">
      <c r="B4023" s="291"/>
      <c r="E4023" s="212"/>
    </row>
    <row r="4024" spans="2:5" x14ac:dyDescent="0.2">
      <c r="B4024" s="291"/>
      <c r="E4024" s="212"/>
    </row>
    <row r="4025" spans="2:5" x14ac:dyDescent="0.2">
      <c r="B4025" s="291"/>
      <c r="E4025" s="212"/>
    </row>
    <row r="4026" spans="2:5" x14ac:dyDescent="0.2">
      <c r="B4026" s="291"/>
      <c r="E4026" s="212"/>
    </row>
    <row r="4027" spans="2:5" x14ac:dyDescent="0.2">
      <c r="B4027" s="291"/>
      <c r="E4027" s="212"/>
    </row>
    <row r="4028" spans="2:5" x14ac:dyDescent="0.2">
      <c r="B4028" s="291"/>
      <c r="E4028" s="212"/>
    </row>
    <row r="4029" spans="2:5" x14ac:dyDescent="0.2">
      <c r="B4029" s="291"/>
      <c r="E4029" s="212"/>
    </row>
    <row r="4030" spans="2:5" x14ac:dyDescent="0.2">
      <c r="B4030" s="291"/>
      <c r="E4030" s="212"/>
    </row>
    <row r="4031" spans="2:5" x14ac:dyDescent="0.2">
      <c r="B4031" s="291"/>
      <c r="E4031" s="212"/>
    </row>
    <row r="4032" spans="2:5" x14ac:dyDescent="0.2">
      <c r="B4032" s="291"/>
      <c r="E4032" s="212"/>
    </row>
    <row r="4033" spans="2:5" x14ac:dyDescent="0.2">
      <c r="B4033" s="291"/>
      <c r="E4033" s="212"/>
    </row>
    <row r="4034" spans="2:5" x14ac:dyDescent="0.2">
      <c r="B4034" s="291"/>
      <c r="E4034" s="212"/>
    </row>
    <row r="4035" spans="2:5" x14ac:dyDescent="0.2">
      <c r="B4035" s="291"/>
      <c r="E4035" s="212"/>
    </row>
    <row r="4036" spans="2:5" x14ac:dyDescent="0.2">
      <c r="B4036" s="291"/>
      <c r="E4036" s="212"/>
    </row>
    <row r="4037" spans="2:5" x14ac:dyDescent="0.2">
      <c r="B4037" s="291"/>
      <c r="E4037" s="212"/>
    </row>
    <row r="4038" spans="2:5" x14ac:dyDescent="0.2">
      <c r="B4038" s="291"/>
      <c r="E4038" s="212"/>
    </row>
    <row r="4039" spans="2:5" x14ac:dyDescent="0.2">
      <c r="B4039" s="291"/>
      <c r="E4039" s="212"/>
    </row>
    <row r="4040" spans="2:5" x14ac:dyDescent="0.2">
      <c r="B4040" s="291"/>
      <c r="E4040" s="212"/>
    </row>
    <row r="4041" spans="2:5" x14ac:dyDescent="0.2">
      <c r="B4041" s="291"/>
      <c r="E4041" s="212"/>
    </row>
    <row r="4042" spans="2:5" x14ac:dyDescent="0.2">
      <c r="B4042" s="291"/>
      <c r="E4042" s="212"/>
    </row>
    <row r="4043" spans="2:5" x14ac:dyDescent="0.2">
      <c r="B4043" s="291"/>
      <c r="E4043" s="212"/>
    </row>
    <row r="4044" spans="2:5" x14ac:dyDescent="0.2">
      <c r="B4044" s="291"/>
      <c r="E4044" s="212"/>
    </row>
    <row r="4045" spans="2:5" x14ac:dyDescent="0.2">
      <c r="B4045" s="291"/>
      <c r="E4045" s="212"/>
    </row>
    <row r="4046" spans="2:5" x14ac:dyDescent="0.2">
      <c r="B4046" s="291"/>
      <c r="E4046" s="212"/>
    </row>
    <row r="4047" spans="2:5" x14ac:dyDescent="0.2">
      <c r="B4047" s="291"/>
      <c r="E4047" s="212"/>
    </row>
    <row r="4048" spans="2:5" x14ac:dyDescent="0.2">
      <c r="B4048" s="291"/>
      <c r="E4048" s="212"/>
    </row>
    <row r="4049" spans="2:5" x14ac:dyDescent="0.2">
      <c r="B4049" s="291"/>
      <c r="E4049" s="212"/>
    </row>
    <row r="4050" spans="2:5" x14ac:dyDescent="0.2">
      <c r="B4050" s="291"/>
      <c r="E4050" s="212"/>
    </row>
    <row r="4051" spans="2:5" x14ac:dyDescent="0.2">
      <c r="B4051" s="291"/>
      <c r="E4051" s="212"/>
    </row>
    <row r="4052" spans="2:5" x14ac:dyDescent="0.2">
      <c r="B4052" s="291"/>
      <c r="E4052" s="212"/>
    </row>
    <row r="4053" spans="2:5" x14ac:dyDescent="0.2">
      <c r="B4053" s="291"/>
      <c r="E4053" s="212"/>
    </row>
    <row r="4054" spans="2:5" x14ac:dyDescent="0.2">
      <c r="B4054" s="291"/>
      <c r="E4054" s="212"/>
    </row>
    <row r="4055" spans="2:5" x14ac:dyDescent="0.2">
      <c r="B4055" s="291"/>
      <c r="E4055" s="212"/>
    </row>
    <row r="4056" spans="2:5" x14ac:dyDescent="0.2">
      <c r="B4056" s="291"/>
      <c r="E4056" s="212"/>
    </row>
    <row r="4057" spans="2:5" x14ac:dyDescent="0.2">
      <c r="B4057" s="291"/>
      <c r="E4057" s="212"/>
    </row>
    <row r="4058" spans="2:5" x14ac:dyDescent="0.2">
      <c r="B4058" s="291"/>
      <c r="E4058" s="212"/>
    </row>
    <row r="4059" spans="2:5" x14ac:dyDescent="0.2">
      <c r="B4059" s="291"/>
      <c r="E4059" s="212"/>
    </row>
    <row r="4060" spans="2:5" x14ac:dyDescent="0.2">
      <c r="B4060" s="291"/>
      <c r="E4060" s="212"/>
    </row>
    <row r="4061" spans="2:5" x14ac:dyDescent="0.2">
      <c r="B4061" s="291"/>
      <c r="E4061" s="212"/>
    </row>
    <row r="4062" spans="2:5" x14ac:dyDescent="0.2">
      <c r="B4062" s="291"/>
      <c r="E4062" s="212"/>
    </row>
    <row r="4063" spans="2:5" x14ac:dyDescent="0.2">
      <c r="B4063" s="291"/>
      <c r="E4063" s="212"/>
    </row>
    <row r="4064" spans="2:5" x14ac:dyDescent="0.2">
      <c r="B4064" s="291"/>
      <c r="E4064" s="212"/>
    </row>
    <row r="4065" spans="2:5" x14ac:dyDescent="0.2">
      <c r="B4065" s="291"/>
      <c r="E4065" s="212"/>
    </row>
    <row r="4066" spans="2:5" x14ac:dyDescent="0.2">
      <c r="B4066" s="291"/>
      <c r="E4066" s="212"/>
    </row>
    <row r="4067" spans="2:5" x14ac:dyDescent="0.2">
      <c r="B4067" s="291"/>
      <c r="E4067" s="212"/>
    </row>
    <row r="4068" spans="2:5" x14ac:dyDescent="0.2">
      <c r="B4068" s="291"/>
      <c r="E4068" s="212"/>
    </row>
    <row r="4069" spans="2:5" x14ac:dyDescent="0.2">
      <c r="B4069" s="291"/>
      <c r="E4069" s="212"/>
    </row>
    <row r="4070" spans="2:5" x14ac:dyDescent="0.2">
      <c r="B4070" s="291"/>
      <c r="E4070" s="212"/>
    </row>
    <row r="4071" spans="2:5" x14ac:dyDescent="0.2">
      <c r="B4071" s="291"/>
      <c r="E4071" s="212"/>
    </row>
    <row r="4072" spans="2:5" x14ac:dyDescent="0.2">
      <c r="B4072" s="291"/>
      <c r="E4072" s="212"/>
    </row>
    <row r="4073" spans="2:5" x14ac:dyDescent="0.2">
      <c r="B4073" s="291"/>
      <c r="E4073" s="212"/>
    </row>
    <row r="4074" spans="2:5" x14ac:dyDescent="0.2">
      <c r="B4074" s="291"/>
      <c r="E4074" s="212"/>
    </row>
    <row r="4075" spans="2:5" x14ac:dyDescent="0.2">
      <c r="B4075" s="291"/>
      <c r="E4075" s="212"/>
    </row>
    <row r="4076" spans="2:5" x14ac:dyDescent="0.2">
      <c r="B4076" s="291"/>
      <c r="E4076" s="212"/>
    </row>
    <row r="4077" spans="2:5" x14ac:dyDescent="0.2">
      <c r="B4077" s="291"/>
      <c r="E4077" s="212"/>
    </row>
    <row r="4078" spans="2:5" x14ac:dyDescent="0.2">
      <c r="B4078" s="291"/>
      <c r="E4078" s="212"/>
    </row>
    <row r="4079" spans="2:5" x14ac:dyDescent="0.2">
      <c r="B4079" s="291"/>
      <c r="E4079" s="212"/>
    </row>
    <row r="4080" spans="2:5" x14ac:dyDescent="0.2">
      <c r="B4080" s="291"/>
      <c r="E4080" s="212"/>
    </row>
    <row r="4081" spans="2:5" x14ac:dyDescent="0.2">
      <c r="B4081" s="291"/>
      <c r="E4081" s="212"/>
    </row>
    <row r="4082" spans="2:5" x14ac:dyDescent="0.2">
      <c r="B4082" s="291"/>
      <c r="E4082" s="212"/>
    </row>
    <row r="4083" spans="2:5" x14ac:dyDescent="0.2">
      <c r="B4083" s="291"/>
      <c r="E4083" s="212"/>
    </row>
    <row r="4084" spans="2:5" x14ac:dyDescent="0.2">
      <c r="B4084" s="291"/>
      <c r="E4084" s="212"/>
    </row>
    <row r="4085" spans="2:5" x14ac:dyDescent="0.2">
      <c r="B4085" s="291"/>
      <c r="E4085" s="212"/>
    </row>
    <row r="4086" spans="2:5" x14ac:dyDescent="0.2">
      <c r="B4086" s="291"/>
      <c r="E4086" s="212"/>
    </row>
    <row r="4087" spans="2:5" x14ac:dyDescent="0.2">
      <c r="B4087" s="291"/>
      <c r="E4087" s="212"/>
    </row>
    <row r="4088" spans="2:5" x14ac:dyDescent="0.2">
      <c r="B4088" s="291"/>
      <c r="E4088" s="212"/>
    </row>
    <row r="4089" spans="2:5" x14ac:dyDescent="0.2">
      <c r="B4089" s="291"/>
      <c r="E4089" s="212"/>
    </row>
    <row r="4090" spans="2:5" x14ac:dyDescent="0.2">
      <c r="B4090" s="291"/>
      <c r="E4090" s="212"/>
    </row>
    <row r="4091" spans="2:5" x14ac:dyDescent="0.2">
      <c r="B4091" s="291"/>
      <c r="E4091" s="212"/>
    </row>
    <row r="4092" spans="2:5" x14ac:dyDescent="0.2">
      <c r="B4092" s="291"/>
      <c r="E4092" s="212"/>
    </row>
    <row r="4093" spans="2:5" x14ac:dyDescent="0.2">
      <c r="B4093" s="291"/>
      <c r="E4093" s="212"/>
    </row>
    <row r="4094" spans="2:5" x14ac:dyDescent="0.2">
      <c r="B4094" s="291"/>
      <c r="E4094" s="212"/>
    </row>
    <row r="4095" spans="2:5" x14ac:dyDescent="0.2">
      <c r="B4095" s="291"/>
      <c r="E4095" s="212"/>
    </row>
    <row r="4096" spans="2:5" x14ac:dyDescent="0.2">
      <c r="B4096" s="291"/>
      <c r="E4096" s="212"/>
    </row>
    <row r="4097" spans="2:5" x14ac:dyDescent="0.2">
      <c r="B4097" s="291"/>
      <c r="E4097" s="212"/>
    </row>
    <row r="4098" spans="2:5" x14ac:dyDescent="0.2">
      <c r="B4098" s="291"/>
      <c r="E4098" s="212"/>
    </row>
    <row r="4099" spans="2:5" x14ac:dyDescent="0.2">
      <c r="B4099" s="291"/>
      <c r="E4099" s="212"/>
    </row>
    <row r="4100" spans="2:5" x14ac:dyDescent="0.2">
      <c r="B4100" s="291"/>
      <c r="E4100" s="212"/>
    </row>
    <row r="4101" spans="2:5" x14ac:dyDescent="0.2">
      <c r="B4101" s="291"/>
      <c r="E4101" s="212"/>
    </row>
    <row r="4102" spans="2:5" x14ac:dyDescent="0.2">
      <c r="B4102" s="291"/>
      <c r="E4102" s="212"/>
    </row>
    <row r="4103" spans="2:5" x14ac:dyDescent="0.2">
      <c r="B4103" s="291"/>
      <c r="E4103" s="212"/>
    </row>
    <row r="4104" spans="2:5" x14ac:dyDescent="0.2">
      <c r="B4104" s="291"/>
      <c r="E4104" s="212"/>
    </row>
    <row r="4105" spans="2:5" x14ac:dyDescent="0.2">
      <c r="B4105" s="291"/>
      <c r="E4105" s="212"/>
    </row>
    <row r="4106" spans="2:5" x14ac:dyDescent="0.2">
      <c r="B4106" s="291"/>
      <c r="E4106" s="212"/>
    </row>
    <row r="4107" spans="2:5" x14ac:dyDescent="0.2">
      <c r="B4107" s="291"/>
      <c r="E4107" s="212"/>
    </row>
    <row r="4108" spans="2:5" x14ac:dyDescent="0.2">
      <c r="B4108" s="291"/>
      <c r="E4108" s="212"/>
    </row>
    <row r="4109" spans="2:5" x14ac:dyDescent="0.2">
      <c r="B4109" s="291"/>
      <c r="E4109" s="212"/>
    </row>
    <row r="4110" spans="2:5" x14ac:dyDescent="0.2">
      <c r="B4110" s="291"/>
      <c r="E4110" s="212"/>
    </row>
    <row r="4111" spans="2:5" x14ac:dyDescent="0.2">
      <c r="B4111" s="291"/>
      <c r="E4111" s="212"/>
    </row>
    <row r="4112" spans="2:5" x14ac:dyDescent="0.2">
      <c r="B4112" s="291"/>
      <c r="E4112" s="212"/>
    </row>
    <row r="4113" spans="2:5" x14ac:dyDescent="0.2">
      <c r="B4113" s="291"/>
      <c r="E4113" s="212"/>
    </row>
    <row r="4114" spans="2:5" x14ac:dyDescent="0.2">
      <c r="B4114" s="291"/>
      <c r="E4114" s="212"/>
    </row>
    <row r="4115" spans="2:5" x14ac:dyDescent="0.2">
      <c r="B4115" s="291"/>
      <c r="E4115" s="212"/>
    </row>
    <row r="4116" spans="2:5" x14ac:dyDescent="0.2">
      <c r="B4116" s="291"/>
      <c r="E4116" s="212"/>
    </row>
    <row r="4117" spans="2:5" x14ac:dyDescent="0.2">
      <c r="B4117" s="291"/>
      <c r="E4117" s="212"/>
    </row>
    <row r="4118" spans="2:5" x14ac:dyDescent="0.2">
      <c r="B4118" s="291"/>
      <c r="E4118" s="212"/>
    </row>
    <row r="4119" spans="2:5" x14ac:dyDescent="0.2">
      <c r="B4119" s="291"/>
      <c r="E4119" s="212"/>
    </row>
    <row r="4120" spans="2:5" x14ac:dyDescent="0.2">
      <c r="B4120" s="291"/>
      <c r="E4120" s="212"/>
    </row>
    <row r="4121" spans="2:5" x14ac:dyDescent="0.2">
      <c r="B4121" s="291"/>
      <c r="E4121" s="212"/>
    </row>
    <row r="4122" spans="2:5" x14ac:dyDescent="0.2">
      <c r="B4122" s="291"/>
      <c r="E4122" s="212"/>
    </row>
    <row r="4123" spans="2:5" x14ac:dyDescent="0.2">
      <c r="B4123" s="291"/>
      <c r="E4123" s="212"/>
    </row>
    <row r="4124" spans="2:5" x14ac:dyDescent="0.2">
      <c r="B4124" s="291"/>
      <c r="E4124" s="212"/>
    </row>
    <row r="4125" spans="2:5" x14ac:dyDescent="0.2">
      <c r="B4125" s="291"/>
      <c r="E4125" s="212"/>
    </row>
    <row r="4126" spans="2:5" x14ac:dyDescent="0.2">
      <c r="B4126" s="291"/>
      <c r="E4126" s="212"/>
    </row>
    <row r="4127" spans="2:5" x14ac:dyDescent="0.2">
      <c r="B4127" s="291"/>
      <c r="E4127" s="212"/>
    </row>
    <row r="4128" spans="2:5" x14ac:dyDescent="0.2">
      <c r="B4128" s="291"/>
      <c r="E4128" s="212"/>
    </row>
    <row r="4129" spans="2:5" x14ac:dyDescent="0.2">
      <c r="B4129" s="291"/>
      <c r="E4129" s="212"/>
    </row>
    <row r="4130" spans="2:5" x14ac:dyDescent="0.2">
      <c r="B4130" s="291"/>
      <c r="E4130" s="212"/>
    </row>
    <row r="4131" spans="2:5" x14ac:dyDescent="0.2">
      <c r="B4131" s="291"/>
      <c r="E4131" s="212"/>
    </row>
    <row r="4132" spans="2:5" x14ac:dyDescent="0.2">
      <c r="B4132" s="291"/>
      <c r="E4132" s="212"/>
    </row>
    <row r="4133" spans="2:5" x14ac:dyDescent="0.2">
      <c r="B4133" s="291"/>
      <c r="E4133" s="212"/>
    </row>
    <row r="4134" spans="2:5" x14ac:dyDescent="0.2">
      <c r="B4134" s="291"/>
      <c r="E4134" s="212"/>
    </row>
    <row r="4135" spans="2:5" x14ac:dyDescent="0.2">
      <c r="B4135" s="291"/>
      <c r="E4135" s="212"/>
    </row>
    <row r="4136" spans="2:5" x14ac:dyDescent="0.2">
      <c r="B4136" s="291"/>
      <c r="E4136" s="212"/>
    </row>
    <row r="4137" spans="2:5" x14ac:dyDescent="0.2">
      <c r="B4137" s="291"/>
      <c r="E4137" s="212"/>
    </row>
    <row r="4138" spans="2:5" x14ac:dyDescent="0.2">
      <c r="B4138" s="291"/>
      <c r="E4138" s="212"/>
    </row>
    <row r="4139" spans="2:5" x14ac:dyDescent="0.2">
      <c r="B4139" s="291"/>
      <c r="E4139" s="212"/>
    </row>
    <row r="4140" spans="2:5" x14ac:dyDescent="0.2">
      <c r="B4140" s="291"/>
      <c r="E4140" s="212"/>
    </row>
    <row r="4141" spans="2:5" x14ac:dyDescent="0.2">
      <c r="B4141" s="291"/>
      <c r="E4141" s="212"/>
    </row>
    <row r="4142" spans="2:5" x14ac:dyDescent="0.2">
      <c r="B4142" s="291"/>
      <c r="E4142" s="212"/>
    </row>
    <row r="4143" spans="2:5" x14ac:dyDescent="0.2">
      <c r="B4143" s="291"/>
      <c r="E4143" s="212"/>
    </row>
    <row r="4144" spans="2:5" x14ac:dyDescent="0.2">
      <c r="B4144" s="291"/>
      <c r="E4144" s="212"/>
    </row>
    <row r="4145" spans="2:5" x14ac:dyDescent="0.2">
      <c r="B4145" s="291"/>
      <c r="E4145" s="212"/>
    </row>
    <row r="4146" spans="2:5" x14ac:dyDescent="0.2">
      <c r="B4146" s="291"/>
      <c r="E4146" s="212"/>
    </row>
    <row r="4147" spans="2:5" x14ac:dyDescent="0.2">
      <c r="B4147" s="291"/>
      <c r="E4147" s="212"/>
    </row>
    <row r="4148" spans="2:5" x14ac:dyDescent="0.2">
      <c r="B4148" s="291"/>
      <c r="E4148" s="212"/>
    </row>
    <row r="4149" spans="2:5" x14ac:dyDescent="0.2">
      <c r="B4149" s="291"/>
      <c r="E4149" s="212"/>
    </row>
    <row r="4150" spans="2:5" x14ac:dyDescent="0.2">
      <c r="B4150" s="291"/>
      <c r="E4150" s="212"/>
    </row>
    <row r="4151" spans="2:5" x14ac:dyDescent="0.2">
      <c r="B4151" s="291"/>
      <c r="E4151" s="212"/>
    </row>
    <row r="4152" spans="2:5" x14ac:dyDescent="0.2">
      <c r="B4152" s="291"/>
      <c r="E4152" s="212"/>
    </row>
    <row r="4153" spans="2:5" x14ac:dyDescent="0.2">
      <c r="B4153" s="291"/>
      <c r="E4153" s="212"/>
    </row>
    <row r="4154" spans="2:5" x14ac:dyDescent="0.2">
      <c r="B4154" s="291"/>
      <c r="E4154" s="212"/>
    </row>
    <row r="4155" spans="2:5" x14ac:dyDescent="0.2">
      <c r="B4155" s="291"/>
      <c r="E4155" s="212"/>
    </row>
    <row r="4156" spans="2:5" x14ac:dyDescent="0.2">
      <c r="B4156" s="291"/>
      <c r="E4156" s="212"/>
    </row>
    <row r="4157" spans="2:5" x14ac:dyDescent="0.2">
      <c r="B4157" s="291"/>
      <c r="E4157" s="212"/>
    </row>
    <row r="4158" spans="2:5" x14ac:dyDescent="0.2">
      <c r="B4158" s="291"/>
      <c r="E4158" s="212"/>
    </row>
    <row r="4159" spans="2:5" x14ac:dyDescent="0.2">
      <c r="B4159" s="291"/>
      <c r="E4159" s="212"/>
    </row>
    <row r="4160" spans="2:5" x14ac:dyDescent="0.2">
      <c r="B4160" s="291"/>
      <c r="E4160" s="212"/>
    </row>
    <row r="4161" spans="2:5" x14ac:dyDescent="0.2">
      <c r="B4161" s="291"/>
      <c r="E4161" s="212"/>
    </row>
    <row r="4162" spans="2:5" x14ac:dyDescent="0.2">
      <c r="B4162" s="291"/>
      <c r="E4162" s="212"/>
    </row>
    <row r="4163" spans="2:5" x14ac:dyDescent="0.2">
      <c r="B4163" s="291"/>
      <c r="E4163" s="212"/>
    </row>
    <row r="4164" spans="2:5" x14ac:dyDescent="0.2">
      <c r="B4164" s="291"/>
      <c r="E4164" s="212"/>
    </row>
    <row r="4165" spans="2:5" x14ac:dyDescent="0.2">
      <c r="B4165" s="291"/>
      <c r="E4165" s="212"/>
    </row>
    <row r="4166" spans="2:5" x14ac:dyDescent="0.2">
      <c r="B4166" s="291"/>
      <c r="E4166" s="212"/>
    </row>
    <row r="4167" spans="2:5" x14ac:dyDescent="0.2">
      <c r="B4167" s="291"/>
      <c r="E4167" s="212"/>
    </row>
    <row r="4168" spans="2:5" x14ac:dyDescent="0.2">
      <c r="B4168" s="291"/>
      <c r="E4168" s="212"/>
    </row>
    <row r="4169" spans="2:5" x14ac:dyDescent="0.2">
      <c r="B4169" s="291"/>
      <c r="E4169" s="212"/>
    </row>
    <row r="4170" spans="2:5" x14ac:dyDescent="0.2">
      <c r="B4170" s="291"/>
      <c r="E4170" s="212"/>
    </row>
    <row r="4171" spans="2:5" x14ac:dyDescent="0.2">
      <c r="B4171" s="291"/>
      <c r="E4171" s="212"/>
    </row>
    <row r="4172" spans="2:5" x14ac:dyDescent="0.2">
      <c r="B4172" s="291"/>
      <c r="E4172" s="212"/>
    </row>
    <row r="4173" spans="2:5" x14ac:dyDescent="0.2">
      <c r="B4173" s="291"/>
      <c r="E4173" s="212"/>
    </row>
    <row r="4174" spans="2:5" x14ac:dyDescent="0.2">
      <c r="B4174" s="291"/>
      <c r="E4174" s="212"/>
    </row>
    <row r="4175" spans="2:5" x14ac:dyDescent="0.2">
      <c r="B4175" s="291"/>
      <c r="E4175" s="212"/>
    </row>
    <row r="4176" spans="2:5" x14ac:dyDescent="0.2">
      <c r="B4176" s="291"/>
      <c r="E4176" s="212"/>
    </row>
    <row r="4177" spans="2:5" x14ac:dyDescent="0.2">
      <c r="B4177" s="291"/>
      <c r="E4177" s="212"/>
    </row>
    <row r="4178" spans="2:5" x14ac:dyDescent="0.2">
      <c r="B4178" s="291"/>
      <c r="E4178" s="212"/>
    </row>
    <row r="4179" spans="2:5" x14ac:dyDescent="0.2">
      <c r="B4179" s="291"/>
      <c r="E4179" s="212"/>
    </row>
    <row r="4180" spans="2:5" x14ac:dyDescent="0.2">
      <c r="B4180" s="291"/>
      <c r="E4180" s="212"/>
    </row>
    <row r="4181" spans="2:5" x14ac:dyDescent="0.2">
      <c r="B4181" s="291"/>
      <c r="E4181" s="212"/>
    </row>
    <row r="4182" spans="2:5" x14ac:dyDescent="0.2">
      <c r="B4182" s="291"/>
      <c r="E4182" s="212"/>
    </row>
    <row r="4183" spans="2:5" x14ac:dyDescent="0.2">
      <c r="B4183" s="291"/>
      <c r="E4183" s="212"/>
    </row>
    <row r="4184" spans="2:5" x14ac:dyDescent="0.2">
      <c r="B4184" s="291"/>
      <c r="E4184" s="212"/>
    </row>
    <row r="4185" spans="2:5" x14ac:dyDescent="0.2">
      <c r="B4185" s="291"/>
      <c r="E4185" s="212"/>
    </row>
    <row r="4186" spans="2:5" x14ac:dyDescent="0.2">
      <c r="B4186" s="291"/>
      <c r="E4186" s="212"/>
    </row>
    <row r="4187" spans="2:5" x14ac:dyDescent="0.2">
      <c r="B4187" s="291"/>
      <c r="E4187" s="212"/>
    </row>
    <row r="4188" spans="2:5" x14ac:dyDescent="0.2">
      <c r="B4188" s="291"/>
      <c r="E4188" s="212"/>
    </row>
    <row r="4189" spans="2:5" x14ac:dyDescent="0.2">
      <c r="B4189" s="291"/>
      <c r="E4189" s="212"/>
    </row>
    <row r="4190" spans="2:5" x14ac:dyDescent="0.2">
      <c r="B4190" s="291"/>
      <c r="E4190" s="212"/>
    </row>
    <row r="4191" spans="2:5" x14ac:dyDescent="0.2">
      <c r="B4191" s="291"/>
      <c r="E4191" s="212"/>
    </row>
    <row r="4192" spans="2:5" x14ac:dyDescent="0.2">
      <c r="B4192" s="291"/>
      <c r="E4192" s="212"/>
    </row>
    <row r="4193" spans="2:5" x14ac:dyDescent="0.2">
      <c r="B4193" s="291"/>
      <c r="E4193" s="212"/>
    </row>
    <row r="4194" spans="2:5" x14ac:dyDescent="0.2">
      <c r="B4194" s="291"/>
      <c r="E4194" s="212"/>
    </row>
    <row r="4195" spans="2:5" x14ac:dyDescent="0.2">
      <c r="B4195" s="291"/>
      <c r="E4195" s="212"/>
    </row>
    <row r="4196" spans="2:5" x14ac:dyDescent="0.2">
      <c r="B4196" s="291"/>
      <c r="E4196" s="212"/>
    </row>
    <row r="4197" spans="2:5" x14ac:dyDescent="0.2">
      <c r="B4197" s="291"/>
      <c r="E4197" s="212"/>
    </row>
    <row r="4198" spans="2:5" x14ac:dyDescent="0.2">
      <c r="B4198" s="291"/>
      <c r="E4198" s="212"/>
    </row>
    <row r="4199" spans="2:5" x14ac:dyDescent="0.2">
      <c r="B4199" s="291"/>
      <c r="E4199" s="212"/>
    </row>
    <row r="4200" spans="2:5" x14ac:dyDescent="0.2">
      <c r="B4200" s="291"/>
      <c r="E4200" s="212"/>
    </row>
    <row r="4201" spans="2:5" x14ac:dyDescent="0.2">
      <c r="B4201" s="291"/>
      <c r="E4201" s="212"/>
    </row>
    <row r="4202" spans="2:5" x14ac:dyDescent="0.2">
      <c r="B4202" s="291"/>
      <c r="E4202" s="212"/>
    </row>
    <row r="4203" spans="2:5" x14ac:dyDescent="0.2">
      <c r="B4203" s="291"/>
      <c r="E4203" s="212"/>
    </row>
    <row r="4204" spans="2:5" x14ac:dyDescent="0.2">
      <c r="B4204" s="291"/>
      <c r="E4204" s="212"/>
    </row>
    <row r="4205" spans="2:5" x14ac:dyDescent="0.2">
      <c r="B4205" s="291"/>
      <c r="E4205" s="212"/>
    </row>
    <row r="4206" spans="2:5" x14ac:dyDescent="0.2">
      <c r="B4206" s="291"/>
      <c r="E4206" s="212"/>
    </row>
    <row r="4207" spans="2:5" x14ac:dyDescent="0.2">
      <c r="B4207" s="291"/>
      <c r="E4207" s="212"/>
    </row>
    <row r="4208" spans="2:5" x14ac:dyDescent="0.2">
      <c r="B4208" s="291"/>
      <c r="E4208" s="212"/>
    </row>
    <row r="4209" spans="2:5" x14ac:dyDescent="0.2">
      <c r="B4209" s="291"/>
      <c r="E4209" s="212"/>
    </row>
    <row r="4210" spans="2:5" x14ac:dyDescent="0.2">
      <c r="B4210" s="291"/>
      <c r="E4210" s="212"/>
    </row>
    <row r="4211" spans="2:5" x14ac:dyDescent="0.2">
      <c r="B4211" s="291"/>
      <c r="E4211" s="212"/>
    </row>
    <row r="4212" spans="2:5" x14ac:dyDescent="0.2">
      <c r="B4212" s="291"/>
      <c r="E4212" s="212"/>
    </row>
    <row r="4213" spans="2:5" x14ac:dyDescent="0.2">
      <c r="B4213" s="291"/>
      <c r="E4213" s="212"/>
    </row>
    <row r="4214" spans="2:5" x14ac:dyDescent="0.2">
      <c r="B4214" s="291"/>
      <c r="E4214" s="212"/>
    </row>
    <row r="4215" spans="2:5" x14ac:dyDescent="0.2">
      <c r="B4215" s="291"/>
      <c r="E4215" s="212"/>
    </row>
    <row r="4216" spans="2:5" x14ac:dyDescent="0.2">
      <c r="B4216" s="291"/>
      <c r="E4216" s="212"/>
    </row>
    <row r="4217" spans="2:5" x14ac:dyDescent="0.2">
      <c r="B4217" s="291"/>
      <c r="E4217" s="212"/>
    </row>
    <row r="4218" spans="2:5" x14ac:dyDescent="0.2">
      <c r="B4218" s="291"/>
      <c r="E4218" s="212"/>
    </row>
    <row r="4219" spans="2:5" x14ac:dyDescent="0.2">
      <c r="B4219" s="291"/>
      <c r="E4219" s="212"/>
    </row>
    <row r="4220" spans="2:5" x14ac:dyDescent="0.2">
      <c r="B4220" s="291"/>
      <c r="E4220" s="212"/>
    </row>
    <row r="4221" spans="2:5" x14ac:dyDescent="0.2">
      <c r="B4221" s="291"/>
      <c r="E4221" s="212"/>
    </row>
    <row r="4222" spans="2:5" x14ac:dyDescent="0.2">
      <c r="B4222" s="291"/>
      <c r="E4222" s="212"/>
    </row>
    <row r="4223" spans="2:5" x14ac:dyDescent="0.2">
      <c r="B4223" s="291"/>
      <c r="E4223" s="212"/>
    </row>
    <row r="4224" spans="2:5" x14ac:dyDescent="0.2">
      <c r="B4224" s="291"/>
      <c r="E4224" s="212"/>
    </row>
    <row r="4225" spans="2:5" x14ac:dyDescent="0.2">
      <c r="B4225" s="291"/>
      <c r="E4225" s="212"/>
    </row>
    <row r="4226" spans="2:5" x14ac:dyDescent="0.2">
      <c r="B4226" s="291"/>
      <c r="E4226" s="212"/>
    </row>
    <row r="4227" spans="2:5" x14ac:dyDescent="0.2">
      <c r="B4227" s="291"/>
      <c r="E4227" s="212"/>
    </row>
    <row r="4228" spans="2:5" x14ac:dyDescent="0.2">
      <c r="B4228" s="291"/>
      <c r="E4228" s="212"/>
    </row>
    <row r="4229" spans="2:5" x14ac:dyDescent="0.2">
      <c r="B4229" s="291"/>
      <c r="E4229" s="212"/>
    </row>
    <row r="4230" spans="2:5" x14ac:dyDescent="0.2">
      <c r="B4230" s="291"/>
      <c r="E4230" s="212"/>
    </row>
    <row r="4231" spans="2:5" x14ac:dyDescent="0.2">
      <c r="B4231" s="291"/>
      <c r="E4231" s="212"/>
    </row>
    <row r="4232" spans="2:5" x14ac:dyDescent="0.2">
      <c r="B4232" s="291"/>
      <c r="E4232" s="212"/>
    </row>
    <row r="4233" spans="2:5" x14ac:dyDescent="0.2">
      <c r="B4233" s="291"/>
      <c r="E4233" s="212"/>
    </row>
    <row r="4234" spans="2:5" x14ac:dyDescent="0.2">
      <c r="B4234" s="291"/>
      <c r="E4234" s="212"/>
    </row>
    <row r="4235" spans="2:5" x14ac:dyDescent="0.2">
      <c r="B4235" s="291"/>
      <c r="E4235" s="212"/>
    </row>
    <row r="4236" spans="2:5" x14ac:dyDescent="0.2">
      <c r="B4236" s="291"/>
      <c r="E4236" s="212"/>
    </row>
    <row r="4237" spans="2:5" x14ac:dyDescent="0.2">
      <c r="B4237" s="291"/>
      <c r="E4237" s="212"/>
    </row>
    <row r="4238" spans="2:5" x14ac:dyDescent="0.2">
      <c r="B4238" s="291"/>
      <c r="E4238" s="212"/>
    </row>
    <row r="4239" spans="2:5" x14ac:dyDescent="0.2">
      <c r="B4239" s="291"/>
      <c r="E4239" s="212"/>
    </row>
    <row r="4240" spans="2:5" x14ac:dyDescent="0.2">
      <c r="B4240" s="291"/>
      <c r="E4240" s="212"/>
    </row>
    <row r="4241" spans="2:5" x14ac:dyDescent="0.2">
      <c r="B4241" s="291"/>
      <c r="E4241" s="212"/>
    </row>
    <row r="4242" spans="2:5" x14ac:dyDescent="0.2">
      <c r="B4242" s="291"/>
      <c r="E4242" s="212"/>
    </row>
    <row r="4243" spans="2:5" x14ac:dyDescent="0.2">
      <c r="B4243" s="291"/>
      <c r="E4243" s="212"/>
    </row>
    <row r="4244" spans="2:5" x14ac:dyDescent="0.2">
      <c r="B4244" s="291"/>
      <c r="E4244" s="212"/>
    </row>
    <row r="4245" spans="2:5" x14ac:dyDescent="0.2">
      <c r="B4245" s="291"/>
      <c r="E4245" s="212"/>
    </row>
    <row r="4246" spans="2:5" x14ac:dyDescent="0.2">
      <c r="B4246" s="291"/>
      <c r="E4246" s="212"/>
    </row>
    <row r="4247" spans="2:5" x14ac:dyDescent="0.2">
      <c r="B4247" s="291"/>
      <c r="E4247" s="212"/>
    </row>
    <row r="4248" spans="2:5" x14ac:dyDescent="0.2">
      <c r="B4248" s="291"/>
      <c r="E4248" s="212"/>
    </row>
    <row r="4249" spans="2:5" x14ac:dyDescent="0.2">
      <c r="B4249" s="291"/>
      <c r="E4249" s="212"/>
    </row>
    <row r="4250" spans="2:5" x14ac:dyDescent="0.2">
      <c r="B4250" s="291"/>
      <c r="E4250" s="212"/>
    </row>
    <row r="4251" spans="2:5" x14ac:dyDescent="0.2">
      <c r="B4251" s="291"/>
      <c r="E4251" s="212"/>
    </row>
    <row r="4252" spans="2:5" x14ac:dyDescent="0.2">
      <c r="B4252" s="291"/>
      <c r="E4252" s="212"/>
    </row>
    <row r="4253" spans="2:5" x14ac:dyDescent="0.2">
      <c r="B4253" s="291"/>
      <c r="E4253" s="212"/>
    </row>
    <row r="4254" spans="2:5" x14ac:dyDescent="0.2">
      <c r="B4254" s="291"/>
      <c r="E4254" s="212"/>
    </row>
    <row r="4255" spans="2:5" x14ac:dyDescent="0.2">
      <c r="B4255" s="291"/>
      <c r="E4255" s="212"/>
    </row>
    <row r="4256" spans="2:5" x14ac:dyDescent="0.2">
      <c r="B4256" s="291"/>
      <c r="E4256" s="212"/>
    </row>
    <row r="4257" spans="2:5" x14ac:dyDescent="0.2">
      <c r="B4257" s="291"/>
      <c r="E4257" s="212"/>
    </row>
    <row r="4258" spans="2:5" x14ac:dyDescent="0.2">
      <c r="B4258" s="291"/>
      <c r="E4258" s="212"/>
    </row>
    <row r="4259" spans="2:5" x14ac:dyDescent="0.2">
      <c r="B4259" s="291"/>
      <c r="E4259" s="212"/>
    </row>
    <row r="4260" spans="2:5" x14ac:dyDescent="0.2">
      <c r="B4260" s="291"/>
      <c r="E4260" s="212"/>
    </row>
    <row r="4261" spans="2:5" x14ac:dyDescent="0.2">
      <c r="B4261" s="291"/>
      <c r="E4261" s="212"/>
    </row>
    <row r="4262" spans="2:5" x14ac:dyDescent="0.2">
      <c r="B4262" s="291"/>
      <c r="E4262" s="212"/>
    </row>
    <row r="4263" spans="2:5" x14ac:dyDescent="0.2">
      <c r="B4263" s="291"/>
      <c r="E4263" s="212"/>
    </row>
    <row r="4264" spans="2:5" x14ac:dyDescent="0.2">
      <c r="B4264" s="291"/>
      <c r="E4264" s="212"/>
    </row>
    <row r="4265" spans="2:5" x14ac:dyDescent="0.2">
      <c r="B4265" s="291"/>
      <c r="E4265" s="212"/>
    </row>
    <row r="4266" spans="2:5" x14ac:dyDescent="0.2">
      <c r="B4266" s="291"/>
      <c r="E4266" s="212"/>
    </row>
    <row r="4267" spans="2:5" x14ac:dyDescent="0.2">
      <c r="B4267" s="291"/>
      <c r="E4267" s="212"/>
    </row>
    <row r="4268" spans="2:5" x14ac:dyDescent="0.2">
      <c r="B4268" s="291"/>
      <c r="E4268" s="212"/>
    </row>
    <row r="4269" spans="2:5" x14ac:dyDescent="0.2">
      <c r="B4269" s="291"/>
      <c r="E4269" s="212"/>
    </row>
    <row r="4270" spans="2:5" x14ac:dyDescent="0.2">
      <c r="B4270" s="291"/>
      <c r="E4270" s="212"/>
    </row>
    <row r="4271" spans="2:5" x14ac:dyDescent="0.2">
      <c r="B4271" s="291"/>
      <c r="E4271" s="212"/>
    </row>
    <row r="4272" spans="2:5" x14ac:dyDescent="0.2">
      <c r="B4272" s="291"/>
      <c r="E4272" s="212"/>
    </row>
    <row r="4273" spans="2:5" x14ac:dyDescent="0.2">
      <c r="B4273" s="291"/>
      <c r="E4273" s="212"/>
    </row>
    <row r="4274" spans="2:5" x14ac:dyDescent="0.2">
      <c r="B4274" s="291"/>
      <c r="E4274" s="212"/>
    </row>
    <row r="4275" spans="2:5" x14ac:dyDescent="0.2">
      <c r="B4275" s="291"/>
      <c r="E4275" s="212"/>
    </row>
    <row r="4276" spans="2:5" x14ac:dyDescent="0.2">
      <c r="B4276" s="291"/>
      <c r="E4276" s="212"/>
    </row>
    <row r="4277" spans="2:5" x14ac:dyDescent="0.2">
      <c r="B4277" s="291"/>
      <c r="E4277" s="212"/>
    </row>
    <row r="4278" spans="2:5" x14ac:dyDescent="0.2">
      <c r="B4278" s="291"/>
      <c r="E4278" s="212"/>
    </row>
    <row r="4279" spans="2:5" x14ac:dyDescent="0.2">
      <c r="B4279" s="291"/>
      <c r="E4279" s="212"/>
    </row>
    <row r="4280" spans="2:5" x14ac:dyDescent="0.2">
      <c r="B4280" s="291"/>
      <c r="E4280" s="212"/>
    </row>
    <row r="4281" spans="2:5" x14ac:dyDescent="0.2">
      <c r="B4281" s="291"/>
      <c r="E4281" s="212"/>
    </row>
    <row r="4282" spans="2:5" x14ac:dyDescent="0.2">
      <c r="B4282" s="291"/>
      <c r="E4282" s="212"/>
    </row>
    <row r="4283" spans="2:5" x14ac:dyDescent="0.2">
      <c r="B4283" s="291"/>
      <c r="E4283" s="212"/>
    </row>
    <row r="4284" spans="2:5" x14ac:dyDescent="0.2">
      <c r="B4284" s="291"/>
      <c r="E4284" s="212"/>
    </row>
    <row r="4285" spans="2:5" x14ac:dyDescent="0.2">
      <c r="B4285" s="291"/>
      <c r="E4285" s="212"/>
    </row>
    <row r="4286" spans="2:5" x14ac:dyDescent="0.2">
      <c r="B4286" s="291"/>
      <c r="E4286" s="212"/>
    </row>
    <row r="4287" spans="2:5" x14ac:dyDescent="0.2">
      <c r="B4287" s="291"/>
      <c r="E4287" s="212"/>
    </row>
    <row r="4288" spans="2:5" x14ac:dyDescent="0.2">
      <c r="B4288" s="291"/>
      <c r="E4288" s="212"/>
    </row>
    <row r="4289" spans="2:5" x14ac:dyDescent="0.2">
      <c r="B4289" s="291"/>
      <c r="E4289" s="212"/>
    </row>
    <row r="4290" spans="2:5" x14ac:dyDescent="0.2">
      <c r="B4290" s="291"/>
      <c r="E4290" s="212"/>
    </row>
    <row r="4291" spans="2:5" x14ac:dyDescent="0.2">
      <c r="B4291" s="291"/>
      <c r="E4291" s="212"/>
    </row>
    <row r="4292" spans="2:5" x14ac:dyDescent="0.2">
      <c r="B4292" s="291"/>
      <c r="E4292" s="212"/>
    </row>
    <row r="4293" spans="2:5" x14ac:dyDescent="0.2">
      <c r="B4293" s="291"/>
      <c r="E4293" s="212"/>
    </row>
    <row r="4294" spans="2:5" x14ac:dyDescent="0.2">
      <c r="B4294" s="291"/>
      <c r="E4294" s="212"/>
    </row>
    <row r="4295" spans="2:5" x14ac:dyDescent="0.2">
      <c r="B4295" s="291"/>
      <c r="E4295" s="212"/>
    </row>
    <row r="4296" spans="2:5" x14ac:dyDescent="0.2">
      <c r="B4296" s="291"/>
      <c r="E4296" s="212"/>
    </row>
    <row r="4297" spans="2:5" x14ac:dyDescent="0.2">
      <c r="B4297" s="291"/>
      <c r="E4297" s="212"/>
    </row>
    <row r="4298" spans="2:5" x14ac:dyDescent="0.2">
      <c r="B4298" s="291"/>
      <c r="E4298" s="212"/>
    </row>
    <row r="4299" spans="2:5" x14ac:dyDescent="0.2">
      <c r="B4299" s="291"/>
      <c r="E4299" s="212"/>
    </row>
    <row r="4300" spans="2:5" x14ac:dyDescent="0.2">
      <c r="B4300" s="291"/>
      <c r="E4300" s="212"/>
    </row>
    <row r="4301" spans="2:5" x14ac:dyDescent="0.2">
      <c r="B4301" s="291"/>
      <c r="E4301" s="212"/>
    </row>
    <row r="4302" spans="2:5" x14ac:dyDescent="0.2">
      <c r="B4302" s="291"/>
      <c r="E4302" s="212"/>
    </row>
    <row r="4303" spans="2:5" x14ac:dyDescent="0.2">
      <c r="B4303" s="291"/>
      <c r="E4303" s="212"/>
    </row>
    <row r="4304" spans="2:5" x14ac:dyDescent="0.2">
      <c r="B4304" s="291"/>
      <c r="E4304" s="212"/>
    </row>
    <row r="4305" spans="2:5" x14ac:dyDescent="0.2">
      <c r="B4305" s="291"/>
      <c r="E4305" s="212"/>
    </row>
    <row r="4306" spans="2:5" x14ac:dyDescent="0.2">
      <c r="B4306" s="291"/>
      <c r="E4306" s="212"/>
    </row>
    <row r="4307" spans="2:5" x14ac:dyDescent="0.2">
      <c r="B4307" s="291"/>
      <c r="E4307" s="212"/>
    </row>
    <row r="4308" spans="2:5" x14ac:dyDescent="0.2">
      <c r="B4308" s="291"/>
      <c r="E4308" s="212"/>
    </row>
    <row r="4309" spans="2:5" x14ac:dyDescent="0.2">
      <c r="B4309" s="291"/>
      <c r="E4309" s="212"/>
    </row>
    <row r="4310" spans="2:5" x14ac:dyDescent="0.2">
      <c r="B4310" s="291"/>
      <c r="E4310" s="212"/>
    </row>
    <row r="4311" spans="2:5" x14ac:dyDescent="0.2">
      <c r="B4311" s="291"/>
      <c r="E4311" s="212"/>
    </row>
    <row r="4312" spans="2:5" x14ac:dyDescent="0.2">
      <c r="B4312" s="291"/>
      <c r="E4312" s="212"/>
    </row>
    <row r="4313" spans="2:5" x14ac:dyDescent="0.2">
      <c r="B4313" s="291"/>
      <c r="E4313" s="212"/>
    </row>
    <row r="4314" spans="2:5" x14ac:dyDescent="0.2">
      <c r="B4314" s="291"/>
      <c r="E4314" s="212"/>
    </row>
    <row r="4315" spans="2:5" x14ac:dyDescent="0.2">
      <c r="B4315" s="291"/>
      <c r="E4315" s="212"/>
    </row>
    <row r="4316" spans="2:5" x14ac:dyDescent="0.2">
      <c r="B4316" s="291"/>
      <c r="E4316" s="212"/>
    </row>
    <row r="4317" spans="2:5" x14ac:dyDescent="0.2">
      <c r="B4317" s="291"/>
      <c r="E4317" s="212"/>
    </row>
    <row r="4318" spans="2:5" x14ac:dyDescent="0.2">
      <c r="B4318" s="291"/>
      <c r="E4318" s="212"/>
    </row>
    <row r="4319" spans="2:5" x14ac:dyDescent="0.2">
      <c r="B4319" s="291"/>
      <c r="E4319" s="212"/>
    </row>
    <row r="4320" spans="2:5" x14ac:dyDescent="0.2">
      <c r="B4320" s="291"/>
      <c r="E4320" s="212"/>
    </row>
    <row r="4321" spans="2:5" x14ac:dyDescent="0.2">
      <c r="B4321" s="291"/>
      <c r="E4321" s="212"/>
    </row>
    <row r="4322" spans="2:5" x14ac:dyDescent="0.2">
      <c r="B4322" s="291"/>
      <c r="E4322" s="212"/>
    </row>
    <row r="4323" spans="2:5" x14ac:dyDescent="0.2">
      <c r="B4323" s="291"/>
      <c r="E4323" s="212"/>
    </row>
    <row r="4324" spans="2:5" x14ac:dyDescent="0.2">
      <c r="B4324" s="291"/>
      <c r="E4324" s="212"/>
    </row>
    <row r="4325" spans="2:5" x14ac:dyDescent="0.2">
      <c r="B4325" s="291"/>
      <c r="E4325" s="212"/>
    </row>
    <row r="4326" spans="2:5" x14ac:dyDescent="0.2">
      <c r="B4326" s="291"/>
      <c r="E4326" s="212"/>
    </row>
    <row r="4327" spans="2:5" x14ac:dyDescent="0.2">
      <c r="B4327" s="291"/>
      <c r="E4327" s="212"/>
    </row>
    <row r="4328" spans="2:5" x14ac:dyDescent="0.2">
      <c r="B4328" s="291"/>
      <c r="E4328" s="212"/>
    </row>
    <row r="4329" spans="2:5" x14ac:dyDescent="0.2">
      <c r="B4329" s="291"/>
      <c r="E4329" s="212"/>
    </row>
    <row r="4330" spans="2:5" x14ac:dyDescent="0.2">
      <c r="B4330" s="291"/>
      <c r="E4330" s="212"/>
    </row>
    <row r="4331" spans="2:5" x14ac:dyDescent="0.2">
      <c r="B4331" s="291"/>
      <c r="E4331" s="212"/>
    </row>
    <row r="4332" spans="2:5" x14ac:dyDescent="0.2">
      <c r="B4332" s="291"/>
      <c r="E4332" s="212"/>
    </row>
    <row r="4333" spans="2:5" x14ac:dyDescent="0.2">
      <c r="B4333" s="291"/>
      <c r="E4333" s="212"/>
    </row>
    <row r="4334" spans="2:5" x14ac:dyDescent="0.2">
      <c r="B4334" s="291"/>
      <c r="E4334" s="212"/>
    </row>
    <row r="4335" spans="2:5" x14ac:dyDescent="0.2">
      <c r="B4335" s="291"/>
      <c r="E4335" s="212"/>
    </row>
    <row r="4336" spans="2:5" x14ac:dyDescent="0.2">
      <c r="B4336" s="291"/>
      <c r="E4336" s="212"/>
    </row>
    <row r="4337" spans="2:5" x14ac:dyDescent="0.2">
      <c r="B4337" s="291"/>
      <c r="E4337" s="212"/>
    </row>
    <row r="4338" spans="2:5" x14ac:dyDescent="0.2">
      <c r="B4338" s="291"/>
      <c r="E4338" s="212"/>
    </row>
    <row r="4339" spans="2:5" x14ac:dyDescent="0.2">
      <c r="B4339" s="291"/>
      <c r="E4339" s="212"/>
    </row>
    <row r="4340" spans="2:5" x14ac:dyDescent="0.2">
      <c r="B4340" s="291"/>
      <c r="E4340" s="212"/>
    </row>
    <row r="4341" spans="2:5" x14ac:dyDescent="0.2">
      <c r="B4341" s="291"/>
      <c r="E4341" s="212"/>
    </row>
    <row r="4342" spans="2:5" x14ac:dyDescent="0.2">
      <c r="B4342" s="291"/>
      <c r="E4342" s="212"/>
    </row>
    <row r="4343" spans="2:5" x14ac:dyDescent="0.2">
      <c r="B4343" s="291"/>
      <c r="E4343" s="212"/>
    </row>
    <row r="4344" spans="2:5" x14ac:dyDescent="0.2">
      <c r="B4344" s="291"/>
      <c r="E4344" s="212"/>
    </row>
    <row r="4345" spans="2:5" x14ac:dyDescent="0.2">
      <c r="B4345" s="291"/>
      <c r="E4345" s="212"/>
    </row>
    <row r="4346" spans="2:5" x14ac:dyDescent="0.2">
      <c r="B4346" s="291"/>
      <c r="E4346" s="212"/>
    </row>
    <row r="4347" spans="2:5" x14ac:dyDescent="0.2">
      <c r="B4347" s="291"/>
      <c r="E4347" s="212"/>
    </row>
    <row r="4348" spans="2:5" x14ac:dyDescent="0.2">
      <c r="B4348" s="291"/>
      <c r="E4348" s="212"/>
    </row>
    <row r="4349" spans="2:5" x14ac:dyDescent="0.2">
      <c r="B4349" s="291"/>
      <c r="E4349" s="212"/>
    </row>
    <row r="4350" spans="2:5" x14ac:dyDescent="0.2">
      <c r="B4350" s="291"/>
      <c r="E4350" s="212"/>
    </row>
    <row r="4351" spans="2:5" x14ac:dyDescent="0.2">
      <c r="B4351" s="291"/>
      <c r="E4351" s="212"/>
    </row>
    <row r="4352" spans="2:5" x14ac:dyDescent="0.2">
      <c r="B4352" s="291"/>
      <c r="E4352" s="212"/>
    </row>
    <row r="4353" spans="2:5" x14ac:dyDescent="0.2">
      <c r="B4353" s="291"/>
      <c r="E4353" s="212"/>
    </row>
    <row r="4354" spans="2:5" x14ac:dyDescent="0.2">
      <c r="B4354" s="291"/>
      <c r="E4354" s="212"/>
    </row>
    <row r="4355" spans="2:5" x14ac:dyDescent="0.2">
      <c r="B4355" s="291"/>
      <c r="E4355" s="212"/>
    </row>
    <row r="4356" spans="2:5" x14ac:dyDescent="0.2">
      <c r="B4356" s="291"/>
      <c r="E4356" s="212"/>
    </row>
    <row r="4357" spans="2:5" x14ac:dyDescent="0.2">
      <c r="B4357" s="291"/>
      <c r="E4357" s="212"/>
    </row>
    <row r="4358" spans="2:5" x14ac:dyDescent="0.2">
      <c r="B4358" s="291"/>
      <c r="E4358" s="212"/>
    </row>
    <row r="4359" spans="2:5" x14ac:dyDescent="0.2">
      <c r="B4359" s="291"/>
      <c r="E4359" s="212"/>
    </row>
    <row r="4360" spans="2:5" x14ac:dyDescent="0.2">
      <c r="B4360" s="291"/>
      <c r="E4360" s="212"/>
    </row>
    <row r="4361" spans="2:5" x14ac:dyDescent="0.2">
      <c r="B4361" s="291"/>
      <c r="E4361" s="212"/>
    </row>
    <row r="4362" spans="2:5" x14ac:dyDescent="0.2">
      <c r="B4362" s="291"/>
      <c r="E4362" s="212"/>
    </row>
    <row r="4363" spans="2:5" x14ac:dyDescent="0.2">
      <c r="B4363" s="291"/>
      <c r="E4363" s="212"/>
    </row>
    <row r="4364" spans="2:5" x14ac:dyDescent="0.2">
      <c r="B4364" s="291"/>
      <c r="E4364" s="212"/>
    </row>
    <row r="4365" spans="2:5" x14ac:dyDescent="0.2">
      <c r="B4365" s="291"/>
      <c r="E4365" s="212"/>
    </row>
    <row r="4366" spans="2:5" x14ac:dyDescent="0.2">
      <c r="B4366" s="291"/>
      <c r="E4366" s="212"/>
    </row>
    <row r="4367" spans="2:5" x14ac:dyDescent="0.2">
      <c r="B4367" s="291"/>
      <c r="E4367" s="212"/>
    </row>
    <row r="4368" spans="2:5" x14ac:dyDescent="0.2">
      <c r="B4368" s="291"/>
      <c r="E4368" s="212"/>
    </row>
    <row r="4369" spans="2:5" x14ac:dyDescent="0.2">
      <c r="B4369" s="291"/>
      <c r="E4369" s="212"/>
    </row>
    <row r="4370" spans="2:5" x14ac:dyDescent="0.2">
      <c r="B4370" s="291"/>
      <c r="E4370" s="212"/>
    </row>
    <row r="4371" spans="2:5" x14ac:dyDescent="0.2">
      <c r="B4371" s="291"/>
      <c r="E4371" s="212"/>
    </row>
    <row r="4372" spans="2:5" x14ac:dyDescent="0.2">
      <c r="B4372" s="291"/>
      <c r="E4372" s="212"/>
    </row>
    <row r="4373" spans="2:5" x14ac:dyDescent="0.2">
      <c r="B4373" s="291"/>
      <c r="E4373" s="212"/>
    </row>
    <row r="4374" spans="2:5" x14ac:dyDescent="0.2">
      <c r="B4374" s="291"/>
      <c r="E4374" s="212"/>
    </row>
    <row r="4375" spans="2:5" x14ac:dyDescent="0.2">
      <c r="B4375" s="291"/>
      <c r="E4375" s="212"/>
    </row>
    <row r="4376" spans="2:5" x14ac:dyDescent="0.2">
      <c r="B4376" s="291"/>
      <c r="E4376" s="212"/>
    </row>
    <row r="4377" spans="2:5" x14ac:dyDescent="0.2">
      <c r="B4377" s="291"/>
      <c r="E4377" s="212"/>
    </row>
    <row r="4378" spans="2:5" x14ac:dyDescent="0.2">
      <c r="B4378" s="291"/>
      <c r="E4378" s="212"/>
    </row>
    <row r="4379" spans="2:5" x14ac:dyDescent="0.2">
      <c r="B4379" s="291"/>
      <c r="E4379" s="212"/>
    </row>
    <row r="4380" spans="2:5" x14ac:dyDescent="0.2">
      <c r="B4380" s="291"/>
      <c r="E4380" s="212"/>
    </row>
    <row r="4381" spans="2:5" x14ac:dyDescent="0.2">
      <c r="B4381" s="291"/>
      <c r="E4381" s="212"/>
    </row>
    <row r="4382" spans="2:5" x14ac:dyDescent="0.2">
      <c r="B4382" s="291"/>
      <c r="E4382" s="212"/>
    </row>
    <row r="4383" spans="2:5" x14ac:dyDescent="0.2">
      <c r="B4383" s="291"/>
      <c r="E4383" s="212"/>
    </row>
    <row r="4384" spans="2:5" x14ac:dyDescent="0.2">
      <c r="B4384" s="291"/>
      <c r="E4384" s="212"/>
    </row>
    <row r="4385" spans="2:5" x14ac:dyDescent="0.2">
      <c r="B4385" s="291"/>
      <c r="E4385" s="212"/>
    </row>
    <row r="4386" spans="2:5" x14ac:dyDescent="0.2">
      <c r="B4386" s="291"/>
      <c r="E4386" s="212"/>
    </row>
    <row r="4387" spans="2:5" x14ac:dyDescent="0.2">
      <c r="B4387" s="291"/>
      <c r="E4387" s="212"/>
    </row>
    <row r="4388" spans="2:5" x14ac:dyDescent="0.2">
      <c r="B4388" s="291"/>
      <c r="E4388" s="212"/>
    </row>
    <row r="4389" spans="2:5" x14ac:dyDescent="0.2">
      <c r="B4389" s="291"/>
      <c r="E4389" s="212"/>
    </row>
    <row r="4390" spans="2:5" x14ac:dyDescent="0.2">
      <c r="B4390" s="291"/>
      <c r="E4390" s="212"/>
    </row>
    <row r="4391" spans="2:5" x14ac:dyDescent="0.2">
      <c r="B4391" s="291"/>
      <c r="E4391" s="212"/>
    </row>
    <row r="4392" spans="2:5" x14ac:dyDescent="0.2">
      <c r="B4392" s="291"/>
      <c r="E4392" s="212"/>
    </row>
    <row r="4393" spans="2:5" x14ac:dyDescent="0.2">
      <c r="B4393" s="291"/>
      <c r="E4393" s="212"/>
    </row>
    <row r="4394" spans="2:5" x14ac:dyDescent="0.2">
      <c r="B4394" s="291"/>
      <c r="E4394" s="212"/>
    </row>
    <row r="4395" spans="2:5" x14ac:dyDescent="0.2">
      <c r="B4395" s="291"/>
      <c r="E4395" s="212"/>
    </row>
    <row r="4396" spans="2:5" x14ac:dyDescent="0.2">
      <c r="B4396" s="291"/>
      <c r="E4396" s="212"/>
    </row>
    <row r="4397" spans="2:5" x14ac:dyDescent="0.2">
      <c r="B4397" s="291"/>
      <c r="E4397" s="212"/>
    </row>
    <row r="4398" spans="2:5" x14ac:dyDescent="0.2">
      <c r="B4398" s="291"/>
      <c r="E4398" s="212"/>
    </row>
    <row r="4399" spans="2:5" x14ac:dyDescent="0.2">
      <c r="B4399" s="291"/>
      <c r="E4399" s="212"/>
    </row>
    <row r="4400" spans="2:5" x14ac:dyDescent="0.2">
      <c r="B4400" s="291"/>
      <c r="E4400" s="212"/>
    </row>
    <row r="4401" spans="2:5" x14ac:dyDescent="0.2">
      <c r="B4401" s="291"/>
      <c r="E4401" s="212"/>
    </row>
    <row r="4402" spans="2:5" x14ac:dyDescent="0.2">
      <c r="B4402" s="291"/>
      <c r="E4402" s="212"/>
    </row>
    <row r="4403" spans="2:5" x14ac:dyDescent="0.2">
      <c r="B4403" s="291"/>
      <c r="E4403" s="212"/>
    </row>
    <row r="4404" spans="2:5" x14ac:dyDescent="0.2">
      <c r="B4404" s="291"/>
      <c r="E4404" s="212"/>
    </row>
    <row r="4405" spans="2:5" x14ac:dyDescent="0.2">
      <c r="B4405" s="291"/>
      <c r="E4405" s="212"/>
    </row>
    <row r="4406" spans="2:5" x14ac:dyDescent="0.2">
      <c r="B4406" s="291"/>
      <c r="E4406" s="212"/>
    </row>
    <row r="4407" spans="2:5" x14ac:dyDescent="0.2">
      <c r="B4407" s="291"/>
      <c r="E4407" s="212"/>
    </row>
    <row r="4408" spans="2:5" x14ac:dyDescent="0.2">
      <c r="B4408" s="291"/>
      <c r="E4408" s="212"/>
    </row>
    <row r="4409" spans="2:5" x14ac:dyDescent="0.2">
      <c r="B4409" s="291"/>
      <c r="E4409" s="212"/>
    </row>
    <row r="4410" spans="2:5" x14ac:dyDescent="0.2">
      <c r="B4410" s="291"/>
      <c r="E4410" s="212"/>
    </row>
    <row r="4411" spans="2:5" x14ac:dyDescent="0.2">
      <c r="B4411" s="291"/>
      <c r="E4411" s="212"/>
    </row>
    <row r="4412" spans="2:5" x14ac:dyDescent="0.2">
      <c r="B4412" s="291"/>
      <c r="E4412" s="212"/>
    </row>
    <row r="4413" spans="2:5" x14ac:dyDescent="0.2">
      <c r="B4413" s="291"/>
      <c r="E4413" s="212"/>
    </row>
    <row r="4414" spans="2:5" x14ac:dyDescent="0.2">
      <c r="B4414" s="291"/>
      <c r="E4414" s="212"/>
    </row>
    <row r="4415" spans="2:5" x14ac:dyDescent="0.2">
      <c r="B4415" s="291"/>
      <c r="E4415" s="212"/>
    </row>
    <row r="4416" spans="2:5" x14ac:dyDescent="0.2">
      <c r="B4416" s="291"/>
      <c r="E4416" s="212"/>
    </row>
    <row r="4417" spans="2:5" x14ac:dyDescent="0.2">
      <c r="B4417" s="291"/>
      <c r="E4417" s="212"/>
    </row>
    <row r="4418" spans="2:5" x14ac:dyDescent="0.2">
      <c r="B4418" s="291"/>
      <c r="E4418" s="212"/>
    </row>
    <row r="4419" spans="2:5" x14ac:dyDescent="0.2">
      <c r="B4419" s="291"/>
      <c r="E4419" s="212"/>
    </row>
    <row r="4420" spans="2:5" x14ac:dyDescent="0.2">
      <c r="B4420" s="291"/>
      <c r="E4420" s="212"/>
    </row>
    <row r="4421" spans="2:5" x14ac:dyDescent="0.2">
      <c r="B4421" s="291"/>
      <c r="E4421" s="212"/>
    </row>
    <row r="4422" spans="2:5" x14ac:dyDescent="0.2">
      <c r="B4422" s="291"/>
      <c r="E4422" s="212"/>
    </row>
    <row r="4423" spans="2:5" x14ac:dyDescent="0.2">
      <c r="B4423" s="291"/>
      <c r="E4423" s="212"/>
    </row>
    <row r="4424" spans="2:5" x14ac:dyDescent="0.2">
      <c r="B4424" s="291"/>
      <c r="E4424" s="212"/>
    </row>
    <row r="4425" spans="2:5" x14ac:dyDescent="0.2">
      <c r="B4425" s="291"/>
      <c r="E4425" s="212"/>
    </row>
    <row r="4426" spans="2:5" x14ac:dyDescent="0.2">
      <c r="B4426" s="291"/>
      <c r="E4426" s="212"/>
    </row>
    <row r="4427" spans="2:5" x14ac:dyDescent="0.2">
      <c r="B4427" s="291"/>
      <c r="E4427" s="212"/>
    </row>
    <row r="4428" spans="2:5" x14ac:dyDescent="0.2">
      <c r="B4428" s="291"/>
      <c r="E4428" s="212"/>
    </row>
    <row r="4429" spans="2:5" x14ac:dyDescent="0.2">
      <c r="B4429" s="291"/>
      <c r="E4429" s="212"/>
    </row>
    <row r="4430" spans="2:5" x14ac:dyDescent="0.2">
      <c r="B4430" s="291"/>
      <c r="E4430" s="212"/>
    </row>
    <row r="4431" spans="2:5" x14ac:dyDescent="0.2">
      <c r="B4431" s="291"/>
      <c r="E4431" s="212"/>
    </row>
    <row r="4432" spans="2:5" x14ac:dyDescent="0.2">
      <c r="B4432" s="291"/>
      <c r="E4432" s="212"/>
    </row>
    <row r="4433" spans="2:5" x14ac:dyDescent="0.2">
      <c r="B4433" s="291"/>
      <c r="E4433" s="212"/>
    </row>
    <row r="4434" spans="2:5" x14ac:dyDescent="0.2">
      <c r="B4434" s="291"/>
      <c r="E4434" s="212"/>
    </row>
    <row r="4435" spans="2:5" x14ac:dyDescent="0.2">
      <c r="B4435" s="291"/>
      <c r="E4435" s="212"/>
    </row>
    <row r="4436" spans="2:5" x14ac:dyDescent="0.2">
      <c r="B4436" s="291"/>
      <c r="E4436" s="212"/>
    </row>
    <row r="4437" spans="2:5" x14ac:dyDescent="0.2">
      <c r="B4437" s="291"/>
      <c r="E4437" s="212"/>
    </row>
    <row r="4438" spans="2:5" x14ac:dyDescent="0.2">
      <c r="B4438" s="291"/>
      <c r="E4438" s="212"/>
    </row>
    <row r="4439" spans="2:5" x14ac:dyDescent="0.2">
      <c r="B4439" s="291"/>
      <c r="E4439" s="212"/>
    </row>
    <row r="4440" spans="2:5" x14ac:dyDescent="0.2">
      <c r="B4440" s="291"/>
      <c r="E4440" s="212"/>
    </row>
    <row r="4441" spans="2:5" x14ac:dyDescent="0.2">
      <c r="B4441" s="291"/>
      <c r="E4441" s="212"/>
    </row>
    <row r="4442" spans="2:5" x14ac:dyDescent="0.2">
      <c r="B4442" s="291"/>
      <c r="E4442" s="212"/>
    </row>
    <row r="4443" spans="2:5" x14ac:dyDescent="0.2">
      <c r="B4443" s="291"/>
      <c r="E4443" s="212"/>
    </row>
    <row r="4444" spans="2:5" x14ac:dyDescent="0.2">
      <c r="B4444" s="291"/>
      <c r="E4444" s="212"/>
    </row>
    <row r="4445" spans="2:5" x14ac:dyDescent="0.2">
      <c r="B4445" s="291"/>
      <c r="E4445" s="212"/>
    </row>
    <row r="4446" spans="2:5" x14ac:dyDescent="0.2">
      <c r="B4446" s="291"/>
      <c r="E4446" s="212"/>
    </row>
    <row r="4447" spans="2:5" x14ac:dyDescent="0.2">
      <c r="B4447" s="291"/>
      <c r="E4447" s="212"/>
    </row>
    <row r="4448" spans="2:5" x14ac:dyDescent="0.2">
      <c r="B4448" s="291"/>
      <c r="E4448" s="212"/>
    </row>
    <row r="4449" spans="2:5" x14ac:dyDescent="0.2">
      <c r="B4449" s="291"/>
      <c r="E4449" s="212"/>
    </row>
    <row r="4450" spans="2:5" x14ac:dyDescent="0.2">
      <c r="B4450" s="291"/>
      <c r="E4450" s="212"/>
    </row>
    <row r="4451" spans="2:5" x14ac:dyDescent="0.2">
      <c r="B4451" s="291"/>
      <c r="E4451" s="212"/>
    </row>
    <row r="4452" spans="2:5" x14ac:dyDescent="0.2">
      <c r="B4452" s="291"/>
      <c r="E4452" s="212"/>
    </row>
    <row r="4453" spans="2:5" x14ac:dyDescent="0.2">
      <c r="B4453" s="291"/>
      <c r="E4453" s="212"/>
    </row>
    <row r="4454" spans="2:5" x14ac:dyDescent="0.2">
      <c r="B4454" s="291"/>
      <c r="E4454" s="212"/>
    </row>
    <row r="4455" spans="2:5" x14ac:dyDescent="0.2">
      <c r="B4455" s="291"/>
      <c r="E4455" s="212"/>
    </row>
    <row r="4456" spans="2:5" x14ac:dyDescent="0.2">
      <c r="B4456" s="291"/>
      <c r="E4456" s="212"/>
    </row>
    <row r="4457" spans="2:5" x14ac:dyDescent="0.2">
      <c r="B4457" s="291"/>
      <c r="E4457" s="212"/>
    </row>
    <row r="4458" spans="2:5" x14ac:dyDescent="0.2">
      <c r="B4458" s="291"/>
      <c r="E4458" s="212"/>
    </row>
    <row r="4459" spans="2:5" x14ac:dyDescent="0.2">
      <c r="B4459" s="291"/>
      <c r="E4459" s="212"/>
    </row>
    <row r="4460" spans="2:5" x14ac:dyDescent="0.2">
      <c r="B4460" s="291"/>
      <c r="E4460" s="212"/>
    </row>
    <row r="4461" spans="2:5" x14ac:dyDescent="0.2">
      <c r="B4461" s="291"/>
      <c r="E4461" s="212"/>
    </row>
    <row r="4462" spans="2:5" x14ac:dyDescent="0.2">
      <c r="B4462" s="291"/>
      <c r="E4462" s="212"/>
    </row>
    <row r="4463" spans="2:5" x14ac:dyDescent="0.2">
      <c r="B4463" s="291"/>
      <c r="E4463" s="212"/>
    </row>
    <row r="4464" spans="2:5" x14ac:dyDescent="0.2">
      <c r="B4464" s="291"/>
      <c r="E4464" s="212"/>
    </row>
    <row r="4465" spans="2:5" x14ac:dyDescent="0.2">
      <c r="B4465" s="291"/>
      <c r="E4465" s="212"/>
    </row>
    <row r="4466" spans="2:5" x14ac:dyDescent="0.2">
      <c r="B4466" s="291"/>
      <c r="E4466" s="212"/>
    </row>
    <row r="4467" spans="2:5" x14ac:dyDescent="0.2">
      <c r="B4467" s="291"/>
      <c r="E4467" s="212"/>
    </row>
    <row r="4468" spans="2:5" x14ac:dyDescent="0.2">
      <c r="B4468" s="291"/>
      <c r="E4468" s="212"/>
    </row>
    <row r="4469" spans="2:5" x14ac:dyDescent="0.2">
      <c r="B4469" s="291"/>
      <c r="E4469" s="212"/>
    </row>
    <row r="4470" spans="2:5" x14ac:dyDescent="0.2">
      <c r="B4470" s="291"/>
      <c r="E4470" s="212"/>
    </row>
    <row r="4471" spans="2:5" x14ac:dyDescent="0.2">
      <c r="B4471" s="291"/>
      <c r="E4471" s="212"/>
    </row>
    <row r="4472" spans="2:5" x14ac:dyDescent="0.2">
      <c r="B4472" s="291"/>
      <c r="E4472" s="212"/>
    </row>
    <row r="4473" spans="2:5" x14ac:dyDescent="0.2">
      <c r="B4473" s="291"/>
      <c r="E4473" s="212"/>
    </row>
    <row r="4474" spans="2:5" x14ac:dyDescent="0.2">
      <c r="B4474" s="291"/>
      <c r="E4474" s="212"/>
    </row>
    <row r="4475" spans="2:5" x14ac:dyDescent="0.2">
      <c r="B4475" s="291"/>
      <c r="E4475" s="212"/>
    </row>
    <row r="4476" spans="2:5" x14ac:dyDescent="0.2">
      <c r="B4476" s="291"/>
      <c r="E4476" s="212"/>
    </row>
    <row r="4477" spans="2:5" x14ac:dyDescent="0.2">
      <c r="B4477" s="291"/>
      <c r="E4477" s="212"/>
    </row>
    <row r="4478" spans="2:5" x14ac:dyDescent="0.2">
      <c r="B4478" s="291"/>
      <c r="E4478" s="212"/>
    </row>
    <row r="4479" spans="2:5" x14ac:dyDescent="0.2">
      <c r="B4479" s="291"/>
      <c r="E4479" s="212"/>
    </row>
    <row r="4480" spans="2:5" x14ac:dyDescent="0.2">
      <c r="B4480" s="291"/>
      <c r="E4480" s="212"/>
    </row>
    <row r="4481" spans="1:5" x14ac:dyDescent="0.2">
      <c r="B4481" s="291"/>
      <c r="E4481" s="212"/>
    </row>
    <row r="4482" spans="1:5" x14ac:dyDescent="0.2">
      <c r="B4482" s="291"/>
      <c r="E4482" s="212"/>
    </row>
    <row r="4483" spans="1:5" x14ac:dyDescent="0.2">
      <c r="B4483" s="291"/>
      <c r="E4483" s="212"/>
    </row>
    <row r="4484" spans="1:5" x14ac:dyDescent="0.2">
      <c r="B4484" s="291"/>
      <c r="E4484" s="212"/>
    </row>
    <row r="4485" spans="1:5" x14ac:dyDescent="0.2">
      <c r="B4485" s="291"/>
      <c r="E4485" s="212"/>
    </row>
    <row r="4486" spans="1:5" x14ac:dyDescent="0.2">
      <c r="A4486" t="s">
        <v>6963</v>
      </c>
      <c r="B4486" s="291">
        <v>1</v>
      </c>
      <c r="C4486" s="228">
        <v>3</v>
      </c>
    </row>
    <row r="4487" spans="1:5" x14ac:dyDescent="0.2">
      <c r="A4487" t="s">
        <v>6963</v>
      </c>
      <c r="B4487" s="291">
        <v>1</v>
      </c>
      <c r="C4487" s="228">
        <v>4</v>
      </c>
    </row>
    <row r="4488" spans="1:5" x14ac:dyDescent="0.2">
      <c r="A4488" t="s">
        <v>6963</v>
      </c>
      <c r="B4488" s="291">
        <v>1</v>
      </c>
      <c r="C4488" s="228">
        <v>5</v>
      </c>
    </row>
    <row r="4489" spans="1:5" x14ac:dyDescent="0.2">
      <c r="A4489" t="s">
        <v>6963</v>
      </c>
      <c r="B4489" s="291">
        <v>1</v>
      </c>
      <c r="C4489" s="228">
        <v>6</v>
      </c>
    </row>
    <row r="4490" spans="1:5" x14ac:dyDescent="0.2">
      <c r="A4490" t="s">
        <v>6963</v>
      </c>
      <c r="B4490" s="291">
        <v>1</v>
      </c>
      <c r="C4490" s="228" t="s">
        <v>2964</v>
      </c>
    </row>
    <row r="4491" spans="1:5" x14ac:dyDescent="0.2">
      <c r="A4491" t="s">
        <v>6963</v>
      </c>
      <c r="B4491" s="291">
        <v>1</v>
      </c>
      <c r="C4491" s="228">
        <v>7</v>
      </c>
    </row>
    <row r="4492" spans="1:5" x14ac:dyDescent="0.2">
      <c r="A4492" t="s">
        <v>6963</v>
      </c>
      <c r="B4492" s="291">
        <v>1</v>
      </c>
      <c r="C4492" s="228">
        <v>8</v>
      </c>
    </row>
    <row r="4493" spans="1:5" x14ac:dyDescent="0.2">
      <c r="A4493" t="s">
        <v>6963</v>
      </c>
      <c r="B4493" s="291">
        <v>1</v>
      </c>
      <c r="C4493" s="228">
        <v>9</v>
      </c>
    </row>
    <row r="4494" spans="1:5" x14ac:dyDescent="0.2">
      <c r="A4494" t="s">
        <v>6963</v>
      </c>
      <c r="B4494" s="291">
        <v>1</v>
      </c>
      <c r="C4494" s="228">
        <v>10</v>
      </c>
    </row>
    <row r="4495" spans="1:5" x14ac:dyDescent="0.2">
      <c r="A4495" t="s">
        <v>6963</v>
      </c>
      <c r="B4495" s="291">
        <v>1</v>
      </c>
      <c r="C4495" s="228">
        <v>11</v>
      </c>
    </row>
    <row r="4496" spans="1:5" x14ac:dyDescent="0.2">
      <c r="A4496" t="s">
        <v>6963</v>
      </c>
      <c r="B4496" s="291">
        <v>1</v>
      </c>
      <c r="C4496" s="228">
        <v>12</v>
      </c>
    </row>
    <row r="4497" spans="1:3" x14ac:dyDescent="0.2">
      <c r="A4497" t="s">
        <v>6963</v>
      </c>
      <c r="B4497" s="291">
        <v>1</v>
      </c>
      <c r="C4497" s="228">
        <v>13</v>
      </c>
    </row>
    <row r="4498" spans="1:3" x14ac:dyDescent="0.2">
      <c r="A4498" t="s">
        <v>6963</v>
      </c>
      <c r="B4498" s="291">
        <v>1</v>
      </c>
      <c r="C4498" s="228">
        <v>14</v>
      </c>
    </row>
    <row r="4499" spans="1:3" x14ac:dyDescent="0.2">
      <c r="A4499" t="s">
        <v>6963</v>
      </c>
      <c r="B4499" s="291">
        <v>1</v>
      </c>
      <c r="C4499" s="228">
        <v>15</v>
      </c>
    </row>
    <row r="4500" spans="1:3" x14ac:dyDescent="0.2">
      <c r="A4500" t="s">
        <v>6963</v>
      </c>
      <c r="B4500" s="291">
        <v>1</v>
      </c>
      <c r="C4500" s="228">
        <v>16</v>
      </c>
    </row>
    <row r="4501" spans="1:3" x14ac:dyDescent="0.2">
      <c r="A4501" t="s">
        <v>6963</v>
      </c>
      <c r="B4501" s="291">
        <v>1</v>
      </c>
      <c r="C4501" s="228">
        <v>17</v>
      </c>
    </row>
    <row r="4502" spans="1:3" x14ac:dyDescent="0.2">
      <c r="A4502" t="s">
        <v>6963</v>
      </c>
      <c r="B4502" s="291">
        <v>1</v>
      </c>
      <c r="C4502" s="228">
        <v>18</v>
      </c>
    </row>
    <row r="4503" spans="1:3" x14ac:dyDescent="0.2">
      <c r="A4503" t="s">
        <v>6963</v>
      </c>
      <c r="B4503" s="291">
        <v>1</v>
      </c>
      <c r="C4503" s="228">
        <v>19</v>
      </c>
    </row>
    <row r="4504" spans="1:3" x14ac:dyDescent="0.2">
      <c r="A4504" t="s">
        <v>6963</v>
      </c>
      <c r="B4504" s="291">
        <v>1</v>
      </c>
      <c r="C4504" s="228">
        <v>20</v>
      </c>
    </row>
    <row r="4505" spans="1:3" x14ac:dyDescent="0.2">
      <c r="A4505" t="s">
        <v>6963</v>
      </c>
      <c r="B4505" s="291">
        <v>1</v>
      </c>
      <c r="C4505" s="228">
        <v>21</v>
      </c>
    </row>
    <row r="4506" spans="1:3" x14ac:dyDescent="0.2">
      <c r="A4506" t="s">
        <v>6963</v>
      </c>
      <c r="B4506" s="291">
        <v>1</v>
      </c>
      <c r="C4506" s="228">
        <v>22</v>
      </c>
    </row>
    <row r="4507" spans="1:3" x14ac:dyDescent="0.2">
      <c r="A4507" t="s">
        <v>6963</v>
      </c>
      <c r="B4507" s="291">
        <v>1</v>
      </c>
      <c r="C4507" s="228">
        <v>23</v>
      </c>
    </row>
    <row r="4508" spans="1:3" x14ac:dyDescent="0.2">
      <c r="A4508" t="s">
        <v>6963</v>
      </c>
      <c r="B4508" s="291">
        <v>1</v>
      </c>
      <c r="C4508" s="228">
        <v>24</v>
      </c>
    </row>
    <row r="4509" spans="1:3" x14ac:dyDescent="0.2">
      <c r="A4509" t="s">
        <v>6963</v>
      </c>
      <c r="B4509" s="291">
        <v>1</v>
      </c>
      <c r="C4509" s="228">
        <v>25</v>
      </c>
    </row>
    <row r="4510" spans="1:3" x14ac:dyDescent="0.2">
      <c r="A4510" t="s">
        <v>6963</v>
      </c>
      <c r="B4510" s="291">
        <v>1</v>
      </c>
      <c r="C4510" s="228">
        <v>26</v>
      </c>
    </row>
    <row r="4511" spans="1:3" x14ac:dyDescent="0.2">
      <c r="A4511" t="s">
        <v>6963</v>
      </c>
      <c r="B4511" s="291">
        <v>1</v>
      </c>
      <c r="C4511" s="228">
        <v>27</v>
      </c>
    </row>
    <row r="4512" spans="1:3" x14ac:dyDescent="0.2">
      <c r="A4512" t="s">
        <v>6963</v>
      </c>
      <c r="B4512" s="291">
        <v>1</v>
      </c>
      <c r="C4512" s="228">
        <v>28</v>
      </c>
    </row>
    <row r="4513" spans="1:3" x14ac:dyDescent="0.2">
      <c r="A4513" t="s">
        <v>6963</v>
      </c>
      <c r="B4513" s="291">
        <v>1</v>
      </c>
      <c r="C4513" s="228">
        <v>29</v>
      </c>
    </row>
    <row r="4514" spans="1:3" x14ac:dyDescent="0.2">
      <c r="A4514" t="s">
        <v>6963</v>
      </c>
      <c r="B4514" s="291">
        <v>1</v>
      </c>
      <c r="C4514" s="228">
        <v>30</v>
      </c>
    </row>
    <row r="4515" spans="1:3" x14ac:dyDescent="0.2">
      <c r="A4515" t="s">
        <v>6963</v>
      </c>
      <c r="B4515" s="291">
        <v>1</v>
      </c>
      <c r="C4515" s="228">
        <v>31</v>
      </c>
    </row>
    <row r="4516" spans="1:3" x14ac:dyDescent="0.2">
      <c r="A4516" t="s">
        <v>6963</v>
      </c>
      <c r="B4516" s="291">
        <v>1</v>
      </c>
      <c r="C4516" s="228">
        <v>32</v>
      </c>
    </row>
    <row r="4517" spans="1:3" x14ac:dyDescent="0.2">
      <c r="A4517" t="s">
        <v>6963</v>
      </c>
      <c r="B4517" s="291">
        <v>1</v>
      </c>
      <c r="C4517" s="228">
        <v>33</v>
      </c>
    </row>
    <row r="4518" spans="1:3" x14ac:dyDescent="0.2">
      <c r="A4518" t="s">
        <v>6963</v>
      </c>
      <c r="B4518" s="291">
        <v>1</v>
      </c>
      <c r="C4518" s="228">
        <v>34</v>
      </c>
    </row>
    <row r="4519" spans="1:3" x14ac:dyDescent="0.2">
      <c r="A4519" t="s">
        <v>6963</v>
      </c>
      <c r="B4519" s="291">
        <v>1</v>
      </c>
      <c r="C4519" s="228">
        <v>35</v>
      </c>
    </row>
    <row r="4520" spans="1:3" x14ac:dyDescent="0.2">
      <c r="A4520" t="s">
        <v>6963</v>
      </c>
      <c r="B4520" s="291">
        <v>1</v>
      </c>
      <c r="C4520" s="228">
        <v>36</v>
      </c>
    </row>
    <row r="4521" spans="1:3" x14ac:dyDescent="0.2">
      <c r="A4521" t="s">
        <v>6963</v>
      </c>
      <c r="B4521" s="291">
        <v>1</v>
      </c>
      <c r="C4521" s="228">
        <v>37</v>
      </c>
    </row>
    <row r="4522" spans="1:3" x14ac:dyDescent="0.2">
      <c r="A4522" t="s">
        <v>6963</v>
      </c>
      <c r="B4522" s="291">
        <v>1</v>
      </c>
      <c r="C4522" s="228">
        <v>38</v>
      </c>
    </row>
    <row r="4523" spans="1:3" x14ac:dyDescent="0.2">
      <c r="A4523" t="s">
        <v>6963</v>
      </c>
      <c r="B4523" s="291">
        <v>1</v>
      </c>
      <c r="C4523" s="228">
        <v>39</v>
      </c>
    </row>
    <row r="4524" spans="1:3" x14ac:dyDescent="0.2">
      <c r="A4524" t="s">
        <v>6963</v>
      </c>
      <c r="B4524" s="291">
        <v>1</v>
      </c>
      <c r="C4524" s="228">
        <v>40</v>
      </c>
    </row>
    <row r="4525" spans="1:3" x14ac:dyDescent="0.2">
      <c r="A4525" t="s">
        <v>6963</v>
      </c>
      <c r="B4525" s="291">
        <v>1</v>
      </c>
      <c r="C4525" s="228" t="s">
        <v>2991</v>
      </c>
    </row>
    <row r="4526" spans="1:3" x14ac:dyDescent="0.2">
      <c r="A4526" t="s">
        <v>6963</v>
      </c>
      <c r="B4526" s="291">
        <v>1</v>
      </c>
      <c r="C4526" s="228" t="s">
        <v>2992</v>
      </c>
    </row>
    <row r="4527" spans="1:3" x14ac:dyDescent="0.2">
      <c r="A4527" t="s">
        <v>6963</v>
      </c>
      <c r="B4527" s="291">
        <v>1</v>
      </c>
      <c r="C4527" s="228">
        <v>41</v>
      </c>
    </row>
    <row r="4528" spans="1:3" x14ac:dyDescent="0.2">
      <c r="A4528" t="s">
        <v>6963</v>
      </c>
      <c r="B4528" s="291">
        <v>1</v>
      </c>
      <c r="C4528" s="228">
        <v>42</v>
      </c>
    </row>
    <row r="4529" spans="1:3" x14ac:dyDescent="0.2">
      <c r="A4529" t="s">
        <v>6963</v>
      </c>
      <c r="B4529" s="291">
        <v>1</v>
      </c>
      <c r="C4529" s="228">
        <v>43</v>
      </c>
    </row>
    <row r="4530" spans="1:3" x14ac:dyDescent="0.2">
      <c r="A4530" t="s">
        <v>6963</v>
      </c>
      <c r="B4530" s="291">
        <v>1</v>
      </c>
      <c r="C4530" s="228">
        <v>44</v>
      </c>
    </row>
    <row r="4531" spans="1:3" x14ac:dyDescent="0.2">
      <c r="A4531" t="s">
        <v>6963</v>
      </c>
      <c r="B4531" s="291">
        <v>1</v>
      </c>
      <c r="C4531" s="228">
        <v>45</v>
      </c>
    </row>
    <row r="4532" spans="1:3" x14ac:dyDescent="0.2">
      <c r="A4532" t="s">
        <v>6963</v>
      </c>
      <c r="B4532" s="291">
        <v>1</v>
      </c>
      <c r="C4532" s="228">
        <v>46</v>
      </c>
    </row>
  </sheetData>
  <phoneticPr fontId="77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F047-45C7-407D-956B-CC49D694B4E6}">
  <sheetPr codeName="Feuil25">
    <tabColor rgb="FFFFFF00"/>
  </sheetPr>
  <dimension ref="A1:H74"/>
  <sheetViews>
    <sheetView workbookViewId="0">
      <selection activeCell="E1" sqref="E1"/>
    </sheetView>
  </sheetViews>
  <sheetFormatPr baseColWidth="10" defaultColWidth="11.42578125" defaultRowHeight="12.75" x14ac:dyDescent="0.3"/>
  <cols>
    <col min="1" max="1" width="42.42578125" style="155" bestFit="1" customWidth="1"/>
    <col min="2" max="2" width="28.7109375" style="155" bestFit="1" customWidth="1"/>
    <col min="3" max="3" width="32.5703125" style="155" bestFit="1" customWidth="1"/>
    <col min="4" max="4" width="9.28515625" style="155" bestFit="1" customWidth="1"/>
    <col min="5" max="5" width="12.5703125" style="155" customWidth="1"/>
    <col min="6" max="9" width="15.7109375" style="155" bestFit="1" customWidth="1"/>
    <col min="10" max="13" width="17" style="155" bestFit="1" customWidth="1"/>
    <col min="14" max="23" width="12.7109375" style="155" bestFit="1" customWidth="1"/>
    <col min="24" max="27" width="16.28515625" style="155" bestFit="1" customWidth="1"/>
    <col min="28" max="28" width="15.28515625" style="155" bestFit="1" customWidth="1"/>
    <col min="29" max="16384" width="11.42578125" style="155"/>
  </cols>
  <sheetData>
    <row r="1" spans="1:8" x14ac:dyDescent="0.3">
      <c r="A1" s="155" t="s">
        <v>141</v>
      </c>
      <c r="B1" s="156" t="s">
        <v>7113</v>
      </c>
      <c r="C1" s="157" t="str">
        <f>B1</f>
        <v>01/2025</v>
      </c>
      <c r="D1" s="158">
        <f>DATE(C3,1,1)</f>
        <v>45658</v>
      </c>
      <c r="E1" s="159">
        <f>DATE(MID(B1,4,4),MID(B1,1,2),1)</f>
        <v>45658</v>
      </c>
      <c r="F1" s="155" t="str">
        <f>CONCATENATE(F2,"/",F3)</f>
        <v>01/2024</v>
      </c>
      <c r="G1" s="158">
        <f>DATE(F3,1,1)</f>
        <v>45292</v>
      </c>
      <c r="H1" s="159">
        <f>DATE(MID(F1,4,4),MID(F1,1,2),1)</f>
        <v>45292</v>
      </c>
    </row>
    <row r="2" spans="1:8" x14ac:dyDescent="0.3">
      <c r="B2" s="155" t="str">
        <f>VLOOKUP(C2,A7:B18,2)</f>
        <v>31</v>
      </c>
      <c r="C2" s="155" t="str">
        <f>MID(B1,1,2)</f>
        <v>01</v>
      </c>
      <c r="D2" s="158">
        <f>DATE(C3,C2,B2)</f>
        <v>45688</v>
      </c>
      <c r="E2" s="155" t="str">
        <f>VLOOKUP(F2,A7:B18,2)</f>
        <v>31</v>
      </c>
      <c r="F2" s="155" t="str">
        <f>C2</f>
        <v>01</v>
      </c>
      <c r="G2" s="158">
        <f>DATE(F3,F2,E2)</f>
        <v>45322</v>
      </c>
    </row>
    <row r="3" spans="1:8" x14ac:dyDescent="0.3">
      <c r="C3" s="155" t="str">
        <f>MID(B1,4,4)</f>
        <v>2025</v>
      </c>
      <c r="D3" s="158">
        <f>+DATE(C3,C2,1)</f>
        <v>45658</v>
      </c>
      <c r="F3" s="160">
        <f>C3-1</f>
        <v>2024</v>
      </c>
    </row>
    <row r="6" spans="1:8" x14ac:dyDescent="0.3">
      <c r="A6" s="155" t="s">
        <v>2509</v>
      </c>
      <c r="B6" s="155" t="s">
        <v>3005</v>
      </c>
      <c r="C6" s="157"/>
    </row>
    <row r="7" spans="1:8" x14ac:dyDescent="0.3">
      <c r="A7" s="157" t="s">
        <v>143</v>
      </c>
      <c r="B7" s="157" t="s">
        <v>37</v>
      </c>
      <c r="C7" s="160"/>
    </row>
    <row r="8" spans="1:8" x14ac:dyDescent="0.3">
      <c r="A8" s="157" t="s">
        <v>5</v>
      </c>
      <c r="B8" s="160">
        <f>IF((C3/4) = INT(C3/4),29,28)</f>
        <v>28</v>
      </c>
      <c r="C8" s="157"/>
    </row>
    <row r="9" spans="1:8" x14ac:dyDescent="0.3">
      <c r="A9" s="157" t="s">
        <v>7</v>
      </c>
      <c r="B9" s="157" t="s">
        <v>37</v>
      </c>
      <c r="C9" s="157"/>
    </row>
    <row r="10" spans="1:8" x14ac:dyDescent="0.3">
      <c r="A10" s="157" t="s">
        <v>9</v>
      </c>
      <c r="B10" s="157" t="s">
        <v>35</v>
      </c>
      <c r="C10" s="157"/>
    </row>
    <row r="11" spans="1:8" x14ac:dyDescent="0.3">
      <c r="A11" s="157" t="s">
        <v>11</v>
      </c>
      <c r="B11" s="157" t="s">
        <v>37</v>
      </c>
      <c r="C11" s="157"/>
    </row>
    <row r="12" spans="1:8" x14ac:dyDescent="0.3">
      <c r="A12" s="157" t="s">
        <v>0</v>
      </c>
      <c r="B12" s="157" t="s">
        <v>35</v>
      </c>
      <c r="C12" s="157"/>
    </row>
    <row r="13" spans="1:8" x14ac:dyDescent="0.3">
      <c r="A13" s="157" t="s">
        <v>1</v>
      </c>
      <c r="B13" s="157" t="s">
        <v>37</v>
      </c>
      <c r="C13" s="157"/>
    </row>
    <row r="14" spans="1:8" x14ac:dyDescent="0.3">
      <c r="A14" s="157" t="s">
        <v>3</v>
      </c>
      <c r="B14" s="157" t="s">
        <v>37</v>
      </c>
      <c r="C14" s="157"/>
    </row>
    <row r="15" spans="1:8" x14ac:dyDescent="0.3">
      <c r="A15" s="157" t="s">
        <v>71</v>
      </c>
      <c r="B15" s="157" t="s">
        <v>35</v>
      </c>
      <c r="C15" s="157"/>
    </row>
    <row r="16" spans="1:8" x14ac:dyDescent="0.3">
      <c r="A16" s="157" t="s">
        <v>12</v>
      </c>
      <c r="B16" s="157" t="s">
        <v>37</v>
      </c>
      <c r="C16" s="157"/>
    </row>
    <row r="17" spans="1:3" x14ac:dyDescent="0.3">
      <c r="A17" s="157" t="s">
        <v>13</v>
      </c>
      <c r="B17" s="157" t="s">
        <v>35</v>
      </c>
      <c r="C17" s="157"/>
    </row>
    <row r="18" spans="1:3" x14ac:dyDescent="0.3">
      <c r="A18" s="157" t="s">
        <v>15</v>
      </c>
      <c r="B18" s="157" t="s">
        <v>37</v>
      </c>
    </row>
    <row r="19" spans="1:3" x14ac:dyDescent="0.3">
      <c r="A19" s="157"/>
      <c r="B19" s="157"/>
    </row>
    <row r="21" spans="1:3" customFormat="1" x14ac:dyDescent="0.2"/>
    <row r="22" spans="1:3" customFormat="1" x14ac:dyDescent="0.2">
      <c r="A22" t="s">
        <v>3039</v>
      </c>
      <c r="B22" t="s">
        <v>142</v>
      </c>
      <c r="C22" t="s">
        <v>2511</v>
      </c>
    </row>
    <row r="23" spans="1:3" customFormat="1" x14ac:dyDescent="0.2">
      <c r="A23" s="213"/>
      <c r="B23" s="214">
        <v>1</v>
      </c>
      <c r="C23" s="213" t="s">
        <v>3006</v>
      </c>
    </row>
    <row r="24" spans="1:3" customFormat="1" x14ac:dyDescent="0.2">
      <c r="A24" s="213" t="s">
        <v>2514</v>
      </c>
      <c r="B24" s="214">
        <v>2</v>
      </c>
      <c r="C24" s="213" t="s">
        <v>222</v>
      </c>
    </row>
    <row r="25" spans="1:3" customFormat="1" x14ac:dyDescent="0.2">
      <c r="A25" s="213" t="s">
        <v>2516</v>
      </c>
      <c r="B25" s="214">
        <v>3</v>
      </c>
      <c r="C25" s="213" t="s">
        <v>3007</v>
      </c>
    </row>
    <row r="26" spans="1:3" customFormat="1" x14ac:dyDescent="0.2">
      <c r="A26" s="213" t="s">
        <v>2517</v>
      </c>
      <c r="B26" s="214">
        <v>4</v>
      </c>
      <c r="C26" s="213" t="s">
        <v>517</v>
      </c>
    </row>
    <row r="27" spans="1:3" customFormat="1" x14ac:dyDescent="0.2">
      <c r="A27" s="213" t="s">
        <v>2518</v>
      </c>
      <c r="B27" s="214">
        <v>5</v>
      </c>
      <c r="C27" s="213" t="s">
        <v>3008</v>
      </c>
    </row>
    <row r="28" spans="1:3" customFormat="1" x14ac:dyDescent="0.2">
      <c r="A28" s="213" t="s">
        <v>2519</v>
      </c>
      <c r="B28" s="214">
        <v>6</v>
      </c>
      <c r="C28" s="213" t="s">
        <v>3009</v>
      </c>
    </row>
    <row r="29" spans="1:3" customFormat="1" x14ac:dyDescent="0.2">
      <c r="A29" s="213" t="s">
        <v>3010</v>
      </c>
      <c r="B29" s="214" t="s">
        <v>2964</v>
      </c>
      <c r="C29" s="213" t="s">
        <v>2965</v>
      </c>
    </row>
    <row r="30" spans="1:3" customFormat="1" x14ac:dyDescent="0.2">
      <c r="A30" s="213"/>
      <c r="B30" s="214">
        <v>7</v>
      </c>
      <c r="C30" s="213" t="s">
        <v>3011</v>
      </c>
    </row>
    <row r="31" spans="1:3" customFormat="1" x14ac:dyDescent="0.2">
      <c r="A31" s="213" t="s">
        <v>2523</v>
      </c>
      <c r="B31" s="214">
        <v>8</v>
      </c>
      <c r="C31" s="213" t="s">
        <v>3012</v>
      </c>
    </row>
    <row r="32" spans="1:3" customFormat="1" x14ac:dyDescent="0.2">
      <c r="A32" s="213" t="s">
        <v>2529</v>
      </c>
      <c r="B32" s="214">
        <v>9</v>
      </c>
      <c r="C32" s="213" t="s">
        <v>3013</v>
      </c>
    </row>
    <row r="33" spans="1:3" customFormat="1" x14ac:dyDescent="0.2">
      <c r="A33" s="213" t="s">
        <v>2532</v>
      </c>
      <c r="B33" s="214">
        <v>10</v>
      </c>
      <c r="C33" s="213" t="s">
        <v>3014</v>
      </c>
    </row>
    <row r="34" spans="1:3" customFormat="1" x14ac:dyDescent="0.2">
      <c r="A34" s="213" t="s">
        <v>2539</v>
      </c>
      <c r="B34" s="214">
        <v>11</v>
      </c>
      <c r="C34" s="213" t="s">
        <v>3015</v>
      </c>
    </row>
    <row r="35" spans="1:3" customFormat="1" x14ac:dyDescent="0.2">
      <c r="A35" s="213" t="s">
        <v>3016</v>
      </c>
      <c r="B35" s="214">
        <v>12</v>
      </c>
      <c r="C35" s="213" t="s">
        <v>2969</v>
      </c>
    </row>
    <row r="36" spans="1:3" customFormat="1" x14ac:dyDescent="0.2">
      <c r="A36" s="213" t="s">
        <v>2541</v>
      </c>
      <c r="B36" s="214">
        <v>13</v>
      </c>
      <c r="C36" s="213" t="s">
        <v>2970</v>
      </c>
    </row>
    <row r="37" spans="1:3" customFormat="1" x14ac:dyDescent="0.2">
      <c r="A37" s="213"/>
      <c r="B37" s="214">
        <v>14</v>
      </c>
      <c r="C37" s="213" t="s">
        <v>3017</v>
      </c>
    </row>
    <row r="38" spans="1:3" customFormat="1" x14ac:dyDescent="0.2">
      <c r="A38" s="213" t="s">
        <v>2544</v>
      </c>
      <c r="B38" s="214">
        <v>15</v>
      </c>
      <c r="C38" s="213" t="s">
        <v>2174</v>
      </c>
    </row>
    <row r="39" spans="1:3" customFormat="1" x14ac:dyDescent="0.2">
      <c r="A39" s="213" t="s">
        <v>2545</v>
      </c>
      <c r="B39" s="214">
        <v>16</v>
      </c>
      <c r="C39" s="213" t="s">
        <v>2972</v>
      </c>
    </row>
    <row r="40" spans="1:3" customFormat="1" x14ac:dyDescent="0.2">
      <c r="A40" s="213" t="s">
        <v>2546</v>
      </c>
      <c r="B40" s="214">
        <v>17</v>
      </c>
      <c r="C40" s="213" t="s">
        <v>2973</v>
      </c>
    </row>
    <row r="41" spans="1:3" customFormat="1" x14ac:dyDescent="0.2">
      <c r="A41" s="213" t="s">
        <v>2547</v>
      </c>
      <c r="B41" s="214">
        <v>18</v>
      </c>
      <c r="C41" s="213" t="s">
        <v>3018</v>
      </c>
    </row>
    <row r="42" spans="1:3" customFormat="1" x14ac:dyDescent="0.2">
      <c r="A42" s="213" t="s">
        <v>2567</v>
      </c>
      <c r="B42" s="214">
        <v>19</v>
      </c>
      <c r="C42" s="213" t="s">
        <v>2975</v>
      </c>
    </row>
    <row r="43" spans="1:3" customFormat="1" x14ac:dyDescent="0.2">
      <c r="A43" s="213"/>
      <c r="B43" s="214">
        <v>20</v>
      </c>
      <c r="C43" s="213" t="s">
        <v>3019</v>
      </c>
    </row>
    <row r="44" spans="1:3" customFormat="1" x14ac:dyDescent="0.2">
      <c r="A44" s="213" t="s">
        <v>2568</v>
      </c>
      <c r="B44" s="214">
        <v>21</v>
      </c>
      <c r="C44" s="213" t="s">
        <v>2977</v>
      </c>
    </row>
    <row r="45" spans="1:3" customFormat="1" x14ac:dyDescent="0.2">
      <c r="A45" s="213" t="s">
        <v>2569</v>
      </c>
      <c r="B45" s="214">
        <v>22</v>
      </c>
      <c r="C45" s="213" t="s">
        <v>145</v>
      </c>
    </row>
    <row r="46" spans="1:3" customFormat="1" x14ac:dyDescent="0.2">
      <c r="A46" s="213" t="s">
        <v>2572</v>
      </c>
      <c r="B46" s="214">
        <v>23</v>
      </c>
      <c r="C46" s="213" t="s">
        <v>215</v>
      </c>
    </row>
    <row r="47" spans="1:3" customFormat="1" x14ac:dyDescent="0.2">
      <c r="A47" s="213" t="s">
        <v>2576</v>
      </c>
      <c r="B47" s="214">
        <v>24</v>
      </c>
      <c r="C47" s="213" t="s">
        <v>3020</v>
      </c>
    </row>
    <row r="48" spans="1:3" customFormat="1" x14ac:dyDescent="0.2">
      <c r="A48" s="213" t="s">
        <v>2578</v>
      </c>
      <c r="B48" s="214">
        <v>25</v>
      </c>
      <c r="C48" s="213" t="s">
        <v>3021</v>
      </c>
    </row>
    <row r="49" spans="1:3" customFormat="1" x14ac:dyDescent="0.2">
      <c r="A49" s="213" t="s">
        <v>2580</v>
      </c>
      <c r="B49" s="214">
        <v>26</v>
      </c>
      <c r="C49" s="213" t="s">
        <v>2981</v>
      </c>
    </row>
    <row r="50" spans="1:3" customFormat="1" x14ac:dyDescent="0.2">
      <c r="A50" s="213" t="s">
        <v>2583</v>
      </c>
      <c r="B50" s="214">
        <v>27</v>
      </c>
      <c r="C50" s="213" t="s">
        <v>33</v>
      </c>
    </row>
    <row r="51" spans="1:3" customFormat="1" x14ac:dyDescent="0.2">
      <c r="A51" s="213"/>
      <c r="B51" s="214">
        <v>28</v>
      </c>
      <c r="C51" s="213" t="s">
        <v>3022</v>
      </c>
    </row>
    <row r="52" spans="1:3" customFormat="1" x14ac:dyDescent="0.2">
      <c r="A52" s="213" t="s">
        <v>2584</v>
      </c>
      <c r="B52" s="214">
        <v>29</v>
      </c>
      <c r="C52" s="213" t="s">
        <v>3023</v>
      </c>
    </row>
    <row r="53" spans="1:3" customFormat="1" x14ac:dyDescent="0.2">
      <c r="A53" s="213" t="s">
        <v>2811</v>
      </c>
      <c r="B53" s="214">
        <v>30</v>
      </c>
      <c r="C53" s="213" t="s">
        <v>2986</v>
      </c>
    </row>
    <row r="54" spans="1:3" customFormat="1" x14ac:dyDescent="0.2">
      <c r="A54" s="213" t="s">
        <v>2585</v>
      </c>
      <c r="B54" s="214">
        <v>31</v>
      </c>
      <c r="C54" s="213" t="s">
        <v>3024</v>
      </c>
    </row>
    <row r="55" spans="1:3" customFormat="1" x14ac:dyDescent="0.2">
      <c r="A55" s="213"/>
      <c r="B55" s="214">
        <v>32</v>
      </c>
      <c r="C55" s="213" t="s">
        <v>3025</v>
      </c>
    </row>
    <row r="56" spans="1:3" customFormat="1" x14ac:dyDescent="0.2">
      <c r="A56" s="213" t="s">
        <v>2586</v>
      </c>
      <c r="B56" s="214">
        <v>33</v>
      </c>
      <c r="C56" s="213" t="s">
        <v>2989</v>
      </c>
    </row>
    <row r="57" spans="1:3" customFormat="1" x14ac:dyDescent="0.2">
      <c r="A57" s="213" t="s">
        <v>2588</v>
      </c>
      <c r="B57" s="214">
        <v>34</v>
      </c>
      <c r="C57" s="213" t="s">
        <v>276</v>
      </c>
    </row>
    <row r="58" spans="1:3" customFormat="1" x14ac:dyDescent="0.2">
      <c r="A58" s="213" t="s">
        <v>2591</v>
      </c>
      <c r="B58" s="214">
        <v>35</v>
      </c>
      <c r="C58" s="213" t="s">
        <v>213</v>
      </c>
    </row>
    <row r="59" spans="1:3" customFormat="1" x14ac:dyDescent="0.2">
      <c r="A59" s="213" t="s">
        <v>2592</v>
      </c>
      <c r="B59" s="214">
        <v>36</v>
      </c>
      <c r="C59" s="213" t="s">
        <v>41</v>
      </c>
    </row>
    <row r="60" spans="1:3" customFormat="1" x14ac:dyDescent="0.2">
      <c r="A60" s="213" t="s">
        <v>2593</v>
      </c>
      <c r="B60" s="214">
        <v>37</v>
      </c>
      <c r="C60" s="213" t="s">
        <v>3026</v>
      </c>
    </row>
    <row r="61" spans="1:3" customFormat="1" x14ac:dyDescent="0.2">
      <c r="A61" s="213" t="s">
        <v>2594</v>
      </c>
      <c r="B61" s="214">
        <v>38</v>
      </c>
      <c r="C61" s="213" t="s">
        <v>3027</v>
      </c>
    </row>
    <row r="62" spans="1:3" customFormat="1" x14ac:dyDescent="0.2">
      <c r="A62" s="213" t="s">
        <v>3028</v>
      </c>
      <c r="B62" s="214">
        <v>39</v>
      </c>
      <c r="C62" s="213" t="s">
        <v>2990</v>
      </c>
    </row>
    <row r="63" spans="1:3" customFormat="1" x14ac:dyDescent="0.2">
      <c r="A63" s="213" t="s">
        <v>2603</v>
      </c>
      <c r="B63" s="214">
        <v>40</v>
      </c>
      <c r="C63" s="213" t="s">
        <v>3029</v>
      </c>
    </row>
    <row r="64" spans="1:3" customFormat="1" x14ac:dyDescent="0.2">
      <c r="A64" s="213" t="s">
        <v>2609</v>
      </c>
      <c r="B64" s="214" t="s">
        <v>2991</v>
      </c>
      <c r="C64" s="213" t="s">
        <v>64</v>
      </c>
    </row>
    <row r="65" spans="1:3" customFormat="1" x14ac:dyDescent="0.2">
      <c r="A65" s="213" t="s">
        <v>2611</v>
      </c>
      <c r="B65" s="214" t="s">
        <v>2992</v>
      </c>
      <c r="C65" s="213" t="s">
        <v>151</v>
      </c>
    </row>
    <row r="66" spans="1:3" customFormat="1" x14ac:dyDescent="0.2">
      <c r="A66" s="213" t="s">
        <v>3030</v>
      </c>
      <c r="B66" s="214">
        <v>41</v>
      </c>
      <c r="C66" s="213" t="s">
        <v>3031</v>
      </c>
    </row>
    <row r="67" spans="1:3" customFormat="1" x14ac:dyDescent="0.2">
      <c r="A67" s="213" t="s">
        <v>2604</v>
      </c>
      <c r="B67" s="214">
        <v>42</v>
      </c>
      <c r="C67" s="213" t="s">
        <v>3032</v>
      </c>
    </row>
    <row r="68" spans="1:3" customFormat="1" x14ac:dyDescent="0.2">
      <c r="A68" s="213"/>
      <c r="B68" s="214">
        <v>43</v>
      </c>
      <c r="C68" s="213" t="s">
        <v>3033</v>
      </c>
    </row>
    <row r="69" spans="1:3" customFormat="1" x14ac:dyDescent="0.2">
      <c r="A69" s="213"/>
      <c r="B69" s="214">
        <v>44</v>
      </c>
      <c r="C69" s="213" t="s">
        <v>3034</v>
      </c>
    </row>
    <row r="70" spans="1:3" customFormat="1" x14ac:dyDescent="0.2">
      <c r="A70" s="213" t="s">
        <v>2807</v>
      </c>
      <c r="B70" s="214">
        <v>45</v>
      </c>
      <c r="C70" s="213" t="s">
        <v>2996</v>
      </c>
    </row>
    <row r="71" spans="1:3" customFormat="1" x14ac:dyDescent="0.2">
      <c r="A71" s="213" t="s">
        <v>2607</v>
      </c>
      <c r="B71" s="214">
        <v>46</v>
      </c>
      <c r="C71" s="213" t="s">
        <v>3035</v>
      </c>
    </row>
    <row r="72" spans="1:3" customFormat="1" x14ac:dyDescent="0.2">
      <c r="A72" s="213"/>
      <c r="B72" s="214">
        <v>47</v>
      </c>
      <c r="C72" s="213" t="s">
        <v>3036</v>
      </c>
    </row>
    <row r="73" spans="1:3" customFormat="1" x14ac:dyDescent="0.2">
      <c r="A73" s="213" t="s">
        <v>3037</v>
      </c>
      <c r="B73" s="214">
        <v>48</v>
      </c>
      <c r="C73" s="213" t="s">
        <v>357</v>
      </c>
    </row>
    <row r="74" spans="1:3" customFormat="1" x14ac:dyDescent="0.2">
      <c r="A74" s="213"/>
      <c r="B74" s="214">
        <v>49</v>
      </c>
      <c r="C74" s="213" t="s">
        <v>3038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6">
    <tabColor rgb="FFFFFF00"/>
  </sheetPr>
  <dimension ref="A1:EF315"/>
  <sheetViews>
    <sheetView showGridLines="0" tabSelected="1" zoomScale="85" zoomScaleNormal="85" workbookViewId="0">
      <pane xSplit="1" topLeftCell="CQ1" activePane="topRight" state="frozen"/>
      <selection activeCell="N17" sqref="N17"/>
      <selection pane="topRight" activeCell="DL6" sqref="DL6"/>
    </sheetView>
  </sheetViews>
  <sheetFormatPr baseColWidth="10" defaultColWidth="11.5703125" defaultRowHeight="12.75" x14ac:dyDescent="0.2"/>
  <cols>
    <col min="1" max="1" width="21.5703125" style="46" customWidth="1"/>
    <col min="2" max="2" width="16.28515625" style="46" customWidth="1"/>
    <col min="3" max="9" width="10.5703125" style="46" customWidth="1"/>
    <col min="10" max="10" width="16.28515625" style="46" customWidth="1"/>
    <col min="11" max="16" width="10.5703125" style="46" customWidth="1"/>
    <col min="17" max="17" width="6.28515625" style="46" customWidth="1"/>
    <col min="18" max="18" width="16.28515625" style="46" customWidth="1"/>
    <col min="19" max="24" width="10.5703125" style="46" customWidth="1"/>
    <col min="25" max="25" width="6.28515625" style="46" customWidth="1"/>
    <col min="26" max="26" width="16.28515625" style="46" customWidth="1"/>
    <col min="27" max="32" width="10.5703125" style="46" customWidth="1"/>
    <col min="33" max="33" width="6.28515625" style="46" customWidth="1"/>
    <col min="34" max="34" width="16.28515625" style="46" customWidth="1"/>
    <col min="35" max="40" width="10.5703125" style="46" customWidth="1"/>
    <col min="41" max="41" width="6.28515625" style="46" customWidth="1"/>
    <col min="42" max="42" width="16.28515625" style="46" customWidth="1"/>
    <col min="43" max="48" width="10.5703125" style="46" customWidth="1"/>
    <col min="49" max="49" width="11.5703125" style="46"/>
    <col min="50" max="50" width="16.28515625" style="46" customWidth="1"/>
    <col min="51" max="57" width="10.5703125" style="46" customWidth="1"/>
    <col min="58" max="58" width="16.28515625" style="46" customWidth="1"/>
    <col min="59" max="65" width="10.5703125" style="46" customWidth="1"/>
    <col min="66" max="66" width="16.28515625" style="46" customWidth="1"/>
    <col min="67" max="72" width="10.5703125" style="46" customWidth="1"/>
    <col min="73" max="73" width="6.28515625" style="46" customWidth="1"/>
    <col min="74" max="74" width="16.28515625" style="46" customWidth="1"/>
    <col min="75" max="81" width="10.5703125" style="46" customWidth="1"/>
    <col min="82" max="82" width="16.28515625" style="46" customWidth="1"/>
    <col min="83" max="88" width="10.5703125" style="46" customWidth="1"/>
    <col min="89" max="89" width="6.28515625" style="46" customWidth="1"/>
    <col min="90" max="90" width="16.28515625" style="46" customWidth="1"/>
    <col min="91" max="96" width="10.5703125" style="46" customWidth="1"/>
    <col min="97" max="97" width="6.28515625" style="46" customWidth="1"/>
    <col min="98" max="98" width="16.28515625" style="46" customWidth="1"/>
    <col min="99" max="104" width="10.5703125" style="46" customWidth="1"/>
    <col min="105" max="105" width="6.28515625" style="46" customWidth="1"/>
    <col min="106" max="106" width="16.28515625" style="46" customWidth="1"/>
    <col min="107" max="113" width="10.5703125" style="46" customWidth="1"/>
    <col min="114" max="114" width="16.28515625" style="46" customWidth="1"/>
    <col min="115" max="120" width="10.5703125" style="46" customWidth="1"/>
    <col min="121" max="121" width="6.28515625" style="46" customWidth="1"/>
    <col min="122" max="122" width="16.28515625" style="46" customWidth="1"/>
    <col min="123" max="128" width="10.5703125" style="46" customWidth="1"/>
    <col min="129" max="16384" width="11.5703125" style="46"/>
  </cols>
  <sheetData>
    <row r="1" spans="1:136" ht="15.75" x14ac:dyDescent="0.2">
      <c r="A1" s="45" t="s">
        <v>99</v>
      </c>
    </row>
    <row r="3" spans="1:136" x14ac:dyDescent="0.2">
      <c r="A3" s="46" t="s">
        <v>107</v>
      </c>
      <c r="B3" s="47" t="s">
        <v>7114</v>
      </c>
    </row>
    <row r="4" spans="1:136" x14ac:dyDescent="0.2">
      <c r="A4" s="46" t="s">
        <v>108</v>
      </c>
      <c r="B4" s="47" t="s">
        <v>6962</v>
      </c>
    </row>
    <row r="5" spans="1:136" x14ac:dyDescent="0.2">
      <c r="A5" s="46" t="s">
        <v>100</v>
      </c>
      <c r="B5" s="47" t="s">
        <v>7115</v>
      </c>
      <c r="C5" s="89" t="s">
        <v>143</v>
      </c>
      <c r="D5" s="46" t="str">
        <f>RIGHT(B5,LEN(B5)-3)</f>
        <v>Janvier</v>
      </c>
    </row>
    <row r="6" spans="1:136" x14ac:dyDescent="0.2">
      <c r="A6" s="46" t="s">
        <v>121</v>
      </c>
      <c r="B6" s="47" t="s">
        <v>7116</v>
      </c>
      <c r="C6" s="89" t="s">
        <v>143</v>
      </c>
      <c r="D6" s="46" t="str">
        <f>RIGHT(B6,LEN(B6)-3)</f>
        <v>Janvier 2024</v>
      </c>
    </row>
    <row r="9" spans="1:136" ht="15.75" x14ac:dyDescent="0.2">
      <c r="B9" s="45" t="s">
        <v>131</v>
      </c>
      <c r="J9" s="45" t="s">
        <v>2999</v>
      </c>
      <c r="R9" s="45" t="s">
        <v>3001</v>
      </c>
      <c r="Z9" s="45" t="s">
        <v>210</v>
      </c>
      <c r="AH9" s="45" t="s">
        <v>3003</v>
      </c>
      <c r="AP9" s="45" t="s">
        <v>2156</v>
      </c>
      <c r="AX9" s="45" t="s">
        <v>3000</v>
      </c>
      <c r="BF9" s="45" t="s">
        <v>3002</v>
      </c>
      <c r="BN9" s="45" t="s">
        <v>297</v>
      </c>
      <c r="BO9" s="46" t="s">
        <v>6982</v>
      </c>
      <c r="BV9" s="45" t="s">
        <v>296</v>
      </c>
      <c r="CD9" s="45" t="s">
        <v>292</v>
      </c>
      <c r="CE9" s="46" t="s">
        <v>6981</v>
      </c>
      <c r="CL9" s="45" t="s">
        <v>294</v>
      </c>
      <c r="CT9" s="45" t="s">
        <v>6963</v>
      </c>
      <c r="DB9" s="45" t="s">
        <v>6964</v>
      </c>
      <c r="DC9" s="46" t="s">
        <v>6983</v>
      </c>
      <c r="DD9" s="46" t="s">
        <v>6983</v>
      </c>
      <c r="DJ9" s="45" t="s">
        <v>6966</v>
      </c>
      <c r="DK9" s="46" t="s">
        <v>6984</v>
      </c>
      <c r="DR9" s="45" t="s">
        <v>6965</v>
      </c>
      <c r="DS9" s="46" t="s">
        <v>6985</v>
      </c>
      <c r="DZ9" s="45" t="s">
        <v>7094</v>
      </c>
      <c r="EA9" s="46" t="s">
        <v>7095</v>
      </c>
    </row>
    <row r="11" spans="1:136" s="188" customFormat="1" ht="18.600000000000001" customHeight="1" x14ac:dyDescent="0.2">
      <c r="A11" s="292" t="s">
        <v>132</v>
      </c>
      <c r="B11" s="186" t="s">
        <v>106</v>
      </c>
      <c r="C11" s="187" t="s">
        <v>7114</v>
      </c>
      <c r="D11" s="187" t="s">
        <v>6962</v>
      </c>
      <c r="E11" s="187" t="s">
        <v>2169</v>
      </c>
      <c r="F11" s="187" t="s">
        <v>1553</v>
      </c>
      <c r="G11" s="187" t="s">
        <v>1522</v>
      </c>
      <c r="H11" s="187" t="s">
        <v>1304</v>
      </c>
      <c r="I11" s="187"/>
      <c r="J11" s="186" t="s">
        <v>106</v>
      </c>
      <c r="K11" s="186" t="s">
        <v>7114</v>
      </c>
      <c r="L11" s="186" t="s">
        <v>6962</v>
      </c>
      <c r="M11" s="186" t="s">
        <v>2169</v>
      </c>
      <c r="N11" s="186" t="s">
        <v>1553</v>
      </c>
      <c r="O11" s="186" t="s">
        <v>1522</v>
      </c>
      <c r="P11" s="186" t="s">
        <v>1304</v>
      </c>
      <c r="R11" s="186" t="s">
        <v>106</v>
      </c>
      <c r="S11" s="186" t="s">
        <v>7114</v>
      </c>
      <c r="T11" s="186" t="s">
        <v>6962</v>
      </c>
      <c r="U11" s="186" t="s">
        <v>2169</v>
      </c>
      <c r="V11" s="186" t="s">
        <v>1553</v>
      </c>
      <c r="W11" s="186" t="s">
        <v>1522</v>
      </c>
      <c r="X11" s="186" t="s">
        <v>1304</v>
      </c>
      <c r="Z11" s="186" t="s">
        <v>106</v>
      </c>
      <c r="AA11" s="186" t="s">
        <v>7114</v>
      </c>
      <c r="AB11" s="187" t="s">
        <v>6962</v>
      </c>
      <c r="AC11" s="187" t="s">
        <v>2169</v>
      </c>
      <c r="AD11" s="186" t="s">
        <v>1553</v>
      </c>
      <c r="AE11" s="186" t="s">
        <v>1522</v>
      </c>
      <c r="AF11" s="186" t="s">
        <v>1304</v>
      </c>
      <c r="AH11" s="186" t="s">
        <v>106</v>
      </c>
      <c r="AI11" s="186" t="s">
        <v>7114</v>
      </c>
      <c r="AJ11" s="186" t="s">
        <v>6962</v>
      </c>
      <c r="AK11" s="186" t="s">
        <v>2169</v>
      </c>
      <c r="AL11" s="186" t="s">
        <v>1553</v>
      </c>
      <c r="AM11" s="186" t="s">
        <v>1522</v>
      </c>
      <c r="AN11" s="186" t="s">
        <v>1304</v>
      </c>
      <c r="AP11" s="186" t="s">
        <v>106</v>
      </c>
      <c r="AQ11" s="186" t="s">
        <v>7114</v>
      </c>
      <c r="AR11" s="186" t="s">
        <v>6962</v>
      </c>
      <c r="AS11" s="186" t="s">
        <v>2169</v>
      </c>
      <c r="AT11" s="186" t="s">
        <v>1553</v>
      </c>
      <c r="AU11" s="186" t="s">
        <v>1522</v>
      </c>
      <c r="AV11" s="186" t="s">
        <v>1304</v>
      </c>
      <c r="AX11" s="186" t="s">
        <v>106</v>
      </c>
      <c r="AY11" s="186" t="s">
        <v>7114</v>
      </c>
      <c r="AZ11" s="186" t="s">
        <v>6962</v>
      </c>
      <c r="BA11" s="186" t="s">
        <v>2169</v>
      </c>
      <c r="BB11" s="186" t="s">
        <v>1553</v>
      </c>
      <c r="BC11" s="186" t="s">
        <v>1522</v>
      </c>
      <c r="BD11" s="186" t="s">
        <v>1304</v>
      </c>
      <c r="BE11" s="187"/>
      <c r="BF11" s="186" t="s">
        <v>106</v>
      </c>
      <c r="BG11" s="186" t="s">
        <v>7114</v>
      </c>
      <c r="BH11" s="186" t="s">
        <v>6962</v>
      </c>
      <c r="BI11" s="186" t="s">
        <v>2169</v>
      </c>
      <c r="BJ11" s="186" t="s">
        <v>1553</v>
      </c>
      <c r="BK11" s="186" t="s">
        <v>1522</v>
      </c>
      <c r="BL11" s="186" t="s">
        <v>1304</v>
      </c>
      <c r="BM11" s="186"/>
      <c r="BN11" s="186" t="s">
        <v>106</v>
      </c>
      <c r="BO11" s="187" t="s">
        <v>7114</v>
      </c>
      <c r="BP11" s="187" t="s">
        <v>6962</v>
      </c>
      <c r="BQ11" s="187" t="s">
        <v>2169</v>
      </c>
      <c r="BR11" s="187" t="s">
        <v>1553</v>
      </c>
      <c r="BS11" s="187" t="s">
        <v>1522</v>
      </c>
      <c r="BT11" s="187" t="s">
        <v>1304</v>
      </c>
      <c r="BV11" s="186" t="s">
        <v>106</v>
      </c>
      <c r="BW11" s="187" t="s">
        <v>7114</v>
      </c>
      <c r="BX11" s="187" t="s">
        <v>6962</v>
      </c>
      <c r="BY11" s="187" t="s">
        <v>2169</v>
      </c>
      <c r="BZ11" s="187" t="s">
        <v>1553</v>
      </c>
      <c r="CA11" s="187" t="s">
        <v>1522</v>
      </c>
      <c r="CB11" s="187" t="s">
        <v>1304</v>
      </c>
      <c r="CC11" s="187"/>
      <c r="CD11" s="186" t="s">
        <v>106</v>
      </c>
      <c r="CE11" s="187" t="s">
        <v>7114</v>
      </c>
      <c r="CF11" s="187" t="s">
        <v>6962</v>
      </c>
      <c r="CG11" s="187" t="s">
        <v>2169</v>
      </c>
      <c r="CH11" s="187" t="s">
        <v>1553</v>
      </c>
      <c r="CI11" s="187" t="s">
        <v>1522</v>
      </c>
      <c r="CJ11" s="187" t="s">
        <v>1304</v>
      </c>
      <c r="CL11" s="186" t="s">
        <v>106</v>
      </c>
      <c r="CM11" s="187" t="s">
        <v>7114</v>
      </c>
      <c r="CN11" s="187" t="s">
        <v>6962</v>
      </c>
      <c r="CO11" s="187" t="s">
        <v>2169</v>
      </c>
      <c r="CP11" s="187" t="s">
        <v>1553</v>
      </c>
      <c r="CQ11" s="187" t="s">
        <v>1522</v>
      </c>
      <c r="CR11" s="187" t="s">
        <v>1304</v>
      </c>
      <c r="CT11" s="186" t="s">
        <v>106</v>
      </c>
      <c r="CU11" s="187" t="s">
        <v>7114</v>
      </c>
      <c r="CV11" s="187" t="s">
        <v>6962</v>
      </c>
      <c r="CW11" s="187" t="s">
        <v>2169</v>
      </c>
      <c r="CX11" s="187" t="s">
        <v>1553</v>
      </c>
      <c r="CY11" s="187" t="s">
        <v>1522</v>
      </c>
      <c r="CZ11" s="187" t="s">
        <v>1304</v>
      </c>
      <c r="DB11" s="186" t="s">
        <v>106</v>
      </c>
      <c r="DC11" s="187" t="s">
        <v>7114</v>
      </c>
      <c r="DD11" s="187" t="s">
        <v>6962</v>
      </c>
      <c r="DE11" s="187" t="s">
        <v>2169</v>
      </c>
      <c r="DF11" s="187" t="s">
        <v>1553</v>
      </c>
      <c r="DG11" s="187" t="s">
        <v>1522</v>
      </c>
      <c r="DH11" s="187" t="s">
        <v>1304</v>
      </c>
      <c r="DI11" s="187"/>
      <c r="DJ11" s="186" t="s">
        <v>106</v>
      </c>
      <c r="DK11" s="187" t="s">
        <v>7114</v>
      </c>
      <c r="DL11" s="187" t="s">
        <v>6962</v>
      </c>
      <c r="DM11" s="187" t="s">
        <v>2169</v>
      </c>
      <c r="DN11" s="187" t="s">
        <v>1553</v>
      </c>
      <c r="DO11" s="187" t="s">
        <v>1522</v>
      </c>
      <c r="DP11" s="187" t="s">
        <v>1304</v>
      </c>
      <c r="DR11" s="186" t="s">
        <v>106</v>
      </c>
      <c r="DS11" s="187" t="s">
        <v>7114</v>
      </c>
      <c r="DT11" s="187" t="s">
        <v>6962</v>
      </c>
      <c r="DU11" s="187" t="s">
        <v>2169</v>
      </c>
      <c r="DV11" s="187" t="s">
        <v>1553</v>
      </c>
      <c r="DW11" s="187" t="s">
        <v>1522</v>
      </c>
      <c r="DX11" s="187" t="s">
        <v>1304</v>
      </c>
      <c r="DZ11" s="186" t="s">
        <v>106</v>
      </c>
      <c r="EA11" s="187" t="s">
        <v>7114</v>
      </c>
      <c r="EB11" s="187" t="s">
        <v>6962</v>
      </c>
      <c r="EC11" s="187" t="s">
        <v>2169</v>
      </c>
      <c r="ED11" s="187" t="s">
        <v>1553</v>
      </c>
      <c r="EE11" s="187" t="s">
        <v>1522</v>
      </c>
      <c r="EF11" s="187" t="s">
        <v>1304</v>
      </c>
    </row>
    <row r="12" spans="1:136" x14ac:dyDescent="0.2">
      <c r="A12" s="292"/>
      <c r="B12" s="46" t="s">
        <v>88</v>
      </c>
      <c r="C12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>4419273.8499999996</v>
      </c>
      <c r="D12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3384491.03</v>
      </c>
      <c r="E12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3819906.95</v>
      </c>
      <c r="F12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3307048.25</v>
      </c>
      <c r="G12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2062219.36</v>
      </c>
      <c r="H12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2589356</v>
      </c>
      <c r="I12" s="48"/>
      <c r="J12" s="46" t="s">
        <v>88</v>
      </c>
      <c r="K12" s="131">
        <v>415855.11</v>
      </c>
      <c r="L12" s="48">
        <v>370437.56</v>
      </c>
      <c r="M12" s="48">
        <v>452783.59</v>
      </c>
      <c r="N12" s="48">
        <v>410040.22</v>
      </c>
      <c r="O12" s="48">
        <v>274038</v>
      </c>
      <c r="P12" s="48">
        <v>441117</v>
      </c>
      <c r="R12" s="46" t="s">
        <v>88</v>
      </c>
      <c r="S12" s="131">
        <v>206795.07</v>
      </c>
      <c r="T12" s="48">
        <v>191414.29</v>
      </c>
      <c r="U12" s="48">
        <v>234537.84</v>
      </c>
      <c r="V12" s="48">
        <v>232985</v>
      </c>
      <c r="W12" s="48">
        <v>167692</v>
      </c>
      <c r="X12" s="48">
        <v>236528</v>
      </c>
      <c r="Z12" s="46" t="s">
        <v>88</v>
      </c>
      <c r="AA12" s="131">
        <v>261126.99</v>
      </c>
      <c r="AB12" s="48">
        <v>258424.23</v>
      </c>
      <c r="AC12" s="48">
        <v>307323.75</v>
      </c>
      <c r="AD12" s="48">
        <v>275698.55</v>
      </c>
      <c r="AE12" s="48">
        <v>204744</v>
      </c>
      <c r="AF12" s="48">
        <v>277579</v>
      </c>
      <c r="AH12" s="46" t="s">
        <v>88</v>
      </c>
      <c r="AI12" s="131"/>
      <c r="AJ12" s="131">
        <v>382463.66</v>
      </c>
      <c r="AK12" s="48">
        <v>408884.14</v>
      </c>
      <c r="AL12" s="48">
        <v>364025</v>
      </c>
      <c r="AM12" s="48">
        <v>242951</v>
      </c>
      <c r="AN12" s="48">
        <v>342294</v>
      </c>
      <c r="AP12" s="46" t="s">
        <v>88</v>
      </c>
      <c r="AQ12" s="131">
        <v>457867.94</v>
      </c>
      <c r="AR12" s="131">
        <v>448803.22</v>
      </c>
      <c r="AS12" s="48">
        <v>466855.85</v>
      </c>
      <c r="AT12" s="48">
        <v>406427.07</v>
      </c>
      <c r="AU12" s="48">
        <v>309760.57</v>
      </c>
      <c r="AV12" s="48"/>
      <c r="AX12" s="46" t="s">
        <v>88</v>
      </c>
      <c r="AY12" s="131"/>
      <c r="AZ12" s="48">
        <v>242390</v>
      </c>
      <c r="BA12" s="48">
        <v>250297.29</v>
      </c>
      <c r="BB12" s="48">
        <v>228199.74</v>
      </c>
      <c r="BC12" s="48"/>
      <c r="BD12" s="48"/>
      <c r="BE12" s="48"/>
      <c r="BF12" s="46" t="s">
        <v>88</v>
      </c>
      <c r="BG12" s="131">
        <v>225059.06</v>
      </c>
      <c r="BH12" s="48">
        <v>246524.07</v>
      </c>
      <c r="BI12" s="48">
        <v>243468.88</v>
      </c>
      <c r="BJ12" s="48"/>
      <c r="BK12" s="48"/>
      <c r="BL12" s="48"/>
      <c r="BM12" s="48"/>
      <c r="BN12" s="46" t="s">
        <v>88</v>
      </c>
      <c r="BO12" s="131">
        <v>352127.46</v>
      </c>
      <c r="BP12" s="48">
        <v>335149</v>
      </c>
      <c r="BQ12" s="48">
        <v>355277.53</v>
      </c>
      <c r="BR12" s="48">
        <v>342395.67</v>
      </c>
      <c r="BS12" s="48">
        <v>221755.58</v>
      </c>
      <c r="BT12" s="48">
        <v>334376</v>
      </c>
      <c r="BV12" s="46" t="s">
        <v>88</v>
      </c>
      <c r="BW12" s="131">
        <v>241429.07</v>
      </c>
      <c r="BX12" s="48">
        <v>232055</v>
      </c>
      <c r="BY12" s="48">
        <v>256141.46</v>
      </c>
      <c r="BZ12" s="48">
        <v>239038</v>
      </c>
      <c r="CA12" s="48">
        <v>174923.3</v>
      </c>
      <c r="CB12" s="48">
        <v>220806</v>
      </c>
      <c r="CC12" s="48"/>
      <c r="CD12" s="46" t="s">
        <v>88</v>
      </c>
      <c r="CE12" s="131">
        <v>318555.94</v>
      </c>
      <c r="CF12" s="48">
        <v>360434</v>
      </c>
      <c r="CG12" s="48">
        <v>342840.96</v>
      </c>
      <c r="CH12" s="48">
        <v>352434</v>
      </c>
      <c r="CI12" s="48">
        <v>180222.61</v>
      </c>
      <c r="CJ12" s="48">
        <v>310830</v>
      </c>
      <c r="CL12" s="46" t="s">
        <v>88</v>
      </c>
      <c r="CM12" s="131">
        <v>379222.46</v>
      </c>
      <c r="CN12" s="48">
        <v>316396</v>
      </c>
      <c r="CO12" s="48">
        <v>501495.66</v>
      </c>
      <c r="CP12" s="48">
        <v>455805</v>
      </c>
      <c r="CQ12" s="48">
        <v>286132.3</v>
      </c>
      <c r="CR12" s="48">
        <v>425826</v>
      </c>
      <c r="CT12" s="46" t="s">
        <v>88</v>
      </c>
      <c r="CU12" s="131">
        <v>456276.63</v>
      </c>
      <c r="CV12" s="131">
        <v>414258</v>
      </c>
      <c r="CW12" s="48"/>
      <c r="CX12" s="48"/>
      <c r="CY12" s="48"/>
      <c r="CZ12" s="48"/>
      <c r="DB12" s="46" t="s">
        <v>88</v>
      </c>
      <c r="DC12" s="131">
        <v>539432.95999999996</v>
      </c>
      <c r="DD12" s="48">
        <v>507935</v>
      </c>
      <c r="DE12" s="48"/>
      <c r="DF12" s="48"/>
      <c r="DG12" s="48"/>
      <c r="DH12" s="48"/>
      <c r="DI12" s="48"/>
      <c r="DJ12" s="46" t="s">
        <v>88</v>
      </c>
      <c r="DK12" s="131">
        <v>217804.69</v>
      </c>
      <c r="DL12" s="48">
        <v>210624</v>
      </c>
      <c r="DM12" s="48"/>
      <c r="DN12" s="48"/>
      <c r="DO12" s="48"/>
      <c r="DP12" s="48"/>
      <c r="DR12" s="46" t="s">
        <v>143</v>
      </c>
      <c r="DS12" s="131">
        <v>347720.47</v>
      </c>
      <c r="DT12" s="48">
        <v>349402</v>
      </c>
      <c r="DU12" s="48"/>
      <c r="DV12" s="48"/>
      <c r="DW12" s="48"/>
      <c r="DX12" s="48"/>
      <c r="DZ12" s="46" t="s">
        <v>143</v>
      </c>
      <c r="EA12" s="131">
        <v>207907.62</v>
      </c>
      <c r="EB12" s="48"/>
      <c r="EC12" s="48"/>
      <c r="ED12" s="48"/>
      <c r="EE12" s="48"/>
      <c r="EF12" s="48"/>
    </row>
    <row r="13" spans="1:136" x14ac:dyDescent="0.2">
      <c r="A13" s="292"/>
      <c r="B13" s="46" t="s">
        <v>6994</v>
      </c>
      <c r="C13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3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3304328.7299999995</v>
      </c>
      <c r="E13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3788362.5199999996</v>
      </c>
      <c r="F13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3340095.03</v>
      </c>
      <c r="G13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1940064.75</v>
      </c>
      <c r="H13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2624115</v>
      </c>
      <c r="I13" s="48"/>
      <c r="J13" s="46" t="s">
        <v>6994</v>
      </c>
      <c r="K13" s="131"/>
      <c r="L13" s="48">
        <v>352966.75</v>
      </c>
      <c r="M13" s="48">
        <v>440390.28</v>
      </c>
      <c r="N13" s="48">
        <v>424042.65</v>
      </c>
      <c r="O13" s="48">
        <v>248204</v>
      </c>
      <c r="P13" s="48">
        <v>452243</v>
      </c>
      <c r="R13" s="46" t="s">
        <v>6994</v>
      </c>
      <c r="S13" s="131"/>
      <c r="T13" s="48">
        <v>190901.19</v>
      </c>
      <c r="U13" s="48">
        <v>226582.81</v>
      </c>
      <c r="V13" s="48">
        <v>235577</v>
      </c>
      <c r="W13" s="48">
        <v>155321.98000000001</v>
      </c>
      <c r="X13" s="48">
        <v>233169</v>
      </c>
      <c r="Z13" s="46" t="s">
        <v>6994</v>
      </c>
      <c r="AA13" s="131"/>
      <c r="AB13" s="48">
        <v>270167.67</v>
      </c>
      <c r="AC13" s="48">
        <v>304617.43</v>
      </c>
      <c r="AD13" s="48">
        <v>275729</v>
      </c>
      <c r="AE13" s="48">
        <v>184027.43</v>
      </c>
      <c r="AF13" s="48">
        <v>286952</v>
      </c>
      <c r="AH13" s="46" t="s">
        <v>6994</v>
      </c>
      <c r="AI13" s="131"/>
      <c r="AJ13" s="131">
        <v>364703.69</v>
      </c>
      <c r="AK13" s="48">
        <v>384687.46</v>
      </c>
      <c r="AL13" s="48">
        <v>363782</v>
      </c>
      <c r="AM13" s="48">
        <v>223431</v>
      </c>
      <c r="AN13" s="48">
        <v>327298</v>
      </c>
      <c r="AP13" s="46" t="s">
        <v>6994</v>
      </c>
      <c r="AQ13" s="273"/>
      <c r="AR13" s="131">
        <v>427576.14</v>
      </c>
      <c r="AS13" s="48">
        <v>463905.03</v>
      </c>
      <c r="AT13" s="48">
        <v>422363.19</v>
      </c>
      <c r="AU13" s="48">
        <v>271184</v>
      </c>
      <c r="AV13" s="48"/>
      <c r="AX13" s="46" t="s">
        <v>6994</v>
      </c>
      <c r="AY13" s="131"/>
      <c r="AZ13" s="48">
        <v>230968.84</v>
      </c>
      <c r="BA13" s="48">
        <v>244019.37</v>
      </c>
      <c r="BB13" s="48">
        <v>223106.15</v>
      </c>
      <c r="BC13" s="48"/>
      <c r="BD13" s="48"/>
      <c r="BE13" s="48"/>
      <c r="BF13" s="46" t="s">
        <v>6994</v>
      </c>
      <c r="BG13" s="131"/>
      <c r="BH13" s="48">
        <v>234695.67999999999</v>
      </c>
      <c r="BI13" s="48">
        <v>251885.69</v>
      </c>
      <c r="BJ13" s="48"/>
      <c r="BK13" s="48"/>
      <c r="BL13" s="48"/>
      <c r="BM13" s="48"/>
      <c r="BN13" s="46" t="s">
        <v>6994</v>
      </c>
      <c r="BO13" s="131"/>
      <c r="BP13" s="48">
        <v>325760.51</v>
      </c>
      <c r="BQ13" s="48">
        <v>348867.11</v>
      </c>
      <c r="BR13" s="48">
        <v>326017</v>
      </c>
      <c r="BS13" s="48">
        <v>206170.72</v>
      </c>
      <c r="BT13" s="48">
        <v>322630</v>
      </c>
      <c r="BV13" s="46" t="s">
        <v>6994</v>
      </c>
      <c r="BW13" s="131"/>
      <c r="BX13" s="48">
        <v>231274.57</v>
      </c>
      <c r="BY13" s="48">
        <v>270825.33</v>
      </c>
      <c r="BZ13" s="48">
        <v>257799</v>
      </c>
      <c r="CA13" s="48">
        <v>172881.16</v>
      </c>
      <c r="CB13" s="48">
        <v>232016</v>
      </c>
      <c r="CC13" s="48"/>
      <c r="CD13" s="46" t="s">
        <v>6994</v>
      </c>
      <c r="CE13" s="131"/>
      <c r="CF13" s="48">
        <v>355408.48</v>
      </c>
      <c r="CG13" s="48">
        <v>363375.48</v>
      </c>
      <c r="CH13" s="48">
        <v>360532.04</v>
      </c>
      <c r="CI13" s="48">
        <v>225127.07</v>
      </c>
      <c r="CJ13" s="48">
        <v>337530</v>
      </c>
      <c r="CL13" s="46" t="s">
        <v>6994</v>
      </c>
      <c r="CM13" s="131"/>
      <c r="CN13" s="48">
        <v>319905.21000000002</v>
      </c>
      <c r="CO13" s="48">
        <v>489206.53</v>
      </c>
      <c r="CP13" s="48">
        <v>451147</v>
      </c>
      <c r="CQ13" s="48">
        <v>253717.39</v>
      </c>
      <c r="CR13" s="48">
        <v>432277</v>
      </c>
      <c r="CT13" s="46" t="s">
        <v>6994</v>
      </c>
      <c r="CU13" s="131"/>
      <c r="CV13" s="131">
        <v>392445.19</v>
      </c>
      <c r="CW13" s="48"/>
      <c r="CX13" s="48"/>
      <c r="CY13" s="48"/>
      <c r="CZ13" s="48"/>
      <c r="DB13" s="46" t="s">
        <v>6994</v>
      </c>
      <c r="DC13" s="131"/>
      <c r="DD13" s="48">
        <v>459930.54</v>
      </c>
      <c r="DE13" s="48"/>
      <c r="DF13" s="48"/>
      <c r="DG13" s="48"/>
      <c r="DH13" s="48"/>
      <c r="DI13" s="48"/>
      <c r="DJ13" s="46" t="s">
        <v>6994</v>
      </c>
      <c r="DK13" s="131"/>
      <c r="DL13" s="48">
        <v>197914.73</v>
      </c>
      <c r="DM13" s="48"/>
      <c r="DN13" s="48"/>
      <c r="DO13" s="48"/>
      <c r="DP13" s="48"/>
      <c r="DR13" s="46" t="s">
        <v>5</v>
      </c>
      <c r="DS13" s="131"/>
      <c r="DT13" s="48">
        <v>329585.52</v>
      </c>
      <c r="DU13" s="48"/>
      <c r="DV13" s="48"/>
      <c r="DW13" s="48"/>
      <c r="DX13" s="48"/>
      <c r="DZ13" s="46" t="s">
        <v>5</v>
      </c>
      <c r="EA13" s="131"/>
      <c r="EB13" s="48"/>
      <c r="EC13" s="48"/>
      <c r="ED13" s="48"/>
      <c r="EE13" s="48"/>
      <c r="EF13" s="48"/>
    </row>
    <row r="14" spans="1:136" x14ac:dyDescent="0.2">
      <c r="A14" s="292"/>
      <c r="B14" s="46" t="s">
        <v>89</v>
      </c>
      <c r="C14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4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3717579.8100000005</v>
      </c>
      <c r="E14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3826062.7000000007</v>
      </c>
      <c r="F14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3387927.99</v>
      </c>
      <c r="G14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2019870.3200000003</v>
      </c>
      <c r="H14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1215077</v>
      </c>
      <c r="I14" s="48"/>
      <c r="J14" s="46" t="s">
        <v>89</v>
      </c>
      <c r="K14" s="131"/>
      <c r="L14" s="48">
        <v>404083.86</v>
      </c>
      <c r="M14" s="48">
        <v>443461.83</v>
      </c>
      <c r="N14" s="48">
        <v>433865</v>
      </c>
      <c r="O14" s="48">
        <v>275166.78999999998</v>
      </c>
      <c r="P14" s="48">
        <v>232764</v>
      </c>
      <c r="R14" s="46" t="s">
        <v>89</v>
      </c>
      <c r="S14" s="131"/>
      <c r="T14" s="48">
        <v>218924.43</v>
      </c>
      <c r="U14" s="48">
        <v>235261.89</v>
      </c>
      <c r="V14" s="48">
        <v>233861</v>
      </c>
      <c r="W14" s="48">
        <v>159400.46</v>
      </c>
      <c r="X14" s="48">
        <v>117506</v>
      </c>
      <c r="Z14" s="46" t="s">
        <v>89</v>
      </c>
      <c r="AA14" s="131"/>
      <c r="AB14" s="48">
        <v>312242.59000000003</v>
      </c>
      <c r="AC14" s="48">
        <v>322490.84999999998</v>
      </c>
      <c r="AD14" s="48">
        <v>307652</v>
      </c>
      <c r="AE14" s="48">
        <v>192914.13</v>
      </c>
      <c r="AF14" s="48">
        <v>155313</v>
      </c>
      <c r="AH14" s="46" t="s">
        <v>89</v>
      </c>
      <c r="AI14" s="131"/>
      <c r="AJ14" s="131">
        <v>399026.52</v>
      </c>
      <c r="AK14" s="48">
        <v>405708.46</v>
      </c>
      <c r="AL14" s="48">
        <v>371731</v>
      </c>
      <c r="AM14" s="48">
        <v>232739</v>
      </c>
      <c r="AN14" s="48">
        <v>58433</v>
      </c>
      <c r="AP14" s="46" t="s">
        <v>89</v>
      </c>
      <c r="AQ14" s="131"/>
      <c r="AR14" s="131">
        <v>475532.13</v>
      </c>
      <c r="AS14" s="48">
        <v>462896.02</v>
      </c>
      <c r="AT14" s="48">
        <v>407198.99</v>
      </c>
      <c r="AU14" s="48">
        <v>271701.96999999997</v>
      </c>
      <c r="AV14" s="48"/>
      <c r="AX14" s="46" t="s">
        <v>89</v>
      </c>
      <c r="AY14" s="131"/>
      <c r="AZ14" s="48">
        <v>264015.46000000002</v>
      </c>
      <c r="BA14" s="48">
        <v>260076.98</v>
      </c>
      <c r="BB14" s="48">
        <v>224987</v>
      </c>
      <c r="BC14" s="48"/>
      <c r="BD14" s="48"/>
      <c r="BE14" s="48"/>
      <c r="BF14" s="46" t="s">
        <v>89</v>
      </c>
      <c r="BG14" s="131"/>
      <c r="BH14" s="48">
        <v>252817.8</v>
      </c>
      <c r="BI14" s="48">
        <v>230633.48</v>
      </c>
      <c r="BJ14" s="48"/>
      <c r="BK14" s="48"/>
      <c r="BL14" s="48"/>
      <c r="BM14" s="48"/>
      <c r="BN14" s="46" t="s">
        <v>89</v>
      </c>
      <c r="BO14" s="131"/>
      <c r="BP14" s="48">
        <v>360559.25</v>
      </c>
      <c r="BQ14" s="48">
        <v>353309.04</v>
      </c>
      <c r="BR14" s="48">
        <v>340232</v>
      </c>
      <c r="BS14" s="48">
        <v>210332.3</v>
      </c>
      <c r="BT14" s="48">
        <v>173818</v>
      </c>
      <c r="BV14" s="46" t="s">
        <v>89</v>
      </c>
      <c r="BW14" s="131"/>
      <c r="BX14" s="48">
        <v>265363.7</v>
      </c>
      <c r="BY14" s="48">
        <v>263470.62</v>
      </c>
      <c r="BZ14" s="48">
        <v>254313</v>
      </c>
      <c r="CA14" s="48">
        <v>167429.35</v>
      </c>
      <c r="CB14" s="48">
        <v>105409</v>
      </c>
      <c r="CC14" s="48"/>
      <c r="CD14" s="46" t="s">
        <v>89</v>
      </c>
      <c r="CE14" s="131"/>
      <c r="CF14" s="48">
        <v>373324.43</v>
      </c>
      <c r="CG14" s="48">
        <v>353293.89</v>
      </c>
      <c r="CH14" s="48">
        <v>360379</v>
      </c>
      <c r="CI14" s="48">
        <v>225944.73</v>
      </c>
      <c r="CJ14" s="48">
        <v>153876</v>
      </c>
      <c r="CL14" s="46" t="s">
        <v>89</v>
      </c>
      <c r="CM14" s="131"/>
      <c r="CN14" s="48">
        <v>391689.64</v>
      </c>
      <c r="CO14" s="48">
        <v>495459.64</v>
      </c>
      <c r="CP14" s="48">
        <v>453709</v>
      </c>
      <c r="CQ14" s="48">
        <v>284241.59000000003</v>
      </c>
      <c r="CR14" s="48">
        <v>217958</v>
      </c>
      <c r="CT14" s="46" t="s">
        <v>89</v>
      </c>
      <c r="CU14" s="131"/>
      <c r="CV14" s="131">
        <v>444754.05</v>
      </c>
      <c r="CW14" s="48"/>
      <c r="CX14" s="48"/>
      <c r="CY14" s="48"/>
      <c r="CZ14" s="48"/>
      <c r="DB14" s="46" t="s">
        <v>89</v>
      </c>
      <c r="DC14" s="131"/>
      <c r="DD14" s="48">
        <v>542913.28000000003</v>
      </c>
      <c r="DE14" s="48"/>
      <c r="DF14" s="48"/>
      <c r="DG14" s="48"/>
      <c r="DH14" s="48"/>
      <c r="DI14" s="48"/>
      <c r="DJ14" s="46" t="s">
        <v>89</v>
      </c>
      <c r="DK14" s="131"/>
      <c r="DL14" s="48">
        <v>202057.96</v>
      </c>
      <c r="DM14" s="48"/>
      <c r="DN14" s="48"/>
      <c r="DO14" s="48"/>
      <c r="DP14" s="48"/>
      <c r="DR14" s="46" t="s">
        <v>7</v>
      </c>
      <c r="DS14" s="131"/>
      <c r="DT14" s="48">
        <v>365921.67</v>
      </c>
      <c r="DU14" s="48"/>
      <c r="DV14" s="48"/>
      <c r="DW14" s="48"/>
      <c r="DX14" s="48"/>
      <c r="DZ14" s="46" t="s">
        <v>7</v>
      </c>
      <c r="EA14" s="131"/>
      <c r="EB14" s="48"/>
      <c r="EC14" s="48"/>
      <c r="ED14" s="48"/>
      <c r="EE14" s="48"/>
      <c r="EF14" s="48"/>
    </row>
    <row r="15" spans="1:136" x14ac:dyDescent="0.2">
      <c r="A15" s="292"/>
      <c r="B15" s="46" t="s">
        <v>90</v>
      </c>
      <c r="C15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5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3800504.69</v>
      </c>
      <c r="E15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4266701.2200000007</v>
      </c>
      <c r="F15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3608854.75</v>
      </c>
      <c r="G15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2140760.7800000003</v>
      </c>
      <c r="H15" s="48" t="str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5" s="48"/>
      <c r="J15" s="46" t="s">
        <v>90</v>
      </c>
      <c r="K15" s="131"/>
      <c r="L15" s="48">
        <v>393768.79</v>
      </c>
      <c r="M15" s="48">
        <v>480497.47</v>
      </c>
      <c r="N15" s="48">
        <v>437342.26</v>
      </c>
      <c r="O15" s="48">
        <v>291766.95</v>
      </c>
      <c r="P15" s="48">
        <v>0</v>
      </c>
      <c r="R15" s="46" t="s">
        <v>90</v>
      </c>
      <c r="S15" s="131"/>
      <c r="T15" s="48">
        <v>226915.83</v>
      </c>
      <c r="U15" s="48">
        <v>248382.63</v>
      </c>
      <c r="V15" s="48">
        <v>243092</v>
      </c>
      <c r="W15" s="48">
        <v>168862</v>
      </c>
      <c r="X15" s="48">
        <v>0</v>
      </c>
      <c r="Z15" s="46" t="s">
        <v>90</v>
      </c>
      <c r="AA15" s="131"/>
      <c r="AB15" s="48">
        <v>303447.08</v>
      </c>
      <c r="AC15" s="48">
        <v>323832.49</v>
      </c>
      <c r="AD15" s="48">
        <v>291578.68</v>
      </c>
      <c r="AE15" s="48">
        <v>209794.25</v>
      </c>
      <c r="AF15" s="48">
        <v>0</v>
      </c>
      <c r="AH15" s="46" t="s">
        <v>90</v>
      </c>
      <c r="AI15" s="131"/>
      <c r="AJ15" s="131">
        <v>418729.47</v>
      </c>
      <c r="AK15" s="48">
        <v>439098.5</v>
      </c>
      <c r="AL15" s="48">
        <v>384230.19</v>
      </c>
      <c r="AM15" s="48">
        <v>260127.79</v>
      </c>
      <c r="AN15" s="48">
        <v>0</v>
      </c>
      <c r="AP15" s="46" t="s">
        <v>90</v>
      </c>
      <c r="AQ15" s="131"/>
      <c r="AR15" s="131">
        <v>473348.8</v>
      </c>
      <c r="AS15" s="48">
        <v>521208.14</v>
      </c>
      <c r="AT15" s="48">
        <v>447841.34</v>
      </c>
      <c r="AU15" s="48">
        <v>278202.63</v>
      </c>
      <c r="AV15" s="48"/>
      <c r="AX15" s="46" t="s">
        <v>90</v>
      </c>
      <c r="AY15" s="131"/>
      <c r="AZ15" s="48">
        <v>269252.90999999997</v>
      </c>
      <c r="BA15" s="48">
        <v>294425.03999999998</v>
      </c>
      <c r="BB15" s="48">
        <v>247988.7</v>
      </c>
      <c r="BC15" s="48"/>
      <c r="BD15" s="48"/>
      <c r="BE15" s="48"/>
      <c r="BF15" s="46" t="s">
        <v>90</v>
      </c>
      <c r="BG15" s="131"/>
      <c r="BH15" s="48">
        <v>275154.17</v>
      </c>
      <c r="BI15" s="48">
        <v>310340.92</v>
      </c>
      <c r="BJ15" s="48"/>
      <c r="BK15" s="48"/>
      <c r="BL15" s="48"/>
      <c r="BM15" s="48"/>
      <c r="BN15" s="46" t="s">
        <v>90</v>
      </c>
      <c r="BO15" s="131"/>
      <c r="BP15" s="48">
        <v>354160.18</v>
      </c>
      <c r="BQ15" s="48">
        <v>374796.47</v>
      </c>
      <c r="BR15" s="48">
        <v>362492.81</v>
      </c>
      <c r="BS15" s="48">
        <v>233733.04</v>
      </c>
      <c r="BT15" s="48">
        <v>0</v>
      </c>
      <c r="BV15" s="46" t="s">
        <v>90</v>
      </c>
      <c r="BW15" s="131"/>
      <c r="BX15" s="48">
        <v>291579.53999999998</v>
      </c>
      <c r="BY15" s="48">
        <v>311465.28999999998</v>
      </c>
      <c r="BZ15" s="48">
        <v>306176</v>
      </c>
      <c r="CA15" s="48">
        <v>174507.68</v>
      </c>
      <c r="CB15" s="48">
        <v>0</v>
      </c>
      <c r="CC15" s="48"/>
      <c r="CD15" s="46" t="s">
        <v>90</v>
      </c>
      <c r="CE15" s="131"/>
      <c r="CF15" s="48">
        <v>412202.6</v>
      </c>
      <c r="CG15" s="48">
        <v>415771.41</v>
      </c>
      <c r="CH15" s="48">
        <v>385597.19</v>
      </c>
      <c r="CI15" s="48">
        <v>231696.36</v>
      </c>
      <c r="CJ15" s="48">
        <v>0</v>
      </c>
      <c r="CL15" s="46" t="s">
        <v>90</v>
      </c>
      <c r="CM15" s="131"/>
      <c r="CN15" s="48">
        <v>381945.32</v>
      </c>
      <c r="CO15" s="48">
        <v>546882.86</v>
      </c>
      <c r="CP15" s="48">
        <v>502515.58</v>
      </c>
      <c r="CQ15" s="48">
        <v>292070.08</v>
      </c>
      <c r="CR15" s="48">
        <v>0</v>
      </c>
      <c r="CT15" s="46" t="s">
        <v>90</v>
      </c>
      <c r="CU15" s="131"/>
      <c r="CV15" s="131">
        <v>421523.02</v>
      </c>
      <c r="CW15" s="48"/>
      <c r="CX15" s="48"/>
      <c r="CY15" s="48"/>
      <c r="CZ15" s="48"/>
      <c r="DB15" s="46" t="s">
        <v>90</v>
      </c>
      <c r="DC15" s="131"/>
      <c r="DD15" s="48">
        <v>514695.74</v>
      </c>
      <c r="DE15" s="48"/>
      <c r="DF15" s="48"/>
      <c r="DG15" s="48"/>
      <c r="DH15" s="48"/>
      <c r="DI15" s="48"/>
      <c r="DJ15" s="46" t="s">
        <v>90</v>
      </c>
      <c r="DK15" s="131"/>
      <c r="DL15" s="48">
        <v>198183.77</v>
      </c>
      <c r="DM15" s="48"/>
      <c r="DN15" s="48"/>
      <c r="DO15" s="48"/>
      <c r="DP15" s="48"/>
      <c r="DR15" s="46" t="s">
        <v>9</v>
      </c>
      <c r="DS15" s="131"/>
      <c r="DT15" s="48">
        <v>342732.24</v>
      </c>
      <c r="DU15" s="48"/>
      <c r="DV15" s="48"/>
      <c r="DW15" s="48"/>
      <c r="DX15" s="48"/>
      <c r="DZ15" s="46" t="s">
        <v>9</v>
      </c>
      <c r="EA15" s="131"/>
      <c r="EB15" s="48"/>
      <c r="EC15" s="48"/>
      <c r="ED15" s="48"/>
      <c r="EE15" s="48"/>
      <c r="EF15" s="48"/>
    </row>
    <row r="16" spans="1:136" x14ac:dyDescent="0.2">
      <c r="A16" s="292"/>
      <c r="B16" s="46" t="s">
        <v>91</v>
      </c>
      <c r="C16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6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3916103.36</v>
      </c>
      <c r="E16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4361231.0299999993</v>
      </c>
      <c r="F16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3820596.5100000002</v>
      </c>
      <c r="G16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2934702.62</v>
      </c>
      <c r="H16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1350113</v>
      </c>
      <c r="I16" s="48"/>
      <c r="J16" s="46" t="s">
        <v>91</v>
      </c>
      <c r="K16" s="131"/>
      <c r="L16" s="48">
        <v>419059.36</v>
      </c>
      <c r="M16" s="48">
        <v>470982.74</v>
      </c>
      <c r="N16" s="48">
        <v>457986.5</v>
      </c>
      <c r="O16" s="48">
        <v>377173</v>
      </c>
      <c r="P16" s="48">
        <v>221036</v>
      </c>
      <c r="R16" s="46" t="s">
        <v>91</v>
      </c>
      <c r="S16" s="131"/>
      <c r="T16" s="48">
        <v>228856.24</v>
      </c>
      <c r="U16" s="48">
        <v>248561.07</v>
      </c>
      <c r="V16" s="48">
        <v>241024.58</v>
      </c>
      <c r="W16" s="48">
        <v>221124.46</v>
      </c>
      <c r="X16" s="48">
        <v>70984</v>
      </c>
      <c r="Z16" s="46" t="s">
        <v>91</v>
      </c>
      <c r="AA16" s="131"/>
      <c r="AB16" s="48">
        <v>244167.43</v>
      </c>
      <c r="AC16" s="48">
        <v>295537.26</v>
      </c>
      <c r="AD16" s="48">
        <v>315538.21999999997</v>
      </c>
      <c r="AE16" s="48">
        <v>251941.37</v>
      </c>
      <c r="AF16" s="48">
        <v>133029</v>
      </c>
      <c r="AH16" s="46" t="s">
        <v>91</v>
      </c>
      <c r="AI16" s="131"/>
      <c r="AJ16" s="131">
        <v>421584.58</v>
      </c>
      <c r="AK16" s="48">
        <v>446715.62</v>
      </c>
      <c r="AL16" s="48">
        <v>403500.91</v>
      </c>
      <c r="AM16" s="48">
        <v>345615.56</v>
      </c>
      <c r="AN16" s="48">
        <v>217701</v>
      </c>
      <c r="AP16" s="46" t="s">
        <v>91</v>
      </c>
      <c r="AQ16" s="131"/>
      <c r="AR16" s="131">
        <v>475377.76</v>
      </c>
      <c r="AS16" s="48">
        <v>519965.71</v>
      </c>
      <c r="AT16" s="48">
        <v>469972.49</v>
      </c>
      <c r="AU16" s="48">
        <v>390784.89</v>
      </c>
      <c r="AV16" s="48"/>
      <c r="AX16" s="46" t="s">
        <v>91</v>
      </c>
      <c r="AY16" s="131"/>
      <c r="AZ16" s="48">
        <v>283152.21000000002</v>
      </c>
      <c r="BA16" s="48">
        <v>301706.03000000003</v>
      </c>
      <c r="BB16" s="48">
        <v>267337.09000000003</v>
      </c>
      <c r="BC16" s="48"/>
      <c r="BD16" s="48"/>
      <c r="BE16" s="48"/>
      <c r="BF16" s="46" t="s">
        <v>91</v>
      </c>
      <c r="BG16" s="131"/>
      <c r="BH16" s="48">
        <v>293051.34000000003</v>
      </c>
      <c r="BI16" s="48">
        <v>311153.21000000002</v>
      </c>
      <c r="BJ16" s="48"/>
      <c r="BK16" s="48"/>
      <c r="BL16" s="48"/>
      <c r="BM16" s="48"/>
      <c r="BN16" s="46" t="s">
        <v>91</v>
      </c>
      <c r="BO16" s="131"/>
      <c r="BP16" s="48">
        <v>377846.04</v>
      </c>
      <c r="BQ16" s="48">
        <v>384943.9</v>
      </c>
      <c r="BR16" s="48">
        <v>385855.2</v>
      </c>
      <c r="BS16" s="48">
        <v>311091.26</v>
      </c>
      <c r="BT16" s="48">
        <v>150440</v>
      </c>
      <c r="BV16" s="46" t="s">
        <v>91</v>
      </c>
      <c r="BW16" s="131"/>
      <c r="BX16" s="48">
        <v>313676.96000000002</v>
      </c>
      <c r="BY16" s="48">
        <v>343374.77</v>
      </c>
      <c r="BZ16" s="48">
        <v>324403.65999999997</v>
      </c>
      <c r="CA16" s="48">
        <v>267280.5</v>
      </c>
      <c r="CB16" s="48">
        <v>92920</v>
      </c>
      <c r="CC16" s="48"/>
      <c r="CD16" s="46" t="s">
        <v>91</v>
      </c>
      <c r="CE16" s="131"/>
      <c r="CF16" s="48">
        <v>459838.44</v>
      </c>
      <c r="CG16" s="48">
        <v>482261.8</v>
      </c>
      <c r="CH16" s="48">
        <v>439141.06</v>
      </c>
      <c r="CI16" s="48">
        <v>366579</v>
      </c>
      <c r="CJ16" s="48">
        <v>245284</v>
      </c>
      <c r="CL16" s="46" t="s">
        <v>91</v>
      </c>
      <c r="CM16" s="131"/>
      <c r="CN16" s="48">
        <v>399493</v>
      </c>
      <c r="CO16" s="48">
        <v>556028.92000000004</v>
      </c>
      <c r="CP16" s="48">
        <v>515836.8</v>
      </c>
      <c r="CQ16" s="48">
        <v>403112.58</v>
      </c>
      <c r="CR16" s="48">
        <v>218719</v>
      </c>
      <c r="CT16" s="46" t="s">
        <v>91</v>
      </c>
      <c r="CU16" s="131"/>
      <c r="CV16" s="131">
        <v>440171.64</v>
      </c>
      <c r="CW16" s="48"/>
      <c r="CX16" s="48"/>
      <c r="CY16" s="48"/>
      <c r="CZ16" s="48"/>
      <c r="DB16" s="46" t="s">
        <v>91</v>
      </c>
      <c r="DC16" s="131"/>
      <c r="DD16" s="48">
        <v>533534.93000000005</v>
      </c>
      <c r="DE16" s="48"/>
      <c r="DF16" s="48"/>
      <c r="DG16" s="48"/>
      <c r="DH16" s="48"/>
      <c r="DI16" s="48"/>
      <c r="DJ16" s="46" t="s">
        <v>91</v>
      </c>
      <c r="DK16" s="131"/>
      <c r="DL16" s="48">
        <v>203122.39</v>
      </c>
      <c r="DM16" s="48"/>
      <c r="DN16" s="48"/>
      <c r="DO16" s="48"/>
      <c r="DP16" s="48"/>
      <c r="DR16" s="46" t="s">
        <v>11</v>
      </c>
      <c r="DS16" s="131"/>
      <c r="DT16" s="48">
        <v>358236.54</v>
      </c>
      <c r="DU16" s="48"/>
      <c r="DV16" s="48"/>
      <c r="DW16" s="48"/>
      <c r="DX16" s="48"/>
      <c r="DZ16" s="46" t="s">
        <v>11</v>
      </c>
      <c r="EA16" s="131"/>
      <c r="EB16" s="48"/>
      <c r="EC16" s="48"/>
      <c r="ED16" s="48"/>
      <c r="EE16" s="48"/>
      <c r="EF16" s="48"/>
    </row>
    <row r="17" spans="1:136" x14ac:dyDescent="0.2">
      <c r="A17" s="292"/>
      <c r="B17" s="46" t="s">
        <v>92</v>
      </c>
      <c r="C17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7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3808054.51</v>
      </c>
      <c r="E17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4039384.5</v>
      </c>
      <c r="F17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3745685.4520000005</v>
      </c>
      <c r="G17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3100648.85</v>
      </c>
      <c r="H17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2505531</v>
      </c>
      <c r="I17" s="48"/>
      <c r="J17" s="46" t="s">
        <v>92</v>
      </c>
      <c r="K17" s="131"/>
      <c r="L17" s="48">
        <v>391291.72</v>
      </c>
      <c r="M17" s="48">
        <v>454072.41</v>
      </c>
      <c r="N17" s="48">
        <v>441503.85</v>
      </c>
      <c r="O17" s="48">
        <v>437698.81</v>
      </c>
      <c r="P17" s="48">
        <v>371908</v>
      </c>
      <c r="R17" s="46" t="s">
        <v>92</v>
      </c>
      <c r="S17" s="131"/>
      <c r="T17" s="48">
        <v>223791.21</v>
      </c>
      <c r="U17" s="48">
        <v>242231.5</v>
      </c>
      <c r="V17" s="48">
        <v>238062.96</v>
      </c>
      <c r="W17" s="48">
        <v>257568.41</v>
      </c>
      <c r="X17" s="48">
        <v>199477</v>
      </c>
      <c r="Z17" s="46" t="s">
        <v>92</v>
      </c>
      <c r="AA17" s="131"/>
      <c r="AB17" s="48">
        <v>262496.02</v>
      </c>
      <c r="AC17" s="48">
        <v>294485.09000000003</v>
      </c>
      <c r="AD17" s="48">
        <v>289258.37</v>
      </c>
      <c r="AE17" s="48">
        <v>268995.65999999997</v>
      </c>
      <c r="AF17" s="48">
        <v>220726</v>
      </c>
      <c r="AH17" s="46" t="s">
        <v>92</v>
      </c>
      <c r="AI17" s="131"/>
      <c r="AJ17" s="131">
        <v>432064.89</v>
      </c>
      <c r="AK17" s="48">
        <v>418586.74</v>
      </c>
      <c r="AL17" s="48">
        <v>398124.38</v>
      </c>
      <c r="AM17" s="48">
        <v>402445.89</v>
      </c>
      <c r="AN17" s="48">
        <v>353005</v>
      </c>
      <c r="AP17" s="46" t="s">
        <v>92</v>
      </c>
      <c r="AQ17" s="131"/>
      <c r="AR17" s="131">
        <v>466814.43</v>
      </c>
      <c r="AS17" s="48">
        <v>484283.2</v>
      </c>
      <c r="AT17" s="48">
        <v>480520.1</v>
      </c>
      <c r="AU17" s="48">
        <v>201157.54</v>
      </c>
      <c r="AV17" s="48"/>
      <c r="AX17" s="46" t="s">
        <v>92</v>
      </c>
      <c r="AY17" s="131"/>
      <c r="AZ17" s="48">
        <v>278368.93</v>
      </c>
      <c r="BA17" s="48">
        <v>281207.93</v>
      </c>
      <c r="BB17" s="48">
        <v>271514.77</v>
      </c>
      <c r="BC17" s="48"/>
      <c r="BD17" s="48"/>
      <c r="BE17" s="48"/>
      <c r="BF17" s="46" t="s">
        <v>92</v>
      </c>
      <c r="BG17" s="131"/>
      <c r="BH17" s="48">
        <v>271215.49</v>
      </c>
      <c r="BI17" s="48">
        <v>282644.63</v>
      </c>
      <c r="BJ17" s="48"/>
      <c r="BK17" s="48"/>
      <c r="BL17" s="48"/>
      <c r="BM17" s="48"/>
      <c r="BN17" s="46" t="s">
        <v>92</v>
      </c>
      <c r="BO17" s="131"/>
      <c r="BP17" s="48">
        <v>367846</v>
      </c>
      <c r="BQ17" s="48">
        <v>352256.87</v>
      </c>
      <c r="BR17" s="48">
        <v>373287.34</v>
      </c>
      <c r="BS17" s="48">
        <v>359746.1</v>
      </c>
      <c r="BT17" s="48">
        <v>298577</v>
      </c>
      <c r="BV17" s="46" t="s">
        <v>92</v>
      </c>
      <c r="BW17" s="131"/>
      <c r="BX17" s="48">
        <v>285854.48</v>
      </c>
      <c r="BY17" s="48">
        <v>293779.56</v>
      </c>
      <c r="BZ17" s="48">
        <v>315348.53200000001</v>
      </c>
      <c r="CA17" s="48">
        <v>291266.09999999998</v>
      </c>
      <c r="CB17" s="48">
        <v>259303</v>
      </c>
      <c r="CC17" s="48"/>
      <c r="CD17" s="46" t="s">
        <v>92</v>
      </c>
      <c r="CE17" s="131"/>
      <c r="CF17" s="48">
        <v>439362.87</v>
      </c>
      <c r="CG17" s="48">
        <v>427925.78</v>
      </c>
      <c r="CH17" s="48">
        <v>418175.74</v>
      </c>
      <c r="CI17" s="48">
        <v>422304.03</v>
      </c>
      <c r="CJ17" s="48">
        <v>409125</v>
      </c>
      <c r="CL17" s="46" t="s">
        <v>92</v>
      </c>
      <c r="CM17" s="131"/>
      <c r="CN17" s="48">
        <v>388948.47</v>
      </c>
      <c r="CO17" s="48">
        <v>507910.79</v>
      </c>
      <c r="CP17" s="48">
        <v>519889.41</v>
      </c>
      <c r="CQ17" s="48">
        <v>459466.31</v>
      </c>
      <c r="CR17" s="48">
        <v>393410</v>
      </c>
      <c r="CT17" s="46" t="s">
        <v>92</v>
      </c>
      <c r="CU17" s="131"/>
      <c r="CV17" s="131">
        <v>427001.1</v>
      </c>
      <c r="CW17" s="48"/>
      <c r="CX17" s="48"/>
      <c r="CY17" s="48"/>
      <c r="CZ17" s="48"/>
      <c r="DB17" s="46" t="s">
        <v>92</v>
      </c>
      <c r="DC17" s="131"/>
      <c r="DD17" s="48">
        <v>541731.74</v>
      </c>
      <c r="DE17" s="48"/>
      <c r="DF17" s="48"/>
      <c r="DG17" s="48"/>
      <c r="DH17" s="48"/>
      <c r="DI17" s="48"/>
      <c r="DJ17" s="46" t="s">
        <v>92</v>
      </c>
      <c r="DK17" s="131"/>
      <c r="DL17" s="48">
        <v>208265.96</v>
      </c>
      <c r="DM17" s="48"/>
      <c r="DN17" s="48"/>
      <c r="DO17" s="48"/>
      <c r="DP17" s="48"/>
      <c r="DR17" s="46" t="s">
        <v>0</v>
      </c>
      <c r="DS17" s="131"/>
      <c r="DT17" s="48">
        <v>351896.92</v>
      </c>
      <c r="DU17" s="48"/>
      <c r="DV17" s="48"/>
      <c r="DW17" s="48"/>
      <c r="DX17" s="48"/>
      <c r="DZ17" s="46" t="s">
        <v>0</v>
      </c>
      <c r="EA17" s="131"/>
      <c r="EB17" s="48"/>
      <c r="EC17" s="48"/>
      <c r="ED17" s="48"/>
      <c r="EE17" s="48"/>
      <c r="EF17" s="48"/>
    </row>
    <row r="18" spans="1:136" x14ac:dyDescent="0.2">
      <c r="A18" s="292"/>
      <c r="B18" s="46" t="s">
        <v>93</v>
      </c>
      <c r="C18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8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4240473.3500000006</v>
      </c>
      <c r="E18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4904175.0699999994</v>
      </c>
      <c r="F18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4312590.3099999996</v>
      </c>
      <c r="G18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3798943.06</v>
      </c>
      <c r="H18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3131317</v>
      </c>
      <c r="I18" s="48"/>
      <c r="J18" s="46" t="s">
        <v>93</v>
      </c>
      <c r="K18" s="131"/>
      <c r="L18" s="48">
        <v>422167.57</v>
      </c>
      <c r="M18" s="48">
        <v>497177.23</v>
      </c>
      <c r="N18" s="48">
        <v>472619.17</v>
      </c>
      <c r="O18" s="48">
        <v>486519.67</v>
      </c>
      <c r="P18" s="48">
        <v>417037</v>
      </c>
      <c r="R18" s="46" t="s">
        <v>93</v>
      </c>
      <c r="S18" s="131"/>
      <c r="T18" s="48">
        <v>231525.12</v>
      </c>
      <c r="U18" s="48">
        <v>251760.07</v>
      </c>
      <c r="V18" s="48">
        <v>238188.17</v>
      </c>
      <c r="W18" s="48">
        <v>296139.77</v>
      </c>
      <c r="X18" s="48">
        <v>250675</v>
      </c>
      <c r="Z18" s="46" t="s">
        <v>93</v>
      </c>
      <c r="AA18" s="131"/>
      <c r="AB18" s="48">
        <v>245877.6</v>
      </c>
      <c r="AC18" s="48">
        <v>279305.71999999997</v>
      </c>
      <c r="AD18" s="48">
        <v>282566.19</v>
      </c>
      <c r="AE18" s="48">
        <v>274134</v>
      </c>
      <c r="AF18" s="48">
        <v>233080</v>
      </c>
      <c r="AH18" s="46" t="s">
        <v>93</v>
      </c>
      <c r="AI18" s="131"/>
      <c r="AJ18" s="131">
        <v>430978.41</v>
      </c>
      <c r="AK18" s="48">
        <v>471583.68</v>
      </c>
      <c r="AL18" s="48">
        <v>427848.2</v>
      </c>
      <c r="AM18" s="48">
        <v>419185</v>
      </c>
      <c r="AN18" s="48">
        <v>377241</v>
      </c>
      <c r="AP18" s="46" t="s">
        <v>93</v>
      </c>
      <c r="AQ18" s="131"/>
      <c r="AR18" s="131">
        <v>513816.15</v>
      </c>
      <c r="AS18" s="48">
        <v>571802.79</v>
      </c>
      <c r="AT18" s="48">
        <v>526686.78</v>
      </c>
      <c r="AU18" s="48">
        <v>331179.76</v>
      </c>
      <c r="AV18" s="48"/>
      <c r="AX18" s="46" t="s">
        <v>93</v>
      </c>
      <c r="AY18" s="131"/>
      <c r="AZ18" s="48">
        <v>293849.39</v>
      </c>
      <c r="BA18" s="48">
        <v>332226.3</v>
      </c>
      <c r="BB18" s="48">
        <v>298337.01</v>
      </c>
      <c r="BC18" s="48">
        <v>73011.95</v>
      </c>
      <c r="BD18" s="48"/>
      <c r="BE18" s="48"/>
      <c r="BF18" s="46" t="s">
        <v>93</v>
      </c>
      <c r="BG18" s="131"/>
      <c r="BH18" s="48">
        <v>339621.57</v>
      </c>
      <c r="BI18" s="48">
        <v>396805.84</v>
      </c>
      <c r="BJ18" s="48"/>
      <c r="BK18" s="48"/>
      <c r="BL18" s="48"/>
      <c r="BM18" s="48"/>
      <c r="BN18" s="46" t="s">
        <v>93</v>
      </c>
      <c r="BO18" s="131"/>
      <c r="BP18" s="48">
        <v>369532.54</v>
      </c>
      <c r="BQ18" s="48">
        <v>400614.96</v>
      </c>
      <c r="BR18" s="48">
        <v>394240.68</v>
      </c>
      <c r="BS18" s="48">
        <v>407563.91</v>
      </c>
      <c r="BT18" s="48">
        <v>357724</v>
      </c>
      <c r="BV18" s="46" t="s">
        <v>93</v>
      </c>
      <c r="BW18" s="131"/>
      <c r="BX18" s="48">
        <v>416526.42</v>
      </c>
      <c r="BY18" s="48">
        <v>452823.05</v>
      </c>
      <c r="BZ18" s="48">
        <v>467132.05</v>
      </c>
      <c r="CA18" s="48">
        <v>406516.01</v>
      </c>
      <c r="CB18" s="48">
        <v>398890</v>
      </c>
      <c r="CC18" s="48"/>
      <c r="CD18" s="46" t="s">
        <v>93</v>
      </c>
      <c r="CE18" s="131"/>
      <c r="CF18" s="48">
        <v>549867.30000000005</v>
      </c>
      <c r="CG18" s="48">
        <v>616702.64</v>
      </c>
      <c r="CH18" s="48">
        <v>611656.36</v>
      </c>
      <c r="CI18" s="48">
        <v>566572.09</v>
      </c>
      <c r="CJ18" s="48">
        <v>588949</v>
      </c>
      <c r="CL18" s="46" t="s">
        <v>93</v>
      </c>
      <c r="CM18" s="131"/>
      <c r="CN18" s="48">
        <v>426711.28</v>
      </c>
      <c r="CO18" s="48">
        <v>633372.79</v>
      </c>
      <c r="CP18" s="48">
        <v>593315.69999999995</v>
      </c>
      <c r="CQ18" s="48">
        <v>538120.9</v>
      </c>
      <c r="CR18" s="48">
        <v>507721</v>
      </c>
      <c r="CT18" s="46" t="s">
        <v>93</v>
      </c>
      <c r="CU18" s="131"/>
      <c r="CV18" s="131">
        <v>436785.56</v>
      </c>
      <c r="CW18" s="48"/>
      <c r="CX18" s="48"/>
      <c r="CY18" s="48"/>
      <c r="CZ18" s="48"/>
      <c r="DB18" s="46" t="s">
        <v>93</v>
      </c>
      <c r="DC18" s="131"/>
      <c r="DD18" s="48">
        <v>539322.49</v>
      </c>
      <c r="DE18" s="48"/>
      <c r="DF18" s="48"/>
      <c r="DG18" s="48"/>
      <c r="DH18" s="48"/>
      <c r="DI18" s="48"/>
      <c r="DJ18" s="46" t="s">
        <v>93</v>
      </c>
      <c r="DK18" s="131"/>
      <c r="DL18" s="48">
        <v>212001.81</v>
      </c>
      <c r="DM18" s="48"/>
      <c r="DN18" s="48"/>
      <c r="DO18" s="48"/>
      <c r="DP18" s="48"/>
      <c r="DR18" s="46" t="s">
        <v>1</v>
      </c>
      <c r="DS18" s="131"/>
      <c r="DT18" s="48">
        <v>338195.18</v>
      </c>
      <c r="DU18" s="48"/>
      <c r="DV18" s="48"/>
      <c r="DW18" s="48"/>
      <c r="DX18" s="48"/>
      <c r="DZ18" s="46" t="s">
        <v>1</v>
      </c>
      <c r="EA18" s="131"/>
      <c r="EB18" s="48"/>
      <c r="EC18" s="48"/>
      <c r="ED18" s="48"/>
      <c r="EE18" s="48"/>
      <c r="EF18" s="48"/>
    </row>
    <row r="19" spans="1:136" x14ac:dyDescent="0.2">
      <c r="A19" s="292"/>
      <c r="B19" s="46" t="s">
        <v>112</v>
      </c>
      <c r="C19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19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4726125.5399999991</v>
      </c>
      <c r="E19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5045833.2899999991</v>
      </c>
      <c r="F19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4370846.45</v>
      </c>
      <c r="G19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4381054.17</v>
      </c>
      <c r="H19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3561177</v>
      </c>
      <c r="I19" s="48"/>
      <c r="J19" s="46" t="s">
        <v>112</v>
      </c>
      <c r="K19" s="131"/>
      <c r="L19" s="48">
        <v>441139.82</v>
      </c>
      <c r="M19" s="48">
        <v>486604.01</v>
      </c>
      <c r="N19" s="48">
        <v>442290.74</v>
      </c>
      <c r="O19" s="48">
        <v>460975.61</v>
      </c>
      <c r="P19" s="48">
        <v>460653</v>
      </c>
      <c r="R19" s="46" t="s">
        <v>112</v>
      </c>
      <c r="S19" s="131"/>
      <c r="T19" s="48">
        <v>248759.48</v>
      </c>
      <c r="U19" s="48">
        <v>259714.27</v>
      </c>
      <c r="V19" s="48">
        <v>236700.22</v>
      </c>
      <c r="W19" s="48">
        <v>290922.90999999997</v>
      </c>
      <c r="X19" s="48">
        <v>275840</v>
      </c>
      <c r="Z19" s="46" t="s">
        <v>112</v>
      </c>
      <c r="AA19" s="273"/>
      <c r="AB19" s="48">
        <v>252910.94</v>
      </c>
      <c r="AC19" s="48">
        <v>270321.84000000003</v>
      </c>
      <c r="AD19" s="48">
        <v>273527.27</v>
      </c>
      <c r="AE19" s="48">
        <v>265344.2</v>
      </c>
      <c r="AF19" s="48">
        <v>252044</v>
      </c>
      <c r="AH19" s="46" t="s">
        <v>112</v>
      </c>
      <c r="AI19" s="131"/>
      <c r="AJ19" s="131">
        <v>439960.98</v>
      </c>
      <c r="AK19" s="48">
        <v>454922.5</v>
      </c>
      <c r="AL19" s="48">
        <v>411623.24</v>
      </c>
      <c r="AM19" s="48">
        <v>418605.35</v>
      </c>
      <c r="AN19" s="48">
        <v>403765</v>
      </c>
      <c r="AP19" s="46" t="s">
        <v>112</v>
      </c>
      <c r="AQ19" s="131"/>
      <c r="AR19" s="131">
        <v>561903.96</v>
      </c>
      <c r="AS19" s="48">
        <v>578195.69999999995</v>
      </c>
      <c r="AT19" s="48">
        <v>558518.88</v>
      </c>
      <c r="AU19" s="48">
        <v>496490.73</v>
      </c>
      <c r="AV19" s="48"/>
      <c r="AX19" s="46" t="s">
        <v>112</v>
      </c>
      <c r="AY19" s="131"/>
      <c r="AZ19" s="48">
        <v>319102.62</v>
      </c>
      <c r="BA19" s="48">
        <v>330457.28999999998</v>
      </c>
      <c r="BB19" s="48">
        <v>304868.12</v>
      </c>
      <c r="BC19" s="48">
        <v>329480</v>
      </c>
      <c r="BD19" s="48"/>
      <c r="BE19" s="48"/>
      <c r="BF19" s="46" t="s">
        <v>112</v>
      </c>
      <c r="BG19" s="131"/>
      <c r="BH19" s="48">
        <v>399272.88</v>
      </c>
      <c r="BI19" s="48">
        <v>410522.6</v>
      </c>
      <c r="BJ19" s="48"/>
      <c r="BK19" s="48"/>
      <c r="BL19" s="48"/>
      <c r="BM19" s="48"/>
      <c r="BN19" s="46" t="s">
        <v>112</v>
      </c>
      <c r="BO19" s="131"/>
      <c r="BP19" s="48">
        <v>389592.4</v>
      </c>
      <c r="BQ19" s="48">
        <v>388179.47</v>
      </c>
      <c r="BR19" s="48">
        <v>363405.22</v>
      </c>
      <c r="BS19" s="48">
        <v>390834.7</v>
      </c>
      <c r="BT19" s="48">
        <v>406923</v>
      </c>
      <c r="BV19" s="46" t="s">
        <v>112</v>
      </c>
      <c r="BW19" s="131"/>
      <c r="BX19" s="48">
        <v>484264.72</v>
      </c>
      <c r="BY19" s="48">
        <v>483673.89</v>
      </c>
      <c r="BZ19" s="48">
        <v>508187.38</v>
      </c>
      <c r="CA19" s="48">
        <v>474650.8</v>
      </c>
      <c r="CB19" s="48">
        <v>467951</v>
      </c>
      <c r="CC19" s="48"/>
      <c r="CD19" s="46" t="s">
        <v>112</v>
      </c>
      <c r="CE19" s="131"/>
      <c r="CF19" s="48">
        <v>701345.89</v>
      </c>
      <c r="CG19" s="48">
        <v>710481.58</v>
      </c>
      <c r="CH19" s="48">
        <v>631349.46</v>
      </c>
      <c r="CI19" s="48">
        <v>665218.61</v>
      </c>
      <c r="CJ19" s="48">
        <v>692944</v>
      </c>
      <c r="CL19" s="46" t="s">
        <v>112</v>
      </c>
      <c r="CM19" s="131"/>
      <c r="CN19" s="48">
        <v>487871.85</v>
      </c>
      <c r="CO19" s="48">
        <v>672760.14</v>
      </c>
      <c r="CP19" s="48">
        <v>640375.92000000004</v>
      </c>
      <c r="CQ19" s="48">
        <v>588531.26</v>
      </c>
      <c r="CR19" s="48">
        <v>601057</v>
      </c>
      <c r="CT19" s="46" t="s">
        <v>112</v>
      </c>
      <c r="CU19" s="131"/>
      <c r="CV19" s="131">
        <v>518058.23999999999</v>
      </c>
      <c r="CW19" s="48"/>
      <c r="CX19" s="48"/>
      <c r="CY19" s="48"/>
      <c r="CZ19" s="48"/>
      <c r="DB19" s="46" t="s">
        <v>112</v>
      </c>
      <c r="DC19" s="131"/>
      <c r="DD19" s="48">
        <v>586019.36</v>
      </c>
      <c r="DE19" s="48"/>
      <c r="DF19" s="48"/>
      <c r="DG19" s="48"/>
      <c r="DH19" s="48"/>
      <c r="DI19" s="48"/>
      <c r="DJ19" s="46" t="s">
        <v>112</v>
      </c>
      <c r="DK19" s="131"/>
      <c r="DL19" s="48">
        <v>228519.63</v>
      </c>
      <c r="DM19" s="48"/>
      <c r="DN19" s="48"/>
      <c r="DO19" s="48"/>
      <c r="DP19" s="48"/>
      <c r="DR19" s="46" t="s">
        <v>3</v>
      </c>
      <c r="DS19" s="131"/>
      <c r="DT19" s="48">
        <v>359290.12</v>
      </c>
      <c r="DU19" s="48"/>
      <c r="DV19" s="48"/>
      <c r="DW19" s="48"/>
      <c r="DX19" s="48"/>
      <c r="DZ19" s="46" t="s">
        <v>3</v>
      </c>
      <c r="EA19" s="131"/>
      <c r="EB19" s="48">
        <v>365211.91</v>
      </c>
      <c r="EC19" s="48"/>
      <c r="ED19" s="48"/>
      <c r="EE19" s="48"/>
      <c r="EF19" s="48"/>
    </row>
    <row r="20" spans="1:136" x14ac:dyDescent="0.2">
      <c r="A20" s="292"/>
      <c r="B20" s="46" t="s">
        <v>94</v>
      </c>
      <c r="C20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0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3378244.6599999997</v>
      </c>
      <c r="E20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3932985.8200000003</v>
      </c>
      <c r="F20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3361910.7999999993</v>
      </c>
      <c r="G20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3256341.3540000003</v>
      </c>
      <c r="H20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2654339</v>
      </c>
      <c r="I20" s="48"/>
      <c r="J20" s="46" t="s">
        <v>94</v>
      </c>
      <c r="K20" s="131"/>
      <c r="L20" s="48">
        <v>362094.56</v>
      </c>
      <c r="M20" s="48">
        <v>429554.42</v>
      </c>
      <c r="N20" s="48">
        <v>395893.26</v>
      </c>
      <c r="O20" s="48">
        <v>397263.84</v>
      </c>
      <c r="P20" s="48">
        <v>396890</v>
      </c>
      <c r="R20" s="46" t="s">
        <v>94</v>
      </c>
      <c r="S20" s="131"/>
      <c r="T20" s="48">
        <v>201669.11</v>
      </c>
      <c r="U20" s="48">
        <v>220244.67</v>
      </c>
      <c r="V20" s="48">
        <v>217815.81</v>
      </c>
      <c r="W20" s="48">
        <v>237442</v>
      </c>
      <c r="X20" s="48">
        <v>222596</v>
      </c>
      <c r="Z20" s="46" t="s">
        <v>94</v>
      </c>
      <c r="AA20" s="131"/>
      <c r="AB20" s="48">
        <v>242694.63</v>
      </c>
      <c r="AC20" s="48">
        <v>300462.24</v>
      </c>
      <c r="AD20" s="48">
        <v>288645.61</v>
      </c>
      <c r="AE20" s="48">
        <v>275452.99400000001</v>
      </c>
      <c r="AF20" s="48">
        <v>267879</v>
      </c>
      <c r="AH20" s="46" t="s">
        <v>94</v>
      </c>
      <c r="AI20" s="131"/>
      <c r="AJ20" s="131">
        <v>375481.66</v>
      </c>
      <c r="AK20" s="48">
        <v>414735.37</v>
      </c>
      <c r="AL20" s="48">
        <v>366637.97</v>
      </c>
      <c r="AM20" s="48">
        <v>340526</v>
      </c>
      <c r="AN20" s="48">
        <v>363051</v>
      </c>
      <c r="AP20" s="46" t="s">
        <v>94</v>
      </c>
      <c r="AQ20" s="131"/>
      <c r="AR20" s="131">
        <v>426073.38</v>
      </c>
      <c r="AS20" s="48">
        <v>471211.77</v>
      </c>
      <c r="AT20" s="48">
        <v>444261.49</v>
      </c>
      <c r="AU20" s="48">
        <v>384902.66</v>
      </c>
      <c r="AV20" s="48"/>
      <c r="AX20" s="46" t="s">
        <v>94</v>
      </c>
      <c r="AY20" s="131"/>
      <c r="AZ20" s="48">
        <v>230549.28</v>
      </c>
      <c r="BA20" s="48">
        <v>253289.32</v>
      </c>
      <c r="BB20" s="48">
        <v>238896.91</v>
      </c>
      <c r="BC20" s="48">
        <v>230997.59</v>
      </c>
      <c r="BD20" s="48"/>
      <c r="BE20" s="48"/>
      <c r="BF20" s="46" t="s">
        <v>94</v>
      </c>
      <c r="BG20" s="131"/>
      <c r="BH20" s="48">
        <v>226476.08</v>
      </c>
      <c r="BI20" s="48">
        <v>263430.88</v>
      </c>
      <c r="BJ20" s="48"/>
      <c r="BK20" s="48"/>
      <c r="BL20" s="48"/>
      <c r="BM20" s="48"/>
      <c r="BN20" s="46" t="s">
        <v>94</v>
      </c>
      <c r="BO20" s="131"/>
      <c r="BP20" s="48">
        <v>339075.62</v>
      </c>
      <c r="BQ20" s="48">
        <v>353171.93</v>
      </c>
      <c r="BR20" s="48">
        <v>329560.94</v>
      </c>
      <c r="BS20" s="48">
        <v>333191.46000000002</v>
      </c>
      <c r="BT20" s="48">
        <v>352516</v>
      </c>
      <c r="BV20" s="46" t="s">
        <v>94</v>
      </c>
      <c r="BW20" s="131"/>
      <c r="BX20" s="48">
        <v>258347.23</v>
      </c>
      <c r="BY20" s="48">
        <v>285336.65999999997</v>
      </c>
      <c r="BZ20" s="48">
        <v>276169.11</v>
      </c>
      <c r="CA20" s="48">
        <v>255164.33</v>
      </c>
      <c r="CB20" s="48">
        <v>258615</v>
      </c>
      <c r="CC20" s="48"/>
      <c r="CD20" s="46" t="s">
        <v>94</v>
      </c>
      <c r="CE20" s="131"/>
      <c r="CF20" s="48">
        <v>342533.05</v>
      </c>
      <c r="CG20" s="48">
        <v>425112.89</v>
      </c>
      <c r="CH20" s="48">
        <v>340185.88</v>
      </c>
      <c r="CI20" s="48">
        <v>363747</v>
      </c>
      <c r="CJ20" s="48">
        <v>366872</v>
      </c>
      <c r="CL20" s="46" t="s">
        <v>94</v>
      </c>
      <c r="CM20" s="131"/>
      <c r="CN20" s="48">
        <v>373250.06</v>
      </c>
      <c r="CO20" s="48">
        <v>516435.67</v>
      </c>
      <c r="CP20" s="48">
        <v>463843.82</v>
      </c>
      <c r="CQ20" s="48">
        <v>437653.48</v>
      </c>
      <c r="CR20" s="48">
        <v>425920</v>
      </c>
      <c r="CT20" s="46" t="s">
        <v>94</v>
      </c>
      <c r="CU20" s="131"/>
      <c r="CV20" s="131">
        <v>438586.59</v>
      </c>
      <c r="CW20" s="48"/>
      <c r="CX20" s="48"/>
      <c r="CY20" s="48"/>
      <c r="CZ20" s="48"/>
      <c r="DB20" s="46" t="s">
        <v>94</v>
      </c>
      <c r="DC20" s="131"/>
      <c r="DD20" s="48">
        <v>494249.15</v>
      </c>
      <c r="DE20" s="48"/>
      <c r="DF20" s="48"/>
      <c r="DG20" s="48"/>
      <c r="DH20" s="48"/>
      <c r="DI20" s="48"/>
      <c r="DJ20" s="46" t="s">
        <v>94</v>
      </c>
      <c r="DK20" s="131"/>
      <c r="DL20" s="48">
        <v>213400.27</v>
      </c>
      <c r="DM20" s="48"/>
      <c r="DN20" s="48"/>
      <c r="DO20" s="48"/>
      <c r="DP20" s="48"/>
      <c r="DR20" s="46" t="s">
        <v>71</v>
      </c>
      <c r="DS20" s="131"/>
      <c r="DT20" s="48">
        <v>333942.53000000003</v>
      </c>
      <c r="DU20" s="48"/>
      <c r="DV20" s="48"/>
      <c r="DW20" s="48"/>
      <c r="DX20" s="48"/>
      <c r="DZ20" s="46" t="s">
        <v>71</v>
      </c>
      <c r="EA20" s="131"/>
      <c r="EB20" s="48">
        <v>218756.84</v>
      </c>
      <c r="EC20" s="48"/>
      <c r="ED20" s="48"/>
      <c r="EE20" s="48"/>
      <c r="EF20" s="48"/>
    </row>
    <row r="21" spans="1:136" x14ac:dyDescent="0.2">
      <c r="A21" s="292"/>
      <c r="B21" s="46" t="s">
        <v>95</v>
      </c>
      <c r="C21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1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3566580.16</v>
      </c>
      <c r="E21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4003494.2599999988</v>
      </c>
      <c r="F21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3777735.1500000004</v>
      </c>
      <c r="G21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3615288.6</v>
      </c>
      <c r="H21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2769395</v>
      </c>
      <c r="I21" s="48"/>
      <c r="J21" s="46" t="s">
        <v>95</v>
      </c>
      <c r="K21" s="131"/>
      <c r="L21" s="48">
        <v>409953.63</v>
      </c>
      <c r="M21" s="48">
        <v>426493.96</v>
      </c>
      <c r="N21" s="48">
        <v>472423.18</v>
      </c>
      <c r="O21" s="48">
        <v>451574.93</v>
      </c>
      <c r="P21" s="48">
        <v>417907</v>
      </c>
      <c r="R21" s="46" t="s">
        <v>95</v>
      </c>
      <c r="S21" s="131"/>
      <c r="T21" s="48">
        <v>212253.47</v>
      </c>
      <c r="U21" s="48">
        <v>221740</v>
      </c>
      <c r="V21" s="48">
        <v>245042.74</v>
      </c>
      <c r="W21" s="48">
        <v>260816.74</v>
      </c>
      <c r="X21" s="48">
        <v>247128</v>
      </c>
      <c r="Z21" s="46" t="s">
        <v>95</v>
      </c>
      <c r="AA21" s="131"/>
      <c r="AB21" s="48">
        <v>253082.85</v>
      </c>
      <c r="AC21" s="48">
        <v>281516.36</v>
      </c>
      <c r="AD21" s="48">
        <v>342671.77</v>
      </c>
      <c r="AE21" s="48">
        <v>308591.15000000002</v>
      </c>
      <c r="AF21" s="48">
        <v>272845</v>
      </c>
      <c r="AH21" s="46" t="s">
        <v>95</v>
      </c>
      <c r="AI21" s="131"/>
      <c r="AJ21" s="131">
        <v>389992.15</v>
      </c>
      <c r="AK21" s="48">
        <v>430896.9</v>
      </c>
      <c r="AL21" s="48">
        <v>426127.35</v>
      </c>
      <c r="AM21" s="48">
        <v>382463.73</v>
      </c>
      <c r="AN21" s="48">
        <v>392550</v>
      </c>
      <c r="AP21" s="46" t="s">
        <v>95</v>
      </c>
      <c r="AQ21" s="131"/>
      <c r="AR21" s="131">
        <v>468469.78</v>
      </c>
      <c r="AS21" s="48">
        <v>490957.46</v>
      </c>
      <c r="AT21" s="48">
        <v>511359.87</v>
      </c>
      <c r="AU21" s="48">
        <v>438126.3</v>
      </c>
      <c r="AV21" s="48"/>
      <c r="AX21" s="46" t="s">
        <v>95</v>
      </c>
      <c r="AY21" s="131"/>
      <c r="AZ21" s="48">
        <v>236583.24</v>
      </c>
      <c r="BA21" s="48">
        <v>266917</v>
      </c>
      <c r="BB21" s="48">
        <v>272494.67</v>
      </c>
      <c r="BC21" s="48">
        <v>257744.22</v>
      </c>
      <c r="BD21" s="48"/>
      <c r="BE21" s="48"/>
      <c r="BF21" s="46" t="s">
        <v>95</v>
      </c>
      <c r="BG21" s="131"/>
      <c r="BH21" s="48">
        <v>240747.81</v>
      </c>
      <c r="BI21" s="48">
        <v>272202.07</v>
      </c>
      <c r="BJ21" s="48"/>
      <c r="BK21" s="48"/>
      <c r="BL21" s="48"/>
      <c r="BM21" s="48"/>
      <c r="BN21" s="46" t="s">
        <v>95</v>
      </c>
      <c r="BO21" s="131"/>
      <c r="BP21" s="48">
        <v>346372.13</v>
      </c>
      <c r="BQ21" s="48">
        <v>365066.34</v>
      </c>
      <c r="BR21" s="48">
        <v>375415.31</v>
      </c>
      <c r="BS21" s="48">
        <v>365738.81</v>
      </c>
      <c r="BT21" s="48">
        <v>368076</v>
      </c>
      <c r="BV21" s="46" t="s">
        <v>95</v>
      </c>
      <c r="BW21" s="131"/>
      <c r="BX21" s="48">
        <v>267026.53000000003</v>
      </c>
      <c r="BY21" s="48">
        <v>288958.32</v>
      </c>
      <c r="BZ21" s="48">
        <v>304084.81</v>
      </c>
      <c r="CA21" s="48">
        <v>284275.99</v>
      </c>
      <c r="CB21" s="48">
        <v>272359</v>
      </c>
      <c r="CC21" s="48"/>
      <c r="CD21" s="46" t="s">
        <v>95</v>
      </c>
      <c r="CE21" s="131"/>
      <c r="CF21" s="48">
        <v>361489.56</v>
      </c>
      <c r="CG21" s="48">
        <v>421378.63</v>
      </c>
      <c r="CH21" s="48">
        <v>377968.49</v>
      </c>
      <c r="CI21" s="48">
        <v>383589.73</v>
      </c>
      <c r="CJ21" s="48">
        <v>352527</v>
      </c>
      <c r="CL21" s="46" t="s">
        <v>95</v>
      </c>
      <c r="CM21" s="131"/>
      <c r="CN21" s="48">
        <v>380609.01</v>
      </c>
      <c r="CO21" s="48">
        <v>537367.22</v>
      </c>
      <c r="CP21" s="48">
        <v>450146.96</v>
      </c>
      <c r="CQ21" s="48">
        <v>482367</v>
      </c>
      <c r="CR21" s="48">
        <v>446003</v>
      </c>
      <c r="CT21" s="46" t="s">
        <v>95</v>
      </c>
      <c r="CU21" s="131"/>
      <c r="CV21" s="131">
        <v>448749.97</v>
      </c>
      <c r="CW21" s="48"/>
      <c r="CX21" s="48"/>
      <c r="CY21" s="48"/>
      <c r="CZ21" s="48"/>
      <c r="DB21" s="46" t="s">
        <v>95</v>
      </c>
      <c r="DC21" s="131"/>
      <c r="DD21" s="48">
        <v>507610.36</v>
      </c>
      <c r="DE21" s="48"/>
      <c r="DF21" s="48"/>
      <c r="DG21" s="48"/>
      <c r="DH21" s="48"/>
      <c r="DI21" s="48"/>
      <c r="DJ21" s="46" t="s">
        <v>95</v>
      </c>
      <c r="DK21" s="131"/>
      <c r="DL21" s="48">
        <v>214907.75</v>
      </c>
      <c r="DM21" s="48"/>
      <c r="DN21" s="48"/>
      <c r="DO21" s="48"/>
      <c r="DP21" s="48"/>
      <c r="DR21" s="46" t="s">
        <v>12</v>
      </c>
      <c r="DS21" s="131"/>
      <c r="DT21" s="48">
        <v>345694.94</v>
      </c>
      <c r="DU21" s="48"/>
      <c r="DV21" s="48"/>
      <c r="DW21" s="48"/>
      <c r="DX21" s="48"/>
      <c r="DZ21" s="46" t="s">
        <v>12</v>
      </c>
      <c r="EA21" s="131"/>
      <c r="EB21" s="48">
        <v>227098.28</v>
      </c>
      <c r="EC21" s="48"/>
      <c r="ED21" s="48"/>
      <c r="EE21" s="48"/>
      <c r="EF21" s="48"/>
    </row>
    <row r="22" spans="1:136" x14ac:dyDescent="0.2">
      <c r="A22" s="292"/>
      <c r="B22" s="46" t="s">
        <v>96</v>
      </c>
      <c r="C22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2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3722290.67</v>
      </c>
      <c r="E22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3828467.4600000004</v>
      </c>
      <c r="F22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3534726.48</v>
      </c>
      <c r="G22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3367788.59</v>
      </c>
      <c r="H22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1781194.87</v>
      </c>
      <c r="I22" s="48"/>
      <c r="J22" s="46" t="s">
        <v>96</v>
      </c>
      <c r="K22" s="131"/>
      <c r="L22" s="48">
        <v>443820</v>
      </c>
      <c r="M22" s="48">
        <v>406697.2</v>
      </c>
      <c r="N22" s="48">
        <v>449029.83</v>
      </c>
      <c r="O22" s="48">
        <v>422145.68</v>
      </c>
      <c r="P22" s="48">
        <v>284775.23</v>
      </c>
      <c r="R22" s="46" t="s">
        <v>96</v>
      </c>
      <c r="S22" s="131"/>
      <c r="T22" s="48">
        <v>216567.38</v>
      </c>
      <c r="U22" s="48">
        <v>217084</v>
      </c>
      <c r="V22" s="48">
        <v>228969.9</v>
      </c>
      <c r="W22" s="48">
        <v>240528.43</v>
      </c>
      <c r="X22" s="48">
        <v>171412.53</v>
      </c>
      <c r="Z22" s="46" t="s">
        <v>96</v>
      </c>
      <c r="AA22" s="131"/>
      <c r="AB22" s="48">
        <v>292067.53000000003</v>
      </c>
      <c r="AC22" s="48">
        <v>316999.32</v>
      </c>
      <c r="AD22" s="48">
        <v>323435.07</v>
      </c>
      <c r="AE22" s="48">
        <v>286984.23</v>
      </c>
      <c r="AF22" s="48">
        <v>199041.74</v>
      </c>
      <c r="AH22" s="46" t="s">
        <v>96</v>
      </c>
      <c r="AI22" s="131"/>
      <c r="AJ22" s="131">
        <v>417235.16</v>
      </c>
      <c r="AK22" s="48">
        <v>409780.84</v>
      </c>
      <c r="AL22" s="48">
        <v>393046.78</v>
      </c>
      <c r="AM22" s="48">
        <v>366814.86</v>
      </c>
      <c r="AN22" s="48">
        <v>255747.06</v>
      </c>
      <c r="AP22" s="46" t="s">
        <v>96</v>
      </c>
      <c r="AQ22" s="131"/>
      <c r="AR22" s="131">
        <v>490419.88</v>
      </c>
      <c r="AS22" s="48">
        <v>468036.26</v>
      </c>
      <c r="AT22" s="48">
        <v>468099.46</v>
      </c>
      <c r="AU22" s="48">
        <v>427191</v>
      </c>
      <c r="AV22" s="48"/>
      <c r="AX22" s="46" t="s">
        <v>96</v>
      </c>
      <c r="AY22" s="131"/>
      <c r="AZ22" s="48">
        <v>246915.81</v>
      </c>
      <c r="BA22" s="48">
        <v>253103.95</v>
      </c>
      <c r="BB22" s="48">
        <v>251327.03</v>
      </c>
      <c r="BC22" s="48">
        <v>228976</v>
      </c>
      <c r="BD22" s="48"/>
      <c r="BE22" s="48"/>
      <c r="BF22" s="46" t="s">
        <v>96</v>
      </c>
      <c r="BG22" s="131"/>
      <c r="BH22" s="48">
        <v>237763.28</v>
      </c>
      <c r="BI22" s="48">
        <v>251570.57</v>
      </c>
      <c r="BJ22" s="48"/>
      <c r="BK22" s="48"/>
      <c r="BL22" s="48"/>
      <c r="BM22" s="48"/>
      <c r="BN22" s="46" t="s">
        <v>96</v>
      </c>
      <c r="BO22" s="131"/>
      <c r="BP22" s="48">
        <v>358423.24</v>
      </c>
      <c r="BQ22" s="48">
        <v>356548.18</v>
      </c>
      <c r="BR22" s="48">
        <v>330720</v>
      </c>
      <c r="BS22" s="48">
        <v>341138.91</v>
      </c>
      <c r="BT22" s="48">
        <v>211998.84</v>
      </c>
      <c r="BV22" s="46" t="s">
        <v>96</v>
      </c>
      <c r="BW22" s="131"/>
      <c r="BX22" s="48">
        <v>254625.96</v>
      </c>
      <c r="BY22" s="48">
        <v>249157.58</v>
      </c>
      <c r="BZ22" s="48">
        <v>261491</v>
      </c>
      <c r="CA22" s="48">
        <v>254545.07</v>
      </c>
      <c r="CB22" s="48">
        <v>164336.95000000001</v>
      </c>
      <c r="CC22" s="48"/>
      <c r="CD22" s="46" t="s">
        <v>96</v>
      </c>
      <c r="CE22" s="131"/>
      <c r="CF22" s="48">
        <v>356179.32</v>
      </c>
      <c r="CG22" s="48">
        <v>376295.43</v>
      </c>
      <c r="CH22" s="48">
        <v>352453.18</v>
      </c>
      <c r="CI22" s="48">
        <v>343022.96</v>
      </c>
      <c r="CJ22" s="48">
        <v>208803.79</v>
      </c>
      <c r="CL22" s="46" t="s">
        <v>96</v>
      </c>
      <c r="CM22" s="131"/>
      <c r="CN22" s="48">
        <v>408273.11</v>
      </c>
      <c r="CO22" s="48">
        <v>523194.13</v>
      </c>
      <c r="CP22" s="48">
        <v>476154.23</v>
      </c>
      <c r="CQ22" s="48">
        <v>456441.45</v>
      </c>
      <c r="CR22" s="48">
        <v>285078.73</v>
      </c>
      <c r="CT22" s="46" t="s">
        <v>96</v>
      </c>
      <c r="CU22" s="131"/>
      <c r="CV22" s="131">
        <v>478557.31</v>
      </c>
      <c r="CW22" s="48"/>
      <c r="CX22" s="48"/>
      <c r="CY22" s="48"/>
      <c r="CZ22" s="48"/>
      <c r="DB22" s="46" t="s">
        <v>96</v>
      </c>
      <c r="DC22" s="131"/>
      <c r="DD22" s="48">
        <v>555479.61</v>
      </c>
      <c r="DE22" s="48"/>
      <c r="DF22" s="48"/>
      <c r="DG22" s="48"/>
      <c r="DH22" s="48"/>
      <c r="DI22" s="48"/>
      <c r="DJ22" s="46" t="s">
        <v>96</v>
      </c>
      <c r="DK22" s="131"/>
      <c r="DL22" s="48">
        <v>226433.92000000001</v>
      </c>
      <c r="DM22" s="48"/>
      <c r="DN22" s="48"/>
      <c r="DO22" s="48"/>
      <c r="DP22" s="48"/>
      <c r="DR22" s="46" t="s">
        <v>13</v>
      </c>
      <c r="DS22" s="131"/>
      <c r="DT22" s="48">
        <v>361725.11</v>
      </c>
      <c r="DU22" s="48"/>
      <c r="DV22" s="48"/>
      <c r="DW22" s="48"/>
      <c r="DX22" s="48"/>
      <c r="DZ22" s="46" t="s">
        <v>13</v>
      </c>
      <c r="EA22" s="131"/>
      <c r="EB22" s="48">
        <v>228986.35</v>
      </c>
      <c r="EC22" s="48"/>
      <c r="ED22" s="48"/>
      <c r="EE22" s="48"/>
      <c r="EF22" s="48"/>
    </row>
    <row r="23" spans="1:136" x14ac:dyDescent="0.2">
      <c r="A23" s="292"/>
      <c r="B23" s="46" t="s">
        <v>6995</v>
      </c>
      <c r="C23" s="131" t="str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3" s="4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>3685957.54</v>
      </c>
      <c r="E23" s="4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>3775290.86</v>
      </c>
      <c r="F23" s="4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>3791922.3499999996</v>
      </c>
      <c r="G23" s="4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>3509601</v>
      </c>
      <c r="H23" s="4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>2117671.9700000002</v>
      </c>
      <c r="I23" s="48"/>
      <c r="J23" s="46" t="s">
        <v>6995</v>
      </c>
      <c r="K23" s="131"/>
      <c r="L23" s="48">
        <v>443820</v>
      </c>
      <c r="M23" s="48">
        <v>409440.12</v>
      </c>
      <c r="N23" s="48">
        <v>489142</v>
      </c>
      <c r="O23" s="48">
        <v>455443</v>
      </c>
      <c r="P23" s="48">
        <v>319096.81</v>
      </c>
      <c r="R23" s="46" t="s">
        <v>6995</v>
      </c>
      <c r="S23" s="131"/>
      <c r="T23" s="48">
        <v>218617.11</v>
      </c>
      <c r="U23" s="48">
        <v>224028.26</v>
      </c>
      <c r="V23" s="48">
        <v>245340.13</v>
      </c>
      <c r="W23" s="48">
        <v>251559</v>
      </c>
      <c r="X23" s="48">
        <v>208347.54</v>
      </c>
      <c r="Z23" s="46" t="s">
        <v>6995</v>
      </c>
      <c r="AA23" s="131"/>
      <c r="AB23" s="48">
        <v>260696.55</v>
      </c>
      <c r="AC23" s="48">
        <v>271097.28000000003</v>
      </c>
      <c r="AD23" s="48">
        <v>307019.48</v>
      </c>
      <c r="AE23" s="48">
        <v>278713</v>
      </c>
      <c r="AF23" s="48">
        <v>217126.45</v>
      </c>
      <c r="AH23" s="46" t="s">
        <v>6995</v>
      </c>
      <c r="AI23" s="131"/>
      <c r="AJ23" s="131">
        <v>412209.79</v>
      </c>
      <c r="AK23" s="48">
        <v>414223.49</v>
      </c>
      <c r="AL23" s="48">
        <v>415082.37</v>
      </c>
      <c r="AM23" s="48">
        <v>380431</v>
      </c>
      <c r="AN23" s="48">
        <v>294685</v>
      </c>
      <c r="AP23" s="46" t="s">
        <v>6995</v>
      </c>
      <c r="AQ23" s="131"/>
      <c r="AR23" s="131">
        <v>520127.03</v>
      </c>
      <c r="AS23" s="48">
        <v>527985.5</v>
      </c>
      <c r="AT23" s="48">
        <v>551392.09</v>
      </c>
      <c r="AU23" s="48">
        <v>467625</v>
      </c>
      <c r="AV23" s="48"/>
      <c r="AX23" s="46" t="s">
        <v>6995</v>
      </c>
      <c r="AY23" s="131"/>
      <c r="AZ23" s="48">
        <v>254335.87</v>
      </c>
      <c r="BA23" s="48">
        <v>268757.44</v>
      </c>
      <c r="BB23" s="48">
        <v>272820.47999999998</v>
      </c>
      <c r="BC23" s="48">
        <v>234220</v>
      </c>
      <c r="BD23" s="48"/>
      <c r="BE23" s="48"/>
      <c r="BF23" s="46" t="s">
        <v>6995</v>
      </c>
      <c r="BG23" s="131"/>
      <c r="BH23" s="48">
        <v>233188.1</v>
      </c>
      <c r="BI23" s="48">
        <v>253816.58</v>
      </c>
      <c r="BJ23" s="48"/>
      <c r="BK23" s="48"/>
      <c r="BL23" s="48"/>
      <c r="BM23" s="48"/>
      <c r="BN23" s="46" t="s">
        <v>6995</v>
      </c>
      <c r="BO23" s="131"/>
      <c r="BP23" s="48">
        <v>357979.69</v>
      </c>
      <c r="BQ23" s="48">
        <v>360728.07</v>
      </c>
      <c r="BR23" s="48">
        <v>365033</v>
      </c>
      <c r="BS23" s="48">
        <v>358938</v>
      </c>
      <c r="BT23" s="48">
        <v>256448.35</v>
      </c>
      <c r="BV23" s="46" t="s">
        <v>6995</v>
      </c>
      <c r="BW23" s="131"/>
      <c r="BX23" s="48">
        <v>251066.69</v>
      </c>
      <c r="BY23" s="48">
        <v>243980.94</v>
      </c>
      <c r="BZ23" s="48">
        <v>260629</v>
      </c>
      <c r="CA23" s="48">
        <v>249600</v>
      </c>
      <c r="CB23" s="48">
        <v>202872.21</v>
      </c>
      <c r="CC23" s="48"/>
      <c r="CD23" s="46" t="s">
        <v>6995</v>
      </c>
      <c r="CE23" s="131"/>
      <c r="CF23" s="48">
        <v>326511.15000000002</v>
      </c>
      <c r="CG23" s="48">
        <v>372614.95</v>
      </c>
      <c r="CH23" s="48">
        <v>349347.8</v>
      </c>
      <c r="CI23" s="48">
        <v>349186</v>
      </c>
      <c r="CJ23" s="48">
        <v>262939.93</v>
      </c>
      <c r="CL23" s="46" t="s">
        <v>6995</v>
      </c>
      <c r="CM23" s="131"/>
      <c r="CN23" s="48">
        <v>407405.56</v>
      </c>
      <c r="CO23" s="48">
        <v>428618.23</v>
      </c>
      <c r="CP23" s="48">
        <v>536116</v>
      </c>
      <c r="CQ23" s="48">
        <v>483886</v>
      </c>
      <c r="CR23" s="48">
        <v>356155.68</v>
      </c>
      <c r="CT23" s="46" t="s">
        <v>6995</v>
      </c>
      <c r="CU23" s="131"/>
      <c r="CV23" s="131">
        <v>445203.67</v>
      </c>
      <c r="CW23" s="48"/>
      <c r="CX23" s="48"/>
      <c r="CY23" s="48"/>
      <c r="CZ23" s="48"/>
      <c r="DB23" s="46" t="s">
        <v>6995</v>
      </c>
      <c r="DC23" s="131"/>
      <c r="DD23" s="48">
        <v>577281.32999999996</v>
      </c>
      <c r="DE23" s="48"/>
      <c r="DF23" s="48"/>
      <c r="DG23" s="48"/>
      <c r="DH23" s="48"/>
      <c r="DI23" s="48"/>
      <c r="DJ23" s="46" t="s">
        <v>6995</v>
      </c>
      <c r="DK23" s="131"/>
      <c r="DL23" s="48">
        <v>240551.02</v>
      </c>
      <c r="DM23" s="48"/>
      <c r="DN23" s="48"/>
      <c r="DO23" s="48"/>
      <c r="DP23" s="48"/>
      <c r="DR23" s="46" t="s">
        <v>15</v>
      </c>
      <c r="DS23" s="131"/>
      <c r="DT23" s="48">
        <v>363858.04</v>
      </c>
      <c r="DU23" s="48"/>
      <c r="DV23" s="48"/>
      <c r="DW23" s="48"/>
      <c r="DX23" s="48"/>
      <c r="DZ23" s="46" t="s">
        <v>15</v>
      </c>
      <c r="EA23" s="131"/>
      <c r="EB23" s="48">
        <v>221506.53</v>
      </c>
      <c r="EC23" s="48"/>
      <c r="ED23" s="48"/>
      <c r="EE23" s="48"/>
      <c r="EF23" s="48"/>
    </row>
    <row r="25" spans="1:136" ht="15.75" x14ac:dyDescent="0.2">
      <c r="B25" s="45" t="s">
        <v>131</v>
      </c>
      <c r="J25" s="45" t="s">
        <v>2999</v>
      </c>
      <c r="R25" s="45" t="s">
        <v>3001</v>
      </c>
      <c r="Z25" s="45" t="s">
        <v>210</v>
      </c>
      <c r="AH25" s="45" t="s">
        <v>3003</v>
      </c>
      <c r="AP25" s="45" t="s">
        <v>2156</v>
      </c>
      <c r="AX25" s="45" t="s">
        <v>3000</v>
      </c>
      <c r="BF25" s="45" t="s">
        <v>3002</v>
      </c>
      <c r="BN25" s="45" t="s">
        <v>297</v>
      </c>
      <c r="BV25" s="45" t="s">
        <v>296</v>
      </c>
      <c r="CD25" s="45" t="s">
        <v>292</v>
      </c>
      <c r="CL25" s="45" t="s">
        <v>294</v>
      </c>
      <c r="CT25" s="45" t="s">
        <v>6963</v>
      </c>
      <c r="DB25" s="45" t="s">
        <v>6964</v>
      </c>
      <c r="DJ25" s="45" t="s">
        <v>6966</v>
      </c>
      <c r="DR25" s="45" t="s">
        <v>6965</v>
      </c>
      <c r="DZ25" s="45" t="s">
        <v>7094</v>
      </c>
    </row>
    <row r="27" spans="1:136" s="188" customFormat="1" ht="18.600000000000001" customHeight="1" x14ac:dyDescent="0.2">
      <c r="A27" s="292" t="s">
        <v>110</v>
      </c>
      <c r="B27" s="186" t="s">
        <v>106</v>
      </c>
      <c r="C27" s="187" t="s">
        <v>6962</v>
      </c>
      <c r="D27" s="187" t="s">
        <v>2169</v>
      </c>
      <c r="E27" s="187" t="s">
        <v>1553</v>
      </c>
      <c r="F27" s="187" t="s">
        <v>1522</v>
      </c>
      <c r="G27" s="187" t="s">
        <v>1304</v>
      </c>
      <c r="H27" s="187" t="s">
        <v>209</v>
      </c>
      <c r="I27" s="187"/>
      <c r="J27" s="186" t="s">
        <v>106</v>
      </c>
      <c r="K27" s="186" t="s">
        <v>7114</v>
      </c>
      <c r="L27" s="186" t="s">
        <v>6962</v>
      </c>
      <c r="M27" s="186" t="s">
        <v>2169</v>
      </c>
      <c r="N27" s="186" t="s">
        <v>1553</v>
      </c>
      <c r="O27" s="186" t="s">
        <v>1522</v>
      </c>
      <c r="P27" s="186" t="s">
        <v>1304</v>
      </c>
      <c r="R27" s="186" t="s">
        <v>106</v>
      </c>
      <c r="S27" s="186" t="s">
        <v>7114</v>
      </c>
      <c r="T27" s="186" t="s">
        <v>6962</v>
      </c>
      <c r="U27" s="186" t="s">
        <v>2169</v>
      </c>
      <c r="V27" s="186" t="s">
        <v>1553</v>
      </c>
      <c r="W27" s="186" t="s">
        <v>1522</v>
      </c>
      <c r="X27" s="186" t="s">
        <v>1304</v>
      </c>
      <c r="Z27" s="186" t="s">
        <v>106</v>
      </c>
      <c r="AA27" s="186" t="s">
        <v>7114</v>
      </c>
      <c r="AB27" s="186" t="s">
        <v>6962</v>
      </c>
      <c r="AC27" s="186" t="s">
        <v>2169</v>
      </c>
      <c r="AD27" s="186" t="s">
        <v>1553</v>
      </c>
      <c r="AE27" s="186" t="s">
        <v>1522</v>
      </c>
      <c r="AF27" s="186" t="s">
        <v>1304</v>
      </c>
      <c r="AH27" s="186" t="s">
        <v>106</v>
      </c>
      <c r="AI27" s="186" t="s">
        <v>7114</v>
      </c>
      <c r="AJ27" s="186" t="s">
        <v>6962</v>
      </c>
      <c r="AK27" s="186" t="s">
        <v>2169</v>
      </c>
      <c r="AL27" s="186" t="s">
        <v>1553</v>
      </c>
      <c r="AM27" s="186" t="s">
        <v>1522</v>
      </c>
      <c r="AN27" s="186" t="s">
        <v>1304</v>
      </c>
      <c r="AP27" s="186" t="s">
        <v>106</v>
      </c>
      <c r="AQ27" s="186" t="s">
        <v>7114</v>
      </c>
      <c r="AR27" s="186" t="s">
        <v>6962</v>
      </c>
      <c r="AS27" s="186" t="s">
        <v>2169</v>
      </c>
      <c r="AT27" s="186" t="s">
        <v>1553</v>
      </c>
      <c r="AU27" s="186" t="s">
        <v>1522</v>
      </c>
      <c r="AV27" s="186" t="s">
        <v>1304</v>
      </c>
      <c r="AX27" s="186" t="s">
        <v>106</v>
      </c>
      <c r="AY27" s="186" t="s">
        <v>7114</v>
      </c>
      <c r="AZ27" s="186" t="s">
        <v>6962</v>
      </c>
      <c r="BA27" s="186" t="s">
        <v>2169</v>
      </c>
      <c r="BB27" s="186" t="s">
        <v>1553</v>
      </c>
      <c r="BC27" s="186" t="s">
        <v>1522</v>
      </c>
      <c r="BD27" s="186" t="s">
        <v>1304</v>
      </c>
      <c r="BE27" s="187"/>
      <c r="BF27" s="186" t="s">
        <v>106</v>
      </c>
      <c r="BG27" s="186" t="s">
        <v>7114</v>
      </c>
      <c r="BH27" s="186" t="s">
        <v>6962</v>
      </c>
      <c r="BI27" s="186" t="s">
        <v>2169</v>
      </c>
      <c r="BJ27" s="186" t="s">
        <v>1553</v>
      </c>
      <c r="BK27" s="186" t="s">
        <v>1522</v>
      </c>
      <c r="BL27" s="186" t="s">
        <v>1304</v>
      </c>
      <c r="BM27" s="186"/>
      <c r="BN27" s="186" t="s">
        <v>106</v>
      </c>
      <c r="BO27" s="187" t="s">
        <v>7114</v>
      </c>
      <c r="BP27" s="187" t="s">
        <v>6962</v>
      </c>
      <c r="BQ27" s="187" t="s">
        <v>2169</v>
      </c>
      <c r="BR27" s="187" t="s">
        <v>1553</v>
      </c>
      <c r="BS27" s="187" t="s">
        <v>1522</v>
      </c>
      <c r="BT27" s="187" t="s">
        <v>1304</v>
      </c>
      <c r="BV27" s="186" t="s">
        <v>106</v>
      </c>
      <c r="BW27" s="187" t="s">
        <v>7114</v>
      </c>
      <c r="BX27" s="187" t="s">
        <v>6962</v>
      </c>
      <c r="BY27" s="187" t="s">
        <v>2169</v>
      </c>
      <c r="BZ27" s="187" t="s">
        <v>1553</v>
      </c>
      <c r="CA27" s="187" t="s">
        <v>1522</v>
      </c>
      <c r="CB27" s="187" t="s">
        <v>1304</v>
      </c>
      <c r="CC27" s="187"/>
      <c r="CD27" s="186" t="s">
        <v>106</v>
      </c>
      <c r="CE27" s="187" t="s">
        <v>7114</v>
      </c>
      <c r="CF27" s="187" t="s">
        <v>6962</v>
      </c>
      <c r="CG27" s="187" t="s">
        <v>2169</v>
      </c>
      <c r="CH27" s="187" t="s">
        <v>1553</v>
      </c>
      <c r="CI27" s="187" t="s">
        <v>1522</v>
      </c>
      <c r="CJ27" s="187" t="s">
        <v>1304</v>
      </c>
      <c r="CL27" s="186" t="s">
        <v>106</v>
      </c>
      <c r="CM27" s="187" t="s">
        <v>7114</v>
      </c>
      <c r="CN27" s="187" t="s">
        <v>6962</v>
      </c>
      <c r="CO27" s="187" t="s">
        <v>2169</v>
      </c>
      <c r="CP27" s="187" t="s">
        <v>1553</v>
      </c>
      <c r="CQ27" s="187" t="s">
        <v>1522</v>
      </c>
      <c r="CR27" s="187" t="s">
        <v>1304</v>
      </c>
      <c r="CT27" s="186" t="s">
        <v>106</v>
      </c>
      <c r="CU27" s="187" t="s">
        <v>7114</v>
      </c>
      <c r="CV27" s="187" t="s">
        <v>6962</v>
      </c>
      <c r="CW27" s="187" t="s">
        <v>2169</v>
      </c>
      <c r="CX27" s="187" t="s">
        <v>1553</v>
      </c>
      <c r="CY27" s="187" t="s">
        <v>1522</v>
      </c>
      <c r="CZ27" s="187" t="s">
        <v>1304</v>
      </c>
      <c r="DB27" s="186" t="s">
        <v>106</v>
      </c>
      <c r="DC27" s="187" t="s">
        <v>7114</v>
      </c>
      <c r="DD27" s="187" t="s">
        <v>6962</v>
      </c>
      <c r="DE27" s="187" t="s">
        <v>2169</v>
      </c>
      <c r="DF27" s="187" t="s">
        <v>1553</v>
      </c>
      <c r="DG27" s="187" t="s">
        <v>1522</v>
      </c>
      <c r="DH27" s="187" t="s">
        <v>1304</v>
      </c>
      <c r="DI27" s="187"/>
      <c r="DJ27" s="186" t="s">
        <v>106</v>
      </c>
      <c r="DK27" s="187" t="s">
        <v>7114</v>
      </c>
      <c r="DL27" s="187" t="s">
        <v>6962</v>
      </c>
      <c r="DM27" s="187" t="s">
        <v>2169</v>
      </c>
      <c r="DN27" s="187" t="s">
        <v>1553</v>
      </c>
      <c r="DO27" s="187" t="s">
        <v>1522</v>
      </c>
      <c r="DP27" s="187" t="s">
        <v>1304</v>
      </c>
      <c r="DR27" s="186" t="s">
        <v>106</v>
      </c>
      <c r="DS27" s="187" t="s">
        <v>7114</v>
      </c>
      <c r="DT27" s="187" t="s">
        <v>6962</v>
      </c>
      <c r="DU27" s="187" t="s">
        <v>2169</v>
      </c>
      <c r="DV27" s="187" t="s">
        <v>1553</v>
      </c>
      <c r="DW27" s="187" t="s">
        <v>1522</v>
      </c>
      <c r="DX27" s="187" t="s">
        <v>1304</v>
      </c>
      <c r="DZ27" s="186" t="s">
        <v>106</v>
      </c>
      <c r="EA27" s="187" t="s">
        <v>7114</v>
      </c>
      <c r="EB27" s="187" t="s">
        <v>6962</v>
      </c>
      <c r="EC27" s="187" t="s">
        <v>2169</v>
      </c>
      <c r="ED27" s="187" t="s">
        <v>1553</v>
      </c>
      <c r="EE27" s="187" t="s">
        <v>1522</v>
      </c>
      <c r="EF27" s="187" t="s">
        <v>1304</v>
      </c>
    </row>
    <row r="28" spans="1:136" x14ac:dyDescent="0.2">
      <c r="A28" s="292"/>
      <c r="B28" s="46" t="s">
        <v>88</v>
      </c>
      <c r="C28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>64543.609999999993</v>
      </c>
      <c r="D28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-54690</v>
      </c>
      <c r="E28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112015</v>
      </c>
      <c r="F28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296158</v>
      </c>
      <c r="G28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14582</v>
      </c>
      <c r="H28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197411</v>
      </c>
      <c r="I28" s="48"/>
      <c r="J28" s="46" t="s">
        <v>88</v>
      </c>
      <c r="K28" s="131">
        <v>-1132</v>
      </c>
      <c r="L28" s="258">
        <v>-712</v>
      </c>
      <c r="M28" s="48">
        <v>23975</v>
      </c>
      <c r="N28" s="48">
        <v>46024</v>
      </c>
      <c r="O28" s="48">
        <v>16913</v>
      </c>
      <c r="P28" s="48">
        <v>44760</v>
      </c>
      <c r="R28" s="46" t="s">
        <v>88</v>
      </c>
      <c r="S28" s="131">
        <v>-7163</v>
      </c>
      <c r="T28" s="48">
        <v>-19109</v>
      </c>
      <c r="U28" s="48">
        <v>-3666</v>
      </c>
      <c r="V28" s="48">
        <v>8248</v>
      </c>
      <c r="W28" s="48">
        <v>3667</v>
      </c>
      <c r="X28" s="48">
        <v>849</v>
      </c>
      <c r="Z28" s="46" t="s">
        <v>88</v>
      </c>
      <c r="AA28" s="131">
        <v>-1610</v>
      </c>
      <c r="AB28" s="48">
        <v>-15265</v>
      </c>
      <c r="AC28" s="48">
        <v>9115</v>
      </c>
      <c r="AD28" s="48">
        <v>23186</v>
      </c>
      <c r="AE28" s="48">
        <v>13549</v>
      </c>
      <c r="AF28" s="48">
        <v>26453</v>
      </c>
      <c r="AH28" s="46" t="s">
        <v>88</v>
      </c>
      <c r="AI28" s="131"/>
      <c r="AJ28" s="48">
        <v>-38</v>
      </c>
      <c r="AK28" s="48">
        <v>13490</v>
      </c>
      <c r="AL28" s="48">
        <v>56972</v>
      </c>
      <c r="AM28" s="48">
        <v>10196</v>
      </c>
      <c r="AN28" s="48">
        <v>15987</v>
      </c>
      <c r="AP28" s="46" t="s">
        <v>88</v>
      </c>
      <c r="AQ28" s="131">
        <v>13000</v>
      </c>
      <c r="AR28" s="48">
        <v>7484</v>
      </c>
      <c r="AS28" s="48">
        <v>31439</v>
      </c>
      <c r="AT28" s="48">
        <v>33738</v>
      </c>
      <c r="AU28" s="48">
        <v>-32996</v>
      </c>
      <c r="AV28" s="48"/>
      <c r="AX28" s="46" t="s">
        <v>88</v>
      </c>
      <c r="AY28" s="131"/>
      <c r="AZ28" s="48">
        <v>-2717</v>
      </c>
      <c r="BA28" s="48">
        <v>-1603</v>
      </c>
      <c r="BB28" s="48">
        <v>3547</v>
      </c>
      <c r="BC28" s="48"/>
      <c r="BD28" s="48"/>
      <c r="BE28" s="48"/>
      <c r="BF28" s="46" t="s">
        <v>88</v>
      </c>
      <c r="BG28" s="131">
        <v>-1084.5999999999999</v>
      </c>
      <c r="BH28" s="48">
        <v>5046</v>
      </c>
      <c r="BI28" s="48">
        <v>8987</v>
      </c>
      <c r="BJ28" s="48"/>
      <c r="BK28" s="48"/>
      <c r="BL28" s="48"/>
      <c r="BM28" s="48"/>
      <c r="BN28" s="46" t="s">
        <v>88</v>
      </c>
      <c r="BO28" s="131">
        <v>9729</v>
      </c>
      <c r="BP28" s="48">
        <v>15004</v>
      </c>
      <c r="BQ28" s="48">
        <v>3769</v>
      </c>
      <c r="BR28" s="48">
        <v>28006</v>
      </c>
      <c r="BS28" s="48">
        <v>5213</v>
      </c>
      <c r="BT28" s="48">
        <v>39095</v>
      </c>
      <c r="BV28" s="46" t="s">
        <v>88</v>
      </c>
      <c r="BW28" s="131">
        <v>-4936</v>
      </c>
      <c r="BX28" s="48">
        <v>-16140</v>
      </c>
      <c r="BY28" s="48">
        <v>-5675</v>
      </c>
      <c r="BZ28" s="48">
        <v>17435</v>
      </c>
      <c r="CA28" s="48">
        <v>4308</v>
      </c>
      <c r="CB28" s="48">
        <v>6276</v>
      </c>
      <c r="CC28" s="48"/>
      <c r="CD28" s="46" t="s">
        <v>88</v>
      </c>
      <c r="CE28" s="131">
        <v>-16856</v>
      </c>
      <c r="CF28" s="48">
        <v>-3688</v>
      </c>
      <c r="CG28" s="48">
        <v>-10768</v>
      </c>
      <c r="CH28" s="48">
        <v>5114</v>
      </c>
      <c r="CI28" s="48">
        <v>-33182</v>
      </c>
      <c r="CJ28" s="48">
        <v>4894</v>
      </c>
      <c r="CL28" s="46" t="s">
        <v>88</v>
      </c>
      <c r="CM28" s="131">
        <v>8362</v>
      </c>
      <c r="CN28" s="48">
        <v>-24555</v>
      </c>
      <c r="CO28" s="48">
        <v>42952</v>
      </c>
      <c r="CP28" s="48">
        <v>73888</v>
      </c>
      <c r="CQ28" s="48">
        <v>26914</v>
      </c>
      <c r="CR28" s="48">
        <v>59097</v>
      </c>
      <c r="CT28" s="46" t="s">
        <v>88</v>
      </c>
      <c r="CU28" s="131">
        <v>17703.310000000001</v>
      </c>
      <c r="CV28" s="48">
        <v>-2689</v>
      </c>
      <c r="CW28" s="48"/>
      <c r="CX28" s="48"/>
      <c r="CY28" s="48"/>
      <c r="CZ28" s="48"/>
      <c r="DB28" s="46" t="s">
        <v>88</v>
      </c>
      <c r="DC28" s="131">
        <v>45323.09</v>
      </c>
      <c r="DD28" s="48">
        <v>22322</v>
      </c>
      <c r="DE28" s="48"/>
      <c r="DF28" s="48"/>
      <c r="DG28" s="48"/>
      <c r="DH28" s="48"/>
      <c r="DI28" s="48"/>
      <c r="DJ28" s="46" t="s">
        <v>88</v>
      </c>
      <c r="DK28" s="131">
        <v>-2380</v>
      </c>
      <c r="DL28" s="48">
        <v>-26085</v>
      </c>
      <c r="DM28" s="48"/>
      <c r="DN28" s="48"/>
      <c r="DO28" s="48"/>
      <c r="DP28" s="48"/>
      <c r="DR28" s="46" t="s">
        <v>143</v>
      </c>
      <c r="DS28" s="131">
        <v>5587.81</v>
      </c>
      <c r="DT28" s="48">
        <v>-14729</v>
      </c>
      <c r="DU28" s="48"/>
      <c r="DV28" s="48"/>
      <c r="DW28" s="48"/>
      <c r="DX28" s="48"/>
      <c r="DZ28" s="46" t="s">
        <v>143</v>
      </c>
      <c r="EA28" s="131">
        <v>-13966.86</v>
      </c>
      <c r="EB28" s="48"/>
      <c r="EC28" s="48"/>
      <c r="ED28" s="48"/>
      <c r="EE28" s="48"/>
      <c r="EF28" s="48"/>
    </row>
    <row r="29" spans="1:136" x14ac:dyDescent="0.2">
      <c r="A29" s="292"/>
      <c r="B29" s="46" t="s">
        <v>6994</v>
      </c>
      <c r="C29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29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-102242.80000000002</v>
      </c>
      <c r="E29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280215</v>
      </c>
      <c r="F29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591702</v>
      </c>
      <c r="G29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5939</v>
      </c>
      <c r="H29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437342</v>
      </c>
      <c r="I29" s="48"/>
      <c r="J29" s="46" t="s">
        <v>6994</v>
      </c>
      <c r="K29" s="131"/>
      <c r="L29" s="258">
        <v>-6231.87</v>
      </c>
      <c r="M29" s="48">
        <v>67887</v>
      </c>
      <c r="N29" s="48">
        <v>101039</v>
      </c>
      <c r="O29" s="48">
        <v>11814</v>
      </c>
      <c r="P29" s="48">
        <v>100201</v>
      </c>
      <c r="R29" s="46" t="s">
        <v>6994</v>
      </c>
      <c r="S29" s="131"/>
      <c r="T29" s="48">
        <v>-35060.57</v>
      </c>
      <c r="U29" s="48">
        <v>-4234</v>
      </c>
      <c r="V29" s="48">
        <v>4850</v>
      </c>
      <c r="W29" s="48">
        <v>-6285</v>
      </c>
      <c r="X29" s="48">
        <v>3758</v>
      </c>
      <c r="Z29" s="46" t="s">
        <v>6994</v>
      </c>
      <c r="AA29" s="131"/>
      <c r="AB29" s="48">
        <v>-4249.6000000000004</v>
      </c>
      <c r="AC29" s="48">
        <v>12253</v>
      </c>
      <c r="AD29" s="48">
        <v>43992</v>
      </c>
      <c r="AE29" s="48">
        <v>6924</v>
      </c>
      <c r="AF29" s="48">
        <v>62650</v>
      </c>
      <c r="AH29" s="46" t="s">
        <v>6994</v>
      </c>
      <c r="AI29" s="131"/>
      <c r="AJ29" s="48">
        <v>-20851.759999999998</v>
      </c>
      <c r="AK29" s="48">
        <v>24592</v>
      </c>
      <c r="AL29" s="48">
        <v>93277</v>
      </c>
      <c r="AM29" s="48">
        <v>6006</v>
      </c>
      <c r="AN29" s="48">
        <v>52183</v>
      </c>
      <c r="AP29" s="46" t="s">
        <v>6994</v>
      </c>
      <c r="AQ29" s="131"/>
      <c r="AR29" s="48">
        <v>24141.98</v>
      </c>
      <c r="AS29" s="48">
        <v>57917</v>
      </c>
      <c r="AT29" s="48">
        <v>67773</v>
      </c>
      <c r="AU29" s="48">
        <v>-33064</v>
      </c>
      <c r="AV29" s="48"/>
      <c r="AX29" s="46" t="s">
        <v>6994</v>
      </c>
      <c r="AY29" s="131"/>
      <c r="AZ29" s="48">
        <v>-12637.72</v>
      </c>
      <c r="BA29" s="48">
        <v>-872</v>
      </c>
      <c r="BB29" s="48">
        <v>-2880</v>
      </c>
      <c r="BC29" s="48"/>
      <c r="BD29" s="48"/>
      <c r="BE29" s="48"/>
      <c r="BF29" s="46" t="s">
        <v>6994</v>
      </c>
      <c r="BG29" s="131"/>
      <c r="BH29" s="48">
        <v>14336.28</v>
      </c>
      <c r="BI29" s="48">
        <v>20096</v>
      </c>
      <c r="BJ29" s="48"/>
      <c r="BK29" s="48"/>
      <c r="BL29" s="48"/>
      <c r="BM29" s="48"/>
      <c r="BN29" s="46" t="s">
        <v>6994</v>
      </c>
      <c r="BO29" s="131"/>
      <c r="BP29" s="48">
        <v>27892.93</v>
      </c>
      <c r="BQ29" s="48">
        <v>29239</v>
      </c>
      <c r="BR29" s="48">
        <v>67319</v>
      </c>
      <c r="BS29" s="48">
        <v>6030</v>
      </c>
      <c r="BT29" s="48">
        <v>76806</v>
      </c>
      <c r="BV29" s="46" t="s">
        <v>6994</v>
      </c>
      <c r="BW29" s="131"/>
      <c r="BX29" s="48">
        <v>-28326.61</v>
      </c>
      <c r="BY29" s="48">
        <v>-1194</v>
      </c>
      <c r="BZ29" s="48">
        <v>60054</v>
      </c>
      <c r="CA29" s="48">
        <v>14380</v>
      </c>
      <c r="CB29" s="48">
        <v>13896</v>
      </c>
      <c r="CC29" s="48"/>
      <c r="CD29" s="46" t="s">
        <v>6994</v>
      </c>
      <c r="CE29" s="131"/>
      <c r="CF29" s="48">
        <v>-12920</v>
      </c>
      <c r="CG29" s="48">
        <v>-5685</v>
      </c>
      <c r="CH29" s="48">
        <v>18473</v>
      </c>
      <c r="CI29" s="48">
        <v>-36557</v>
      </c>
      <c r="CJ29" s="48">
        <v>10723</v>
      </c>
      <c r="CL29" s="46" t="s">
        <v>6994</v>
      </c>
      <c r="CM29" s="131"/>
      <c r="CN29" s="48">
        <v>-48335.86</v>
      </c>
      <c r="CO29" s="48">
        <v>80216</v>
      </c>
      <c r="CP29" s="48">
        <v>137805</v>
      </c>
      <c r="CQ29" s="48">
        <v>36691</v>
      </c>
      <c r="CR29" s="48">
        <v>117125</v>
      </c>
      <c r="CT29" s="46" t="s">
        <v>6994</v>
      </c>
      <c r="CU29" s="131"/>
      <c r="CV29" s="48">
        <v>11894.4</v>
      </c>
      <c r="CW29" s="48"/>
      <c r="CX29" s="48"/>
      <c r="CY29" s="48"/>
      <c r="CZ29" s="48"/>
      <c r="DB29" s="46" t="s">
        <v>6994</v>
      </c>
      <c r="DC29" s="131"/>
      <c r="DD29" s="48">
        <v>74127.78</v>
      </c>
      <c r="DE29" s="48"/>
      <c r="DF29" s="48"/>
      <c r="DG29" s="48"/>
      <c r="DH29" s="48"/>
      <c r="DI29" s="48"/>
      <c r="DJ29" s="46" t="s">
        <v>6994</v>
      </c>
      <c r="DK29" s="131"/>
      <c r="DL29" s="48">
        <v>-10669.27</v>
      </c>
      <c r="DM29" s="48"/>
      <c r="DN29" s="48"/>
      <c r="DO29" s="48"/>
      <c r="DP29" s="48"/>
      <c r="DR29" s="46" t="s">
        <v>5</v>
      </c>
      <c r="DS29" s="131"/>
      <c r="DT29" s="48">
        <v>1313.96</v>
      </c>
      <c r="DU29" s="48"/>
      <c r="DV29" s="48"/>
      <c r="DW29" s="48"/>
      <c r="DX29" s="48"/>
      <c r="DZ29" s="46" t="s">
        <v>5</v>
      </c>
      <c r="EA29" s="131"/>
      <c r="EB29" s="48"/>
      <c r="EC29" s="48"/>
      <c r="ED29" s="48"/>
      <c r="EE29" s="48"/>
      <c r="EF29" s="48"/>
    </row>
    <row r="30" spans="1:136" x14ac:dyDescent="0.2">
      <c r="A30" s="292"/>
      <c r="B30" s="46" t="s">
        <v>89</v>
      </c>
      <c r="C30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0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80357.450000000012</v>
      </c>
      <c r="E30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481424</v>
      </c>
      <c r="F30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830581</v>
      </c>
      <c r="G30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53773</v>
      </c>
      <c r="H30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70630</v>
      </c>
      <c r="I30" s="48"/>
      <c r="J30" s="46" t="s">
        <v>89</v>
      </c>
      <c r="K30" s="131"/>
      <c r="L30" s="258">
        <v>13716.79</v>
      </c>
      <c r="M30" s="48">
        <v>103869</v>
      </c>
      <c r="N30" s="48">
        <v>158060</v>
      </c>
      <c r="O30" s="48">
        <v>30502</v>
      </c>
      <c r="P30" s="48">
        <v>61145</v>
      </c>
      <c r="R30" s="46" t="s">
        <v>89</v>
      </c>
      <c r="S30" s="131"/>
      <c r="T30" s="48">
        <v>-35766.99</v>
      </c>
      <c r="U30" s="48">
        <v>-16687</v>
      </c>
      <c r="V30" s="48">
        <v>-2482</v>
      </c>
      <c r="W30" s="48">
        <v>-2962</v>
      </c>
      <c r="X30" s="48">
        <v>-33161</v>
      </c>
      <c r="Z30" s="46" t="s">
        <v>89</v>
      </c>
      <c r="AA30" s="131"/>
      <c r="AB30" s="48">
        <v>20812.849999999999</v>
      </c>
      <c r="AC30" s="48">
        <v>35556</v>
      </c>
      <c r="AD30" s="48">
        <v>70076</v>
      </c>
      <c r="AE30" s="48">
        <v>1160</v>
      </c>
      <c r="AF30" s="48">
        <v>30194</v>
      </c>
      <c r="AH30" s="46" t="s">
        <v>89</v>
      </c>
      <c r="AI30" s="131"/>
      <c r="AJ30" s="48">
        <v>-11859.55</v>
      </c>
      <c r="AK30" s="48">
        <v>36263</v>
      </c>
      <c r="AL30" s="48">
        <v>131225</v>
      </c>
      <c r="AM30" s="48">
        <v>15001</v>
      </c>
      <c r="AN30" s="48">
        <v>-50052</v>
      </c>
      <c r="AP30" s="46" t="s">
        <v>89</v>
      </c>
      <c r="AQ30" s="131"/>
      <c r="AR30" s="48">
        <v>64414.53</v>
      </c>
      <c r="AS30" s="48">
        <v>81129</v>
      </c>
      <c r="AT30" s="48">
        <v>90907</v>
      </c>
      <c r="AU30" s="48">
        <v>-54313</v>
      </c>
      <c r="AV30" s="48"/>
      <c r="AX30" s="46" t="s">
        <v>89</v>
      </c>
      <c r="AY30" s="131"/>
      <c r="AZ30" s="48">
        <v>-854.21</v>
      </c>
      <c r="BA30" s="48">
        <v>11965</v>
      </c>
      <c r="BB30" s="48">
        <v>-1880</v>
      </c>
      <c r="BC30" s="48"/>
      <c r="BD30" s="48"/>
      <c r="BE30" s="48"/>
      <c r="BF30" s="46" t="s">
        <v>89</v>
      </c>
      <c r="BG30" s="131"/>
      <c r="BH30" s="48">
        <v>35717.69</v>
      </c>
      <c r="BI30" s="48">
        <v>54069</v>
      </c>
      <c r="BJ30" s="48"/>
      <c r="BK30" s="48"/>
      <c r="BL30" s="48"/>
      <c r="BM30" s="48"/>
      <c r="BN30" s="46" t="s">
        <v>89</v>
      </c>
      <c r="BO30" s="131"/>
      <c r="BP30" s="48">
        <v>56948.45</v>
      </c>
      <c r="BQ30" s="48">
        <v>51165</v>
      </c>
      <c r="BR30" s="48">
        <v>105342</v>
      </c>
      <c r="BS30" s="48">
        <v>14070</v>
      </c>
      <c r="BT30" s="48">
        <v>46393</v>
      </c>
      <c r="BV30" s="46" t="s">
        <v>89</v>
      </c>
      <c r="BW30" s="131"/>
      <c r="BX30" s="48">
        <v>-29161.93</v>
      </c>
      <c r="BY30" s="48">
        <v>380</v>
      </c>
      <c r="BZ30" s="48">
        <v>65954</v>
      </c>
      <c r="CA30" s="48">
        <v>16383</v>
      </c>
      <c r="CB30" s="48">
        <v>-24361</v>
      </c>
      <c r="CC30" s="48"/>
      <c r="CD30" s="46" t="s">
        <v>89</v>
      </c>
      <c r="CE30" s="131"/>
      <c r="CF30" s="48">
        <v>-20431.96</v>
      </c>
      <c r="CG30" s="48">
        <v>-6011</v>
      </c>
      <c r="CH30" s="48">
        <v>15900</v>
      </c>
      <c r="CI30" s="48">
        <v>-26973</v>
      </c>
      <c r="CJ30" s="48">
        <v>-48486</v>
      </c>
      <c r="CL30" s="46" t="s">
        <v>89</v>
      </c>
      <c r="CM30" s="131"/>
      <c r="CN30" s="48">
        <v>-13178.22</v>
      </c>
      <c r="CO30" s="48">
        <v>129726</v>
      </c>
      <c r="CP30" s="48">
        <v>197479</v>
      </c>
      <c r="CQ30" s="48">
        <v>60905</v>
      </c>
      <c r="CR30" s="48">
        <v>88958</v>
      </c>
      <c r="CT30" s="46" t="s">
        <v>89</v>
      </c>
      <c r="CU30" s="131"/>
      <c r="CV30" s="48">
        <v>28737.48</v>
      </c>
      <c r="CW30" s="48"/>
      <c r="CX30" s="48"/>
      <c r="CY30" s="48"/>
      <c r="CZ30" s="48"/>
      <c r="DB30" s="46" t="s">
        <v>89</v>
      </c>
      <c r="DC30" s="131"/>
      <c r="DD30" s="48">
        <v>131915.01</v>
      </c>
      <c r="DE30" s="48"/>
      <c r="DF30" s="48"/>
      <c r="DG30" s="48"/>
      <c r="DH30" s="48"/>
      <c r="DI30" s="48"/>
      <c r="DJ30" s="46" t="s">
        <v>89</v>
      </c>
      <c r="DK30" s="131"/>
      <c r="DL30" s="48">
        <v>-10237.69</v>
      </c>
      <c r="DM30" s="48"/>
      <c r="DN30" s="48"/>
      <c r="DO30" s="48"/>
      <c r="DP30" s="48"/>
      <c r="DR30" s="46" t="s">
        <v>7</v>
      </c>
      <c r="DS30" s="131"/>
      <c r="DT30" s="48">
        <v>18072.919999999998</v>
      </c>
      <c r="DU30" s="48"/>
      <c r="DV30" s="48"/>
      <c r="DW30" s="48"/>
      <c r="DX30" s="48"/>
      <c r="DZ30" s="46" t="s">
        <v>7</v>
      </c>
      <c r="EA30" s="131"/>
      <c r="EB30" s="48"/>
      <c r="EC30" s="48"/>
      <c r="ED30" s="48"/>
      <c r="EE30" s="48"/>
      <c r="EF30" s="48"/>
    </row>
    <row r="31" spans="1:136" x14ac:dyDescent="0.2">
      <c r="A31" s="292"/>
      <c r="B31" s="46" t="s">
        <v>90</v>
      </c>
      <c r="C31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1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111712</v>
      </c>
      <c r="E31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903054</v>
      </c>
      <c r="F31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1138827</v>
      </c>
      <c r="G31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133375</v>
      </c>
      <c r="H31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-328602</v>
      </c>
      <c r="I31" s="48"/>
      <c r="J31" s="46" t="s">
        <v>90</v>
      </c>
      <c r="K31" s="131"/>
      <c r="L31" s="258">
        <v>8637</v>
      </c>
      <c r="M31" s="48">
        <v>154285</v>
      </c>
      <c r="N31" s="48">
        <v>207667</v>
      </c>
      <c r="O31" s="48">
        <v>56722</v>
      </c>
      <c r="P31" s="48">
        <v>-28183</v>
      </c>
      <c r="R31" s="46" t="s">
        <v>90</v>
      </c>
      <c r="S31" s="131"/>
      <c r="T31" s="48">
        <v>-47885</v>
      </c>
      <c r="U31" s="48">
        <v>-6454</v>
      </c>
      <c r="V31" s="48">
        <v>9351</v>
      </c>
      <c r="W31" s="48">
        <v>-5834</v>
      </c>
      <c r="X31" s="48">
        <v>-102687</v>
      </c>
      <c r="Z31" s="46" t="s">
        <v>90</v>
      </c>
      <c r="AA31" s="131"/>
      <c r="AB31" s="48">
        <v>28222</v>
      </c>
      <c r="AC31" s="48">
        <v>52488</v>
      </c>
      <c r="AD31" s="48">
        <v>87295</v>
      </c>
      <c r="AE31" s="48">
        <v>15532</v>
      </c>
      <c r="AF31" s="48">
        <v>-31797</v>
      </c>
      <c r="AH31" s="46" t="s">
        <v>90</v>
      </c>
      <c r="AI31" s="131"/>
      <c r="AJ31" s="48">
        <v>-9521</v>
      </c>
      <c r="AK31" s="48">
        <v>56392</v>
      </c>
      <c r="AL31" s="48">
        <v>162884</v>
      </c>
      <c r="AM31" s="48">
        <v>35292</v>
      </c>
      <c r="AN31" s="48">
        <v>-150415</v>
      </c>
      <c r="AP31" s="46" t="s">
        <v>90</v>
      </c>
      <c r="AQ31" s="131"/>
      <c r="AR31" s="48">
        <v>75757</v>
      </c>
      <c r="AS31" s="48">
        <v>148258</v>
      </c>
      <c r="AT31" s="48">
        <v>121039</v>
      </c>
      <c r="AU31" s="48">
        <v>-82734</v>
      </c>
      <c r="AV31" s="48"/>
      <c r="AX31" s="46" t="s">
        <v>90</v>
      </c>
      <c r="AY31" s="131"/>
      <c r="AZ31" s="48">
        <v>-2766</v>
      </c>
      <c r="BA31" s="48">
        <v>23600</v>
      </c>
      <c r="BB31" s="48">
        <v>23398</v>
      </c>
      <c r="BC31" s="48"/>
      <c r="BD31" s="48"/>
      <c r="BE31" s="48"/>
      <c r="BF31" s="46" t="s">
        <v>90</v>
      </c>
      <c r="BG31" s="131"/>
      <c r="BH31" s="48">
        <v>51051</v>
      </c>
      <c r="BI31" s="48">
        <v>115474</v>
      </c>
      <c r="BJ31" s="48"/>
      <c r="BK31" s="48"/>
      <c r="BL31" s="48"/>
      <c r="BM31" s="48"/>
      <c r="BN31" s="46" t="s">
        <v>90</v>
      </c>
      <c r="BO31" s="131"/>
      <c r="BP31" s="48">
        <v>71783</v>
      </c>
      <c r="BQ31" s="48">
        <v>90675</v>
      </c>
      <c r="BR31" s="48">
        <v>127976</v>
      </c>
      <c r="BS31" s="48">
        <v>39419</v>
      </c>
      <c r="BT31" s="48">
        <v>76200</v>
      </c>
      <c r="BV31" s="46" t="s">
        <v>90</v>
      </c>
      <c r="BW31" s="131"/>
      <c r="BX31" s="48">
        <v>-36236</v>
      </c>
      <c r="BY31" s="48">
        <v>9682</v>
      </c>
      <c r="BZ31" s="48">
        <v>102439</v>
      </c>
      <c r="CA31" s="48">
        <v>19311</v>
      </c>
      <c r="CB31" s="48">
        <v>-78784</v>
      </c>
      <c r="CC31" s="48"/>
      <c r="CD31" s="46" t="s">
        <v>90</v>
      </c>
      <c r="CE31" s="131"/>
      <c r="CF31" s="48">
        <v>-27719</v>
      </c>
      <c r="CG31" s="48">
        <v>51016</v>
      </c>
      <c r="CH31" s="48">
        <v>20541</v>
      </c>
      <c r="CI31" s="48">
        <v>-27941</v>
      </c>
      <c r="CJ31" s="48">
        <v>-132774</v>
      </c>
      <c r="CL31" s="46" t="s">
        <v>90</v>
      </c>
      <c r="CM31" s="131"/>
      <c r="CN31" s="48">
        <v>389</v>
      </c>
      <c r="CO31" s="48">
        <v>207638</v>
      </c>
      <c r="CP31" s="48">
        <v>276237</v>
      </c>
      <c r="CQ31" s="48">
        <v>83608</v>
      </c>
      <c r="CR31" s="48">
        <v>119838</v>
      </c>
      <c r="CT31" s="46" t="s">
        <v>90</v>
      </c>
      <c r="CU31" s="131"/>
      <c r="CV31" s="48">
        <v>64889.31</v>
      </c>
      <c r="CW31" s="48"/>
      <c r="CX31" s="48"/>
      <c r="CY31" s="48"/>
      <c r="CZ31" s="48"/>
      <c r="DB31" s="46" t="s">
        <v>90</v>
      </c>
      <c r="DC31" s="131"/>
      <c r="DD31" s="48">
        <v>161950.73000000001</v>
      </c>
      <c r="DE31" s="48"/>
      <c r="DF31" s="48"/>
      <c r="DG31" s="48"/>
      <c r="DH31" s="48"/>
      <c r="DI31" s="48"/>
      <c r="DJ31" s="46" t="s">
        <v>90</v>
      </c>
      <c r="DK31" s="131"/>
      <c r="DL31" s="48">
        <v>-21197.68</v>
      </c>
      <c r="DM31" s="48"/>
      <c r="DN31" s="48"/>
      <c r="DO31" s="48"/>
      <c r="DP31" s="48"/>
      <c r="DR31" s="46" t="s">
        <v>9</v>
      </c>
      <c r="DS31" s="131"/>
      <c r="DT31" s="48">
        <v>20067.64</v>
      </c>
      <c r="DU31" s="48"/>
      <c r="DV31" s="48"/>
      <c r="DW31" s="48"/>
      <c r="DX31" s="48"/>
      <c r="DZ31" s="46" t="s">
        <v>9</v>
      </c>
      <c r="EA31" s="131"/>
      <c r="EB31" s="48"/>
      <c r="EC31" s="48"/>
      <c r="ED31" s="48"/>
      <c r="EE31" s="48"/>
      <c r="EF31" s="48"/>
    </row>
    <row r="32" spans="1:136" x14ac:dyDescent="0.2">
      <c r="A32" s="292"/>
      <c r="B32" s="46" t="s">
        <v>91</v>
      </c>
      <c r="C32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2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174632</v>
      </c>
      <c r="E32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1099335</v>
      </c>
      <c r="F32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1403796</v>
      </c>
      <c r="G32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440276</v>
      </c>
      <c r="H32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-837561</v>
      </c>
      <c r="I32" s="48"/>
      <c r="J32" s="46" t="s">
        <v>91</v>
      </c>
      <c r="K32" s="131"/>
      <c r="L32" s="258">
        <v>14614</v>
      </c>
      <c r="M32" s="48">
        <v>178575</v>
      </c>
      <c r="N32" s="48">
        <v>256777</v>
      </c>
      <c r="O32" s="48">
        <v>95026</v>
      </c>
      <c r="P32" s="48">
        <v>-52525</v>
      </c>
      <c r="R32" s="46" t="s">
        <v>91</v>
      </c>
      <c r="S32" s="131"/>
      <c r="T32" s="48">
        <v>-56218</v>
      </c>
      <c r="U32" s="48">
        <v>-17112</v>
      </c>
      <c r="V32" s="48">
        <v>5518</v>
      </c>
      <c r="W32" s="48">
        <v>920</v>
      </c>
      <c r="X32" s="48">
        <v>-166200</v>
      </c>
      <c r="Z32" s="46" t="s">
        <v>91</v>
      </c>
      <c r="AA32" s="131"/>
      <c r="AB32" s="48">
        <v>16936</v>
      </c>
      <c r="AC32" s="48">
        <v>35900</v>
      </c>
      <c r="AD32" s="48">
        <v>109368</v>
      </c>
      <c r="AE32" s="48">
        <v>30881</v>
      </c>
      <c r="AF32" s="48">
        <v>-56845</v>
      </c>
      <c r="AH32" s="46" t="s">
        <v>91</v>
      </c>
      <c r="AI32" s="131"/>
      <c r="AJ32" s="48">
        <v>-6918</v>
      </c>
      <c r="AK32" s="48">
        <v>67329</v>
      </c>
      <c r="AL32" s="48">
        <v>185975</v>
      </c>
      <c r="AM32" s="48">
        <v>74682</v>
      </c>
      <c r="AN32" s="48">
        <v>-201052</v>
      </c>
      <c r="AP32" s="46" t="s">
        <v>91</v>
      </c>
      <c r="AQ32" s="131"/>
      <c r="AR32" s="48">
        <v>83162</v>
      </c>
      <c r="AS32" s="48">
        <v>162621</v>
      </c>
      <c r="AT32" s="48">
        <v>132293</v>
      </c>
      <c r="AU32" s="48">
        <v>-32940</v>
      </c>
      <c r="AV32" s="48"/>
      <c r="AX32" s="46" t="s">
        <v>91</v>
      </c>
      <c r="AY32" s="131"/>
      <c r="AZ32" s="48">
        <v>-490</v>
      </c>
      <c r="BA32" s="48">
        <v>18899</v>
      </c>
      <c r="BB32" s="48">
        <v>34500</v>
      </c>
      <c r="BC32" s="48"/>
      <c r="BD32" s="48"/>
      <c r="BE32" s="48"/>
      <c r="BF32" s="46" t="s">
        <v>91</v>
      </c>
      <c r="BG32" s="131"/>
      <c r="BH32" s="48">
        <v>64672</v>
      </c>
      <c r="BI32" s="48">
        <v>150923</v>
      </c>
      <c r="BJ32" s="48"/>
      <c r="BK32" s="48"/>
      <c r="BL32" s="48"/>
      <c r="BM32" s="48"/>
      <c r="BN32" s="46" t="s">
        <v>91</v>
      </c>
      <c r="BO32" s="131"/>
      <c r="BP32" s="48">
        <v>89328</v>
      </c>
      <c r="BQ32" s="48">
        <v>92475</v>
      </c>
      <c r="BR32" s="48">
        <v>166692</v>
      </c>
      <c r="BS32" s="48">
        <v>76865</v>
      </c>
      <c r="BT32" s="48">
        <v>-44421</v>
      </c>
      <c r="BV32" s="46" t="s">
        <v>91</v>
      </c>
      <c r="BW32" s="131"/>
      <c r="BX32" s="48">
        <v>-45197</v>
      </c>
      <c r="BY32" s="48">
        <v>9766</v>
      </c>
      <c r="BZ32" s="48">
        <v>125878</v>
      </c>
      <c r="CA32" s="48">
        <v>54139</v>
      </c>
      <c r="CB32" s="48">
        <v>-114831</v>
      </c>
      <c r="CC32" s="48"/>
      <c r="CD32" s="46" t="s">
        <v>91</v>
      </c>
      <c r="CE32" s="131"/>
      <c r="CF32" s="48">
        <v>2230</v>
      </c>
      <c r="CG32" s="48">
        <v>138471</v>
      </c>
      <c r="CH32" s="48">
        <v>47833</v>
      </c>
      <c r="CI32" s="48">
        <v>15241</v>
      </c>
      <c r="CJ32" s="48">
        <v>-156721</v>
      </c>
      <c r="CL32" s="46" t="s">
        <v>91</v>
      </c>
      <c r="CM32" s="131"/>
      <c r="CN32" s="48">
        <v>12513</v>
      </c>
      <c r="CO32" s="48">
        <v>261488</v>
      </c>
      <c r="CP32" s="48">
        <v>338962</v>
      </c>
      <c r="CQ32" s="48">
        <v>125462</v>
      </c>
      <c r="CR32" s="48">
        <v>-44966</v>
      </c>
      <c r="CT32" s="46" t="s">
        <v>91</v>
      </c>
      <c r="CU32" s="131"/>
      <c r="CV32" s="48">
        <v>80082.039999999994</v>
      </c>
      <c r="CW32" s="48"/>
      <c r="CX32" s="48"/>
      <c r="CY32" s="48"/>
      <c r="CZ32" s="48"/>
      <c r="DB32" s="46" t="s">
        <v>91</v>
      </c>
      <c r="DC32" s="131"/>
      <c r="DD32" s="48">
        <v>207016.81</v>
      </c>
      <c r="DE32" s="48"/>
      <c r="DF32" s="48"/>
      <c r="DG32" s="48"/>
      <c r="DH32" s="48"/>
      <c r="DI32" s="48"/>
      <c r="DJ32" s="46" t="s">
        <v>91</v>
      </c>
      <c r="DK32" s="131"/>
      <c r="DL32" s="48">
        <v>-20326.45</v>
      </c>
      <c r="DM32" s="48"/>
      <c r="DN32" s="48"/>
      <c r="DO32" s="48"/>
      <c r="DP32" s="48"/>
      <c r="DR32" s="46" t="s">
        <v>11</v>
      </c>
      <c r="DS32" s="131"/>
      <c r="DT32" s="48">
        <v>27796</v>
      </c>
      <c r="DU32" s="48"/>
      <c r="DV32" s="48"/>
      <c r="DW32" s="48"/>
      <c r="DX32" s="48"/>
      <c r="DZ32" s="46" t="s">
        <v>11</v>
      </c>
      <c r="EA32" s="131"/>
      <c r="EB32" s="48"/>
      <c r="EC32" s="48"/>
      <c r="ED32" s="48"/>
      <c r="EE32" s="48"/>
      <c r="EF32" s="48"/>
    </row>
    <row r="33" spans="1:136" x14ac:dyDescent="0.2">
      <c r="A33" s="292"/>
      <c r="B33" s="46" t="s">
        <v>92</v>
      </c>
      <c r="C33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3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343747</v>
      </c>
      <c r="E33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1276428</v>
      </c>
      <c r="F33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1688043</v>
      </c>
      <c r="G33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644385</v>
      </c>
      <c r="H33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-796416.57</v>
      </c>
      <c r="I33" s="48"/>
      <c r="J33" s="46" t="s">
        <v>92</v>
      </c>
      <c r="K33" s="131"/>
      <c r="L33" s="258">
        <v>21065</v>
      </c>
      <c r="M33" s="48">
        <v>197815</v>
      </c>
      <c r="N33" s="48">
        <v>303767</v>
      </c>
      <c r="O33" s="48">
        <v>131146</v>
      </c>
      <c r="P33" s="48">
        <v>-47186</v>
      </c>
      <c r="R33" s="46" t="s">
        <v>92</v>
      </c>
      <c r="S33" s="131"/>
      <c r="T33" s="48">
        <v>-64527</v>
      </c>
      <c r="U33" s="48">
        <v>-17290</v>
      </c>
      <c r="V33" s="48">
        <v>-3641</v>
      </c>
      <c r="W33" s="48">
        <v>12648</v>
      </c>
      <c r="X33" s="48">
        <v>-175944</v>
      </c>
      <c r="Z33" s="46" t="s">
        <v>92</v>
      </c>
      <c r="AA33" s="131"/>
      <c r="AB33" s="48">
        <v>23815</v>
      </c>
      <c r="AC33" s="48">
        <v>35945</v>
      </c>
      <c r="AD33" s="48">
        <v>116191</v>
      </c>
      <c r="AE33" s="48">
        <v>47117</v>
      </c>
      <c r="AF33" s="48">
        <v>-78246</v>
      </c>
      <c r="AH33" s="46" t="s">
        <v>92</v>
      </c>
      <c r="AI33" s="131"/>
      <c r="AJ33" s="48">
        <v>56673</v>
      </c>
      <c r="AK33" s="48">
        <v>74431</v>
      </c>
      <c r="AL33" s="48">
        <v>212402</v>
      </c>
      <c r="AM33" s="48">
        <v>104874</v>
      </c>
      <c r="AN33" s="48">
        <v>-195938</v>
      </c>
      <c r="AP33" s="46" t="s">
        <v>92</v>
      </c>
      <c r="AQ33" s="131"/>
      <c r="AR33" s="48">
        <v>102040</v>
      </c>
      <c r="AS33" s="48">
        <v>194534</v>
      </c>
      <c r="AT33" s="48">
        <v>166465</v>
      </c>
      <c r="AU33" s="48">
        <v>-78512</v>
      </c>
      <c r="AV33" s="48"/>
      <c r="AX33" s="46" t="s">
        <v>92</v>
      </c>
      <c r="AY33" s="131"/>
      <c r="AZ33" s="48">
        <v>12351</v>
      </c>
      <c r="BA33" s="48">
        <v>41506</v>
      </c>
      <c r="BB33" s="48">
        <v>75550</v>
      </c>
      <c r="BC33" s="48"/>
      <c r="BD33" s="48"/>
      <c r="BE33" s="48"/>
      <c r="BF33" s="46" t="s">
        <v>92</v>
      </c>
      <c r="BG33" s="131"/>
      <c r="BH33" s="48">
        <v>66253</v>
      </c>
      <c r="BI33" s="48">
        <v>169163</v>
      </c>
      <c r="BJ33" s="48"/>
      <c r="BK33" s="48"/>
      <c r="BL33" s="48"/>
      <c r="BM33" s="48"/>
      <c r="BN33" s="46" t="s">
        <v>92</v>
      </c>
      <c r="BO33" s="131"/>
      <c r="BP33" s="48">
        <v>118466</v>
      </c>
      <c r="BQ33" s="48">
        <v>106011</v>
      </c>
      <c r="BR33" s="48">
        <v>194750</v>
      </c>
      <c r="BS33" s="48">
        <v>128627</v>
      </c>
      <c r="BT33" s="48">
        <v>-18339</v>
      </c>
      <c r="BV33" s="46" t="s">
        <v>92</v>
      </c>
      <c r="BW33" s="131"/>
      <c r="BX33" s="48">
        <v>-38040</v>
      </c>
      <c r="BY33" s="48">
        <v>1725</v>
      </c>
      <c r="BZ33" s="48">
        <v>138835</v>
      </c>
      <c r="CA33" s="48">
        <v>77928</v>
      </c>
      <c r="CB33" s="48">
        <v>-106631</v>
      </c>
      <c r="CC33" s="48"/>
      <c r="CD33" s="46" t="s">
        <v>92</v>
      </c>
      <c r="CE33" s="131"/>
      <c r="CF33" s="48">
        <v>40868</v>
      </c>
      <c r="CG33" s="48">
        <v>166170</v>
      </c>
      <c r="CH33" s="48">
        <v>77847</v>
      </c>
      <c r="CI33" s="48">
        <v>32939</v>
      </c>
      <c r="CJ33" s="48">
        <v>-126123</v>
      </c>
      <c r="CL33" s="46" t="s">
        <v>92</v>
      </c>
      <c r="CM33" s="131"/>
      <c r="CN33" s="48">
        <v>4783</v>
      </c>
      <c r="CO33" s="48">
        <v>306418</v>
      </c>
      <c r="CP33" s="48">
        <v>405877</v>
      </c>
      <c r="CQ33" s="48">
        <v>187618</v>
      </c>
      <c r="CR33" s="48">
        <v>-48009.57</v>
      </c>
      <c r="CT33" s="46" t="s">
        <v>92</v>
      </c>
      <c r="CU33" s="131"/>
      <c r="CV33" s="48">
        <v>94472.61</v>
      </c>
      <c r="CW33" s="48"/>
      <c r="CX33" s="48"/>
      <c r="CY33" s="48"/>
      <c r="CZ33" s="48"/>
      <c r="DB33" s="46" t="s">
        <v>92</v>
      </c>
      <c r="DC33" s="131"/>
      <c r="DD33" s="48">
        <v>235412</v>
      </c>
      <c r="DE33" s="48"/>
      <c r="DF33" s="48"/>
      <c r="DG33" s="48"/>
      <c r="DH33" s="48"/>
      <c r="DI33" s="48"/>
      <c r="DJ33" s="46" t="s">
        <v>92</v>
      </c>
      <c r="DK33" s="131"/>
      <c r="DL33" s="48">
        <v>-27698</v>
      </c>
      <c r="DM33" s="48"/>
      <c r="DN33" s="48"/>
      <c r="DO33" s="48"/>
      <c r="DP33" s="48"/>
      <c r="DR33" s="46" t="s">
        <v>0</v>
      </c>
      <c r="DS33" s="131"/>
      <c r="DT33" s="48">
        <v>24534</v>
      </c>
      <c r="DU33" s="48"/>
      <c r="DV33" s="48"/>
      <c r="DW33" s="48"/>
      <c r="DX33" s="48"/>
      <c r="DZ33" s="46" t="s">
        <v>0</v>
      </c>
      <c r="EA33" s="131"/>
      <c r="EB33" s="48"/>
      <c r="EC33" s="48"/>
      <c r="ED33" s="48"/>
      <c r="EE33" s="48"/>
      <c r="EF33" s="48"/>
    </row>
    <row r="34" spans="1:136" x14ac:dyDescent="0.2">
      <c r="A34" s="292"/>
      <c r="B34" s="46" t="s">
        <v>93</v>
      </c>
      <c r="C34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4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580874.26</v>
      </c>
      <c r="E34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1743073.5700000003</v>
      </c>
      <c r="F34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2135121</v>
      </c>
      <c r="G34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1180753</v>
      </c>
      <c r="H34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-588116</v>
      </c>
      <c r="I34" s="48"/>
      <c r="J34" s="46" t="s">
        <v>93</v>
      </c>
      <c r="K34" s="131"/>
      <c r="L34" s="258">
        <v>21177</v>
      </c>
      <c r="M34" s="48">
        <v>229921.37</v>
      </c>
      <c r="N34" s="48">
        <v>350147</v>
      </c>
      <c r="O34" s="48">
        <v>236946</v>
      </c>
      <c r="P34" s="48">
        <v>-27069</v>
      </c>
      <c r="R34" s="46" t="s">
        <v>93</v>
      </c>
      <c r="S34" s="131"/>
      <c r="T34" s="48">
        <v>-70248</v>
      </c>
      <c r="U34" s="48">
        <v>-13553</v>
      </c>
      <c r="V34" s="48">
        <v>-11341</v>
      </c>
      <c r="W34" s="48">
        <v>47346</v>
      </c>
      <c r="X34" s="48">
        <v>-169657</v>
      </c>
      <c r="Z34" s="46" t="s">
        <v>93</v>
      </c>
      <c r="AA34" s="131"/>
      <c r="AB34" s="48">
        <v>22244</v>
      </c>
      <c r="AC34" s="48">
        <v>43674</v>
      </c>
      <c r="AD34" s="48">
        <v>147660</v>
      </c>
      <c r="AE34" s="48">
        <v>69791</v>
      </c>
      <c r="AF34" s="48">
        <v>-79979</v>
      </c>
      <c r="AH34" s="46" t="s">
        <v>93</v>
      </c>
      <c r="AI34" s="131"/>
      <c r="AJ34" s="48">
        <v>70649</v>
      </c>
      <c r="AK34" s="48">
        <v>106958.67</v>
      </c>
      <c r="AL34" s="48">
        <v>247636</v>
      </c>
      <c r="AM34" s="48">
        <v>158833</v>
      </c>
      <c r="AN34" s="48">
        <v>-188252</v>
      </c>
      <c r="AP34" s="46" t="s">
        <v>93</v>
      </c>
      <c r="AQ34" s="131"/>
      <c r="AR34" s="48">
        <v>143952</v>
      </c>
      <c r="AS34" s="48">
        <v>267104.42</v>
      </c>
      <c r="AT34" s="48">
        <v>203760</v>
      </c>
      <c r="AU34" s="48">
        <v>-73340</v>
      </c>
      <c r="AV34" s="48"/>
      <c r="AX34" s="46" t="s">
        <v>93</v>
      </c>
      <c r="AY34" s="131"/>
      <c r="AZ34" s="48">
        <v>25933</v>
      </c>
      <c r="BA34" s="48">
        <v>64254.12</v>
      </c>
      <c r="BB34" s="48">
        <v>114881</v>
      </c>
      <c r="BC34" s="48"/>
      <c r="BD34" s="48"/>
      <c r="BE34" s="48"/>
      <c r="BF34" s="46" t="s">
        <v>93</v>
      </c>
      <c r="BG34" s="131"/>
      <c r="BH34" s="48">
        <v>105242.26</v>
      </c>
      <c r="BI34" s="48">
        <v>236310.78</v>
      </c>
      <c r="BJ34" s="48"/>
      <c r="BK34" s="48"/>
      <c r="BL34" s="48"/>
      <c r="BM34" s="48"/>
      <c r="BN34" s="46" t="s">
        <v>93</v>
      </c>
      <c r="BO34" s="131"/>
      <c r="BP34" s="48">
        <v>156824</v>
      </c>
      <c r="BQ34" s="48">
        <v>123325.71</v>
      </c>
      <c r="BR34" s="48">
        <v>199124</v>
      </c>
      <c r="BS34" s="48">
        <v>191379</v>
      </c>
      <c r="BT34" s="48">
        <v>12687</v>
      </c>
      <c r="BV34" s="46" t="s">
        <v>93</v>
      </c>
      <c r="BW34" s="131"/>
      <c r="BX34" s="48">
        <v>-2911</v>
      </c>
      <c r="BY34" s="48">
        <v>56698.61</v>
      </c>
      <c r="BZ34" s="48">
        <v>209730</v>
      </c>
      <c r="CA34" s="48">
        <v>138821</v>
      </c>
      <c r="CB34" s="48">
        <v>-63865</v>
      </c>
      <c r="CC34" s="48"/>
      <c r="CD34" s="46" t="s">
        <v>93</v>
      </c>
      <c r="CE34" s="131"/>
      <c r="CF34" s="48">
        <v>79462</v>
      </c>
      <c r="CG34" s="48">
        <v>227161.75</v>
      </c>
      <c r="CH34" s="48">
        <v>163947</v>
      </c>
      <c r="CI34" s="48">
        <v>80654</v>
      </c>
      <c r="CJ34" s="48">
        <v>-68752</v>
      </c>
      <c r="CL34" s="46" t="s">
        <v>93</v>
      </c>
      <c r="CM34" s="131"/>
      <c r="CN34" s="48">
        <v>28550</v>
      </c>
      <c r="CO34" s="48">
        <v>401217.14</v>
      </c>
      <c r="CP34" s="48">
        <v>509577</v>
      </c>
      <c r="CQ34" s="48">
        <v>330323</v>
      </c>
      <c r="CR34" s="48">
        <v>-3229</v>
      </c>
      <c r="CT34" s="46" t="s">
        <v>93</v>
      </c>
      <c r="CU34" s="131"/>
      <c r="CV34" s="48">
        <v>128809.27</v>
      </c>
      <c r="CW34" s="48"/>
      <c r="CX34" s="48"/>
      <c r="CY34" s="48"/>
      <c r="CZ34" s="48"/>
      <c r="DB34" s="46" t="s">
        <v>93</v>
      </c>
      <c r="DC34" s="131"/>
      <c r="DD34" s="48">
        <v>269316.95</v>
      </c>
      <c r="DE34" s="48"/>
      <c r="DF34" s="48"/>
      <c r="DG34" s="48"/>
      <c r="DH34" s="48"/>
      <c r="DI34" s="48"/>
      <c r="DJ34" s="46" t="s">
        <v>93</v>
      </c>
      <c r="DK34" s="131"/>
      <c r="DL34" s="48">
        <v>-22300.55</v>
      </c>
      <c r="DM34" s="48"/>
      <c r="DN34" s="48"/>
      <c r="DO34" s="48"/>
      <c r="DP34" s="48"/>
      <c r="DR34" s="46" t="s">
        <v>1</v>
      </c>
      <c r="DS34" s="131"/>
      <c r="DT34" s="48">
        <v>27494.66</v>
      </c>
      <c r="DU34" s="48"/>
      <c r="DV34" s="48"/>
      <c r="DW34" s="48"/>
      <c r="DX34" s="48"/>
      <c r="DZ34" s="46" t="s">
        <v>1</v>
      </c>
      <c r="EA34" s="131"/>
      <c r="EB34" s="48"/>
      <c r="EC34" s="48"/>
      <c r="ED34" s="48"/>
      <c r="EE34" s="48"/>
      <c r="EF34" s="48"/>
    </row>
    <row r="35" spans="1:136" x14ac:dyDescent="0.2">
      <c r="A35" s="292"/>
      <c r="B35" s="46" t="s">
        <v>112</v>
      </c>
      <c r="C35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5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1114415.5</v>
      </c>
      <c r="E35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2306290.6099999994</v>
      </c>
      <c r="F35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2631334</v>
      </c>
      <c r="G35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1756841</v>
      </c>
      <c r="H35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-114639</v>
      </c>
      <c r="I35" s="48"/>
      <c r="J35" s="46" t="s">
        <v>112</v>
      </c>
      <c r="K35" s="131"/>
      <c r="L35" s="258">
        <v>55945</v>
      </c>
      <c r="M35" s="48">
        <v>265341.8</v>
      </c>
      <c r="N35" s="48">
        <v>391254</v>
      </c>
      <c r="O35" s="48">
        <v>320453</v>
      </c>
      <c r="P35" s="48">
        <v>16054</v>
      </c>
      <c r="R35" s="46" t="s">
        <v>112</v>
      </c>
      <c r="S35" s="131"/>
      <c r="T35" s="48">
        <v>-60408</v>
      </c>
      <c r="U35" s="48">
        <v>-14958.75</v>
      </c>
      <c r="V35" s="48">
        <v>-11755</v>
      </c>
      <c r="W35" s="48">
        <v>87343</v>
      </c>
      <c r="X35" s="48">
        <v>-162584</v>
      </c>
      <c r="Z35" s="46" t="s">
        <v>112</v>
      </c>
      <c r="AA35" s="131"/>
      <c r="AB35" s="48">
        <v>32615</v>
      </c>
      <c r="AC35" s="48">
        <v>49900.91</v>
      </c>
      <c r="AD35" s="48">
        <v>150512</v>
      </c>
      <c r="AE35" s="48">
        <v>96059</v>
      </c>
      <c r="AF35" s="48">
        <v>-78859</v>
      </c>
      <c r="AH35" s="46" t="s">
        <v>112</v>
      </c>
      <c r="AI35" s="131"/>
      <c r="AJ35" s="48">
        <v>92487</v>
      </c>
      <c r="AK35" s="48">
        <v>139687.71</v>
      </c>
      <c r="AL35" s="48">
        <v>270711</v>
      </c>
      <c r="AM35" s="48">
        <v>223012</v>
      </c>
      <c r="AN35" s="48">
        <v>-173959</v>
      </c>
      <c r="AP35" s="46" t="s">
        <v>112</v>
      </c>
      <c r="AQ35" s="131"/>
      <c r="AR35" s="48">
        <v>203285</v>
      </c>
      <c r="AS35" s="48">
        <v>334431.28000000003</v>
      </c>
      <c r="AT35" s="48">
        <v>263393</v>
      </c>
      <c r="AU35" s="48">
        <v>-58625</v>
      </c>
      <c r="AV35" s="48"/>
      <c r="AX35" s="46" t="s">
        <v>112</v>
      </c>
      <c r="AY35" s="131"/>
      <c r="AZ35" s="48">
        <v>50052</v>
      </c>
      <c r="BA35" s="48">
        <v>86537.33</v>
      </c>
      <c r="BB35" s="48">
        <v>149783</v>
      </c>
      <c r="BC35" s="48">
        <v>20500</v>
      </c>
      <c r="BD35" s="48"/>
      <c r="BE35" s="48"/>
      <c r="BF35" s="46" t="s">
        <v>112</v>
      </c>
      <c r="BG35" s="131"/>
      <c r="BH35" s="48">
        <v>179305.5</v>
      </c>
      <c r="BI35" s="48">
        <v>294529.53999999998</v>
      </c>
      <c r="BJ35" s="48"/>
      <c r="BK35" s="48"/>
      <c r="BL35" s="48"/>
      <c r="BM35" s="48"/>
      <c r="BN35" s="46" t="s">
        <v>112</v>
      </c>
      <c r="BO35" s="131"/>
      <c r="BP35" s="48">
        <v>196184</v>
      </c>
      <c r="BQ35" s="48">
        <v>155080.99</v>
      </c>
      <c r="BR35" s="48">
        <v>215310</v>
      </c>
      <c r="BS35" s="48">
        <v>210771</v>
      </c>
      <c r="BT35" s="48">
        <v>79899</v>
      </c>
      <c r="BV35" s="46" t="s">
        <v>112</v>
      </c>
      <c r="BW35" s="131"/>
      <c r="BX35" s="48">
        <v>81869</v>
      </c>
      <c r="BY35" s="48">
        <v>132197.87</v>
      </c>
      <c r="BZ35" s="48">
        <v>300452</v>
      </c>
      <c r="CA35" s="48">
        <v>241247</v>
      </c>
      <c r="CB35" s="48">
        <v>28747</v>
      </c>
      <c r="CC35" s="48"/>
      <c r="CD35" s="46" t="s">
        <v>112</v>
      </c>
      <c r="CE35" s="131"/>
      <c r="CF35" s="48">
        <v>188098</v>
      </c>
      <c r="CG35" s="48">
        <v>355279.44</v>
      </c>
      <c r="CH35" s="48">
        <v>295333</v>
      </c>
      <c r="CI35" s="48">
        <v>194951</v>
      </c>
      <c r="CJ35" s="48">
        <v>59029</v>
      </c>
      <c r="CL35" s="46" t="s">
        <v>112</v>
      </c>
      <c r="CM35" s="131"/>
      <c r="CN35" s="48">
        <v>94983</v>
      </c>
      <c r="CO35" s="48">
        <v>508262.49</v>
      </c>
      <c r="CP35" s="48">
        <v>606341</v>
      </c>
      <c r="CQ35" s="48">
        <v>421130</v>
      </c>
      <c r="CR35" s="48">
        <v>117034</v>
      </c>
      <c r="CT35" s="46" t="s">
        <v>112</v>
      </c>
      <c r="CU35" s="131"/>
      <c r="CV35" s="48">
        <v>179244.97</v>
      </c>
      <c r="CW35" s="48"/>
      <c r="CX35" s="48"/>
      <c r="CY35" s="48"/>
      <c r="CZ35" s="48"/>
      <c r="DB35" s="46" t="s">
        <v>112</v>
      </c>
      <c r="DC35" s="131"/>
      <c r="DD35" s="48">
        <v>327711.23</v>
      </c>
      <c r="DE35" s="48"/>
      <c r="DF35" s="48"/>
      <c r="DG35" s="48"/>
      <c r="DH35" s="48"/>
      <c r="DI35" s="48"/>
      <c r="DJ35" s="46" t="s">
        <v>112</v>
      </c>
      <c r="DK35" s="131"/>
      <c r="DL35" s="48">
        <v>-12535.17</v>
      </c>
      <c r="DM35" s="48"/>
      <c r="DN35" s="48"/>
      <c r="DO35" s="48"/>
      <c r="DP35" s="48"/>
      <c r="DR35" s="46" t="s">
        <v>3</v>
      </c>
      <c r="DS35" s="131"/>
      <c r="DT35" s="48">
        <v>41401.040000000001</v>
      </c>
      <c r="DU35" s="48"/>
      <c r="DV35" s="48"/>
      <c r="DW35" s="48"/>
      <c r="DX35" s="48"/>
      <c r="DZ35" s="46" t="s">
        <v>3</v>
      </c>
      <c r="EA35" s="131"/>
      <c r="EB35" s="48">
        <v>20349.509999999998</v>
      </c>
      <c r="EC35" s="48"/>
      <c r="ED35" s="48"/>
      <c r="EE35" s="48"/>
      <c r="EF35" s="48"/>
    </row>
    <row r="36" spans="1:136" x14ac:dyDescent="0.2">
      <c r="A36" s="292"/>
      <c r="B36" s="46" t="s">
        <v>94</v>
      </c>
      <c r="C36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6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1162653.8700000001</v>
      </c>
      <c r="E36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2573038.8600000003</v>
      </c>
      <c r="F36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2756103</v>
      </c>
      <c r="G36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2051947</v>
      </c>
      <c r="H36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-13939</v>
      </c>
      <c r="I36" s="48"/>
      <c r="J36" s="46" t="s">
        <v>94</v>
      </c>
      <c r="K36" s="131"/>
      <c r="L36" s="258">
        <v>67352</v>
      </c>
      <c r="M36" s="48">
        <v>302920.39</v>
      </c>
      <c r="N36" s="48">
        <v>415063</v>
      </c>
      <c r="O36" s="48">
        <v>367378</v>
      </c>
      <c r="P36" s="48">
        <v>29225</v>
      </c>
      <c r="R36" s="46" t="s">
        <v>94</v>
      </c>
      <c r="S36" s="131"/>
      <c r="T36" s="48">
        <v>-71719</v>
      </c>
      <c r="U36" s="48">
        <v>-26521.24</v>
      </c>
      <c r="V36" s="48">
        <v>-34339</v>
      </c>
      <c r="W36" s="48">
        <v>87343</v>
      </c>
      <c r="X36" s="48">
        <v>-173425</v>
      </c>
      <c r="Z36" s="46" t="s">
        <v>94</v>
      </c>
      <c r="AA36" s="131"/>
      <c r="AB36" s="48">
        <v>40019</v>
      </c>
      <c r="AC36" s="48">
        <v>66379.350000000006</v>
      </c>
      <c r="AD36" s="48">
        <v>161765</v>
      </c>
      <c r="AE36" s="48">
        <v>106981</v>
      </c>
      <c r="AF36" s="48">
        <v>-70404</v>
      </c>
      <c r="AH36" s="46" t="s">
        <v>94</v>
      </c>
      <c r="AI36" s="131"/>
      <c r="AJ36" s="48">
        <v>97528</v>
      </c>
      <c r="AK36" s="48">
        <v>163434.69</v>
      </c>
      <c r="AL36" s="48">
        <v>278725</v>
      </c>
      <c r="AM36" s="48">
        <v>252016</v>
      </c>
      <c r="AN36" s="48">
        <v>-171806</v>
      </c>
      <c r="AP36" s="46" t="s">
        <v>94</v>
      </c>
      <c r="AQ36" s="131"/>
      <c r="AR36" s="48">
        <v>212536</v>
      </c>
      <c r="AS36" s="48">
        <v>367406.17</v>
      </c>
      <c r="AT36" s="48">
        <v>269112</v>
      </c>
      <c r="AU36" s="48">
        <v>43385</v>
      </c>
      <c r="AV36" s="48"/>
      <c r="AX36" s="46" t="s">
        <v>94</v>
      </c>
      <c r="AY36" s="131"/>
      <c r="AZ36" s="48">
        <v>43425</v>
      </c>
      <c r="BA36" s="48">
        <v>97896.77</v>
      </c>
      <c r="BB36" s="48">
        <v>156666</v>
      </c>
      <c r="BC36" s="48">
        <v>38433</v>
      </c>
      <c r="BD36" s="48"/>
      <c r="BE36" s="48"/>
      <c r="BF36" s="46" t="s">
        <v>94</v>
      </c>
      <c r="BG36" s="131"/>
      <c r="BH36" s="48">
        <v>176932.87</v>
      </c>
      <c r="BI36" s="48">
        <v>313464.53000000003</v>
      </c>
      <c r="BJ36" s="48"/>
      <c r="BK36" s="48"/>
      <c r="BL36" s="48"/>
      <c r="BM36" s="48"/>
      <c r="BN36" s="46" t="s">
        <v>94</v>
      </c>
      <c r="BO36" s="131"/>
      <c r="BP36" s="48">
        <v>209271</v>
      </c>
      <c r="BQ36" s="48">
        <v>182926.06</v>
      </c>
      <c r="BR36" s="48">
        <v>207760</v>
      </c>
      <c r="BS36" s="48">
        <v>249704</v>
      </c>
      <c r="BT36" s="48">
        <v>101566</v>
      </c>
      <c r="BV36" s="46" t="s">
        <v>94</v>
      </c>
      <c r="BW36" s="131"/>
      <c r="BX36" s="48">
        <v>87926</v>
      </c>
      <c r="BY36" s="48">
        <v>144509.94</v>
      </c>
      <c r="BZ36" s="48">
        <v>278362</v>
      </c>
      <c r="CA36" s="48">
        <v>239275</v>
      </c>
      <c r="CB36" s="48">
        <v>45790</v>
      </c>
      <c r="CC36" s="48"/>
      <c r="CD36" s="46" t="s">
        <v>94</v>
      </c>
      <c r="CE36" s="131"/>
      <c r="CF36" s="48">
        <v>182867</v>
      </c>
      <c r="CG36" s="48">
        <v>386994.05</v>
      </c>
      <c r="CH36" s="48">
        <v>274025</v>
      </c>
      <c r="CI36" s="48">
        <v>184247</v>
      </c>
      <c r="CJ36" s="48">
        <v>64773</v>
      </c>
      <c r="CL36" s="46" t="s">
        <v>94</v>
      </c>
      <c r="CM36" s="131"/>
      <c r="CN36" s="48">
        <v>116516</v>
      </c>
      <c r="CO36" s="48">
        <v>573628.15</v>
      </c>
      <c r="CP36" s="48">
        <v>748964</v>
      </c>
      <c r="CQ36" s="48">
        <v>483185</v>
      </c>
      <c r="CR36" s="48">
        <v>160342</v>
      </c>
      <c r="CT36" s="46" t="s">
        <v>94</v>
      </c>
      <c r="CU36" s="131"/>
      <c r="CV36" s="48">
        <v>189081.89</v>
      </c>
      <c r="CW36" s="48"/>
      <c r="CX36" s="48"/>
      <c r="CY36" s="48"/>
      <c r="CZ36" s="48"/>
      <c r="DB36" s="46" t="s">
        <v>94</v>
      </c>
      <c r="DC36" s="131"/>
      <c r="DD36" s="48">
        <v>351073.89</v>
      </c>
      <c r="DE36" s="48"/>
      <c r="DF36" s="48"/>
      <c r="DG36" s="48"/>
      <c r="DH36" s="48"/>
      <c r="DI36" s="48"/>
      <c r="DJ36" s="46" t="s">
        <v>94</v>
      </c>
      <c r="DK36" s="131"/>
      <c r="DL36" s="48">
        <v>-22127.27</v>
      </c>
      <c r="DM36" s="48"/>
      <c r="DN36" s="48"/>
      <c r="DO36" s="48"/>
      <c r="DP36" s="48"/>
      <c r="DR36" s="46" t="s">
        <v>71</v>
      </c>
      <c r="DS36" s="131"/>
      <c r="DT36" s="48">
        <v>36519.22</v>
      </c>
      <c r="DU36" s="48"/>
      <c r="DV36" s="48"/>
      <c r="DW36" s="48"/>
      <c r="DX36" s="48"/>
      <c r="DZ36" s="46" t="s">
        <v>71</v>
      </c>
      <c r="EA36" s="131"/>
      <c r="EB36" s="48">
        <v>18873.66</v>
      </c>
      <c r="EC36" s="48"/>
      <c r="ED36" s="48"/>
      <c r="EE36" s="48"/>
      <c r="EF36" s="48"/>
    </row>
    <row r="37" spans="1:136" x14ac:dyDescent="0.2">
      <c r="A37" s="292"/>
      <c r="B37" s="46" t="s">
        <v>95</v>
      </c>
      <c r="C37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7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1249028.1400000001</v>
      </c>
      <c r="E37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2693434.37</v>
      </c>
      <c r="F37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2962800.929999996</v>
      </c>
      <c r="G37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2208395</v>
      </c>
      <c r="H37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124277</v>
      </c>
      <c r="I37" s="48"/>
      <c r="J37" s="46" t="s">
        <v>95</v>
      </c>
      <c r="K37" s="131"/>
      <c r="L37" s="258">
        <v>86520</v>
      </c>
      <c r="M37" s="48">
        <v>327207.71999999997</v>
      </c>
      <c r="N37" s="48">
        <v>450355</v>
      </c>
      <c r="O37" s="48">
        <v>423366</v>
      </c>
      <c r="P37" s="48">
        <v>53754</v>
      </c>
      <c r="R37" s="46" t="s">
        <v>95</v>
      </c>
      <c r="S37" s="131"/>
      <c r="T37" s="48">
        <v>-84785</v>
      </c>
      <c r="U37" s="48">
        <v>-36958.07</v>
      </c>
      <c r="V37" s="48">
        <v>-39782</v>
      </c>
      <c r="W37" s="48">
        <v>91702</v>
      </c>
      <c r="X37" s="48">
        <v>-159991</v>
      </c>
      <c r="Z37" s="46" t="s">
        <v>95</v>
      </c>
      <c r="AA37" s="131"/>
      <c r="AB37" s="48">
        <v>33695</v>
      </c>
      <c r="AC37" s="48">
        <v>62970.45</v>
      </c>
      <c r="AD37" s="48">
        <v>113890</v>
      </c>
      <c r="AE37" s="48">
        <v>136967</v>
      </c>
      <c r="AF37" s="48">
        <v>-73162</v>
      </c>
      <c r="AH37" s="46" t="s">
        <v>95</v>
      </c>
      <c r="AI37" s="131"/>
      <c r="AJ37" s="48">
        <v>106837</v>
      </c>
      <c r="AK37" s="48">
        <v>174856.14</v>
      </c>
      <c r="AL37" s="48">
        <v>284881.42999999598</v>
      </c>
      <c r="AM37" s="48">
        <v>290293</v>
      </c>
      <c r="AN37" s="48">
        <v>-140004</v>
      </c>
      <c r="AP37" s="46" t="s">
        <v>95</v>
      </c>
      <c r="AQ37" s="131"/>
      <c r="AR37" s="48">
        <v>232076</v>
      </c>
      <c r="AS37" s="48">
        <v>366624.33</v>
      </c>
      <c r="AT37" s="48">
        <v>320699</v>
      </c>
      <c r="AU37" s="48">
        <v>43288</v>
      </c>
      <c r="AV37" s="48"/>
      <c r="AX37" s="46" t="s">
        <v>95</v>
      </c>
      <c r="AY37" s="131"/>
      <c r="AZ37" s="48">
        <v>35240</v>
      </c>
      <c r="BA37" s="48">
        <v>83129.73</v>
      </c>
      <c r="BB37" s="48">
        <v>284859</v>
      </c>
      <c r="BC37" s="48">
        <v>-90056</v>
      </c>
      <c r="BD37" s="48"/>
      <c r="BE37" s="48"/>
      <c r="BF37" s="46" t="s">
        <v>95</v>
      </c>
      <c r="BG37" s="131"/>
      <c r="BH37" s="48">
        <v>180720.14</v>
      </c>
      <c r="BI37" s="48">
        <v>338557.86</v>
      </c>
      <c r="BJ37" s="48"/>
      <c r="BK37" s="48"/>
      <c r="BL37" s="48"/>
      <c r="BM37" s="48"/>
      <c r="BN37" s="46" t="s">
        <v>95</v>
      </c>
      <c r="BO37" s="131"/>
      <c r="BP37" s="48">
        <v>229681</v>
      </c>
      <c r="BQ37" s="48">
        <v>197930.9</v>
      </c>
      <c r="BR37" s="48">
        <v>210122</v>
      </c>
      <c r="BS37" s="48">
        <v>296128</v>
      </c>
      <c r="BT37" s="48">
        <v>129151</v>
      </c>
      <c r="BV37" s="46" t="s">
        <v>95</v>
      </c>
      <c r="BW37" s="131"/>
      <c r="BX37" s="48">
        <v>93894</v>
      </c>
      <c r="BY37" s="48">
        <v>154975.06</v>
      </c>
      <c r="BZ37" s="48">
        <v>321265</v>
      </c>
      <c r="CA37" s="48">
        <v>288550</v>
      </c>
      <c r="CB37" s="48">
        <v>38162</v>
      </c>
      <c r="CC37" s="48"/>
      <c r="CD37" s="46" t="s">
        <v>95</v>
      </c>
      <c r="CE37" s="131"/>
      <c r="CF37" s="48">
        <v>192847</v>
      </c>
      <c r="CG37" s="48">
        <v>399712.07</v>
      </c>
      <c r="CH37" s="48">
        <v>282827</v>
      </c>
      <c r="CI37" s="48">
        <v>177273</v>
      </c>
      <c r="CJ37" s="48">
        <v>75586</v>
      </c>
      <c r="CL37" s="46" t="s">
        <v>95</v>
      </c>
      <c r="CM37" s="131"/>
      <c r="CN37" s="48">
        <v>142303</v>
      </c>
      <c r="CO37" s="48">
        <v>624428.18000000005</v>
      </c>
      <c r="CP37" s="48">
        <v>733684.5</v>
      </c>
      <c r="CQ37" s="48">
        <v>550884</v>
      </c>
      <c r="CR37" s="48">
        <v>200781</v>
      </c>
      <c r="CT37" s="46" t="s">
        <v>95</v>
      </c>
      <c r="CU37" s="131"/>
      <c r="CV37" s="48">
        <v>216123.91</v>
      </c>
      <c r="CW37" s="48"/>
      <c r="CX37" s="48"/>
      <c r="CY37" s="48"/>
      <c r="CZ37" s="48"/>
      <c r="DB37" s="46" t="s">
        <v>95</v>
      </c>
      <c r="DC37" s="131"/>
      <c r="DD37" s="48">
        <v>373138.56</v>
      </c>
      <c r="DE37" s="48"/>
      <c r="DF37" s="48"/>
      <c r="DG37" s="48"/>
      <c r="DH37" s="48"/>
      <c r="DI37" s="48"/>
      <c r="DJ37" s="46" t="s">
        <v>95</v>
      </c>
      <c r="DK37" s="131"/>
      <c r="DL37" s="48">
        <v>-28667.4</v>
      </c>
      <c r="DM37" s="48"/>
      <c r="DN37" s="48"/>
      <c r="DO37" s="48"/>
      <c r="DP37" s="48"/>
      <c r="DR37" s="46" t="s">
        <v>12</v>
      </c>
      <c r="DS37" s="131"/>
      <c r="DT37" s="48">
        <v>42758.42</v>
      </c>
      <c r="DU37" s="48"/>
      <c r="DV37" s="48"/>
      <c r="DW37" s="48"/>
      <c r="DX37" s="48"/>
      <c r="DZ37" s="46" t="s">
        <v>12</v>
      </c>
      <c r="EA37" s="131"/>
      <c r="EB37" s="48">
        <v>15482.9</v>
      </c>
      <c r="EC37" s="48"/>
      <c r="ED37" s="48"/>
      <c r="EE37" s="48"/>
      <c r="EF37" s="48"/>
    </row>
    <row r="38" spans="1:136" x14ac:dyDescent="0.2">
      <c r="A38" s="292"/>
      <c r="B38" s="46" t="s">
        <v>96</v>
      </c>
      <c r="C38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8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1326777.32</v>
      </c>
      <c r="E38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2745498.85</v>
      </c>
      <c r="F38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2771644</v>
      </c>
      <c r="G38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2208756</v>
      </c>
      <c r="H38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1431</v>
      </c>
      <c r="I38" s="48"/>
      <c r="J38" s="46" t="s">
        <v>96</v>
      </c>
      <c r="K38" s="131"/>
      <c r="L38" s="258">
        <v>102169</v>
      </c>
      <c r="M38" s="48">
        <v>325258.88</v>
      </c>
      <c r="N38" s="48">
        <v>452900</v>
      </c>
      <c r="O38" s="48">
        <v>464433</v>
      </c>
      <c r="P38" s="48">
        <v>46587</v>
      </c>
      <c r="R38" s="46" t="s">
        <v>96</v>
      </c>
      <c r="S38" s="131"/>
      <c r="T38" s="48">
        <v>-96060</v>
      </c>
      <c r="U38" s="48">
        <v>-42732.959999999999</v>
      </c>
      <c r="V38" s="48">
        <v>-49491</v>
      </c>
      <c r="W38" s="48">
        <v>86730</v>
      </c>
      <c r="X38" s="48">
        <v>-161284</v>
      </c>
      <c r="Z38" s="46" t="s">
        <v>96</v>
      </c>
      <c r="AA38" s="131"/>
      <c r="AB38" s="48">
        <v>49586</v>
      </c>
      <c r="AC38" s="48">
        <v>69179.350000000006</v>
      </c>
      <c r="AD38" s="48">
        <v>136156</v>
      </c>
      <c r="AE38" s="48">
        <v>147636</v>
      </c>
      <c r="AF38" s="48">
        <v>-81723</v>
      </c>
      <c r="AH38" s="46" t="s">
        <v>96</v>
      </c>
      <c r="AI38" s="131"/>
      <c r="AJ38" s="48">
        <v>120606</v>
      </c>
      <c r="AK38" s="48">
        <v>172964.85</v>
      </c>
      <c r="AL38" s="48">
        <v>248612</v>
      </c>
      <c r="AM38" s="48">
        <v>304359</v>
      </c>
      <c r="AN38" s="48">
        <v>-153994</v>
      </c>
      <c r="AP38" s="46" t="s">
        <v>96</v>
      </c>
      <c r="AQ38" s="131"/>
      <c r="AR38" s="48">
        <v>249621</v>
      </c>
      <c r="AS38" s="48">
        <v>378461.64</v>
      </c>
      <c r="AT38" s="48">
        <v>338381</v>
      </c>
      <c r="AU38" s="48">
        <v>-16030</v>
      </c>
      <c r="AV38" s="48"/>
      <c r="AX38" s="46" t="s">
        <v>96</v>
      </c>
      <c r="AY38" s="131"/>
      <c r="AZ38" s="48">
        <v>25681</v>
      </c>
      <c r="BA38" s="48">
        <v>78234.13</v>
      </c>
      <c r="BB38" s="48">
        <v>147524</v>
      </c>
      <c r="BC38" s="48">
        <v>-106330</v>
      </c>
      <c r="BD38" s="48"/>
      <c r="BE38" s="48"/>
      <c r="BF38" s="46" t="s">
        <v>96</v>
      </c>
      <c r="BG38" s="131"/>
      <c r="BH38" s="48">
        <v>178862.32</v>
      </c>
      <c r="BI38" s="48">
        <v>341640.67</v>
      </c>
      <c r="BJ38" s="48"/>
      <c r="BK38" s="48"/>
      <c r="BL38" s="48"/>
      <c r="BM38" s="48"/>
      <c r="BN38" s="46" t="s">
        <v>96</v>
      </c>
      <c r="BO38" s="131"/>
      <c r="BP38" s="48">
        <v>243426</v>
      </c>
      <c r="BQ38" s="48">
        <v>215561.93</v>
      </c>
      <c r="BR38" s="48">
        <v>175028</v>
      </c>
      <c r="BS38" s="48">
        <v>314906</v>
      </c>
      <c r="BT38" s="48">
        <v>103372</v>
      </c>
      <c r="BV38" s="46" t="s">
        <v>96</v>
      </c>
      <c r="BW38" s="131"/>
      <c r="BX38" s="48">
        <v>94831</v>
      </c>
      <c r="BY38" s="48">
        <v>129198.61</v>
      </c>
      <c r="BZ38" s="48">
        <v>289854</v>
      </c>
      <c r="CA38" s="48">
        <v>280413</v>
      </c>
      <c r="CB38" s="48">
        <v>7342</v>
      </c>
      <c r="CC38" s="48"/>
      <c r="CD38" s="46" t="s">
        <v>96</v>
      </c>
      <c r="CE38" s="131"/>
      <c r="CF38" s="48">
        <v>188324</v>
      </c>
      <c r="CG38" s="48">
        <v>403259.9</v>
      </c>
      <c r="CH38" s="48">
        <v>286127</v>
      </c>
      <c r="CI38" s="48">
        <v>129798</v>
      </c>
      <c r="CJ38" s="48">
        <v>44081</v>
      </c>
      <c r="CL38" s="46" t="s">
        <v>96</v>
      </c>
      <c r="CM38" s="131"/>
      <c r="CN38" s="48">
        <v>169731</v>
      </c>
      <c r="CO38" s="48">
        <v>674471.85</v>
      </c>
      <c r="CP38" s="48">
        <v>746553</v>
      </c>
      <c r="CQ38" s="48">
        <v>602841</v>
      </c>
      <c r="CR38" s="48">
        <v>197050</v>
      </c>
      <c r="CT38" s="46" t="s">
        <v>96</v>
      </c>
      <c r="CU38" s="131"/>
      <c r="CV38" s="48">
        <v>242875.69</v>
      </c>
      <c r="CW38" s="48"/>
      <c r="CX38" s="48"/>
      <c r="CY38" s="48"/>
      <c r="CZ38" s="48"/>
      <c r="DB38" s="46" t="s">
        <v>96</v>
      </c>
      <c r="DC38" s="131"/>
      <c r="DD38" s="48">
        <v>415541.12</v>
      </c>
      <c r="DE38" s="48"/>
      <c r="DF38" s="48"/>
      <c r="DG38" s="48"/>
      <c r="DH38" s="48"/>
      <c r="DI38" s="48"/>
      <c r="DJ38" s="46" t="s">
        <v>96</v>
      </c>
      <c r="DK38" s="131"/>
      <c r="DL38" s="48">
        <v>-26965.51</v>
      </c>
      <c r="DM38" s="48"/>
      <c r="DN38" s="48"/>
      <c r="DO38" s="48"/>
      <c r="DP38" s="48"/>
      <c r="DR38" s="46" t="s">
        <v>13</v>
      </c>
      <c r="DS38" s="131"/>
      <c r="DT38" s="48">
        <v>43368.84</v>
      </c>
      <c r="DU38" s="48"/>
      <c r="DV38" s="48"/>
      <c r="DW38" s="48"/>
      <c r="DX38" s="48"/>
      <c r="DZ38" s="46" t="s">
        <v>13</v>
      </c>
      <c r="EA38" s="131"/>
      <c r="EB38" s="48">
        <v>12772.11</v>
      </c>
      <c r="EC38" s="48"/>
      <c r="ED38" s="48"/>
      <c r="EE38" s="48"/>
      <c r="EF38" s="48"/>
    </row>
    <row r="39" spans="1:136" x14ac:dyDescent="0.2">
      <c r="A39" s="292"/>
      <c r="B39" s="46" t="s">
        <v>6995</v>
      </c>
      <c r="C39" s="131" t="str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9" s="4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>1612145.5899999999</v>
      </c>
      <c r="E39" s="4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>2686535.42</v>
      </c>
      <c r="F39" s="4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>2655801</v>
      </c>
      <c r="G39" s="4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>3001536</v>
      </c>
      <c r="H39" s="4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>16666</v>
      </c>
      <c r="I39" s="48"/>
      <c r="J39" s="46" t="s">
        <v>6995</v>
      </c>
      <c r="K39" s="131"/>
      <c r="L39" s="258">
        <v>155210</v>
      </c>
      <c r="M39" s="48">
        <v>328459.15000000002</v>
      </c>
      <c r="N39" s="48">
        <v>489914</v>
      </c>
      <c r="O39" s="48">
        <v>533956</v>
      </c>
      <c r="P39" s="48">
        <v>61720</v>
      </c>
      <c r="R39" s="46" t="s">
        <v>6995</v>
      </c>
      <c r="S39" s="131"/>
      <c r="T39" s="48">
        <v>-83667</v>
      </c>
      <c r="U39" s="48">
        <v>-54711.48</v>
      </c>
      <c r="V39" s="48">
        <v>-44177</v>
      </c>
      <c r="W39" s="48">
        <v>90817</v>
      </c>
      <c r="X39" s="48">
        <v>-119067</v>
      </c>
      <c r="Z39" s="46" t="s">
        <v>6995</v>
      </c>
      <c r="AA39" s="131"/>
      <c r="AB39" s="48">
        <v>76861</v>
      </c>
      <c r="AC39" s="48">
        <v>58519.77</v>
      </c>
      <c r="AD39" s="48">
        <v>140108</v>
      </c>
      <c r="AE39" s="48">
        <v>138503</v>
      </c>
      <c r="AF39" s="48">
        <v>-83690</v>
      </c>
      <c r="AH39" s="46" t="s">
        <v>6995</v>
      </c>
      <c r="AI39" s="131"/>
      <c r="AJ39" s="48">
        <v>169359</v>
      </c>
      <c r="AK39" s="48">
        <v>166313.04999999999</v>
      </c>
      <c r="AL39" s="48">
        <v>201767</v>
      </c>
      <c r="AM39" s="48">
        <v>307909</v>
      </c>
      <c r="AN39" s="48">
        <v>-136822</v>
      </c>
      <c r="AP39" s="46" t="s">
        <v>6995</v>
      </c>
      <c r="AQ39" s="131"/>
      <c r="AR39" s="48">
        <v>310783</v>
      </c>
      <c r="AS39" s="48">
        <v>401155.28</v>
      </c>
      <c r="AT39" s="48">
        <v>372357</v>
      </c>
      <c r="AU39" s="48">
        <v>506334</v>
      </c>
      <c r="AV39" s="48"/>
      <c r="AX39" s="46" t="s">
        <v>6995</v>
      </c>
      <c r="AY39" s="131"/>
      <c r="AZ39" s="48">
        <v>44361</v>
      </c>
      <c r="BA39" s="48">
        <v>79669.22</v>
      </c>
      <c r="BB39" s="48">
        <v>134171</v>
      </c>
      <c r="BC39" s="48">
        <v>10714</v>
      </c>
      <c r="BD39" s="48"/>
      <c r="BE39" s="48"/>
      <c r="BF39" s="46" t="s">
        <v>6995</v>
      </c>
      <c r="BG39" s="131"/>
      <c r="BH39" s="48">
        <v>171758.59</v>
      </c>
      <c r="BI39" s="48">
        <v>339063.98</v>
      </c>
      <c r="BJ39" s="48"/>
      <c r="BK39" s="48"/>
      <c r="BL39" s="48"/>
      <c r="BM39" s="48"/>
      <c r="BN39" s="46" t="s">
        <v>6995</v>
      </c>
      <c r="BO39" s="131"/>
      <c r="BP39" s="48">
        <v>275037</v>
      </c>
      <c r="BQ39" s="48">
        <v>218380.07</v>
      </c>
      <c r="BR39" s="48">
        <v>188726</v>
      </c>
      <c r="BS39" s="48">
        <v>333949</v>
      </c>
      <c r="BT39" s="48">
        <v>101525</v>
      </c>
      <c r="BV39" s="46" t="s">
        <v>6995</v>
      </c>
      <c r="BW39" s="131"/>
      <c r="BX39" s="48">
        <v>108767</v>
      </c>
      <c r="BY39" s="48">
        <v>100583.59</v>
      </c>
      <c r="BZ39" s="48">
        <v>281357</v>
      </c>
      <c r="CA39" s="48">
        <v>325111</v>
      </c>
      <c r="CB39" s="48">
        <v>-11682</v>
      </c>
      <c r="CC39" s="48"/>
      <c r="CD39" s="46" t="s">
        <v>6995</v>
      </c>
      <c r="CE39" s="131"/>
      <c r="CF39" s="48">
        <v>195828</v>
      </c>
      <c r="CG39" s="48">
        <v>389819.71</v>
      </c>
      <c r="CH39" s="48">
        <v>236893</v>
      </c>
      <c r="CI39" s="48">
        <v>102377</v>
      </c>
      <c r="CJ39" s="48">
        <v>9518</v>
      </c>
      <c r="CL39" s="46" t="s">
        <v>6995</v>
      </c>
      <c r="CM39" s="131"/>
      <c r="CN39" s="48">
        <v>187848</v>
      </c>
      <c r="CO39" s="48">
        <v>659283.07999999996</v>
      </c>
      <c r="CP39" s="48">
        <v>654685</v>
      </c>
      <c r="CQ39" s="48">
        <v>651866</v>
      </c>
      <c r="CR39" s="48">
        <v>195164</v>
      </c>
      <c r="CT39" s="46" t="s">
        <v>6995</v>
      </c>
      <c r="CU39" s="131"/>
      <c r="CV39" s="48">
        <v>255016.21000000008</v>
      </c>
      <c r="CW39" s="48"/>
      <c r="CX39" s="48"/>
      <c r="CY39" s="48"/>
      <c r="CZ39" s="48"/>
      <c r="DB39" s="46" t="s">
        <v>6995</v>
      </c>
      <c r="DC39" s="131"/>
      <c r="DD39" s="48">
        <v>460720</v>
      </c>
      <c r="DE39" s="48"/>
      <c r="DF39" s="48"/>
      <c r="DG39" s="48"/>
      <c r="DH39" s="48"/>
      <c r="DI39" s="48"/>
      <c r="DJ39" s="46" t="s">
        <v>6995</v>
      </c>
      <c r="DK39" s="131"/>
      <c r="DL39" s="48">
        <v>-30172.469999999797</v>
      </c>
      <c r="DM39" s="48"/>
      <c r="DN39" s="48"/>
      <c r="DO39" s="48"/>
      <c r="DP39" s="48"/>
      <c r="DR39" s="46" t="s">
        <v>15</v>
      </c>
      <c r="DS39" s="131"/>
      <c r="DT39" s="48">
        <v>47271.039999999281</v>
      </c>
      <c r="DU39" s="48"/>
      <c r="DV39" s="48"/>
      <c r="DW39" s="48"/>
      <c r="DX39" s="48"/>
      <c r="DZ39" s="46" t="s">
        <v>15</v>
      </c>
      <c r="EA39" s="131"/>
      <c r="EB39" s="48">
        <v>1869.3599999999913</v>
      </c>
      <c r="EC39" s="48"/>
      <c r="ED39" s="48"/>
      <c r="EE39" s="48"/>
      <c r="EF39" s="48"/>
    </row>
    <row r="41" spans="1:136" ht="15.75" x14ac:dyDescent="0.2">
      <c r="B41" s="45" t="s">
        <v>131</v>
      </c>
      <c r="J41" s="45" t="s">
        <v>2999</v>
      </c>
      <c r="R41" s="45" t="s">
        <v>3001</v>
      </c>
      <c r="Z41" s="45" t="s">
        <v>210</v>
      </c>
      <c r="AH41" s="45" t="s">
        <v>3003</v>
      </c>
      <c r="AP41" s="45" t="s">
        <v>2156</v>
      </c>
      <c r="AX41" s="45" t="s">
        <v>3000</v>
      </c>
      <c r="BF41" s="45" t="s">
        <v>3002</v>
      </c>
      <c r="BN41" s="45" t="s">
        <v>297</v>
      </c>
      <c r="BV41" s="45" t="s">
        <v>296</v>
      </c>
      <c r="CD41" s="45" t="s">
        <v>292</v>
      </c>
      <c r="CL41" s="45" t="s">
        <v>294</v>
      </c>
      <c r="CT41" s="45" t="s">
        <v>6963</v>
      </c>
      <c r="DB41" s="45" t="s">
        <v>6964</v>
      </c>
      <c r="DJ41" s="45" t="s">
        <v>6966</v>
      </c>
      <c r="DR41" s="45" t="s">
        <v>6965</v>
      </c>
      <c r="DZ41" s="45" t="s">
        <v>7094</v>
      </c>
    </row>
    <row r="43" spans="1:136" s="188" customFormat="1" ht="18.600000000000001" customHeight="1" x14ac:dyDescent="0.2">
      <c r="A43" s="292" t="s">
        <v>178</v>
      </c>
      <c r="B43" s="186" t="s">
        <v>106</v>
      </c>
      <c r="C43" s="187" t="s">
        <v>6962</v>
      </c>
      <c r="D43" s="187" t="s">
        <v>2169</v>
      </c>
      <c r="E43" s="187" t="s">
        <v>1553</v>
      </c>
      <c r="F43" s="187" t="s">
        <v>1522</v>
      </c>
      <c r="G43" s="187" t="s">
        <v>1304</v>
      </c>
      <c r="H43" s="187" t="s">
        <v>209</v>
      </c>
      <c r="I43" s="187"/>
      <c r="J43" s="186" t="s">
        <v>106</v>
      </c>
      <c r="K43" s="186" t="s">
        <v>7114</v>
      </c>
      <c r="L43" s="186" t="s">
        <v>6962</v>
      </c>
      <c r="M43" s="186" t="s">
        <v>2169</v>
      </c>
      <c r="N43" s="186" t="s">
        <v>1553</v>
      </c>
      <c r="O43" s="186" t="s">
        <v>1522</v>
      </c>
      <c r="P43" s="186" t="s">
        <v>1304</v>
      </c>
      <c r="R43" s="186" t="s">
        <v>106</v>
      </c>
      <c r="S43" s="186" t="s">
        <v>7114</v>
      </c>
      <c r="T43" s="186" t="s">
        <v>6962</v>
      </c>
      <c r="U43" s="186" t="s">
        <v>2169</v>
      </c>
      <c r="V43" s="186" t="s">
        <v>1553</v>
      </c>
      <c r="W43" s="186" t="s">
        <v>1522</v>
      </c>
      <c r="X43" s="186" t="s">
        <v>1304</v>
      </c>
      <c r="Z43" s="186" t="s">
        <v>106</v>
      </c>
      <c r="AA43" s="186" t="s">
        <v>7114</v>
      </c>
      <c r="AB43" s="186" t="s">
        <v>6962</v>
      </c>
      <c r="AC43" s="186" t="s">
        <v>2169</v>
      </c>
      <c r="AD43" s="186" t="s">
        <v>1553</v>
      </c>
      <c r="AE43" s="186" t="s">
        <v>1522</v>
      </c>
      <c r="AF43" s="186" t="s">
        <v>1304</v>
      </c>
      <c r="AH43" s="186" t="s">
        <v>106</v>
      </c>
      <c r="AI43" s="186" t="s">
        <v>7114</v>
      </c>
      <c r="AJ43" s="186" t="s">
        <v>6962</v>
      </c>
      <c r="AK43" s="186" t="s">
        <v>2169</v>
      </c>
      <c r="AL43" s="186" t="s">
        <v>1553</v>
      </c>
      <c r="AM43" s="186" t="s">
        <v>1522</v>
      </c>
      <c r="AN43" s="186" t="s">
        <v>1304</v>
      </c>
      <c r="AP43" s="186" t="s">
        <v>106</v>
      </c>
      <c r="AQ43" s="186" t="s">
        <v>7114</v>
      </c>
      <c r="AR43" s="186" t="s">
        <v>6962</v>
      </c>
      <c r="AS43" s="186" t="s">
        <v>2169</v>
      </c>
      <c r="AT43" s="186" t="s">
        <v>1553</v>
      </c>
      <c r="AU43" s="186" t="s">
        <v>1522</v>
      </c>
      <c r="AV43" s="186" t="s">
        <v>1304</v>
      </c>
      <c r="AX43" s="186" t="s">
        <v>106</v>
      </c>
      <c r="AY43" s="186" t="s">
        <v>7114</v>
      </c>
      <c r="AZ43" s="186" t="s">
        <v>6962</v>
      </c>
      <c r="BA43" s="186" t="s">
        <v>2169</v>
      </c>
      <c r="BB43" s="186" t="s">
        <v>1553</v>
      </c>
      <c r="BC43" s="186" t="s">
        <v>1522</v>
      </c>
      <c r="BD43" s="186" t="s">
        <v>1304</v>
      </c>
      <c r="BE43" s="187"/>
      <c r="BF43" s="186" t="s">
        <v>106</v>
      </c>
      <c r="BG43" s="186" t="s">
        <v>7114</v>
      </c>
      <c r="BH43" s="186" t="s">
        <v>6962</v>
      </c>
      <c r="BI43" s="186" t="s">
        <v>2169</v>
      </c>
      <c r="BJ43" s="186" t="s">
        <v>1553</v>
      </c>
      <c r="BK43" s="186" t="s">
        <v>1522</v>
      </c>
      <c r="BL43" s="186" t="s">
        <v>1304</v>
      </c>
      <c r="BM43" s="186"/>
      <c r="BN43" s="186" t="s">
        <v>106</v>
      </c>
      <c r="BO43" s="187" t="s">
        <v>7114</v>
      </c>
      <c r="BP43" s="187" t="s">
        <v>6962</v>
      </c>
      <c r="BQ43" s="187" t="s">
        <v>2169</v>
      </c>
      <c r="BR43" s="187" t="s">
        <v>1553</v>
      </c>
      <c r="BS43" s="187" t="s">
        <v>1522</v>
      </c>
      <c r="BT43" s="187" t="s">
        <v>1304</v>
      </c>
      <c r="BV43" s="186" t="s">
        <v>106</v>
      </c>
      <c r="BW43" s="187" t="s">
        <v>7114</v>
      </c>
      <c r="BX43" s="187" t="s">
        <v>6962</v>
      </c>
      <c r="BY43" s="187" t="s">
        <v>2169</v>
      </c>
      <c r="BZ43" s="187" t="s">
        <v>1553</v>
      </c>
      <c r="CA43" s="187" t="s">
        <v>1522</v>
      </c>
      <c r="CB43" s="187" t="s">
        <v>1304</v>
      </c>
      <c r="CC43" s="187"/>
      <c r="CD43" s="186" t="s">
        <v>106</v>
      </c>
      <c r="CE43" s="187" t="s">
        <v>7114</v>
      </c>
      <c r="CF43" s="187" t="s">
        <v>6962</v>
      </c>
      <c r="CG43" s="187" t="s">
        <v>2169</v>
      </c>
      <c r="CH43" s="187" t="s">
        <v>1553</v>
      </c>
      <c r="CI43" s="187" t="s">
        <v>1522</v>
      </c>
      <c r="CJ43" s="187" t="s">
        <v>1304</v>
      </c>
      <c r="CL43" s="186" t="s">
        <v>106</v>
      </c>
      <c r="CM43" s="187" t="s">
        <v>7114</v>
      </c>
      <c r="CN43" s="187" t="s">
        <v>6962</v>
      </c>
      <c r="CO43" s="187" t="s">
        <v>2169</v>
      </c>
      <c r="CP43" s="187" t="s">
        <v>1553</v>
      </c>
      <c r="CQ43" s="187" t="s">
        <v>1522</v>
      </c>
      <c r="CR43" s="187" t="s">
        <v>1304</v>
      </c>
      <c r="CT43" s="186" t="s">
        <v>106</v>
      </c>
      <c r="CU43" s="187" t="s">
        <v>7114</v>
      </c>
      <c r="CV43" s="187" t="s">
        <v>6962</v>
      </c>
      <c r="CW43" s="187" t="s">
        <v>2169</v>
      </c>
      <c r="CX43" s="187" t="s">
        <v>1553</v>
      </c>
      <c r="CY43" s="187" t="s">
        <v>1522</v>
      </c>
      <c r="CZ43" s="187" t="s">
        <v>1304</v>
      </c>
      <c r="DB43" s="186" t="s">
        <v>106</v>
      </c>
      <c r="DC43" s="187" t="s">
        <v>7114</v>
      </c>
      <c r="DD43" s="187" t="s">
        <v>6962</v>
      </c>
      <c r="DE43" s="187" t="s">
        <v>2169</v>
      </c>
      <c r="DF43" s="187" t="s">
        <v>1553</v>
      </c>
      <c r="DG43" s="187" t="s">
        <v>1522</v>
      </c>
      <c r="DH43" s="187" t="s">
        <v>1304</v>
      </c>
      <c r="DI43" s="187"/>
      <c r="DJ43" s="186" t="s">
        <v>106</v>
      </c>
      <c r="DK43" s="187" t="s">
        <v>7114</v>
      </c>
      <c r="DL43" s="187" t="s">
        <v>6962</v>
      </c>
      <c r="DM43" s="187" t="s">
        <v>2169</v>
      </c>
      <c r="DN43" s="187" t="s">
        <v>1553</v>
      </c>
      <c r="DO43" s="187" t="s">
        <v>1522</v>
      </c>
      <c r="DP43" s="187" t="s">
        <v>1304</v>
      </c>
      <c r="DR43" s="186" t="s">
        <v>106</v>
      </c>
      <c r="DS43" s="187" t="s">
        <v>7114</v>
      </c>
      <c r="DT43" s="187" t="s">
        <v>6962</v>
      </c>
      <c r="DU43" s="187" t="s">
        <v>2169</v>
      </c>
      <c r="DV43" s="187" t="s">
        <v>1553</v>
      </c>
      <c r="DW43" s="187" t="s">
        <v>1522</v>
      </c>
      <c r="DX43" s="187" t="s">
        <v>1304</v>
      </c>
      <c r="DZ43" s="186" t="s">
        <v>106</v>
      </c>
      <c r="EA43" s="187" t="s">
        <v>7114</v>
      </c>
      <c r="EB43" s="187" t="s">
        <v>6962</v>
      </c>
      <c r="EC43" s="187" t="s">
        <v>2169</v>
      </c>
      <c r="ED43" s="187" t="s">
        <v>1553</v>
      </c>
      <c r="EE43" s="187" t="s">
        <v>1522</v>
      </c>
      <c r="EF43" s="187" t="s">
        <v>1304</v>
      </c>
    </row>
    <row r="44" spans="1:136" x14ac:dyDescent="0.2">
      <c r="A44" s="292"/>
      <c r="B44" s="134" t="s">
        <v>143</v>
      </c>
      <c r="C44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>32609</v>
      </c>
      <c r="D44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26840</v>
      </c>
      <c r="E44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29208</v>
      </c>
      <c r="F44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19172</v>
      </c>
      <c r="G44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384</v>
      </c>
      <c r="H44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35425</v>
      </c>
      <c r="I44" s="48"/>
      <c r="J44" s="134" t="s">
        <v>143</v>
      </c>
      <c r="K44" s="131">
        <f>7449-5035</f>
        <v>2414</v>
      </c>
      <c r="L44" s="131">
        <v>3045</v>
      </c>
      <c r="M44" s="48">
        <v>3175</v>
      </c>
      <c r="N44" s="48">
        <v>2116</v>
      </c>
      <c r="O44" s="48">
        <v>39</v>
      </c>
      <c r="P44" s="48">
        <v>4939</v>
      </c>
      <c r="R44" s="134" t="s">
        <v>143</v>
      </c>
      <c r="S44" s="131">
        <f>4058-3059</f>
        <v>999</v>
      </c>
      <c r="T44" s="48">
        <v>1028</v>
      </c>
      <c r="U44" s="48">
        <v>1304</v>
      </c>
      <c r="V44" s="48">
        <v>755</v>
      </c>
      <c r="W44" s="48">
        <v>20</v>
      </c>
      <c r="X44" s="48">
        <v>2582</v>
      </c>
      <c r="Z44" s="134" t="s">
        <v>143</v>
      </c>
      <c r="AA44" s="131">
        <f>7208-5295</f>
        <v>1913</v>
      </c>
      <c r="AB44" s="48">
        <v>1973</v>
      </c>
      <c r="AC44" s="48">
        <v>2718</v>
      </c>
      <c r="AD44" s="48">
        <v>1534</v>
      </c>
      <c r="AE44" s="48">
        <v>30</v>
      </c>
      <c r="AF44" s="48">
        <v>3470</v>
      </c>
      <c r="AH44" s="134" t="s">
        <v>143</v>
      </c>
      <c r="AI44" s="131"/>
      <c r="AJ44" s="131">
        <v>2269</v>
      </c>
      <c r="AK44" s="48">
        <v>2317</v>
      </c>
      <c r="AL44" s="48">
        <v>1544</v>
      </c>
      <c r="AM44" s="48">
        <v>92</v>
      </c>
      <c r="AN44" s="48">
        <v>3787</v>
      </c>
      <c r="AP44" s="134" t="s">
        <v>143</v>
      </c>
      <c r="AQ44" s="131">
        <f>12064-8421</f>
        <v>3643</v>
      </c>
      <c r="AR44" s="131">
        <v>4468</v>
      </c>
      <c r="AS44" s="48">
        <v>4511</v>
      </c>
      <c r="AT44" s="48">
        <v>2975</v>
      </c>
      <c r="AU44" s="48">
        <v>74</v>
      </c>
      <c r="AV44" s="48"/>
      <c r="AX44" s="134" t="s">
        <v>143</v>
      </c>
      <c r="AY44" s="131"/>
      <c r="AZ44" s="48">
        <v>1252</v>
      </c>
      <c r="BA44" s="48">
        <v>1336</v>
      </c>
      <c r="BB44" s="48">
        <v>997</v>
      </c>
      <c r="BC44" s="48"/>
      <c r="BD44" s="48"/>
      <c r="BE44" s="48"/>
      <c r="BF44" s="134" t="s">
        <v>143</v>
      </c>
      <c r="BG44" s="131">
        <f>5029-3532</f>
        <v>1497</v>
      </c>
      <c r="BH44" s="48">
        <v>1750</v>
      </c>
      <c r="BI44" s="48">
        <v>1647</v>
      </c>
      <c r="BJ44" s="48"/>
      <c r="BK44" s="48"/>
      <c r="BL44" s="48"/>
      <c r="BM44" s="48"/>
      <c r="BN44" s="134" t="s">
        <v>143</v>
      </c>
      <c r="BO44" s="131">
        <f>10297-6676</f>
        <v>3621</v>
      </c>
      <c r="BP44" s="48">
        <v>3584</v>
      </c>
      <c r="BQ44" s="48">
        <v>3874</v>
      </c>
      <c r="BR44" s="48">
        <v>3522</v>
      </c>
      <c r="BS44" s="48">
        <v>41</v>
      </c>
      <c r="BT44" s="48">
        <v>6811</v>
      </c>
      <c r="BV44" s="134" t="s">
        <v>143</v>
      </c>
      <c r="BW44" s="131">
        <f>5092-3389</f>
        <v>1703</v>
      </c>
      <c r="BX44" s="48">
        <v>1611</v>
      </c>
      <c r="BY44" s="48">
        <v>1921</v>
      </c>
      <c r="BZ44" s="48">
        <v>1108</v>
      </c>
      <c r="CA44" s="48">
        <v>3</v>
      </c>
      <c r="CB44" s="48">
        <v>2805</v>
      </c>
      <c r="CC44" s="48"/>
      <c r="CD44" s="134" t="s">
        <v>143</v>
      </c>
      <c r="CE44" s="131">
        <f>9252-5975</f>
        <v>3277</v>
      </c>
      <c r="CF44" s="48">
        <v>3635</v>
      </c>
      <c r="CG44" s="48">
        <v>3236</v>
      </c>
      <c r="CH44" s="48">
        <v>2824</v>
      </c>
      <c r="CI44" s="48">
        <v>1</v>
      </c>
      <c r="CJ44" s="48">
        <v>6019</v>
      </c>
      <c r="CL44" s="134" t="s">
        <v>143</v>
      </c>
      <c r="CM44" s="131">
        <f>7864-5636</f>
        <v>2228</v>
      </c>
      <c r="CN44" s="48">
        <v>2225</v>
      </c>
      <c r="CO44" s="48">
        <v>3169</v>
      </c>
      <c r="CP44" s="48">
        <v>1797</v>
      </c>
      <c r="CQ44" s="48">
        <v>84</v>
      </c>
      <c r="CR44" s="48">
        <v>5012</v>
      </c>
      <c r="CT44" s="134" t="s">
        <v>143</v>
      </c>
      <c r="CU44" s="131">
        <f>11213-7787</f>
        <v>3426</v>
      </c>
      <c r="CV44" s="131">
        <v>3956</v>
      </c>
      <c r="CW44" s="48"/>
      <c r="CX44" s="48"/>
      <c r="CY44" s="48"/>
      <c r="CZ44" s="48"/>
      <c r="DB44" s="134" t="s">
        <v>143</v>
      </c>
      <c r="DC44" s="131">
        <f>8553-6434</f>
        <v>2119</v>
      </c>
      <c r="DD44" s="48">
        <v>2624</v>
      </c>
      <c r="DE44" s="48"/>
      <c r="DF44" s="48"/>
      <c r="DG44" s="48"/>
      <c r="DH44" s="48"/>
      <c r="DI44" s="48"/>
      <c r="DJ44" s="134" t="s">
        <v>143</v>
      </c>
      <c r="DK44" s="131">
        <f>7247-4616</f>
        <v>2631</v>
      </c>
      <c r="DL44" s="48">
        <v>2747</v>
      </c>
      <c r="DM44" s="48"/>
      <c r="DN44" s="48"/>
      <c r="DO44" s="48"/>
      <c r="DP44" s="48"/>
      <c r="DR44" s="134" t="s">
        <v>143</v>
      </c>
      <c r="DS44" s="131">
        <f>4605-3233</f>
        <v>1372</v>
      </c>
      <c r="DT44" s="48">
        <v>1384</v>
      </c>
      <c r="DU44" s="48"/>
      <c r="DV44" s="48"/>
      <c r="DW44" s="48"/>
      <c r="DX44" s="48"/>
      <c r="DZ44" s="134" t="s">
        <v>143</v>
      </c>
      <c r="EA44" s="131">
        <f>4826-3060</f>
        <v>1766</v>
      </c>
      <c r="EB44" s="48"/>
      <c r="EC44" s="48"/>
      <c r="ED44" s="48"/>
      <c r="EE44" s="48"/>
      <c r="EF44" s="48"/>
    </row>
    <row r="45" spans="1:136" x14ac:dyDescent="0.2">
      <c r="A45" s="292"/>
      <c r="B45" s="134" t="s">
        <v>5</v>
      </c>
      <c r="C45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5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27866</v>
      </c>
      <c r="E45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29172</v>
      </c>
      <c r="F45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21602</v>
      </c>
      <c r="G45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538</v>
      </c>
      <c r="H45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33193</v>
      </c>
      <c r="I45" s="48"/>
      <c r="J45" s="134" t="s">
        <v>5</v>
      </c>
      <c r="K45" s="131"/>
      <c r="L45" s="131">
        <v>2678</v>
      </c>
      <c r="M45" s="48">
        <v>3323</v>
      </c>
      <c r="N45" s="48">
        <v>2569</v>
      </c>
      <c r="O45" s="48">
        <v>79</v>
      </c>
      <c r="P45" s="48">
        <v>4634</v>
      </c>
      <c r="R45" s="134" t="s">
        <v>5</v>
      </c>
      <c r="S45" s="131"/>
      <c r="T45" s="48">
        <v>1219</v>
      </c>
      <c r="U45" s="48">
        <v>1319</v>
      </c>
      <c r="V45" s="48">
        <v>900</v>
      </c>
      <c r="W45" s="48">
        <v>46</v>
      </c>
      <c r="X45" s="48">
        <v>2044</v>
      </c>
      <c r="Z45" s="134" t="s">
        <v>5</v>
      </c>
      <c r="AA45" s="131"/>
      <c r="AB45" s="48">
        <v>2130</v>
      </c>
      <c r="AC45" s="48">
        <v>2517</v>
      </c>
      <c r="AD45" s="48">
        <v>1703</v>
      </c>
      <c r="AE45" s="48">
        <v>39</v>
      </c>
      <c r="AF45" s="48">
        <v>3665</v>
      </c>
      <c r="AH45" s="134" t="s">
        <v>5</v>
      </c>
      <c r="AI45" s="131"/>
      <c r="AJ45" s="131">
        <v>2599</v>
      </c>
      <c r="AK45" s="48">
        <v>2193</v>
      </c>
      <c r="AL45" s="48">
        <v>1991</v>
      </c>
      <c r="AM45" s="48">
        <v>103</v>
      </c>
      <c r="AN45" s="48">
        <v>3739</v>
      </c>
      <c r="AP45" s="134" t="s">
        <v>5</v>
      </c>
      <c r="AQ45" s="131"/>
      <c r="AR45" s="131">
        <v>4355</v>
      </c>
      <c r="AS45" s="48">
        <v>4427</v>
      </c>
      <c r="AT45" s="48">
        <v>3896</v>
      </c>
      <c r="AU45" s="48">
        <v>74</v>
      </c>
      <c r="AV45" s="48"/>
      <c r="AX45" s="134" t="s">
        <v>5</v>
      </c>
      <c r="AY45" s="131"/>
      <c r="AZ45" s="48">
        <v>1407</v>
      </c>
      <c r="BA45" s="48">
        <v>1416</v>
      </c>
      <c r="BB45" s="48">
        <v>1232</v>
      </c>
      <c r="BC45" s="48"/>
      <c r="BD45" s="48"/>
      <c r="BE45" s="48"/>
      <c r="BF45" s="134" t="s">
        <v>5</v>
      </c>
      <c r="BG45" s="131"/>
      <c r="BH45" s="48">
        <v>1760</v>
      </c>
      <c r="BI45" s="48">
        <v>1737</v>
      </c>
      <c r="BJ45" s="48"/>
      <c r="BK45" s="48"/>
      <c r="BL45" s="48"/>
      <c r="BM45" s="48"/>
      <c r="BN45" s="134" t="s">
        <v>5</v>
      </c>
      <c r="BO45" s="131"/>
      <c r="BP45" s="48">
        <v>3505</v>
      </c>
      <c r="BQ45" s="48">
        <v>3375</v>
      </c>
      <c r="BR45" s="48">
        <v>2949</v>
      </c>
      <c r="BS45" s="48">
        <v>95</v>
      </c>
      <c r="BT45" s="48">
        <v>5017</v>
      </c>
      <c r="BV45" s="134" t="s">
        <v>5</v>
      </c>
      <c r="BW45" s="131"/>
      <c r="BX45" s="48">
        <v>1772</v>
      </c>
      <c r="BY45" s="48">
        <v>2218</v>
      </c>
      <c r="BZ45" s="48">
        <v>1452</v>
      </c>
      <c r="CA45" s="48">
        <v>12</v>
      </c>
      <c r="CB45" s="48">
        <v>2833</v>
      </c>
      <c r="CC45" s="48"/>
      <c r="CD45" s="134" t="s">
        <v>5</v>
      </c>
      <c r="CE45" s="131"/>
      <c r="CF45" s="48">
        <v>3836</v>
      </c>
      <c r="CG45" s="48">
        <v>3584</v>
      </c>
      <c r="CH45" s="48">
        <v>2913</v>
      </c>
      <c r="CI45" s="48">
        <v>21</v>
      </c>
      <c r="CJ45" s="48">
        <v>6466</v>
      </c>
      <c r="CL45" s="134" t="s">
        <v>5</v>
      </c>
      <c r="CM45" s="131"/>
      <c r="CN45" s="48">
        <v>2605</v>
      </c>
      <c r="CO45" s="48">
        <v>3063</v>
      </c>
      <c r="CP45" s="48">
        <v>1997</v>
      </c>
      <c r="CQ45" s="48">
        <v>69</v>
      </c>
      <c r="CR45" s="48">
        <v>4795</v>
      </c>
      <c r="CT45" s="134" t="s">
        <v>5</v>
      </c>
      <c r="CU45" s="131"/>
      <c r="CV45" s="131">
        <v>3616</v>
      </c>
      <c r="CW45" s="48"/>
      <c r="CX45" s="48"/>
      <c r="CY45" s="48"/>
      <c r="CZ45" s="48"/>
      <c r="DB45" s="134" t="s">
        <v>5</v>
      </c>
      <c r="DC45" s="131"/>
      <c r="DD45" s="48">
        <v>3409</v>
      </c>
      <c r="DE45" s="48"/>
      <c r="DF45" s="48"/>
      <c r="DG45" s="48"/>
      <c r="DH45" s="48"/>
      <c r="DI45" s="48"/>
      <c r="DJ45" s="134" t="s">
        <v>5</v>
      </c>
      <c r="DK45" s="131"/>
      <c r="DL45" s="48">
        <v>3067</v>
      </c>
      <c r="DM45" s="48"/>
      <c r="DN45" s="48"/>
      <c r="DO45" s="48"/>
      <c r="DP45" s="48"/>
      <c r="DR45" s="134" t="s">
        <v>5</v>
      </c>
      <c r="DS45" s="131"/>
      <c r="DT45" s="48">
        <v>1331</v>
      </c>
      <c r="DU45" s="48"/>
      <c r="DV45" s="48"/>
      <c r="DW45" s="48"/>
      <c r="DX45" s="48"/>
      <c r="DZ45" s="134" t="s">
        <v>5</v>
      </c>
      <c r="EA45" s="131"/>
      <c r="EB45" s="48"/>
      <c r="EC45" s="48"/>
      <c r="ED45" s="48"/>
      <c r="EE45" s="48"/>
      <c r="EF45" s="48"/>
    </row>
    <row r="46" spans="1:136" x14ac:dyDescent="0.2">
      <c r="A46" s="292"/>
      <c r="B46" s="134" t="s">
        <v>7</v>
      </c>
      <c r="C46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6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28929</v>
      </c>
      <c r="E46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27048</v>
      </c>
      <c r="F46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24685</v>
      </c>
      <c r="G46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622</v>
      </c>
      <c r="H46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12812</v>
      </c>
      <c r="I46" s="48"/>
      <c r="J46" s="134" t="s">
        <v>7</v>
      </c>
      <c r="K46" s="131"/>
      <c r="L46" s="131">
        <v>2384</v>
      </c>
      <c r="M46" s="48">
        <v>2889</v>
      </c>
      <c r="N46" s="48">
        <v>2817</v>
      </c>
      <c r="O46" s="48">
        <v>110</v>
      </c>
      <c r="P46" s="48">
        <v>1784</v>
      </c>
      <c r="R46" s="134" t="s">
        <v>7</v>
      </c>
      <c r="S46" s="131"/>
      <c r="T46" s="48">
        <v>1317</v>
      </c>
      <c r="U46" s="48">
        <v>1228</v>
      </c>
      <c r="V46" s="48">
        <v>962</v>
      </c>
      <c r="W46" s="48">
        <v>34</v>
      </c>
      <c r="X46" s="48">
        <v>875</v>
      </c>
      <c r="Z46" s="134" t="s">
        <v>7</v>
      </c>
      <c r="AA46" s="131"/>
      <c r="AB46" s="48">
        <v>2254</v>
      </c>
      <c r="AC46" s="48">
        <v>2471</v>
      </c>
      <c r="AD46" s="48">
        <v>2409</v>
      </c>
      <c r="AE46" s="48">
        <v>51</v>
      </c>
      <c r="AF46" s="48">
        <v>1657</v>
      </c>
      <c r="AH46" s="134" t="s">
        <v>7</v>
      </c>
      <c r="AI46" s="131"/>
      <c r="AJ46" s="131">
        <v>2213</v>
      </c>
      <c r="AK46" s="48">
        <v>2091</v>
      </c>
      <c r="AL46" s="48">
        <v>1832</v>
      </c>
      <c r="AM46" s="48">
        <v>84</v>
      </c>
      <c r="AN46" s="48">
        <v>112</v>
      </c>
      <c r="AP46" s="134" t="s">
        <v>7</v>
      </c>
      <c r="AQ46" s="131"/>
      <c r="AR46" s="131">
        <v>4828</v>
      </c>
      <c r="AS46" s="48">
        <v>3972</v>
      </c>
      <c r="AT46" s="48">
        <v>3893</v>
      </c>
      <c r="AU46" s="48">
        <v>105</v>
      </c>
      <c r="AV46" s="48"/>
      <c r="AX46" s="134" t="s">
        <v>7</v>
      </c>
      <c r="AY46" s="131"/>
      <c r="AZ46" s="48">
        <v>1678</v>
      </c>
      <c r="BA46" s="48">
        <v>1255</v>
      </c>
      <c r="BB46" s="48">
        <v>1228</v>
      </c>
      <c r="BC46" s="48"/>
      <c r="BD46" s="48"/>
      <c r="BE46" s="48"/>
      <c r="BF46" s="134" t="s">
        <v>7</v>
      </c>
      <c r="BG46" s="131"/>
      <c r="BH46" s="48">
        <v>1774</v>
      </c>
      <c r="BI46" s="48">
        <v>1310</v>
      </c>
      <c r="BJ46" s="48"/>
      <c r="BK46" s="48"/>
      <c r="BL46" s="48"/>
      <c r="BM46" s="48"/>
      <c r="BN46" s="134" t="s">
        <v>7</v>
      </c>
      <c r="BO46" s="131"/>
      <c r="BP46" s="48">
        <v>3387</v>
      </c>
      <c r="BQ46" s="48">
        <v>3500</v>
      </c>
      <c r="BR46" s="48">
        <v>4236</v>
      </c>
      <c r="BS46" s="48">
        <v>92</v>
      </c>
      <c r="BT46" s="48">
        <v>2691</v>
      </c>
      <c r="BV46" s="134" t="s">
        <v>7</v>
      </c>
      <c r="BW46" s="131"/>
      <c r="BX46" s="48">
        <v>2044</v>
      </c>
      <c r="BY46" s="48">
        <v>2130</v>
      </c>
      <c r="BZ46" s="48">
        <v>1693</v>
      </c>
      <c r="CA46" s="48">
        <v>46</v>
      </c>
      <c r="CB46" s="48">
        <v>1041</v>
      </c>
      <c r="CC46" s="48"/>
      <c r="CD46" s="134" t="s">
        <v>7</v>
      </c>
      <c r="CE46" s="131"/>
      <c r="CF46" s="48">
        <v>3995</v>
      </c>
      <c r="CG46" s="48">
        <v>3461</v>
      </c>
      <c r="CH46" s="48">
        <v>3410</v>
      </c>
      <c r="CI46" s="48">
        <v>45</v>
      </c>
      <c r="CJ46" s="48">
        <v>2614</v>
      </c>
      <c r="CL46" s="134" t="s">
        <v>7</v>
      </c>
      <c r="CM46" s="131"/>
      <c r="CN46" s="48">
        <v>3055</v>
      </c>
      <c r="CO46" s="48">
        <v>2741</v>
      </c>
      <c r="CP46" s="48">
        <v>2205</v>
      </c>
      <c r="CQ46" s="48">
        <v>55</v>
      </c>
      <c r="CR46" s="48">
        <v>2038</v>
      </c>
      <c r="CT46" s="134" t="s">
        <v>7</v>
      </c>
      <c r="CU46" s="131"/>
      <c r="CV46" s="131">
        <v>3693</v>
      </c>
      <c r="CW46" s="48"/>
      <c r="CX46" s="48"/>
      <c r="CY46" s="48"/>
      <c r="CZ46" s="48"/>
      <c r="DB46" s="134" t="s">
        <v>7</v>
      </c>
      <c r="DC46" s="131"/>
      <c r="DD46" s="48">
        <v>3336</v>
      </c>
      <c r="DE46" s="48"/>
      <c r="DF46" s="48"/>
      <c r="DG46" s="48"/>
      <c r="DH46" s="48"/>
      <c r="DI46" s="48"/>
      <c r="DJ46" s="134" t="s">
        <v>7</v>
      </c>
      <c r="DK46" s="131"/>
      <c r="DL46" s="48">
        <v>2489</v>
      </c>
      <c r="DM46" s="48"/>
      <c r="DN46" s="48"/>
      <c r="DO46" s="48"/>
      <c r="DP46" s="48"/>
      <c r="DR46" s="134" t="s">
        <v>7</v>
      </c>
      <c r="DS46" s="131"/>
      <c r="DT46" s="48">
        <v>1316</v>
      </c>
      <c r="DU46" s="48"/>
      <c r="DV46" s="48"/>
      <c r="DW46" s="48"/>
      <c r="DX46" s="48"/>
      <c r="DZ46" s="134" t="s">
        <v>7</v>
      </c>
      <c r="EA46" s="131"/>
      <c r="EB46" s="48"/>
      <c r="EC46" s="48"/>
      <c r="ED46" s="48"/>
      <c r="EE46" s="48"/>
      <c r="EF46" s="48"/>
    </row>
    <row r="47" spans="1:136" x14ac:dyDescent="0.2">
      <c r="A47" s="292"/>
      <c r="B47" s="134" t="s">
        <v>9</v>
      </c>
      <c r="C47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7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30585</v>
      </c>
      <c r="E47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30634</v>
      </c>
      <c r="F47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26767</v>
      </c>
      <c r="G47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461</v>
      </c>
      <c r="H47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1.0000000099999999</v>
      </c>
      <c r="I47" s="48"/>
      <c r="J47" s="134" t="s">
        <v>9</v>
      </c>
      <c r="K47" s="131"/>
      <c r="L47" s="131">
        <v>2548</v>
      </c>
      <c r="M47" s="48">
        <v>2832</v>
      </c>
      <c r="N47" s="48">
        <v>2916</v>
      </c>
      <c r="O47" s="48">
        <v>74</v>
      </c>
      <c r="P47" s="48">
        <v>1E-8</v>
      </c>
      <c r="R47" s="134" t="s">
        <v>9</v>
      </c>
      <c r="S47" s="131"/>
      <c r="T47" s="48">
        <v>1421</v>
      </c>
      <c r="U47" s="48">
        <v>1388</v>
      </c>
      <c r="V47" s="48">
        <v>1129</v>
      </c>
      <c r="W47" s="48">
        <v>20</v>
      </c>
      <c r="X47" s="48">
        <v>0</v>
      </c>
      <c r="Z47" s="134" t="s">
        <v>9</v>
      </c>
      <c r="AA47" s="131"/>
      <c r="AB47" s="48">
        <v>2561</v>
      </c>
      <c r="AC47" s="48">
        <v>2690</v>
      </c>
      <c r="AD47" s="48">
        <v>1793</v>
      </c>
      <c r="AE47" s="48">
        <v>71</v>
      </c>
      <c r="AF47" s="48">
        <v>0</v>
      </c>
      <c r="AH47" s="134" t="s">
        <v>9</v>
      </c>
      <c r="AI47" s="131"/>
      <c r="AJ47" s="131">
        <v>3129</v>
      </c>
      <c r="AK47" s="48">
        <v>2628</v>
      </c>
      <c r="AL47" s="48">
        <v>2117</v>
      </c>
      <c r="AM47" s="48">
        <v>88</v>
      </c>
      <c r="AN47" s="48">
        <v>0</v>
      </c>
      <c r="AP47" s="134" t="s">
        <v>9</v>
      </c>
      <c r="AQ47" s="131"/>
      <c r="AR47" s="131">
        <v>4767</v>
      </c>
      <c r="AS47" s="48">
        <v>5088</v>
      </c>
      <c r="AT47" s="48">
        <v>4301</v>
      </c>
      <c r="AU47" s="48">
        <v>45</v>
      </c>
      <c r="AV47" s="48"/>
      <c r="AX47" s="134" t="s">
        <v>9</v>
      </c>
      <c r="AY47" s="131"/>
      <c r="AZ47" s="48">
        <v>1597</v>
      </c>
      <c r="BA47" s="48">
        <v>1649</v>
      </c>
      <c r="BB47" s="48">
        <v>1432</v>
      </c>
      <c r="BC47" s="48"/>
      <c r="BD47" s="48"/>
      <c r="BE47" s="48"/>
      <c r="BF47" s="134" t="s">
        <v>9</v>
      </c>
      <c r="BG47" s="131"/>
      <c r="BH47" s="48">
        <v>1815</v>
      </c>
      <c r="BI47" s="48">
        <v>1904</v>
      </c>
      <c r="BJ47" s="48"/>
      <c r="BK47" s="48"/>
      <c r="BL47" s="48"/>
      <c r="BM47" s="48"/>
      <c r="BN47" s="134" t="s">
        <v>9</v>
      </c>
      <c r="BO47" s="131"/>
      <c r="BP47" s="48">
        <v>3411</v>
      </c>
      <c r="BQ47" s="48">
        <v>3343</v>
      </c>
      <c r="BR47" s="48">
        <v>4498</v>
      </c>
      <c r="BS47" s="48">
        <v>42</v>
      </c>
      <c r="BT47" s="48">
        <v>0</v>
      </c>
      <c r="BV47" s="134" t="s">
        <v>9</v>
      </c>
      <c r="BW47" s="131"/>
      <c r="BX47" s="48">
        <v>2218</v>
      </c>
      <c r="BY47" s="48">
        <v>2067</v>
      </c>
      <c r="BZ47" s="48">
        <v>1958</v>
      </c>
      <c r="CA47" s="48">
        <v>30</v>
      </c>
      <c r="CB47" s="48">
        <v>0</v>
      </c>
      <c r="CC47" s="48"/>
      <c r="CD47" s="134" t="s">
        <v>9</v>
      </c>
      <c r="CE47" s="131"/>
      <c r="CF47" s="48">
        <v>4351</v>
      </c>
      <c r="CG47" s="48">
        <v>3728</v>
      </c>
      <c r="CH47" s="48">
        <v>3668</v>
      </c>
      <c r="CI47" s="48">
        <v>51</v>
      </c>
      <c r="CJ47" s="48">
        <v>1</v>
      </c>
      <c r="CL47" s="134" t="s">
        <v>9</v>
      </c>
      <c r="CM47" s="131"/>
      <c r="CN47" s="48">
        <v>2767</v>
      </c>
      <c r="CO47" s="48">
        <v>3317</v>
      </c>
      <c r="CP47" s="48">
        <v>2955</v>
      </c>
      <c r="CQ47" s="48">
        <v>40</v>
      </c>
      <c r="CR47" s="48">
        <v>0</v>
      </c>
      <c r="CT47" s="134" t="s">
        <v>9</v>
      </c>
      <c r="CU47" s="131"/>
      <c r="CV47" s="131">
        <v>4065</v>
      </c>
      <c r="CW47" s="48"/>
      <c r="CX47" s="48"/>
      <c r="CY47" s="48"/>
      <c r="CZ47" s="48"/>
      <c r="DB47" s="134" t="s">
        <v>9</v>
      </c>
      <c r="DC47" s="131"/>
      <c r="DD47" s="48">
        <v>2992</v>
      </c>
      <c r="DE47" s="48"/>
      <c r="DF47" s="48"/>
      <c r="DG47" s="48"/>
      <c r="DH47" s="48"/>
      <c r="DI47" s="48"/>
      <c r="DJ47" s="134" t="s">
        <v>9</v>
      </c>
      <c r="DK47" s="131"/>
      <c r="DL47" s="48">
        <v>2905</v>
      </c>
      <c r="DM47" s="48"/>
      <c r="DN47" s="48"/>
      <c r="DO47" s="48"/>
      <c r="DP47" s="48"/>
      <c r="DR47" s="134" t="s">
        <v>9</v>
      </c>
      <c r="DS47" s="131"/>
      <c r="DT47" s="48">
        <v>1708</v>
      </c>
      <c r="DU47" s="48"/>
      <c r="DV47" s="48"/>
      <c r="DW47" s="48"/>
      <c r="DX47" s="48"/>
      <c r="DZ47" s="134" t="s">
        <v>9</v>
      </c>
      <c r="EA47" s="131"/>
      <c r="EB47" s="48"/>
      <c r="EC47" s="48"/>
      <c r="ED47" s="48"/>
      <c r="EE47" s="48"/>
      <c r="EF47" s="48"/>
    </row>
    <row r="48" spans="1:136" x14ac:dyDescent="0.2">
      <c r="A48" s="292"/>
      <c r="B48" s="134" t="s">
        <v>11</v>
      </c>
      <c r="C48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8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30603</v>
      </c>
      <c r="E48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31112</v>
      </c>
      <c r="F48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31354</v>
      </c>
      <c r="G48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3617</v>
      </c>
      <c r="H48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34.000000100000001</v>
      </c>
      <c r="I48" s="48"/>
      <c r="J48" s="134" t="s">
        <v>11</v>
      </c>
      <c r="K48" s="131"/>
      <c r="L48" s="131">
        <v>2844</v>
      </c>
      <c r="M48" s="48">
        <v>3026</v>
      </c>
      <c r="N48" s="48">
        <v>3549</v>
      </c>
      <c r="O48" s="48">
        <v>582</v>
      </c>
      <c r="P48" s="48">
        <v>9.9999999999999995E-8</v>
      </c>
      <c r="R48" s="134" t="s">
        <v>11</v>
      </c>
      <c r="S48" s="273"/>
      <c r="T48" s="48">
        <v>1555</v>
      </c>
      <c r="U48" s="48">
        <v>1562</v>
      </c>
      <c r="V48" s="48">
        <v>1396</v>
      </c>
      <c r="W48" s="48">
        <v>153</v>
      </c>
      <c r="X48" s="48">
        <v>0</v>
      </c>
      <c r="Z48" s="134" t="s">
        <v>11</v>
      </c>
      <c r="AA48" s="131"/>
      <c r="AB48" s="48">
        <v>1937</v>
      </c>
      <c r="AC48" s="48">
        <v>2232</v>
      </c>
      <c r="AD48" s="48">
        <v>2451</v>
      </c>
      <c r="AE48" s="48">
        <v>309</v>
      </c>
      <c r="AF48" s="48">
        <v>0</v>
      </c>
      <c r="AH48" s="134" t="s">
        <v>11</v>
      </c>
      <c r="AI48" s="131"/>
      <c r="AJ48" s="131">
        <v>2606</v>
      </c>
      <c r="AK48" s="48">
        <v>2491</v>
      </c>
      <c r="AL48" s="48">
        <v>2582</v>
      </c>
      <c r="AM48" s="48">
        <v>348</v>
      </c>
      <c r="AN48" s="48">
        <v>0</v>
      </c>
      <c r="AP48" s="134" t="s">
        <v>11</v>
      </c>
      <c r="AQ48" s="131"/>
      <c r="AR48" s="131">
        <v>4403</v>
      </c>
      <c r="AS48" s="48">
        <v>4677</v>
      </c>
      <c r="AT48" s="48">
        <v>4743</v>
      </c>
      <c r="AU48" s="48">
        <v>710</v>
      </c>
      <c r="AV48" s="48"/>
      <c r="AX48" s="134" t="s">
        <v>11</v>
      </c>
      <c r="AY48" s="131"/>
      <c r="AZ48" s="48">
        <v>1671</v>
      </c>
      <c r="BA48" s="48">
        <v>1601</v>
      </c>
      <c r="BB48" s="48">
        <v>1448</v>
      </c>
      <c r="BC48" s="48"/>
      <c r="BD48" s="48"/>
      <c r="BE48" s="48"/>
      <c r="BF48" s="134" t="s">
        <v>11</v>
      </c>
      <c r="BG48" s="131"/>
      <c r="BH48" s="48">
        <v>2128</v>
      </c>
      <c r="BI48" s="48">
        <v>1956</v>
      </c>
      <c r="BJ48" s="48"/>
      <c r="BK48" s="48"/>
      <c r="BL48" s="48"/>
      <c r="BM48" s="48"/>
      <c r="BN48" s="134" t="s">
        <v>11</v>
      </c>
      <c r="BO48" s="131"/>
      <c r="BP48" s="48">
        <v>3384</v>
      </c>
      <c r="BQ48" s="48">
        <v>3326</v>
      </c>
      <c r="BR48" s="48">
        <v>4626</v>
      </c>
      <c r="BS48" s="48">
        <v>245</v>
      </c>
      <c r="BT48" s="48">
        <v>4</v>
      </c>
      <c r="BV48" s="134" t="s">
        <v>11</v>
      </c>
      <c r="BW48" s="131"/>
      <c r="BX48" s="48">
        <v>2407</v>
      </c>
      <c r="BY48" s="48">
        <v>2329</v>
      </c>
      <c r="BZ48" s="48">
        <v>2119</v>
      </c>
      <c r="CA48" s="48">
        <v>328</v>
      </c>
      <c r="CB48" s="48">
        <v>4</v>
      </c>
      <c r="CC48" s="48"/>
      <c r="CD48" s="134" t="s">
        <v>11</v>
      </c>
      <c r="CE48" s="131"/>
      <c r="CF48" s="48">
        <v>4648</v>
      </c>
      <c r="CG48" s="48">
        <v>4417</v>
      </c>
      <c r="CH48" s="48">
        <v>4635</v>
      </c>
      <c r="CI48" s="48">
        <v>584</v>
      </c>
      <c r="CJ48" s="48">
        <v>25</v>
      </c>
      <c r="CL48" s="134" t="s">
        <v>11</v>
      </c>
      <c r="CM48" s="131"/>
      <c r="CN48" s="48">
        <v>3020</v>
      </c>
      <c r="CO48" s="48">
        <v>3495</v>
      </c>
      <c r="CP48" s="48">
        <v>3805</v>
      </c>
      <c r="CQ48" s="48">
        <v>358</v>
      </c>
      <c r="CR48" s="48">
        <v>1</v>
      </c>
      <c r="CT48" s="134" t="s">
        <v>11</v>
      </c>
      <c r="CU48" s="131"/>
      <c r="CV48" s="131">
        <v>3809</v>
      </c>
      <c r="CW48" s="48"/>
      <c r="CX48" s="48"/>
      <c r="CY48" s="48"/>
      <c r="CZ48" s="48"/>
      <c r="DB48" s="134" t="s">
        <v>11</v>
      </c>
      <c r="DC48" s="131"/>
      <c r="DD48" s="48">
        <v>2867</v>
      </c>
      <c r="DE48" s="48"/>
      <c r="DF48" s="48"/>
      <c r="DG48" s="48"/>
      <c r="DH48" s="48"/>
      <c r="DI48" s="48"/>
      <c r="DJ48" s="134" t="s">
        <v>11</v>
      </c>
      <c r="DK48" s="131"/>
      <c r="DL48" s="48">
        <v>2867</v>
      </c>
      <c r="DM48" s="48"/>
      <c r="DN48" s="48"/>
      <c r="DO48" s="48"/>
      <c r="DP48" s="48"/>
      <c r="DR48" s="134" t="s">
        <v>11</v>
      </c>
      <c r="DS48" s="131"/>
      <c r="DT48" s="48">
        <v>1703</v>
      </c>
      <c r="DU48" s="48"/>
      <c r="DV48" s="48"/>
      <c r="DW48" s="48"/>
      <c r="DX48" s="48"/>
      <c r="DZ48" s="134" t="s">
        <v>11</v>
      </c>
      <c r="EA48" s="131"/>
      <c r="EB48" s="48"/>
      <c r="EC48" s="48"/>
      <c r="ED48" s="48"/>
      <c r="EE48" s="48"/>
      <c r="EF48" s="48"/>
    </row>
    <row r="49" spans="1:136" x14ac:dyDescent="0.2">
      <c r="A49" s="292"/>
      <c r="B49" s="134" t="s">
        <v>0</v>
      </c>
      <c r="C49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9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29012</v>
      </c>
      <c r="E49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29679</v>
      </c>
      <c r="F49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30655</v>
      </c>
      <c r="G49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17379</v>
      </c>
      <c r="H49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15384</v>
      </c>
      <c r="I49" s="48"/>
      <c r="J49" s="134" t="s">
        <v>0</v>
      </c>
      <c r="K49" s="131"/>
      <c r="L49" s="131">
        <v>2890</v>
      </c>
      <c r="M49" s="48">
        <v>2949</v>
      </c>
      <c r="N49" s="48">
        <v>3390</v>
      </c>
      <c r="O49" s="48">
        <v>2617</v>
      </c>
      <c r="P49" s="48">
        <v>1902</v>
      </c>
      <c r="R49" s="134" t="s">
        <v>0</v>
      </c>
      <c r="S49" s="273"/>
      <c r="T49" s="48">
        <v>1484</v>
      </c>
      <c r="U49" s="48">
        <v>1596</v>
      </c>
      <c r="V49" s="48">
        <v>1376</v>
      </c>
      <c r="W49" s="48">
        <v>1103</v>
      </c>
      <c r="X49" s="48">
        <v>782</v>
      </c>
      <c r="Z49" s="134" t="s">
        <v>0</v>
      </c>
      <c r="AA49" s="131"/>
      <c r="AB49" s="48">
        <v>2099</v>
      </c>
      <c r="AC49" s="48">
        <v>2203</v>
      </c>
      <c r="AD49" s="48">
        <v>2034</v>
      </c>
      <c r="AE49" s="48">
        <v>1288</v>
      </c>
      <c r="AF49" s="48">
        <v>1125</v>
      </c>
      <c r="AH49" s="134" t="s">
        <v>0</v>
      </c>
      <c r="AI49" s="131"/>
      <c r="AJ49" s="131">
        <v>2312</v>
      </c>
      <c r="AK49" s="48">
        <v>2518</v>
      </c>
      <c r="AL49" s="48">
        <v>2466</v>
      </c>
      <c r="AM49" s="48">
        <v>2145</v>
      </c>
      <c r="AN49" s="48">
        <v>1906</v>
      </c>
      <c r="AP49" s="134" t="s">
        <v>0</v>
      </c>
      <c r="AQ49" s="131"/>
      <c r="AR49" s="131">
        <v>3870</v>
      </c>
      <c r="AS49" s="48">
        <v>4360</v>
      </c>
      <c r="AT49" s="48">
        <v>5296</v>
      </c>
      <c r="AU49" s="48">
        <v>1061</v>
      </c>
      <c r="AV49" s="48"/>
      <c r="AX49" s="134" t="s">
        <v>0</v>
      </c>
      <c r="AY49" s="131"/>
      <c r="AZ49" s="48">
        <v>1606</v>
      </c>
      <c r="BA49" s="48">
        <v>1563</v>
      </c>
      <c r="BB49" s="48">
        <v>1636</v>
      </c>
      <c r="BC49" s="48"/>
      <c r="BD49" s="48"/>
      <c r="BE49" s="48"/>
      <c r="BF49" s="134" t="s">
        <v>0</v>
      </c>
      <c r="BG49" s="131"/>
      <c r="BH49" s="48">
        <v>2077</v>
      </c>
      <c r="BI49" s="48">
        <v>2029</v>
      </c>
      <c r="BJ49" s="48"/>
      <c r="BK49" s="48"/>
      <c r="BL49" s="48"/>
      <c r="BM49" s="48"/>
      <c r="BN49" s="134" t="s">
        <v>0</v>
      </c>
      <c r="BO49" s="131"/>
      <c r="BP49" s="48">
        <v>2912</v>
      </c>
      <c r="BQ49" s="48">
        <v>2908</v>
      </c>
      <c r="BR49" s="48">
        <v>3460</v>
      </c>
      <c r="BS49" s="48">
        <v>1999</v>
      </c>
      <c r="BT49" s="48">
        <v>1814</v>
      </c>
      <c r="BV49" s="134" t="s">
        <v>0</v>
      </c>
      <c r="BW49" s="131"/>
      <c r="BX49" s="48">
        <v>2286</v>
      </c>
      <c r="BY49" s="48">
        <v>2103</v>
      </c>
      <c r="BZ49" s="48">
        <v>2453</v>
      </c>
      <c r="CA49" s="48">
        <v>1636</v>
      </c>
      <c r="CB49" s="48">
        <v>1795</v>
      </c>
      <c r="CC49" s="48"/>
      <c r="CD49" s="134" t="s">
        <v>0</v>
      </c>
      <c r="CE49" s="131"/>
      <c r="CF49" s="48">
        <v>4103</v>
      </c>
      <c r="CG49" s="48">
        <v>4356</v>
      </c>
      <c r="CH49" s="48">
        <v>4552</v>
      </c>
      <c r="CI49" s="48">
        <v>3276</v>
      </c>
      <c r="CJ49" s="48">
        <v>4118</v>
      </c>
      <c r="CL49" s="134" t="s">
        <v>0</v>
      </c>
      <c r="CM49" s="131"/>
      <c r="CN49" s="48">
        <v>3373</v>
      </c>
      <c r="CO49" s="48">
        <v>3094</v>
      </c>
      <c r="CP49" s="48">
        <v>3992</v>
      </c>
      <c r="CQ49" s="48">
        <v>2254</v>
      </c>
      <c r="CR49" s="48">
        <v>1942</v>
      </c>
      <c r="CT49" s="134" t="s">
        <v>0</v>
      </c>
      <c r="CU49" s="131"/>
      <c r="CV49" s="131">
        <v>3552</v>
      </c>
      <c r="CW49" s="48"/>
      <c r="CX49" s="48"/>
      <c r="CY49" s="48"/>
      <c r="CZ49" s="48"/>
      <c r="DB49" s="134" t="s">
        <v>0</v>
      </c>
      <c r="DC49" s="131"/>
      <c r="DD49" s="48">
        <v>2597</v>
      </c>
      <c r="DE49" s="48"/>
      <c r="DF49" s="48"/>
      <c r="DG49" s="48"/>
      <c r="DH49" s="48"/>
      <c r="DI49" s="48"/>
      <c r="DJ49" s="134" t="s">
        <v>0</v>
      </c>
      <c r="DK49" s="131"/>
      <c r="DL49" s="48">
        <v>2524</v>
      </c>
      <c r="DM49" s="48"/>
      <c r="DN49" s="48"/>
      <c r="DO49" s="48"/>
      <c r="DP49" s="48"/>
      <c r="DR49" s="134" t="s">
        <v>0</v>
      </c>
      <c r="DS49" s="131"/>
      <c r="DT49" s="48">
        <v>1648</v>
      </c>
      <c r="DU49" s="48"/>
      <c r="DV49" s="48"/>
      <c r="DW49" s="48"/>
      <c r="DX49" s="48"/>
      <c r="DZ49" s="134" t="s">
        <v>0</v>
      </c>
      <c r="EA49" s="131"/>
      <c r="EB49" s="48"/>
      <c r="EC49" s="48"/>
      <c r="ED49" s="48"/>
      <c r="EE49" s="48"/>
      <c r="EF49" s="48"/>
    </row>
    <row r="50" spans="1:136" x14ac:dyDescent="0.2">
      <c r="A50" s="292"/>
      <c r="B50" s="134" t="s">
        <v>1</v>
      </c>
      <c r="C50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0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33532</v>
      </c>
      <c r="E50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33896</v>
      </c>
      <c r="F50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34709</v>
      </c>
      <c r="G50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23839</v>
      </c>
      <c r="H50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24536</v>
      </c>
      <c r="I50" s="48"/>
      <c r="J50" s="134" t="s">
        <v>1</v>
      </c>
      <c r="K50" s="131"/>
      <c r="L50" s="131">
        <v>3611</v>
      </c>
      <c r="M50" s="48">
        <v>3157</v>
      </c>
      <c r="N50" s="48">
        <v>3813</v>
      </c>
      <c r="O50" s="48">
        <v>3095</v>
      </c>
      <c r="P50" s="48">
        <v>2913</v>
      </c>
      <c r="R50" s="134" t="s">
        <v>1</v>
      </c>
      <c r="S50" s="131"/>
      <c r="T50" s="48">
        <v>1593</v>
      </c>
      <c r="U50" s="48">
        <v>1483</v>
      </c>
      <c r="V50" s="48">
        <v>1482</v>
      </c>
      <c r="W50" s="48">
        <v>1413</v>
      </c>
      <c r="X50" s="48">
        <v>1537</v>
      </c>
      <c r="Z50" s="134" t="s">
        <v>1</v>
      </c>
      <c r="AA50" s="131"/>
      <c r="AB50" s="48">
        <v>1911</v>
      </c>
      <c r="AC50" s="48">
        <v>1928</v>
      </c>
      <c r="AD50" s="48">
        <v>1910</v>
      </c>
      <c r="AE50" s="48">
        <v>1914</v>
      </c>
      <c r="AF50" s="48">
        <v>1654</v>
      </c>
      <c r="AH50" s="134" t="s">
        <v>1</v>
      </c>
      <c r="AI50" s="131"/>
      <c r="AJ50" s="131">
        <v>2205</v>
      </c>
      <c r="AK50" s="48">
        <v>2702</v>
      </c>
      <c r="AL50" s="48">
        <v>2420</v>
      </c>
      <c r="AM50" s="48">
        <v>2146</v>
      </c>
      <c r="AN50" s="48">
        <v>2497</v>
      </c>
      <c r="AP50" s="134" t="s">
        <v>1</v>
      </c>
      <c r="AQ50" s="131"/>
      <c r="AR50" s="131">
        <v>4363</v>
      </c>
      <c r="AS50" s="48">
        <v>4759</v>
      </c>
      <c r="AT50" s="48">
        <v>5763</v>
      </c>
      <c r="AU50" s="48">
        <v>1056</v>
      </c>
      <c r="AV50" s="48"/>
      <c r="AX50" s="134" t="s">
        <v>1</v>
      </c>
      <c r="AY50" s="131"/>
      <c r="AZ50" s="48">
        <v>1472</v>
      </c>
      <c r="BA50" s="48">
        <v>1718</v>
      </c>
      <c r="BB50" s="48">
        <v>1653</v>
      </c>
      <c r="BC50" s="48">
        <v>422</v>
      </c>
      <c r="BD50" s="48"/>
      <c r="BE50" s="48"/>
      <c r="BF50" s="134" t="s">
        <v>1</v>
      </c>
      <c r="BG50" s="131"/>
      <c r="BH50" s="48">
        <v>2478</v>
      </c>
      <c r="BI50" s="48">
        <v>2685</v>
      </c>
      <c r="BJ50" s="48"/>
      <c r="BK50" s="48"/>
      <c r="BL50" s="48"/>
      <c r="BM50" s="48"/>
      <c r="BN50" s="134" t="s">
        <v>1</v>
      </c>
      <c r="BO50" s="131"/>
      <c r="BP50" s="48">
        <v>2678</v>
      </c>
      <c r="BQ50" s="48">
        <v>2748</v>
      </c>
      <c r="BR50" s="48">
        <v>3382</v>
      </c>
      <c r="BS50" s="48">
        <v>2553</v>
      </c>
      <c r="BT50" s="48">
        <v>2435</v>
      </c>
      <c r="BV50" s="134" t="s">
        <v>1</v>
      </c>
      <c r="BW50" s="131"/>
      <c r="BX50" s="48">
        <v>3264</v>
      </c>
      <c r="BY50" s="48">
        <v>3122</v>
      </c>
      <c r="BZ50" s="48">
        <v>3503</v>
      </c>
      <c r="CA50" s="48">
        <v>2983</v>
      </c>
      <c r="CB50" s="48">
        <v>3056</v>
      </c>
      <c r="CC50" s="48"/>
      <c r="CD50" s="134" t="s">
        <v>1</v>
      </c>
      <c r="CE50" s="131"/>
      <c r="CF50" s="48">
        <v>5667</v>
      </c>
      <c r="CG50" s="48">
        <v>5769</v>
      </c>
      <c r="CH50" s="48">
        <v>6417</v>
      </c>
      <c r="CI50" s="48">
        <v>4888</v>
      </c>
      <c r="CJ50" s="48">
        <v>7039</v>
      </c>
      <c r="CL50" s="134" t="s">
        <v>1</v>
      </c>
      <c r="CM50" s="131"/>
      <c r="CN50" s="48">
        <v>4290</v>
      </c>
      <c r="CO50" s="48">
        <v>3825</v>
      </c>
      <c r="CP50" s="48">
        <v>4366</v>
      </c>
      <c r="CQ50" s="48">
        <v>3369</v>
      </c>
      <c r="CR50" s="48">
        <v>3405</v>
      </c>
      <c r="CT50" s="134" t="s">
        <v>1</v>
      </c>
      <c r="CU50" s="131"/>
      <c r="CV50" s="131">
        <v>3869</v>
      </c>
      <c r="CW50" s="48"/>
      <c r="CX50" s="48"/>
      <c r="CY50" s="48"/>
      <c r="CZ50" s="48"/>
      <c r="DB50" s="134" t="s">
        <v>1</v>
      </c>
      <c r="DC50" s="131"/>
      <c r="DD50" s="48">
        <v>2884</v>
      </c>
      <c r="DE50" s="48"/>
      <c r="DF50" s="48"/>
      <c r="DG50" s="48"/>
      <c r="DH50" s="48"/>
      <c r="DI50" s="48"/>
      <c r="DJ50" s="134" t="s">
        <v>1</v>
      </c>
      <c r="DK50" s="131"/>
      <c r="DL50" s="48">
        <v>2683</v>
      </c>
      <c r="DM50" s="48"/>
      <c r="DN50" s="48"/>
      <c r="DO50" s="48"/>
      <c r="DP50" s="48"/>
      <c r="DR50" s="134" t="s">
        <v>1</v>
      </c>
      <c r="DS50" s="131"/>
      <c r="DT50" s="48">
        <v>1591</v>
      </c>
      <c r="DU50" s="48"/>
      <c r="DV50" s="48"/>
      <c r="DW50" s="48"/>
      <c r="DX50" s="48"/>
      <c r="DZ50" s="134" t="s">
        <v>1</v>
      </c>
      <c r="EA50" s="131"/>
      <c r="EB50" s="48"/>
      <c r="EC50" s="48"/>
      <c r="ED50" s="48"/>
      <c r="EE50" s="48"/>
      <c r="EF50" s="48"/>
    </row>
    <row r="51" spans="1:136" x14ac:dyDescent="0.2">
      <c r="A51" s="292"/>
      <c r="B51" s="134" t="s">
        <v>3</v>
      </c>
      <c r="C51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1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35210</v>
      </c>
      <c r="E51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36869</v>
      </c>
      <c r="F51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35614</v>
      </c>
      <c r="G51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22537</v>
      </c>
      <c r="H51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27798</v>
      </c>
      <c r="I51" s="48"/>
      <c r="J51" s="134" t="s">
        <v>3</v>
      </c>
      <c r="K51" s="131"/>
      <c r="L51" s="131">
        <v>3825</v>
      </c>
      <c r="M51" s="48">
        <v>3244</v>
      </c>
      <c r="N51" s="48">
        <v>3890</v>
      </c>
      <c r="O51" s="48">
        <v>2093</v>
      </c>
      <c r="P51" s="48">
        <v>3387</v>
      </c>
      <c r="R51" s="134" t="s">
        <v>3</v>
      </c>
      <c r="S51" s="131"/>
      <c r="T51" s="48">
        <v>1515</v>
      </c>
      <c r="U51" s="48">
        <v>1443</v>
      </c>
      <c r="V51" s="48">
        <v>1433</v>
      </c>
      <c r="W51" s="48">
        <v>989</v>
      </c>
      <c r="X51" s="48">
        <v>1604</v>
      </c>
      <c r="Z51" s="134" t="s">
        <v>3</v>
      </c>
      <c r="AA51" s="131"/>
      <c r="AB51" s="48">
        <v>1665</v>
      </c>
      <c r="AC51" s="48">
        <v>2301</v>
      </c>
      <c r="AD51" s="48">
        <v>1920</v>
      </c>
      <c r="AE51" s="48">
        <v>1341</v>
      </c>
      <c r="AF51" s="48">
        <v>1662</v>
      </c>
      <c r="AH51" s="134" t="s">
        <v>3</v>
      </c>
      <c r="AI51" s="131"/>
      <c r="AJ51" s="131">
        <v>2241</v>
      </c>
      <c r="AK51" s="48">
        <v>2949</v>
      </c>
      <c r="AL51" s="48">
        <v>2489</v>
      </c>
      <c r="AM51" s="48">
        <v>1688</v>
      </c>
      <c r="AN51" s="48">
        <v>2751</v>
      </c>
      <c r="AP51" s="134" t="s">
        <v>3</v>
      </c>
      <c r="AQ51" s="131"/>
      <c r="AR51" s="131">
        <v>4697</v>
      </c>
      <c r="AS51" s="48">
        <v>4986</v>
      </c>
      <c r="AT51" s="48">
        <v>5903</v>
      </c>
      <c r="AU51" s="48">
        <v>3052</v>
      </c>
      <c r="AV51" s="48"/>
      <c r="AX51" s="134" t="s">
        <v>3</v>
      </c>
      <c r="AY51" s="131"/>
      <c r="AZ51" s="48">
        <v>1720</v>
      </c>
      <c r="BA51" s="48">
        <v>1874</v>
      </c>
      <c r="BB51" s="48">
        <v>1843</v>
      </c>
      <c r="BC51" s="48">
        <v>1826</v>
      </c>
      <c r="BD51" s="48"/>
      <c r="BE51" s="48"/>
      <c r="BF51" s="134" t="s">
        <v>3</v>
      </c>
      <c r="BG51" s="131"/>
      <c r="BH51" s="48">
        <v>2953</v>
      </c>
      <c r="BI51" s="48">
        <v>2875</v>
      </c>
      <c r="BJ51" s="48"/>
      <c r="BK51" s="48"/>
      <c r="BL51" s="48"/>
      <c r="BM51" s="48"/>
      <c r="BN51" s="134" t="s">
        <v>3</v>
      </c>
      <c r="BO51" s="131"/>
      <c r="BP51" s="48">
        <v>2751</v>
      </c>
      <c r="BQ51" s="48">
        <v>2651</v>
      </c>
      <c r="BR51" s="48">
        <v>3072</v>
      </c>
      <c r="BS51" s="48">
        <v>1794</v>
      </c>
      <c r="BT51" s="48">
        <v>2893</v>
      </c>
      <c r="BV51" s="134" t="s">
        <v>3</v>
      </c>
      <c r="BW51" s="131"/>
      <c r="BX51" s="48">
        <v>3514</v>
      </c>
      <c r="BY51" s="48">
        <v>3333</v>
      </c>
      <c r="BZ51" s="48">
        <v>3855</v>
      </c>
      <c r="CA51" s="48">
        <v>2372</v>
      </c>
      <c r="CB51" s="48">
        <v>3657</v>
      </c>
      <c r="CC51" s="48"/>
      <c r="CD51" s="134" t="s">
        <v>3</v>
      </c>
      <c r="CE51" s="131"/>
      <c r="CF51" s="48">
        <v>6667</v>
      </c>
      <c r="CG51" s="48">
        <v>6693</v>
      </c>
      <c r="CH51" s="48">
        <v>6518</v>
      </c>
      <c r="CI51" s="48">
        <v>4618</v>
      </c>
      <c r="CJ51" s="48">
        <v>7651</v>
      </c>
      <c r="CL51" s="134" t="s">
        <v>3</v>
      </c>
      <c r="CM51" s="131"/>
      <c r="CN51" s="48">
        <v>3662</v>
      </c>
      <c r="CO51" s="48">
        <v>4520</v>
      </c>
      <c r="CP51" s="48">
        <v>4691</v>
      </c>
      <c r="CQ51" s="48">
        <v>2764</v>
      </c>
      <c r="CR51" s="48">
        <v>4193</v>
      </c>
      <c r="CT51" s="134" t="s">
        <v>3</v>
      </c>
      <c r="CU51" s="131"/>
      <c r="CV51" s="131">
        <v>4568</v>
      </c>
      <c r="CW51" s="48"/>
      <c r="CX51" s="48"/>
      <c r="CY51" s="48"/>
      <c r="CZ51" s="48"/>
      <c r="DB51" s="134" t="s">
        <v>3</v>
      </c>
      <c r="DC51" s="131"/>
      <c r="DD51" s="48">
        <v>3062</v>
      </c>
      <c r="DE51" s="48"/>
      <c r="DF51" s="48"/>
      <c r="DG51" s="48"/>
      <c r="DH51" s="48"/>
      <c r="DI51" s="48"/>
      <c r="DJ51" s="134" t="s">
        <v>3</v>
      </c>
      <c r="DK51" s="131"/>
      <c r="DL51" s="48">
        <v>2680</v>
      </c>
      <c r="DM51" s="48"/>
      <c r="DN51" s="48"/>
      <c r="DO51" s="48"/>
      <c r="DP51" s="48"/>
      <c r="DR51" s="134" t="s">
        <v>3</v>
      </c>
      <c r="DS51" s="131"/>
      <c r="DT51" s="48">
        <v>1694</v>
      </c>
      <c r="DU51" s="48"/>
      <c r="DV51" s="48"/>
      <c r="DW51" s="48"/>
      <c r="DX51" s="48"/>
      <c r="DZ51" s="134" t="s">
        <v>3</v>
      </c>
      <c r="EA51" s="131"/>
      <c r="EB51" s="48">
        <v>3052</v>
      </c>
      <c r="EC51" s="48"/>
      <c r="ED51" s="48"/>
      <c r="EE51" s="48"/>
      <c r="EF51" s="48"/>
    </row>
    <row r="52" spans="1:136" x14ac:dyDescent="0.2">
      <c r="A52" s="292"/>
      <c r="B52" s="134" t="s">
        <v>71</v>
      </c>
      <c r="C52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2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24458</v>
      </c>
      <c r="E52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29001</v>
      </c>
      <c r="F52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27264</v>
      </c>
      <c r="G52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20230</v>
      </c>
      <c r="H52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26522</v>
      </c>
      <c r="I52" s="48"/>
      <c r="J52" s="134" t="s">
        <v>71</v>
      </c>
      <c r="K52" s="131"/>
      <c r="L52" s="131">
        <v>2633</v>
      </c>
      <c r="M52" s="48">
        <v>2742</v>
      </c>
      <c r="N52" s="48">
        <v>3294</v>
      </c>
      <c r="O52" s="48">
        <v>2330</v>
      </c>
      <c r="P52" s="48">
        <v>3465</v>
      </c>
      <c r="R52" s="134" t="s">
        <v>71</v>
      </c>
      <c r="S52" s="131"/>
      <c r="T52" s="48">
        <v>1161</v>
      </c>
      <c r="U52" s="48">
        <v>1329</v>
      </c>
      <c r="V52" s="48">
        <v>1265</v>
      </c>
      <c r="W52" s="48">
        <v>758</v>
      </c>
      <c r="X52" s="48">
        <v>1474</v>
      </c>
      <c r="Z52" s="134" t="s">
        <v>71</v>
      </c>
      <c r="AA52" s="131"/>
      <c r="AB52" s="48">
        <v>1748</v>
      </c>
      <c r="AC52" s="48">
        <v>2460</v>
      </c>
      <c r="AD52" s="48">
        <v>2461</v>
      </c>
      <c r="AE52" s="48">
        <v>1703</v>
      </c>
      <c r="AF52" s="48">
        <v>2604</v>
      </c>
      <c r="AH52" s="134" t="s">
        <v>71</v>
      </c>
      <c r="AI52" s="131"/>
      <c r="AJ52" s="131">
        <v>1786</v>
      </c>
      <c r="AK52" s="48">
        <v>2491</v>
      </c>
      <c r="AL52" s="48">
        <v>2149</v>
      </c>
      <c r="AM52" s="48">
        <v>1754</v>
      </c>
      <c r="AN52" s="48">
        <v>3249</v>
      </c>
      <c r="AP52" s="134" t="s">
        <v>71</v>
      </c>
      <c r="AQ52" s="131"/>
      <c r="AR52" s="131">
        <v>3082</v>
      </c>
      <c r="AS52" s="48">
        <v>4020</v>
      </c>
      <c r="AT52" s="48">
        <v>4303</v>
      </c>
      <c r="AU52" s="48">
        <v>2301</v>
      </c>
      <c r="AV52" s="48"/>
      <c r="AX52" s="134" t="s">
        <v>71</v>
      </c>
      <c r="AY52" s="131"/>
      <c r="AZ52" s="48">
        <v>1052</v>
      </c>
      <c r="BA52" s="48">
        <v>1458</v>
      </c>
      <c r="BB52" s="48">
        <v>1371</v>
      </c>
      <c r="BC52" s="48">
        <v>1797</v>
      </c>
      <c r="BD52" s="48"/>
      <c r="BE52" s="48"/>
      <c r="BF52" s="134" t="s">
        <v>71</v>
      </c>
      <c r="BG52" s="131"/>
      <c r="BH52" s="48">
        <v>1641</v>
      </c>
      <c r="BI52" s="48">
        <v>1743</v>
      </c>
      <c r="BJ52" s="48"/>
      <c r="BK52" s="48"/>
      <c r="BL52" s="48"/>
      <c r="BM52" s="48"/>
      <c r="BN52" s="134" t="s">
        <v>71</v>
      </c>
      <c r="BO52" s="131"/>
      <c r="BP52" s="48">
        <v>3400</v>
      </c>
      <c r="BQ52" s="48">
        <v>3662</v>
      </c>
      <c r="BR52" s="48">
        <v>4160</v>
      </c>
      <c r="BS52" s="48">
        <v>3238</v>
      </c>
      <c r="BT52" s="48">
        <v>5578</v>
      </c>
      <c r="BV52" s="134" t="s">
        <v>71</v>
      </c>
      <c r="BW52" s="131"/>
      <c r="BX52" s="48">
        <v>2000</v>
      </c>
      <c r="BY52" s="48">
        <v>2069</v>
      </c>
      <c r="BZ52" s="48">
        <v>2027</v>
      </c>
      <c r="CA52" s="48">
        <v>1417</v>
      </c>
      <c r="CB52" s="48">
        <v>2400</v>
      </c>
      <c r="CC52" s="48"/>
      <c r="CD52" s="134" t="s">
        <v>71</v>
      </c>
      <c r="CE52" s="131"/>
      <c r="CF52" s="48">
        <v>3586</v>
      </c>
      <c r="CG52" s="48">
        <v>4084</v>
      </c>
      <c r="CH52" s="48">
        <v>3278</v>
      </c>
      <c r="CI52" s="48">
        <v>2827</v>
      </c>
      <c r="CJ52" s="48">
        <v>4646</v>
      </c>
      <c r="CL52" s="134" t="s">
        <v>71</v>
      </c>
      <c r="CM52" s="131"/>
      <c r="CN52" s="48">
        <v>2369</v>
      </c>
      <c r="CO52" s="48">
        <v>2943</v>
      </c>
      <c r="CP52" s="48">
        <v>2956</v>
      </c>
      <c r="CQ52" s="48">
        <v>2105</v>
      </c>
      <c r="CR52" s="48">
        <v>3106</v>
      </c>
      <c r="CT52" s="134" t="s">
        <v>71</v>
      </c>
      <c r="CU52" s="131"/>
      <c r="CV52" s="131">
        <v>3812</v>
      </c>
      <c r="CW52" s="48"/>
      <c r="CX52" s="48"/>
      <c r="CY52" s="48"/>
      <c r="CZ52" s="48"/>
      <c r="DB52" s="134" t="s">
        <v>71</v>
      </c>
      <c r="DC52" s="131"/>
      <c r="DD52" s="48">
        <v>2329</v>
      </c>
      <c r="DE52" s="48"/>
      <c r="DF52" s="48"/>
      <c r="DG52" s="48"/>
      <c r="DH52" s="48"/>
      <c r="DI52" s="48"/>
      <c r="DJ52" s="134" t="s">
        <v>71</v>
      </c>
      <c r="DK52" s="131"/>
      <c r="DL52" s="48">
        <v>2478</v>
      </c>
      <c r="DM52" s="48"/>
      <c r="DN52" s="48"/>
      <c r="DO52" s="48"/>
      <c r="DP52" s="48"/>
      <c r="DR52" s="134" t="s">
        <v>71</v>
      </c>
      <c r="DS52" s="131"/>
      <c r="DT52" s="48">
        <v>1586</v>
      </c>
      <c r="DU52" s="48"/>
      <c r="DV52" s="48"/>
      <c r="DW52" s="48"/>
      <c r="DX52" s="48"/>
      <c r="DZ52" s="134" t="s">
        <v>71</v>
      </c>
      <c r="EA52" s="131"/>
      <c r="EB52" s="48">
        <v>1836</v>
      </c>
      <c r="EC52" s="48"/>
      <c r="ED52" s="48"/>
      <c r="EE52" s="48"/>
      <c r="EF52" s="48"/>
    </row>
    <row r="53" spans="1:136" x14ac:dyDescent="0.2">
      <c r="A53" s="292"/>
      <c r="B53" s="134" t="s">
        <v>12</v>
      </c>
      <c r="C53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3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26745</v>
      </c>
      <c r="E53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27991</v>
      </c>
      <c r="F53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29415</v>
      </c>
      <c r="G53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24198</v>
      </c>
      <c r="H53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25128</v>
      </c>
      <c r="I53" s="48"/>
      <c r="J53" s="134" t="s">
        <v>12</v>
      </c>
      <c r="K53" s="131"/>
      <c r="L53" s="131">
        <v>2867</v>
      </c>
      <c r="M53" s="48">
        <v>2525</v>
      </c>
      <c r="N53" s="48">
        <v>3883</v>
      </c>
      <c r="O53" s="48">
        <v>2678</v>
      </c>
      <c r="P53" s="48">
        <v>3648</v>
      </c>
      <c r="R53" s="134" t="s">
        <v>12</v>
      </c>
      <c r="S53" s="131"/>
      <c r="T53" s="48">
        <v>1297</v>
      </c>
      <c r="U53" s="48">
        <v>1187</v>
      </c>
      <c r="V53" s="48">
        <v>1371</v>
      </c>
      <c r="W53" s="48">
        <v>1054</v>
      </c>
      <c r="X53" s="48">
        <v>1788</v>
      </c>
      <c r="Z53" s="134" t="s">
        <v>12</v>
      </c>
      <c r="AA53" s="131"/>
      <c r="AB53" s="48">
        <v>2085</v>
      </c>
      <c r="AC53" s="48">
        <v>2197</v>
      </c>
      <c r="AD53" s="48">
        <v>2907</v>
      </c>
      <c r="AE53" s="48">
        <v>2361</v>
      </c>
      <c r="AF53" s="48">
        <v>2411</v>
      </c>
      <c r="AH53" s="134" t="s">
        <v>12</v>
      </c>
      <c r="AI53" s="131"/>
      <c r="AJ53" s="131">
        <v>2028</v>
      </c>
      <c r="AK53" s="48">
        <v>2469</v>
      </c>
      <c r="AL53" s="48">
        <v>2487</v>
      </c>
      <c r="AM53" s="48">
        <v>2124</v>
      </c>
      <c r="AN53" s="48">
        <v>3549</v>
      </c>
      <c r="AP53" s="134" t="s">
        <v>12</v>
      </c>
      <c r="AQ53" s="131"/>
      <c r="AR53" s="131">
        <v>3841</v>
      </c>
      <c r="AS53" s="48">
        <v>4054</v>
      </c>
      <c r="AT53" s="48">
        <v>5171</v>
      </c>
      <c r="AU53" s="48">
        <v>3230</v>
      </c>
      <c r="AV53" s="48"/>
      <c r="AX53" s="134" t="s">
        <v>12</v>
      </c>
      <c r="AY53" s="131"/>
      <c r="AZ53" s="48">
        <v>1226</v>
      </c>
      <c r="BA53" s="48">
        <v>1325</v>
      </c>
      <c r="BB53" s="48">
        <v>1547</v>
      </c>
      <c r="BC53" s="48">
        <v>1477</v>
      </c>
      <c r="BD53" s="48"/>
      <c r="BE53" s="48"/>
      <c r="BF53" s="134" t="s">
        <v>12</v>
      </c>
      <c r="BG53" s="131"/>
      <c r="BH53" s="48">
        <v>1800</v>
      </c>
      <c r="BI53" s="48">
        <v>1762</v>
      </c>
      <c r="BJ53" s="48"/>
      <c r="BK53" s="48"/>
      <c r="BL53" s="48"/>
      <c r="BM53" s="48"/>
      <c r="BN53" s="134" t="s">
        <v>12</v>
      </c>
      <c r="BO53" s="131"/>
      <c r="BP53" s="48">
        <v>2943</v>
      </c>
      <c r="BQ53" s="48">
        <v>3268</v>
      </c>
      <c r="BR53" s="48">
        <v>3913</v>
      </c>
      <c r="BS53" s="48">
        <v>3773</v>
      </c>
      <c r="BT53" s="48">
        <v>3888</v>
      </c>
      <c r="BV53" s="134" t="s">
        <v>12</v>
      </c>
      <c r="BW53" s="131"/>
      <c r="BX53" s="48">
        <v>2207</v>
      </c>
      <c r="BY53" s="48">
        <v>1948</v>
      </c>
      <c r="BZ53" s="48">
        <v>2077</v>
      </c>
      <c r="CA53" s="48">
        <v>1853</v>
      </c>
      <c r="CB53" s="48">
        <v>2525</v>
      </c>
      <c r="CC53" s="48"/>
      <c r="CD53" s="134" t="s">
        <v>12</v>
      </c>
      <c r="CE53" s="131"/>
      <c r="CF53" s="48">
        <v>3989</v>
      </c>
      <c r="CG53" s="48">
        <v>3965</v>
      </c>
      <c r="CH53" s="48">
        <v>3308</v>
      </c>
      <c r="CI53" s="48">
        <v>3186</v>
      </c>
      <c r="CJ53" s="48">
        <v>3887</v>
      </c>
      <c r="CL53" s="134" t="s">
        <v>12</v>
      </c>
      <c r="CM53" s="131"/>
      <c r="CN53" s="48">
        <v>2462</v>
      </c>
      <c r="CO53" s="48">
        <v>3291</v>
      </c>
      <c r="CP53" s="48">
        <v>2751</v>
      </c>
      <c r="CQ53" s="48">
        <v>2462</v>
      </c>
      <c r="CR53" s="48">
        <v>3432</v>
      </c>
      <c r="CT53" s="134" t="s">
        <v>12</v>
      </c>
      <c r="CU53" s="131"/>
      <c r="CV53" s="131">
        <v>3990</v>
      </c>
      <c r="CW53" s="48"/>
      <c r="CX53" s="48"/>
      <c r="CY53" s="48"/>
      <c r="CZ53" s="48"/>
      <c r="DB53" s="134" t="s">
        <v>12</v>
      </c>
      <c r="DC53" s="131"/>
      <c r="DD53" s="48">
        <v>2578</v>
      </c>
      <c r="DE53" s="48"/>
      <c r="DF53" s="48"/>
      <c r="DG53" s="48"/>
      <c r="DH53" s="48"/>
      <c r="DI53" s="48"/>
      <c r="DJ53" s="134" t="s">
        <v>12</v>
      </c>
      <c r="DK53" s="131"/>
      <c r="DL53" s="48">
        <v>2714</v>
      </c>
      <c r="DM53" s="48"/>
      <c r="DN53" s="48"/>
      <c r="DO53" s="48"/>
      <c r="DP53" s="48"/>
      <c r="DR53" s="134" t="s">
        <v>12</v>
      </c>
      <c r="DS53" s="131"/>
      <c r="DT53" s="48">
        <v>1505</v>
      </c>
      <c r="DU53" s="48"/>
      <c r="DV53" s="48"/>
      <c r="DW53" s="48"/>
      <c r="DX53" s="48"/>
      <c r="DZ53" s="134" t="s">
        <v>12</v>
      </c>
      <c r="EA53" s="131"/>
      <c r="EB53" s="48">
        <v>2305</v>
      </c>
      <c r="EC53" s="48"/>
      <c r="ED53" s="48"/>
      <c r="EE53" s="48"/>
      <c r="EF53" s="48"/>
    </row>
    <row r="54" spans="1:136" x14ac:dyDescent="0.2">
      <c r="A54" s="292"/>
      <c r="B54" s="134" t="s">
        <v>13</v>
      </c>
      <c r="C54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4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24321</v>
      </c>
      <c r="E54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26997</v>
      </c>
      <c r="F54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26626</v>
      </c>
      <c r="G54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26488</v>
      </c>
      <c r="H54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267</v>
      </c>
      <c r="I54" s="48"/>
      <c r="J54" s="134" t="s">
        <v>13</v>
      </c>
      <c r="K54" s="131"/>
      <c r="L54" s="131">
        <v>2502</v>
      </c>
      <c r="M54" s="48">
        <v>2611</v>
      </c>
      <c r="N54" s="48">
        <v>3301</v>
      </c>
      <c r="O54" s="48">
        <v>3083</v>
      </c>
      <c r="P54" s="48">
        <v>14</v>
      </c>
      <c r="R54" s="134" t="s">
        <v>13</v>
      </c>
      <c r="S54" s="131"/>
      <c r="T54" s="48">
        <v>1059</v>
      </c>
      <c r="U54" s="48">
        <v>1228</v>
      </c>
      <c r="V54" s="48">
        <v>1161</v>
      </c>
      <c r="W54" s="48">
        <v>1264</v>
      </c>
      <c r="X54" s="48">
        <v>38</v>
      </c>
      <c r="Z54" s="134" t="s">
        <v>13</v>
      </c>
      <c r="AA54" s="131"/>
      <c r="AB54" s="48">
        <v>2010</v>
      </c>
      <c r="AC54" s="48">
        <v>2388</v>
      </c>
      <c r="AD54" s="48">
        <v>2848</v>
      </c>
      <c r="AE54" s="48">
        <v>2348</v>
      </c>
      <c r="AF54" s="48">
        <v>42</v>
      </c>
      <c r="AH54" s="134" t="s">
        <v>13</v>
      </c>
      <c r="AI54" s="131"/>
      <c r="AJ54" s="131">
        <v>1847</v>
      </c>
      <c r="AK54" s="48">
        <v>2115</v>
      </c>
      <c r="AL54" s="48">
        <v>2016</v>
      </c>
      <c r="AM54" s="48">
        <v>2320</v>
      </c>
      <c r="AN54" s="48">
        <v>16</v>
      </c>
      <c r="AP54" s="134" t="s">
        <v>13</v>
      </c>
      <c r="AQ54" s="131"/>
      <c r="AR54" s="131">
        <v>3628</v>
      </c>
      <c r="AS54" s="48">
        <v>3901</v>
      </c>
      <c r="AT54" s="48">
        <v>4490</v>
      </c>
      <c r="AU54" s="48">
        <v>4220</v>
      </c>
      <c r="AV54" s="48"/>
      <c r="AX54" s="134" t="s">
        <v>13</v>
      </c>
      <c r="AY54" s="131"/>
      <c r="AZ54" s="48">
        <v>1025</v>
      </c>
      <c r="BA54" s="48">
        <v>1158</v>
      </c>
      <c r="BB54" s="48">
        <v>1518</v>
      </c>
      <c r="BC54" s="48">
        <v>1438</v>
      </c>
      <c r="BD54" s="48"/>
      <c r="BE54" s="48"/>
      <c r="BF54" s="134" t="s">
        <v>13</v>
      </c>
      <c r="BG54" s="131"/>
      <c r="BH54" s="48">
        <v>1613</v>
      </c>
      <c r="BI54" s="48">
        <v>1630</v>
      </c>
      <c r="BJ54" s="48"/>
      <c r="BK54" s="48"/>
      <c r="BL54" s="48"/>
      <c r="BM54" s="48"/>
      <c r="BN54" s="134" t="s">
        <v>13</v>
      </c>
      <c r="BO54" s="131"/>
      <c r="BP54" s="48">
        <v>2977</v>
      </c>
      <c r="BQ54" s="48">
        <v>3656</v>
      </c>
      <c r="BR54" s="48">
        <v>3260</v>
      </c>
      <c r="BS54" s="48">
        <v>4726</v>
      </c>
      <c r="BT54" s="48">
        <v>23</v>
      </c>
      <c r="BV54" s="134" t="s">
        <v>13</v>
      </c>
      <c r="BW54" s="131"/>
      <c r="BX54" s="48">
        <v>1851</v>
      </c>
      <c r="BY54" s="48">
        <v>1702</v>
      </c>
      <c r="BZ54" s="48">
        <v>1788</v>
      </c>
      <c r="CA54" s="48">
        <v>1753</v>
      </c>
      <c r="CB54" s="48">
        <v>14</v>
      </c>
      <c r="CC54" s="48"/>
      <c r="CD54" s="134" t="s">
        <v>13</v>
      </c>
      <c r="CE54" s="131"/>
      <c r="CF54" s="48">
        <v>3519</v>
      </c>
      <c r="CG54" s="48">
        <v>3470</v>
      </c>
      <c r="CH54" s="48">
        <v>3437</v>
      </c>
      <c r="CI54" s="48">
        <v>2687</v>
      </c>
      <c r="CJ54" s="48">
        <v>19</v>
      </c>
      <c r="CL54" s="134" t="s">
        <v>13</v>
      </c>
      <c r="CM54" s="131"/>
      <c r="CN54" s="48">
        <v>2290</v>
      </c>
      <c r="CO54" s="48">
        <v>3138</v>
      </c>
      <c r="CP54" s="48">
        <v>2807</v>
      </c>
      <c r="CQ54" s="48">
        <v>2649</v>
      </c>
      <c r="CR54" s="48">
        <v>101</v>
      </c>
      <c r="CT54" s="134" t="s">
        <v>13</v>
      </c>
      <c r="CU54" s="131"/>
      <c r="CV54" s="131">
        <v>3532</v>
      </c>
      <c r="CW54" s="48"/>
      <c r="CX54" s="48"/>
      <c r="CY54" s="48"/>
      <c r="CZ54" s="48"/>
      <c r="DB54" s="134" t="s">
        <v>13</v>
      </c>
      <c r="DC54" s="131"/>
      <c r="DD54" s="48">
        <v>2483</v>
      </c>
      <c r="DE54" s="48"/>
      <c r="DF54" s="48"/>
      <c r="DG54" s="48"/>
      <c r="DH54" s="48"/>
      <c r="DI54" s="48"/>
      <c r="DJ54" s="134" t="s">
        <v>13</v>
      </c>
      <c r="DK54" s="131"/>
      <c r="DL54" s="48">
        <v>2456</v>
      </c>
      <c r="DM54" s="48"/>
      <c r="DN54" s="48"/>
      <c r="DO54" s="48"/>
      <c r="DP54" s="48"/>
      <c r="DR54" s="134" t="s">
        <v>13</v>
      </c>
      <c r="DS54" s="131"/>
      <c r="DT54" s="48">
        <v>1414</v>
      </c>
      <c r="DU54" s="48"/>
      <c r="DV54" s="48"/>
      <c r="DW54" s="48"/>
      <c r="DX54" s="48"/>
      <c r="DZ54" s="134" t="s">
        <v>13</v>
      </c>
      <c r="EA54" s="131"/>
      <c r="EB54" s="48">
        <v>2041</v>
      </c>
      <c r="EC54" s="48"/>
      <c r="ED54" s="48"/>
      <c r="EE54" s="48"/>
      <c r="EF54" s="48"/>
    </row>
    <row r="55" spans="1:136" x14ac:dyDescent="0.2">
      <c r="A55" s="292"/>
      <c r="B55" s="134" t="s">
        <v>15</v>
      </c>
      <c r="C55" s="131" t="str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5" s="4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>24305</v>
      </c>
      <c r="E55" s="4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>26007</v>
      </c>
      <c r="F55" s="4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>25430</v>
      </c>
      <c r="G55" s="4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>22727</v>
      </c>
      <c r="H55" s="4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>293</v>
      </c>
      <c r="I55" s="48"/>
      <c r="J55" s="134" t="s">
        <v>15</v>
      </c>
      <c r="K55" s="131"/>
      <c r="L55" s="131">
        <v>2527</v>
      </c>
      <c r="M55" s="48">
        <v>2842</v>
      </c>
      <c r="N55" s="48">
        <v>3282</v>
      </c>
      <c r="O55" s="48">
        <v>2760</v>
      </c>
      <c r="P55" s="48">
        <v>18</v>
      </c>
      <c r="R55" s="134" t="s">
        <v>15</v>
      </c>
      <c r="S55" s="131"/>
      <c r="T55" s="48">
        <v>1012</v>
      </c>
      <c r="U55" s="48">
        <v>1108</v>
      </c>
      <c r="V55" s="48">
        <v>1301</v>
      </c>
      <c r="W55" s="48">
        <v>1168</v>
      </c>
      <c r="X55" s="48">
        <v>33</v>
      </c>
      <c r="Z55" s="134" t="s">
        <v>15</v>
      </c>
      <c r="AA55" s="131"/>
      <c r="AB55" s="48">
        <v>1757</v>
      </c>
      <c r="AC55" s="48">
        <v>1867</v>
      </c>
      <c r="AD55" s="48">
        <v>2031</v>
      </c>
      <c r="AE55" s="48">
        <v>1587</v>
      </c>
      <c r="AF55" s="48">
        <v>31</v>
      </c>
      <c r="AH55" s="134" t="s">
        <v>15</v>
      </c>
      <c r="AI55" s="131"/>
      <c r="AJ55" s="131">
        <v>1595</v>
      </c>
      <c r="AK55" s="48">
        <v>2015</v>
      </c>
      <c r="AL55" s="48">
        <v>2066</v>
      </c>
      <c r="AM55" s="48">
        <v>1914</v>
      </c>
      <c r="AN55" s="48">
        <v>72</v>
      </c>
      <c r="AP55" s="134" t="s">
        <v>15</v>
      </c>
      <c r="AQ55" s="131"/>
      <c r="AR55" s="131">
        <v>4045</v>
      </c>
      <c r="AS55" s="48">
        <v>4266</v>
      </c>
      <c r="AT55" s="48">
        <v>5068</v>
      </c>
      <c r="AU55" s="48">
        <v>3941</v>
      </c>
      <c r="AV55" s="48"/>
      <c r="AX55" s="134" t="s">
        <v>15</v>
      </c>
      <c r="AY55" s="131"/>
      <c r="AZ55" s="48">
        <v>1033</v>
      </c>
      <c r="BA55" s="48">
        <v>1242</v>
      </c>
      <c r="BB55" s="48">
        <v>1266</v>
      </c>
      <c r="BC55" s="48">
        <v>1223</v>
      </c>
      <c r="BD55" s="48"/>
      <c r="BE55" s="48"/>
      <c r="BF55" s="134" t="s">
        <v>15</v>
      </c>
      <c r="BG55" s="131"/>
      <c r="BH55" s="48">
        <v>1629</v>
      </c>
      <c r="BI55" s="48">
        <v>1549</v>
      </c>
      <c r="BJ55" s="48"/>
      <c r="BK55" s="48"/>
      <c r="BL55" s="48"/>
      <c r="BM55" s="48"/>
      <c r="BN55" s="134" t="s">
        <v>15</v>
      </c>
      <c r="BO55" s="131"/>
      <c r="BP55" s="48">
        <v>3251</v>
      </c>
      <c r="BQ55" s="48">
        <v>3033</v>
      </c>
      <c r="BR55" s="48">
        <v>2889</v>
      </c>
      <c r="BS55" s="48">
        <v>3508</v>
      </c>
      <c r="BT55" s="48">
        <v>16</v>
      </c>
      <c r="BV55" s="134" t="s">
        <v>15</v>
      </c>
      <c r="BW55" s="131"/>
      <c r="BX55" s="48">
        <v>1566</v>
      </c>
      <c r="BY55" s="48">
        <v>1721</v>
      </c>
      <c r="BZ55" s="48">
        <v>1563</v>
      </c>
      <c r="CA55" s="48">
        <v>1412</v>
      </c>
      <c r="CB55" s="48">
        <v>4</v>
      </c>
      <c r="CC55" s="48"/>
      <c r="CD55" s="134" t="s">
        <v>15</v>
      </c>
      <c r="CE55" s="131"/>
      <c r="CF55" s="48">
        <v>3345</v>
      </c>
      <c r="CG55" s="48">
        <v>3474</v>
      </c>
      <c r="CH55" s="48">
        <v>3076</v>
      </c>
      <c r="CI55" s="48">
        <v>2753</v>
      </c>
      <c r="CJ55" s="48">
        <v>37</v>
      </c>
      <c r="CL55" s="134" t="s">
        <v>15</v>
      </c>
      <c r="CM55" s="131"/>
      <c r="CN55" s="48">
        <v>2545</v>
      </c>
      <c r="CO55" s="48">
        <v>2890</v>
      </c>
      <c r="CP55" s="48">
        <v>2888</v>
      </c>
      <c r="CQ55" s="48">
        <v>2461</v>
      </c>
      <c r="CR55" s="48">
        <v>82</v>
      </c>
      <c r="CT55" s="134" t="s">
        <v>15</v>
      </c>
      <c r="CU55" s="131"/>
      <c r="CV55" s="131">
        <v>3347</v>
      </c>
      <c r="CW55" s="48"/>
      <c r="CX55" s="48"/>
      <c r="CY55" s="48"/>
      <c r="CZ55" s="48"/>
      <c r="DB55" s="134" t="s">
        <v>15</v>
      </c>
      <c r="DC55" s="131"/>
      <c r="DD55" s="48">
        <v>2644</v>
      </c>
      <c r="DE55" s="48"/>
      <c r="DF55" s="48"/>
      <c r="DG55" s="48"/>
      <c r="DH55" s="48"/>
      <c r="DI55" s="48"/>
      <c r="DJ55" s="134" t="s">
        <v>15</v>
      </c>
      <c r="DK55" s="131"/>
      <c r="DL55" s="48">
        <v>2722</v>
      </c>
      <c r="DM55" s="48"/>
      <c r="DN55" s="48"/>
      <c r="DO55" s="48"/>
      <c r="DP55" s="48"/>
      <c r="DR55" s="134" t="s">
        <v>15</v>
      </c>
      <c r="DS55" s="131"/>
      <c r="DT55" s="48">
        <v>1281</v>
      </c>
      <c r="DU55" s="48"/>
      <c r="DV55" s="48"/>
      <c r="DW55" s="48"/>
      <c r="DX55" s="48"/>
      <c r="DZ55" s="134" t="s">
        <v>15</v>
      </c>
      <c r="EA55" s="131"/>
      <c r="EB55" s="48">
        <v>1986</v>
      </c>
      <c r="EC55" s="48"/>
      <c r="ED55" s="48"/>
      <c r="EE55" s="48"/>
      <c r="EF55" s="48"/>
    </row>
    <row r="57" spans="1:136" ht="15.75" x14ac:dyDescent="0.2">
      <c r="B57" s="45" t="s">
        <v>131</v>
      </c>
      <c r="J57" s="45" t="s">
        <v>2999</v>
      </c>
      <c r="R57" s="45" t="s">
        <v>3001</v>
      </c>
      <c r="Z57" s="45" t="s">
        <v>210</v>
      </c>
      <c r="AH57" s="45" t="s">
        <v>3003</v>
      </c>
      <c r="AP57" s="45" t="s">
        <v>2156</v>
      </c>
      <c r="AX57" s="45" t="s">
        <v>3000</v>
      </c>
      <c r="BF57" s="45" t="s">
        <v>3002</v>
      </c>
      <c r="BN57" s="45" t="s">
        <v>297</v>
      </c>
      <c r="BV57" s="45" t="s">
        <v>296</v>
      </c>
      <c r="CD57" s="45" t="s">
        <v>292</v>
      </c>
      <c r="CL57" s="45" t="s">
        <v>294</v>
      </c>
      <c r="CT57" s="45" t="s">
        <v>6963</v>
      </c>
      <c r="DB57" s="45" t="s">
        <v>6964</v>
      </c>
      <c r="DJ57" s="45" t="s">
        <v>6966</v>
      </c>
      <c r="DR57" s="45" t="s">
        <v>6965</v>
      </c>
      <c r="DZ57" s="45" t="s">
        <v>7094</v>
      </c>
    </row>
    <row r="59" spans="1:136" s="188" customFormat="1" ht="18.600000000000001" customHeight="1" x14ac:dyDescent="0.2">
      <c r="A59" s="292" t="s">
        <v>179</v>
      </c>
      <c r="B59" s="186" t="s">
        <v>106</v>
      </c>
      <c r="C59" s="187" t="s">
        <v>6962</v>
      </c>
      <c r="D59" s="187" t="s">
        <v>2169</v>
      </c>
      <c r="E59" s="187" t="s">
        <v>1553</v>
      </c>
      <c r="F59" s="187" t="s">
        <v>1522</v>
      </c>
      <c r="G59" s="187" t="s">
        <v>1304</v>
      </c>
      <c r="H59" s="187" t="s">
        <v>209</v>
      </c>
      <c r="I59" s="187"/>
      <c r="J59" s="186" t="s">
        <v>106</v>
      </c>
      <c r="K59" s="186" t="s">
        <v>7114</v>
      </c>
      <c r="L59" s="186" t="s">
        <v>6962</v>
      </c>
      <c r="M59" s="186" t="s">
        <v>2169</v>
      </c>
      <c r="N59" s="186" t="s">
        <v>1553</v>
      </c>
      <c r="O59" s="186" t="s">
        <v>1522</v>
      </c>
      <c r="P59" s="186" t="s">
        <v>1304</v>
      </c>
      <c r="R59" s="186" t="s">
        <v>106</v>
      </c>
      <c r="S59" s="186" t="s">
        <v>7114</v>
      </c>
      <c r="T59" s="186" t="s">
        <v>6962</v>
      </c>
      <c r="U59" s="186" t="s">
        <v>2169</v>
      </c>
      <c r="V59" s="186" t="s">
        <v>1553</v>
      </c>
      <c r="W59" s="186" t="s">
        <v>1522</v>
      </c>
      <c r="X59" s="186" t="s">
        <v>1304</v>
      </c>
      <c r="Z59" s="186" t="s">
        <v>106</v>
      </c>
      <c r="AA59" s="186" t="s">
        <v>7114</v>
      </c>
      <c r="AB59" s="186" t="s">
        <v>6962</v>
      </c>
      <c r="AC59" s="186" t="s">
        <v>2169</v>
      </c>
      <c r="AD59" s="186" t="s">
        <v>1553</v>
      </c>
      <c r="AE59" s="186" t="s">
        <v>1522</v>
      </c>
      <c r="AF59" s="186" t="s">
        <v>1304</v>
      </c>
      <c r="AH59" s="186" t="s">
        <v>106</v>
      </c>
      <c r="AI59" s="186" t="s">
        <v>7114</v>
      </c>
      <c r="AJ59" s="186" t="s">
        <v>6962</v>
      </c>
      <c r="AK59" s="186" t="s">
        <v>2169</v>
      </c>
      <c r="AL59" s="186" t="s">
        <v>1553</v>
      </c>
      <c r="AM59" s="186" t="s">
        <v>1522</v>
      </c>
      <c r="AN59" s="186" t="s">
        <v>1304</v>
      </c>
      <c r="AP59" s="186" t="s">
        <v>106</v>
      </c>
      <c r="AQ59" s="186" t="s">
        <v>7114</v>
      </c>
      <c r="AR59" s="186" t="s">
        <v>6962</v>
      </c>
      <c r="AS59" s="186" t="s">
        <v>2169</v>
      </c>
      <c r="AT59" s="186" t="s">
        <v>1553</v>
      </c>
      <c r="AU59" s="186" t="s">
        <v>1522</v>
      </c>
      <c r="AV59" s="186" t="s">
        <v>1304</v>
      </c>
      <c r="AX59" s="186" t="s">
        <v>106</v>
      </c>
      <c r="AY59" s="186" t="s">
        <v>7114</v>
      </c>
      <c r="AZ59" s="186" t="s">
        <v>6962</v>
      </c>
      <c r="BA59" s="186" t="s">
        <v>2169</v>
      </c>
      <c r="BB59" s="186" t="s">
        <v>1553</v>
      </c>
      <c r="BC59" s="186" t="s">
        <v>1522</v>
      </c>
      <c r="BD59" s="186" t="s">
        <v>1304</v>
      </c>
      <c r="BE59" s="187"/>
      <c r="BF59" s="186" t="s">
        <v>106</v>
      </c>
      <c r="BG59" s="186" t="s">
        <v>7114</v>
      </c>
      <c r="BH59" s="186" t="s">
        <v>6962</v>
      </c>
      <c r="BI59" s="186" t="s">
        <v>2169</v>
      </c>
      <c r="BJ59" s="186" t="s">
        <v>1553</v>
      </c>
      <c r="BK59" s="186" t="s">
        <v>1522</v>
      </c>
      <c r="BL59" s="186" t="s">
        <v>1304</v>
      </c>
      <c r="BM59" s="186"/>
      <c r="BN59" s="186" t="s">
        <v>106</v>
      </c>
      <c r="BO59" s="187" t="s">
        <v>7114</v>
      </c>
      <c r="BP59" s="187" t="s">
        <v>6962</v>
      </c>
      <c r="BQ59" s="187" t="s">
        <v>2169</v>
      </c>
      <c r="BR59" s="187" t="s">
        <v>1553</v>
      </c>
      <c r="BS59" s="187" t="s">
        <v>1522</v>
      </c>
      <c r="BT59" s="187" t="s">
        <v>1304</v>
      </c>
      <c r="BV59" s="186" t="s">
        <v>106</v>
      </c>
      <c r="BW59" s="187" t="s">
        <v>7114</v>
      </c>
      <c r="BX59" s="187" t="s">
        <v>6962</v>
      </c>
      <c r="BY59" s="187" t="s">
        <v>2169</v>
      </c>
      <c r="BZ59" s="187" t="s">
        <v>1553</v>
      </c>
      <c r="CA59" s="187" t="s">
        <v>1522</v>
      </c>
      <c r="CB59" s="187" t="s">
        <v>1304</v>
      </c>
      <c r="CC59" s="187"/>
      <c r="CD59" s="186" t="s">
        <v>106</v>
      </c>
      <c r="CE59" s="187" t="s">
        <v>7114</v>
      </c>
      <c r="CF59" s="187" t="s">
        <v>6962</v>
      </c>
      <c r="CG59" s="187" t="s">
        <v>2169</v>
      </c>
      <c r="CH59" s="187" t="s">
        <v>1553</v>
      </c>
      <c r="CI59" s="187" t="s">
        <v>1522</v>
      </c>
      <c r="CJ59" s="187" t="s">
        <v>1304</v>
      </c>
      <c r="CL59" s="186" t="s">
        <v>106</v>
      </c>
      <c r="CM59" s="187" t="s">
        <v>7114</v>
      </c>
      <c r="CN59" s="187" t="s">
        <v>6962</v>
      </c>
      <c r="CO59" s="187" t="s">
        <v>2169</v>
      </c>
      <c r="CP59" s="187" t="s">
        <v>1553</v>
      </c>
      <c r="CQ59" s="187" t="s">
        <v>1522</v>
      </c>
      <c r="CR59" s="187" t="s">
        <v>1304</v>
      </c>
      <c r="CT59" s="186" t="s">
        <v>106</v>
      </c>
      <c r="CU59" s="187" t="s">
        <v>7114</v>
      </c>
      <c r="CV59" s="187" t="s">
        <v>6962</v>
      </c>
      <c r="CW59" s="187" t="s">
        <v>2169</v>
      </c>
      <c r="CX59" s="187" t="s">
        <v>1553</v>
      </c>
      <c r="CY59" s="187" t="s">
        <v>1522</v>
      </c>
      <c r="CZ59" s="187" t="s">
        <v>1304</v>
      </c>
      <c r="DB59" s="186" t="s">
        <v>106</v>
      </c>
      <c r="DC59" s="187" t="s">
        <v>7114</v>
      </c>
      <c r="DD59" s="187" t="s">
        <v>6962</v>
      </c>
      <c r="DE59" s="187" t="s">
        <v>2169</v>
      </c>
      <c r="DF59" s="187" t="s">
        <v>1553</v>
      </c>
      <c r="DG59" s="187" t="s">
        <v>1522</v>
      </c>
      <c r="DH59" s="187" t="s">
        <v>1304</v>
      </c>
      <c r="DI59" s="187"/>
      <c r="DJ59" s="186" t="s">
        <v>106</v>
      </c>
      <c r="DK59" s="187" t="s">
        <v>7114</v>
      </c>
      <c r="DL59" s="187" t="s">
        <v>6962</v>
      </c>
      <c r="DM59" s="187" t="s">
        <v>2169</v>
      </c>
      <c r="DN59" s="187" t="s">
        <v>1553</v>
      </c>
      <c r="DO59" s="187" t="s">
        <v>1522</v>
      </c>
      <c r="DP59" s="187" t="s">
        <v>1304</v>
      </c>
      <c r="DR59" s="186" t="s">
        <v>106</v>
      </c>
      <c r="DS59" s="187" t="s">
        <v>7114</v>
      </c>
      <c r="DT59" s="187" t="s">
        <v>6962</v>
      </c>
      <c r="DU59" s="187" t="s">
        <v>2169</v>
      </c>
      <c r="DV59" s="187" t="s">
        <v>1553</v>
      </c>
      <c r="DW59" s="187" t="s">
        <v>1522</v>
      </c>
      <c r="DX59" s="187" t="s">
        <v>1304</v>
      </c>
      <c r="DZ59" s="186" t="s">
        <v>106</v>
      </c>
      <c r="EA59" s="187" t="s">
        <v>7114</v>
      </c>
      <c r="EB59" s="187" t="s">
        <v>6962</v>
      </c>
      <c r="EC59" s="187" t="s">
        <v>2169</v>
      </c>
      <c r="ED59" s="187" t="s">
        <v>1553</v>
      </c>
      <c r="EE59" s="187" t="s">
        <v>1522</v>
      </c>
      <c r="EF59" s="187" t="s">
        <v>1304</v>
      </c>
    </row>
    <row r="60" spans="1:136" x14ac:dyDescent="0.2">
      <c r="A60" s="292"/>
      <c r="B60" s="134" t="s">
        <v>143</v>
      </c>
      <c r="C60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>45948</v>
      </c>
      <c r="D60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26949</v>
      </c>
      <c r="E60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27383</v>
      </c>
      <c r="F60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27650</v>
      </c>
      <c r="G60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16053</v>
      </c>
      <c r="H60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16781</v>
      </c>
      <c r="I60" s="48"/>
      <c r="J60" s="134" t="s">
        <v>143</v>
      </c>
      <c r="K60" s="131">
        <f>7927-2757</f>
        <v>5170</v>
      </c>
      <c r="L60" s="131">
        <v>3309</v>
      </c>
      <c r="M60" s="48">
        <v>3543</v>
      </c>
      <c r="N60" s="48">
        <v>3627</v>
      </c>
      <c r="O60" s="48">
        <v>2866</v>
      </c>
      <c r="P60" s="48">
        <v>3382</v>
      </c>
      <c r="R60" s="134" t="s">
        <v>143</v>
      </c>
      <c r="S60" s="131">
        <f>4181-2180</f>
        <v>2001</v>
      </c>
      <c r="T60" s="48">
        <v>1388</v>
      </c>
      <c r="U60" s="48">
        <v>2092</v>
      </c>
      <c r="V60" s="48">
        <v>2868</v>
      </c>
      <c r="W60" s="48">
        <v>1497</v>
      </c>
      <c r="X60" s="48">
        <v>1626</v>
      </c>
      <c r="Z60" s="134" t="s">
        <v>143</v>
      </c>
      <c r="AA60" s="131">
        <f>4735-1994</f>
        <v>2741</v>
      </c>
      <c r="AB60" s="48">
        <v>2716</v>
      </c>
      <c r="AC60" s="48">
        <v>2872</v>
      </c>
      <c r="AD60" s="48">
        <v>3424</v>
      </c>
      <c r="AE60" s="48">
        <v>3122</v>
      </c>
      <c r="AF60" s="48">
        <v>2472</v>
      </c>
      <c r="AH60" s="134" t="s">
        <v>143</v>
      </c>
      <c r="AI60" s="131"/>
      <c r="AJ60" s="131">
        <v>3632</v>
      </c>
      <c r="AK60" s="48">
        <v>3155</v>
      </c>
      <c r="AL60" s="48">
        <v>2214</v>
      </c>
      <c r="AM60" s="48">
        <v>1258</v>
      </c>
      <c r="AN60" s="48">
        <v>1651</v>
      </c>
      <c r="AP60" s="134" t="s">
        <v>143</v>
      </c>
      <c r="AQ60" s="131">
        <f>5667-2468</f>
        <v>3199</v>
      </c>
      <c r="AR60" s="131">
        <v>2980</v>
      </c>
      <c r="AS60" s="48">
        <v>2503</v>
      </c>
      <c r="AT60" s="48">
        <v>2195</v>
      </c>
      <c r="AU60" s="48">
        <v>1567</v>
      </c>
      <c r="AV60" s="48"/>
      <c r="AX60" s="134" t="s">
        <v>143</v>
      </c>
      <c r="AY60" s="131"/>
      <c r="AZ60" s="48">
        <v>1649</v>
      </c>
      <c r="BA60" s="48">
        <v>1083</v>
      </c>
      <c r="BB60" s="48">
        <v>1246</v>
      </c>
      <c r="BC60" s="48"/>
      <c r="BD60" s="48"/>
      <c r="BE60" s="48"/>
      <c r="BF60" s="134" t="s">
        <v>143</v>
      </c>
      <c r="BG60" s="131">
        <f>3395-1668</f>
        <v>1727</v>
      </c>
      <c r="BH60" s="48">
        <v>1024</v>
      </c>
      <c r="BI60" s="48">
        <v>952</v>
      </c>
      <c r="BJ60" s="48"/>
      <c r="BK60" s="48"/>
      <c r="BL60" s="48"/>
      <c r="BM60" s="48"/>
      <c r="BN60" s="134" t="s">
        <v>143</v>
      </c>
      <c r="BO60" s="131">
        <f>5365-2122</f>
        <v>3243</v>
      </c>
      <c r="BP60" s="48">
        <v>2735</v>
      </c>
      <c r="BQ60" s="48">
        <v>2373</v>
      </c>
      <c r="BR60" s="48">
        <v>2769</v>
      </c>
      <c r="BS60" s="48">
        <v>2236</v>
      </c>
      <c r="BT60" s="48">
        <v>2128</v>
      </c>
      <c r="BV60" s="134" t="s">
        <v>143</v>
      </c>
      <c r="BW60" s="131">
        <f>4383-1725</f>
        <v>2658</v>
      </c>
      <c r="BX60" s="48">
        <v>2195</v>
      </c>
      <c r="BY60" s="48">
        <v>2356</v>
      </c>
      <c r="BZ60" s="48">
        <v>2130</v>
      </c>
      <c r="CA60" s="48">
        <v>1199</v>
      </c>
      <c r="CB60" s="48">
        <v>1552</v>
      </c>
      <c r="CC60" s="48"/>
      <c r="CD60" s="134" t="s">
        <v>143</v>
      </c>
      <c r="CE60" s="131">
        <f>4693-1960</f>
        <v>2733</v>
      </c>
      <c r="CF60" s="48">
        <v>2464</v>
      </c>
      <c r="CG60" s="48">
        <v>2883</v>
      </c>
      <c r="CH60" s="48">
        <v>3429</v>
      </c>
      <c r="CI60" s="48">
        <v>134</v>
      </c>
      <c r="CJ60" s="48">
        <v>1723</v>
      </c>
      <c r="CL60" s="134" t="s">
        <v>143</v>
      </c>
      <c r="CM60" s="131">
        <f>6689-2560</f>
        <v>4129</v>
      </c>
      <c r="CN60" s="48">
        <v>2857</v>
      </c>
      <c r="CO60" s="48">
        <v>3571</v>
      </c>
      <c r="CP60" s="48">
        <v>3748</v>
      </c>
      <c r="CQ60" s="48">
        <v>2174</v>
      </c>
      <c r="CR60" s="48">
        <v>2247</v>
      </c>
      <c r="CT60" s="134" t="s">
        <v>143</v>
      </c>
      <c r="CU60" s="131">
        <f>8572-3035</f>
        <v>5537</v>
      </c>
      <c r="CV60" s="131">
        <v>5065</v>
      </c>
      <c r="CW60" s="48"/>
      <c r="CX60" s="48"/>
      <c r="CY60" s="48"/>
      <c r="CZ60" s="48"/>
      <c r="DB60" s="134" t="s">
        <v>143</v>
      </c>
      <c r="DC60" s="131">
        <f>9080-3658</f>
        <v>5422</v>
      </c>
      <c r="DD60" s="48">
        <v>3573</v>
      </c>
      <c r="DE60" s="48"/>
      <c r="DF60" s="48"/>
      <c r="DG60" s="48"/>
      <c r="DH60" s="48"/>
      <c r="DI60" s="48"/>
      <c r="DJ60" s="134" t="s">
        <v>143</v>
      </c>
      <c r="DK60" s="131">
        <f>7247-4616</f>
        <v>2631</v>
      </c>
      <c r="DL60" s="48">
        <v>5429</v>
      </c>
      <c r="DM60" s="48"/>
      <c r="DN60" s="48"/>
      <c r="DO60" s="48"/>
      <c r="DP60" s="48"/>
      <c r="DR60" s="134" t="s">
        <v>143</v>
      </c>
      <c r="DS60" s="131">
        <f>5804-2722</f>
        <v>3082</v>
      </c>
      <c r="DT60" s="48">
        <v>3024</v>
      </c>
      <c r="DU60" s="48"/>
      <c r="DV60" s="48"/>
      <c r="DW60" s="48"/>
      <c r="DX60" s="48"/>
      <c r="DZ60" s="134" t="s">
        <v>143</v>
      </c>
      <c r="EA60" s="131">
        <f>2877-1202</f>
        <v>1675</v>
      </c>
      <c r="EB60" s="48"/>
      <c r="EC60" s="48"/>
      <c r="ED60" s="48"/>
      <c r="EE60" s="48"/>
      <c r="EF60" s="48"/>
    </row>
    <row r="61" spans="1:136" x14ac:dyDescent="0.2">
      <c r="A61" s="292"/>
      <c r="B61" s="134" t="s">
        <v>5</v>
      </c>
      <c r="C61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1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26596</v>
      </c>
      <c r="E61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25131</v>
      </c>
      <c r="F61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27763</v>
      </c>
      <c r="G61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18710</v>
      </c>
      <c r="H61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15804</v>
      </c>
      <c r="I61" s="48"/>
      <c r="J61" s="134" t="s">
        <v>5</v>
      </c>
      <c r="K61" s="131"/>
      <c r="L61" s="131">
        <v>3540</v>
      </c>
      <c r="M61" s="48">
        <v>3564</v>
      </c>
      <c r="N61" s="48">
        <v>3865</v>
      </c>
      <c r="O61" s="48">
        <v>3010</v>
      </c>
      <c r="P61" s="48">
        <v>3222</v>
      </c>
      <c r="R61" s="134" t="s">
        <v>5</v>
      </c>
      <c r="S61" s="131"/>
      <c r="T61" s="48">
        <v>1698</v>
      </c>
      <c r="U61" s="48">
        <v>1969</v>
      </c>
      <c r="V61" s="48">
        <v>2749</v>
      </c>
      <c r="W61" s="48">
        <v>1586</v>
      </c>
      <c r="X61" s="48">
        <v>1572</v>
      </c>
      <c r="Z61" s="134" t="s">
        <v>5</v>
      </c>
      <c r="AA61" s="131"/>
      <c r="AB61" s="48">
        <v>2441</v>
      </c>
      <c r="AC61" s="48">
        <v>2451</v>
      </c>
      <c r="AD61" s="48">
        <v>3240</v>
      </c>
      <c r="AE61" s="48">
        <v>3002</v>
      </c>
      <c r="AF61" s="48">
        <v>2338</v>
      </c>
      <c r="AH61" s="134" t="s">
        <v>5</v>
      </c>
      <c r="AI61" s="131"/>
      <c r="AJ61" s="131">
        <v>3524</v>
      </c>
      <c r="AK61" s="48">
        <v>2735</v>
      </c>
      <c r="AL61" s="48">
        <v>2269</v>
      </c>
      <c r="AM61" s="48">
        <v>1761</v>
      </c>
      <c r="AN61" s="48">
        <v>1689</v>
      </c>
      <c r="AP61" s="134" t="s">
        <v>5</v>
      </c>
      <c r="AQ61" s="131"/>
      <c r="AR61" s="273">
        <v>2853</v>
      </c>
      <c r="AS61" s="48">
        <v>2213</v>
      </c>
      <c r="AT61" s="48">
        <v>2534</v>
      </c>
      <c r="AU61" s="48">
        <v>1666</v>
      </c>
      <c r="AV61" s="48"/>
      <c r="AX61" s="134" t="s">
        <v>5</v>
      </c>
      <c r="AY61" s="131"/>
      <c r="AZ61" s="48">
        <v>1701</v>
      </c>
      <c r="BA61" s="48">
        <v>1249</v>
      </c>
      <c r="BB61" s="48">
        <v>1344</v>
      </c>
      <c r="BC61" s="48"/>
      <c r="BD61" s="48"/>
      <c r="BE61" s="48"/>
      <c r="BF61" s="134" t="s">
        <v>5</v>
      </c>
      <c r="BG61" s="131"/>
      <c r="BH61" s="48">
        <v>958</v>
      </c>
      <c r="BI61" s="48">
        <v>971</v>
      </c>
      <c r="BJ61" s="48"/>
      <c r="BK61" s="48"/>
      <c r="BL61" s="48"/>
      <c r="BM61" s="48"/>
      <c r="BN61" s="134" t="s">
        <v>5</v>
      </c>
      <c r="BO61" s="131"/>
      <c r="BP61" s="48">
        <v>2565</v>
      </c>
      <c r="BQ61" s="48">
        <v>2217</v>
      </c>
      <c r="BR61" s="48">
        <v>2798</v>
      </c>
      <c r="BS61" s="48">
        <v>2980</v>
      </c>
      <c r="BT61" s="48">
        <v>1776</v>
      </c>
      <c r="BV61" s="134" t="s">
        <v>5</v>
      </c>
      <c r="BW61" s="131"/>
      <c r="BX61" s="48">
        <v>2111</v>
      </c>
      <c r="BY61" s="48">
        <v>2116</v>
      </c>
      <c r="BZ61" s="48">
        <v>2277</v>
      </c>
      <c r="CA61" s="48">
        <v>1249</v>
      </c>
      <c r="CB61" s="48">
        <v>1509</v>
      </c>
      <c r="CC61" s="48"/>
      <c r="CD61" s="134" t="s">
        <v>5</v>
      </c>
      <c r="CE61" s="131"/>
      <c r="CF61" s="48">
        <v>2277</v>
      </c>
      <c r="CG61" s="48">
        <v>2366</v>
      </c>
      <c r="CH61" s="48">
        <v>3028</v>
      </c>
      <c r="CI61" s="48">
        <v>932</v>
      </c>
      <c r="CJ61" s="48">
        <v>1608</v>
      </c>
      <c r="CL61" s="134" t="s">
        <v>5</v>
      </c>
      <c r="CM61" s="131"/>
      <c r="CN61" s="48">
        <v>2928</v>
      </c>
      <c r="CO61" s="48">
        <v>3280</v>
      </c>
      <c r="CP61" s="48">
        <v>3659</v>
      </c>
      <c r="CQ61" s="48">
        <v>2524</v>
      </c>
      <c r="CR61" s="48">
        <v>2090</v>
      </c>
      <c r="CT61" s="134" t="s">
        <v>5</v>
      </c>
      <c r="CU61" s="131"/>
      <c r="CV61" s="131">
        <v>4755</v>
      </c>
      <c r="CW61" s="48"/>
      <c r="CX61" s="48"/>
      <c r="CY61" s="48"/>
      <c r="CZ61" s="48"/>
      <c r="DB61" s="134" t="s">
        <v>5</v>
      </c>
      <c r="DC61" s="131"/>
      <c r="DD61" s="48">
        <v>3785</v>
      </c>
      <c r="DE61" s="48"/>
      <c r="DF61" s="48"/>
      <c r="DG61" s="48"/>
      <c r="DH61" s="48"/>
      <c r="DI61" s="48"/>
      <c r="DJ61" s="134" t="s">
        <v>5</v>
      </c>
      <c r="DK61" s="131"/>
      <c r="DL61" s="48">
        <v>5632</v>
      </c>
      <c r="DM61" s="48"/>
      <c r="DN61" s="48"/>
      <c r="DO61" s="48"/>
      <c r="DP61" s="48"/>
      <c r="DR61" s="134" t="s">
        <v>5</v>
      </c>
      <c r="DS61" s="131"/>
      <c r="DT61" s="48">
        <v>2684</v>
      </c>
      <c r="DU61" s="48"/>
      <c r="DV61" s="48"/>
      <c r="DW61" s="48"/>
      <c r="DX61" s="48"/>
      <c r="DZ61" s="134" t="s">
        <v>5</v>
      </c>
      <c r="EA61" s="131"/>
      <c r="EB61" s="48"/>
      <c r="EC61" s="48"/>
      <c r="ED61" s="48"/>
      <c r="EE61" s="48"/>
      <c r="EF61" s="48"/>
    </row>
    <row r="62" spans="1:136" x14ac:dyDescent="0.2">
      <c r="A62" s="292"/>
      <c r="B62" s="134" t="s">
        <v>7</v>
      </c>
      <c r="C62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2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30160</v>
      </c>
      <c r="E62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24439</v>
      </c>
      <c r="F62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26381</v>
      </c>
      <c r="G62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20770</v>
      </c>
      <c r="H62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6953</v>
      </c>
      <c r="I62" s="48"/>
      <c r="J62" s="134" t="s">
        <v>7</v>
      </c>
      <c r="K62" s="131"/>
      <c r="L62" s="131">
        <v>3929</v>
      </c>
      <c r="M62" s="48">
        <v>3352</v>
      </c>
      <c r="N62" s="48">
        <v>3797</v>
      </c>
      <c r="O62" s="48">
        <v>3371</v>
      </c>
      <c r="P62" s="48">
        <v>1561</v>
      </c>
      <c r="R62" s="134" t="s">
        <v>7</v>
      </c>
      <c r="S62" s="131"/>
      <c r="T62" s="48">
        <v>2285</v>
      </c>
      <c r="U62" s="48">
        <v>1951</v>
      </c>
      <c r="V62" s="48">
        <v>2421</v>
      </c>
      <c r="W62" s="48">
        <v>1763</v>
      </c>
      <c r="X62" s="48">
        <v>764</v>
      </c>
      <c r="Z62" s="134" t="s">
        <v>7</v>
      </c>
      <c r="AA62" s="131"/>
      <c r="AB62" s="48">
        <v>2807</v>
      </c>
      <c r="AC62" s="48">
        <v>2327</v>
      </c>
      <c r="AD62" s="48">
        <v>3083</v>
      </c>
      <c r="AE62" s="48">
        <v>3007</v>
      </c>
      <c r="AF62" s="48">
        <v>1286</v>
      </c>
      <c r="AH62" s="134" t="s">
        <v>7</v>
      </c>
      <c r="AI62" s="131"/>
      <c r="AJ62" s="131">
        <v>3757</v>
      </c>
      <c r="AK62" s="48">
        <v>2827</v>
      </c>
      <c r="AL62" s="48">
        <v>2470</v>
      </c>
      <c r="AM62" s="48">
        <v>1767</v>
      </c>
      <c r="AN62" s="48">
        <v>46</v>
      </c>
      <c r="AP62" s="134" t="s">
        <v>7</v>
      </c>
      <c r="AQ62" s="131"/>
      <c r="AR62" s="131">
        <v>3370</v>
      </c>
      <c r="AS62" s="48">
        <v>2281</v>
      </c>
      <c r="AT62" s="48">
        <v>2320</v>
      </c>
      <c r="AU62" s="48">
        <v>2159</v>
      </c>
      <c r="AV62" s="48"/>
      <c r="AX62" s="134" t="s">
        <v>7</v>
      </c>
      <c r="AY62" s="131"/>
      <c r="AZ62" s="48">
        <v>1970</v>
      </c>
      <c r="BA62" s="48">
        <v>1262</v>
      </c>
      <c r="BB62" s="48">
        <v>1161</v>
      </c>
      <c r="BC62" s="48"/>
      <c r="BD62" s="48"/>
      <c r="BE62" s="48"/>
      <c r="BF62" s="134" t="s">
        <v>7</v>
      </c>
      <c r="BG62" s="131"/>
      <c r="BH62" s="48">
        <v>1054</v>
      </c>
      <c r="BI62" s="48">
        <v>832</v>
      </c>
      <c r="BJ62" s="48"/>
      <c r="BK62" s="48"/>
      <c r="BL62" s="48"/>
      <c r="BM62" s="48"/>
      <c r="BN62" s="134" t="s">
        <v>7</v>
      </c>
      <c r="BO62" s="131"/>
      <c r="BP62" s="48">
        <v>2721</v>
      </c>
      <c r="BQ62" s="48">
        <v>2253</v>
      </c>
      <c r="BR62" s="48">
        <v>2807</v>
      </c>
      <c r="BS62" s="48">
        <v>3172</v>
      </c>
      <c r="BT62" s="48">
        <v>892</v>
      </c>
      <c r="BV62" s="134" t="s">
        <v>7</v>
      </c>
      <c r="BW62" s="131"/>
      <c r="BX62" s="48">
        <v>2292</v>
      </c>
      <c r="BY62" s="48">
        <v>2056</v>
      </c>
      <c r="BZ62" s="48">
        <v>2071</v>
      </c>
      <c r="CA62" s="48">
        <v>1459</v>
      </c>
      <c r="CB62" s="48">
        <v>701</v>
      </c>
      <c r="CC62" s="48"/>
      <c r="CD62" s="134" t="s">
        <v>7</v>
      </c>
      <c r="CE62" s="131"/>
      <c r="CF62" s="48">
        <v>2494</v>
      </c>
      <c r="CG62" s="48">
        <v>2233</v>
      </c>
      <c r="CH62" s="48">
        <v>2885</v>
      </c>
      <c r="CI62" s="48">
        <v>1455</v>
      </c>
      <c r="CJ62" s="48">
        <v>717</v>
      </c>
      <c r="CL62" s="134" t="s">
        <v>7</v>
      </c>
      <c r="CM62" s="131"/>
      <c r="CN62" s="48">
        <v>3481</v>
      </c>
      <c r="CO62" s="48">
        <v>3065</v>
      </c>
      <c r="CP62" s="48">
        <v>3366</v>
      </c>
      <c r="CQ62" s="48">
        <v>2617</v>
      </c>
      <c r="CR62" s="48">
        <v>986</v>
      </c>
      <c r="CT62" s="134" t="s">
        <v>7</v>
      </c>
      <c r="CU62" s="131"/>
      <c r="CV62" s="131">
        <v>5478</v>
      </c>
      <c r="CW62" s="48"/>
      <c r="CX62" s="48"/>
      <c r="CY62" s="48"/>
      <c r="CZ62" s="48"/>
      <c r="DB62" s="134" t="s">
        <v>7</v>
      </c>
      <c r="DC62" s="131"/>
      <c r="DD62" s="48">
        <v>4309</v>
      </c>
      <c r="DE62" s="48"/>
      <c r="DF62" s="48"/>
      <c r="DG62" s="48"/>
      <c r="DH62" s="48"/>
      <c r="DI62" s="48"/>
      <c r="DJ62" s="134" t="s">
        <v>7</v>
      </c>
      <c r="DK62" s="131"/>
      <c r="DL62" s="48">
        <v>5634</v>
      </c>
      <c r="DM62" s="48"/>
      <c r="DN62" s="48"/>
      <c r="DO62" s="48"/>
      <c r="DP62" s="48"/>
      <c r="DR62" s="134" t="s">
        <v>7</v>
      </c>
      <c r="DS62" s="131"/>
      <c r="DT62" s="48">
        <v>3287</v>
      </c>
      <c r="DU62" s="48"/>
      <c r="DV62" s="48"/>
      <c r="DW62" s="48"/>
      <c r="DX62" s="48"/>
      <c r="DZ62" s="134" t="s">
        <v>7</v>
      </c>
      <c r="EA62" s="131"/>
      <c r="EB62" s="48"/>
      <c r="EC62" s="48"/>
      <c r="ED62" s="48"/>
      <c r="EE62" s="48"/>
      <c r="EF62" s="48"/>
    </row>
    <row r="63" spans="1:136" x14ac:dyDescent="0.2">
      <c r="A63" s="292"/>
      <c r="B63" s="134" t="s">
        <v>9</v>
      </c>
      <c r="C63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3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31012</v>
      </c>
      <c r="E63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26623</v>
      </c>
      <c r="F63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24255</v>
      </c>
      <c r="G63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22703</v>
      </c>
      <c r="H63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1.0000000000000001E-5</v>
      </c>
      <c r="I63" s="48"/>
      <c r="J63" s="134" t="s">
        <v>9</v>
      </c>
      <c r="K63" s="131"/>
      <c r="L63" s="131">
        <v>4158</v>
      </c>
      <c r="M63" s="48">
        <v>3377</v>
      </c>
      <c r="N63" s="48">
        <v>3478</v>
      </c>
      <c r="O63" s="48">
        <v>3634</v>
      </c>
      <c r="P63" s="48">
        <v>1.0000000000000001E-5</v>
      </c>
      <c r="R63" s="134" t="s">
        <v>9</v>
      </c>
      <c r="S63" s="131"/>
      <c r="T63" s="48">
        <v>2249</v>
      </c>
      <c r="U63" s="48">
        <v>1940</v>
      </c>
      <c r="V63" s="48">
        <v>2230</v>
      </c>
      <c r="W63" s="48">
        <v>1916</v>
      </c>
      <c r="X63" s="48">
        <v>0</v>
      </c>
      <c r="Z63" s="134" t="s">
        <v>9</v>
      </c>
      <c r="AA63" s="131"/>
      <c r="AB63" s="48">
        <v>2889</v>
      </c>
      <c r="AC63" s="48">
        <v>2486</v>
      </c>
      <c r="AD63" s="48">
        <v>2540</v>
      </c>
      <c r="AE63" s="48">
        <v>3477</v>
      </c>
      <c r="AF63" s="48">
        <v>0</v>
      </c>
      <c r="AH63" s="134" t="s">
        <v>9</v>
      </c>
      <c r="AI63" s="131"/>
      <c r="AJ63" s="131">
        <v>4045</v>
      </c>
      <c r="AK63" s="48">
        <v>3181</v>
      </c>
      <c r="AL63" s="48">
        <v>2054</v>
      </c>
      <c r="AM63" s="48">
        <v>2142</v>
      </c>
      <c r="AN63" s="48">
        <v>0</v>
      </c>
      <c r="AP63" s="134" t="s">
        <v>9</v>
      </c>
      <c r="AQ63" s="131"/>
      <c r="AR63" s="131">
        <v>3575</v>
      </c>
      <c r="AS63" s="48">
        <v>2494</v>
      </c>
      <c r="AT63" s="48">
        <v>1998</v>
      </c>
      <c r="AU63" s="48">
        <v>2447</v>
      </c>
      <c r="AV63" s="48"/>
      <c r="AX63" s="134" t="s">
        <v>9</v>
      </c>
      <c r="AY63" s="131"/>
      <c r="AZ63" s="48">
        <v>1834</v>
      </c>
      <c r="BA63" s="48">
        <v>1610</v>
      </c>
      <c r="BB63" s="48">
        <v>1149</v>
      </c>
      <c r="BC63" s="48"/>
      <c r="BD63" s="48"/>
      <c r="BE63" s="48"/>
      <c r="BF63" s="134" t="s">
        <v>9</v>
      </c>
      <c r="BG63" s="131"/>
      <c r="BH63" s="48">
        <v>1193</v>
      </c>
      <c r="BI63" s="48">
        <v>1062</v>
      </c>
      <c r="BJ63" s="48"/>
      <c r="BK63" s="48"/>
      <c r="BL63" s="48"/>
      <c r="BM63" s="48"/>
      <c r="BN63" s="134" t="s">
        <v>9</v>
      </c>
      <c r="BO63" s="131"/>
      <c r="BP63" s="48">
        <v>2914</v>
      </c>
      <c r="BQ63" s="48">
        <v>2473</v>
      </c>
      <c r="BR63" s="48">
        <v>2560</v>
      </c>
      <c r="BS63" s="48">
        <v>2829</v>
      </c>
      <c r="BT63" s="48">
        <v>0</v>
      </c>
      <c r="BV63" s="134" t="s">
        <v>9</v>
      </c>
      <c r="BW63" s="131"/>
      <c r="BX63" s="48">
        <v>2439</v>
      </c>
      <c r="BY63" s="48">
        <v>2128</v>
      </c>
      <c r="BZ63" s="48">
        <v>2185</v>
      </c>
      <c r="CA63" s="48">
        <v>1768</v>
      </c>
      <c r="CB63" s="48">
        <v>0</v>
      </c>
      <c r="CC63" s="48"/>
      <c r="CD63" s="134" t="s">
        <v>9</v>
      </c>
      <c r="CE63" s="131"/>
      <c r="CF63" s="48">
        <v>2427</v>
      </c>
      <c r="CG63" s="48">
        <v>2338</v>
      </c>
      <c r="CH63" s="48">
        <v>2733</v>
      </c>
      <c r="CI63" s="48">
        <v>1784</v>
      </c>
      <c r="CJ63" s="48">
        <v>0</v>
      </c>
      <c r="CL63" s="134" t="s">
        <v>9</v>
      </c>
      <c r="CM63" s="131"/>
      <c r="CN63" s="48">
        <v>3289</v>
      </c>
      <c r="CO63" s="48">
        <v>3534</v>
      </c>
      <c r="CP63" s="48">
        <v>3328</v>
      </c>
      <c r="CQ63" s="48">
        <v>2706</v>
      </c>
      <c r="CR63" s="48">
        <v>0</v>
      </c>
      <c r="CT63" s="134" t="s">
        <v>9</v>
      </c>
      <c r="CU63" s="131"/>
      <c r="CV63" s="131">
        <v>5003</v>
      </c>
      <c r="CW63" s="48"/>
      <c r="CX63" s="48"/>
      <c r="CY63" s="48"/>
      <c r="CZ63" s="48"/>
      <c r="DB63" s="134" t="s">
        <v>9</v>
      </c>
      <c r="DC63" s="131"/>
      <c r="DD63" s="48">
        <v>4036</v>
      </c>
      <c r="DE63" s="48"/>
      <c r="DF63" s="48"/>
      <c r="DG63" s="48"/>
      <c r="DH63" s="48"/>
      <c r="DI63" s="48"/>
      <c r="DJ63" s="134" t="s">
        <v>9</v>
      </c>
      <c r="DK63" s="131"/>
      <c r="DL63" s="48">
        <v>5451</v>
      </c>
      <c r="DM63" s="48"/>
      <c r="DN63" s="48"/>
      <c r="DO63" s="48"/>
      <c r="DP63" s="48"/>
      <c r="DR63" s="134" t="s">
        <v>9</v>
      </c>
      <c r="DS63" s="131"/>
      <c r="DT63" s="48">
        <v>3006</v>
      </c>
      <c r="DU63" s="48"/>
      <c r="DV63" s="48"/>
      <c r="DW63" s="48"/>
      <c r="DX63" s="48"/>
      <c r="DZ63" s="134" t="s">
        <v>9</v>
      </c>
      <c r="EA63" s="131"/>
      <c r="EB63" s="48"/>
      <c r="EC63" s="48"/>
      <c r="ED63" s="48"/>
      <c r="EE63" s="48"/>
      <c r="EF63" s="48"/>
    </row>
    <row r="64" spans="1:136" x14ac:dyDescent="0.2">
      <c r="A64" s="292"/>
      <c r="B64" s="134" t="s">
        <v>11</v>
      </c>
      <c r="C64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4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31590</v>
      </c>
      <c r="E64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27857</v>
      </c>
      <c r="F64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25843</v>
      </c>
      <c r="G64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31517</v>
      </c>
      <c r="H64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3608</v>
      </c>
      <c r="I64" s="48"/>
      <c r="J64" s="134" t="s">
        <v>11</v>
      </c>
      <c r="K64" s="131"/>
      <c r="L64" s="131">
        <v>4236</v>
      </c>
      <c r="M64" s="48">
        <v>3511</v>
      </c>
      <c r="N64" s="48">
        <v>3298</v>
      </c>
      <c r="O64" s="48">
        <v>4522</v>
      </c>
      <c r="P64" s="48">
        <v>1207</v>
      </c>
      <c r="R64" s="134" t="s">
        <v>11</v>
      </c>
      <c r="S64" s="131"/>
      <c r="T64" s="48">
        <v>2190</v>
      </c>
      <c r="U64" s="48">
        <v>2006</v>
      </c>
      <c r="V64" s="48">
        <v>2011</v>
      </c>
      <c r="W64" s="48">
        <v>2514</v>
      </c>
      <c r="X64" s="48">
        <v>376</v>
      </c>
      <c r="Z64" s="134" t="s">
        <v>11</v>
      </c>
      <c r="AA64" s="131"/>
      <c r="AB64" s="48">
        <v>2484</v>
      </c>
      <c r="AC64" s="48">
        <v>2403</v>
      </c>
      <c r="AD64" s="48">
        <v>2843</v>
      </c>
      <c r="AE64" s="48">
        <v>3987</v>
      </c>
      <c r="AF64" s="48">
        <v>1323</v>
      </c>
      <c r="AH64" s="134" t="s">
        <v>11</v>
      </c>
      <c r="AI64" s="131"/>
      <c r="AJ64" s="131">
        <v>4064</v>
      </c>
      <c r="AK64" s="48">
        <v>3282</v>
      </c>
      <c r="AL64" s="48">
        <v>2320</v>
      </c>
      <c r="AM64" s="48">
        <v>3092</v>
      </c>
      <c r="AN64" s="48">
        <v>21</v>
      </c>
      <c r="AP64" s="134" t="s">
        <v>11</v>
      </c>
      <c r="AQ64" s="131"/>
      <c r="AR64" s="131">
        <v>3203</v>
      </c>
      <c r="AS64" s="48">
        <v>2769</v>
      </c>
      <c r="AT64" s="48">
        <v>2315</v>
      </c>
      <c r="AU64" s="48">
        <v>2832</v>
      </c>
      <c r="AV64" s="48"/>
      <c r="AX64" s="134" t="s">
        <v>11</v>
      </c>
      <c r="AY64" s="131"/>
      <c r="AZ64" s="48">
        <v>1918</v>
      </c>
      <c r="BA64" s="48">
        <v>1659</v>
      </c>
      <c r="BB64" s="48">
        <v>1210</v>
      </c>
      <c r="BC64" s="48"/>
      <c r="BD64" s="48"/>
      <c r="BE64" s="48"/>
      <c r="BF64" s="134" t="s">
        <v>11</v>
      </c>
      <c r="BG64" s="131"/>
      <c r="BH64" s="48">
        <v>1388</v>
      </c>
      <c r="BI64" s="48">
        <v>1140</v>
      </c>
      <c r="BJ64" s="48"/>
      <c r="BK64" s="48"/>
      <c r="BL64" s="48"/>
      <c r="BM64" s="48"/>
      <c r="BN64" s="134" t="s">
        <v>11</v>
      </c>
      <c r="BO64" s="131"/>
      <c r="BP64" s="48">
        <v>3016</v>
      </c>
      <c r="BQ64" s="48">
        <v>2696</v>
      </c>
      <c r="BR64" s="48">
        <v>2686</v>
      </c>
      <c r="BS64" s="48">
        <v>3932</v>
      </c>
      <c r="BT64" s="48">
        <v>0</v>
      </c>
      <c r="BV64" s="134" t="s">
        <v>11</v>
      </c>
      <c r="BW64" s="131"/>
      <c r="BX64" s="48">
        <v>2475</v>
      </c>
      <c r="BY64" s="48">
        <v>2303</v>
      </c>
      <c r="BZ64" s="48">
        <v>2306</v>
      </c>
      <c r="CA64" s="48">
        <v>2587</v>
      </c>
      <c r="CB64" s="48">
        <v>412</v>
      </c>
      <c r="CC64" s="48"/>
      <c r="CD64" s="134" t="s">
        <v>11</v>
      </c>
      <c r="CE64" s="131"/>
      <c r="CF64" s="48">
        <v>3214</v>
      </c>
      <c r="CG64" s="48">
        <v>2423</v>
      </c>
      <c r="CH64" s="48">
        <v>3315</v>
      </c>
      <c r="CI64" s="48">
        <v>4097</v>
      </c>
      <c r="CJ64" s="48">
        <v>8</v>
      </c>
      <c r="CL64" s="134" t="s">
        <v>11</v>
      </c>
      <c r="CM64" s="131"/>
      <c r="CN64" s="48">
        <v>3402</v>
      </c>
      <c r="CO64" s="48">
        <v>3665</v>
      </c>
      <c r="CP64" s="48">
        <v>3539</v>
      </c>
      <c r="CQ64" s="48">
        <v>3954</v>
      </c>
      <c r="CR64" s="48">
        <v>261</v>
      </c>
      <c r="CT64" s="134" t="s">
        <v>11</v>
      </c>
      <c r="CU64" s="131"/>
      <c r="CV64" s="131">
        <v>4974</v>
      </c>
      <c r="CW64" s="48"/>
      <c r="CX64" s="48"/>
      <c r="CY64" s="48"/>
      <c r="CZ64" s="48"/>
      <c r="DB64" s="134" t="s">
        <v>11</v>
      </c>
      <c r="DC64" s="131"/>
      <c r="DD64" s="48">
        <v>3934</v>
      </c>
      <c r="DE64" s="48"/>
      <c r="DF64" s="48"/>
      <c r="DG64" s="48"/>
      <c r="DH64" s="48"/>
      <c r="DI64" s="48"/>
      <c r="DJ64" s="134" t="s">
        <v>11</v>
      </c>
      <c r="DK64" s="131"/>
      <c r="DL64" s="48">
        <v>5659</v>
      </c>
      <c r="DM64" s="48"/>
      <c r="DN64" s="48"/>
      <c r="DO64" s="48"/>
      <c r="DP64" s="48"/>
      <c r="DR64" s="134" t="s">
        <v>11</v>
      </c>
      <c r="DS64" s="131"/>
      <c r="DT64" s="48">
        <v>3113</v>
      </c>
      <c r="DU64" s="48"/>
      <c r="DV64" s="48"/>
      <c r="DW64" s="48"/>
      <c r="DX64" s="48"/>
      <c r="DZ64" s="134" t="s">
        <v>11</v>
      </c>
      <c r="EA64" s="131"/>
      <c r="EB64" s="48"/>
      <c r="EC64" s="48"/>
      <c r="ED64" s="48"/>
      <c r="EE64" s="48"/>
      <c r="EF64" s="48"/>
    </row>
    <row r="65" spans="1:136" x14ac:dyDescent="0.2">
      <c r="A65" s="292"/>
      <c r="B65" s="134" t="s">
        <v>0</v>
      </c>
      <c r="C65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5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31241</v>
      </c>
      <c r="E65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26210</v>
      </c>
      <c r="F65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24572</v>
      </c>
      <c r="G65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28351</v>
      </c>
      <c r="H65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12006</v>
      </c>
      <c r="I65" s="48"/>
      <c r="J65" s="134" t="s">
        <v>0</v>
      </c>
      <c r="K65" s="131"/>
      <c r="L65" s="131">
        <v>4083</v>
      </c>
      <c r="M65" s="48">
        <v>3349</v>
      </c>
      <c r="N65" s="48">
        <v>3185</v>
      </c>
      <c r="O65" s="48">
        <v>4392</v>
      </c>
      <c r="P65" s="48">
        <v>2260</v>
      </c>
      <c r="R65" s="134" t="s">
        <v>0</v>
      </c>
      <c r="S65" s="131"/>
      <c r="T65" s="48">
        <v>2012</v>
      </c>
      <c r="U65" s="48">
        <v>1948</v>
      </c>
      <c r="V65" s="48">
        <v>1970</v>
      </c>
      <c r="W65" s="48">
        <v>2716</v>
      </c>
      <c r="X65" s="48">
        <v>1285</v>
      </c>
      <c r="Z65" s="134" t="s">
        <v>0</v>
      </c>
      <c r="AA65" s="131"/>
      <c r="AB65" s="48">
        <v>2529</v>
      </c>
      <c r="AC65" s="48">
        <v>2363</v>
      </c>
      <c r="AD65" s="48">
        <v>2538</v>
      </c>
      <c r="AE65" s="48">
        <v>3403</v>
      </c>
      <c r="AF65" s="48">
        <v>2134</v>
      </c>
      <c r="AH65" s="134" t="s">
        <v>0</v>
      </c>
      <c r="AI65" s="131"/>
      <c r="AJ65" s="131">
        <v>3832</v>
      </c>
      <c r="AK65" s="48">
        <v>3155</v>
      </c>
      <c r="AL65" s="48">
        <v>2206</v>
      </c>
      <c r="AM65" s="48">
        <v>3238</v>
      </c>
      <c r="AN65" s="48">
        <v>1041</v>
      </c>
      <c r="AP65" s="134" t="s">
        <v>0</v>
      </c>
      <c r="AQ65" s="131"/>
      <c r="AR65" s="131">
        <v>2885</v>
      </c>
      <c r="AS65" s="48">
        <v>2515</v>
      </c>
      <c r="AT65" s="48">
        <v>2244</v>
      </c>
      <c r="AU65" s="48">
        <v>1281</v>
      </c>
      <c r="AV65" s="48"/>
      <c r="AX65" s="134" t="s">
        <v>0</v>
      </c>
      <c r="AY65" s="131"/>
      <c r="AZ65" s="48">
        <v>1959</v>
      </c>
      <c r="BA65" s="48">
        <v>1551</v>
      </c>
      <c r="BB65" s="48">
        <v>1125</v>
      </c>
      <c r="BC65" s="48"/>
      <c r="BD65" s="48"/>
      <c r="BE65" s="48"/>
      <c r="BF65" s="134" t="s">
        <v>0</v>
      </c>
      <c r="BG65" s="131"/>
      <c r="BH65" s="48">
        <v>1644</v>
      </c>
      <c r="BI65" s="48">
        <v>1133</v>
      </c>
      <c r="BJ65" s="48"/>
      <c r="BK65" s="48"/>
      <c r="BL65" s="48"/>
      <c r="BM65" s="48"/>
      <c r="BN65" s="134" t="s">
        <v>0</v>
      </c>
      <c r="BO65" s="131"/>
      <c r="BP65" s="48">
        <v>2885</v>
      </c>
      <c r="BQ65" s="48">
        <v>2560</v>
      </c>
      <c r="BR65" s="48">
        <v>2355</v>
      </c>
      <c r="BS65" s="48">
        <v>3625</v>
      </c>
      <c r="BT65" s="48">
        <v>1092</v>
      </c>
      <c r="BV65" s="134" t="s">
        <v>0</v>
      </c>
      <c r="BW65" s="131"/>
      <c r="BX65" s="48">
        <v>2329</v>
      </c>
      <c r="BY65" s="48">
        <v>2082</v>
      </c>
      <c r="BZ65" s="48">
        <v>2260</v>
      </c>
      <c r="CA65" s="48">
        <v>2569</v>
      </c>
      <c r="CB65" s="48">
        <v>1475</v>
      </c>
      <c r="CC65" s="48"/>
      <c r="CD65" s="134" t="s">
        <v>0</v>
      </c>
      <c r="CE65" s="131"/>
      <c r="CF65" s="48">
        <v>3398</v>
      </c>
      <c r="CG65" s="48">
        <v>2059</v>
      </c>
      <c r="CH65" s="48">
        <v>3081</v>
      </c>
      <c r="CI65" s="48">
        <v>3496</v>
      </c>
      <c r="CJ65" s="48">
        <v>1429</v>
      </c>
      <c r="CL65" s="134" t="s">
        <v>0</v>
      </c>
      <c r="CM65" s="131"/>
      <c r="CN65" s="48">
        <v>3685</v>
      </c>
      <c r="CO65" s="48">
        <v>3495</v>
      </c>
      <c r="CP65" s="48">
        <v>3608</v>
      </c>
      <c r="CQ65" s="48">
        <v>3631</v>
      </c>
      <c r="CR65" s="48">
        <v>1290</v>
      </c>
      <c r="CT65" s="134" t="s">
        <v>0</v>
      </c>
      <c r="CU65" s="131"/>
      <c r="CV65" s="131">
        <v>4879</v>
      </c>
      <c r="CW65" s="48"/>
      <c r="CX65" s="48"/>
      <c r="CY65" s="48"/>
      <c r="CZ65" s="48"/>
      <c r="DB65" s="134" t="s">
        <v>0</v>
      </c>
      <c r="DC65" s="131"/>
      <c r="DD65" s="48">
        <v>4433</v>
      </c>
      <c r="DE65" s="48"/>
      <c r="DF65" s="48"/>
      <c r="DG65" s="48"/>
      <c r="DH65" s="48"/>
      <c r="DI65" s="48"/>
      <c r="DJ65" s="134" t="s">
        <v>0</v>
      </c>
      <c r="DK65" s="131"/>
      <c r="DL65" s="48">
        <v>5505</v>
      </c>
      <c r="DM65" s="48"/>
      <c r="DN65" s="48"/>
      <c r="DO65" s="48"/>
      <c r="DP65" s="48"/>
      <c r="DR65" s="134" t="s">
        <v>0</v>
      </c>
      <c r="DS65" s="131"/>
      <c r="DT65" s="48">
        <v>2956</v>
      </c>
      <c r="DU65" s="48"/>
      <c r="DV65" s="48"/>
      <c r="DW65" s="48"/>
      <c r="DX65" s="48"/>
      <c r="DZ65" s="134" t="s">
        <v>0</v>
      </c>
      <c r="EA65" s="131"/>
      <c r="EB65" s="48"/>
      <c r="EC65" s="48"/>
      <c r="ED65" s="48"/>
      <c r="EE65" s="48"/>
      <c r="EF65" s="48"/>
    </row>
    <row r="66" spans="1:136" x14ac:dyDescent="0.2">
      <c r="A66" s="292"/>
      <c r="B66" s="134" t="s">
        <v>1</v>
      </c>
      <c r="C66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6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32528</v>
      </c>
      <c r="E66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28780</v>
      </c>
      <c r="F66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26826</v>
      </c>
      <c r="G66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29492</v>
      </c>
      <c r="H66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14844</v>
      </c>
      <c r="I66" s="48"/>
      <c r="J66" s="134" t="s">
        <v>1</v>
      </c>
      <c r="K66" s="131"/>
      <c r="L66" s="131">
        <v>4143</v>
      </c>
      <c r="M66" s="48">
        <v>3430</v>
      </c>
      <c r="N66" s="48">
        <v>3443</v>
      </c>
      <c r="O66" s="48">
        <v>6525</v>
      </c>
      <c r="P66" s="48">
        <v>2623</v>
      </c>
      <c r="R66" s="134" t="s">
        <v>1</v>
      </c>
      <c r="S66" s="131"/>
      <c r="T66" s="48">
        <v>1969</v>
      </c>
      <c r="U66" s="48">
        <v>1838</v>
      </c>
      <c r="V66" s="48">
        <v>1977</v>
      </c>
      <c r="W66" s="48">
        <v>2727</v>
      </c>
      <c r="X66" s="48">
        <v>1578</v>
      </c>
      <c r="Z66" s="134" t="s">
        <v>1</v>
      </c>
      <c r="AA66" s="131"/>
      <c r="AB66" s="48">
        <v>2459</v>
      </c>
      <c r="AC66" s="48">
        <v>2271</v>
      </c>
      <c r="AD66" s="48">
        <v>2552</v>
      </c>
      <c r="AE66" s="48">
        <v>2891</v>
      </c>
      <c r="AF66" s="48">
        <v>2026</v>
      </c>
      <c r="AH66" s="134" t="s">
        <v>1</v>
      </c>
      <c r="AI66" s="131"/>
      <c r="AJ66" s="131">
        <v>3952</v>
      </c>
      <c r="AK66" s="48">
        <v>3574</v>
      </c>
      <c r="AL66" s="48">
        <v>2605</v>
      </c>
      <c r="AM66" s="48">
        <v>2813</v>
      </c>
      <c r="AN66" s="48">
        <v>1269</v>
      </c>
      <c r="AP66" s="134" t="s">
        <v>1</v>
      </c>
      <c r="AQ66" s="131"/>
      <c r="AR66" s="131">
        <v>2951</v>
      </c>
      <c r="AS66" s="48">
        <v>2882</v>
      </c>
      <c r="AT66" s="48">
        <v>2427</v>
      </c>
      <c r="AU66" s="48">
        <v>1006</v>
      </c>
      <c r="AV66" s="48"/>
      <c r="AX66" s="134" t="s">
        <v>1</v>
      </c>
      <c r="AY66" s="131"/>
      <c r="AZ66" s="48">
        <v>1841</v>
      </c>
      <c r="BA66" s="48">
        <v>1748</v>
      </c>
      <c r="BB66" s="48">
        <v>1295</v>
      </c>
      <c r="BC66" s="48">
        <v>375</v>
      </c>
      <c r="BD66" s="48"/>
      <c r="BE66" s="48"/>
      <c r="BF66" s="134" t="s">
        <v>1</v>
      </c>
      <c r="BG66" s="131"/>
      <c r="BH66" s="48">
        <v>1945</v>
      </c>
      <c r="BI66" s="48">
        <v>1378</v>
      </c>
      <c r="BJ66" s="48"/>
      <c r="BK66" s="48"/>
      <c r="BL66" s="48"/>
      <c r="BM66" s="48"/>
      <c r="BN66" s="134" t="s">
        <v>1</v>
      </c>
      <c r="BO66" s="131"/>
      <c r="BP66" s="48">
        <v>2808</v>
      </c>
      <c r="BQ66" s="48">
        <v>2527</v>
      </c>
      <c r="BR66" s="48">
        <v>2329</v>
      </c>
      <c r="BS66" s="48">
        <v>2920</v>
      </c>
      <c r="BT66" s="48">
        <v>1391</v>
      </c>
      <c r="BV66" s="134" t="s">
        <v>1</v>
      </c>
      <c r="BW66" s="131"/>
      <c r="BX66" s="48">
        <v>2685</v>
      </c>
      <c r="BY66" s="48">
        <v>2544</v>
      </c>
      <c r="BZ66" s="48">
        <v>2732</v>
      </c>
      <c r="CA66" s="48">
        <v>2686</v>
      </c>
      <c r="CB66" s="48">
        <v>1858</v>
      </c>
      <c r="CC66" s="48"/>
      <c r="CD66" s="134" t="s">
        <v>1</v>
      </c>
      <c r="CE66" s="131"/>
      <c r="CF66" s="48">
        <v>3930</v>
      </c>
      <c r="CG66" s="48">
        <v>2654</v>
      </c>
      <c r="CH66" s="48">
        <v>3927</v>
      </c>
      <c r="CI66" s="48">
        <v>3963</v>
      </c>
      <c r="CJ66" s="48">
        <v>2264</v>
      </c>
      <c r="CL66" s="134" t="s">
        <v>1</v>
      </c>
      <c r="CM66" s="131"/>
      <c r="CN66" s="48">
        <v>3845</v>
      </c>
      <c r="CO66" s="48">
        <v>3934</v>
      </c>
      <c r="CP66" s="48">
        <v>3539</v>
      </c>
      <c r="CQ66" s="48">
        <v>3586</v>
      </c>
      <c r="CR66" s="48">
        <v>1835</v>
      </c>
      <c r="CT66" s="134" t="s">
        <v>1</v>
      </c>
      <c r="CU66" s="131"/>
      <c r="CV66" s="131">
        <v>4973</v>
      </c>
      <c r="CW66" s="48"/>
      <c r="CX66" s="48"/>
      <c r="CY66" s="48"/>
      <c r="CZ66" s="48"/>
      <c r="DB66" s="134" t="s">
        <v>1</v>
      </c>
      <c r="DC66" s="131"/>
      <c r="DD66" s="48">
        <v>4739</v>
      </c>
      <c r="DE66" s="48"/>
      <c r="DF66" s="48"/>
      <c r="DG66" s="48"/>
      <c r="DH66" s="48"/>
      <c r="DI66" s="48"/>
      <c r="DJ66" s="134" t="s">
        <v>1</v>
      </c>
      <c r="DK66" s="131"/>
      <c r="DL66" s="48">
        <v>5296</v>
      </c>
      <c r="DM66" s="48"/>
      <c r="DN66" s="48"/>
      <c r="DO66" s="48"/>
      <c r="DP66" s="48"/>
      <c r="DR66" s="134" t="s">
        <v>1</v>
      </c>
      <c r="DS66" s="131"/>
      <c r="DT66" s="48">
        <v>2894</v>
      </c>
      <c r="DU66" s="48"/>
      <c r="DV66" s="48"/>
      <c r="DW66" s="48"/>
      <c r="DX66" s="48"/>
      <c r="DZ66" s="134" t="s">
        <v>1</v>
      </c>
      <c r="EA66" s="131"/>
      <c r="EB66" s="48"/>
      <c r="EC66" s="48"/>
      <c r="ED66" s="48"/>
      <c r="EE66" s="48"/>
      <c r="EF66" s="48"/>
    </row>
    <row r="67" spans="1:136" x14ac:dyDescent="0.2">
      <c r="A67" s="292"/>
      <c r="B67" s="134" t="s">
        <v>3</v>
      </c>
      <c r="C67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7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33641</v>
      </c>
      <c r="E67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29225</v>
      </c>
      <c r="F67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27683</v>
      </c>
      <c r="G67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32373</v>
      </c>
      <c r="H67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17208</v>
      </c>
      <c r="I67" s="48"/>
      <c r="J67" s="134" t="s">
        <v>3</v>
      </c>
      <c r="K67" s="131"/>
      <c r="L67" s="131">
        <v>3986</v>
      </c>
      <c r="M67" s="48">
        <v>3263</v>
      </c>
      <c r="N67" s="48">
        <v>3307</v>
      </c>
      <c r="O67" s="48">
        <v>3945</v>
      </c>
      <c r="P67" s="48">
        <v>2602</v>
      </c>
      <c r="R67" s="134" t="s">
        <v>3</v>
      </c>
      <c r="S67" s="131"/>
      <c r="T67" s="48">
        <v>1932</v>
      </c>
      <c r="U67" s="48">
        <v>1913</v>
      </c>
      <c r="V67" s="48">
        <v>2098</v>
      </c>
      <c r="W67" s="48">
        <v>2733</v>
      </c>
      <c r="X67" s="48">
        <v>1682</v>
      </c>
      <c r="Z67" s="134" t="s">
        <v>3</v>
      </c>
      <c r="AA67" s="131"/>
      <c r="AB67" s="48">
        <v>2361</v>
      </c>
      <c r="AC67" s="48">
        <v>2301</v>
      </c>
      <c r="AD67" s="48">
        <v>2423</v>
      </c>
      <c r="AE67" s="48">
        <v>2845</v>
      </c>
      <c r="AF67" s="48">
        <v>2338</v>
      </c>
      <c r="AH67" s="134" t="s">
        <v>3</v>
      </c>
      <c r="AI67" s="131"/>
      <c r="AJ67" s="131">
        <v>4003</v>
      </c>
      <c r="AK67" s="48">
        <v>3598</v>
      </c>
      <c r="AL67" s="48">
        <v>2635</v>
      </c>
      <c r="AM67" s="48">
        <v>3209</v>
      </c>
      <c r="AN67" s="48">
        <v>1478</v>
      </c>
      <c r="AP67" s="134" t="s">
        <v>3</v>
      </c>
      <c r="AQ67" s="131"/>
      <c r="AR67" s="131">
        <v>2953</v>
      </c>
      <c r="AS67" s="48">
        <v>2785</v>
      </c>
      <c r="AT67" s="48">
        <v>2376</v>
      </c>
      <c r="AU67" s="48">
        <v>1900</v>
      </c>
      <c r="AV67" s="48"/>
      <c r="AX67" s="134" t="s">
        <v>3</v>
      </c>
      <c r="AY67" s="131"/>
      <c r="AZ67" s="48">
        <v>2016</v>
      </c>
      <c r="BA67" s="48">
        <v>1667</v>
      </c>
      <c r="BB67" s="48">
        <v>1472</v>
      </c>
      <c r="BC67" s="48">
        <v>1994</v>
      </c>
      <c r="BD67" s="48"/>
      <c r="BE67" s="48"/>
      <c r="BF67" s="134" t="s">
        <v>3</v>
      </c>
      <c r="BG67" s="131"/>
      <c r="BH67" s="48">
        <v>2033</v>
      </c>
      <c r="BI67" s="48">
        <v>1282</v>
      </c>
      <c r="BJ67" s="48"/>
      <c r="BK67" s="48"/>
      <c r="BL67" s="48"/>
      <c r="BM67" s="48"/>
      <c r="BN67" s="134" t="s">
        <v>3</v>
      </c>
      <c r="BO67" s="131"/>
      <c r="BP67" s="48">
        <v>2918</v>
      </c>
      <c r="BQ67" s="48">
        <v>2424</v>
      </c>
      <c r="BR67" s="48">
        <v>2179</v>
      </c>
      <c r="BS67" s="48">
        <v>3164</v>
      </c>
      <c r="BT67" s="48">
        <v>1683</v>
      </c>
      <c r="BV67" s="134" t="s">
        <v>3</v>
      </c>
      <c r="BW67" s="131"/>
      <c r="BX67" s="48">
        <v>2913</v>
      </c>
      <c r="BY67" s="48">
        <v>2653</v>
      </c>
      <c r="BZ67" s="48">
        <v>2850</v>
      </c>
      <c r="CA67" s="48">
        <v>3483</v>
      </c>
      <c r="CB67" s="48">
        <v>2368</v>
      </c>
      <c r="CC67" s="48"/>
      <c r="CD67" s="134" t="s">
        <v>3</v>
      </c>
      <c r="CE67" s="131"/>
      <c r="CF67" s="48">
        <v>4795</v>
      </c>
      <c r="CG67" s="48">
        <v>3178</v>
      </c>
      <c r="CH67" s="48">
        <v>4742</v>
      </c>
      <c r="CI67" s="48">
        <v>4725</v>
      </c>
      <c r="CJ67" s="48">
        <v>2626</v>
      </c>
      <c r="CL67" s="134" t="s">
        <v>3</v>
      </c>
      <c r="CM67" s="131"/>
      <c r="CN67" s="48">
        <v>3731</v>
      </c>
      <c r="CO67" s="48">
        <v>4161</v>
      </c>
      <c r="CP67" s="48">
        <v>3601</v>
      </c>
      <c r="CQ67" s="48">
        <v>4375</v>
      </c>
      <c r="CR67" s="48">
        <v>2431</v>
      </c>
      <c r="CT67" s="134" t="s">
        <v>3</v>
      </c>
      <c r="CU67" s="131"/>
      <c r="CV67" s="131">
        <v>5150</v>
      </c>
      <c r="CW67" s="48"/>
      <c r="CX67" s="48"/>
      <c r="CY67" s="48"/>
      <c r="CZ67" s="48"/>
      <c r="DB67" s="134" t="s">
        <v>3</v>
      </c>
      <c r="DC67" s="131"/>
      <c r="DD67" s="48">
        <v>4884</v>
      </c>
      <c r="DE67" s="48"/>
      <c r="DF67" s="48"/>
      <c r="DG67" s="48"/>
      <c r="DH67" s="48"/>
      <c r="DI67" s="48"/>
      <c r="DJ67" s="134" t="s">
        <v>3</v>
      </c>
      <c r="DK67" s="131"/>
      <c r="DL67" s="48">
        <v>5434</v>
      </c>
      <c r="DM67" s="48"/>
      <c r="DN67" s="48"/>
      <c r="DO67" s="48"/>
      <c r="DP67" s="48"/>
      <c r="DR67" s="134" t="s">
        <v>3</v>
      </c>
      <c r="DS67" s="131"/>
      <c r="DT67" s="48">
        <v>2966</v>
      </c>
      <c r="DU67" s="48"/>
      <c r="DV67" s="48"/>
      <c r="DW67" s="48"/>
      <c r="DX67" s="48"/>
      <c r="DZ67" s="134" t="s">
        <v>3</v>
      </c>
      <c r="EA67" s="131"/>
      <c r="EB67" s="48">
        <v>1891</v>
      </c>
      <c r="EC67" s="48"/>
      <c r="ED67" s="48"/>
      <c r="EE67" s="48"/>
      <c r="EF67" s="48"/>
    </row>
    <row r="68" spans="1:136" x14ac:dyDescent="0.2">
      <c r="A68" s="292"/>
      <c r="B68" s="134" t="s">
        <v>71</v>
      </c>
      <c r="C68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8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29034</v>
      </c>
      <c r="E68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27272</v>
      </c>
      <c r="F68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25019</v>
      </c>
      <c r="G68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26093</v>
      </c>
      <c r="H68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17384</v>
      </c>
      <c r="I68" s="48"/>
      <c r="J68" s="134" t="s">
        <v>71</v>
      </c>
      <c r="K68" s="131"/>
      <c r="L68" s="131">
        <v>3631</v>
      </c>
      <c r="M68" s="48">
        <v>3361</v>
      </c>
      <c r="N68" s="48">
        <v>3368</v>
      </c>
      <c r="O68" s="48">
        <v>3520</v>
      </c>
      <c r="P68" s="48">
        <v>3214</v>
      </c>
      <c r="R68" s="134" t="s">
        <v>71</v>
      </c>
      <c r="S68" s="131"/>
      <c r="T68" s="48">
        <v>1884</v>
      </c>
      <c r="U68" s="48">
        <v>1790</v>
      </c>
      <c r="V68" s="48">
        <v>1942</v>
      </c>
      <c r="W68" s="48">
        <v>2533</v>
      </c>
      <c r="X68" s="48">
        <v>1693</v>
      </c>
      <c r="Z68" s="134" t="s">
        <v>71</v>
      </c>
      <c r="AA68" s="131"/>
      <c r="AB68" s="48">
        <v>2319</v>
      </c>
      <c r="AC68" s="48">
        <v>2377</v>
      </c>
      <c r="AD68" s="48">
        <v>2698</v>
      </c>
      <c r="AE68" s="48">
        <v>2900</v>
      </c>
      <c r="AF68" s="48">
        <v>2558</v>
      </c>
      <c r="AH68" s="134" t="s">
        <v>71</v>
      </c>
      <c r="AI68" s="131"/>
      <c r="AJ68" s="131">
        <v>3658</v>
      </c>
      <c r="AK68" s="48">
        <v>3207</v>
      </c>
      <c r="AL68" s="48">
        <v>2456</v>
      </c>
      <c r="AM68" s="48">
        <v>2083</v>
      </c>
      <c r="AN68" s="48">
        <v>1652</v>
      </c>
      <c r="AP68" s="134" t="s">
        <v>71</v>
      </c>
      <c r="AQ68" s="131"/>
      <c r="AR68" s="131">
        <v>2808</v>
      </c>
      <c r="AS68" s="48">
        <v>2587</v>
      </c>
      <c r="AT68" s="48">
        <v>2182</v>
      </c>
      <c r="AU68" s="48">
        <v>1891</v>
      </c>
      <c r="AV68" s="48"/>
      <c r="AX68" s="134" t="s">
        <v>71</v>
      </c>
      <c r="AY68" s="131"/>
      <c r="AZ68" s="48">
        <v>1777</v>
      </c>
      <c r="BA68" s="48">
        <v>1808</v>
      </c>
      <c r="BB68" s="48">
        <v>1226</v>
      </c>
      <c r="BC68" s="48">
        <v>1553</v>
      </c>
      <c r="BD68" s="48"/>
      <c r="BE68" s="48"/>
      <c r="BF68" s="134" t="s">
        <v>71</v>
      </c>
      <c r="BG68" s="131"/>
      <c r="BH68" s="48">
        <v>1627</v>
      </c>
      <c r="BI68" s="48">
        <v>1218</v>
      </c>
      <c r="BJ68" s="48"/>
      <c r="BK68" s="48"/>
      <c r="BL68" s="48"/>
      <c r="BM68" s="48"/>
      <c r="BN68" s="134" t="s">
        <v>71</v>
      </c>
      <c r="BO68" s="131"/>
      <c r="BP68" s="48">
        <v>2775</v>
      </c>
      <c r="BQ68" s="48">
        <v>2580</v>
      </c>
      <c r="BR68" s="48">
        <v>2206</v>
      </c>
      <c r="BS68" s="48">
        <v>3148</v>
      </c>
      <c r="BT68" s="48">
        <v>2480</v>
      </c>
      <c r="BV68" s="134" t="s">
        <v>71</v>
      </c>
      <c r="BW68" s="131"/>
      <c r="BX68" s="48">
        <v>2377</v>
      </c>
      <c r="BY68" s="48">
        <v>2712</v>
      </c>
      <c r="BZ68" s="48">
        <v>2112</v>
      </c>
      <c r="CA68" s="48">
        <v>2305</v>
      </c>
      <c r="CB68" s="48">
        <v>2062</v>
      </c>
      <c r="CC68" s="48"/>
      <c r="CD68" s="134" t="s">
        <v>71</v>
      </c>
      <c r="CE68" s="131"/>
      <c r="CF68" s="48">
        <v>2911</v>
      </c>
      <c r="CG68" s="48">
        <v>2147</v>
      </c>
      <c r="CH68" s="48">
        <v>3500</v>
      </c>
      <c r="CI68" s="48">
        <v>2749</v>
      </c>
      <c r="CJ68" s="48">
        <v>1555</v>
      </c>
      <c r="CL68" s="134" t="s">
        <v>71</v>
      </c>
      <c r="CM68" s="131"/>
      <c r="CN68" s="48">
        <v>3267</v>
      </c>
      <c r="CO68" s="48">
        <v>3485</v>
      </c>
      <c r="CP68" s="48">
        <v>3329</v>
      </c>
      <c r="CQ68" s="48">
        <v>3411</v>
      </c>
      <c r="CR68" s="48">
        <v>2170</v>
      </c>
      <c r="CT68" s="134" t="s">
        <v>71</v>
      </c>
      <c r="CU68" s="131"/>
      <c r="CV68" s="131">
        <v>4940</v>
      </c>
      <c r="CW68" s="48"/>
      <c r="CX68" s="48"/>
      <c r="CY68" s="48"/>
      <c r="CZ68" s="48"/>
      <c r="DB68" s="134" t="s">
        <v>71</v>
      </c>
      <c r="DC68" s="131"/>
      <c r="DD68" s="48">
        <v>4621</v>
      </c>
      <c r="DE68" s="48"/>
      <c r="DF68" s="48"/>
      <c r="DG68" s="48"/>
      <c r="DH68" s="48"/>
      <c r="DI68" s="48"/>
      <c r="DJ68" s="134" t="s">
        <v>71</v>
      </c>
      <c r="DK68" s="131"/>
      <c r="DL68" s="48">
        <v>5820</v>
      </c>
      <c r="DM68" s="48"/>
      <c r="DN68" s="48"/>
      <c r="DO68" s="48"/>
      <c r="DP68" s="48"/>
      <c r="DR68" s="134" t="s">
        <v>71</v>
      </c>
      <c r="DS68" s="131"/>
      <c r="DT68" s="48">
        <v>2779</v>
      </c>
      <c r="DU68" s="48"/>
      <c r="DV68" s="48"/>
      <c r="DW68" s="48"/>
      <c r="DX68" s="48"/>
      <c r="DZ68" s="134" t="s">
        <v>71</v>
      </c>
      <c r="EA68" s="273"/>
      <c r="EB68" s="48">
        <v>1579</v>
      </c>
      <c r="EC68" s="48"/>
      <c r="ED68" s="48"/>
      <c r="EE68" s="48"/>
      <c r="EF68" s="48"/>
    </row>
    <row r="69" spans="1:136" x14ac:dyDescent="0.2">
      <c r="A69" s="292"/>
      <c r="B69" s="134" t="s">
        <v>12</v>
      </c>
      <c r="C69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9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30245</v>
      </c>
      <c r="E69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26941</v>
      </c>
      <c r="F69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27423</v>
      </c>
      <c r="G69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31089</v>
      </c>
      <c r="H69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16975</v>
      </c>
      <c r="I69" s="48"/>
      <c r="J69" s="134" t="s">
        <v>12</v>
      </c>
      <c r="K69" s="131"/>
      <c r="L69" s="131">
        <v>4203</v>
      </c>
      <c r="M69" s="48">
        <v>3280</v>
      </c>
      <c r="N69" s="48">
        <v>4170</v>
      </c>
      <c r="O69" s="48">
        <v>4110</v>
      </c>
      <c r="P69" s="48">
        <v>3493</v>
      </c>
      <c r="R69" s="134" t="s">
        <v>12</v>
      </c>
      <c r="S69" s="131"/>
      <c r="T69" s="48">
        <v>1857</v>
      </c>
      <c r="U69" s="48">
        <v>1825</v>
      </c>
      <c r="V69" s="48">
        <v>2247</v>
      </c>
      <c r="W69" s="48">
        <v>2940</v>
      </c>
      <c r="X69" s="48">
        <v>2038</v>
      </c>
      <c r="Z69" s="134" t="s">
        <v>12</v>
      </c>
      <c r="AA69" s="131"/>
      <c r="AB69" s="48">
        <v>2123</v>
      </c>
      <c r="AC69" s="48">
        <v>2329</v>
      </c>
      <c r="AD69" s="48">
        <v>2969</v>
      </c>
      <c r="AE69" s="48">
        <v>3648</v>
      </c>
      <c r="AF69" s="48">
        <v>2877</v>
      </c>
      <c r="AH69" s="134" t="s">
        <v>12</v>
      </c>
      <c r="AI69" s="131"/>
      <c r="AJ69" s="131">
        <v>3865</v>
      </c>
      <c r="AK69" s="48">
        <v>3403</v>
      </c>
      <c r="AL69" s="48">
        <v>2799</v>
      </c>
      <c r="AM69" s="48">
        <v>2544</v>
      </c>
      <c r="AN69" s="48">
        <v>1666</v>
      </c>
      <c r="AP69" s="134" t="s">
        <v>12</v>
      </c>
      <c r="AQ69" s="131"/>
      <c r="AR69" s="131">
        <v>3002</v>
      </c>
      <c r="AS69" s="48">
        <v>2750</v>
      </c>
      <c r="AT69" s="48">
        <v>2517</v>
      </c>
      <c r="AU69" s="48">
        <v>2749</v>
      </c>
      <c r="AV69" s="48"/>
      <c r="AX69" s="134" t="s">
        <v>12</v>
      </c>
      <c r="AY69" s="131"/>
      <c r="AZ69" s="48">
        <v>1829</v>
      </c>
      <c r="BA69" s="48">
        <v>1744</v>
      </c>
      <c r="BB69" s="48">
        <v>1432</v>
      </c>
      <c r="BC69" s="48">
        <v>1509</v>
      </c>
      <c r="BD69" s="48"/>
      <c r="BE69" s="48"/>
      <c r="BF69" s="134" t="s">
        <v>12</v>
      </c>
      <c r="BG69" s="131"/>
      <c r="BH69" s="48">
        <v>1632</v>
      </c>
      <c r="BI69" s="48">
        <v>966</v>
      </c>
      <c r="BJ69" s="48"/>
      <c r="BK69" s="48"/>
      <c r="BL69" s="48"/>
      <c r="BM69" s="48"/>
      <c r="BN69" s="134" t="s">
        <v>12</v>
      </c>
      <c r="BO69" s="131"/>
      <c r="BP69" s="48">
        <v>2871</v>
      </c>
      <c r="BQ69" s="48">
        <v>2615</v>
      </c>
      <c r="BR69" s="48">
        <v>2495</v>
      </c>
      <c r="BS69" s="48">
        <v>3424</v>
      </c>
      <c r="BT69" s="48">
        <v>1803</v>
      </c>
      <c r="BV69" s="134" t="s">
        <v>12</v>
      </c>
      <c r="BW69" s="131"/>
      <c r="BX69" s="48">
        <v>2368</v>
      </c>
      <c r="BY69" s="48">
        <v>2227</v>
      </c>
      <c r="BZ69" s="48">
        <v>2218</v>
      </c>
      <c r="CA69" s="48">
        <v>2886</v>
      </c>
      <c r="CB69" s="48">
        <v>1827</v>
      </c>
      <c r="CC69" s="48"/>
      <c r="CD69" s="134" t="s">
        <v>12</v>
      </c>
      <c r="CE69" s="131"/>
      <c r="CF69" s="48">
        <v>3040</v>
      </c>
      <c r="CG69" s="48">
        <v>2100</v>
      </c>
      <c r="CH69" s="48">
        <v>3287</v>
      </c>
      <c r="CI69" s="48">
        <v>3241</v>
      </c>
      <c r="CJ69" s="48">
        <v>1243</v>
      </c>
      <c r="CL69" s="134" t="s">
        <v>12</v>
      </c>
      <c r="CM69" s="131"/>
      <c r="CN69" s="48">
        <v>3455</v>
      </c>
      <c r="CO69" s="48">
        <v>3702</v>
      </c>
      <c r="CP69" s="48">
        <v>3289</v>
      </c>
      <c r="CQ69" s="48">
        <v>4038</v>
      </c>
      <c r="CR69" s="48">
        <v>2028</v>
      </c>
      <c r="CT69" s="134" t="s">
        <v>12</v>
      </c>
      <c r="CU69" s="131"/>
      <c r="CV69" s="131">
        <v>4627</v>
      </c>
      <c r="CW69" s="48"/>
      <c r="CX69" s="48"/>
      <c r="CY69" s="48"/>
      <c r="CZ69" s="48"/>
      <c r="DB69" s="134" t="s">
        <v>12</v>
      </c>
      <c r="DC69" s="131"/>
      <c r="DD69" s="48">
        <v>4554</v>
      </c>
      <c r="DE69" s="48"/>
      <c r="DF69" s="48"/>
      <c r="DG69" s="48"/>
      <c r="DH69" s="48"/>
      <c r="DI69" s="48"/>
      <c r="DJ69" s="134" t="s">
        <v>12</v>
      </c>
      <c r="DK69" s="131"/>
      <c r="DL69" s="48">
        <v>5758</v>
      </c>
      <c r="DM69" s="48"/>
      <c r="DN69" s="48"/>
      <c r="DO69" s="48"/>
      <c r="DP69" s="48"/>
      <c r="DR69" s="134" t="s">
        <v>12</v>
      </c>
      <c r="DS69" s="131"/>
      <c r="DT69" s="48">
        <v>3191</v>
      </c>
      <c r="DU69" s="48"/>
      <c r="DV69" s="48"/>
      <c r="DW69" s="48"/>
      <c r="DX69" s="48"/>
      <c r="DZ69" s="134" t="s">
        <v>12</v>
      </c>
      <c r="EA69" s="131"/>
      <c r="EB69" s="48">
        <v>1809</v>
      </c>
      <c r="EC69" s="48"/>
      <c r="ED69" s="48"/>
      <c r="EE69" s="48"/>
      <c r="EF69" s="48"/>
    </row>
    <row r="70" spans="1:136" x14ac:dyDescent="0.2">
      <c r="A70" s="292"/>
      <c r="B70" s="134" t="s">
        <v>13</v>
      </c>
      <c r="C70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0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32760</v>
      </c>
      <c r="E70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28743</v>
      </c>
      <c r="F70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25418</v>
      </c>
      <c r="G70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34434</v>
      </c>
      <c r="H70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8310</v>
      </c>
      <c r="I70" s="48"/>
      <c r="J70" s="134" t="s">
        <v>13</v>
      </c>
      <c r="K70" s="131"/>
      <c r="L70" s="131">
        <v>4811</v>
      </c>
      <c r="M70" s="48">
        <v>3575</v>
      </c>
      <c r="N70" s="48">
        <v>3686</v>
      </c>
      <c r="O70" s="48">
        <v>4669</v>
      </c>
      <c r="P70" s="48">
        <v>1944</v>
      </c>
      <c r="R70" s="134" t="s">
        <v>13</v>
      </c>
      <c r="S70" s="131"/>
      <c r="T70" s="48">
        <v>1830</v>
      </c>
      <c r="U70" s="48">
        <v>1936</v>
      </c>
      <c r="V70" s="48">
        <v>2029</v>
      </c>
      <c r="W70" s="48">
        <v>3338</v>
      </c>
      <c r="X70" s="48">
        <v>1643</v>
      </c>
      <c r="Z70" s="134" t="s">
        <v>13</v>
      </c>
      <c r="AA70" s="131"/>
      <c r="AB70" s="48">
        <v>2623</v>
      </c>
      <c r="AC70" s="48">
        <v>2511</v>
      </c>
      <c r="AD70" s="48">
        <v>2677</v>
      </c>
      <c r="AE70" s="48">
        <v>3606</v>
      </c>
      <c r="AF70" s="48">
        <v>2323</v>
      </c>
      <c r="AH70" s="134" t="s">
        <v>13</v>
      </c>
      <c r="AI70" s="131"/>
      <c r="AJ70" s="131">
        <v>4240</v>
      </c>
      <c r="AK70" s="48">
        <v>3531</v>
      </c>
      <c r="AL70" s="48">
        <v>2839</v>
      </c>
      <c r="AM70" s="48">
        <v>3177</v>
      </c>
      <c r="AN70" s="48">
        <v>57</v>
      </c>
      <c r="AP70" s="134" t="s">
        <v>13</v>
      </c>
      <c r="AQ70" s="131"/>
      <c r="AR70" s="131">
        <v>3297</v>
      </c>
      <c r="AS70" s="48">
        <v>2966</v>
      </c>
      <c r="AT70" s="48">
        <v>2332</v>
      </c>
      <c r="AU70" s="48">
        <v>3362</v>
      </c>
      <c r="AV70" s="48"/>
      <c r="AX70" s="134" t="s">
        <v>13</v>
      </c>
      <c r="AY70" s="131"/>
      <c r="AZ70" s="48">
        <v>1865</v>
      </c>
      <c r="BA70" s="48">
        <v>1940</v>
      </c>
      <c r="BB70" s="48">
        <v>1300</v>
      </c>
      <c r="BC70" s="48">
        <v>1815</v>
      </c>
      <c r="BD70" s="48"/>
      <c r="BE70" s="48"/>
      <c r="BF70" s="134" t="s">
        <v>13</v>
      </c>
      <c r="BG70" s="131"/>
      <c r="BH70" s="48">
        <v>1653</v>
      </c>
      <c r="BI70" s="48">
        <v>1049</v>
      </c>
      <c r="BJ70" s="48"/>
      <c r="BK70" s="48"/>
      <c r="BL70" s="48"/>
      <c r="BM70" s="48"/>
      <c r="BN70" s="134" t="s">
        <v>13</v>
      </c>
      <c r="BO70" s="131"/>
      <c r="BP70" s="48">
        <v>3116</v>
      </c>
      <c r="BQ70" s="48">
        <v>2866</v>
      </c>
      <c r="BR70" s="48">
        <v>2190</v>
      </c>
      <c r="BS70" s="48">
        <v>3788</v>
      </c>
      <c r="BT70" s="48">
        <v>189</v>
      </c>
      <c r="BV70" s="134" t="s">
        <v>13</v>
      </c>
      <c r="BW70" s="131"/>
      <c r="BX70" s="48">
        <v>2402</v>
      </c>
      <c r="BY70" s="48">
        <v>2251</v>
      </c>
      <c r="BZ70" s="48">
        <v>1929</v>
      </c>
      <c r="CA70" s="48">
        <v>2897</v>
      </c>
      <c r="CB70" s="48">
        <v>1158</v>
      </c>
      <c r="CC70" s="48"/>
      <c r="CD70" s="134" t="s">
        <v>13</v>
      </c>
      <c r="CE70" s="131"/>
      <c r="CF70" s="48">
        <v>2850</v>
      </c>
      <c r="CG70" s="48">
        <v>2213</v>
      </c>
      <c r="CH70" s="48">
        <v>3240</v>
      </c>
      <c r="CI70" s="48">
        <v>3370</v>
      </c>
      <c r="CJ70" s="48">
        <v>87</v>
      </c>
      <c r="CL70" s="134" t="s">
        <v>13</v>
      </c>
      <c r="CM70" s="131"/>
      <c r="CN70" s="48">
        <v>4073</v>
      </c>
      <c r="CO70" s="48">
        <v>3905</v>
      </c>
      <c r="CP70" s="48">
        <v>3196</v>
      </c>
      <c r="CQ70" s="48">
        <v>4412</v>
      </c>
      <c r="CR70" s="48">
        <v>909</v>
      </c>
      <c r="CT70" s="134" t="s">
        <v>13</v>
      </c>
      <c r="CU70" s="131"/>
      <c r="CV70" s="131">
        <v>5284</v>
      </c>
      <c r="CW70" s="48"/>
      <c r="CX70" s="48"/>
      <c r="CY70" s="48"/>
      <c r="CZ70" s="48"/>
      <c r="DB70" s="134" t="s">
        <v>13</v>
      </c>
      <c r="DC70" s="131"/>
      <c r="DD70" s="48">
        <v>5017</v>
      </c>
      <c r="DE70" s="48"/>
      <c r="DF70" s="48"/>
      <c r="DG70" s="48"/>
      <c r="DH70" s="48"/>
      <c r="DI70" s="48"/>
      <c r="DJ70" s="134" t="s">
        <v>13</v>
      </c>
      <c r="DK70" s="131"/>
      <c r="DL70" s="48">
        <v>5872</v>
      </c>
      <c r="DM70" s="48"/>
      <c r="DN70" s="48"/>
      <c r="DO70" s="48"/>
      <c r="DP70" s="48"/>
      <c r="DR70" s="134" t="s">
        <v>13</v>
      </c>
      <c r="DS70" s="131"/>
      <c r="DT70" s="48">
        <v>3308</v>
      </c>
      <c r="DU70" s="48"/>
      <c r="DV70" s="48"/>
      <c r="DW70" s="48"/>
      <c r="DX70" s="48"/>
      <c r="DZ70" s="134" t="s">
        <v>13</v>
      </c>
      <c r="EA70" s="131"/>
      <c r="EB70" s="48">
        <v>1792</v>
      </c>
      <c r="EC70" s="48"/>
      <c r="ED70" s="48"/>
      <c r="EE70" s="48"/>
      <c r="EF70" s="48"/>
    </row>
    <row r="71" spans="1:136" x14ac:dyDescent="0.2">
      <c r="A71" s="292"/>
      <c r="B71" s="134" t="s">
        <v>15</v>
      </c>
      <c r="C71" s="131" t="str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1" s="4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>33760</v>
      </c>
      <c r="E71" s="4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>26969</v>
      </c>
      <c r="F71" s="4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>24843</v>
      </c>
      <c r="G71" s="4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>29548</v>
      </c>
      <c r="H71" s="4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>11911</v>
      </c>
      <c r="I71" s="48"/>
      <c r="J71" s="134" t="s">
        <v>15</v>
      </c>
      <c r="K71" s="131"/>
      <c r="L71" s="131">
        <v>4907</v>
      </c>
      <c r="M71" s="48">
        <v>3471</v>
      </c>
      <c r="N71" s="48">
        <v>3534</v>
      </c>
      <c r="O71" s="48">
        <v>4071</v>
      </c>
      <c r="P71" s="48">
        <v>2288</v>
      </c>
      <c r="R71" s="134" t="s">
        <v>15</v>
      </c>
      <c r="S71" s="131"/>
      <c r="T71" s="48">
        <v>1930</v>
      </c>
      <c r="U71" s="48">
        <v>1717</v>
      </c>
      <c r="V71" s="48">
        <v>2033</v>
      </c>
      <c r="W71" s="48">
        <v>2859</v>
      </c>
      <c r="X71" s="48">
        <v>1877</v>
      </c>
      <c r="Z71" s="134" t="s">
        <v>15</v>
      </c>
      <c r="AA71" s="131"/>
      <c r="AB71" s="48">
        <v>2552</v>
      </c>
      <c r="AC71" s="48">
        <v>2177</v>
      </c>
      <c r="AD71" s="48">
        <v>2587</v>
      </c>
      <c r="AE71" s="48">
        <v>3183</v>
      </c>
      <c r="AF71" s="48">
        <v>2197</v>
      </c>
      <c r="AH71" s="134" t="s">
        <v>15</v>
      </c>
      <c r="AI71" s="131"/>
      <c r="AJ71" s="131">
        <v>4392</v>
      </c>
      <c r="AK71" s="48">
        <v>3431</v>
      </c>
      <c r="AL71" s="48">
        <v>2934</v>
      </c>
      <c r="AM71" s="48">
        <v>2470</v>
      </c>
      <c r="AN71" s="48">
        <v>845</v>
      </c>
      <c r="AP71" s="134" t="s">
        <v>15</v>
      </c>
      <c r="AQ71" s="131"/>
      <c r="AR71" s="131">
        <v>3484</v>
      </c>
      <c r="AS71" s="48">
        <v>3115</v>
      </c>
      <c r="AT71" s="48">
        <v>2460</v>
      </c>
      <c r="AU71" s="48">
        <v>2785</v>
      </c>
      <c r="AV71" s="48"/>
      <c r="AX71" s="134" t="s">
        <v>15</v>
      </c>
      <c r="AY71" s="131"/>
      <c r="AZ71" s="48">
        <v>1909</v>
      </c>
      <c r="BA71" s="48">
        <v>1844</v>
      </c>
      <c r="BB71" s="48">
        <v>1384</v>
      </c>
      <c r="BC71" s="48">
        <v>1411</v>
      </c>
      <c r="BD71" s="48"/>
      <c r="BE71" s="48"/>
      <c r="BF71" s="134" t="s">
        <v>15</v>
      </c>
      <c r="BG71" s="131"/>
      <c r="BH71" s="48">
        <v>1729</v>
      </c>
      <c r="BI71" s="48">
        <v>983</v>
      </c>
      <c r="BJ71" s="48"/>
      <c r="BK71" s="48"/>
      <c r="BL71" s="48"/>
      <c r="BM71" s="48"/>
      <c r="BN71" s="134" t="s">
        <v>15</v>
      </c>
      <c r="BO71" s="131"/>
      <c r="BP71" s="48">
        <v>3288</v>
      </c>
      <c r="BQ71" s="48">
        <v>2765</v>
      </c>
      <c r="BR71" s="48">
        <v>2034</v>
      </c>
      <c r="BS71" s="48">
        <v>2990</v>
      </c>
      <c r="BT71" s="48">
        <v>1031</v>
      </c>
      <c r="BV71" s="134" t="s">
        <v>15</v>
      </c>
      <c r="BW71" s="131"/>
      <c r="BX71" s="48">
        <v>2518</v>
      </c>
      <c r="BY71" s="48">
        <v>2152</v>
      </c>
      <c r="BZ71" s="48">
        <v>2050</v>
      </c>
      <c r="CA71" s="48">
        <v>2410</v>
      </c>
      <c r="CB71" s="48">
        <v>1213</v>
      </c>
      <c r="CC71" s="48"/>
      <c r="CD71" s="134" t="s">
        <v>15</v>
      </c>
      <c r="CE71" s="131"/>
      <c r="CF71" s="48">
        <v>2785</v>
      </c>
      <c r="CG71" s="48">
        <v>2257</v>
      </c>
      <c r="CH71" s="48">
        <v>2720</v>
      </c>
      <c r="CI71" s="48">
        <v>3329</v>
      </c>
      <c r="CJ71" s="48">
        <v>715</v>
      </c>
      <c r="CL71" s="134" t="s">
        <v>15</v>
      </c>
      <c r="CM71" s="131"/>
      <c r="CN71" s="48">
        <v>4266</v>
      </c>
      <c r="CO71" s="48">
        <v>3057</v>
      </c>
      <c r="CP71" s="48">
        <v>3107</v>
      </c>
      <c r="CQ71" s="48">
        <v>4040</v>
      </c>
      <c r="CR71" s="48">
        <v>1745</v>
      </c>
      <c r="CT71" s="134" t="s">
        <v>15</v>
      </c>
      <c r="CU71" s="131"/>
      <c r="CV71" s="131">
        <v>5229</v>
      </c>
      <c r="CW71" s="48"/>
      <c r="CX71" s="48"/>
      <c r="CY71" s="48"/>
      <c r="CZ71" s="48"/>
      <c r="DB71" s="134" t="s">
        <v>15</v>
      </c>
      <c r="DC71" s="131"/>
      <c r="DD71" s="48">
        <v>5704</v>
      </c>
      <c r="DE71" s="48"/>
      <c r="DF71" s="48"/>
      <c r="DG71" s="48"/>
      <c r="DH71" s="48"/>
      <c r="DI71" s="48"/>
      <c r="DJ71" s="134" t="s">
        <v>15</v>
      </c>
      <c r="DK71" s="131"/>
      <c r="DL71" s="48">
        <v>6125</v>
      </c>
      <c r="DM71" s="48"/>
      <c r="DN71" s="48"/>
      <c r="DO71" s="48"/>
      <c r="DP71" s="48"/>
      <c r="DR71" s="134" t="s">
        <v>15</v>
      </c>
      <c r="DS71" s="131"/>
      <c r="DT71" s="48">
        <v>3627</v>
      </c>
      <c r="DU71" s="48"/>
      <c r="DV71" s="48"/>
      <c r="DW71" s="48"/>
      <c r="DX71" s="48"/>
      <c r="DZ71" s="134" t="s">
        <v>15</v>
      </c>
      <c r="EA71" s="131"/>
      <c r="EB71" s="48">
        <v>1841</v>
      </c>
      <c r="EC71" s="48"/>
      <c r="ED71" s="48"/>
      <c r="EE71" s="48"/>
      <c r="EF71" s="48"/>
    </row>
    <row r="73" spans="1:136" ht="15.75" x14ac:dyDescent="0.2">
      <c r="B73" s="45" t="s">
        <v>131</v>
      </c>
      <c r="J73" s="45" t="s">
        <v>2999</v>
      </c>
      <c r="R73" s="45" t="s">
        <v>3001</v>
      </c>
      <c r="Z73" s="45" t="s">
        <v>210</v>
      </c>
      <c r="AH73" s="45" t="s">
        <v>3003</v>
      </c>
      <c r="AP73" s="45" t="s">
        <v>2156</v>
      </c>
      <c r="AX73" s="45" t="s">
        <v>3000</v>
      </c>
      <c r="BF73" s="45" t="s">
        <v>3002</v>
      </c>
      <c r="BN73" s="45" t="s">
        <v>297</v>
      </c>
      <c r="BV73" s="45" t="s">
        <v>296</v>
      </c>
      <c r="CD73" s="45" t="s">
        <v>292</v>
      </c>
      <c r="CL73" s="45" t="s">
        <v>294</v>
      </c>
      <c r="CT73" s="45" t="s">
        <v>6963</v>
      </c>
      <c r="DB73" s="45" t="s">
        <v>6964</v>
      </c>
      <c r="DJ73" s="45" t="s">
        <v>6966</v>
      </c>
      <c r="DR73" s="45" t="s">
        <v>6965</v>
      </c>
      <c r="DZ73" s="45" t="s">
        <v>7094</v>
      </c>
    </row>
    <row r="75" spans="1:136" s="188" customFormat="1" ht="18.600000000000001" customHeight="1" x14ac:dyDescent="0.2">
      <c r="A75" s="292" t="s">
        <v>180</v>
      </c>
      <c r="B75" s="186" t="s">
        <v>106</v>
      </c>
      <c r="C75" s="187" t="s">
        <v>6962</v>
      </c>
      <c r="D75" s="187" t="s">
        <v>2169</v>
      </c>
      <c r="E75" s="187" t="s">
        <v>1553</v>
      </c>
      <c r="F75" s="187" t="s">
        <v>1522</v>
      </c>
      <c r="G75" s="187" t="s">
        <v>1304</v>
      </c>
      <c r="H75" s="187" t="s">
        <v>209</v>
      </c>
      <c r="I75" s="187"/>
      <c r="J75" s="186" t="s">
        <v>106</v>
      </c>
      <c r="K75" s="186" t="s">
        <v>7114</v>
      </c>
      <c r="L75" s="186" t="s">
        <v>6962</v>
      </c>
      <c r="M75" s="186" t="s">
        <v>2169</v>
      </c>
      <c r="N75" s="186" t="s">
        <v>1553</v>
      </c>
      <c r="O75" s="186" t="s">
        <v>1522</v>
      </c>
      <c r="P75" s="186" t="s">
        <v>1304</v>
      </c>
      <c r="R75" s="186" t="s">
        <v>106</v>
      </c>
      <c r="S75" s="186" t="s">
        <v>7114</v>
      </c>
      <c r="T75" s="186" t="s">
        <v>6962</v>
      </c>
      <c r="U75" s="186" t="s">
        <v>2169</v>
      </c>
      <c r="V75" s="186" t="s">
        <v>1553</v>
      </c>
      <c r="W75" s="186" t="s">
        <v>1522</v>
      </c>
      <c r="X75" s="186" t="s">
        <v>1304</v>
      </c>
      <c r="Z75" s="186" t="s">
        <v>106</v>
      </c>
      <c r="AA75" s="186" t="s">
        <v>7114</v>
      </c>
      <c r="AB75" s="186" t="s">
        <v>6962</v>
      </c>
      <c r="AC75" s="186" t="s">
        <v>2169</v>
      </c>
      <c r="AD75" s="186" t="s">
        <v>1553</v>
      </c>
      <c r="AE75" s="186" t="s">
        <v>1522</v>
      </c>
      <c r="AF75" s="186" t="s">
        <v>1304</v>
      </c>
      <c r="AH75" s="186" t="s">
        <v>106</v>
      </c>
      <c r="AI75" s="186" t="s">
        <v>7114</v>
      </c>
      <c r="AJ75" s="186" t="s">
        <v>6962</v>
      </c>
      <c r="AK75" s="186" t="s">
        <v>2169</v>
      </c>
      <c r="AL75" s="186" t="s">
        <v>1553</v>
      </c>
      <c r="AM75" s="186" t="s">
        <v>1522</v>
      </c>
      <c r="AN75" s="186" t="s">
        <v>1304</v>
      </c>
      <c r="AP75" s="186" t="s">
        <v>106</v>
      </c>
      <c r="AQ75" s="186" t="s">
        <v>7114</v>
      </c>
      <c r="AR75" s="186" t="s">
        <v>6962</v>
      </c>
      <c r="AS75" s="186" t="s">
        <v>2169</v>
      </c>
      <c r="AT75" s="186" t="s">
        <v>1553</v>
      </c>
      <c r="AU75" s="186" t="s">
        <v>1522</v>
      </c>
      <c r="AV75" s="186" t="s">
        <v>1304</v>
      </c>
      <c r="AX75" s="186" t="s">
        <v>106</v>
      </c>
      <c r="AY75" s="186" t="s">
        <v>7114</v>
      </c>
      <c r="AZ75" s="186" t="s">
        <v>6962</v>
      </c>
      <c r="BA75" s="186" t="s">
        <v>2169</v>
      </c>
      <c r="BB75" s="186" t="s">
        <v>1553</v>
      </c>
      <c r="BC75" s="186" t="s">
        <v>1522</v>
      </c>
      <c r="BD75" s="186" t="s">
        <v>1304</v>
      </c>
      <c r="BE75" s="187"/>
      <c r="BF75" s="186" t="s">
        <v>106</v>
      </c>
      <c r="BG75" s="186" t="s">
        <v>7114</v>
      </c>
      <c r="BH75" s="186" t="s">
        <v>6962</v>
      </c>
      <c r="BI75" s="186" t="s">
        <v>2169</v>
      </c>
      <c r="BJ75" s="186" t="s">
        <v>1553</v>
      </c>
      <c r="BK75" s="186" t="s">
        <v>1522</v>
      </c>
      <c r="BL75" s="186" t="s">
        <v>1304</v>
      </c>
      <c r="BM75" s="186"/>
      <c r="BN75" s="186" t="s">
        <v>106</v>
      </c>
      <c r="BO75" s="187" t="s">
        <v>7114</v>
      </c>
      <c r="BP75" s="187" t="s">
        <v>6962</v>
      </c>
      <c r="BQ75" s="187" t="s">
        <v>2169</v>
      </c>
      <c r="BR75" s="187" t="s">
        <v>1553</v>
      </c>
      <c r="BS75" s="187" t="s">
        <v>1522</v>
      </c>
      <c r="BT75" s="187" t="s">
        <v>1304</v>
      </c>
      <c r="BV75" s="186" t="s">
        <v>106</v>
      </c>
      <c r="BW75" s="187" t="s">
        <v>7114</v>
      </c>
      <c r="BX75" s="187" t="s">
        <v>6962</v>
      </c>
      <c r="BY75" s="187" t="s">
        <v>2169</v>
      </c>
      <c r="BZ75" s="187" t="s">
        <v>1553</v>
      </c>
      <c r="CA75" s="187" t="s">
        <v>1522</v>
      </c>
      <c r="CB75" s="187" t="s">
        <v>1304</v>
      </c>
      <c r="CC75" s="187"/>
      <c r="CD75" s="186" t="s">
        <v>106</v>
      </c>
      <c r="CE75" s="187" t="s">
        <v>7114</v>
      </c>
      <c r="CF75" s="187" t="s">
        <v>6962</v>
      </c>
      <c r="CG75" s="187" t="s">
        <v>2169</v>
      </c>
      <c r="CH75" s="187" t="s">
        <v>1553</v>
      </c>
      <c r="CI75" s="187" t="s">
        <v>1522</v>
      </c>
      <c r="CJ75" s="187" t="s">
        <v>1304</v>
      </c>
      <c r="CL75" s="186" t="s">
        <v>106</v>
      </c>
      <c r="CM75" s="187" t="s">
        <v>7114</v>
      </c>
      <c r="CN75" s="187" t="s">
        <v>6962</v>
      </c>
      <c r="CO75" s="187" t="s">
        <v>2169</v>
      </c>
      <c r="CP75" s="187" t="s">
        <v>1553</v>
      </c>
      <c r="CQ75" s="187" t="s">
        <v>1522</v>
      </c>
      <c r="CR75" s="187" t="s">
        <v>1304</v>
      </c>
      <c r="CT75" s="186" t="s">
        <v>106</v>
      </c>
      <c r="CU75" s="187" t="s">
        <v>7114</v>
      </c>
      <c r="CV75" s="187" t="s">
        <v>6962</v>
      </c>
      <c r="CW75" s="187" t="s">
        <v>2169</v>
      </c>
      <c r="CX75" s="187" t="s">
        <v>1553</v>
      </c>
      <c r="CY75" s="187" t="s">
        <v>1522</v>
      </c>
      <c r="CZ75" s="187" t="s">
        <v>1304</v>
      </c>
      <c r="DB75" s="186" t="s">
        <v>106</v>
      </c>
      <c r="DC75" s="187" t="s">
        <v>7114</v>
      </c>
      <c r="DD75" s="187" t="s">
        <v>6962</v>
      </c>
      <c r="DE75" s="187" t="s">
        <v>2169</v>
      </c>
      <c r="DF75" s="187" t="s">
        <v>1553</v>
      </c>
      <c r="DG75" s="187" t="s">
        <v>1522</v>
      </c>
      <c r="DH75" s="187" t="s">
        <v>1304</v>
      </c>
      <c r="DI75" s="187"/>
      <c r="DJ75" s="186" t="s">
        <v>106</v>
      </c>
      <c r="DK75" s="187" t="s">
        <v>7114</v>
      </c>
      <c r="DL75" s="187" t="s">
        <v>6962</v>
      </c>
      <c r="DM75" s="187" t="s">
        <v>2169</v>
      </c>
      <c r="DN75" s="187" t="s">
        <v>1553</v>
      </c>
      <c r="DO75" s="187" t="s">
        <v>1522</v>
      </c>
      <c r="DP75" s="187" t="s">
        <v>1304</v>
      </c>
      <c r="DR75" s="186" t="s">
        <v>106</v>
      </c>
      <c r="DS75" s="187" t="s">
        <v>7114</v>
      </c>
      <c r="DT75" s="187" t="s">
        <v>6962</v>
      </c>
      <c r="DU75" s="187" t="s">
        <v>2169</v>
      </c>
      <c r="DV75" s="187" t="s">
        <v>1553</v>
      </c>
      <c r="DW75" s="187" t="s">
        <v>1522</v>
      </c>
      <c r="DX75" s="187" t="s">
        <v>1304</v>
      </c>
      <c r="DZ75" s="186" t="s">
        <v>106</v>
      </c>
      <c r="EA75" s="187" t="s">
        <v>7114</v>
      </c>
      <c r="EB75" s="187" t="s">
        <v>6962</v>
      </c>
      <c r="EC75" s="187" t="s">
        <v>2169</v>
      </c>
      <c r="ED75" s="187" t="s">
        <v>1553</v>
      </c>
      <c r="EE75" s="187" t="s">
        <v>1522</v>
      </c>
      <c r="EF75" s="187" t="s">
        <v>1304</v>
      </c>
    </row>
    <row r="76" spans="1:136" x14ac:dyDescent="0.2">
      <c r="A76" s="292"/>
      <c r="B76" s="134" t="s">
        <v>143</v>
      </c>
      <c r="C76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>88140</v>
      </c>
      <c r="D76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71587</v>
      </c>
      <c r="E76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87219</v>
      </c>
      <c r="F76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98632</v>
      </c>
      <c r="G76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96454</v>
      </c>
      <c r="H76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69027</v>
      </c>
      <c r="I76" s="48"/>
      <c r="J76" s="134" t="s">
        <v>143</v>
      </c>
      <c r="K76" s="131">
        <v>9483</v>
      </c>
      <c r="L76" s="131">
        <v>9713</v>
      </c>
      <c r="M76" s="48">
        <v>12388</v>
      </c>
      <c r="N76" s="48">
        <v>13745</v>
      </c>
      <c r="O76" s="48">
        <v>13088</v>
      </c>
      <c r="P76" s="48">
        <v>13793</v>
      </c>
      <c r="R76" s="134" t="s">
        <v>143</v>
      </c>
      <c r="S76" s="131">
        <v>4471</v>
      </c>
      <c r="T76" s="48">
        <v>4668</v>
      </c>
      <c r="U76" s="48">
        <v>6255</v>
      </c>
      <c r="V76" s="48">
        <v>7205</v>
      </c>
      <c r="W76" s="48">
        <v>8097</v>
      </c>
      <c r="X76" s="48">
        <v>6611</v>
      </c>
      <c r="Z76" s="134" t="s">
        <v>143</v>
      </c>
      <c r="AA76" s="131">
        <v>4830</v>
      </c>
      <c r="AB76" s="48">
        <v>5314</v>
      </c>
      <c r="AC76" s="48">
        <v>6897</v>
      </c>
      <c r="AD76" s="48">
        <v>8124</v>
      </c>
      <c r="AE76" s="48">
        <v>8187</v>
      </c>
      <c r="AF76" s="48">
        <v>6856</v>
      </c>
      <c r="AH76" s="134" t="s">
        <v>143</v>
      </c>
      <c r="AI76" s="131"/>
      <c r="AJ76" s="131">
        <v>8173</v>
      </c>
      <c r="AK76" s="48">
        <v>9368</v>
      </c>
      <c r="AL76" s="48">
        <v>11421</v>
      </c>
      <c r="AM76" s="48">
        <v>11763</v>
      </c>
      <c r="AN76" s="48">
        <v>9914</v>
      </c>
      <c r="AP76" s="134" t="s">
        <v>143</v>
      </c>
      <c r="AQ76" s="131">
        <v>9404</v>
      </c>
      <c r="AR76" s="131">
        <v>9679</v>
      </c>
      <c r="AS76" s="48">
        <v>11124</v>
      </c>
      <c r="AT76" s="48">
        <v>13184</v>
      </c>
      <c r="AU76" s="48">
        <v>15667</v>
      </c>
      <c r="AV76" s="48"/>
      <c r="AX76" s="134" t="s">
        <v>143</v>
      </c>
      <c r="AY76" s="131"/>
      <c r="AZ76" s="48">
        <v>4342</v>
      </c>
      <c r="BA76" s="48">
        <v>5870</v>
      </c>
      <c r="BB76" s="48">
        <v>6719</v>
      </c>
      <c r="BC76" s="48"/>
      <c r="BD76" s="48"/>
      <c r="BE76" s="48"/>
      <c r="BF76" s="134" t="s">
        <v>143</v>
      </c>
      <c r="BG76" s="131">
        <v>4180</v>
      </c>
      <c r="BH76" s="48">
        <v>5031</v>
      </c>
      <c r="BI76" s="48">
        <v>5369</v>
      </c>
      <c r="BJ76" s="48"/>
      <c r="BK76" s="48"/>
      <c r="BL76" s="48"/>
      <c r="BM76" s="48"/>
      <c r="BN76" s="134" t="s">
        <v>143</v>
      </c>
      <c r="BO76" s="131">
        <v>6154</v>
      </c>
      <c r="BP76" s="48">
        <v>6466</v>
      </c>
      <c r="BQ76" s="48">
        <v>7493</v>
      </c>
      <c r="BR76" s="48">
        <v>8780</v>
      </c>
      <c r="BS76" s="48">
        <v>9353</v>
      </c>
      <c r="BT76" s="48">
        <v>7647</v>
      </c>
      <c r="BV76" s="134" t="s">
        <v>143</v>
      </c>
      <c r="BW76" s="131">
        <v>3962</v>
      </c>
      <c r="BX76" s="48">
        <v>4058</v>
      </c>
      <c r="BY76" s="48">
        <v>5089</v>
      </c>
      <c r="BZ76" s="48">
        <v>6465</v>
      </c>
      <c r="CA76" s="48">
        <v>8077</v>
      </c>
      <c r="CB76" s="48">
        <v>4997</v>
      </c>
      <c r="CC76" s="48"/>
      <c r="CD76" s="134" t="s">
        <v>143</v>
      </c>
      <c r="CE76" s="131">
        <v>6241</v>
      </c>
      <c r="CF76" s="48">
        <v>7536</v>
      </c>
      <c r="CG76" s="48">
        <v>6994</v>
      </c>
      <c r="CH76" s="48">
        <v>10048</v>
      </c>
      <c r="CI76" s="48">
        <v>9379</v>
      </c>
      <c r="CJ76" s="48">
        <v>8669</v>
      </c>
      <c r="CL76" s="134" t="s">
        <v>143</v>
      </c>
      <c r="CM76" s="131">
        <v>7040</v>
      </c>
      <c r="CN76" s="48">
        <v>6607</v>
      </c>
      <c r="CO76" s="48">
        <v>10372</v>
      </c>
      <c r="CP76" s="48">
        <v>12941</v>
      </c>
      <c r="CQ76" s="48">
        <v>12843</v>
      </c>
      <c r="CR76" s="48">
        <v>10540</v>
      </c>
      <c r="CT76" s="134" t="s">
        <v>143</v>
      </c>
      <c r="CU76" s="131">
        <v>9067</v>
      </c>
      <c r="CV76" s="131">
        <v>8205</v>
      </c>
      <c r="CW76" s="48"/>
      <c r="CX76" s="48"/>
      <c r="CY76" s="48"/>
      <c r="CZ76" s="48"/>
      <c r="DB76" s="134" t="s">
        <v>143</v>
      </c>
      <c r="DC76" s="131">
        <v>10873</v>
      </c>
      <c r="DD76" s="48">
        <v>11542</v>
      </c>
      <c r="DE76" s="48"/>
      <c r="DF76" s="48"/>
      <c r="DG76" s="48"/>
      <c r="DH76" s="48"/>
      <c r="DI76" s="48"/>
      <c r="DJ76" s="134" t="s">
        <v>143</v>
      </c>
      <c r="DK76" s="131">
        <v>0</v>
      </c>
      <c r="DL76" s="48">
        <v>0</v>
      </c>
      <c r="DM76" s="48"/>
      <c r="DN76" s="48"/>
      <c r="DO76" s="48"/>
      <c r="DP76" s="48"/>
      <c r="DR76" s="134" t="s">
        <v>143</v>
      </c>
      <c r="DS76" s="131">
        <v>8735</v>
      </c>
      <c r="DT76" s="48">
        <v>8928</v>
      </c>
      <c r="DU76" s="48"/>
      <c r="DV76" s="48"/>
      <c r="DW76" s="48"/>
      <c r="DX76" s="48"/>
      <c r="DZ76" s="134" t="s">
        <v>143</v>
      </c>
      <c r="EA76" s="131">
        <v>3700</v>
      </c>
      <c r="EB76" s="48"/>
      <c r="EC76" s="48"/>
      <c r="ED76" s="48"/>
      <c r="EE76" s="48"/>
      <c r="EF76" s="48"/>
    </row>
    <row r="77" spans="1:136" x14ac:dyDescent="0.2">
      <c r="A77" s="292"/>
      <c r="B77" s="134" t="s">
        <v>5</v>
      </c>
      <c r="C77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7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68462</v>
      </c>
      <c r="E77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80185</v>
      </c>
      <c r="F77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94974</v>
      </c>
      <c r="G77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85526</v>
      </c>
      <c r="H77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65313</v>
      </c>
      <c r="I77" s="48"/>
      <c r="J77" s="134" t="s">
        <v>5</v>
      </c>
      <c r="K77" s="131"/>
      <c r="L77" s="131">
        <v>8938</v>
      </c>
      <c r="M77" s="48">
        <v>10860</v>
      </c>
      <c r="N77" s="48">
        <v>13277</v>
      </c>
      <c r="O77" s="48">
        <v>11255</v>
      </c>
      <c r="P77" s="48">
        <v>12820</v>
      </c>
      <c r="R77" s="134" t="s">
        <v>5</v>
      </c>
      <c r="S77" s="131"/>
      <c r="T77" s="48">
        <v>4363</v>
      </c>
      <c r="U77" s="48">
        <v>5507</v>
      </c>
      <c r="V77" s="48">
        <v>6948</v>
      </c>
      <c r="W77" s="48">
        <v>7192</v>
      </c>
      <c r="X77" s="48">
        <v>6234</v>
      </c>
      <c r="Z77" s="134" t="s">
        <v>5</v>
      </c>
      <c r="AA77" s="131"/>
      <c r="AB77" s="48">
        <v>5277</v>
      </c>
      <c r="AC77" s="48">
        <v>6427</v>
      </c>
      <c r="AD77" s="48">
        <v>8047</v>
      </c>
      <c r="AE77" s="48">
        <v>6986</v>
      </c>
      <c r="AF77" s="48">
        <v>6478</v>
      </c>
      <c r="AH77" s="134" t="s">
        <v>5</v>
      </c>
      <c r="AI77" s="131"/>
      <c r="AJ77" s="131">
        <v>7830</v>
      </c>
      <c r="AK77" s="48">
        <v>8497</v>
      </c>
      <c r="AL77" s="48">
        <v>11295</v>
      </c>
      <c r="AM77" s="48">
        <v>9829</v>
      </c>
      <c r="AN77" s="48">
        <v>9160</v>
      </c>
      <c r="AP77" s="134" t="s">
        <v>5</v>
      </c>
      <c r="AQ77" s="131"/>
      <c r="AR77" s="131">
        <v>9182</v>
      </c>
      <c r="AS77" s="48">
        <v>10442</v>
      </c>
      <c r="AT77" s="48">
        <v>13133</v>
      </c>
      <c r="AU77" s="48">
        <v>13550</v>
      </c>
      <c r="AV77" s="48"/>
      <c r="AX77" s="134" t="s">
        <v>5</v>
      </c>
      <c r="AY77" s="131"/>
      <c r="AZ77" s="48">
        <v>4240</v>
      </c>
      <c r="BA77" s="48">
        <v>4958</v>
      </c>
      <c r="BB77" s="48">
        <v>6237</v>
      </c>
      <c r="BC77" s="48"/>
      <c r="BD77" s="48"/>
      <c r="BE77" s="48"/>
      <c r="BF77" s="134" t="s">
        <v>5</v>
      </c>
      <c r="BG77" s="131"/>
      <c r="BH77" s="48">
        <v>4931</v>
      </c>
      <c r="BI77" s="48">
        <v>4908</v>
      </c>
      <c r="BJ77" s="48"/>
      <c r="BK77" s="48"/>
      <c r="BL77" s="48"/>
      <c r="BM77" s="48"/>
      <c r="BN77" s="134" t="s">
        <v>5</v>
      </c>
      <c r="BO77" s="131"/>
      <c r="BP77" s="48">
        <v>6167</v>
      </c>
      <c r="BQ77" s="48">
        <v>6811</v>
      </c>
      <c r="BR77" s="48">
        <v>8080</v>
      </c>
      <c r="BS77" s="48">
        <v>7515</v>
      </c>
      <c r="BT77" s="48">
        <v>7333</v>
      </c>
      <c r="BV77" s="134" t="s">
        <v>5</v>
      </c>
      <c r="BW77" s="131"/>
      <c r="BX77" s="48">
        <v>3924</v>
      </c>
      <c r="BY77" s="48">
        <v>4838</v>
      </c>
      <c r="BZ77" s="48">
        <v>6160</v>
      </c>
      <c r="CA77" s="48">
        <v>7676</v>
      </c>
      <c r="CB77" s="48">
        <v>4920</v>
      </c>
      <c r="CC77" s="48"/>
      <c r="CD77" s="134" t="s">
        <v>5</v>
      </c>
      <c r="CE77" s="131"/>
      <c r="CF77" s="48">
        <v>6945</v>
      </c>
      <c r="CG77" s="48">
        <v>7230</v>
      </c>
      <c r="CH77" s="48">
        <v>9582</v>
      </c>
      <c r="CI77" s="48">
        <v>10432</v>
      </c>
      <c r="CJ77" s="48">
        <v>8474</v>
      </c>
      <c r="CL77" s="134" t="s">
        <v>5</v>
      </c>
      <c r="CM77" s="131"/>
      <c r="CN77" s="48">
        <v>6665</v>
      </c>
      <c r="CO77" s="48">
        <v>9707</v>
      </c>
      <c r="CP77" s="48">
        <v>12215</v>
      </c>
      <c r="CQ77" s="48">
        <v>11091</v>
      </c>
      <c r="CR77" s="48">
        <v>9894</v>
      </c>
      <c r="CT77" s="134" t="s">
        <v>5</v>
      </c>
      <c r="CU77" s="131"/>
      <c r="CV77" s="131">
        <v>7679</v>
      </c>
      <c r="CW77" s="48"/>
      <c r="CX77" s="48"/>
      <c r="CY77" s="48"/>
      <c r="CZ77" s="48"/>
      <c r="DB77" s="134" t="s">
        <v>5</v>
      </c>
      <c r="DC77" s="131"/>
      <c r="DD77" s="48">
        <v>10553</v>
      </c>
      <c r="DE77" s="48"/>
      <c r="DF77" s="48"/>
      <c r="DG77" s="48"/>
      <c r="DH77" s="48"/>
      <c r="DI77" s="48"/>
      <c r="DJ77" s="134" t="s">
        <v>5</v>
      </c>
      <c r="DK77" s="131">
        <v>0</v>
      </c>
      <c r="DL77" s="48">
        <v>0</v>
      </c>
      <c r="DM77" s="48"/>
      <c r="DN77" s="48"/>
      <c r="DO77" s="48"/>
      <c r="DP77" s="48"/>
      <c r="DR77" s="134" t="s">
        <v>5</v>
      </c>
      <c r="DS77" s="131"/>
      <c r="DT77" s="48">
        <v>8426</v>
      </c>
      <c r="DU77" s="48"/>
      <c r="DV77" s="48"/>
      <c r="DW77" s="48"/>
      <c r="DX77" s="48"/>
      <c r="DZ77" s="134" t="s">
        <v>5</v>
      </c>
      <c r="EA77" s="131"/>
      <c r="EB77" s="48"/>
      <c r="EC77" s="48"/>
      <c r="ED77" s="48"/>
      <c r="EE77" s="48"/>
      <c r="EF77" s="48"/>
    </row>
    <row r="78" spans="1:136" x14ac:dyDescent="0.2">
      <c r="A78" s="292"/>
      <c r="B78" s="134" t="s">
        <v>7</v>
      </c>
      <c r="C78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8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74060</v>
      </c>
      <c r="E78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85490</v>
      </c>
      <c r="F78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96374</v>
      </c>
      <c r="G78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90878</v>
      </c>
      <c r="H78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31767</v>
      </c>
      <c r="I78" s="48"/>
      <c r="J78" s="134" t="s">
        <v>7</v>
      </c>
      <c r="K78" s="131"/>
      <c r="L78" s="131">
        <v>9839</v>
      </c>
      <c r="M78" s="48">
        <v>11662</v>
      </c>
      <c r="N78" s="48">
        <v>13796</v>
      </c>
      <c r="O78" s="48">
        <v>12785</v>
      </c>
      <c r="P78" s="48">
        <v>6525</v>
      </c>
      <c r="R78" s="134" t="s">
        <v>7</v>
      </c>
      <c r="S78" s="131"/>
      <c r="T78" s="48">
        <v>4701</v>
      </c>
      <c r="U78" s="48">
        <v>5773</v>
      </c>
      <c r="V78" s="48">
        <v>7117</v>
      </c>
      <c r="W78" s="48">
        <v>7152</v>
      </c>
      <c r="X78" s="48">
        <v>3393</v>
      </c>
      <c r="Z78" s="134" t="s">
        <v>7</v>
      </c>
      <c r="AA78" s="131"/>
      <c r="AB78" s="48">
        <v>5831</v>
      </c>
      <c r="AC78" s="48">
        <v>6965</v>
      </c>
      <c r="AD78" s="48">
        <v>8578</v>
      </c>
      <c r="AE78" s="48">
        <v>7712</v>
      </c>
      <c r="AF78" s="48">
        <v>3561</v>
      </c>
      <c r="AH78" s="134" t="s">
        <v>7</v>
      </c>
      <c r="AI78" s="131"/>
      <c r="AJ78" s="131">
        <v>8224</v>
      </c>
      <c r="AK78" s="48">
        <v>9254</v>
      </c>
      <c r="AL78" s="48">
        <v>10981</v>
      </c>
      <c r="AM78" s="48">
        <v>10653</v>
      </c>
      <c r="AN78" s="48">
        <v>2527</v>
      </c>
      <c r="AP78" s="134" t="s">
        <v>7</v>
      </c>
      <c r="AQ78" s="131"/>
      <c r="AR78" s="131">
        <v>9698</v>
      </c>
      <c r="AS78" s="48">
        <v>10892</v>
      </c>
      <c r="AT78" s="48">
        <v>12812</v>
      </c>
      <c r="AU78" s="48">
        <v>13807</v>
      </c>
      <c r="AV78" s="48"/>
      <c r="AX78" s="134" t="s">
        <v>7</v>
      </c>
      <c r="AY78" s="131"/>
      <c r="AZ78" s="48">
        <v>4596</v>
      </c>
      <c r="BA78" s="48">
        <v>5473</v>
      </c>
      <c r="BB78" s="48">
        <v>6477</v>
      </c>
      <c r="BC78" s="48"/>
      <c r="BD78" s="48"/>
      <c r="BE78" s="48"/>
      <c r="BF78" s="134" t="s">
        <v>7</v>
      </c>
      <c r="BG78" s="131"/>
      <c r="BH78" s="48">
        <v>5040</v>
      </c>
      <c r="BI78" s="48">
        <v>5058</v>
      </c>
      <c r="BJ78" s="48"/>
      <c r="BK78" s="48"/>
      <c r="BL78" s="48"/>
      <c r="BM78" s="48"/>
      <c r="BN78" s="134" t="s">
        <v>7</v>
      </c>
      <c r="BO78" s="131"/>
      <c r="BP78" s="48">
        <v>6672</v>
      </c>
      <c r="BQ78" s="48">
        <v>7338</v>
      </c>
      <c r="BR78" s="48">
        <v>8357</v>
      </c>
      <c r="BS78" s="48">
        <v>7976</v>
      </c>
      <c r="BT78" s="48">
        <v>3805</v>
      </c>
      <c r="BV78" s="134" t="s">
        <v>7</v>
      </c>
      <c r="BW78" s="131"/>
      <c r="BX78" s="48">
        <v>4481</v>
      </c>
      <c r="BY78" s="48">
        <v>5093</v>
      </c>
      <c r="BZ78" s="48">
        <v>6132</v>
      </c>
      <c r="CA78" s="48">
        <v>7329</v>
      </c>
      <c r="CB78" s="48">
        <v>2324</v>
      </c>
      <c r="CC78" s="48"/>
      <c r="CD78" s="134" t="s">
        <v>7</v>
      </c>
      <c r="CE78" s="131"/>
      <c r="CF78" s="48">
        <v>7457</v>
      </c>
      <c r="CG78" s="48">
        <v>7707</v>
      </c>
      <c r="CH78" s="48">
        <v>9873</v>
      </c>
      <c r="CI78" s="48">
        <v>10818</v>
      </c>
      <c r="CJ78" s="48">
        <v>4289</v>
      </c>
      <c r="CL78" s="134" t="s">
        <v>7</v>
      </c>
      <c r="CM78" s="131"/>
      <c r="CN78" s="48">
        <v>7521</v>
      </c>
      <c r="CO78" s="48">
        <v>10275</v>
      </c>
      <c r="CP78" s="48">
        <v>12251</v>
      </c>
      <c r="CQ78" s="48">
        <v>12646</v>
      </c>
      <c r="CR78" s="48">
        <v>5343</v>
      </c>
      <c r="CT78" s="134" t="s">
        <v>7</v>
      </c>
      <c r="CU78" s="131"/>
      <c r="CV78" s="131">
        <v>8315</v>
      </c>
      <c r="CW78" s="48"/>
      <c r="CX78" s="48"/>
      <c r="CY78" s="48"/>
      <c r="CZ78" s="48"/>
      <c r="DB78" s="134" t="s">
        <v>7</v>
      </c>
      <c r="DC78" s="131"/>
      <c r="DD78" s="48">
        <v>11974</v>
      </c>
      <c r="DE78" s="48"/>
      <c r="DF78" s="48"/>
      <c r="DG78" s="48"/>
      <c r="DH78" s="48"/>
      <c r="DI78" s="48"/>
      <c r="DJ78" s="134" t="s">
        <v>7</v>
      </c>
      <c r="DK78" s="131">
        <v>0</v>
      </c>
      <c r="DL78" s="48">
        <v>0</v>
      </c>
      <c r="DM78" s="48"/>
      <c r="DN78" s="48"/>
      <c r="DO78" s="48"/>
      <c r="DP78" s="48"/>
      <c r="DR78" s="134" t="s">
        <v>7</v>
      </c>
      <c r="DS78" s="131"/>
      <c r="DT78" s="48">
        <v>8789</v>
      </c>
      <c r="DU78" s="48"/>
      <c r="DV78" s="48"/>
      <c r="DW78" s="48"/>
      <c r="DX78" s="48"/>
      <c r="DZ78" s="134" t="s">
        <v>7</v>
      </c>
      <c r="EA78" s="131"/>
      <c r="EB78" s="48"/>
      <c r="EC78" s="48"/>
      <c r="ED78" s="48"/>
      <c r="EE78" s="48"/>
      <c r="EF78" s="48"/>
    </row>
    <row r="79" spans="1:136" x14ac:dyDescent="0.2">
      <c r="A79" s="292"/>
      <c r="B79" s="134" t="s">
        <v>9</v>
      </c>
      <c r="C79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9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75260</v>
      </c>
      <c r="E79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86106</v>
      </c>
      <c r="F79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92960</v>
      </c>
      <c r="G79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91160</v>
      </c>
      <c r="H79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1.0000000000000001E-5</v>
      </c>
      <c r="I79" s="48"/>
      <c r="J79" s="134" t="s">
        <v>9</v>
      </c>
      <c r="K79" s="131"/>
      <c r="L79" s="131">
        <v>9536</v>
      </c>
      <c r="M79" s="48">
        <v>11536</v>
      </c>
      <c r="N79" s="48">
        <v>13153</v>
      </c>
      <c r="O79" s="48">
        <v>12878</v>
      </c>
      <c r="P79" s="48">
        <v>1.0000000000000001E-5</v>
      </c>
      <c r="R79" s="134" t="s">
        <v>9</v>
      </c>
      <c r="S79" s="131"/>
      <c r="T79" s="48">
        <v>4817</v>
      </c>
      <c r="U79" s="48">
        <v>5537</v>
      </c>
      <c r="V79" s="48">
        <v>6575</v>
      </c>
      <c r="W79" s="48">
        <v>7303</v>
      </c>
      <c r="X79" s="48">
        <v>0</v>
      </c>
      <c r="Z79" s="134" t="s">
        <v>9</v>
      </c>
      <c r="AA79" s="131"/>
      <c r="AB79" s="48">
        <v>5757</v>
      </c>
      <c r="AC79" s="48">
        <v>6587</v>
      </c>
      <c r="AD79" s="48">
        <v>7578</v>
      </c>
      <c r="AE79" s="48">
        <v>7929</v>
      </c>
      <c r="AF79" s="48">
        <v>0</v>
      </c>
      <c r="AH79" s="134" t="s">
        <v>9</v>
      </c>
      <c r="AI79" s="131"/>
      <c r="AJ79" s="131">
        <v>8675</v>
      </c>
      <c r="AK79" s="48">
        <v>9448</v>
      </c>
      <c r="AL79" s="48">
        <v>10793</v>
      </c>
      <c r="AM79" s="48">
        <v>11229</v>
      </c>
      <c r="AN79" s="48">
        <v>0</v>
      </c>
      <c r="AP79" s="134" t="s">
        <v>9</v>
      </c>
      <c r="AQ79" s="131"/>
      <c r="AR79" s="131">
        <v>9991</v>
      </c>
      <c r="AS79" s="48">
        <v>11209</v>
      </c>
      <c r="AT79" s="48">
        <v>12341</v>
      </c>
      <c r="AU79" s="48">
        <v>12833</v>
      </c>
      <c r="AV79" s="48"/>
      <c r="AX79" s="134" t="s">
        <v>9</v>
      </c>
      <c r="AY79" s="131"/>
      <c r="AZ79" s="48">
        <v>4551</v>
      </c>
      <c r="BA79" s="48">
        <v>5331</v>
      </c>
      <c r="BB79" s="48">
        <v>6174</v>
      </c>
      <c r="BC79" s="48"/>
      <c r="BD79" s="48"/>
      <c r="BE79" s="48"/>
      <c r="BF79" s="134" t="s">
        <v>9</v>
      </c>
      <c r="BG79" s="131"/>
      <c r="BH79" s="48">
        <v>5398</v>
      </c>
      <c r="BI79" s="48">
        <v>5717</v>
      </c>
      <c r="BJ79" s="48"/>
      <c r="BK79" s="48"/>
      <c r="BL79" s="48"/>
      <c r="BM79" s="48"/>
      <c r="BN79" s="134" t="s">
        <v>9</v>
      </c>
      <c r="BO79" s="131"/>
      <c r="BP79" s="48">
        <v>6514</v>
      </c>
      <c r="BQ79" s="48">
        <v>7251</v>
      </c>
      <c r="BR79" s="48">
        <v>8130</v>
      </c>
      <c r="BS79" s="48">
        <v>8876</v>
      </c>
      <c r="BT79" s="48">
        <v>0</v>
      </c>
      <c r="BV79" s="134" t="s">
        <v>9</v>
      </c>
      <c r="BW79" s="131"/>
      <c r="BX79" s="48">
        <v>4604</v>
      </c>
      <c r="BY79" s="48">
        <v>5042</v>
      </c>
      <c r="BZ79" s="48">
        <v>6398</v>
      </c>
      <c r="CA79" s="48">
        <v>7054</v>
      </c>
      <c r="CB79" s="48">
        <v>0</v>
      </c>
      <c r="CC79" s="48"/>
      <c r="CD79" s="134" t="s">
        <v>9</v>
      </c>
      <c r="CE79" s="131"/>
      <c r="CF79" s="48">
        <v>8009</v>
      </c>
      <c r="CG79" s="48">
        <v>8098</v>
      </c>
      <c r="CH79" s="48">
        <v>9682</v>
      </c>
      <c r="CI79" s="48">
        <v>10631</v>
      </c>
      <c r="CJ79" s="48">
        <v>0</v>
      </c>
      <c r="CL79" s="134" t="s">
        <v>9</v>
      </c>
      <c r="CM79" s="131"/>
      <c r="CN79" s="48">
        <v>7408</v>
      </c>
      <c r="CO79" s="48">
        <v>10350</v>
      </c>
      <c r="CP79" s="48">
        <v>12136</v>
      </c>
      <c r="CQ79" s="48">
        <v>12427</v>
      </c>
      <c r="CR79" s="48">
        <v>0</v>
      </c>
      <c r="CT79" s="134" t="s">
        <v>9</v>
      </c>
      <c r="CU79" s="131"/>
      <c r="CV79" s="131">
        <v>8402</v>
      </c>
      <c r="CW79" s="48"/>
      <c r="CX79" s="48"/>
      <c r="CY79" s="48"/>
      <c r="CZ79" s="48"/>
      <c r="DB79" s="134" t="s">
        <v>9</v>
      </c>
      <c r="DC79" s="131"/>
      <c r="DD79" s="48">
        <v>11946</v>
      </c>
      <c r="DE79" s="48"/>
      <c r="DF79" s="48"/>
      <c r="DG79" s="48"/>
      <c r="DH79" s="48"/>
      <c r="DI79" s="48"/>
      <c r="DJ79" s="134" t="s">
        <v>9</v>
      </c>
      <c r="DK79" s="131">
        <v>0</v>
      </c>
      <c r="DL79" s="48">
        <v>0</v>
      </c>
      <c r="DM79" s="48"/>
      <c r="DN79" s="48"/>
      <c r="DO79" s="48"/>
      <c r="DP79" s="48"/>
      <c r="DR79" s="134" t="s">
        <v>9</v>
      </c>
      <c r="DS79" s="131"/>
      <c r="DT79" s="48">
        <v>8934</v>
      </c>
      <c r="DU79" s="48"/>
      <c r="DV79" s="48"/>
      <c r="DW79" s="48"/>
      <c r="DX79" s="48"/>
      <c r="DZ79" s="134" t="s">
        <v>9</v>
      </c>
      <c r="EA79" s="131"/>
      <c r="EB79" s="48"/>
      <c r="EC79" s="48"/>
      <c r="ED79" s="48"/>
      <c r="EE79" s="48"/>
      <c r="EF79" s="48"/>
    </row>
    <row r="80" spans="1:136" x14ac:dyDescent="0.2">
      <c r="A80" s="292"/>
      <c r="B80" s="134" t="s">
        <v>11</v>
      </c>
      <c r="C80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0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76424</v>
      </c>
      <c r="E80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88407</v>
      </c>
      <c r="F80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96106</v>
      </c>
      <c r="G80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108865</v>
      </c>
      <c r="H80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65123</v>
      </c>
      <c r="I80" s="48"/>
      <c r="J80" s="134" t="s">
        <v>11</v>
      </c>
      <c r="K80" s="131"/>
      <c r="L80" s="131">
        <v>9798</v>
      </c>
      <c r="M80" s="48">
        <v>11563</v>
      </c>
      <c r="N80" s="48">
        <v>13394</v>
      </c>
      <c r="O80" s="48">
        <v>14570</v>
      </c>
      <c r="P80" s="48">
        <v>11088</v>
      </c>
      <c r="R80" s="134" t="s">
        <v>11</v>
      </c>
      <c r="S80" s="131"/>
      <c r="T80" s="48">
        <v>4870</v>
      </c>
      <c r="U80" s="48">
        <v>5605</v>
      </c>
      <c r="V80" s="48">
        <v>6448</v>
      </c>
      <c r="W80" s="48">
        <v>8449</v>
      </c>
      <c r="X80" s="48">
        <v>3592</v>
      </c>
      <c r="Z80" s="134" t="s">
        <v>11</v>
      </c>
      <c r="AA80" s="131"/>
      <c r="AB80" s="48">
        <v>5225</v>
      </c>
      <c r="AC80" s="48">
        <v>6665</v>
      </c>
      <c r="AD80" s="48">
        <v>8213</v>
      </c>
      <c r="AE80" s="48">
        <v>9303</v>
      </c>
      <c r="AF80" s="48">
        <v>5459</v>
      </c>
      <c r="AH80" s="134" t="s">
        <v>11</v>
      </c>
      <c r="AI80" s="131"/>
      <c r="AJ80" s="131">
        <v>8426</v>
      </c>
      <c r="AK80" s="48">
        <v>9393</v>
      </c>
      <c r="AL80" s="48">
        <v>10947</v>
      </c>
      <c r="AM80" s="48">
        <v>13003</v>
      </c>
      <c r="AN80" s="48">
        <v>10879</v>
      </c>
      <c r="AP80" s="134" t="s">
        <v>11</v>
      </c>
      <c r="AQ80" s="131"/>
      <c r="AR80" s="131">
        <v>10070</v>
      </c>
      <c r="AS80" s="48">
        <v>11539</v>
      </c>
      <c r="AT80" s="48">
        <v>12545</v>
      </c>
      <c r="AU80" s="48">
        <v>16565</v>
      </c>
      <c r="AV80" s="48"/>
      <c r="AX80" s="134" t="s">
        <v>11</v>
      </c>
      <c r="AY80" s="131"/>
      <c r="AZ80" s="48">
        <v>4763</v>
      </c>
      <c r="BA80" s="48">
        <v>5381</v>
      </c>
      <c r="BB80" s="48">
        <v>6464</v>
      </c>
      <c r="BC80" s="48"/>
      <c r="BD80" s="48"/>
      <c r="BE80" s="48"/>
      <c r="BF80" s="134" t="s">
        <v>11</v>
      </c>
      <c r="BG80" s="131"/>
      <c r="BH80" s="48">
        <v>5280</v>
      </c>
      <c r="BI80" s="48">
        <v>5839</v>
      </c>
      <c r="BJ80" s="48"/>
      <c r="BK80" s="48"/>
      <c r="BL80" s="48"/>
      <c r="BM80" s="48"/>
      <c r="BN80" s="134" t="s">
        <v>11</v>
      </c>
      <c r="BO80" s="131"/>
      <c r="BP80" s="48">
        <v>6809</v>
      </c>
      <c r="BQ80" s="48">
        <v>7224</v>
      </c>
      <c r="BR80" s="48">
        <v>8555</v>
      </c>
      <c r="BS80" s="48">
        <v>10516</v>
      </c>
      <c r="BT80" s="48">
        <v>7069</v>
      </c>
      <c r="BV80" s="134" t="s">
        <v>11</v>
      </c>
      <c r="BW80" s="131"/>
      <c r="BX80" s="48">
        <v>5020</v>
      </c>
      <c r="BY80" s="48">
        <v>5545</v>
      </c>
      <c r="BZ80" s="48">
        <v>6685</v>
      </c>
      <c r="CA80" s="48">
        <v>8803</v>
      </c>
      <c r="CB80" s="48">
        <v>3964</v>
      </c>
      <c r="CC80" s="48"/>
      <c r="CD80" s="134" t="s">
        <v>11</v>
      </c>
      <c r="CE80" s="131"/>
      <c r="CF80" s="48">
        <v>8396</v>
      </c>
      <c r="CG80" s="48">
        <v>9116</v>
      </c>
      <c r="CH80" s="48">
        <v>10514</v>
      </c>
      <c r="CI80" s="48">
        <v>12763</v>
      </c>
      <c r="CJ80" s="48">
        <v>12119</v>
      </c>
      <c r="CL80" s="134" t="s">
        <v>11</v>
      </c>
      <c r="CM80" s="131"/>
      <c r="CN80" s="48">
        <v>7767</v>
      </c>
      <c r="CO80" s="48">
        <v>10537</v>
      </c>
      <c r="CP80" s="48">
        <v>12341</v>
      </c>
      <c r="CQ80" s="48">
        <v>14893</v>
      </c>
      <c r="CR80" s="48">
        <v>10953</v>
      </c>
      <c r="CT80" s="134" t="s">
        <v>11</v>
      </c>
      <c r="CU80" s="131"/>
      <c r="CV80" s="131">
        <v>8757</v>
      </c>
      <c r="CW80" s="48"/>
      <c r="CX80" s="48"/>
      <c r="CY80" s="48"/>
      <c r="CZ80" s="48"/>
      <c r="DB80" s="134" t="s">
        <v>11</v>
      </c>
      <c r="DC80" s="131"/>
      <c r="DD80" s="48">
        <v>12405</v>
      </c>
      <c r="DE80" s="48"/>
      <c r="DF80" s="48"/>
      <c r="DG80" s="48"/>
      <c r="DH80" s="48"/>
      <c r="DI80" s="48"/>
      <c r="DJ80" s="134" t="s">
        <v>11</v>
      </c>
      <c r="DK80" s="131">
        <v>0</v>
      </c>
      <c r="DL80" s="48">
        <v>0</v>
      </c>
      <c r="DM80" s="48"/>
      <c r="DN80" s="48"/>
      <c r="DO80" s="48"/>
      <c r="DP80" s="48"/>
      <c r="DR80" s="134" t="s">
        <v>11</v>
      </c>
      <c r="DS80" s="131"/>
      <c r="DT80" s="48">
        <v>9094</v>
      </c>
      <c r="DU80" s="48"/>
      <c r="DV80" s="48"/>
      <c r="DW80" s="48"/>
      <c r="DX80" s="48"/>
      <c r="DZ80" s="134" t="s">
        <v>11</v>
      </c>
      <c r="EA80" s="131"/>
      <c r="EB80" s="48"/>
      <c r="EC80" s="48"/>
      <c r="ED80" s="48"/>
      <c r="EE80" s="48"/>
      <c r="EF80" s="48"/>
    </row>
    <row r="81" spans="1:136" x14ac:dyDescent="0.2">
      <c r="A81" s="292"/>
      <c r="B81" s="134" t="s">
        <v>0</v>
      </c>
      <c r="C81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1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75439</v>
      </c>
      <c r="E81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84908</v>
      </c>
      <c r="F81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92101</v>
      </c>
      <c r="G81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97984</v>
      </c>
      <c r="H81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89164</v>
      </c>
      <c r="I81" s="48"/>
      <c r="J81" s="134" t="s">
        <v>0</v>
      </c>
      <c r="K81" s="131"/>
      <c r="L81" s="131">
        <v>9553</v>
      </c>
      <c r="M81" s="48">
        <v>11204</v>
      </c>
      <c r="N81" s="48">
        <v>12970</v>
      </c>
      <c r="O81" s="48">
        <v>15430</v>
      </c>
      <c r="P81" s="48">
        <v>15082</v>
      </c>
      <c r="R81" s="134" t="s">
        <v>0</v>
      </c>
      <c r="S81" s="131"/>
      <c r="T81" s="48">
        <v>4830</v>
      </c>
      <c r="U81" s="48">
        <v>5431</v>
      </c>
      <c r="V81" s="48">
        <v>6144</v>
      </c>
      <c r="W81" s="48">
        <v>8583</v>
      </c>
      <c r="X81" s="48">
        <v>7552</v>
      </c>
      <c r="Z81" s="134" t="s">
        <v>0</v>
      </c>
      <c r="AA81" s="131"/>
      <c r="AB81" s="48">
        <v>5508</v>
      </c>
      <c r="AC81" s="48">
        <v>6433</v>
      </c>
      <c r="AD81" s="48">
        <v>7750</v>
      </c>
      <c r="AE81" s="48">
        <v>9099</v>
      </c>
      <c r="AF81" s="48">
        <v>8088</v>
      </c>
      <c r="AH81" s="134" t="s">
        <v>0</v>
      </c>
      <c r="AI81" s="131"/>
      <c r="AJ81" s="131">
        <v>8435</v>
      </c>
      <c r="AK81" s="48">
        <v>9401</v>
      </c>
      <c r="AL81" s="48">
        <v>10239</v>
      </c>
      <c r="AM81" s="48">
        <v>13135</v>
      </c>
      <c r="AN81" s="48">
        <v>13197</v>
      </c>
      <c r="AP81" s="134" t="s">
        <v>0</v>
      </c>
      <c r="AQ81" s="131"/>
      <c r="AR81" s="131">
        <v>10224</v>
      </c>
      <c r="AS81" s="48">
        <v>11035</v>
      </c>
      <c r="AT81" s="48">
        <v>12460</v>
      </c>
      <c r="AU81" s="48">
        <v>7243</v>
      </c>
      <c r="AV81" s="48"/>
      <c r="AX81" s="134" t="s">
        <v>0</v>
      </c>
      <c r="AY81" s="131"/>
      <c r="AZ81" s="48">
        <v>4741</v>
      </c>
      <c r="BA81" s="48">
        <v>5123</v>
      </c>
      <c r="BB81" s="48">
        <v>6258</v>
      </c>
      <c r="BC81" s="48"/>
      <c r="BD81" s="48"/>
      <c r="BE81" s="48"/>
      <c r="BF81" s="134" t="s">
        <v>0</v>
      </c>
      <c r="BG81" s="131"/>
      <c r="BH81" s="48">
        <v>4804</v>
      </c>
      <c r="BI81" s="48">
        <v>5671</v>
      </c>
      <c r="BJ81" s="48"/>
      <c r="BK81" s="48"/>
      <c r="BL81" s="48"/>
      <c r="BM81" s="48"/>
      <c r="BN81" s="134" t="s">
        <v>0</v>
      </c>
      <c r="BO81" s="131"/>
      <c r="BP81" s="48">
        <v>6809</v>
      </c>
      <c r="BQ81" s="48">
        <v>7029</v>
      </c>
      <c r="BR81" s="48">
        <v>8239</v>
      </c>
      <c r="BS81" s="48">
        <v>9977</v>
      </c>
      <c r="BT81" s="48">
        <v>10087</v>
      </c>
      <c r="BV81" s="134" t="s">
        <v>0</v>
      </c>
      <c r="BW81" s="131"/>
      <c r="BX81" s="48">
        <v>4811</v>
      </c>
      <c r="BY81" s="48">
        <v>5241</v>
      </c>
      <c r="BZ81" s="48">
        <v>6399</v>
      </c>
      <c r="CA81" s="48">
        <v>7833</v>
      </c>
      <c r="CB81" s="48">
        <v>7524</v>
      </c>
      <c r="CC81" s="48"/>
      <c r="CD81" s="134" t="s">
        <v>0</v>
      </c>
      <c r="CE81" s="131"/>
      <c r="CF81" s="48">
        <v>8000</v>
      </c>
      <c r="CG81" s="48">
        <v>8517</v>
      </c>
      <c r="CH81" s="48">
        <v>10139</v>
      </c>
      <c r="CI81" s="48">
        <v>12488</v>
      </c>
      <c r="CJ81" s="48">
        <v>13584</v>
      </c>
      <c r="CL81" s="134" t="s">
        <v>0</v>
      </c>
      <c r="CM81" s="131"/>
      <c r="CN81" s="48">
        <v>7724</v>
      </c>
      <c r="CO81" s="48">
        <v>9823</v>
      </c>
      <c r="CP81" s="48">
        <v>11503</v>
      </c>
      <c r="CQ81" s="48">
        <v>14196</v>
      </c>
      <c r="CR81" s="48">
        <v>14050</v>
      </c>
      <c r="CT81" s="134" t="s">
        <v>0</v>
      </c>
      <c r="CU81" s="131"/>
      <c r="CV81" s="131">
        <v>8760</v>
      </c>
      <c r="CW81" s="48"/>
      <c r="CX81" s="48"/>
      <c r="CY81" s="48"/>
      <c r="CZ81" s="48"/>
      <c r="DB81" s="134" t="s">
        <v>0</v>
      </c>
      <c r="DC81" s="131"/>
      <c r="DD81" s="48">
        <v>11991</v>
      </c>
      <c r="DE81" s="48"/>
      <c r="DF81" s="48"/>
      <c r="DG81" s="48"/>
      <c r="DH81" s="48"/>
      <c r="DI81" s="48"/>
      <c r="DJ81" s="134" t="s">
        <v>0</v>
      </c>
      <c r="DK81" s="131">
        <v>0</v>
      </c>
      <c r="DL81" s="48">
        <v>0</v>
      </c>
      <c r="DM81" s="48"/>
      <c r="DN81" s="48"/>
      <c r="DO81" s="48"/>
      <c r="DP81" s="48"/>
      <c r="DR81" s="134" t="s">
        <v>0</v>
      </c>
      <c r="DS81" s="131"/>
      <c r="DT81" s="48">
        <v>9066</v>
      </c>
      <c r="DU81" s="48"/>
      <c r="DV81" s="48"/>
      <c r="DW81" s="48"/>
      <c r="DX81" s="48"/>
      <c r="DZ81" s="134" t="s">
        <v>0</v>
      </c>
      <c r="EA81" s="131"/>
      <c r="EB81" s="48"/>
      <c r="EC81" s="48"/>
      <c r="ED81" s="48"/>
      <c r="EE81" s="48"/>
      <c r="EF81" s="48"/>
    </row>
    <row r="82" spans="1:136" x14ac:dyDescent="0.2">
      <c r="A82" s="292"/>
      <c r="B82" s="134" t="s">
        <v>1</v>
      </c>
      <c r="C82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2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75189</v>
      </c>
      <c r="E82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89785</v>
      </c>
      <c r="F82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93380</v>
      </c>
      <c r="G82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109834</v>
      </c>
      <c r="H82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91281</v>
      </c>
      <c r="I82" s="48"/>
      <c r="J82" s="134" t="s">
        <v>1</v>
      </c>
      <c r="K82" s="131"/>
      <c r="L82" s="131">
        <v>9705</v>
      </c>
      <c r="M82" s="48">
        <v>11241</v>
      </c>
      <c r="N82" s="48">
        <v>12421</v>
      </c>
      <c r="O82" s="48">
        <v>15208</v>
      </c>
      <c r="P82" s="48">
        <v>14830</v>
      </c>
      <c r="R82" s="134" t="s">
        <v>1</v>
      </c>
      <c r="S82" s="131"/>
      <c r="T82" s="48">
        <v>4452</v>
      </c>
      <c r="U82" s="48">
        <v>5126</v>
      </c>
      <c r="V82" s="48">
        <v>5615</v>
      </c>
      <c r="W82" s="48">
        <v>8055</v>
      </c>
      <c r="X82" s="48">
        <v>7534</v>
      </c>
      <c r="Z82" s="134" t="s">
        <v>1</v>
      </c>
      <c r="AA82" s="131"/>
      <c r="AB82" s="48">
        <v>4815</v>
      </c>
      <c r="AC82" s="48">
        <v>5998</v>
      </c>
      <c r="AD82" s="48">
        <v>7045</v>
      </c>
      <c r="AE82" s="48">
        <v>8561</v>
      </c>
      <c r="AF82" s="48">
        <v>7606</v>
      </c>
      <c r="AH82" s="134" t="s">
        <v>1</v>
      </c>
      <c r="AI82" s="131"/>
      <c r="AJ82" s="131">
        <v>8102</v>
      </c>
      <c r="AK82" s="48">
        <v>9542</v>
      </c>
      <c r="AL82" s="48">
        <v>10183</v>
      </c>
      <c r="AM82" s="48">
        <v>12380</v>
      </c>
      <c r="AN82" s="48">
        <v>13084</v>
      </c>
      <c r="AP82" s="134" t="s">
        <v>1</v>
      </c>
      <c r="AQ82" s="131"/>
      <c r="AR82" s="131">
        <v>10167</v>
      </c>
      <c r="AS82" s="48">
        <v>11283</v>
      </c>
      <c r="AT82" s="48">
        <v>12475</v>
      </c>
      <c r="AU82" s="48">
        <v>15544</v>
      </c>
      <c r="AV82" s="48"/>
      <c r="AX82" s="134" t="s">
        <v>1</v>
      </c>
      <c r="AY82" s="131"/>
      <c r="AZ82" s="48">
        <v>4496</v>
      </c>
      <c r="BA82" s="48">
        <v>5230</v>
      </c>
      <c r="BB82" s="48">
        <v>6161</v>
      </c>
      <c r="BC82" s="48">
        <v>1658</v>
      </c>
      <c r="BD82" s="48"/>
      <c r="BE82" s="48"/>
      <c r="BF82" s="134" t="s">
        <v>1</v>
      </c>
      <c r="BG82" s="131"/>
      <c r="BH82" s="48">
        <v>5086</v>
      </c>
      <c r="BI82" s="48">
        <v>6532</v>
      </c>
      <c r="BJ82" s="48"/>
      <c r="BK82" s="48"/>
      <c r="BL82" s="48"/>
      <c r="BM82" s="48"/>
      <c r="BN82" s="134" t="s">
        <v>1</v>
      </c>
      <c r="BO82" s="131"/>
      <c r="BP82" s="48">
        <v>6239</v>
      </c>
      <c r="BQ82" s="48">
        <v>7199</v>
      </c>
      <c r="BR82" s="48">
        <v>8180</v>
      </c>
      <c r="BS82" s="48">
        <v>9936</v>
      </c>
      <c r="BT82" s="48">
        <v>9934</v>
      </c>
      <c r="BV82" s="134" t="s">
        <v>1</v>
      </c>
      <c r="BW82" s="131"/>
      <c r="BX82" s="48">
        <v>5690</v>
      </c>
      <c r="BY82" s="48">
        <v>6596</v>
      </c>
      <c r="BZ82" s="48">
        <v>7838</v>
      </c>
      <c r="CA82" s="48">
        <v>9067</v>
      </c>
      <c r="CB82" s="48">
        <v>8572</v>
      </c>
      <c r="CC82" s="48"/>
      <c r="CD82" s="134" t="s">
        <v>1</v>
      </c>
      <c r="CE82" s="131"/>
      <c r="CF82" s="48">
        <v>8739</v>
      </c>
      <c r="CG82" s="48">
        <v>10445</v>
      </c>
      <c r="CH82" s="48">
        <v>11398</v>
      </c>
      <c r="CI82" s="48">
        <v>15367</v>
      </c>
      <c r="CJ82" s="48">
        <v>15387</v>
      </c>
      <c r="CL82" s="134" t="s">
        <v>1</v>
      </c>
      <c r="CM82" s="131"/>
      <c r="CN82" s="48">
        <v>7698</v>
      </c>
      <c r="CO82" s="48">
        <v>10593</v>
      </c>
      <c r="CP82" s="48">
        <v>12064</v>
      </c>
      <c r="CQ82" s="48">
        <v>14058</v>
      </c>
      <c r="CR82" s="48">
        <v>14334</v>
      </c>
      <c r="CT82" s="134" t="s">
        <v>1</v>
      </c>
      <c r="CU82" s="131"/>
      <c r="CV82" s="131">
        <v>8155</v>
      </c>
      <c r="CW82" s="48"/>
      <c r="CX82" s="48"/>
      <c r="CY82" s="48"/>
      <c r="CZ82" s="48"/>
      <c r="DB82" s="134" t="s">
        <v>1</v>
      </c>
      <c r="DC82" s="131"/>
      <c r="DD82" s="48">
        <v>11143</v>
      </c>
      <c r="DE82" s="48"/>
      <c r="DF82" s="48"/>
      <c r="DG82" s="48"/>
      <c r="DH82" s="48"/>
      <c r="DI82" s="48"/>
      <c r="DJ82" s="134" t="s">
        <v>1</v>
      </c>
      <c r="DK82" s="131">
        <v>0</v>
      </c>
      <c r="DL82" s="48">
        <v>0</v>
      </c>
      <c r="DM82" s="48"/>
      <c r="DN82" s="48"/>
      <c r="DO82" s="48"/>
      <c r="DP82" s="48"/>
      <c r="DR82" s="134" t="s">
        <v>1</v>
      </c>
      <c r="DS82" s="131"/>
      <c r="DT82" s="48">
        <v>8428</v>
      </c>
      <c r="DU82" s="48"/>
      <c r="DV82" s="48"/>
      <c r="DW82" s="48"/>
      <c r="DX82" s="48"/>
      <c r="DZ82" s="134" t="s">
        <v>1</v>
      </c>
      <c r="EA82" s="131"/>
      <c r="EB82" s="48"/>
      <c r="EC82" s="48"/>
      <c r="ED82" s="48"/>
      <c r="EE82" s="48"/>
      <c r="EF82" s="48"/>
    </row>
    <row r="83" spans="1:136" x14ac:dyDescent="0.2">
      <c r="A83" s="292"/>
      <c r="B83" s="134" t="s">
        <v>3</v>
      </c>
      <c r="C83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3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75170</v>
      </c>
      <c r="E83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86970</v>
      </c>
      <c r="F83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88514</v>
      </c>
      <c r="G83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124457</v>
      </c>
      <c r="H83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89450</v>
      </c>
      <c r="I83" s="48"/>
      <c r="J83" s="134" t="s">
        <v>3</v>
      </c>
      <c r="K83" s="131"/>
      <c r="L83" s="131">
        <v>9405</v>
      </c>
      <c r="M83" s="48">
        <v>10628</v>
      </c>
      <c r="N83" s="48">
        <v>11288</v>
      </c>
      <c r="O83" s="48">
        <v>14866</v>
      </c>
      <c r="P83" s="48">
        <v>14339</v>
      </c>
      <c r="R83" s="134" t="s">
        <v>3</v>
      </c>
      <c r="S83" s="131"/>
      <c r="T83" s="48">
        <v>4146</v>
      </c>
      <c r="U83" s="48">
        <v>4883</v>
      </c>
      <c r="V83" s="48">
        <v>5327</v>
      </c>
      <c r="W83" s="48">
        <v>8475</v>
      </c>
      <c r="X83" s="48">
        <v>7278</v>
      </c>
      <c r="Z83" s="134" t="s">
        <v>3</v>
      </c>
      <c r="AA83" s="131"/>
      <c r="AB83" s="48">
        <v>4564</v>
      </c>
      <c r="AC83" s="48">
        <v>5575</v>
      </c>
      <c r="AD83" s="48">
        <v>6528</v>
      </c>
      <c r="AE83" s="48">
        <v>9211</v>
      </c>
      <c r="AF83" s="48">
        <v>7262</v>
      </c>
      <c r="AH83" s="134" t="s">
        <v>3</v>
      </c>
      <c r="AI83" s="131"/>
      <c r="AJ83" s="131">
        <v>7661</v>
      </c>
      <c r="AK83" s="48">
        <v>9011</v>
      </c>
      <c r="AL83" s="48">
        <v>9811</v>
      </c>
      <c r="AM83" s="48">
        <v>13324</v>
      </c>
      <c r="AN83" s="48">
        <v>12528</v>
      </c>
      <c r="AP83" s="134" t="s">
        <v>3</v>
      </c>
      <c r="AQ83" s="131"/>
      <c r="AR83" s="131">
        <v>9942</v>
      </c>
      <c r="AS83" s="48">
        <v>10801</v>
      </c>
      <c r="AT83" s="48">
        <v>12153</v>
      </c>
      <c r="AU83" s="48">
        <v>16078</v>
      </c>
      <c r="AV83" s="48"/>
      <c r="AX83" s="134" t="s">
        <v>3</v>
      </c>
      <c r="AY83" s="131"/>
      <c r="AZ83" s="48">
        <v>4377</v>
      </c>
      <c r="BA83" s="48">
        <v>4921</v>
      </c>
      <c r="BB83" s="48">
        <v>5835</v>
      </c>
      <c r="BC83" s="48">
        <v>8379</v>
      </c>
      <c r="BD83" s="48"/>
      <c r="BE83" s="48"/>
      <c r="BF83" s="134" t="s">
        <v>3</v>
      </c>
      <c r="BG83" s="131"/>
      <c r="BH83" s="48">
        <v>5218</v>
      </c>
      <c r="BI83" s="48">
        <v>6036</v>
      </c>
      <c r="BJ83" s="48"/>
      <c r="BK83" s="48"/>
      <c r="BL83" s="48"/>
      <c r="BM83" s="48"/>
      <c r="BN83" s="134" t="s">
        <v>3</v>
      </c>
      <c r="BO83" s="131"/>
      <c r="BP83" s="48">
        <v>6055</v>
      </c>
      <c r="BQ83" s="48">
        <v>6843</v>
      </c>
      <c r="BR83" s="48">
        <v>7463</v>
      </c>
      <c r="BS83" s="48">
        <v>10268</v>
      </c>
      <c r="BT83" s="48">
        <v>9627</v>
      </c>
      <c r="BV83" s="134" t="s">
        <v>3</v>
      </c>
      <c r="BW83" s="131"/>
      <c r="BX83" s="48">
        <v>5867</v>
      </c>
      <c r="BY83" s="48">
        <v>6475</v>
      </c>
      <c r="BZ83" s="48">
        <v>8085</v>
      </c>
      <c r="CA83" s="48">
        <v>10319</v>
      </c>
      <c r="CB83" s="48">
        <v>8847</v>
      </c>
      <c r="CC83" s="48"/>
      <c r="CD83" s="134" t="s">
        <v>3</v>
      </c>
      <c r="CE83" s="131"/>
      <c r="CF83" s="48">
        <v>10175</v>
      </c>
      <c r="CG83" s="48">
        <v>11248</v>
      </c>
      <c r="CH83" s="48">
        <v>10161</v>
      </c>
      <c r="CI83" s="48">
        <v>17410</v>
      </c>
      <c r="CJ83" s="48">
        <v>15672</v>
      </c>
      <c r="CL83" s="134" t="s">
        <v>3</v>
      </c>
      <c r="CM83" s="131"/>
      <c r="CN83" s="48">
        <v>7760</v>
      </c>
      <c r="CO83" s="48">
        <v>10549</v>
      </c>
      <c r="CP83" s="48">
        <v>11863</v>
      </c>
      <c r="CQ83" s="48">
        <v>16127</v>
      </c>
      <c r="CR83" s="48">
        <v>13897</v>
      </c>
      <c r="CT83" s="134" t="s">
        <v>3</v>
      </c>
      <c r="CU83" s="131"/>
      <c r="CV83" s="131">
        <v>9135</v>
      </c>
      <c r="CW83" s="48"/>
      <c r="CX83" s="48"/>
      <c r="CY83" s="48"/>
      <c r="CZ83" s="48"/>
      <c r="DB83" s="134" t="s">
        <v>3</v>
      </c>
      <c r="DC83" s="131"/>
      <c r="DD83" s="48">
        <v>11561</v>
      </c>
      <c r="DE83" s="48"/>
      <c r="DF83" s="48"/>
      <c r="DG83" s="48"/>
      <c r="DH83" s="48"/>
      <c r="DI83" s="48"/>
      <c r="DJ83" s="134" t="s">
        <v>3</v>
      </c>
      <c r="DK83" s="131">
        <v>0</v>
      </c>
      <c r="DL83" s="48">
        <v>0</v>
      </c>
      <c r="DM83" s="48"/>
      <c r="DN83" s="48"/>
      <c r="DO83" s="48"/>
      <c r="DP83" s="48"/>
      <c r="DR83" s="134" t="s">
        <v>3</v>
      </c>
      <c r="DS83" s="131"/>
      <c r="DT83" s="48">
        <v>8405</v>
      </c>
      <c r="DU83" s="48"/>
      <c r="DV83" s="48"/>
      <c r="DW83" s="48"/>
      <c r="DX83" s="48"/>
      <c r="DZ83" s="134" t="s">
        <v>3</v>
      </c>
      <c r="EA83" s="131"/>
      <c r="EB83" s="48">
        <v>5052</v>
      </c>
      <c r="EC83" s="48"/>
      <c r="ED83" s="48"/>
      <c r="EE83" s="48"/>
      <c r="EF83" s="48"/>
    </row>
    <row r="84" spans="1:136" x14ac:dyDescent="0.2">
      <c r="A84" s="292"/>
      <c r="B84" s="134" t="s">
        <v>71</v>
      </c>
      <c r="C84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4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67295</v>
      </c>
      <c r="E84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76009</v>
      </c>
      <c r="F84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79317</v>
      </c>
      <c r="G84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105355</v>
      </c>
      <c r="H84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78758</v>
      </c>
      <c r="I84" s="48"/>
      <c r="J84" s="134" t="s">
        <v>71</v>
      </c>
      <c r="K84" s="131"/>
      <c r="L84" s="131">
        <v>9037</v>
      </c>
      <c r="M84" s="48">
        <v>10294</v>
      </c>
      <c r="N84" s="48">
        <v>11364</v>
      </c>
      <c r="O84" s="48">
        <v>13995</v>
      </c>
      <c r="P84" s="48">
        <v>13786</v>
      </c>
      <c r="R84" s="134" t="s">
        <v>71</v>
      </c>
      <c r="S84" s="131"/>
      <c r="T84" s="48">
        <v>4417</v>
      </c>
      <c r="U84" s="48">
        <v>4750</v>
      </c>
      <c r="V84" s="48">
        <v>5681</v>
      </c>
      <c r="W84" s="48">
        <v>7858</v>
      </c>
      <c r="X84" s="48">
        <v>7142</v>
      </c>
      <c r="Z84" s="134" t="s">
        <v>71</v>
      </c>
      <c r="AA84" s="131"/>
      <c r="AB84" s="48">
        <v>4898</v>
      </c>
      <c r="AC84" s="48">
        <v>6244</v>
      </c>
      <c r="AD84" s="48">
        <v>6805</v>
      </c>
      <c r="AE84" s="48">
        <v>9111</v>
      </c>
      <c r="AF84" s="48">
        <v>7762</v>
      </c>
      <c r="AH84" s="134" t="s">
        <v>71</v>
      </c>
      <c r="AI84" s="131"/>
      <c r="AJ84" s="131">
        <v>7583</v>
      </c>
      <c r="AK84" s="48">
        <v>8975</v>
      </c>
      <c r="AL84" s="48">
        <v>9680</v>
      </c>
      <c r="AM84" s="48">
        <v>12106</v>
      </c>
      <c r="AN84" s="48">
        <v>11792</v>
      </c>
      <c r="AP84" s="134" t="s">
        <v>71</v>
      </c>
      <c r="AQ84" s="131"/>
      <c r="AR84" s="131">
        <v>9215</v>
      </c>
      <c r="AS84" s="48">
        <v>10258</v>
      </c>
      <c r="AT84" s="48">
        <v>11488</v>
      </c>
      <c r="AU84" s="48">
        <v>13738</v>
      </c>
      <c r="AV84" s="48"/>
      <c r="AX84" s="134" t="s">
        <v>71</v>
      </c>
      <c r="AY84" s="131"/>
      <c r="AZ84" s="48">
        <v>4130</v>
      </c>
      <c r="BA84" s="48">
        <v>3825</v>
      </c>
      <c r="BB84" s="48">
        <v>5807</v>
      </c>
      <c r="BC84" s="48">
        <v>6680</v>
      </c>
      <c r="BD84" s="48"/>
      <c r="BE84" s="48"/>
      <c r="BF84" s="134" t="s">
        <v>71</v>
      </c>
      <c r="BG84" s="131"/>
      <c r="BH84" s="48">
        <v>4120</v>
      </c>
      <c r="BI84" s="48">
        <v>4684</v>
      </c>
      <c r="BJ84" s="48"/>
      <c r="BK84" s="48"/>
      <c r="BL84" s="48"/>
      <c r="BM84" s="48"/>
      <c r="BN84" s="134" t="s">
        <v>71</v>
      </c>
      <c r="BO84" s="131"/>
      <c r="BP84" s="48">
        <v>6091</v>
      </c>
      <c r="BQ84" s="48">
        <v>6857</v>
      </c>
      <c r="BR84" s="48">
        <v>7501</v>
      </c>
      <c r="BS84" s="48">
        <v>9252</v>
      </c>
      <c r="BT84" s="48">
        <v>8543</v>
      </c>
      <c r="BV84" s="134" t="s">
        <v>71</v>
      </c>
      <c r="BW84" s="131"/>
      <c r="BX84" s="48">
        <v>3840</v>
      </c>
      <c r="BY84" s="48">
        <v>3127</v>
      </c>
      <c r="BZ84" s="48">
        <v>5862</v>
      </c>
      <c r="CA84" s="48">
        <v>7288</v>
      </c>
      <c r="CB84" s="48">
        <v>6418</v>
      </c>
      <c r="CC84" s="48"/>
      <c r="CD84" s="134" t="s">
        <v>71</v>
      </c>
      <c r="CE84" s="131"/>
      <c r="CF84" s="48">
        <v>6636</v>
      </c>
      <c r="CG84" s="48">
        <v>7676</v>
      </c>
      <c r="CH84" s="48">
        <v>5851</v>
      </c>
      <c r="CI84" s="48">
        <v>11577</v>
      </c>
      <c r="CJ84" s="48">
        <v>11182</v>
      </c>
      <c r="CL84" s="134" t="s">
        <v>71</v>
      </c>
      <c r="CM84" s="131"/>
      <c r="CN84" s="48">
        <v>7328</v>
      </c>
      <c r="CO84" s="48">
        <v>9319</v>
      </c>
      <c r="CP84" s="48">
        <v>9278</v>
      </c>
      <c r="CQ84" s="48">
        <v>13750</v>
      </c>
      <c r="CR84" s="48">
        <v>12133</v>
      </c>
      <c r="CT84" s="134" t="s">
        <v>71</v>
      </c>
      <c r="CU84" s="131"/>
      <c r="CV84" s="131">
        <v>8755</v>
      </c>
      <c r="CW84" s="48"/>
      <c r="CX84" s="48"/>
      <c r="CY84" s="48"/>
      <c r="CZ84" s="48"/>
      <c r="DB84" s="134" t="s">
        <v>71</v>
      </c>
      <c r="DC84" s="131"/>
      <c r="DD84" s="48">
        <v>10722</v>
      </c>
      <c r="DE84" s="48"/>
      <c r="DF84" s="48"/>
      <c r="DG84" s="48"/>
      <c r="DH84" s="48"/>
      <c r="DI84" s="48"/>
      <c r="DJ84" s="134" t="s">
        <v>71</v>
      </c>
      <c r="DK84" s="131">
        <v>0</v>
      </c>
      <c r="DL84" s="48">
        <v>0</v>
      </c>
      <c r="DM84" s="48"/>
      <c r="DN84" s="48"/>
      <c r="DO84" s="48"/>
      <c r="DP84" s="48"/>
      <c r="DR84" s="134" t="s">
        <v>71</v>
      </c>
      <c r="DS84" s="131"/>
      <c r="DT84" s="48">
        <v>8714</v>
      </c>
      <c r="DU84" s="48"/>
      <c r="DV84" s="48"/>
      <c r="DW84" s="48"/>
      <c r="DX84" s="48"/>
      <c r="DZ84" s="134" t="s">
        <v>71</v>
      </c>
      <c r="EA84" s="131"/>
      <c r="EB84" s="48">
        <v>3827</v>
      </c>
      <c r="EC84" s="48"/>
      <c r="ED84" s="48"/>
      <c r="EE84" s="48"/>
      <c r="EF84" s="48"/>
    </row>
    <row r="85" spans="1:136" x14ac:dyDescent="0.2">
      <c r="A85" s="292"/>
      <c r="B85" s="134" t="s">
        <v>12</v>
      </c>
      <c r="C85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5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71075</v>
      </c>
      <c r="E85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80713</v>
      </c>
      <c r="F85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84026</v>
      </c>
      <c r="G85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107078</v>
      </c>
      <c r="H85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82286</v>
      </c>
      <c r="I85" s="48"/>
      <c r="J85" s="134" t="s">
        <v>12</v>
      </c>
      <c r="K85" s="131"/>
      <c r="L85" s="131">
        <v>9746</v>
      </c>
      <c r="M85" s="48">
        <v>10500</v>
      </c>
      <c r="N85" s="48">
        <v>12360</v>
      </c>
      <c r="O85" s="48">
        <v>15044</v>
      </c>
      <c r="P85" s="48">
        <v>14169</v>
      </c>
      <c r="R85" s="134" t="s">
        <v>12</v>
      </c>
      <c r="S85" s="131"/>
      <c r="T85" s="48">
        <v>4649</v>
      </c>
      <c r="U85" s="48">
        <v>4891</v>
      </c>
      <c r="V85" s="48">
        <v>6172</v>
      </c>
      <c r="W85" s="48">
        <v>8003</v>
      </c>
      <c r="X85" s="48">
        <v>7719</v>
      </c>
      <c r="Z85" s="134" t="s">
        <v>12</v>
      </c>
      <c r="AA85" s="131"/>
      <c r="AB85" s="48">
        <v>5189</v>
      </c>
      <c r="AC85" s="48">
        <v>5960</v>
      </c>
      <c r="AD85" s="48">
        <v>7627</v>
      </c>
      <c r="AE85" s="48">
        <v>9295</v>
      </c>
      <c r="AF85" s="48">
        <v>7852</v>
      </c>
      <c r="AH85" s="134" t="s">
        <v>12</v>
      </c>
      <c r="AI85" s="131"/>
      <c r="AJ85" s="131">
        <v>7941</v>
      </c>
      <c r="AK85" s="48">
        <v>9255</v>
      </c>
      <c r="AL85" s="48">
        <v>10446</v>
      </c>
      <c r="AM85" s="48">
        <v>12336</v>
      </c>
      <c r="AN85" s="48">
        <v>12626</v>
      </c>
      <c r="AP85" s="134" t="s">
        <v>12</v>
      </c>
      <c r="AQ85" s="131"/>
      <c r="AR85" s="131">
        <v>9875</v>
      </c>
      <c r="AS85" s="48">
        <v>10416</v>
      </c>
      <c r="AT85" s="48">
        <v>12198</v>
      </c>
      <c r="AU85" s="48">
        <v>13913</v>
      </c>
      <c r="AV85" s="48"/>
      <c r="AX85" s="134" t="s">
        <v>12</v>
      </c>
      <c r="AY85" s="131"/>
      <c r="AZ85" s="48">
        <v>4282</v>
      </c>
      <c r="BA85" s="48">
        <v>4071</v>
      </c>
      <c r="BB85" s="48">
        <v>6039</v>
      </c>
      <c r="BC85" s="48">
        <v>7300</v>
      </c>
      <c r="BD85" s="48"/>
      <c r="BE85" s="48"/>
      <c r="BF85" s="134" t="s">
        <v>12</v>
      </c>
      <c r="BG85" s="131"/>
      <c r="BH85" s="48">
        <v>4172</v>
      </c>
      <c r="BI85" s="48">
        <v>5468</v>
      </c>
      <c r="BJ85" s="48"/>
      <c r="BK85" s="48"/>
      <c r="BL85" s="48"/>
      <c r="BM85" s="48"/>
      <c r="BN85" s="134" t="s">
        <v>12</v>
      </c>
      <c r="BO85" s="131"/>
      <c r="BP85" s="48">
        <v>6365</v>
      </c>
      <c r="BQ85" s="48">
        <v>7014</v>
      </c>
      <c r="BR85" s="48">
        <v>7904</v>
      </c>
      <c r="BS85" s="48">
        <v>9403</v>
      </c>
      <c r="BT85" s="48">
        <v>9202</v>
      </c>
      <c r="BV85" s="134" t="s">
        <v>12</v>
      </c>
      <c r="BW85" s="131"/>
      <c r="BX85" s="48">
        <v>4452</v>
      </c>
      <c r="BY85" s="48">
        <v>4699</v>
      </c>
      <c r="BZ85" s="48">
        <v>5927</v>
      </c>
      <c r="CA85" s="48">
        <v>7107</v>
      </c>
      <c r="CB85" s="48">
        <v>6691</v>
      </c>
      <c r="CC85" s="48"/>
      <c r="CD85" s="134" t="s">
        <v>12</v>
      </c>
      <c r="CE85" s="131"/>
      <c r="CF85" s="48">
        <v>6939</v>
      </c>
      <c r="CG85" s="48">
        <v>8548</v>
      </c>
      <c r="CH85" s="48">
        <v>7037</v>
      </c>
      <c r="CI85" s="48">
        <v>11263</v>
      </c>
      <c r="CJ85" s="48">
        <v>11253</v>
      </c>
      <c r="CL85" s="134" t="s">
        <v>12</v>
      </c>
      <c r="CM85" s="131"/>
      <c r="CN85" s="48">
        <v>7465</v>
      </c>
      <c r="CO85" s="48">
        <v>9891</v>
      </c>
      <c r="CP85" s="48">
        <v>8316</v>
      </c>
      <c r="CQ85" s="48">
        <v>13414</v>
      </c>
      <c r="CR85" s="48">
        <v>12774</v>
      </c>
      <c r="CT85" s="134" t="s">
        <v>12</v>
      </c>
      <c r="CU85" s="131"/>
      <c r="CV85" s="131">
        <v>9232</v>
      </c>
      <c r="CW85" s="48"/>
      <c r="CX85" s="48"/>
      <c r="CY85" s="48"/>
      <c r="CZ85" s="48"/>
      <c r="DB85" s="134" t="s">
        <v>12</v>
      </c>
      <c r="DC85" s="131"/>
      <c r="DD85" s="48">
        <v>11395</v>
      </c>
      <c r="DE85" s="48"/>
      <c r="DF85" s="48"/>
      <c r="DG85" s="48"/>
      <c r="DH85" s="48"/>
      <c r="DI85" s="48"/>
      <c r="DJ85" s="134" t="s">
        <v>12</v>
      </c>
      <c r="DK85" s="131">
        <v>0</v>
      </c>
      <c r="DL85" s="48">
        <v>0</v>
      </c>
      <c r="DM85" s="48"/>
      <c r="DN85" s="48"/>
      <c r="DO85" s="48"/>
      <c r="DP85" s="48"/>
      <c r="DR85" s="134" t="s">
        <v>12</v>
      </c>
      <c r="DS85" s="131"/>
      <c r="DT85" s="48">
        <v>9007</v>
      </c>
      <c r="DU85" s="48"/>
      <c r="DV85" s="48"/>
      <c r="DW85" s="48"/>
      <c r="DX85" s="48"/>
      <c r="DZ85" s="134" t="s">
        <v>12</v>
      </c>
      <c r="EA85" s="131"/>
      <c r="EB85" s="48">
        <v>4005</v>
      </c>
      <c r="EC85" s="48"/>
      <c r="ED85" s="48"/>
      <c r="EE85" s="48"/>
      <c r="EF85" s="48"/>
    </row>
    <row r="86" spans="1:136" x14ac:dyDescent="0.2">
      <c r="A86" s="292"/>
      <c r="B86" s="134" t="s">
        <v>13</v>
      </c>
      <c r="C86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6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68820</v>
      </c>
      <c r="E86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76401</v>
      </c>
      <c r="F86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81438</v>
      </c>
      <c r="G86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99592</v>
      </c>
      <c r="H86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90781</v>
      </c>
      <c r="I86" s="48"/>
      <c r="J86" s="134" t="s">
        <v>13</v>
      </c>
      <c r="K86" s="131"/>
      <c r="L86" s="131">
        <v>9807</v>
      </c>
      <c r="M86" s="48">
        <v>9934</v>
      </c>
      <c r="N86" s="48">
        <v>11960</v>
      </c>
      <c r="O86" s="48">
        <v>13669</v>
      </c>
      <c r="P86" s="48">
        <v>15114</v>
      </c>
      <c r="R86" s="134" t="s">
        <v>13</v>
      </c>
      <c r="S86" s="131"/>
      <c r="T86" s="48">
        <v>4449</v>
      </c>
      <c r="U86" s="48">
        <v>4805</v>
      </c>
      <c r="V86" s="48">
        <v>6077</v>
      </c>
      <c r="W86" s="48">
        <v>7249</v>
      </c>
      <c r="X86" s="48">
        <v>8741</v>
      </c>
      <c r="Z86" s="134" t="s">
        <v>13</v>
      </c>
      <c r="AA86" s="131"/>
      <c r="AB86" s="48">
        <v>4928</v>
      </c>
      <c r="AC86" s="48">
        <v>5995</v>
      </c>
      <c r="AD86" s="48">
        <v>7305</v>
      </c>
      <c r="AE86" s="48">
        <v>8479</v>
      </c>
      <c r="AF86" s="48">
        <v>9069</v>
      </c>
      <c r="AH86" s="134" t="s">
        <v>13</v>
      </c>
      <c r="AI86" s="131"/>
      <c r="AJ86" s="131">
        <v>7300</v>
      </c>
      <c r="AK86" s="48">
        <v>8425</v>
      </c>
      <c r="AL86" s="48">
        <v>9688</v>
      </c>
      <c r="AM86" s="48">
        <v>11562</v>
      </c>
      <c r="AN86" s="48">
        <v>14192</v>
      </c>
      <c r="AP86" s="134" t="s">
        <v>13</v>
      </c>
      <c r="AQ86" s="131"/>
      <c r="AR86" s="131">
        <v>9850</v>
      </c>
      <c r="AS86" s="48">
        <v>9800</v>
      </c>
      <c r="AT86" s="48">
        <v>11329</v>
      </c>
      <c r="AU86" s="48">
        <v>12930</v>
      </c>
      <c r="AV86" s="48"/>
      <c r="AX86" s="134" t="s">
        <v>13</v>
      </c>
      <c r="AY86" s="131"/>
      <c r="AZ86" s="48">
        <v>4272</v>
      </c>
      <c r="BA86" s="48">
        <v>4041</v>
      </c>
      <c r="BB86" s="48">
        <v>5757</v>
      </c>
      <c r="BC86" s="48">
        <v>6740</v>
      </c>
      <c r="BD86" s="48"/>
      <c r="BE86" s="48"/>
      <c r="BF86" s="134" t="s">
        <v>13</v>
      </c>
      <c r="BG86" s="131"/>
      <c r="BH86" s="48">
        <v>4044</v>
      </c>
      <c r="BI86" s="48">
        <v>5322</v>
      </c>
      <c r="BJ86" s="48"/>
      <c r="BK86" s="48"/>
      <c r="BL86" s="48"/>
      <c r="BM86" s="48"/>
      <c r="BN86" s="134" t="s">
        <v>13</v>
      </c>
      <c r="BO86" s="131"/>
      <c r="BP86" s="48">
        <v>6232</v>
      </c>
      <c r="BQ86" s="48">
        <v>6667</v>
      </c>
      <c r="BR86" s="48">
        <v>7355</v>
      </c>
      <c r="BS86" s="48">
        <v>8732</v>
      </c>
      <c r="BT86" s="48">
        <v>10963</v>
      </c>
      <c r="BV86" s="134" t="s">
        <v>13</v>
      </c>
      <c r="BW86" s="131"/>
      <c r="BX86" s="48">
        <v>4158</v>
      </c>
      <c r="BY86" s="48">
        <v>4352</v>
      </c>
      <c r="BZ86" s="48">
        <v>5317</v>
      </c>
      <c r="CA86" s="48">
        <v>6591</v>
      </c>
      <c r="CB86" s="48">
        <v>7106</v>
      </c>
      <c r="CC86" s="48"/>
      <c r="CD86" s="134" t="s">
        <v>13</v>
      </c>
      <c r="CE86" s="131"/>
      <c r="CF86" s="48">
        <v>6672</v>
      </c>
      <c r="CG86" s="48">
        <v>7847</v>
      </c>
      <c r="CH86" s="48">
        <v>6359</v>
      </c>
      <c r="CI86" s="48">
        <v>11030</v>
      </c>
      <c r="CJ86" s="48">
        <v>11489</v>
      </c>
      <c r="CL86" s="134" t="s">
        <v>13</v>
      </c>
      <c r="CM86" s="131"/>
      <c r="CN86" s="48">
        <v>7108</v>
      </c>
      <c r="CO86" s="48">
        <v>9213</v>
      </c>
      <c r="CP86" s="48">
        <v>10291</v>
      </c>
      <c r="CQ86" s="48">
        <v>12610</v>
      </c>
      <c r="CR86" s="48">
        <v>14107</v>
      </c>
      <c r="CT86" s="134" t="s">
        <v>13</v>
      </c>
      <c r="CU86" s="131"/>
      <c r="CV86" s="131">
        <v>8991</v>
      </c>
      <c r="CW86" s="48"/>
      <c r="CX86" s="48"/>
      <c r="CY86" s="48"/>
      <c r="CZ86" s="48"/>
      <c r="DB86" s="134" t="s">
        <v>13</v>
      </c>
      <c r="DC86" s="131"/>
      <c r="DD86" s="48">
        <v>11017</v>
      </c>
      <c r="DE86" s="48"/>
      <c r="DF86" s="48"/>
      <c r="DG86" s="48"/>
      <c r="DH86" s="48"/>
      <c r="DI86" s="48"/>
      <c r="DJ86" s="134" t="s">
        <v>13</v>
      </c>
      <c r="DK86" s="131">
        <v>0</v>
      </c>
      <c r="DL86" s="48">
        <v>0</v>
      </c>
      <c r="DM86" s="48"/>
      <c r="DN86" s="48"/>
      <c r="DO86" s="48"/>
      <c r="DP86" s="48"/>
      <c r="DR86" s="134" t="s">
        <v>13</v>
      </c>
      <c r="DS86" s="131"/>
      <c r="DT86" s="48">
        <v>8830</v>
      </c>
      <c r="DU86" s="48"/>
      <c r="DV86" s="48"/>
      <c r="DW86" s="48"/>
      <c r="DX86" s="48"/>
      <c r="DZ86" s="134" t="s">
        <v>13</v>
      </c>
      <c r="EA86" s="131"/>
      <c r="EB86" s="48">
        <v>3853</v>
      </c>
      <c r="EC86" s="48"/>
      <c r="ED86" s="48"/>
      <c r="EE86" s="48"/>
      <c r="EF86" s="48"/>
    </row>
    <row r="87" spans="1:136" x14ac:dyDescent="0.2">
      <c r="A87" s="292"/>
      <c r="B87" s="134" t="s">
        <v>15</v>
      </c>
      <c r="C87" s="131" t="str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7" s="4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>69124</v>
      </c>
      <c r="E87" s="4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>75476</v>
      </c>
      <c r="F87" s="4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>83208</v>
      </c>
      <c r="G87" s="4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>100324</v>
      </c>
      <c r="H87" s="4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>103321</v>
      </c>
      <c r="I87" s="48"/>
      <c r="J87" s="134" t="s">
        <v>15</v>
      </c>
      <c r="K87" s="131"/>
      <c r="L87" s="131">
        <v>9634</v>
      </c>
      <c r="M87" s="48">
        <v>10074</v>
      </c>
      <c r="N87" s="48">
        <v>12352</v>
      </c>
      <c r="O87" s="48">
        <v>13942</v>
      </c>
      <c r="P87" s="48">
        <v>16787</v>
      </c>
      <c r="R87" s="134" t="s">
        <v>15</v>
      </c>
      <c r="S87" s="131"/>
      <c r="T87" s="48">
        <v>4424</v>
      </c>
      <c r="U87" s="48">
        <v>4823</v>
      </c>
      <c r="V87" s="48">
        <v>6169</v>
      </c>
      <c r="W87" s="48">
        <v>7430</v>
      </c>
      <c r="X87" s="48">
        <v>10275</v>
      </c>
      <c r="Z87" s="134" t="s">
        <v>15</v>
      </c>
      <c r="AA87" s="131"/>
      <c r="AB87" s="48">
        <v>5022</v>
      </c>
      <c r="AC87" s="48">
        <v>5461</v>
      </c>
      <c r="AD87" s="48">
        <v>6933</v>
      </c>
      <c r="AE87" s="48">
        <v>8269</v>
      </c>
      <c r="AF87" s="48">
        <v>9968</v>
      </c>
      <c r="AH87" s="134" t="s">
        <v>15</v>
      </c>
      <c r="AI87" s="131"/>
      <c r="AJ87" s="131">
        <v>7214</v>
      </c>
      <c r="AK87" s="48">
        <v>8294</v>
      </c>
      <c r="AL87" s="48">
        <v>9391</v>
      </c>
      <c r="AM87" s="48">
        <v>11824</v>
      </c>
      <c r="AN87" s="48">
        <v>15229</v>
      </c>
      <c r="AP87" s="134" t="s">
        <v>15</v>
      </c>
      <c r="AQ87" s="131"/>
      <c r="AR87" s="131">
        <v>10264</v>
      </c>
      <c r="AS87" s="48">
        <v>10593</v>
      </c>
      <c r="AT87" s="48">
        <v>12168</v>
      </c>
      <c r="AU87" s="48">
        <v>13675</v>
      </c>
      <c r="AV87" s="48"/>
      <c r="AX87" s="134" t="s">
        <v>15</v>
      </c>
      <c r="AY87" s="131"/>
      <c r="AZ87" s="48">
        <v>4249</v>
      </c>
      <c r="BA87" s="48">
        <v>4408</v>
      </c>
      <c r="BB87" s="48">
        <v>5838</v>
      </c>
      <c r="BC87" s="48">
        <v>6751</v>
      </c>
      <c r="BD87" s="48"/>
      <c r="BE87" s="48"/>
      <c r="BF87" s="134" t="s">
        <v>15</v>
      </c>
      <c r="BG87" s="131"/>
      <c r="BH87" s="48">
        <v>4122</v>
      </c>
      <c r="BI87" s="48">
        <v>5172</v>
      </c>
      <c r="BJ87" s="48"/>
      <c r="BK87" s="48"/>
      <c r="BL87" s="48"/>
      <c r="BM87" s="48"/>
      <c r="BN87" s="134" t="s">
        <v>15</v>
      </c>
      <c r="BO87" s="131"/>
      <c r="BP87" s="48">
        <v>6212</v>
      </c>
      <c r="BQ87" s="48">
        <v>6752</v>
      </c>
      <c r="BR87" s="48">
        <v>7677</v>
      </c>
      <c r="BS87" s="48">
        <v>8959</v>
      </c>
      <c r="BT87" s="48">
        <v>12079</v>
      </c>
      <c r="BV87" s="134" t="s">
        <v>15</v>
      </c>
      <c r="BW87" s="131"/>
      <c r="BX87" s="48">
        <v>4230</v>
      </c>
      <c r="BY87" s="48">
        <v>4252</v>
      </c>
      <c r="BZ87" s="48">
        <v>5117</v>
      </c>
      <c r="CA87" s="48">
        <v>6591</v>
      </c>
      <c r="CB87" s="48">
        <v>9016</v>
      </c>
      <c r="CC87" s="48"/>
      <c r="CD87" s="134" t="s">
        <v>15</v>
      </c>
      <c r="CE87" s="131"/>
      <c r="CF87" s="48">
        <v>6292</v>
      </c>
      <c r="CG87" s="48">
        <v>7566</v>
      </c>
      <c r="CH87" s="48">
        <v>6892</v>
      </c>
      <c r="CI87" s="48">
        <v>9969</v>
      </c>
      <c r="CJ87" s="48">
        <v>13520</v>
      </c>
      <c r="CL87" s="134" t="s">
        <v>15</v>
      </c>
      <c r="CM87" s="131"/>
      <c r="CN87" s="48">
        <v>7461</v>
      </c>
      <c r="CO87" s="48">
        <v>8081</v>
      </c>
      <c r="CP87" s="48">
        <v>10671</v>
      </c>
      <c r="CQ87" s="48">
        <v>12914</v>
      </c>
      <c r="CR87" s="48">
        <v>16447</v>
      </c>
      <c r="CT87" s="134" t="s">
        <v>15</v>
      </c>
      <c r="CU87" s="131"/>
      <c r="CV87" s="131">
        <v>8837</v>
      </c>
      <c r="CW87" s="48"/>
      <c r="CX87" s="48"/>
      <c r="CY87" s="48"/>
      <c r="CZ87" s="48"/>
      <c r="DB87" s="134" t="s">
        <v>15</v>
      </c>
      <c r="DC87" s="131"/>
      <c r="DD87" s="48">
        <v>11558</v>
      </c>
      <c r="DE87" s="48"/>
      <c r="DF87" s="48"/>
      <c r="DG87" s="48"/>
      <c r="DH87" s="48"/>
      <c r="DI87" s="48"/>
      <c r="DJ87" s="134" t="s">
        <v>15</v>
      </c>
      <c r="DK87" s="131">
        <v>0</v>
      </c>
      <c r="DL87" s="48">
        <v>0</v>
      </c>
      <c r="DM87" s="48"/>
      <c r="DN87" s="48"/>
      <c r="DO87" s="48"/>
      <c r="DP87" s="48"/>
      <c r="DR87" s="134" t="s">
        <v>15</v>
      </c>
      <c r="DS87" s="131"/>
      <c r="DT87" s="48">
        <v>8967</v>
      </c>
      <c r="DU87" s="48"/>
      <c r="DV87" s="48"/>
      <c r="DW87" s="48"/>
      <c r="DX87" s="48"/>
      <c r="DZ87" s="134" t="s">
        <v>15</v>
      </c>
      <c r="EA87" s="131"/>
      <c r="EB87" s="48">
        <v>3881</v>
      </c>
      <c r="EC87" s="48"/>
      <c r="ED87" s="48"/>
      <c r="EE87" s="48"/>
      <c r="EF87" s="48"/>
    </row>
    <row r="89" spans="1:136" ht="15.75" x14ac:dyDescent="0.2">
      <c r="B89" s="45" t="s">
        <v>131</v>
      </c>
      <c r="J89" s="45" t="s">
        <v>2999</v>
      </c>
      <c r="R89" s="45" t="s">
        <v>3001</v>
      </c>
      <c r="Z89" s="45" t="s">
        <v>210</v>
      </c>
      <c r="AH89" s="45" t="s">
        <v>3003</v>
      </c>
      <c r="AP89" s="45" t="s">
        <v>2156</v>
      </c>
      <c r="AX89" s="45" t="s">
        <v>3000</v>
      </c>
      <c r="BF89" s="45" t="s">
        <v>3002</v>
      </c>
      <c r="BN89" s="45" t="s">
        <v>297</v>
      </c>
      <c r="BV89" s="45" t="s">
        <v>296</v>
      </c>
      <c r="CD89" s="45" t="s">
        <v>292</v>
      </c>
      <c r="CL89" s="45" t="s">
        <v>294</v>
      </c>
      <c r="CT89" s="45" t="s">
        <v>6963</v>
      </c>
      <c r="DB89" s="45" t="s">
        <v>6964</v>
      </c>
      <c r="DJ89" s="45" t="s">
        <v>6966</v>
      </c>
      <c r="DR89" s="45" t="s">
        <v>6965</v>
      </c>
      <c r="DZ89" s="45" t="s">
        <v>7094</v>
      </c>
    </row>
    <row r="91" spans="1:136" s="188" customFormat="1" ht="18.600000000000001" customHeight="1" x14ac:dyDescent="0.2">
      <c r="A91" s="292" t="s">
        <v>181</v>
      </c>
      <c r="B91" s="186" t="s">
        <v>106</v>
      </c>
      <c r="C91" s="187" t="s">
        <v>6962</v>
      </c>
      <c r="D91" s="187" t="s">
        <v>2169</v>
      </c>
      <c r="E91" s="187" t="s">
        <v>1553</v>
      </c>
      <c r="F91" s="187" t="s">
        <v>1522</v>
      </c>
      <c r="G91" s="187" t="s">
        <v>1304</v>
      </c>
      <c r="H91" s="187" t="s">
        <v>209</v>
      </c>
      <c r="I91" s="187"/>
      <c r="J91" s="186" t="s">
        <v>106</v>
      </c>
      <c r="K91" s="186" t="s">
        <v>7114</v>
      </c>
      <c r="L91" s="186" t="s">
        <v>6962</v>
      </c>
      <c r="M91" s="186" t="s">
        <v>2169</v>
      </c>
      <c r="N91" s="186" t="s">
        <v>1553</v>
      </c>
      <c r="O91" s="186" t="s">
        <v>1522</v>
      </c>
      <c r="P91" s="186" t="s">
        <v>1304</v>
      </c>
      <c r="R91" s="186" t="s">
        <v>106</v>
      </c>
      <c r="S91" s="186" t="s">
        <v>7114</v>
      </c>
      <c r="T91" s="186" t="s">
        <v>6962</v>
      </c>
      <c r="U91" s="186" t="s">
        <v>2169</v>
      </c>
      <c r="V91" s="186" t="s">
        <v>1553</v>
      </c>
      <c r="W91" s="186" t="s">
        <v>1522</v>
      </c>
      <c r="X91" s="186" t="s">
        <v>1304</v>
      </c>
      <c r="Z91" s="186" t="s">
        <v>106</v>
      </c>
      <c r="AA91" s="186" t="s">
        <v>7114</v>
      </c>
      <c r="AB91" s="186" t="s">
        <v>6962</v>
      </c>
      <c r="AC91" s="186" t="s">
        <v>2169</v>
      </c>
      <c r="AD91" s="186" t="s">
        <v>1553</v>
      </c>
      <c r="AE91" s="186" t="s">
        <v>1522</v>
      </c>
      <c r="AF91" s="186" t="s">
        <v>1304</v>
      </c>
      <c r="AH91" s="186" t="s">
        <v>106</v>
      </c>
      <c r="AI91" s="186" t="s">
        <v>7114</v>
      </c>
      <c r="AJ91" s="186" t="s">
        <v>6962</v>
      </c>
      <c r="AK91" s="186" t="s">
        <v>2169</v>
      </c>
      <c r="AL91" s="186" t="s">
        <v>1553</v>
      </c>
      <c r="AM91" s="186" t="s">
        <v>1522</v>
      </c>
      <c r="AN91" s="186" t="s">
        <v>1304</v>
      </c>
      <c r="AP91" s="186" t="s">
        <v>106</v>
      </c>
      <c r="AQ91" s="186" t="s">
        <v>7114</v>
      </c>
      <c r="AR91" s="186" t="s">
        <v>6962</v>
      </c>
      <c r="AS91" s="186" t="s">
        <v>2169</v>
      </c>
      <c r="AT91" s="186" t="s">
        <v>1553</v>
      </c>
      <c r="AU91" s="186" t="s">
        <v>1522</v>
      </c>
      <c r="AV91" s="186" t="s">
        <v>1304</v>
      </c>
      <c r="AX91" s="186" t="s">
        <v>106</v>
      </c>
      <c r="AY91" s="186" t="s">
        <v>7114</v>
      </c>
      <c r="AZ91" s="186" t="s">
        <v>6962</v>
      </c>
      <c r="BA91" s="186" t="s">
        <v>2169</v>
      </c>
      <c r="BB91" s="186" t="s">
        <v>1553</v>
      </c>
      <c r="BC91" s="186" t="s">
        <v>1522</v>
      </c>
      <c r="BD91" s="186" t="s">
        <v>1304</v>
      </c>
      <c r="BE91" s="187"/>
      <c r="BF91" s="186" t="s">
        <v>106</v>
      </c>
      <c r="BG91" s="186" t="s">
        <v>7114</v>
      </c>
      <c r="BH91" s="186" t="s">
        <v>6962</v>
      </c>
      <c r="BI91" s="186" t="s">
        <v>2169</v>
      </c>
      <c r="BJ91" s="186" t="s">
        <v>1553</v>
      </c>
      <c r="BK91" s="186" t="s">
        <v>1522</v>
      </c>
      <c r="BL91" s="186" t="s">
        <v>1304</v>
      </c>
      <c r="BM91" s="186"/>
      <c r="BN91" s="186" t="s">
        <v>106</v>
      </c>
      <c r="BO91" s="187" t="s">
        <v>7114</v>
      </c>
      <c r="BP91" s="187" t="s">
        <v>6962</v>
      </c>
      <c r="BQ91" s="187" t="s">
        <v>2169</v>
      </c>
      <c r="BR91" s="187" t="s">
        <v>1553</v>
      </c>
      <c r="BS91" s="187" t="s">
        <v>1522</v>
      </c>
      <c r="BT91" s="187" t="s">
        <v>1304</v>
      </c>
      <c r="BV91" s="186" t="s">
        <v>106</v>
      </c>
      <c r="BW91" s="187" t="s">
        <v>7114</v>
      </c>
      <c r="BX91" s="187" t="s">
        <v>6962</v>
      </c>
      <c r="BY91" s="187" t="s">
        <v>2169</v>
      </c>
      <c r="BZ91" s="187" t="s">
        <v>1553</v>
      </c>
      <c r="CA91" s="187" t="s">
        <v>1522</v>
      </c>
      <c r="CB91" s="187" t="s">
        <v>1304</v>
      </c>
      <c r="CC91" s="187"/>
      <c r="CD91" s="186" t="s">
        <v>106</v>
      </c>
      <c r="CE91" s="187" t="s">
        <v>7114</v>
      </c>
      <c r="CF91" s="187" t="s">
        <v>6962</v>
      </c>
      <c r="CG91" s="187" t="s">
        <v>2169</v>
      </c>
      <c r="CH91" s="187" t="s">
        <v>1553</v>
      </c>
      <c r="CI91" s="187" t="s">
        <v>1522</v>
      </c>
      <c r="CJ91" s="187" t="s">
        <v>1304</v>
      </c>
      <c r="CL91" s="186" t="s">
        <v>106</v>
      </c>
      <c r="CM91" s="187" t="s">
        <v>7114</v>
      </c>
      <c r="CN91" s="187" t="s">
        <v>6962</v>
      </c>
      <c r="CO91" s="187" t="s">
        <v>2169</v>
      </c>
      <c r="CP91" s="187" t="s">
        <v>1553</v>
      </c>
      <c r="CQ91" s="187" t="s">
        <v>1522</v>
      </c>
      <c r="CR91" s="187" t="s">
        <v>1304</v>
      </c>
      <c r="CT91" s="186" t="s">
        <v>106</v>
      </c>
      <c r="CU91" s="187" t="s">
        <v>7114</v>
      </c>
      <c r="CV91" s="187" t="s">
        <v>6962</v>
      </c>
      <c r="CW91" s="187" t="s">
        <v>2169</v>
      </c>
      <c r="CX91" s="187" t="s">
        <v>1553</v>
      </c>
      <c r="CY91" s="187" t="s">
        <v>1522</v>
      </c>
      <c r="CZ91" s="187" t="s">
        <v>1304</v>
      </c>
      <c r="DB91" s="186" t="s">
        <v>106</v>
      </c>
      <c r="DC91" s="187" t="s">
        <v>7114</v>
      </c>
      <c r="DD91" s="187" t="s">
        <v>6962</v>
      </c>
      <c r="DE91" s="187" t="s">
        <v>2169</v>
      </c>
      <c r="DF91" s="187" t="s">
        <v>1553</v>
      </c>
      <c r="DG91" s="187" t="s">
        <v>1522</v>
      </c>
      <c r="DH91" s="187" t="s">
        <v>1304</v>
      </c>
      <c r="DI91" s="187"/>
      <c r="DJ91" s="186" t="s">
        <v>106</v>
      </c>
      <c r="DK91" s="187" t="s">
        <v>7114</v>
      </c>
      <c r="DL91" s="187" t="s">
        <v>6962</v>
      </c>
      <c r="DM91" s="187" t="s">
        <v>2169</v>
      </c>
      <c r="DN91" s="187" t="s">
        <v>1553</v>
      </c>
      <c r="DO91" s="187" t="s">
        <v>1522</v>
      </c>
      <c r="DP91" s="187" t="s">
        <v>1304</v>
      </c>
      <c r="DR91" s="186" t="s">
        <v>106</v>
      </c>
      <c r="DS91" s="187" t="s">
        <v>7114</v>
      </c>
      <c r="DT91" s="187" t="s">
        <v>6962</v>
      </c>
      <c r="DU91" s="187" t="s">
        <v>2169</v>
      </c>
      <c r="DV91" s="187" t="s">
        <v>1553</v>
      </c>
      <c r="DW91" s="187" t="s">
        <v>1522</v>
      </c>
      <c r="DX91" s="187" t="s">
        <v>1304</v>
      </c>
      <c r="DZ91" s="186" t="s">
        <v>106</v>
      </c>
      <c r="EA91" s="187" t="s">
        <v>7114</v>
      </c>
      <c r="EB91" s="187" t="s">
        <v>6962</v>
      </c>
      <c r="EC91" s="187" t="s">
        <v>2169</v>
      </c>
      <c r="ED91" s="187" t="s">
        <v>1553</v>
      </c>
      <c r="EE91" s="187" t="s">
        <v>1522</v>
      </c>
      <c r="EF91" s="187" t="s">
        <v>1304</v>
      </c>
    </row>
    <row r="92" spans="1:136" x14ac:dyDescent="0.2">
      <c r="A92" s="292"/>
      <c r="B92" s="134" t="s">
        <v>143</v>
      </c>
      <c r="C92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>105238</v>
      </c>
      <c r="D92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74193</v>
      </c>
      <c r="E92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82863</v>
      </c>
      <c r="F92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55572</v>
      </c>
      <c r="G92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6097</v>
      </c>
      <c r="H92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69704</v>
      </c>
      <c r="I92" s="48"/>
      <c r="J92" s="134" t="s">
        <v>143</v>
      </c>
      <c r="K92" s="131">
        <v>7792</v>
      </c>
      <c r="L92" s="131">
        <v>7485</v>
      </c>
      <c r="M92" s="48">
        <v>9254</v>
      </c>
      <c r="N92" s="48">
        <v>7238</v>
      </c>
      <c r="O92" s="48">
        <v>824</v>
      </c>
      <c r="P92" s="48">
        <v>10543</v>
      </c>
      <c r="R92" s="134" t="s">
        <v>143</v>
      </c>
      <c r="S92" s="131">
        <v>5239</v>
      </c>
      <c r="T92" s="48">
        <v>4875</v>
      </c>
      <c r="U92" s="48">
        <v>5191</v>
      </c>
      <c r="V92" s="48">
        <v>3991</v>
      </c>
      <c r="W92" s="48">
        <v>673</v>
      </c>
      <c r="X92" s="48">
        <v>6587</v>
      </c>
      <c r="Z92" s="134" t="s">
        <v>143</v>
      </c>
      <c r="AA92" s="131">
        <v>7289</v>
      </c>
      <c r="AB92" s="48">
        <v>6099</v>
      </c>
      <c r="AC92" s="48">
        <v>7803</v>
      </c>
      <c r="AD92" s="48">
        <v>5033</v>
      </c>
      <c r="AE92" s="48">
        <v>680</v>
      </c>
      <c r="AF92" s="48">
        <v>8554</v>
      </c>
      <c r="AH92" s="134" t="s">
        <v>143</v>
      </c>
      <c r="AI92" s="131"/>
      <c r="AJ92" s="131">
        <v>7144</v>
      </c>
      <c r="AK92" s="48">
        <v>8031</v>
      </c>
      <c r="AL92" s="48">
        <v>5683</v>
      </c>
      <c r="AM92" s="48">
        <v>885</v>
      </c>
      <c r="AN92" s="48">
        <v>8685</v>
      </c>
      <c r="AP92" s="134" t="s">
        <v>143</v>
      </c>
      <c r="AQ92" s="131">
        <v>10889</v>
      </c>
      <c r="AR92" s="131">
        <v>10022</v>
      </c>
      <c r="AS92" s="48">
        <v>10797</v>
      </c>
      <c r="AT92" s="48">
        <v>7429</v>
      </c>
      <c r="AU92" s="48">
        <v>1627</v>
      </c>
      <c r="AV92" s="48"/>
      <c r="AX92" s="134" t="s">
        <v>143</v>
      </c>
      <c r="AY92" s="131"/>
      <c r="AZ92" s="48">
        <v>5224</v>
      </c>
      <c r="BA92" s="48">
        <v>5225</v>
      </c>
      <c r="BB92" s="48">
        <v>3486</v>
      </c>
      <c r="BC92" s="48"/>
      <c r="BD92" s="48"/>
      <c r="BE92" s="48"/>
      <c r="BF92" s="134" t="s">
        <v>143</v>
      </c>
      <c r="BG92" s="131">
        <v>5200</v>
      </c>
      <c r="BH92" s="48">
        <v>5793</v>
      </c>
      <c r="BI92" s="48">
        <v>5269</v>
      </c>
      <c r="BJ92" s="48"/>
      <c r="BK92" s="48"/>
      <c r="BL92" s="48"/>
      <c r="BM92" s="48"/>
      <c r="BN92" s="134" t="s">
        <v>143</v>
      </c>
      <c r="BO92" s="131">
        <v>8798</v>
      </c>
      <c r="BP92" s="48">
        <v>7477</v>
      </c>
      <c r="BQ92" s="48">
        <v>8445</v>
      </c>
      <c r="BR92" s="48">
        <v>6571</v>
      </c>
      <c r="BS92" s="48">
        <v>742</v>
      </c>
      <c r="BT92" s="48">
        <v>9699</v>
      </c>
      <c r="BV92" s="134" t="s">
        <v>143</v>
      </c>
      <c r="BW92" s="131">
        <v>5114</v>
      </c>
      <c r="BX92" s="48">
        <v>4922</v>
      </c>
      <c r="BY92" s="48">
        <v>4871</v>
      </c>
      <c r="BZ92" s="48">
        <v>3583</v>
      </c>
      <c r="CA92" s="48">
        <v>0</v>
      </c>
      <c r="CB92" s="48">
        <v>5751</v>
      </c>
      <c r="CC92" s="48"/>
      <c r="CD92" s="134" t="s">
        <v>143</v>
      </c>
      <c r="CE92" s="131">
        <v>7935</v>
      </c>
      <c r="CF92" s="48">
        <v>8152</v>
      </c>
      <c r="CG92" s="48">
        <v>7787</v>
      </c>
      <c r="CH92" s="48">
        <v>5476</v>
      </c>
      <c r="CI92" s="48">
        <v>0</v>
      </c>
      <c r="CJ92" s="48">
        <v>7984</v>
      </c>
      <c r="CL92" s="134" t="s">
        <v>143</v>
      </c>
      <c r="CM92" s="131">
        <v>8196</v>
      </c>
      <c r="CN92" s="48">
        <v>7000</v>
      </c>
      <c r="CO92" s="48">
        <v>10190</v>
      </c>
      <c r="CP92" s="48">
        <v>7082</v>
      </c>
      <c r="CQ92" s="48">
        <v>666</v>
      </c>
      <c r="CR92" s="48">
        <v>11901</v>
      </c>
      <c r="CT92" s="134" t="s">
        <v>143</v>
      </c>
      <c r="CU92" s="131">
        <v>10822</v>
      </c>
      <c r="CV92" s="131">
        <v>8451</v>
      </c>
      <c r="CW92" s="48"/>
      <c r="CX92" s="48"/>
      <c r="CY92" s="48"/>
      <c r="CZ92" s="48"/>
      <c r="DB92" s="134" t="s">
        <v>143</v>
      </c>
      <c r="DC92" s="131">
        <v>10092</v>
      </c>
      <c r="DD92" s="48">
        <v>9427</v>
      </c>
      <c r="DE92" s="48"/>
      <c r="DF92" s="48"/>
      <c r="DG92" s="48"/>
      <c r="DH92" s="48"/>
      <c r="DI92" s="48"/>
      <c r="DJ92" s="134" t="s">
        <v>143</v>
      </c>
      <c r="DK92" s="131">
        <v>7655</v>
      </c>
      <c r="DL92" s="48">
        <v>7114</v>
      </c>
      <c r="DM92" s="48"/>
      <c r="DN92" s="48"/>
      <c r="DO92" s="48"/>
      <c r="DP92" s="48"/>
      <c r="DR92" s="134" t="s">
        <v>143</v>
      </c>
      <c r="DS92" s="131">
        <v>5955</v>
      </c>
      <c r="DT92" s="48">
        <v>5597</v>
      </c>
      <c r="DU92" s="48"/>
      <c r="DV92" s="48"/>
      <c r="DW92" s="48"/>
      <c r="DX92" s="48"/>
      <c r="DZ92" s="134" t="s">
        <v>143</v>
      </c>
      <c r="EA92" s="131">
        <v>4262</v>
      </c>
      <c r="EB92" s="48"/>
      <c r="EC92" s="48"/>
      <c r="ED92" s="48"/>
      <c r="EE92" s="48"/>
      <c r="EF92" s="48"/>
    </row>
    <row r="93" spans="1:136" x14ac:dyDescent="0.2">
      <c r="A93" s="292"/>
      <c r="B93" s="134" t="s">
        <v>5</v>
      </c>
      <c r="C93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3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76112</v>
      </c>
      <c r="E93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84209</v>
      </c>
      <c r="F93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63464</v>
      </c>
      <c r="G93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9691</v>
      </c>
      <c r="H93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72193</v>
      </c>
      <c r="I93" s="48"/>
      <c r="J93" s="134" t="s">
        <v>5</v>
      </c>
      <c r="K93" s="131"/>
      <c r="L93" s="131">
        <v>7467</v>
      </c>
      <c r="M93" s="48">
        <v>9209</v>
      </c>
      <c r="N93" s="48">
        <v>8282</v>
      </c>
      <c r="O93" s="48">
        <v>1443</v>
      </c>
      <c r="P93" s="48">
        <v>11496</v>
      </c>
      <c r="R93" s="134" t="s">
        <v>5</v>
      </c>
      <c r="S93" s="131"/>
      <c r="T93" s="48">
        <v>5005</v>
      </c>
      <c r="U93" s="48">
        <v>5148</v>
      </c>
      <c r="V93" s="48">
        <v>4553</v>
      </c>
      <c r="W93" s="48">
        <v>1147</v>
      </c>
      <c r="X93" s="48">
        <v>6954</v>
      </c>
      <c r="Z93" s="134" t="s">
        <v>5</v>
      </c>
      <c r="AA93" s="131"/>
      <c r="AB93" s="48">
        <v>7258</v>
      </c>
      <c r="AC93" s="48">
        <v>8092</v>
      </c>
      <c r="AD93" s="48">
        <v>5924</v>
      </c>
      <c r="AE93" s="48">
        <v>980</v>
      </c>
      <c r="AF93" s="48">
        <v>8506</v>
      </c>
      <c r="AH93" s="134" t="s">
        <v>5</v>
      </c>
      <c r="AI93" s="131"/>
      <c r="AJ93" s="131">
        <v>6767</v>
      </c>
      <c r="AK93" s="48">
        <v>7741</v>
      </c>
      <c r="AL93" s="48">
        <v>6756</v>
      </c>
      <c r="AM93" s="48">
        <v>1592</v>
      </c>
      <c r="AN93" s="48">
        <v>8490</v>
      </c>
      <c r="AP93" s="134" t="s">
        <v>5</v>
      </c>
      <c r="AQ93" s="131"/>
      <c r="AR93" s="131">
        <v>10202</v>
      </c>
      <c r="AS93" s="48">
        <v>11049</v>
      </c>
      <c r="AT93" s="48">
        <v>8522</v>
      </c>
      <c r="AU93" s="48">
        <v>1749</v>
      </c>
      <c r="AV93" s="48"/>
      <c r="AX93" s="134" t="s">
        <v>5</v>
      </c>
      <c r="AY93" s="131"/>
      <c r="AZ93" s="48">
        <v>4914</v>
      </c>
      <c r="BA93" s="48">
        <v>5235</v>
      </c>
      <c r="BB93" s="48">
        <v>3603</v>
      </c>
      <c r="BC93" s="48"/>
      <c r="BD93" s="48"/>
      <c r="BE93" s="48"/>
      <c r="BF93" s="134" t="s">
        <v>5</v>
      </c>
      <c r="BG93" s="131"/>
      <c r="BH93" s="48">
        <v>5689</v>
      </c>
      <c r="BI93" s="48">
        <v>5811</v>
      </c>
      <c r="BJ93" s="48"/>
      <c r="BK93" s="48"/>
      <c r="BL93" s="48"/>
      <c r="BM93" s="48"/>
      <c r="BN93" s="134" t="s">
        <v>5</v>
      </c>
      <c r="BO93" s="131"/>
      <c r="BP93" s="48">
        <v>7632</v>
      </c>
      <c r="BQ93" s="48">
        <v>7948</v>
      </c>
      <c r="BR93" s="48">
        <v>6462</v>
      </c>
      <c r="BS93" s="48">
        <v>1513</v>
      </c>
      <c r="BT93" s="48">
        <v>8882</v>
      </c>
      <c r="BV93" s="134" t="s">
        <v>5</v>
      </c>
      <c r="BW93" s="131"/>
      <c r="BX93" s="48">
        <v>5148</v>
      </c>
      <c r="BY93" s="48">
        <v>5221</v>
      </c>
      <c r="BZ93" s="48">
        <v>4704</v>
      </c>
      <c r="CA93" s="48">
        <v>31</v>
      </c>
      <c r="CB93" s="48">
        <v>6098</v>
      </c>
      <c r="CC93" s="48"/>
      <c r="CD93" s="134" t="s">
        <v>5</v>
      </c>
      <c r="CE93" s="131"/>
      <c r="CF93" s="48">
        <v>8779</v>
      </c>
      <c r="CG93" s="48">
        <v>8263</v>
      </c>
      <c r="CH93" s="48">
        <v>6560</v>
      </c>
      <c r="CI93" s="48">
        <v>346</v>
      </c>
      <c r="CJ93" s="48">
        <v>9304</v>
      </c>
      <c r="CL93" s="134" t="s">
        <v>5</v>
      </c>
      <c r="CM93" s="131"/>
      <c r="CN93" s="48">
        <v>7251</v>
      </c>
      <c r="CO93" s="48">
        <v>10492</v>
      </c>
      <c r="CP93" s="48">
        <v>8098</v>
      </c>
      <c r="CQ93" s="48">
        <v>890</v>
      </c>
      <c r="CR93" s="48">
        <v>12463</v>
      </c>
      <c r="CT93" s="134" t="s">
        <v>5</v>
      </c>
      <c r="CU93" s="131"/>
      <c r="CV93" s="131">
        <v>9064</v>
      </c>
      <c r="CW93" s="48"/>
      <c r="CX93" s="48"/>
      <c r="CY93" s="48"/>
      <c r="CZ93" s="48"/>
      <c r="DB93" s="134" t="s">
        <v>5</v>
      </c>
      <c r="DC93" s="131"/>
      <c r="DD93" s="48">
        <v>7747</v>
      </c>
      <c r="DE93" s="48"/>
      <c r="DF93" s="48"/>
      <c r="DG93" s="48"/>
      <c r="DH93" s="48"/>
      <c r="DI93" s="48"/>
      <c r="DJ93" s="134" t="s">
        <v>5</v>
      </c>
      <c r="DK93" s="131"/>
      <c r="DL93" s="48">
        <v>6157</v>
      </c>
      <c r="DM93" s="48"/>
      <c r="DN93" s="48"/>
      <c r="DO93" s="48"/>
      <c r="DP93" s="48"/>
      <c r="DR93" s="134" t="s">
        <v>5</v>
      </c>
      <c r="DS93" s="131"/>
      <c r="DT93" s="48">
        <v>6014</v>
      </c>
      <c r="DU93" s="48"/>
      <c r="DV93" s="48"/>
      <c r="DW93" s="48"/>
      <c r="DX93" s="48"/>
      <c r="DZ93" s="134" t="s">
        <v>5</v>
      </c>
      <c r="EA93" s="131"/>
      <c r="EB93" s="48"/>
      <c r="EC93" s="48"/>
      <c r="ED93" s="48"/>
      <c r="EE93" s="48"/>
      <c r="EF93" s="48"/>
    </row>
    <row r="94" spans="1:136" x14ac:dyDescent="0.2">
      <c r="A94" s="292"/>
      <c r="B94" s="134" t="s">
        <v>7</v>
      </c>
      <c r="C94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4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85976</v>
      </c>
      <c r="E94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84836</v>
      </c>
      <c r="F94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66439</v>
      </c>
      <c r="G94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11631</v>
      </c>
      <c r="H94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28927</v>
      </c>
      <c r="I94" s="48"/>
      <c r="J94" s="134" t="s">
        <v>7</v>
      </c>
      <c r="K94" s="131"/>
      <c r="L94" s="131">
        <v>9164</v>
      </c>
      <c r="M94" s="48">
        <v>9210</v>
      </c>
      <c r="N94" s="48">
        <v>8637</v>
      </c>
      <c r="O94" s="48">
        <v>1527</v>
      </c>
      <c r="P94" s="48">
        <v>5173</v>
      </c>
      <c r="R94" s="134" t="s">
        <v>7</v>
      </c>
      <c r="S94" s="131"/>
      <c r="T94" s="48">
        <v>5070</v>
      </c>
      <c r="U94" s="48">
        <v>5215</v>
      </c>
      <c r="V94" s="48">
        <v>4821</v>
      </c>
      <c r="W94" s="48">
        <v>1453</v>
      </c>
      <c r="X94" s="48">
        <v>3096</v>
      </c>
      <c r="Z94" s="134" t="s">
        <v>7</v>
      </c>
      <c r="AA94" s="131"/>
      <c r="AB94" s="48">
        <v>8797</v>
      </c>
      <c r="AC94" s="48">
        <v>8788</v>
      </c>
      <c r="AD94" s="48">
        <v>7002</v>
      </c>
      <c r="AE94" s="48">
        <v>1243</v>
      </c>
      <c r="AF94" s="48">
        <v>4047</v>
      </c>
      <c r="AH94" s="134" t="s">
        <v>7</v>
      </c>
      <c r="AI94" s="131"/>
      <c r="AJ94" s="131">
        <v>8250</v>
      </c>
      <c r="AK94" s="48">
        <v>8155</v>
      </c>
      <c r="AL94" s="48">
        <v>6506</v>
      </c>
      <c r="AM94" s="48">
        <v>1636</v>
      </c>
      <c r="AN94" s="48">
        <v>260</v>
      </c>
      <c r="AP94" s="134" t="s">
        <v>7</v>
      </c>
      <c r="AQ94" s="131"/>
      <c r="AR94" s="131">
        <v>10524</v>
      </c>
      <c r="AS94" s="48">
        <v>10952</v>
      </c>
      <c r="AT94" s="48">
        <v>8441</v>
      </c>
      <c r="AU94" s="48">
        <v>1509</v>
      </c>
      <c r="AV94" s="48"/>
      <c r="AX94" s="134" t="s">
        <v>7</v>
      </c>
      <c r="AY94" s="131"/>
      <c r="AZ94" s="48">
        <v>5324</v>
      </c>
      <c r="BA94" s="48">
        <v>5581</v>
      </c>
      <c r="BB94" s="48">
        <v>3988</v>
      </c>
      <c r="BC94" s="48"/>
      <c r="BD94" s="48"/>
      <c r="BE94" s="48"/>
      <c r="BF94" s="134" t="s">
        <v>7</v>
      </c>
      <c r="BG94" s="131"/>
      <c r="BH94" s="48">
        <v>6270</v>
      </c>
      <c r="BI94" s="48">
        <v>5202</v>
      </c>
      <c r="BJ94" s="48"/>
      <c r="BK94" s="48"/>
      <c r="BL94" s="48"/>
      <c r="BM94" s="48"/>
      <c r="BN94" s="134" t="s">
        <v>7</v>
      </c>
      <c r="BO94" s="131"/>
      <c r="BP94" s="48">
        <v>8803</v>
      </c>
      <c r="BQ94" s="48">
        <v>8504</v>
      </c>
      <c r="BR94" s="48">
        <v>6973</v>
      </c>
      <c r="BS94" s="48">
        <v>1478</v>
      </c>
      <c r="BT94" s="48">
        <v>4558</v>
      </c>
      <c r="BV94" s="134" t="s">
        <v>7</v>
      </c>
      <c r="BW94" s="131"/>
      <c r="BX94" s="48">
        <v>6067</v>
      </c>
      <c r="BY94" s="48">
        <v>4977</v>
      </c>
      <c r="BZ94" s="48">
        <v>4683</v>
      </c>
      <c r="CA94" s="48">
        <v>697</v>
      </c>
      <c r="CB94" s="48">
        <v>2574</v>
      </c>
      <c r="CC94" s="48"/>
      <c r="CD94" s="134" t="s">
        <v>7</v>
      </c>
      <c r="CE94" s="131"/>
      <c r="CF94" s="48">
        <v>9227</v>
      </c>
      <c r="CG94" s="48">
        <v>7791</v>
      </c>
      <c r="CH94" s="48">
        <v>6842</v>
      </c>
      <c r="CI94" s="48">
        <v>870</v>
      </c>
      <c r="CJ94" s="48">
        <v>3766</v>
      </c>
      <c r="CL94" s="134" t="s">
        <v>7</v>
      </c>
      <c r="CM94" s="131"/>
      <c r="CN94" s="48">
        <v>8480</v>
      </c>
      <c r="CO94" s="48">
        <v>10461</v>
      </c>
      <c r="CP94" s="48">
        <v>8546</v>
      </c>
      <c r="CQ94" s="48">
        <v>1218</v>
      </c>
      <c r="CR94" s="48">
        <v>5453</v>
      </c>
      <c r="CT94" s="134" t="s">
        <v>7</v>
      </c>
      <c r="CU94" s="131"/>
      <c r="CV94" s="131">
        <v>10301</v>
      </c>
      <c r="CW94" s="48"/>
      <c r="CX94" s="48"/>
      <c r="CY94" s="48"/>
      <c r="CZ94" s="48"/>
      <c r="DB94" s="134" t="s">
        <v>7</v>
      </c>
      <c r="DC94" s="131"/>
      <c r="DD94" s="48">
        <v>9771</v>
      </c>
      <c r="DE94" s="48"/>
      <c r="DF94" s="48"/>
      <c r="DG94" s="48"/>
      <c r="DH94" s="48"/>
      <c r="DI94" s="48"/>
      <c r="DJ94" s="134" t="s">
        <v>7</v>
      </c>
      <c r="DK94" s="131"/>
      <c r="DL94" s="48">
        <v>6490</v>
      </c>
      <c r="DM94" s="48"/>
      <c r="DN94" s="48"/>
      <c r="DO94" s="48"/>
      <c r="DP94" s="48"/>
      <c r="DR94" s="134" t="s">
        <v>7</v>
      </c>
      <c r="DS94" s="131"/>
      <c r="DT94" s="48">
        <v>6542</v>
      </c>
      <c r="DU94" s="48"/>
      <c r="DV94" s="48"/>
      <c r="DW94" s="48"/>
      <c r="DX94" s="48"/>
      <c r="DZ94" s="134" t="s">
        <v>7</v>
      </c>
      <c r="EA94" s="131"/>
      <c r="EB94" s="48"/>
      <c r="EC94" s="48"/>
      <c r="ED94" s="48"/>
      <c r="EE94" s="48"/>
      <c r="EF94" s="48"/>
    </row>
    <row r="95" spans="1:136" x14ac:dyDescent="0.2">
      <c r="A95" s="292"/>
      <c r="B95" s="134" t="s">
        <v>9</v>
      </c>
      <c r="C95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5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89487</v>
      </c>
      <c r="E95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93372</v>
      </c>
      <c r="F95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73807</v>
      </c>
      <c r="G95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10991</v>
      </c>
      <c r="H95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1.0000000000000001E-5</v>
      </c>
      <c r="I95" s="48"/>
      <c r="J95" s="134" t="s">
        <v>9</v>
      </c>
      <c r="K95" s="131"/>
      <c r="L95" s="131">
        <v>8887</v>
      </c>
      <c r="M95" s="48">
        <v>10627</v>
      </c>
      <c r="N95" s="48">
        <v>8536</v>
      </c>
      <c r="O95" s="48">
        <v>1701</v>
      </c>
      <c r="P95" s="48">
        <v>1.0000000000000001E-5</v>
      </c>
      <c r="R95" s="134" t="s">
        <v>9</v>
      </c>
      <c r="S95" s="131"/>
      <c r="T95" s="48">
        <v>5460</v>
      </c>
      <c r="U95" s="48">
        <v>5581</v>
      </c>
      <c r="V95" s="48">
        <v>5315</v>
      </c>
      <c r="W95" s="48">
        <v>1456</v>
      </c>
      <c r="X95" s="48">
        <v>0</v>
      </c>
      <c r="Z95" s="134" t="s">
        <v>9</v>
      </c>
      <c r="AA95" s="131"/>
      <c r="AB95" s="48">
        <v>8269</v>
      </c>
      <c r="AC95" s="48">
        <v>7684</v>
      </c>
      <c r="AD95" s="48">
        <v>7083</v>
      </c>
      <c r="AE95" s="48">
        <v>1276</v>
      </c>
      <c r="AF95" s="48">
        <v>0</v>
      </c>
      <c r="AH95" s="134" t="s">
        <v>9</v>
      </c>
      <c r="AI95" s="131"/>
      <c r="AJ95" s="131">
        <v>7707</v>
      </c>
      <c r="AK95" s="48">
        <v>8430</v>
      </c>
      <c r="AL95" s="48">
        <v>7220</v>
      </c>
      <c r="AM95" s="48">
        <v>1605</v>
      </c>
      <c r="AN95" s="48">
        <v>0</v>
      </c>
      <c r="AP95" s="134" t="s">
        <v>9</v>
      </c>
      <c r="AQ95" s="131"/>
      <c r="AR95" s="131">
        <v>11401</v>
      </c>
      <c r="AS95" s="48">
        <v>12115</v>
      </c>
      <c r="AT95" s="48">
        <v>9976</v>
      </c>
      <c r="AU95" s="48">
        <v>1129</v>
      </c>
      <c r="AV95" s="48"/>
      <c r="AX95" s="134" t="s">
        <v>9</v>
      </c>
      <c r="AY95" s="131"/>
      <c r="AZ95" s="48">
        <v>6047</v>
      </c>
      <c r="BA95" s="48">
        <v>6122</v>
      </c>
      <c r="BB95" s="48">
        <v>4931</v>
      </c>
      <c r="BC95" s="48"/>
      <c r="BD95" s="48"/>
      <c r="BE95" s="48"/>
      <c r="BF95" s="134" t="s">
        <v>9</v>
      </c>
      <c r="BG95" s="131"/>
      <c r="BH95" s="48">
        <v>7049</v>
      </c>
      <c r="BI95" s="48">
        <v>7112</v>
      </c>
      <c r="BJ95" s="48"/>
      <c r="BK95" s="48"/>
      <c r="BL95" s="48"/>
      <c r="BM95" s="48"/>
      <c r="BN95" s="134" t="s">
        <v>9</v>
      </c>
      <c r="BO95" s="131"/>
      <c r="BP95" s="48">
        <v>8522</v>
      </c>
      <c r="BQ95" s="48">
        <v>7670</v>
      </c>
      <c r="BR95" s="48">
        <v>7008</v>
      </c>
      <c r="BS95" s="48">
        <v>1183</v>
      </c>
      <c r="BT95" s="48">
        <v>0</v>
      </c>
      <c r="BV95" s="134" t="s">
        <v>9</v>
      </c>
      <c r="BW95" s="131"/>
      <c r="BX95" s="48">
        <v>6878</v>
      </c>
      <c r="BY95" s="48">
        <v>6667</v>
      </c>
      <c r="BZ95" s="48">
        <v>6013</v>
      </c>
      <c r="CA95" s="48">
        <v>716</v>
      </c>
      <c r="CB95" s="48">
        <v>0</v>
      </c>
      <c r="CC95" s="48"/>
      <c r="CD95" s="134" t="s">
        <v>9</v>
      </c>
      <c r="CE95" s="131"/>
      <c r="CF95" s="48">
        <v>10480</v>
      </c>
      <c r="CG95" s="48">
        <v>9706</v>
      </c>
      <c r="CH95" s="48">
        <v>7761</v>
      </c>
      <c r="CI95" s="48">
        <v>826</v>
      </c>
      <c r="CJ95" s="48">
        <v>0</v>
      </c>
      <c r="CL95" s="134" t="s">
        <v>9</v>
      </c>
      <c r="CM95" s="131"/>
      <c r="CN95" s="48">
        <v>8787</v>
      </c>
      <c r="CO95" s="48">
        <v>11658</v>
      </c>
      <c r="CP95" s="48">
        <v>9964</v>
      </c>
      <c r="CQ95" s="48">
        <v>1099</v>
      </c>
      <c r="CR95" s="48">
        <v>0</v>
      </c>
      <c r="CT95" s="134" t="s">
        <v>9</v>
      </c>
      <c r="CU95" s="131"/>
      <c r="CV95" s="131">
        <v>9955</v>
      </c>
      <c r="CW95" s="48"/>
      <c r="CX95" s="48"/>
      <c r="CY95" s="48"/>
      <c r="CZ95" s="48"/>
      <c r="DB95" s="134" t="s">
        <v>9</v>
      </c>
      <c r="DC95" s="131"/>
      <c r="DD95" s="48">
        <v>9546</v>
      </c>
      <c r="DE95" s="48"/>
      <c r="DF95" s="48"/>
      <c r="DG95" s="48"/>
      <c r="DH95" s="48"/>
      <c r="DI95" s="48"/>
      <c r="DJ95" s="134" t="s">
        <v>9</v>
      </c>
      <c r="DK95" s="131"/>
      <c r="DL95" s="48">
        <v>6612</v>
      </c>
      <c r="DM95" s="48"/>
      <c r="DN95" s="48"/>
      <c r="DO95" s="48"/>
      <c r="DP95" s="48"/>
      <c r="DR95" s="134" t="s">
        <v>9</v>
      </c>
      <c r="DS95" s="131"/>
      <c r="DT95" s="48">
        <v>6225</v>
      </c>
      <c r="DU95" s="48"/>
      <c r="DV95" s="48"/>
      <c r="DW95" s="48"/>
      <c r="DX95" s="48"/>
      <c r="DZ95" s="134" t="s">
        <v>9</v>
      </c>
      <c r="EA95" s="131"/>
      <c r="EB95" s="48"/>
      <c r="EC95" s="48"/>
      <c r="ED95" s="48"/>
      <c r="EE95" s="48"/>
      <c r="EF95" s="48"/>
    </row>
    <row r="96" spans="1:136" x14ac:dyDescent="0.2">
      <c r="A96" s="292"/>
      <c r="B96" s="134" t="s">
        <v>11</v>
      </c>
      <c r="C96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6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92856</v>
      </c>
      <c r="E96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100035</v>
      </c>
      <c r="F96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81175</v>
      </c>
      <c r="G96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24714</v>
      </c>
      <c r="H96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1.0000000000000001E-5</v>
      </c>
      <c r="I96" s="48"/>
      <c r="J96" s="134" t="s">
        <v>11</v>
      </c>
      <c r="K96" s="131"/>
      <c r="L96" s="131">
        <v>9358</v>
      </c>
      <c r="M96" s="48">
        <v>10723</v>
      </c>
      <c r="N96" s="48">
        <v>9582</v>
      </c>
      <c r="O96" s="48">
        <v>3542</v>
      </c>
      <c r="P96" s="48">
        <v>1.0000000000000001E-5</v>
      </c>
      <c r="R96" s="134" t="s">
        <v>11</v>
      </c>
      <c r="S96" s="131"/>
      <c r="T96" s="48">
        <v>5440</v>
      </c>
      <c r="U96" s="48">
        <v>5677</v>
      </c>
      <c r="V96" s="48">
        <v>5819</v>
      </c>
      <c r="W96" s="48">
        <v>2233</v>
      </c>
      <c r="X96" s="48">
        <v>0</v>
      </c>
      <c r="Z96" s="134" t="s">
        <v>11</v>
      </c>
      <c r="AA96" s="131"/>
      <c r="AB96" s="48">
        <v>6126</v>
      </c>
      <c r="AC96" s="48">
        <v>7822</v>
      </c>
      <c r="AD96" s="48">
        <v>7928</v>
      </c>
      <c r="AE96" s="48">
        <v>2179</v>
      </c>
      <c r="AF96" s="48">
        <v>0</v>
      </c>
      <c r="AH96" s="134" t="s">
        <v>11</v>
      </c>
      <c r="AI96" s="131"/>
      <c r="AJ96" s="131">
        <v>8013</v>
      </c>
      <c r="AK96" s="48">
        <v>9310</v>
      </c>
      <c r="AL96" s="48">
        <v>8012</v>
      </c>
      <c r="AM96" s="48">
        <v>2710</v>
      </c>
      <c r="AN96" s="48">
        <v>0</v>
      </c>
      <c r="AP96" s="134" t="s">
        <v>11</v>
      </c>
      <c r="AQ96" s="131"/>
      <c r="AR96" s="131">
        <v>11946</v>
      </c>
      <c r="AS96" s="48">
        <v>12313</v>
      </c>
      <c r="AT96" s="48">
        <v>10776</v>
      </c>
      <c r="AU96" s="48">
        <v>3909</v>
      </c>
      <c r="AV96" s="48"/>
      <c r="AX96" s="134" t="s">
        <v>11</v>
      </c>
      <c r="AY96" s="131"/>
      <c r="AZ96" s="48">
        <v>6583</v>
      </c>
      <c r="BA96" s="48">
        <v>6557</v>
      </c>
      <c r="BB96" s="48">
        <v>5368</v>
      </c>
      <c r="BC96" s="48"/>
      <c r="BD96" s="48"/>
      <c r="BE96" s="48"/>
      <c r="BF96" s="134" t="s">
        <v>11</v>
      </c>
      <c r="BG96" s="131"/>
      <c r="BH96" s="48">
        <v>7480</v>
      </c>
      <c r="BI96" s="48">
        <v>7419</v>
      </c>
      <c r="BJ96" s="48"/>
      <c r="BK96" s="48"/>
      <c r="BL96" s="48"/>
      <c r="BM96" s="48"/>
      <c r="BN96" s="134" t="s">
        <v>11</v>
      </c>
      <c r="BO96" s="131"/>
      <c r="BP96" s="48">
        <v>9562</v>
      </c>
      <c r="BQ96" s="48">
        <v>9052</v>
      </c>
      <c r="BR96" s="48">
        <v>8475</v>
      </c>
      <c r="BS96" s="48">
        <v>2476</v>
      </c>
      <c r="BT96" s="48">
        <v>0</v>
      </c>
      <c r="BV96" s="134" t="s">
        <v>11</v>
      </c>
      <c r="BW96" s="131"/>
      <c r="BX96" s="48">
        <v>7336</v>
      </c>
      <c r="BY96" s="48">
        <v>7584</v>
      </c>
      <c r="BZ96" s="48">
        <v>6558</v>
      </c>
      <c r="CA96" s="48">
        <v>2216</v>
      </c>
      <c r="CB96" s="48">
        <v>0</v>
      </c>
      <c r="CC96" s="48"/>
      <c r="CD96" s="134" t="s">
        <v>11</v>
      </c>
      <c r="CE96" s="131"/>
      <c r="CF96" s="48">
        <v>11793</v>
      </c>
      <c r="CG96" s="48">
        <v>11480</v>
      </c>
      <c r="CH96" s="48">
        <v>8839</v>
      </c>
      <c r="CI96" s="48">
        <v>2858</v>
      </c>
      <c r="CJ96" s="48">
        <v>0</v>
      </c>
      <c r="CL96" s="134" t="s">
        <v>11</v>
      </c>
      <c r="CM96" s="131"/>
      <c r="CN96" s="48">
        <v>9219</v>
      </c>
      <c r="CO96" s="48">
        <v>12098</v>
      </c>
      <c r="CP96" s="48">
        <v>9818</v>
      </c>
      <c r="CQ96" s="48">
        <v>2591</v>
      </c>
      <c r="CR96" s="48">
        <v>0</v>
      </c>
      <c r="CT96" s="134" t="s">
        <v>11</v>
      </c>
      <c r="CU96" s="131"/>
      <c r="CV96" s="131">
        <v>10850</v>
      </c>
      <c r="CW96" s="48"/>
      <c r="CX96" s="48"/>
      <c r="CY96" s="48"/>
      <c r="CZ96" s="48"/>
      <c r="DB96" s="134" t="s">
        <v>11</v>
      </c>
      <c r="DC96" s="131"/>
      <c r="DD96" s="48">
        <v>10242</v>
      </c>
      <c r="DE96" s="48"/>
      <c r="DF96" s="48"/>
      <c r="DG96" s="48"/>
      <c r="DH96" s="48"/>
      <c r="DI96" s="48"/>
      <c r="DJ96" s="134" t="s">
        <v>11</v>
      </c>
      <c r="DK96" s="131"/>
      <c r="DL96" s="48">
        <v>6765</v>
      </c>
      <c r="DM96" s="48"/>
      <c r="DN96" s="48"/>
      <c r="DO96" s="48"/>
      <c r="DP96" s="48"/>
      <c r="DR96" s="134" t="s">
        <v>11</v>
      </c>
      <c r="DS96" s="131"/>
      <c r="DT96" s="48">
        <v>6455</v>
      </c>
      <c r="DU96" s="48"/>
      <c r="DV96" s="48"/>
      <c r="DW96" s="48"/>
      <c r="DX96" s="48"/>
      <c r="DZ96" s="134" t="s">
        <v>11</v>
      </c>
      <c r="EA96" s="131"/>
      <c r="EB96" s="48"/>
      <c r="EC96" s="48"/>
      <c r="ED96" s="48"/>
      <c r="EE96" s="48"/>
      <c r="EF96" s="48"/>
    </row>
    <row r="97" spans="1:136" x14ac:dyDescent="0.2">
      <c r="A97" s="292"/>
      <c r="B97" s="134" t="s">
        <v>0</v>
      </c>
      <c r="C97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7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91038</v>
      </c>
      <c r="E97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94856</v>
      </c>
      <c r="F97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82407</v>
      </c>
      <c r="G97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47104</v>
      </c>
      <c r="H97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36895</v>
      </c>
      <c r="I97" s="48"/>
      <c r="J97" s="134" t="s">
        <v>0</v>
      </c>
      <c r="K97" s="131"/>
      <c r="L97" s="131">
        <v>8103</v>
      </c>
      <c r="M97" s="48">
        <v>10898</v>
      </c>
      <c r="N97" s="48">
        <v>9202</v>
      </c>
      <c r="O97" s="48">
        <v>6560</v>
      </c>
      <c r="P97" s="48">
        <v>4911</v>
      </c>
      <c r="R97" s="134" t="s">
        <v>0</v>
      </c>
      <c r="S97" s="131"/>
      <c r="T97" s="48">
        <v>5789</v>
      </c>
      <c r="U97" s="48">
        <v>5696</v>
      </c>
      <c r="V97" s="48">
        <v>5788</v>
      </c>
      <c r="W97" s="48">
        <v>4368</v>
      </c>
      <c r="X97" s="48">
        <v>3122</v>
      </c>
      <c r="Z97" s="134" t="s">
        <v>0</v>
      </c>
      <c r="AA97" s="131"/>
      <c r="AB97" s="48">
        <v>6844</v>
      </c>
      <c r="AC97" s="48">
        <v>7835</v>
      </c>
      <c r="AD97" s="48">
        <v>6906</v>
      </c>
      <c r="AE97" s="48">
        <v>4019</v>
      </c>
      <c r="AF97" s="48">
        <v>2860</v>
      </c>
      <c r="AH97" s="134" t="s">
        <v>0</v>
      </c>
      <c r="AI97" s="131"/>
      <c r="AJ97" s="131">
        <v>9269</v>
      </c>
      <c r="AK97" s="48">
        <v>8648</v>
      </c>
      <c r="AL97" s="48">
        <v>8629</v>
      </c>
      <c r="AM97" s="48">
        <v>5233</v>
      </c>
      <c r="AN97" s="48">
        <v>4990</v>
      </c>
      <c r="AP97" s="134" t="s">
        <v>0</v>
      </c>
      <c r="AQ97" s="131"/>
      <c r="AR97" s="131">
        <v>11915</v>
      </c>
      <c r="AS97" s="48">
        <v>12129</v>
      </c>
      <c r="AT97" s="48">
        <v>11699</v>
      </c>
      <c r="AU97" s="48">
        <v>3570</v>
      </c>
      <c r="AV97" s="48"/>
      <c r="AX97" s="134" t="s">
        <v>0</v>
      </c>
      <c r="AY97" s="131"/>
      <c r="AZ97" s="48">
        <v>6669</v>
      </c>
      <c r="BA97" s="48">
        <v>6491</v>
      </c>
      <c r="BB97" s="48">
        <v>5865</v>
      </c>
      <c r="BC97" s="48"/>
      <c r="BD97" s="48"/>
      <c r="BE97" s="48"/>
      <c r="BF97" s="134" t="s">
        <v>0</v>
      </c>
      <c r="BG97" s="131"/>
      <c r="BH97" s="48">
        <v>7072</v>
      </c>
      <c r="BI97" s="48">
        <v>6732</v>
      </c>
      <c r="BJ97" s="48"/>
      <c r="BK97" s="48"/>
      <c r="BL97" s="48"/>
      <c r="BM97" s="48"/>
      <c r="BN97" s="134" t="s">
        <v>0</v>
      </c>
      <c r="BO97" s="131"/>
      <c r="BP97" s="48">
        <v>9030</v>
      </c>
      <c r="BQ97" s="48">
        <v>7897</v>
      </c>
      <c r="BR97" s="48">
        <v>8561</v>
      </c>
      <c r="BS97" s="48">
        <v>5525</v>
      </c>
      <c r="BT97" s="48">
        <v>4172</v>
      </c>
      <c r="BV97" s="134" t="s">
        <v>0</v>
      </c>
      <c r="BW97" s="131"/>
      <c r="BX97" s="48">
        <v>6763</v>
      </c>
      <c r="BY97" s="48">
        <v>6445</v>
      </c>
      <c r="BZ97" s="48">
        <v>6470</v>
      </c>
      <c r="CA97" s="48">
        <v>4453</v>
      </c>
      <c r="CB97" s="48">
        <v>4036</v>
      </c>
      <c r="CC97" s="48"/>
      <c r="CD97" s="134" t="s">
        <v>0</v>
      </c>
      <c r="CE97" s="131"/>
      <c r="CF97" s="48">
        <v>11683</v>
      </c>
      <c r="CG97" s="48">
        <v>10726</v>
      </c>
      <c r="CH97" s="48">
        <v>8652</v>
      </c>
      <c r="CI97" s="48">
        <v>6938</v>
      </c>
      <c r="CJ97" s="48">
        <v>7030</v>
      </c>
      <c r="CL97" s="134" t="s">
        <v>0</v>
      </c>
      <c r="CM97" s="131"/>
      <c r="CN97" s="48">
        <v>7901</v>
      </c>
      <c r="CO97" s="48">
        <v>11359</v>
      </c>
      <c r="CP97" s="48">
        <v>10635</v>
      </c>
      <c r="CQ97" s="48">
        <v>6438</v>
      </c>
      <c r="CR97" s="48">
        <v>5774</v>
      </c>
      <c r="CT97" s="134" t="s">
        <v>0</v>
      </c>
      <c r="CU97" s="131"/>
      <c r="CV97" s="131">
        <v>10256</v>
      </c>
      <c r="CW97" s="48"/>
      <c r="CX97" s="48"/>
      <c r="CY97" s="48"/>
      <c r="CZ97" s="48"/>
      <c r="DB97" s="134" t="s">
        <v>0</v>
      </c>
      <c r="DC97" s="131"/>
      <c r="DD97" s="48">
        <v>10218</v>
      </c>
      <c r="DE97" s="48"/>
      <c r="DF97" s="48"/>
      <c r="DG97" s="48"/>
      <c r="DH97" s="48"/>
      <c r="DI97" s="48"/>
      <c r="DJ97" s="134" t="s">
        <v>0</v>
      </c>
      <c r="DK97" s="131"/>
      <c r="DL97" s="48">
        <v>7290</v>
      </c>
      <c r="DM97" s="48"/>
      <c r="DN97" s="48"/>
      <c r="DO97" s="48"/>
      <c r="DP97" s="48"/>
      <c r="DR97" s="134" t="s">
        <v>0</v>
      </c>
      <c r="DS97" s="131"/>
      <c r="DT97" s="48">
        <v>6404</v>
      </c>
      <c r="DU97" s="48"/>
      <c r="DV97" s="48"/>
      <c r="DW97" s="48"/>
      <c r="DX97" s="48"/>
      <c r="DZ97" s="134" t="s">
        <v>0</v>
      </c>
      <c r="EA97" s="131"/>
      <c r="EB97" s="48"/>
      <c r="EC97" s="48"/>
      <c r="ED97" s="48"/>
      <c r="EE97" s="48"/>
      <c r="EF97" s="48"/>
    </row>
    <row r="98" spans="1:136" x14ac:dyDescent="0.2">
      <c r="A98" s="292"/>
      <c r="B98" s="134" t="s">
        <v>1</v>
      </c>
      <c r="C98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8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100340</v>
      </c>
      <c r="E98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112063</v>
      </c>
      <c r="F98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95955</v>
      </c>
      <c r="G98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63761</v>
      </c>
      <c r="H98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61897</v>
      </c>
      <c r="I98" s="48"/>
      <c r="J98" s="134" t="s">
        <v>1</v>
      </c>
      <c r="K98" s="131"/>
      <c r="L98" s="131">
        <v>8404</v>
      </c>
      <c r="M98" s="48">
        <v>11919</v>
      </c>
      <c r="N98" s="48">
        <v>10108</v>
      </c>
      <c r="O98" s="48">
        <v>8669</v>
      </c>
      <c r="P98" s="48">
        <v>7382</v>
      </c>
      <c r="R98" s="134" t="s">
        <v>1</v>
      </c>
      <c r="S98" s="131"/>
      <c r="T98" s="48">
        <v>5985</v>
      </c>
      <c r="U98" s="48">
        <v>5983</v>
      </c>
      <c r="V98" s="48">
        <v>5520</v>
      </c>
      <c r="W98" s="48">
        <v>6062</v>
      </c>
      <c r="X98" s="48">
        <v>5487</v>
      </c>
      <c r="Z98" s="134" t="s">
        <v>1</v>
      </c>
      <c r="AA98" s="131"/>
      <c r="AB98" s="48">
        <v>5927</v>
      </c>
      <c r="AC98" s="48">
        <v>6701</v>
      </c>
      <c r="AD98" s="48">
        <v>6248</v>
      </c>
      <c r="AE98" s="48">
        <v>4741</v>
      </c>
      <c r="AF98" s="48">
        <v>4299</v>
      </c>
      <c r="AH98" s="134" t="s">
        <v>1</v>
      </c>
      <c r="AI98" s="131"/>
      <c r="AJ98" s="131">
        <v>9110</v>
      </c>
      <c r="AK98" s="48">
        <v>9040</v>
      </c>
      <c r="AL98" s="48">
        <v>8976</v>
      </c>
      <c r="AM98" s="48">
        <v>6994</v>
      </c>
      <c r="AN98" s="48">
        <v>6763</v>
      </c>
      <c r="AP98" s="134" t="s">
        <v>1</v>
      </c>
      <c r="AQ98" s="131"/>
      <c r="AR98" s="131">
        <v>12821</v>
      </c>
      <c r="AS98" s="48">
        <v>14116</v>
      </c>
      <c r="AT98" s="48">
        <v>12656</v>
      </c>
      <c r="AU98" s="48">
        <v>2493</v>
      </c>
      <c r="AV98" s="48"/>
      <c r="AX98" s="134" t="s">
        <v>1</v>
      </c>
      <c r="AY98" s="131"/>
      <c r="AZ98" s="48">
        <v>7225</v>
      </c>
      <c r="BA98" s="48">
        <v>7590</v>
      </c>
      <c r="BB98" s="48">
        <v>6719</v>
      </c>
      <c r="BC98" s="48">
        <v>1073</v>
      </c>
      <c r="BD98" s="48"/>
      <c r="BE98" s="48"/>
      <c r="BF98" s="134" t="s">
        <v>1</v>
      </c>
      <c r="BG98" s="131"/>
      <c r="BH98" s="48">
        <v>8979</v>
      </c>
      <c r="BI98" s="48">
        <v>9384</v>
      </c>
      <c r="BJ98" s="48"/>
      <c r="BK98" s="48"/>
      <c r="BL98" s="48"/>
      <c r="BM98" s="48"/>
      <c r="BN98" s="134" t="s">
        <v>1</v>
      </c>
      <c r="BO98" s="131"/>
      <c r="BP98" s="48">
        <v>8584</v>
      </c>
      <c r="BQ98" s="48">
        <v>8933</v>
      </c>
      <c r="BR98" s="48">
        <v>8467</v>
      </c>
      <c r="BS98" s="48">
        <v>7392</v>
      </c>
      <c r="BT98" s="48">
        <v>6652</v>
      </c>
      <c r="BV98" s="134" t="s">
        <v>1</v>
      </c>
      <c r="BW98" s="131"/>
      <c r="BX98" s="48">
        <v>10094</v>
      </c>
      <c r="BY98" s="48">
        <v>9769</v>
      </c>
      <c r="BZ98" s="48">
        <v>10389</v>
      </c>
      <c r="CA98" s="48">
        <v>7138</v>
      </c>
      <c r="CB98" s="48">
        <v>8389</v>
      </c>
      <c r="CC98" s="48"/>
      <c r="CD98" s="134" t="s">
        <v>1</v>
      </c>
      <c r="CE98" s="131"/>
      <c r="CF98" s="48">
        <v>14297</v>
      </c>
      <c r="CG98" s="48">
        <v>14835</v>
      </c>
      <c r="CH98" s="48">
        <v>13754</v>
      </c>
      <c r="CI98" s="48">
        <v>9876</v>
      </c>
      <c r="CJ98" s="48">
        <v>12605</v>
      </c>
      <c r="CL98" s="134" t="s">
        <v>1</v>
      </c>
      <c r="CM98" s="131"/>
      <c r="CN98" s="48">
        <v>8914</v>
      </c>
      <c r="CO98" s="48">
        <v>13793</v>
      </c>
      <c r="CP98" s="48">
        <v>13118</v>
      </c>
      <c r="CQ98" s="48">
        <v>9323</v>
      </c>
      <c r="CR98" s="48">
        <v>10320</v>
      </c>
      <c r="CT98" s="134" t="s">
        <v>1</v>
      </c>
      <c r="CU98" s="131"/>
      <c r="CV98" s="131">
        <v>10734</v>
      </c>
      <c r="CW98" s="48"/>
      <c r="CX98" s="48"/>
      <c r="CY98" s="48"/>
      <c r="CZ98" s="48"/>
      <c r="DB98" s="134" t="s">
        <v>1</v>
      </c>
      <c r="DC98" s="131"/>
      <c r="DD98" s="48">
        <v>10158</v>
      </c>
      <c r="DE98" s="48"/>
      <c r="DF98" s="48"/>
      <c r="DG98" s="48"/>
      <c r="DH98" s="48"/>
      <c r="DI98" s="48"/>
      <c r="DJ98" s="134" t="s">
        <v>1</v>
      </c>
      <c r="DK98" s="131"/>
      <c r="DL98" s="48">
        <v>7146</v>
      </c>
      <c r="DM98" s="48"/>
      <c r="DN98" s="48"/>
      <c r="DO98" s="48"/>
      <c r="DP98" s="48"/>
      <c r="DR98" s="134" t="s">
        <v>1</v>
      </c>
      <c r="DS98" s="131"/>
      <c r="DT98" s="48">
        <v>6085</v>
      </c>
      <c r="DU98" s="48"/>
      <c r="DV98" s="48"/>
      <c r="DW98" s="48"/>
      <c r="DX98" s="48"/>
      <c r="DZ98" s="134" t="s">
        <v>1</v>
      </c>
      <c r="EA98" s="131"/>
      <c r="EB98" s="48"/>
      <c r="EC98" s="48"/>
      <c r="ED98" s="48"/>
      <c r="EE98" s="48"/>
      <c r="EF98" s="48"/>
    </row>
    <row r="99" spans="1:136" x14ac:dyDescent="0.2">
      <c r="A99" s="292"/>
      <c r="B99" s="134" t="s">
        <v>3</v>
      </c>
      <c r="C99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9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110450</v>
      </c>
      <c r="E99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114300</v>
      </c>
      <c r="F99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97142</v>
      </c>
      <c r="G99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65565</v>
      </c>
      <c r="H99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73833</v>
      </c>
      <c r="I99" s="48"/>
      <c r="J99" s="134" t="s">
        <v>3</v>
      </c>
      <c r="K99" s="131"/>
      <c r="L99" s="131">
        <v>8592</v>
      </c>
      <c r="M99" s="48">
        <v>11488</v>
      </c>
      <c r="N99" s="48">
        <v>9097</v>
      </c>
      <c r="O99" s="48">
        <v>7370</v>
      </c>
      <c r="P99" s="48">
        <v>9334</v>
      </c>
      <c r="R99" s="134" t="s">
        <v>3</v>
      </c>
      <c r="S99" s="131"/>
      <c r="T99" s="48">
        <v>6480</v>
      </c>
      <c r="U99" s="48">
        <v>6301</v>
      </c>
      <c r="V99" s="48">
        <v>5564</v>
      </c>
      <c r="W99" s="48">
        <v>5100</v>
      </c>
      <c r="X99" s="48">
        <v>6400</v>
      </c>
      <c r="Z99" s="134" t="s">
        <v>3</v>
      </c>
      <c r="AA99" s="131"/>
      <c r="AB99" s="48">
        <v>6386</v>
      </c>
      <c r="AC99" s="48">
        <v>6179</v>
      </c>
      <c r="AD99" s="48">
        <v>6256</v>
      </c>
      <c r="AE99" s="48">
        <v>3362</v>
      </c>
      <c r="AF99" s="48">
        <v>4614</v>
      </c>
      <c r="AH99" s="134" t="s">
        <v>3</v>
      </c>
      <c r="AI99" s="131"/>
      <c r="AJ99" s="131">
        <v>9113</v>
      </c>
      <c r="AK99" s="48">
        <v>8324</v>
      </c>
      <c r="AL99" s="48">
        <v>8353</v>
      </c>
      <c r="AM99" s="48">
        <v>4738</v>
      </c>
      <c r="AN99" s="48">
        <v>7609</v>
      </c>
      <c r="AP99" s="134" t="s">
        <v>3</v>
      </c>
      <c r="AQ99" s="131"/>
      <c r="AR99" s="131">
        <v>13653</v>
      </c>
      <c r="AS99" s="48">
        <v>14395</v>
      </c>
      <c r="AT99" s="48">
        <v>13589</v>
      </c>
      <c r="AU99" s="48">
        <v>8481</v>
      </c>
      <c r="AV99" s="48"/>
      <c r="AX99" s="134" t="s">
        <v>3</v>
      </c>
      <c r="AY99" s="131"/>
      <c r="AZ99" s="48">
        <v>7507</v>
      </c>
      <c r="BA99" s="48">
        <v>7410</v>
      </c>
      <c r="BB99" s="48">
        <v>6885</v>
      </c>
      <c r="BC99" s="48">
        <v>4084</v>
      </c>
      <c r="BD99" s="48"/>
      <c r="BE99" s="48"/>
      <c r="BF99" s="134" t="s">
        <v>3</v>
      </c>
      <c r="BG99" s="131"/>
      <c r="BH99" s="48">
        <v>10223</v>
      </c>
      <c r="BI99" s="48">
        <v>10256</v>
      </c>
      <c r="BJ99" s="48"/>
      <c r="BK99" s="48"/>
      <c r="BL99" s="48"/>
      <c r="BM99" s="48"/>
      <c r="BN99" s="134" t="s">
        <v>3</v>
      </c>
      <c r="BO99" s="131"/>
      <c r="BP99" s="48">
        <v>8708</v>
      </c>
      <c r="BQ99" s="48">
        <v>8385</v>
      </c>
      <c r="BR99" s="48">
        <v>7905</v>
      </c>
      <c r="BS99" s="48">
        <v>5628</v>
      </c>
      <c r="BT99" s="48">
        <v>8268</v>
      </c>
      <c r="BV99" s="134" t="s">
        <v>3</v>
      </c>
      <c r="BW99" s="131"/>
      <c r="BX99" s="48">
        <v>11022</v>
      </c>
      <c r="BY99" s="48">
        <v>10318</v>
      </c>
      <c r="BZ99" s="48">
        <v>11301</v>
      </c>
      <c r="CA99" s="48">
        <v>7764</v>
      </c>
      <c r="CB99" s="48">
        <v>9826</v>
      </c>
      <c r="CC99" s="48"/>
      <c r="CD99" s="134" t="s">
        <v>3</v>
      </c>
      <c r="CE99" s="131"/>
      <c r="CF99" s="48">
        <v>17362</v>
      </c>
      <c r="CG99" s="48">
        <v>16407</v>
      </c>
      <c r="CH99" s="48">
        <v>13656</v>
      </c>
      <c r="CI99" s="48">
        <v>10921</v>
      </c>
      <c r="CJ99" s="48">
        <v>14503</v>
      </c>
      <c r="CL99" s="134" t="s">
        <v>3</v>
      </c>
      <c r="CM99" s="131"/>
      <c r="CN99" s="48">
        <v>11404</v>
      </c>
      <c r="CO99" s="48">
        <v>14837</v>
      </c>
      <c r="CP99" s="48">
        <v>14536</v>
      </c>
      <c r="CQ99" s="48">
        <v>8117</v>
      </c>
      <c r="CR99" s="48">
        <v>13279</v>
      </c>
      <c r="CT99" s="134" t="s">
        <v>3</v>
      </c>
      <c r="CU99" s="131"/>
      <c r="CV99" s="131">
        <v>12816</v>
      </c>
      <c r="CW99" s="48"/>
      <c r="CX99" s="48"/>
      <c r="CY99" s="48"/>
      <c r="CZ99" s="48"/>
      <c r="DB99" s="134" t="s">
        <v>3</v>
      </c>
      <c r="DC99" s="131"/>
      <c r="DD99" s="48">
        <v>10976</v>
      </c>
      <c r="DE99" s="48"/>
      <c r="DF99" s="48"/>
      <c r="DG99" s="48"/>
      <c r="DH99" s="48"/>
      <c r="DI99" s="48"/>
      <c r="DJ99" s="134" t="s">
        <v>3</v>
      </c>
      <c r="DK99" s="131"/>
      <c r="DL99" s="48">
        <v>7701</v>
      </c>
      <c r="DM99" s="48"/>
      <c r="DN99" s="48"/>
      <c r="DO99" s="48"/>
      <c r="DP99" s="48"/>
      <c r="DR99" s="134" t="s">
        <v>3</v>
      </c>
      <c r="DS99" s="131"/>
      <c r="DT99" s="48">
        <v>6406</v>
      </c>
      <c r="DU99" s="48"/>
      <c r="DV99" s="48"/>
      <c r="DW99" s="48"/>
      <c r="DX99" s="48"/>
      <c r="DZ99" s="134" t="s">
        <v>3</v>
      </c>
      <c r="EA99" s="131"/>
      <c r="EB99" s="48">
        <v>8518</v>
      </c>
      <c r="EC99" s="48"/>
      <c r="ED99" s="48"/>
      <c r="EE99" s="48"/>
      <c r="EF99" s="48"/>
    </row>
    <row r="100" spans="1:136" x14ac:dyDescent="0.2">
      <c r="A100" s="292"/>
      <c r="B100" s="134" t="s">
        <v>71</v>
      </c>
      <c r="C100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0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80356</v>
      </c>
      <c r="E100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96603</v>
      </c>
      <c r="F100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77621</v>
      </c>
      <c r="G100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53017</v>
      </c>
      <c r="H100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58405</v>
      </c>
      <c r="I100" s="48"/>
      <c r="J100" s="134" t="s">
        <v>71</v>
      </c>
      <c r="K100" s="131"/>
      <c r="L100" s="131">
        <v>7472</v>
      </c>
      <c r="M100" s="48">
        <v>10431</v>
      </c>
      <c r="N100" s="48">
        <v>8327</v>
      </c>
      <c r="O100" s="48">
        <v>6913</v>
      </c>
      <c r="P100" s="48">
        <v>7848</v>
      </c>
      <c r="R100" s="134" t="s">
        <v>71</v>
      </c>
      <c r="S100" s="131"/>
      <c r="T100" s="48">
        <v>5178</v>
      </c>
      <c r="U100" s="48">
        <v>5516</v>
      </c>
      <c r="V100" s="48">
        <v>5161</v>
      </c>
      <c r="W100" s="48">
        <v>4483</v>
      </c>
      <c r="X100" s="48">
        <v>5201</v>
      </c>
      <c r="Z100" s="134" t="s">
        <v>71</v>
      </c>
      <c r="AA100" s="131"/>
      <c r="AB100" s="48">
        <v>6684</v>
      </c>
      <c r="AC100" s="48">
        <v>8357</v>
      </c>
      <c r="AD100" s="48">
        <v>7817</v>
      </c>
      <c r="AE100" s="48">
        <v>5048</v>
      </c>
      <c r="AF100" s="48">
        <v>6044</v>
      </c>
      <c r="AH100" s="134" t="s">
        <v>71</v>
      </c>
      <c r="AI100" s="131"/>
      <c r="AJ100" s="131">
        <v>7763</v>
      </c>
      <c r="AK100" s="48">
        <v>8384</v>
      </c>
      <c r="AL100" s="48">
        <v>7462</v>
      </c>
      <c r="AM100" s="48">
        <v>4293</v>
      </c>
      <c r="AN100" s="48">
        <v>7482</v>
      </c>
      <c r="AP100" s="134" t="s">
        <v>71</v>
      </c>
      <c r="AQ100" s="131"/>
      <c r="AR100" s="131">
        <v>10441</v>
      </c>
      <c r="AS100" s="48">
        <v>13514</v>
      </c>
      <c r="AT100" s="48">
        <v>10523</v>
      </c>
      <c r="AU100" s="48">
        <v>7048</v>
      </c>
      <c r="AV100" s="48"/>
      <c r="AX100" s="134" t="s">
        <v>71</v>
      </c>
      <c r="AY100" s="131"/>
      <c r="AZ100" s="48">
        <v>5297</v>
      </c>
      <c r="BA100" s="48">
        <v>5938</v>
      </c>
      <c r="BB100" s="48">
        <v>5082</v>
      </c>
      <c r="BC100" s="48">
        <v>2605</v>
      </c>
      <c r="BD100" s="48"/>
      <c r="BE100" s="48"/>
      <c r="BF100" s="134" t="s">
        <v>71</v>
      </c>
      <c r="BG100" s="131"/>
      <c r="BH100" s="48">
        <v>5562</v>
      </c>
      <c r="BI100" s="48">
        <v>6829</v>
      </c>
      <c r="BJ100" s="48"/>
      <c r="BK100" s="48"/>
      <c r="BL100" s="48"/>
      <c r="BM100" s="48"/>
      <c r="BN100" s="134" t="s">
        <v>71</v>
      </c>
      <c r="BO100" s="131"/>
      <c r="BP100" s="48">
        <v>8766</v>
      </c>
      <c r="BQ100" s="48">
        <v>8529</v>
      </c>
      <c r="BR100" s="48">
        <v>8144</v>
      </c>
      <c r="BS100" s="48">
        <v>6160</v>
      </c>
      <c r="BT100" s="48">
        <v>8460</v>
      </c>
      <c r="BV100" s="134" t="s">
        <v>71</v>
      </c>
      <c r="BW100" s="131"/>
      <c r="BX100" s="48">
        <v>5963</v>
      </c>
      <c r="BY100" s="48">
        <v>7068</v>
      </c>
      <c r="BZ100" s="48">
        <v>5685</v>
      </c>
      <c r="CA100" s="48">
        <v>3848</v>
      </c>
      <c r="CB100" s="48">
        <v>5194</v>
      </c>
      <c r="CC100" s="48"/>
      <c r="CD100" s="134" t="s">
        <v>71</v>
      </c>
      <c r="CE100" s="131"/>
      <c r="CF100" s="48">
        <v>8807</v>
      </c>
      <c r="CG100" s="48">
        <v>10580</v>
      </c>
      <c r="CH100" s="48">
        <v>8613</v>
      </c>
      <c r="CI100" s="48">
        <v>6023</v>
      </c>
      <c r="CJ100" s="48">
        <v>8315</v>
      </c>
      <c r="CL100" s="134" t="s">
        <v>71</v>
      </c>
      <c r="CM100" s="131"/>
      <c r="CN100" s="48">
        <v>8423</v>
      </c>
      <c r="CO100" s="48">
        <v>11457</v>
      </c>
      <c r="CP100" s="48">
        <v>10807</v>
      </c>
      <c r="CQ100" s="48">
        <v>6596</v>
      </c>
      <c r="CR100" s="48">
        <v>9861</v>
      </c>
      <c r="CT100" s="134" t="s">
        <v>71</v>
      </c>
      <c r="CU100" s="131"/>
      <c r="CV100" s="131">
        <v>11171</v>
      </c>
      <c r="CW100" s="48"/>
      <c r="CX100" s="48"/>
      <c r="CY100" s="48"/>
      <c r="CZ100" s="48"/>
      <c r="DB100" s="134" t="s">
        <v>71</v>
      </c>
      <c r="DC100" s="131"/>
      <c r="DD100" s="48">
        <v>9133</v>
      </c>
      <c r="DE100" s="48"/>
      <c r="DF100" s="48"/>
      <c r="DG100" s="48"/>
      <c r="DH100" s="48"/>
      <c r="DI100" s="48"/>
      <c r="DJ100" s="134" t="s">
        <v>71</v>
      </c>
      <c r="DK100" s="131"/>
      <c r="DL100" s="48">
        <v>7631</v>
      </c>
      <c r="DM100" s="48"/>
      <c r="DN100" s="48"/>
      <c r="DO100" s="48"/>
      <c r="DP100" s="48"/>
      <c r="DR100" s="134" t="s">
        <v>71</v>
      </c>
      <c r="DS100" s="131"/>
      <c r="DT100" s="48">
        <v>6018</v>
      </c>
      <c r="DU100" s="48"/>
      <c r="DV100" s="48"/>
      <c r="DW100" s="48"/>
      <c r="DX100" s="48"/>
      <c r="DZ100" s="134" t="s">
        <v>71</v>
      </c>
      <c r="EA100" s="131"/>
      <c r="EB100" s="48">
        <v>4589</v>
      </c>
      <c r="EC100" s="48"/>
      <c r="ED100" s="48"/>
      <c r="EE100" s="48"/>
      <c r="EF100" s="48"/>
    </row>
    <row r="101" spans="1:136" x14ac:dyDescent="0.2">
      <c r="A101" s="292"/>
      <c r="B101" s="134" t="s">
        <v>12</v>
      </c>
      <c r="C101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1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87112</v>
      </c>
      <c r="E101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89773</v>
      </c>
      <c r="F101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84886</v>
      </c>
      <c r="G101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63437</v>
      </c>
      <c r="H101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57558</v>
      </c>
      <c r="I101" s="48"/>
      <c r="J101" s="134" t="s">
        <v>12</v>
      </c>
      <c r="K101" s="131"/>
      <c r="L101" s="131">
        <v>8907</v>
      </c>
      <c r="M101" s="48">
        <v>9627</v>
      </c>
      <c r="N101" s="48">
        <v>9681</v>
      </c>
      <c r="O101" s="48">
        <v>8056</v>
      </c>
      <c r="P101" s="48">
        <v>7433</v>
      </c>
      <c r="R101" s="134" t="s">
        <v>12</v>
      </c>
      <c r="S101" s="131"/>
      <c r="T101" s="48">
        <v>5707</v>
      </c>
      <c r="U101" s="48">
        <v>5395</v>
      </c>
      <c r="V101" s="48">
        <v>5657</v>
      </c>
      <c r="W101" s="48">
        <v>5282</v>
      </c>
      <c r="X101" s="48">
        <v>5335</v>
      </c>
      <c r="Z101" s="134" t="s">
        <v>12</v>
      </c>
      <c r="AA101" s="131"/>
      <c r="AB101" s="48">
        <v>7284</v>
      </c>
      <c r="AC101" s="48">
        <v>7431</v>
      </c>
      <c r="AD101" s="48">
        <v>9162</v>
      </c>
      <c r="AE101" s="48">
        <v>5860</v>
      </c>
      <c r="AF101" s="48">
        <v>5546</v>
      </c>
      <c r="AH101" s="134" t="s">
        <v>12</v>
      </c>
      <c r="AI101" s="131"/>
      <c r="AJ101" s="131">
        <v>8415</v>
      </c>
      <c r="AK101" s="48">
        <v>8538</v>
      </c>
      <c r="AL101" s="48">
        <v>8681</v>
      </c>
      <c r="AM101" s="48">
        <v>5789</v>
      </c>
      <c r="AN101" s="48">
        <v>7726</v>
      </c>
      <c r="AP101" s="134" t="s">
        <v>12</v>
      </c>
      <c r="AQ101" s="131"/>
      <c r="AR101" s="131">
        <v>12126</v>
      </c>
      <c r="AS101" s="48">
        <v>11749</v>
      </c>
      <c r="AT101" s="48">
        <v>11997</v>
      </c>
      <c r="AU101" s="48">
        <v>8410</v>
      </c>
      <c r="AV101" s="48"/>
      <c r="AX101" s="134" t="s">
        <v>12</v>
      </c>
      <c r="AY101" s="131"/>
      <c r="AZ101" s="48">
        <v>5478</v>
      </c>
      <c r="BA101" s="48">
        <v>6191</v>
      </c>
      <c r="BB101" s="48">
        <v>5675</v>
      </c>
      <c r="BC101" s="48">
        <v>4052</v>
      </c>
      <c r="BD101" s="48"/>
      <c r="BE101" s="48"/>
      <c r="BF101" s="134" t="s">
        <v>12</v>
      </c>
      <c r="BG101" s="131"/>
      <c r="BH101" s="48">
        <v>6305</v>
      </c>
      <c r="BI101" s="48">
        <v>6396</v>
      </c>
      <c r="BJ101" s="48"/>
      <c r="BK101" s="48"/>
      <c r="BL101" s="48"/>
      <c r="BM101" s="48"/>
      <c r="BN101" s="134" t="s">
        <v>12</v>
      </c>
      <c r="BO101" s="131"/>
      <c r="BP101" s="48">
        <v>8529</v>
      </c>
      <c r="BQ101" s="48">
        <v>7835</v>
      </c>
      <c r="BR101" s="48">
        <v>8726</v>
      </c>
      <c r="BS101" s="48">
        <v>6768</v>
      </c>
      <c r="BT101" s="48">
        <v>8805</v>
      </c>
      <c r="BV101" s="134" t="s">
        <v>12</v>
      </c>
      <c r="BW101" s="131"/>
      <c r="BX101" s="48">
        <v>6270</v>
      </c>
      <c r="BY101" s="48">
        <v>6213</v>
      </c>
      <c r="BZ101" s="48">
        <v>6354</v>
      </c>
      <c r="CA101" s="48">
        <v>4488</v>
      </c>
      <c r="CB101" s="48">
        <v>5323</v>
      </c>
      <c r="CC101" s="48"/>
      <c r="CD101" s="134" t="s">
        <v>12</v>
      </c>
      <c r="CE101" s="131"/>
      <c r="CF101" s="48">
        <v>9188</v>
      </c>
      <c r="CG101" s="48">
        <v>9656</v>
      </c>
      <c r="CH101" s="48">
        <v>8732</v>
      </c>
      <c r="CI101" s="48">
        <v>6455</v>
      </c>
      <c r="CJ101" s="48">
        <v>7924</v>
      </c>
      <c r="CL101" s="134" t="s">
        <v>12</v>
      </c>
      <c r="CM101" s="131"/>
      <c r="CN101" s="48">
        <v>8903</v>
      </c>
      <c r="CO101" s="48">
        <v>10742</v>
      </c>
      <c r="CP101" s="48">
        <v>10221</v>
      </c>
      <c r="CQ101" s="48">
        <v>8277</v>
      </c>
      <c r="CR101" s="48">
        <v>9466</v>
      </c>
      <c r="CT101" s="134" t="s">
        <v>12</v>
      </c>
      <c r="CU101" s="131"/>
      <c r="CV101" s="131">
        <v>12176</v>
      </c>
      <c r="CW101" s="48"/>
      <c r="CX101" s="48"/>
      <c r="CY101" s="48"/>
      <c r="CZ101" s="48"/>
      <c r="DB101" s="134" t="s">
        <v>12</v>
      </c>
      <c r="DC101" s="131"/>
      <c r="DD101" s="48">
        <v>10123</v>
      </c>
      <c r="DE101" s="48"/>
      <c r="DF101" s="48"/>
      <c r="DG101" s="48"/>
      <c r="DH101" s="48"/>
      <c r="DI101" s="48"/>
      <c r="DJ101" s="134" t="s">
        <v>12</v>
      </c>
      <c r="DK101" s="131"/>
      <c r="DL101" s="48">
        <v>7729</v>
      </c>
      <c r="DM101" s="48"/>
      <c r="DN101" s="48"/>
      <c r="DO101" s="48"/>
      <c r="DP101" s="48"/>
      <c r="DR101" s="134" t="s">
        <v>12</v>
      </c>
      <c r="DS101" s="131"/>
      <c r="DT101" s="48">
        <v>6254</v>
      </c>
      <c r="DU101" s="48"/>
      <c r="DV101" s="48"/>
      <c r="DW101" s="48"/>
      <c r="DX101" s="48"/>
      <c r="DZ101" s="134" t="s">
        <v>12</v>
      </c>
      <c r="EA101" s="131"/>
      <c r="EB101" s="48">
        <v>4637</v>
      </c>
      <c r="EC101" s="48"/>
      <c r="ED101" s="48"/>
      <c r="EE101" s="48"/>
      <c r="EF101" s="48"/>
    </row>
    <row r="102" spans="1:136" x14ac:dyDescent="0.2">
      <c r="A102" s="292"/>
      <c r="B102" s="134" t="s">
        <v>13</v>
      </c>
      <c r="C102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2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85112</v>
      </c>
      <c r="E102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86574</v>
      </c>
      <c r="F102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80411</v>
      </c>
      <c r="G102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60397</v>
      </c>
      <c r="H102" s="48" t="str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2" s="48"/>
      <c r="J102" s="134" t="s">
        <v>13</v>
      </c>
      <c r="K102" s="131"/>
      <c r="L102" s="131">
        <v>9134</v>
      </c>
      <c r="M102" s="48">
        <v>8974</v>
      </c>
      <c r="N102" s="48">
        <v>9516</v>
      </c>
      <c r="O102" s="48">
        <v>7974</v>
      </c>
      <c r="P102" s="48"/>
      <c r="R102" s="134" t="s">
        <v>13</v>
      </c>
      <c r="S102" s="131"/>
      <c r="T102" s="48">
        <v>5560</v>
      </c>
      <c r="U102" s="48">
        <v>5197</v>
      </c>
      <c r="V102" s="48">
        <v>5266</v>
      </c>
      <c r="W102" s="48">
        <v>4679</v>
      </c>
      <c r="X102" s="48"/>
      <c r="Z102" s="134" t="s">
        <v>13</v>
      </c>
      <c r="AA102" s="131"/>
      <c r="AB102" s="48">
        <v>8134</v>
      </c>
      <c r="AC102" s="48">
        <v>8859</v>
      </c>
      <c r="AD102" s="48">
        <v>8870</v>
      </c>
      <c r="AE102" s="48">
        <v>5973</v>
      </c>
      <c r="AF102" s="48">
        <v>0</v>
      </c>
      <c r="AH102" s="134" t="s">
        <v>13</v>
      </c>
      <c r="AI102" s="131"/>
      <c r="AJ102" s="131">
        <v>8388</v>
      </c>
      <c r="AK102" s="48">
        <v>8008</v>
      </c>
      <c r="AL102" s="48">
        <v>8035</v>
      </c>
      <c r="AM102" s="48">
        <v>5975</v>
      </c>
      <c r="AN102" s="48">
        <v>1</v>
      </c>
      <c r="AP102" s="134" t="s">
        <v>13</v>
      </c>
      <c r="AQ102" s="131"/>
      <c r="AR102" s="131">
        <v>11759</v>
      </c>
      <c r="AS102" s="48">
        <v>11070</v>
      </c>
      <c r="AT102" s="48">
        <v>11343</v>
      </c>
      <c r="AU102" s="48">
        <v>8261</v>
      </c>
      <c r="AV102" s="48"/>
      <c r="AX102" s="134" t="s">
        <v>13</v>
      </c>
      <c r="AY102" s="131"/>
      <c r="AZ102" s="48">
        <v>5064</v>
      </c>
      <c r="BA102" s="48">
        <v>5540</v>
      </c>
      <c r="BB102" s="48">
        <v>5148</v>
      </c>
      <c r="BC102" s="48">
        <v>3805</v>
      </c>
      <c r="BD102" s="48"/>
      <c r="BE102" s="48"/>
      <c r="BF102" s="134" t="s">
        <v>13</v>
      </c>
      <c r="BG102" s="131"/>
      <c r="BH102" s="48">
        <v>5628</v>
      </c>
      <c r="BI102" s="48">
        <v>5724</v>
      </c>
      <c r="BJ102" s="48"/>
      <c r="BK102" s="48"/>
      <c r="BL102" s="48"/>
      <c r="BM102" s="48"/>
      <c r="BN102" s="134" t="s">
        <v>13</v>
      </c>
      <c r="BO102" s="131"/>
      <c r="BP102" s="48">
        <v>8471</v>
      </c>
      <c r="BQ102" s="48">
        <v>8099</v>
      </c>
      <c r="BR102" s="48">
        <v>7796</v>
      </c>
      <c r="BS102" s="48">
        <v>6649</v>
      </c>
      <c r="BT102" s="48">
        <v>165</v>
      </c>
      <c r="BV102" s="134" t="s">
        <v>13</v>
      </c>
      <c r="BW102" s="131"/>
      <c r="BX102" s="48">
        <v>5309</v>
      </c>
      <c r="BY102" s="48">
        <v>5240</v>
      </c>
      <c r="BZ102" s="48">
        <v>5638</v>
      </c>
      <c r="CA102" s="48">
        <v>4135</v>
      </c>
      <c r="CB102" s="48">
        <v>37</v>
      </c>
      <c r="CC102" s="48"/>
      <c r="CD102" s="134" t="s">
        <v>13</v>
      </c>
      <c r="CE102" s="131"/>
      <c r="CF102" s="48">
        <v>8955</v>
      </c>
      <c r="CG102" s="48">
        <v>8494</v>
      </c>
      <c r="CH102" s="48">
        <v>8350</v>
      </c>
      <c r="CI102" s="48">
        <v>4809</v>
      </c>
      <c r="CJ102" s="48">
        <v>0</v>
      </c>
      <c r="CL102" s="134" t="s">
        <v>13</v>
      </c>
      <c r="CM102" s="131"/>
      <c r="CN102" s="48">
        <v>8710</v>
      </c>
      <c r="CO102" s="48">
        <v>11369</v>
      </c>
      <c r="CP102" s="48">
        <v>10449</v>
      </c>
      <c r="CQ102" s="48">
        <v>8137</v>
      </c>
      <c r="CR102" s="48">
        <v>275</v>
      </c>
      <c r="CT102" s="134" t="s">
        <v>13</v>
      </c>
      <c r="CU102" s="131"/>
      <c r="CV102" s="131">
        <v>12075</v>
      </c>
      <c r="CW102" s="48"/>
      <c r="CX102" s="48"/>
      <c r="CY102" s="48"/>
      <c r="CZ102" s="48"/>
      <c r="DB102" s="134" t="s">
        <v>13</v>
      </c>
      <c r="DC102" s="131"/>
      <c r="DD102" s="48">
        <v>10401</v>
      </c>
      <c r="DE102" s="48"/>
      <c r="DF102" s="48"/>
      <c r="DG102" s="48"/>
      <c r="DH102" s="48"/>
      <c r="DI102" s="48"/>
      <c r="DJ102" s="134" t="s">
        <v>13</v>
      </c>
      <c r="DK102" s="131"/>
      <c r="DL102" s="48">
        <v>8062</v>
      </c>
      <c r="DM102" s="48"/>
      <c r="DN102" s="48"/>
      <c r="DO102" s="48"/>
      <c r="DP102" s="48"/>
      <c r="DR102" s="134" t="s">
        <v>13</v>
      </c>
      <c r="DS102" s="131"/>
      <c r="DT102" s="48">
        <v>6136</v>
      </c>
      <c r="DU102" s="48"/>
      <c r="DV102" s="48"/>
      <c r="DW102" s="48"/>
      <c r="DX102" s="48"/>
      <c r="DZ102" s="134" t="s">
        <v>13</v>
      </c>
      <c r="EA102" s="131"/>
      <c r="EB102" s="48">
        <v>4590</v>
      </c>
      <c r="EC102" s="48"/>
      <c r="ED102" s="48"/>
      <c r="EE102" s="48"/>
      <c r="EF102" s="48"/>
    </row>
    <row r="103" spans="1:136" x14ac:dyDescent="0.2">
      <c r="A103" s="292"/>
      <c r="B103" s="134" t="s">
        <v>15</v>
      </c>
      <c r="C103" s="131" t="str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3" s="4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>83570</v>
      </c>
      <c r="E103" s="4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>83022</v>
      </c>
      <c r="F103" s="4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>80927</v>
      </c>
      <c r="G103" s="4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>62146</v>
      </c>
      <c r="H103" s="4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>367</v>
      </c>
      <c r="I103" s="48"/>
      <c r="J103" s="134" t="s">
        <v>15</v>
      </c>
      <c r="K103" s="131"/>
      <c r="L103" s="131">
        <v>8780</v>
      </c>
      <c r="M103" s="48">
        <v>8193</v>
      </c>
      <c r="N103" s="48">
        <v>9708</v>
      </c>
      <c r="O103" s="48">
        <v>8870</v>
      </c>
      <c r="P103" s="48">
        <v>2</v>
      </c>
      <c r="R103" s="134" t="s">
        <v>15</v>
      </c>
      <c r="S103" s="131"/>
      <c r="T103" s="48">
        <v>5707</v>
      </c>
      <c r="U103" s="48">
        <v>5284</v>
      </c>
      <c r="V103" s="48">
        <v>5387</v>
      </c>
      <c r="W103" s="48">
        <v>4697</v>
      </c>
      <c r="X103" s="48"/>
      <c r="Z103" s="134" t="s">
        <v>15</v>
      </c>
      <c r="AA103" s="131"/>
      <c r="AB103" s="48">
        <v>6723</v>
      </c>
      <c r="AC103" s="48">
        <v>6641</v>
      </c>
      <c r="AD103" s="48">
        <v>7343</v>
      </c>
      <c r="AE103" s="48">
        <v>5143</v>
      </c>
      <c r="AF103" s="48">
        <v>0</v>
      </c>
      <c r="AH103" s="134" t="s">
        <v>15</v>
      </c>
      <c r="AI103" s="131"/>
      <c r="AJ103" s="131">
        <v>7896</v>
      </c>
      <c r="AK103" s="48">
        <v>8072</v>
      </c>
      <c r="AL103" s="48">
        <v>7925</v>
      </c>
      <c r="AM103" s="48">
        <v>5958</v>
      </c>
      <c r="AN103" s="48">
        <v>0</v>
      </c>
      <c r="AP103" s="134" t="s">
        <v>15</v>
      </c>
      <c r="AQ103" s="131"/>
      <c r="AR103" s="131">
        <v>13002</v>
      </c>
      <c r="AS103" s="48">
        <v>12270</v>
      </c>
      <c r="AT103" s="48">
        <v>12914</v>
      </c>
      <c r="AU103" s="48">
        <v>9234</v>
      </c>
      <c r="AV103" s="48"/>
      <c r="AX103" s="134" t="s">
        <v>15</v>
      </c>
      <c r="AY103" s="131"/>
      <c r="AZ103" s="48">
        <v>5170</v>
      </c>
      <c r="BA103" s="48">
        <v>5576</v>
      </c>
      <c r="BB103" s="48">
        <v>5370</v>
      </c>
      <c r="BC103" s="48">
        <v>3836</v>
      </c>
      <c r="BD103" s="48"/>
      <c r="BE103" s="48"/>
      <c r="BF103" s="134" t="s">
        <v>15</v>
      </c>
      <c r="BG103" s="131"/>
      <c r="BH103" s="48">
        <v>5406</v>
      </c>
      <c r="BI103" s="48">
        <v>5711</v>
      </c>
      <c r="BJ103" s="48"/>
      <c r="BK103" s="48"/>
      <c r="BL103" s="48"/>
      <c r="BM103" s="48"/>
      <c r="BN103" s="134" t="s">
        <v>15</v>
      </c>
      <c r="BO103" s="131"/>
      <c r="BP103" s="48">
        <v>8698</v>
      </c>
      <c r="BQ103" s="48">
        <v>8086</v>
      </c>
      <c r="BR103" s="48">
        <v>8266</v>
      </c>
      <c r="BS103" s="48">
        <v>6698</v>
      </c>
      <c r="BT103" s="48">
        <v>0</v>
      </c>
      <c r="BV103" s="134" t="s">
        <v>15</v>
      </c>
      <c r="BW103" s="131"/>
      <c r="BX103" s="48">
        <v>5334</v>
      </c>
      <c r="BY103" s="48">
        <v>5058</v>
      </c>
      <c r="BZ103" s="48">
        <v>5086</v>
      </c>
      <c r="CA103" s="48">
        <v>3746</v>
      </c>
      <c r="CB103" s="48">
        <v>0</v>
      </c>
      <c r="CC103" s="48"/>
      <c r="CD103" s="134" t="s">
        <v>15</v>
      </c>
      <c r="CE103" s="131"/>
      <c r="CF103" s="48">
        <v>8159</v>
      </c>
      <c r="CG103" s="48">
        <v>8501</v>
      </c>
      <c r="CH103" s="48">
        <v>7676</v>
      </c>
      <c r="CI103" s="48">
        <v>5598</v>
      </c>
      <c r="CJ103" s="48">
        <v>0</v>
      </c>
      <c r="CL103" s="134" t="s">
        <v>15</v>
      </c>
      <c r="CM103" s="131"/>
      <c r="CN103" s="48">
        <v>8695</v>
      </c>
      <c r="CO103" s="48">
        <v>9630</v>
      </c>
      <c r="CP103" s="48">
        <v>11252</v>
      </c>
      <c r="CQ103" s="48">
        <v>8366</v>
      </c>
      <c r="CR103" s="48">
        <v>365</v>
      </c>
      <c r="CT103" s="134" t="s">
        <v>15</v>
      </c>
      <c r="CU103" s="131"/>
      <c r="CV103" s="131">
        <v>10891</v>
      </c>
      <c r="CW103" s="48"/>
      <c r="CX103" s="48"/>
      <c r="CY103" s="48"/>
      <c r="CZ103" s="48"/>
      <c r="DB103" s="134" t="s">
        <v>15</v>
      </c>
      <c r="DC103" s="131"/>
      <c r="DD103" s="48">
        <v>10972</v>
      </c>
      <c r="DE103" s="48"/>
      <c r="DF103" s="48"/>
      <c r="DG103" s="48"/>
      <c r="DH103" s="48"/>
      <c r="DI103" s="48"/>
      <c r="DJ103" s="134" t="s">
        <v>15</v>
      </c>
      <c r="DK103" s="131"/>
      <c r="DL103" s="48">
        <v>8796</v>
      </c>
      <c r="DM103" s="48"/>
      <c r="DN103" s="48"/>
      <c r="DO103" s="48"/>
      <c r="DP103" s="48"/>
      <c r="DR103" s="134" t="s">
        <v>15</v>
      </c>
      <c r="DS103" s="131"/>
      <c r="DT103" s="48">
        <v>6126</v>
      </c>
      <c r="DU103" s="48"/>
      <c r="DV103" s="48"/>
      <c r="DW103" s="48"/>
      <c r="DX103" s="48"/>
      <c r="DZ103" s="134" t="s">
        <v>15</v>
      </c>
      <c r="EA103" s="131"/>
      <c r="EB103" s="48">
        <v>4197</v>
      </c>
      <c r="EC103" s="48"/>
      <c r="ED103" s="48"/>
      <c r="EE103" s="48"/>
      <c r="EF103" s="48"/>
    </row>
    <row r="105" spans="1:136" ht="15.75" x14ac:dyDescent="0.2">
      <c r="B105" s="45" t="s">
        <v>131</v>
      </c>
      <c r="J105" s="45" t="s">
        <v>2999</v>
      </c>
      <c r="R105" s="45" t="s">
        <v>3001</v>
      </c>
      <c r="Z105" s="45" t="s">
        <v>210</v>
      </c>
      <c r="AH105" s="45" t="s">
        <v>3003</v>
      </c>
      <c r="AP105" s="45" t="s">
        <v>2156</v>
      </c>
      <c r="AX105" s="45" t="s">
        <v>3000</v>
      </c>
      <c r="BF105" s="45" t="s">
        <v>3002</v>
      </c>
      <c r="BN105" s="45" t="s">
        <v>297</v>
      </c>
      <c r="BV105" s="45" t="s">
        <v>296</v>
      </c>
      <c r="CD105" s="45" t="s">
        <v>292</v>
      </c>
      <c r="CL105" s="45" t="s">
        <v>294</v>
      </c>
      <c r="CT105" s="45" t="s">
        <v>6963</v>
      </c>
      <c r="DB105" s="45" t="s">
        <v>6964</v>
      </c>
      <c r="DJ105" s="45" t="s">
        <v>6966</v>
      </c>
      <c r="DR105" s="45" t="s">
        <v>6965</v>
      </c>
      <c r="DZ105" s="45" t="s">
        <v>7094</v>
      </c>
    </row>
    <row r="107" spans="1:136" s="188" customFormat="1" ht="18.600000000000001" customHeight="1" x14ac:dyDescent="0.2">
      <c r="A107" s="292" t="s">
        <v>182</v>
      </c>
      <c r="B107" s="186" t="s">
        <v>106</v>
      </c>
      <c r="C107" s="187" t="s">
        <v>6962</v>
      </c>
      <c r="D107" s="187" t="s">
        <v>2169</v>
      </c>
      <c r="E107" s="187" t="s">
        <v>1553</v>
      </c>
      <c r="F107" s="187" t="s">
        <v>1522</v>
      </c>
      <c r="G107" s="187" t="s">
        <v>1304</v>
      </c>
      <c r="H107" s="187" t="s">
        <v>209</v>
      </c>
      <c r="I107" s="187"/>
      <c r="J107" s="186" t="s">
        <v>106</v>
      </c>
      <c r="K107" s="186" t="s">
        <v>7114</v>
      </c>
      <c r="L107" s="186" t="s">
        <v>6962</v>
      </c>
      <c r="M107" s="186" t="s">
        <v>2169</v>
      </c>
      <c r="N107" s="186" t="s">
        <v>1553</v>
      </c>
      <c r="O107" s="186" t="s">
        <v>1522</v>
      </c>
      <c r="P107" s="186" t="s">
        <v>1304</v>
      </c>
      <c r="R107" s="186" t="s">
        <v>106</v>
      </c>
      <c r="S107" s="186" t="s">
        <v>7114</v>
      </c>
      <c r="T107" s="186" t="s">
        <v>6962</v>
      </c>
      <c r="U107" s="186" t="s">
        <v>2169</v>
      </c>
      <c r="V107" s="186" t="s">
        <v>1553</v>
      </c>
      <c r="W107" s="186" t="s">
        <v>1522</v>
      </c>
      <c r="X107" s="186" t="s">
        <v>1304</v>
      </c>
      <c r="Z107" s="186" t="s">
        <v>106</v>
      </c>
      <c r="AA107" s="186" t="s">
        <v>7114</v>
      </c>
      <c r="AB107" s="186" t="s">
        <v>6962</v>
      </c>
      <c r="AC107" s="186" t="s">
        <v>2169</v>
      </c>
      <c r="AD107" s="186" t="s">
        <v>1553</v>
      </c>
      <c r="AE107" s="186" t="s">
        <v>1522</v>
      </c>
      <c r="AF107" s="186" t="s">
        <v>1304</v>
      </c>
      <c r="AH107" s="186" t="s">
        <v>106</v>
      </c>
      <c r="AI107" s="186" t="s">
        <v>7114</v>
      </c>
      <c r="AJ107" s="186" t="s">
        <v>6962</v>
      </c>
      <c r="AK107" s="186" t="s">
        <v>2169</v>
      </c>
      <c r="AL107" s="186" t="s">
        <v>1553</v>
      </c>
      <c r="AM107" s="186" t="s">
        <v>1522</v>
      </c>
      <c r="AN107" s="186" t="s">
        <v>1304</v>
      </c>
      <c r="AP107" s="186" t="s">
        <v>106</v>
      </c>
      <c r="AQ107" s="186" t="s">
        <v>7114</v>
      </c>
      <c r="AR107" s="186" t="s">
        <v>6962</v>
      </c>
      <c r="AS107" s="186" t="s">
        <v>2169</v>
      </c>
      <c r="AT107" s="186" t="s">
        <v>1553</v>
      </c>
      <c r="AU107" s="186" t="s">
        <v>1522</v>
      </c>
      <c r="AV107" s="186" t="s">
        <v>1304</v>
      </c>
      <c r="AX107" s="186" t="s">
        <v>106</v>
      </c>
      <c r="AY107" s="186" t="s">
        <v>7114</v>
      </c>
      <c r="AZ107" s="186" t="s">
        <v>6962</v>
      </c>
      <c r="BA107" s="186" t="s">
        <v>2169</v>
      </c>
      <c r="BB107" s="186" t="s">
        <v>1553</v>
      </c>
      <c r="BC107" s="186" t="s">
        <v>1522</v>
      </c>
      <c r="BD107" s="186" t="s">
        <v>1304</v>
      </c>
      <c r="BE107" s="187"/>
      <c r="BF107" s="186" t="s">
        <v>106</v>
      </c>
      <c r="BG107" s="186" t="s">
        <v>7114</v>
      </c>
      <c r="BH107" s="186" t="s">
        <v>6962</v>
      </c>
      <c r="BI107" s="186" t="s">
        <v>2169</v>
      </c>
      <c r="BJ107" s="186" t="s">
        <v>1553</v>
      </c>
      <c r="BK107" s="186" t="s">
        <v>1522</v>
      </c>
      <c r="BL107" s="186" t="s">
        <v>1304</v>
      </c>
      <c r="BM107" s="186"/>
      <c r="BN107" s="186" t="s">
        <v>106</v>
      </c>
      <c r="BO107" s="187" t="s">
        <v>7114</v>
      </c>
      <c r="BP107" s="187" t="s">
        <v>6962</v>
      </c>
      <c r="BQ107" s="187" t="s">
        <v>2169</v>
      </c>
      <c r="BR107" s="187" t="s">
        <v>1553</v>
      </c>
      <c r="BS107" s="187" t="s">
        <v>1522</v>
      </c>
      <c r="BT107" s="187" t="s">
        <v>1304</v>
      </c>
      <c r="BV107" s="186" t="s">
        <v>106</v>
      </c>
      <c r="BW107" s="187" t="s">
        <v>7114</v>
      </c>
      <c r="BX107" s="187" t="s">
        <v>6962</v>
      </c>
      <c r="BY107" s="187" t="s">
        <v>2169</v>
      </c>
      <c r="BZ107" s="187" t="s">
        <v>1553</v>
      </c>
      <c r="CA107" s="187" t="s">
        <v>1522</v>
      </c>
      <c r="CB107" s="187" t="s">
        <v>1304</v>
      </c>
      <c r="CC107" s="187"/>
      <c r="CD107" s="186" t="s">
        <v>106</v>
      </c>
      <c r="CE107" s="187" t="s">
        <v>7114</v>
      </c>
      <c r="CF107" s="187" t="s">
        <v>6962</v>
      </c>
      <c r="CG107" s="187" t="s">
        <v>2169</v>
      </c>
      <c r="CH107" s="187" t="s">
        <v>1553</v>
      </c>
      <c r="CI107" s="187" t="s">
        <v>1522</v>
      </c>
      <c r="CJ107" s="187" t="s">
        <v>1304</v>
      </c>
      <c r="CL107" s="186" t="s">
        <v>106</v>
      </c>
      <c r="CM107" s="187" t="s">
        <v>7114</v>
      </c>
      <c r="CN107" s="187" t="s">
        <v>6962</v>
      </c>
      <c r="CO107" s="187" t="s">
        <v>2169</v>
      </c>
      <c r="CP107" s="187" t="s">
        <v>1553</v>
      </c>
      <c r="CQ107" s="187" t="s">
        <v>1522</v>
      </c>
      <c r="CR107" s="187" t="s">
        <v>1304</v>
      </c>
      <c r="CT107" s="186" t="s">
        <v>106</v>
      </c>
      <c r="CU107" s="187" t="s">
        <v>7114</v>
      </c>
      <c r="CV107" s="187" t="s">
        <v>6962</v>
      </c>
      <c r="CW107" s="187" t="s">
        <v>2169</v>
      </c>
      <c r="CX107" s="187" t="s">
        <v>1553</v>
      </c>
      <c r="CY107" s="187" t="s">
        <v>1522</v>
      </c>
      <c r="CZ107" s="187" t="s">
        <v>1304</v>
      </c>
      <c r="DB107" s="186" t="s">
        <v>106</v>
      </c>
      <c r="DC107" s="187" t="s">
        <v>7114</v>
      </c>
      <c r="DD107" s="187" t="s">
        <v>6962</v>
      </c>
      <c r="DE107" s="187" t="s">
        <v>2169</v>
      </c>
      <c r="DF107" s="187" t="s">
        <v>1553</v>
      </c>
      <c r="DG107" s="187" t="s">
        <v>1522</v>
      </c>
      <c r="DH107" s="187" t="s">
        <v>1304</v>
      </c>
      <c r="DI107" s="187"/>
      <c r="DJ107" s="186" t="s">
        <v>106</v>
      </c>
      <c r="DK107" s="187" t="s">
        <v>7114</v>
      </c>
      <c r="DL107" s="187" t="s">
        <v>6962</v>
      </c>
      <c r="DM107" s="187" t="s">
        <v>2169</v>
      </c>
      <c r="DN107" s="187" t="s">
        <v>1553</v>
      </c>
      <c r="DO107" s="187" t="s">
        <v>1522</v>
      </c>
      <c r="DP107" s="187" t="s">
        <v>1304</v>
      </c>
      <c r="DR107" s="186" t="s">
        <v>106</v>
      </c>
      <c r="DS107" s="187" t="s">
        <v>7114</v>
      </c>
      <c r="DT107" s="187" t="s">
        <v>6962</v>
      </c>
      <c r="DU107" s="187" t="s">
        <v>2169</v>
      </c>
      <c r="DV107" s="187" t="s">
        <v>1553</v>
      </c>
      <c r="DW107" s="187" t="s">
        <v>1522</v>
      </c>
      <c r="DX107" s="187" t="s">
        <v>1304</v>
      </c>
      <c r="DZ107" s="186" t="s">
        <v>106</v>
      </c>
      <c r="EA107" s="187" t="s">
        <v>7114</v>
      </c>
      <c r="EB107" s="187" t="s">
        <v>6962</v>
      </c>
      <c r="EC107" s="187" t="s">
        <v>2169</v>
      </c>
      <c r="ED107" s="187" t="s">
        <v>1553</v>
      </c>
      <c r="EE107" s="187" t="s">
        <v>1522</v>
      </c>
      <c r="EF107" s="187" t="s">
        <v>1304</v>
      </c>
    </row>
    <row r="108" spans="1:136" x14ac:dyDescent="0.2">
      <c r="A108" s="292"/>
      <c r="B108" s="134" t="s">
        <v>143</v>
      </c>
      <c r="C108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>271935</v>
      </c>
      <c r="D10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199569</v>
      </c>
      <c r="E10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226673</v>
      </c>
      <c r="F10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201026</v>
      </c>
      <c r="G10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118988</v>
      </c>
      <c r="H10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190937</v>
      </c>
      <c r="I108" s="48"/>
      <c r="J108" s="134" t="s">
        <v>143</v>
      </c>
      <c r="K108" s="131">
        <f t="shared" ref="K108:K119" si="0">+K92+K76+K60+K44</f>
        <v>24859</v>
      </c>
      <c r="L108" s="48">
        <v>23552</v>
      </c>
      <c r="M108" s="48">
        <v>28360</v>
      </c>
      <c r="N108" s="48">
        <v>26726</v>
      </c>
      <c r="O108" s="48">
        <v>16817</v>
      </c>
      <c r="P108" s="48">
        <v>32657</v>
      </c>
      <c r="R108" s="134" t="s">
        <v>143</v>
      </c>
      <c r="S108" s="48">
        <f t="shared" ref="S108:S119" si="1">+S92+S76+S60+S44</f>
        <v>12710</v>
      </c>
      <c r="T108" s="48">
        <v>11959</v>
      </c>
      <c r="U108" s="48">
        <v>14842</v>
      </c>
      <c r="V108" s="48">
        <v>14819</v>
      </c>
      <c r="W108" s="48">
        <v>10287</v>
      </c>
      <c r="X108" s="48">
        <v>17406</v>
      </c>
      <c r="Z108" s="134" t="s">
        <v>143</v>
      </c>
      <c r="AA108" s="131">
        <f t="shared" ref="AA108:AA119" si="2">+AA92+AA76+AA60+AA44</f>
        <v>16773</v>
      </c>
      <c r="AB108" s="48">
        <v>16102</v>
      </c>
      <c r="AC108" s="48">
        <v>20290</v>
      </c>
      <c r="AD108" s="48">
        <v>18115</v>
      </c>
      <c r="AE108" s="48">
        <v>12019</v>
      </c>
      <c r="AF108" s="48">
        <v>21352</v>
      </c>
      <c r="AH108" s="134" t="s">
        <v>143</v>
      </c>
      <c r="AI108" s="131">
        <f t="shared" ref="AI108:AI119" si="3">+AI92+AI76+AI60+AI44</f>
        <v>0</v>
      </c>
      <c r="AJ108" s="48">
        <v>21218</v>
      </c>
      <c r="AK108" s="48">
        <v>22871</v>
      </c>
      <c r="AL108" s="48">
        <v>20862</v>
      </c>
      <c r="AM108" s="48">
        <v>13998</v>
      </c>
      <c r="AN108" s="48">
        <v>24037</v>
      </c>
      <c r="AP108" s="134" t="s">
        <v>143</v>
      </c>
      <c r="AQ108" s="131">
        <f t="shared" ref="AQ108:AQ119" si="4">+AQ92+AQ76+AQ60+AQ44</f>
        <v>27135</v>
      </c>
      <c r="AR108" s="48">
        <v>27149</v>
      </c>
      <c r="AS108" s="48">
        <v>28935</v>
      </c>
      <c r="AT108" s="48">
        <v>25783</v>
      </c>
      <c r="AU108" s="48">
        <v>18935</v>
      </c>
      <c r="AV108" s="48">
        <v>0</v>
      </c>
      <c r="AX108" s="134" t="s">
        <v>143</v>
      </c>
      <c r="AY108" s="131">
        <f t="shared" ref="AY108:AY119" si="5">+AY92+AY76+AY60+AY44</f>
        <v>0</v>
      </c>
      <c r="AZ108" s="48">
        <v>12467</v>
      </c>
      <c r="BA108" s="48">
        <v>13514</v>
      </c>
      <c r="BB108" s="48">
        <v>12448</v>
      </c>
      <c r="BC108" s="48"/>
      <c r="BD108" s="48"/>
      <c r="BE108" s="48"/>
      <c r="BF108" s="134" t="s">
        <v>143</v>
      </c>
      <c r="BG108" s="131">
        <f t="shared" ref="BG108:BG114" si="6">+BG92+BG76+BG60+BG44</f>
        <v>12604</v>
      </c>
      <c r="BH108" s="48">
        <v>13598</v>
      </c>
      <c r="BI108" s="48">
        <v>13237</v>
      </c>
      <c r="BJ108" s="48"/>
      <c r="BK108" s="48"/>
      <c r="BL108" s="48"/>
      <c r="BM108" s="48"/>
      <c r="BN108" s="134" t="s">
        <v>143</v>
      </c>
      <c r="BO108" s="131">
        <f t="shared" ref="BO108:BO119" si="7">+BO92+BO76+BO60+BO44</f>
        <v>21816</v>
      </c>
      <c r="BP108" s="48">
        <v>20262</v>
      </c>
      <c r="BQ108" s="48">
        <v>22185</v>
      </c>
      <c r="BR108" s="48">
        <v>21642</v>
      </c>
      <c r="BS108" s="48">
        <v>12372</v>
      </c>
      <c r="BT108" s="48">
        <v>26285</v>
      </c>
      <c r="BV108" s="134" t="s">
        <v>143</v>
      </c>
      <c r="BW108" s="131">
        <f t="shared" ref="BW108:BW113" si="8">+BW92+BW76+BW60+BW44</f>
        <v>13437</v>
      </c>
      <c r="BX108" s="48">
        <v>12786</v>
      </c>
      <c r="BY108" s="48">
        <v>14237</v>
      </c>
      <c r="BZ108" s="48">
        <v>13286</v>
      </c>
      <c r="CA108" s="48">
        <v>9279</v>
      </c>
      <c r="CB108" s="48">
        <v>15105</v>
      </c>
      <c r="CC108" s="48"/>
      <c r="CD108" s="134" t="s">
        <v>143</v>
      </c>
      <c r="CE108" s="131">
        <f t="shared" ref="CE108:CE111" si="9">+CE92+CE76+CE60+CE44</f>
        <v>20186</v>
      </c>
      <c r="CF108" s="48">
        <v>21787</v>
      </c>
      <c r="CG108" s="48">
        <v>20900</v>
      </c>
      <c r="CH108" s="48">
        <v>21777</v>
      </c>
      <c r="CI108" s="48">
        <v>9514</v>
      </c>
      <c r="CJ108" s="48">
        <v>24395</v>
      </c>
      <c r="CL108" s="134" t="s">
        <v>143</v>
      </c>
      <c r="CM108" s="131">
        <f t="shared" ref="CM108:CM119" si="10">+CM92+CM76+CM60+CM44</f>
        <v>21593</v>
      </c>
      <c r="CN108" s="48">
        <v>18689</v>
      </c>
      <c r="CO108" s="48">
        <v>27302</v>
      </c>
      <c r="CP108" s="48">
        <v>25568</v>
      </c>
      <c r="CQ108" s="48">
        <v>15767</v>
      </c>
      <c r="CR108" s="48">
        <v>29700</v>
      </c>
      <c r="CT108" s="134" t="s">
        <v>143</v>
      </c>
      <c r="CU108" s="131">
        <f t="shared" ref="CU108:CU119" si="11">+CU92+CU76+CU60+CU44</f>
        <v>28852</v>
      </c>
      <c r="CV108" s="48">
        <v>25677</v>
      </c>
      <c r="CW108" s="48">
        <v>0</v>
      </c>
      <c r="CX108" s="48"/>
      <c r="CY108" s="48"/>
      <c r="CZ108" s="48"/>
      <c r="DB108" s="134" t="s">
        <v>143</v>
      </c>
      <c r="DC108" s="131">
        <f t="shared" ref="DC108" si="12">+DC92+DC76+DC60+DC44</f>
        <v>28506</v>
      </c>
      <c r="DD108" s="48">
        <v>27166</v>
      </c>
      <c r="DE108" s="48">
        <v>0</v>
      </c>
      <c r="DF108" s="48"/>
      <c r="DG108" s="48"/>
      <c r="DH108" s="48"/>
      <c r="DI108" s="48"/>
      <c r="DJ108" s="134" t="s">
        <v>143</v>
      </c>
      <c r="DK108" s="131">
        <f>+DK92+DK76+DK60+DK44</f>
        <v>12917</v>
      </c>
      <c r="DL108" s="48">
        <v>15290</v>
      </c>
      <c r="DM108" s="48">
        <v>0</v>
      </c>
      <c r="DN108" s="48"/>
      <c r="DO108" s="48"/>
      <c r="DP108" s="48"/>
      <c r="DR108" s="134" t="s">
        <v>143</v>
      </c>
      <c r="DS108" s="131">
        <f t="shared" ref="DS108" si="13">+DS92+DS76+DS60+DS44</f>
        <v>19144</v>
      </c>
      <c r="DT108" s="48">
        <v>18933</v>
      </c>
      <c r="DU108" s="48">
        <v>0</v>
      </c>
      <c r="DV108" s="48"/>
      <c r="DW108" s="48"/>
      <c r="DX108" s="48"/>
      <c r="DZ108" s="134" t="s">
        <v>143</v>
      </c>
      <c r="EA108" s="131">
        <f t="shared" ref="EA108:EA114" si="14">+EA92+EA76+EA60+EA44</f>
        <v>11403</v>
      </c>
      <c r="EB108" s="48"/>
      <c r="EC108" s="48">
        <v>0</v>
      </c>
      <c r="ED108" s="48"/>
      <c r="EE108" s="48"/>
      <c r="EF108" s="48"/>
    </row>
    <row r="109" spans="1:136" x14ac:dyDescent="0.2">
      <c r="A109" s="292"/>
      <c r="B109" s="134" t="s">
        <v>5</v>
      </c>
      <c r="C109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0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199036</v>
      </c>
      <c r="E10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218987</v>
      </c>
      <c r="F10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207803</v>
      </c>
      <c r="G10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114465</v>
      </c>
      <c r="H10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186503</v>
      </c>
      <c r="I109" s="48"/>
      <c r="J109" s="134" t="s">
        <v>5</v>
      </c>
      <c r="K109" s="131">
        <f t="shared" si="0"/>
        <v>0</v>
      </c>
      <c r="L109" s="48">
        <v>22623</v>
      </c>
      <c r="M109" s="48">
        <v>26956</v>
      </c>
      <c r="N109" s="48">
        <v>27993</v>
      </c>
      <c r="O109" s="48">
        <v>15787</v>
      </c>
      <c r="P109" s="48">
        <v>32172</v>
      </c>
      <c r="R109" s="134" t="s">
        <v>5</v>
      </c>
      <c r="S109" s="48">
        <f t="shared" si="1"/>
        <v>0</v>
      </c>
      <c r="T109" s="48">
        <v>12285</v>
      </c>
      <c r="U109" s="48">
        <v>13943</v>
      </c>
      <c r="V109" s="48">
        <v>15150</v>
      </c>
      <c r="W109" s="48">
        <v>9971</v>
      </c>
      <c r="X109" s="48">
        <v>16804</v>
      </c>
      <c r="Z109" s="134" t="s">
        <v>5</v>
      </c>
      <c r="AA109" s="131">
        <f t="shared" si="2"/>
        <v>0</v>
      </c>
      <c r="AB109" s="48">
        <v>17106</v>
      </c>
      <c r="AC109" s="48">
        <v>19487</v>
      </c>
      <c r="AD109" s="48">
        <v>18914</v>
      </c>
      <c r="AE109" s="48">
        <v>11007</v>
      </c>
      <c r="AF109" s="48">
        <v>20987</v>
      </c>
      <c r="AH109" s="134" t="s">
        <v>5</v>
      </c>
      <c r="AI109" s="131">
        <f t="shared" si="3"/>
        <v>0</v>
      </c>
      <c r="AJ109" s="48">
        <v>20720</v>
      </c>
      <c r="AK109" s="48">
        <v>21166</v>
      </c>
      <c r="AL109" s="48">
        <v>22311</v>
      </c>
      <c r="AM109" s="48">
        <v>13285</v>
      </c>
      <c r="AN109" s="48">
        <v>23078</v>
      </c>
      <c r="AP109" s="134" t="s">
        <v>5</v>
      </c>
      <c r="AQ109" s="131">
        <f t="shared" si="4"/>
        <v>0</v>
      </c>
      <c r="AR109" s="48">
        <v>26592</v>
      </c>
      <c r="AS109" s="48">
        <v>28421</v>
      </c>
      <c r="AT109" s="48">
        <v>28085</v>
      </c>
      <c r="AU109" s="48">
        <v>17039</v>
      </c>
      <c r="AV109" s="48">
        <v>0</v>
      </c>
      <c r="AX109" s="134" t="s">
        <v>5</v>
      </c>
      <c r="AY109" s="131">
        <f t="shared" si="5"/>
        <v>0</v>
      </c>
      <c r="AZ109" s="48">
        <v>12262</v>
      </c>
      <c r="BA109" s="48">
        <v>12858</v>
      </c>
      <c r="BB109" s="48">
        <v>12416</v>
      </c>
      <c r="BC109" s="48"/>
      <c r="BD109" s="48"/>
      <c r="BE109" s="48"/>
      <c r="BF109" s="134" t="s">
        <v>5</v>
      </c>
      <c r="BG109" s="131">
        <f t="shared" si="6"/>
        <v>0</v>
      </c>
      <c r="BH109" s="48">
        <v>13338</v>
      </c>
      <c r="BI109" s="48">
        <v>13427</v>
      </c>
      <c r="BJ109" s="48"/>
      <c r="BK109" s="48"/>
      <c r="BL109" s="48"/>
      <c r="BM109" s="48"/>
      <c r="BN109" s="134" t="s">
        <v>5</v>
      </c>
      <c r="BO109" s="131">
        <f t="shared" si="7"/>
        <v>0</v>
      </c>
      <c r="BP109" s="48">
        <v>19869</v>
      </c>
      <c r="BQ109" s="48">
        <v>20351</v>
      </c>
      <c r="BR109" s="48">
        <v>20289</v>
      </c>
      <c r="BS109" s="48">
        <v>12103</v>
      </c>
      <c r="BT109" s="48">
        <v>23008</v>
      </c>
      <c r="BV109" s="134" t="s">
        <v>5</v>
      </c>
      <c r="BW109" s="131">
        <f t="shared" si="8"/>
        <v>0</v>
      </c>
      <c r="BX109" s="48">
        <v>12955</v>
      </c>
      <c r="BY109" s="48">
        <v>14393</v>
      </c>
      <c r="BZ109" s="48">
        <v>14593</v>
      </c>
      <c r="CA109" s="48">
        <v>8968</v>
      </c>
      <c r="CB109" s="48">
        <v>15360</v>
      </c>
      <c r="CC109" s="48"/>
      <c r="CD109" s="134" t="s">
        <v>5</v>
      </c>
      <c r="CE109" s="131">
        <f t="shared" si="9"/>
        <v>0</v>
      </c>
      <c r="CF109" s="48">
        <v>21837</v>
      </c>
      <c r="CG109" s="48">
        <v>21443</v>
      </c>
      <c r="CH109" s="48">
        <v>22083</v>
      </c>
      <c r="CI109" s="48">
        <v>11731</v>
      </c>
      <c r="CJ109" s="48">
        <v>25852</v>
      </c>
      <c r="CL109" s="134" t="s">
        <v>5</v>
      </c>
      <c r="CM109" s="131">
        <f t="shared" si="10"/>
        <v>0</v>
      </c>
      <c r="CN109" s="48">
        <v>19449</v>
      </c>
      <c r="CO109" s="48">
        <v>26542</v>
      </c>
      <c r="CP109" s="48">
        <v>25969</v>
      </c>
      <c r="CQ109" s="48">
        <v>14574</v>
      </c>
      <c r="CR109" s="48">
        <v>29242</v>
      </c>
      <c r="CT109" s="134" t="s">
        <v>5</v>
      </c>
      <c r="CU109" s="131">
        <f t="shared" si="11"/>
        <v>0</v>
      </c>
      <c r="CV109" s="48">
        <v>25114</v>
      </c>
      <c r="CW109" s="48">
        <v>0</v>
      </c>
      <c r="CX109" s="48"/>
      <c r="CY109" s="48"/>
      <c r="CZ109" s="48"/>
      <c r="DB109" s="134" t="s">
        <v>5</v>
      </c>
      <c r="DC109" s="131">
        <f t="shared" ref="DC109" si="15">+DC93+DC77+DC61+DC45</f>
        <v>0</v>
      </c>
      <c r="DD109" s="48">
        <v>25494</v>
      </c>
      <c r="DE109" s="48">
        <v>0</v>
      </c>
      <c r="DF109" s="48"/>
      <c r="DG109" s="48"/>
      <c r="DH109" s="48"/>
      <c r="DI109" s="48"/>
      <c r="DJ109" s="134" t="s">
        <v>5</v>
      </c>
      <c r="DK109" s="131">
        <f>+DK93+DK77+DK61+DK45</f>
        <v>0</v>
      </c>
      <c r="DL109" s="48">
        <v>14856</v>
      </c>
      <c r="DM109" s="48">
        <v>0</v>
      </c>
      <c r="DN109" s="48"/>
      <c r="DO109" s="48"/>
      <c r="DP109" s="48"/>
      <c r="DR109" s="134" t="s">
        <v>5</v>
      </c>
      <c r="DS109" s="131">
        <f t="shared" ref="DS109" si="16">+DS93+DS77+DS61+DS45</f>
        <v>0</v>
      </c>
      <c r="DT109" s="48">
        <v>18455</v>
      </c>
      <c r="DU109" s="48">
        <v>0</v>
      </c>
      <c r="DV109" s="48"/>
      <c r="DW109" s="48"/>
      <c r="DX109" s="48"/>
      <c r="DZ109" s="134" t="s">
        <v>5</v>
      </c>
      <c r="EA109" s="131">
        <f t="shared" si="14"/>
        <v>0</v>
      </c>
      <c r="EB109" s="48"/>
      <c r="EC109" s="48">
        <v>0</v>
      </c>
      <c r="ED109" s="48"/>
      <c r="EE109" s="48"/>
      <c r="EF109" s="48"/>
    </row>
    <row r="110" spans="1:136" x14ac:dyDescent="0.2">
      <c r="A110" s="292"/>
      <c r="B110" s="134" t="s">
        <v>7</v>
      </c>
      <c r="C110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0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219125</v>
      </c>
      <c r="E110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221813</v>
      </c>
      <c r="F110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213879</v>
      </c>
      <c r="G110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123901</v>
      </c>
      <c r="H110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80459</v>
      </c>
      <c r="I110" s="48"/>
      <c r="J110" s="134" t="s">
        <v>7</v>
      </c>
      <c r="K110" s="131">
        <f t="shared" si="0"/>
        <v>0</v>
      </c>
      <c r="L110" s="48">
        <v>25316</v>
      </c>
      <c r="M110" s="48">
        <v>27113</v>
      </c>
      <c r="N110" s="48">
        <v>29047</v>
      </c>
      <c r="O110" s="48">
        <v>17793</v>
      </c>
      <c r="P110" s="48">
        <v>15043</v>
      </c>
      <c r="R110" s="134" t="s">
        <v>7</v>
      </c>
      <c r="S110" s="48">
        <f t="shared" si="1"/>
        <v>0</v>
      </c>
      <c r="T110" s="48">
        <v>13373</v>
      </c>
      <c r="U110" s="48">
        <v>14167</v>
      </c>
      <c r="V110" s="48">
        <v>15321</v>
      </c>
      <c r="W110" s="48">
        <v>10402</v>
      </c>
      <c r="X110" s="48">
        <v>8128</v>
      </c>
      <c r="Z110" s="134" t="s">
        <v>7</v>
      </c>
      <c r="AA110" s="131">
        <f t="shared" si="2"/>
        <v>0</v>
      </c>
      <c r="AB110" s="48">
        <v>19689</v>
      </c>
      <c r="AC110" s="48">
        <v>20551</v>
      </c>
      <c r="AD110" s="48">
        <v>21072</v>
      </c>
      <c r="AE110" s="48">
        <v>12013</v>
      </c>
      <c r="AF110" s="48">
        <v>10551</v>
      </c>
      <c r="AH110" s="134" t="s">
        <v>7</v>
      </c>
      <c r="AI110" s="131">
        <f t="shared" si="3"/>
        <v>0</v>
      </c>
      <c r="AJ110" s="48">
        <v>22444</v>
      </c>
      <c r="AK110" s="48">
        <v>22327</v>
      </c>
      <c r="AL110" s="48">
        <v>21789</v>
      </c>
      <c r="AM110" s="48">
        <v>14140</v>
      </c>
      <c r="AN110" s="48">
        <v>2945</v>
      </c>
      <c r="AP110" s="134" t="s">
        <v>7</v>
      </c>
      <c r="AQ110" s="131">
        <f t="shared" si="4"/>
        <v>0</v>
      </c>
      <c r="AR110" s="48">
        <v>28420</v>
      </c>
      <c r="AS110" s="48">
        <v>28097</v>
      </c>
      <c r="AT110" s="48">
        <v>27466</v>
      </c>
      <c r="AU110" s="48">
        <v>17580</v>
      </c>
      <c r="AV110" s="48">
        <v>0</v>
      </c>
      <c r="AX110" s="134" t="s">
        <v>7</v>
      </c>
      <c r="AY110" s="131">
        <f t="shared" si="5"/>
        <v>0</v>
      </c>
      <c r="AZ110" s="48">
        <v>13568</v>
      </c>
      <c r="BA110" s="48">
        <v>13571</v>
      </c>
      <c r="BB110" s="48">
        <v>12854</v>
      </c>
      <c r="BC110" s="48"/>
      <c r="BD110" s="48"/>
      <c r="BE110" s="48"/>
      <c r="BF110" s="134" t="s">
        <v>7</v>
      </c>
      <c r="BG110" s="131">
        <f t="shared" si="6"/>
        <v>0</v>
      </c>
      <c r="BH110" s="48">
        <v>14138</v>
      </c>
      <c r="BI110" s="48">
        <v>12402</v>
      </c>
      <c r="BJ110" s="48"/>
      <c r="BK110" s="48"/>
      <c r="BL110" s="48"/>
      <c r="BM110" s="48"/>
      <c r="BN110" s="134" t="s">
        <v>7</v>
      </c>
      <c r="BO110" s="131">
        <f t="shared" si="7"/>
        <v>0</v>
      </c>
      <c r="BP110" s="48">
        <v>21583</v>
      </c>
      <c r="BQ110" s="48">
        <v>21595</v>
      </c>
      <c r="BR110" s="48">
        <v>22373</v>
      </c>
      <c r="BS110" s="48">
        <v>12718</v>
      </c>
      <c r="BT110" s="48">
        <v>11946</v>
      </c>
      <c r="BV110" s="134" t="s">
        <v>7</v>
      </c>
      <c r="BW110" s="131">
        <f t="shared" si="8"/>
        <v>0</v>
      </c>
      <c r="BX110" s="48">
        <v>14884</v>
      </c>
      <c r="BY110" s="48">
        <v>14256</v>
      </c>
      <c r="BZ110" s="48">
        <v>14579</v>
      </c>
      <c r="CA110" s="48">
        <v>9531</v>
      </c>
      <c r="CB110" s="48">
        <v>6640</v>
      </c>
      <c r="CC110" s="48"/>
      <c r="CD110" s="134" t="s">
        <v>7</v>
      </c>
      <c r="CE110" s="131">
        <f t="shared" si="9"/>
        <v>0</v>
      </c>
      <c r="CF110" s="48">
        <v>23173</v>
      </c>
      <c r="CG110" s="48">
        <v>21192</v>
      </c>
      <c r="CH110" s="48">
        <v>23010</v>
      </c>
      <c r="CI110" s="48">
        <v>13188</v>
      </c>
      <c r="CJ110" s="48">
        <v>11386</v>
      </c>
      <c r="CL110" s="134" t="s">
        <v>7</v>
      </c>
      <c r="CM110" s="131">
        <f t="shared" si="10"/>
        <v>0</v>
      </c>
      <c r="CN110" s="48">
        <v>22537</v>
      </c>
      <c r="CO110" s="48">
        <v>26542</v>
      </c>
      <c r="CP110" s="48">
        <v>26368</v>
      </c>
      <c r="CQ110" s="48">
        <v>16536</v>
      </c>
      <c r="CR110" s="48">
        <v>13820</v>
      </c>
      <c r="CT110" s="134" t="s">
        <v>7</v>
      </c>
      <c r="CU110" s="131">
        <f t="shared" si="11"/>
        <v>0</v>
      </c>
      <c r="CV110" s="48">
        <v>27787</v>
      </c>
      <c r="CW110" s="48">
        <v>0</v>
      </c>
      <c r="CX110" s="48"/>
      <c r="CY110" s="48"/>
      <c r="CZ110" s="48"/>
      <c r="DB110" s="134" t="s">
        <v>7</v>
      </c>
      <c r="DC110" s="131">
        <f t="shared" ref="DC110" si="17">+DC94+DC78+DC62+DC46</f>
        <v>0</v>
      </c>
      <c r="DD110" s="48">
        <v>29390</v>
      </c>
      <c r="DE110" s="48">
        <v>0</v>
      </c>
      <c r="DF110" s="48"/>
      <c r="DG110" s="48"/>
      <c r="DH110" s="48"/>
      <c r="DI110" s="48"/>
      <c r="DJ110" s="134" t="s">
        <v>7</v>
      </c>
      <c r="DK110" s="131">
        <f t="shared" ref="DK110:DK111" si="18">+DK94+DK78+DK62+DK46</f>
        <v>0</v>
      </c>
      <c r="DL110" s="48">
        <v>14613</v>
      </c>
      <c r="DM110" s="48">
        <v>0</v>
      </c>
      <c r="DN110" s="48"/>
      <c r="DO110" s="48"/>
      <c r="DP110" s="48"/>
      <c r="DR110" s="134" t="s">
        <v>7</v>
      </c>
      <c r="DS110" s="131">
        <f t="shared" ref="DS110" si="19">+DS94+DS78+DS62+DS46</f>
        <v>0</v>
      </c>
      <c r="DT110" s="48">
        <v>19934</v>
      </c>
      <c r="DU110" s="48">
        <v>0</v>
      </c>
      <c r="DV110" s="48"/>
      <c r="DW110" s="48"/>
      <c r="DX110" s="48"/>
      <c r="DZ110" s="134" t="s">
        <v>7</v>
      </c>
      <c r="EA110" s="131">
        <f t="shared" si="14"/>
        <v>0</v>
      </c>
      <c r="EB110" s="48"/>
      <c r="EC110" s="48">
        <v>0</v>
      </c>
      <c r="ED110" s="48"/>
      <c r="EE110" s="48"/>
      <c r="EF110" s="48"/>
    </row>
    <row r="111" spans="1:136" x14ac:dyDescent="0.2">
      <c r="A111" s="292"/>
      <c r="B111" s="134" t="s">
        <v>9</v>
      </c>
      <c r="C111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1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226344</v>
      </c>
      <c r="E111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236735</v>
      </c>
      <c r="F111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217789</v>
      </c>
      <c r="G111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125315</v>
      </c>
      <c r="H111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1.0000300099999999</v>
      </c>
      <c r="I111" s="48"/>
      <c r="J111" s="134" t="s">
        <v>9</v>
      </c>
      <c r="K111" s="131">
        <f t="shared" si="0"/>
        <v>0</v>
      </c>
      <c r="L111" s="48">
        <v>25129</v>
      </c>
      <c r="M111" s="48">
        <v>28372</v>
      </c>
      <c r="N111" s="48">
        <v>28083</v>
      </c>
      <c r="O111" s="48">
        <v>18287</v>
      </c>
      <c r="P111" s="48">
        <v>3.0010000000000006E-5</v>
      </c>
      <c r="R111" s="134" t="s">
        <v>9</v>
      </c>
      <c r="S111" s="48">
        <f t="shared" si="1"/>
        <v>0</v>
      </c>
      <c r="T111" s="48">
        <v>13947</v>
      </c>
      <c r="U111" s="48">
        <v>14446</v>
      </c>
      <c r="V111" s="48">
        <v>15249</v>
      </c>
      <c r="W111" s="48">
        <v>10695</v>
      </c>
      <c r="X111" s="48">
        <v>0</v>
      </c>
      <c r="Z111" s="134" t="s">
        <v>9</v>
      </c>
      <c r="AA111" s="131">
        <f t="shared" si="2"/>
        <v>0</v>
      </c>
      <c r="AB111" s="48">
        <v>19476</v>
      </c>
      <c r="AC111" s="48">
        <v>19447</v>
      </c>
      <c r="AD111" s="48">
        <v>18994</v>
      </c>
      <c r="AE111" s="48">
        <v>12753</v>
      </c>
      <c r="AF111" s="48">
        <v>0</v>
      </c>
      <c r="AH111" s="134" t="s">
        <v>9</v>
      </c>
      <c r="AI111" s="131">
        <f t="shared" si="3"/>
        <v>0</v>
      </c>
      <c r="AJ111" s="48">
        <v>23556</v>
      </c>
      <c r="AK111" s="48">
        <v>23687</v>
      </c>
      <c r="AL111" s="48">
        <v>22184</v>
      </c>
      <c r="AM111" s="48">
        <v>15064</v>
      </c>
      <c r="AN111" s="48">
        <v>0</v>
      </c>
      <c r="AP111" s="134" t="s">
        <v>9</v>
      </c>
      <c r="AQ111" s="131">
        <f t="shared" si="4"/>
        <v>0</v>
      </c>
      <c r="AR111" s="48">
        <v>29734</v>
      </c>
      <c r="AS111" s="48">
        <v>30906</v>
      </c>
      <c r="AT111" s="48">
        <v>28616</v>
      </c>
      <c r="AU111" s="48">
        <v>16454</v>
      </c>
      <c r="AV111" s="48">
        <v>0</v>
      </c>
      <c r="AX111" s="134" t="s">
        <v>9</v>
      </c>
      <c r="AY111" s="131">
        <f t="shared" si="5"/>
        <v>0</v>
      </c>
      <c r="AZ111" s="48">
        <v>14029</v>
      </c>
      <c r="BA111" s="48">
        <v>14712</v>
      </c>
      <c r="BB111" s="48">
        <v>13686</v>
      </c>
      <c r="BC111" s="48"/>
      <c r="BD111" s="48"/>
      <c r="BE111" s="48"/>
      <c r="BF111" s="134" t="s">
        <v>9</v>
      </c>
      <c r="BG111" s="131">
        <f t="shared" si="6"/>
        <v>0</v>
      </c>
      <c r="BH111" s="48">
        <v>15455</v>
      </c>
      <c r="BI111" s="48">
        <v>15795</v>
      </c>
      <c r="BJ111" s="48"/>
      <c r="BK111" s="48"/>
      <c r="BL111" s="48"/>
      <c r="BM111" s="48"/>
      <c r="BN111" s="134" t="s">
        <v>9</v>
      </c>
      <c r="BO111" s="131">
        <f t="shared" si="7"/>
        <v>0</v>
      </c>
      <c r="BP111" s="48">
        <v>21361</v>
      </c>
      <c r="BQ111" s="48">
        <v>20737</v>
      </c>
      <c r="BR111" s="48">
        <v>22196</v>
      </c>
      <c r="BS111" s="48">
        <v>12930</v>
      </c>
      <c r="BT111" s="48">
        <v>0</v>
      </c>
      <c r="BV111" s="134" t="s">
        <v>9</v>
      </c>
      <c r="BW111" s="131">
        <f t="shared" si="8"/>
        <v>0</v>
      </c>
      <c r="BX111" s="48">
        <v>16139</v>
      </c>
      <c r="BY111" s="48">
        <v>15904</v>
      </c>
      <c r="BZ111" s="48">
        <v>16554</v>
      </c>
      <c r="CA111" s="48">
        <v>9568</v>
      </c>
      <c r="CB111" s="48">
        <v>0</v>
      </c>
      <c r="CC111" s="48"/>
      <c r="CD111" s="134" t="s">
        <v>9</v>
      </c>
      <c r="CE111" s="131">
        <f t="shared" si="9"/>
        <v>0</v>
      </c>
      <c r="CF111" s="48">
        <v>25267</v>
      </c>
      <c r="CG111" s="48">
        <v>23870</v>
      </c>
      <c r="CH111" s="48">
        <v>23844</v>
      </c>
      <c r="CI111" s="48">
        <v>13292</v>
      </c>
      <c r="CJ111" s="48">
        <v>1</v>
      </c>
      <c r="CL111" s="134" t="s">
        <v>9</v>
      </c>
      <c r="CM111" s="131">
        <f t="shared" si="10"/>
        <v>0</v>
      </c>
      <c r="CN111" s="48">
        <v>22251</v>
      </c>
      <c r="CO111" s="48">
        <v>28859</v>
      </c>
      <c r="CP111" s="48">
        <v>28383</v>
      </c>
      <c r="CQ111" s="48">
        <v>16272</v>
      </c>
      <c r="CR111" s="48">
        <v>0</v>
      </c>
      <c r="CT111" s="134" t="s">
        <v>9</v>
      </c>
      <c r="CU111" s="131">
        <f t="shared" si="11"/>
        <v>0</v>
      </c>
      <c r="CV111" s="48">
        <v>27425</v>
      </c>
      <c r="CW111" s="48">
        <v>0</v>
      </c>
      <c r="CX111" s="48"/>
      <c r="CY111" s="48"/>
      <c r="CZ111" s="48"/>
      <c r="DB111" s="134" t="s">
        <v>9</v>
      </c>
      <c r="DC111" s="131">
        <f t="shared" ref="DC111" si="20">+DC95+DC79+DC63+DC47</f>
        <v>0</v>
      </c>
      <c r="DD111" s="48">
        <v>28520</v>
      </c>
      <c r="DE111" s="48">
        <v>0</v>
      </c>
      <c r="DF111" s="48"/>
      <c r="DG111" s="48"/>
      <c r="DH111" s="48"/>
      <c r="DI111" s="48"/>
      <c r="DJ111" s="134" t="s">
        <v>9</v>
      </c>
      <c r="DK111" s="131">
        <f t="shared" si="18"/>
        <v>0</v>
      </c>
      <c r="DL111" s="48">
        <v>14968</v>
      </c>
      <c r="DM111" s="48">
        <v>0</v>
      </c>
      <c r="DN111" s="48"/>
      <c r="DO111" s="48"/>
      <c r="DP111" s="48"/>
      <c r="DR111" s="134" t="s">
        <v>9</v>
      </c>
      <c r="DS111" s="131">
        <f t="shared" ref="DS111" si="21">+DS95+DS79+DS63+DS47</f>
        <v>0</v>
      </c>
      <c r="DT111" s="48">
        <v>19873</v>
      </c>
      <c r="DU111" s="48">
        <v>0</v>
      </c>
      <c r="DV111" s="48"/>
      <c r="DW111" s="48"/>
      <c r="DX111" s="48"/>
      <c r="DZ111" s="134" t="s">
        <v>9</v>
      </c>
      <c r="EA111" s="131">
        <f t="shared" si="14"/>
        <v>0</v>
      </c>
      <c r="EB111" s="48"/>
      <c r="EC111" s="48">
        <v>0</v>
      </c>
      <c r="ED111" s="48"/>
      <c r="EE111" s="48"/>
      <c r="EF111" s="48"/>
    </row>
    <row r="112" spans="1:136" x14ac:dyDescent="0.2">
      <c r="A112" s="292"/>
      <c r="B112" s="134" t="s">
        <v>11</v>
      </c>
      <c r="C112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2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231473</v>
      </c>
      <c r="E112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247411</v>
      </c>
      <c r="F112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234478</v>
      </c>
      <c r="G112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168713</v>
      </c>
      <c r="H112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68765.000010100004</v>
      </c>
      <c r="I112" s="48"/>
      <c r="J112" s="134" t="s">
        <v>11</v>
      </c>
      <c r="K112" s="131">
        <f t="shared" si="0"/>
        <v>0</v>
      </c>
      <c r="L112" s="48">
        <v>26236</v>
      </c>
      <c r="M112" s="48">
        <v>28823</v>
      </c>
      <c r="N112" s="48">
        <v>29823</v>
      </c>
      <c r="O112" s="48">
        <v>23216</v>
      </c>
      <c r="P112" s="48">
        <v>12295.000010100001</v>
      </c>
      <c r="R112" s="134" t="s">
        <v>11</v>
      </c>
      <c r="S112" s="48">
        <f t="shared" si="1"/>
        <v>0</v>
      </c>
      <c r="T112" s="48">
        <v>14055</v>
      </c>
      <c r="U112" s="48">
        <v>14850</v>
      </c>
      <c r="V112" s="48">
        <v>15674</v>
      </c>
      <c r="W112" s="48">
        <v>13349</v>
      </c>
      <c r="X112" s="48">
        <v>3968</v>
      </c>
      <c r="Z112" s="134" t="s">
        <v>11</v>
      </c>
      <c r="AA112" s="131">
        <f t="shared" si="2"/>
        <v>0</v>
      </c>
      <c r="AB112" s="48">
        <v>15772</v>
      </c>
      <c r="AC112" s="48">
        <v>19122</v>
      </c>
      <c r="AD112" s="48">
        <v>21435</v>
      </c>
      <c r="AE112" s="48">
        <v>15778</v>
      </c>
      <c r="AF112" s="48">
        <v>6782</v>
      </c>
      <c r="AH112" s="134" t="s">
        <v>11</v>
      </c>
      <c r="AI112" s="131">
        <f t="shared" si="3"/>
        <v>0</v>
      </c>
      <c r="AJ112" s="48">
        <v>23109</v>
      </c>
      <c r="AK112" s="48">
        <v>24476</v>
      </c>
      <c r="AL112" s="48">
        <v>23861</v>
      </c>
      <c r="AM112" s="48">
        <v>19153</v>
      </c>
      <c r="AN112" s="48">
        <v>10900</v>
      </c>
      <c r="AP112" s="134" t="s">
        <v>11</v>
      </c>
      <c r="AQ112" s="131">
        <f t="shared" si="4"/>
        <v>0</v>
      </c>
      <c r="AR112" s="48">
        <v>29622</v>
      </c>
      <c r="AS112" s="48">
        <v>31298</v>
      </c>
      <c r="AT112" s="48">
        <v>30379</v>
      </c>
      <c r="AU112" s="48">
        <v>24016</v>
      </c>
      <c r="AV112" s="48">
        <v>0</v>
      </c>
      <c r="AX112" s="134" t="s">
        <v>11</v>
      </c>
      <c r="AY112" s="131">
        <f t="shared" si="5"/>
        <v>0</v>
      </c>
      <c r="AZ112" s="48">
        <v>14935</v>
      </c>
      <c r="BA112" s="48">
        <v>15198</v>
      </c>
      <c r="BB112" s="48">
        <v>14490</v>
      </c>
      <c r="BC112" s="48"/>
      <c r="BD112" s="48"/>
      <c r="BE112" s="48"/>
      <c r="BF112" s="134" t="s">
        <v>11</v>
      </c>
      <c r="BG112" s="131">
        <f t="shared" si="6"/>
        <v>0</v>
      </c>
      <c r="BH112" s="48">
        <v>16276</v>
      </c>
      <c r="BI112" s="48">
        <v>16354</v>
      </c>
      <c r="BJ112" s="48"/>
      <c r="BK112" s="48"/>
      <c r="BL112" s="48"/>
      <c r="BM112" s="48"/>
      <c r="BN112" s="134" t="s">
        <v>11</v>
      </c>
      <c r="BO112" s="131">
        <f t="shared" si="7"/>
        <v>0</v>
      </c>
      <c r="BP112" s="48">
        <v>22771</v>
      </c>
      <c r="BQ112" s="48">
        <v>22298</v>
      </c>
      <c r="BR112" s="48">
        <v>24342</v>
      </c>
      <c r="BS112" s="48">
        <v>17169</v>
      </c>
      <c r="BT112" s="48">
        <v>7073</v>
      </c>
      <c r="BV112" s="134" t="s">
        <v>11</v>
      </c>
      <c r="BW112" s="131">
        <f t="shared" si="8"/>
        <v>0</v>
      </c>
      <c r="BX112" s="48">
        <v>17238</v>
      </c>
      <c r="BY112" s="48">
        <v>17761</v>
      </c>
      <c r="BZ112" s="48">
        <v>17668</v>
      </c>
      <c r="CA112" s="48">
        <v>13934</v>
      </c>
      <c r="CB112" s="48">
        <v>4380</v>
      </c>
      <c r="CC112" s="48"/>
      <c r="CD112" s="134" t="s">
        <v>11</v>
      </c>
      <c r="CE112" s="131">
        <f t="shared" ref="CE112:CE119" si="22">+CE96+CE80+CE64+CE48</f>
        <v>0</v>
      </c>
      <c r="CF112" s="48">
        <v>28051</v>
      </c>
      <c r="CG112" s="48">
        <v>27436</v>
      </c>
      <c r="CH112" s="48">
        <v>27303</v>
      </c>
      <c r="CI112" s="48">
        <v>20302</v>
      </c>
      <c r="CJ112" s="48">
        <v>12152</v>
      </c>
      <c r="CL112" s="134" t="s">
        <v>11</v>
      </c>
      <c r="CM112" s="131">
        <f t="shared" si="10"/>
        <v>0</v>
      </c>
      <c r="CN112" s="48">
        <v>23408</v>
      </c>
      <c r="CO112" s="48">
        <v>29795</v>
      </c>
      <c r="CP112" s="48">
        <v>29503</v>
      </c>
      <c r="CQ112" s="48">
        <v>21796</v>
      </c>
      <c r="CR112" s="48">
        <v>11215</v>
      </c>
      <c r="CT112" s="134" t="s">
        <v>11</v>
      </c>
      <c r="CU112" s="131">
        <f t="shared" si="11"/>
        <v>0</v>
      </c>
      <c r="CV112" s="48">
        <v>28390</v>
      </c>
      <c r="CW112" s="48">
        <v>0</v>
      </c>
      <c r="CX112" s="48"/>
      <c r="CY112" s="48"/>
      <c r="CZ112" s="48"/>
      <c r="DB112" s="134" t="s">
        <v>11</v>
      </c>
      <c r="DC112" s="131">
        <f t="shared" ref="DC112" si="23">+DC96+DC80+DC64+DC48</f>
        <v>0</v>
      </c>
      <c r="DD112" s="48">
        <v>29448</v>
      </c>
      <c r="DE112" s="48">
        <v>0</v>
      </c>
      <c r="DF112" s="48"/>
      <c r="DG112" s="48"/>
      <c r="DH112" s="48"/>
      <c r="DI112" s="48"/>
      <c r="DJ112" s="134" t="s">
        <v>11</v>
      </c>
      <c r="DK112" s="131">
        <f t="shared" ref="DK112" si="24">+DK96+DK80+DK64+DK48</f>
        <v>0</v>
      </c>
      <c r="DL112" s="48">
        <v>15291</v>
      </c>
      <c r="DM112" s="48">
        <v>0</v>
      </c>
      <c r="DN112" s="48"/>
      <c r="DO112" s="48"/>
      <c r="DP112" s="48"/>
      <c r="DR112" s="134" t="s">
        <v>11</v>
      </c>
      <c r="DS112" s="131">
        <f t="shared" ref="DS112" si="25">+DS96+DS80+DS64+DS48</f>
        <v>0</v>
      </c>
      <c r="DT112" s="48">
        <v>20365</v>
      </c>
      <c r="DU112" s="48">
        <v>0</v>
      </c>
      <c r="DV112" s="48"/>
      <c r="DW112" s="48"/>
      <c r="DX112" s="48"/>
      <c r="DZ112" s="134" t="s">
        <v>11</v>
      </c>
      <c r="EA112" s="131">
        <f t="shared" si="14"/>
        <v>0</v>
      </c>
      <c r="EB112" s="48"/>
      <c r="EC112" s="48">
        <v>0</v>
      </c>
      <c r="ED112" s="48"/>
      <c r="EE112" s="48"/>
      <c r="EF112" s="48"/>
    </row>
    <row r="113" spans="1:136" x14ac:dyDescent="0.2">
      <c r="A113" s="292"/>
      <c r="B113" s="134" t="s">
        <v>0</v>
      </c>
      <c r="C113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3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226730</v>
      </c>
      <c r="E113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235653</v>
      </c>
      <c r="F113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229735</v>
      </c>
      <c r="G113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190818</v>
      </c>
      <c r="H113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153449</v>
      </c>
      <c r="I113" s="48"/>
      <c r="J113" s="134" t="s">
        <v>0</v>
      </c>
      <c r="K113" s="131">
        <f t="shared" si="0"/>
        <v>0</v>
      </c>
      <c r="L113" s="48">
        <v>24629</v>
      </c>
      <c r="M113" s="48">
        <v>28400</v>
      </c>
      <c r="N113" s="48">
        <v>28747</v>
      </c>
      <c r="O113" s="48">
        <v>28999</v>
      </c>
      <c r="P113" s="48">
        <v>24155</v>
      </c>
      <c r="R113" s="134" t="s">
        <v>0</v>
      </c>
      <c r="S113" s="48">
        <f t="shared" si="1"/>
        <v>0</v>
      </c>
      <c r="T113" s="48">
        <v>14115</v>
      </c>
      <c r="U113" s="48">
        <v>14671</v>
      </c>
      <c r="V113" s="48">
        <v>15278</v>
      </c>
      <c r="W113" s="48">
        <v>16770</v>
      </c>
      <c r="X113" s="48">
        <v>12741</v>
      </c>
      <c r="Z113" s="134" t="s">
        <v>0</v>
      </c>
      <c r="AA113" s="131">
        <f t="shared" si="2"/>
        <v>0</v>
      </c>
      <c r="AB113" s="48">
        <v>16980</v>
      </c>
      <c r="AC113" s="48">
        <v>18834</v>
      </c>
      <c r="AD113" s="48">
        <v>19228</v>
      </c>
      <c r="AE113" s="48">
        <v>17809</v>
      </c>
      <c r="AF113" s="48">
        <v>14207</v>
      </c>
      <c r="AH113" s="134" t="s">
        <v>0</v>
      </c>
      <c r="AI113" s="131">
        <f t="shared" si="3"/>
        <v>0</v>
      </c>
      <c r="AJ113" s="48">
        <v>23848</v>
      </c>
      <c r="AK113" s="48">
        <v>23722</v>
      </c>
      <c r="AL113" s="48">
        <v>23540</v>
      </c>
      <c r="AM113" s="48">
        <v>23751</v>
      </c>
      <c r="AN113" s="48">
        <v>21134</v>
      </c>
      <c r="AP113" s="134" t="s">
        <v>0</v>
      </c>
      <c r="AQ113" s="131">
        <f>+AQ97+AQ81+AQ65+AQ49</f>
        <v>0</v>
      </c>
      <c r="AR113" s="48">
        <v>28894</v>
      </c>
      <c r="AS113" s="48">
        <v>30039</v>
      </c>
      <c r="AT113" s="48">
        <v>31699</v>
      </c>
      <c r="AU113" s="48">
        <v>13155</v>
      </c>
      <c r="AV113" s="48">
        <v>0</v>
      </c>
      <c r="AX113" s="134" t="s">
        <v>0</v>
      </c>
      <c r="AY113" s="131">
        <f t="shared" si="5"/>
        <v>0</v>
      </c>
      <c r="AZ113" s="48">
        <v>14975</v>
      </c>
      <c r="BA113" s="48">
        <v>14728</v>
      </c>
      <c r="BB113" s="48">
        <v>14884</v>
      </c>
      <c r="BC113" s="48"/>
      <c r="BD113" s="48"/>
      <c r="BE113" s="48"/>
      <c r="BF113" s="134" t="s">
        <v>0</v>
      </c>
      <c r="BG113" s="131">
        <f t="shared" si="6"/>
        <v>0</v>
      </c>
      <c r="BH113" s="48">
        <v>15597</v>
      </c>
      <c r="BI113" s="48">
        <v>15565</v>
      </c>
      <c r="BJ113" s="48"/>
      <c r="BK113" s="48"/>
      <c r="BL113" s="48"/>
      <c r="BM113" s="48"/>
      <c r="BN113" s="134" t="s">
        <v>0</v>
      </c>
      <c r="BO113" s="131">
        <f t="shared" si="7"/>
        <v>0</v>
      </c>
      <c r="BP113" s="48">
        <v>21636</v>
      </c>
      <c r="BQ113" s="48">
        <v>20394</v>
      </c>
      <c r="BR113" s="48">
        <v>22615</v>
      </c>
      <c r="BS113" s="48">
        <v>21126</v>
      </c>
      <c r="BT113" s="48">
        <v>17165</v>
      </c>
      <c r="BV113" s="134" t="s">
        <v>0</v>
      </c>
      <c r="BW113" s="131">
        <f t="shared" si="8"/>
        <v>0</v>
      </c>
      <c r="BX113" s="48">
        <v>16189</v>
      </c>
      <c r="BY113" s="48">
        <v>15871</v>
      </c>
      <c r="BZ113" s="48">
        <v>17582</v>
      </c>
      <c r="CA113" s="48">
        <v>16491</v>
      </c>
      <c r="CB113" s="48">
        <v>14830</v>
      </c>
      <c r="CC113" s="48"/>
      <c r="CD113" s="134" t="s">
        <v>0</v>
      </c>
      <c r="CE113" s="131">
        <f t="shared" si="22"/>
        <v>0</v>
      </c>
      <c r="CF113" s="48">
        <v>27184</v>
      </c>
      <c r="CG113" s="48">
        <v>25658</v>
      </c>
      <c r="CH113" s="48">
        <v>26424</v>
      </c>
      <c r="CI113" s="48">
        <v>26198</v>
      </c>
      <c r="CJ113" s="48">
        <v>26161</v>
      </c>
      <c r="CL113" s="134" t="s">
        <v>0</v>
      </c>
      <c r="CM113" s="131">
        <f t="shared" si="10"/>
        <v>0</v>
      </c>
      <c r="CN113" s="48">
        <v>22683</v>
      </c>
      <c r="CO113" s="48">
        <v>27771</v>
      </c>
      <c r="CP113" s="48">
        <v>29738</v>
      </c>
      <c r="CQ113" s="48">
        <v>26519</v>
      </c>
      <c r="CR113" s="48">
        <v>23056</v>
      </c>
      <c r="CT113" s="134" t="s">
        <v>0</v>
      </c>
      <c r="CU113" s="131">
        <f t="shared" si="11"/>
        <v>0</v>
      </c>
      <c r="CV113" s="48">
        <v>27447</v>
      </c>
      <c r="CW113" s="48">
        <v>0</v>
      </c>
      <c r="CX113" s="48"/>
      <c r="CY113" s="48"/>
      <c r="CZ113" s="48"/>
      <c r="DB113" s="134" t="s">
        <v>0</v>
      </c>
      <c r="DC113" s="131">
        <f t="shared" ref="DC113" si="26">+DC97+DC81+DC65+DC49</f>
        <v>0</v>
      </c>
      <c r="DD113" s="48">
        <v>29239</v>
      </c>
      <c r="DE113" s="48">
        <v>0</v>
      </c>
      <c r="DF113" s="48"/>
      <c r="DG113" s="48"/>
      <c r="DH113" s="48"/>
      <c r="DI113" s="48"/>
      <c r="DJ113" s="134" t="s">
        <v>0</v>
      </c>
      <c r="DK113" s="131">
        <f t="shared" ref="DK113" si="27">+DK97+DK81+DK65+DK49</f>
        <v>0</v>
      </c>
      <c r="DL113" s="48">
        <v>15319</v>
      </c>
      <c r="DM113" s="48">
        <v>0</v>
      </c>
      <c r="DN113" s="48"/>
      <c r="DO113" s="48"/>
      <c r="DP113" s="48"/>
      <c r="DR113" s="134" t="s">
        <v>0</v>
      </c>
      <c r="DS113" s="131">
        <f t="shared" ref="DS113" si="28">+DS97+DS81+DS65+DS49</f>
        <v>0</v>
      </c>
      <c r="DT113" s="48">
        <v>20074</v>
      </c>
      <c r="DU113" s="48">
        <v>0</v>
      </c>
      <c r="DV113" s="48"/>
      <c r="DW113" s="48"/>
      <c r="DX113" s="48"/>
      <c r="DZ113" s="134" t="s">
        <v>0</v>
      </c>
      <c r="EA113" s="131">
        <f t="shared" si="14"/>
        <v>0</v>
      </c>
      <c r="EB113" s="48"/>
      <c r="EC113" s="48">
        <v>0</v>
      </c>
      <c r="ED113" s="48"/>
      <c r="EE113" s="48"/>
      <c r="EF113" s="48"/>
    </row>
    <row r="114" spans="1:136" x14ac:dyDescent="0.2">
      <c r="A114" s="292"/>
      <c r="B114" s="134" t="s">
        <v>1</v>
      </c>
      <c r="C114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4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241589</v>
      </c>
      <c r="E114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264524</v>
      </c>
      <c r="F114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250870</v>
      </c>
      <c r="G114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226926</v>
      </c>
      <c r="H114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192558</v>
      </c>
      <c r="I114" s="48"/>
      <c r="J114" s="134" t="s">
        <v>1</v>
      </c>
      <c r="K114" s="131">
        <f t="shared" si="0"/>
        <v>0</v>
      </c>
      <c r="L114" s="48">
        <v>25863</v>
      </c>
      <c r="M114" s="48">
        <v>29747</v>
      </c>
      <c r="N114" s="48">
        <v>29785</v>
      </c>
      <c r="O114" s="48">
        <v>33497</v>
      </c>
      <c r="P114" s="48">
        <v>27748</v>
      </c>
      <c r="R114" s="134" t="s">
        <v>1</v>
      </c>
      <c r="S114" s="48">
        <f t="shared" si="1"/>
        <v>0</v>
      </c>
      <c r="T114" s="48">
        <v>13999</v>
      </c>
      <c r="U114" s="48">
        <v>14430</v>
      </c>
      <c r="V114" s="48">
        <v>14594</v>
      </c>
      <c r="W114" s="48">
        <v>18257</v>
      </c>
      <c r="X114" s="48">
        <v>16136</v>
      </c>
      <c r="Z114" s="134" t="s">
        <v>1</v>
      </c>
      <c r="AA114" s="131">
        <f t="shared" si="2"/>
        <v>0</v>
      </c>
      <c r="AB114" s="48">
        <v>15112</v>
      </c>
      <c r="AC114" s="48">
        <v>16898</v>
      </c>
      <c r="AD114" s="48">
        <v>17755</v>
      </c>
      <c r="AE114" s="48">
        <v>18107</v>
      </c>
      <c r="AF114" s="48">
        <v>15585</v>
      </c>
      <c r="AH114" s="134" t="s">
        <v>1</v>
      </c>
      <c r="AI114" s="131">
        <f t="shared" si="3"/>
        <v>0</v>
      </c>
      <c r="AJ114" s="48">
        <v>23369</v>
      </c>
      <c r="AK114" s="48">
        <v>24858</v>
      </c>
      <c r="AL114" s="48">
        <v>24184</v>
      </c>
      <c r="AM114" s="48">
        <v>24333</v>
      </c>
      <c r="AN114" s="48">
        <v>23613</v>
      </c>
      <c r="AP114" s="134" t="s">
        <v>1</v>
      </c>
      <c r="AQ114" s="131">
        <f t="shared" si="4"/>
        <v>0</v>
      </c>
      <c r="AR114" s="48">
        <v>30302</v>
      </c>
      <c r="AS114" s="48">
        <v>33040</v>
      </c>
      <c r="AT114" s="48">
        <v>33321</v>
      </c>
      <c r="AU114" s="48">
        <v>20099</v>
      </c>
      <c r="AV114" s="48">
        <v>0</v>
      </c>
      <c r="AX114" s="134" t="s">
        <v>1</v>
      </c>
      <c r="AY114" s="131">
        <f t="shared" si="5"/>
        <v>0</v>
      </c>
      <c r="AZ114" s="48">
        <v>15034</v>
      </c>
      <c r="BA114" s="48">
        <v>16286</v>
      </c>
      <c r="BB114" s="48">
        <v>15828</v>
      </c>
      <c r="BC114" s="48">
        <v>3528</v>
      </c>
      <c r="BD114" s="48"/>
      <c r="BE114" s="48"/>
      <c r="BF114" s="134" t="s">
        <v>1</v>
      </c>
      <c r="BG114" s="131">
        <f t="shared" si="6"/>
        <v>0</v>
      </c>
      <c r="BH114" s="48">
        <v>18488</v>
      </c>
      <c r="BI114" s="48">
        <v>19979</v>
      </c>
      <c r="BJ114" s="48"/>
      <c r="BK114" s="48"/>
      <c r="BL114" s="48"/>
      <c r="BM114" s="48"/>
      <c r="BN114" s="134" t="s">
        <v>1</v>
      </c>
      <c r="BO114" s="131">
        <f t="shared" si="7"/>
        <v>0</v>
      </c>
      <c r="BP114" s="48">
        <v>20309</v>
      </c>
      <c r="BQ114" s="48">
        <v>21407</v>
      </c>
      <c r="BR114" s="48">
        <v>22358</v>
      </c>
      <c r="BS114" s="48">
        <v>22801</v>
      </c>
      <c r="BT114" s="48">
        <v>20412</v>
      </c>
      <c r="BV114" s="134" t="s">
        <v>1</v>
      </c>
      <c r="BW114" s="131">
        <f t="shared" ref="BW114:BW119" si="29">+BW98+BW82+BW66+BW50</f>
        <v>0</v>
      </c>
      <c r="BX114" s="48">
        <v>21733</v>
      </c>
      <c r="BY114" s="48">
        <v>22031</v>
      </c>
      <c r="BZ114" s="48">
        <v>24462</v>
      </c>
      <c r="CA114" s="48">
        <v>21874</v>
      </c>
      <c r="CB114" s="48">
        <v>21875</v>
      </c>
      <c r="CC114" s="48"/>
      <c r="CD114" s="134" t="s">
        <v>1</v>
      </c>
      <c r="CE114" s="131">
        <f t="shared" si="22"/>
        <v>0</v>
      </c>
      <c r="CF114" s="48">
        <v>32633</v>
      </c>
      <c r="CG114" s="48">
        <v>33703</v>
      </c>
      <c r="CH114" s="48">
        <v>35496</v>
      </c>
      <c r="CI114" s="48">
        <v>34094</v>
      </c>
      <c r="CJ114" s="48">
        <v>37295</v>
      </c>
      <c r="CL114" s="134" t="s">
        <v>1</v>
      </c>
      <c r="CM114" s="131">
        <f t="shared" si="10"/>
        <v>0</v>
      </c>
      <c r="CN114" s="48">
        <v>24747</v>
      </c>
      <c r="CO114" s="48">
        <v>32145</v>
      </c>
      <c r="CP114" s="48">
        <v>33087</v>
      </c>
      <c r="CQ114" s="48">
        <v>30336</v>
      </c>
      <c r="CR114" s="48">
        <v>29894</v>
      </c>
      <c r="CT114" s="134" t="s">
        <v>1</v>
      </c>
      <c r="CU114" s="131">
        <f t="shared" si="11"/>
        <v>0</v>
      </c>
      <c r="CV114" s="48">
        <v>27731</v>
      </c>
      <c r="CW114" s="48">
        <v>0</v>
      </c>
      <c r="CX114" s="48"/>
      <c r="CY114" s="48"/>
      <c r="CZ114" s="48"/>
      <c r="DB114" s="134" t="s">
        <v>1</v>
      </c>
      <c r="DC114" s="131">
        <f t="shared" ref="DC114" si="30">+DC98+DC82+DC66+DC50</f>
        <v>0</v>
      </c>
      <c r="DD114" s="48">
        <v>28924</v>
      </c>
      <c r="DE114" s="48">
        <v>0</v>
      </c>
      <c r="DF114" s="48"/>
      <c r="DG114" s="48"/>
      <c r="DH114" s="48"/>
      <c r="DI114" s="48"/>
      <c r="DJ114" s="134" t="s">
        <v>1</v>
      </c>
      <c r="DK114" s="131">
        <f t="shared" ref="DK114" si="31">+DK98+DK82+DK66+DK50</f>
        <v>0</v>
      </c>
      <c r="DL114" s="48">
        <v>15125</v>
      </c>
      <c r="DM114" s="48">
        <v>0</v>
      </c>
      <c r="DN114" s="48"/>
      <c r="DO114" s="48"/>
      <c r="DP114" s="48"/>
      <c r="DR114" s="134" t="s">
        <v>1</v>
      </c>
      <c r="DS114" s="131">
        <f t="shared" ref="DS114" si="32">+DS98+DS82+DS66+DS50</f>
        <v>0</v>
      </c>
      <c r="DT114" s="48">
        <v>18998</v>
      </c>
      <c r="DU114" s="48">
        <v>0</v>
      </c>
      <c r="DV114" s="48"/>
      <c r="DW114" s="48"/>
      <c r="DX114" s="48"/>
      <c r="DZ114" s="134" t="s">
        <v>1</v>
      </c>
      <c r="EA114" s="131">
        <f t="shared" si="14"/>
        <v>0</v>
      </c>
      <c r="EB114" s="48"/>
      <c r="EC114" s="48">
        <v>0</v>
      </c>
      <c r="ED114" s="48"/>
      <c r="EE114" s="48"/>
      <c r="EF114" s="48"/>
    </row>
    <row r="115" spans="1:136" x14ac:dyDescent="0.2">
      <c r="A115" s="292"/>
      <c r="B115" s="134" t="s">
        <v>3</v>
      </c>
      <c r="C115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5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254471</v>
      </c>
      <c r="E115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267364</v>
      </c>
      <c r="F115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248953</v>
      </c>
      <c r="G115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244932</v>
      </c>
      <c r="H115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208289</v>
      </c>
      <c r="I115" s="48"/>
      <c r="J115" s="134" t="s">
        <v>3</v>
      </c>
      <c r="K115" s="131">
        <f t="shared" si="0"/>
        <v>0</v>
      </c>
      <c r="L115" s="48">
        <v>25808</v>
      </c>
      <c r="M115" s="48">
        <v>28623</v>
      </c>
      <c r="N115" s="48">
        <v>27582</v>
      </c>
      <c r="O115" s="48">
        <v>28274</v>
      </c>
      <c r="P115" s="48">
        <v>29662</v>
      </c>
      <c r="R115" s="134" t="s">
        <v>3</v>
      </c>
      <c r="S115" s="48">
        <f t="shared" si="1"/>
        <v>0</v>
      </c>
      <c r="T115" s="48">
        <v>14073</v>
      </c>
      <c r="U115" s="48">
        <v>14540</v>
      </c>
      <c r="V115" s="48">
        <v>14422</v>
      </c>
      <c r="W115" s="48">
        <v>17297</v>
      </c>
      <c r="X115" s="48">
        <v>16964</v>
      </c>
      <c r="Z115" s="134" t="s">
        <v>3</v>
      </c>
      <c r="AA115" s="131">
        <f t="shared" si="2"/>
        <v>0</v>
      </c>
      <c r="AB115" s="48">
        <v>14976</v>
      </c>
      <c r="AC115" s="48">
        <v>16356</v>
      </c>
      <c r="AD115" s="48">
        <v>17127</v>
      </c>
      <c r="AE115" s="48">
        <v>16759</v>
      </c>
      <c r="AF115" s="48">
        <v>15876</v>
      </c>
      <c r="AH115" s="134" t="s">
        <v>3</v>
      </c>
      <c r="AI115" s="131">
        <f t="shared" si="3"/>
        <v>0</v>
      </c>
      <c r="AJ115" s="48">
        <v>23018</v>
      </c>
      <c r="AK115" s="48">
        <v>23882</v>
      </c>
      <c r="AL115" s="48">
        <v>23288</v>
      </c>
      <c r="AM115" s="48">
        <v>22959</v>
      </c>
      <c r="AN115" s="48">
        <v>24366</v>
      </c>
      <c r="AP115" s="134" t="s">
        <v>3</v>
      </c>
      <c r="AQ115" s="131">
        <f t="shared" si="4"/>
        <v>0</v>
      </c>
      <c r="AR115" s="48">
        <v>31245</v>
      </c>
      <c r="AS115" s="48">
        <v>32967</v>
      </c>
      <c r="AT115" s="48">
        <v>34021</v>
      </c>
      <c r="AU115" s="48">
        <v>29511</v>
      </c>
      <c r="AV115" s="48">
        <v>0</v>
      </c>
      <c r="AX115" s="134" t="s">
        <v>3</v>
      </c>
      <c r="AY115" s="131">
        <f t="shared" si="5"/>
        <v>0</v>
      </c>
      <c r="AZ115" s="48">
        <v>15620</v>
      </c>
      <c r="BA115" s="48">
        <v>15872</v>
      </c>
      <c r="BB115" s="48">
        <v>16035</v>
      </c>
      <c r="BC115" s="48">
        <v>16283</v>
      </c>
      <c r="BD115" s="48"/>
      <c r="BE115" s="48"/>
      <c r="BF115" s="134" t="s">
        <v>3</v>
      </c>
      <c r="BG115" s="131">
        <f t="shared" ref="BG115" si="33">+BG99+BG83+BG67+BG51</f>
        <v>0</v>
      </c>
      <c r="BH115" s="48">
        <v>20427</v>
      </c>
      <c r="BI115" s="48">
        <v>20449</v>
      </c>
      <c r="BJ115" s="48"/>
      <c r="BK115" s="48"/>
      <c r="BL115" s="48"/>
      <c r="BM115" s="48"/>
      <c r="BN115" s="134" t="s">
        <v>3</v>
      </c>
      <c r="BO115" s="131">
        <f>+BO99+BO83+BO67+BO51</f>
        <v>0</v>
      </c>
      <c r="BP115" s="48">
        <v>20432</v>
      </c>
      <c r="BQ115" s="48">
        <v>20303</v>
      </c>
      <c r="BR115" s="48">
        <v>20619</v>
      </c>
      <c r="BS115" s="48">
        <v>20854</v>
      </c>
      <c r="BT115" s="48">
        <v>22471</v>
      </c>
      <c r="BV115" s="134" t="s">
        <v>3</v>
      </c>
      <c r="BW115" s="131">
        <f t="shared" si="29"/>
        <v>0</v>
      </c>
      <c r="BX115" s="48">
        <v>23316</v>
      </c>
      <c r="BY115" s="48">
        <v>22779</v>
      </c>
      <c r="BZ115" s="48">
        <v>26091</v>
      </c>
      <c r="CA115" s="48">
        <v>23938</v>
      </c>
      <c r="CB115" s="48">
        <v>24698</v>
      </c>
      <c r="CC115" s="48"/>
      <c r="CD115" s="134" t="s">
        <v>3</v>
      </c>
      <c r="CE115" s="131">
        <f t="shared" si="22"/>
        <v>0</v>
      </c>
      <c r="CF115" s="48">
        <v>38999</v>
      </c>
      <c r="CG115" s="48">
        <v>37526</v>
      </c>
      <c r="CH115" s="48">
        <v>35077</v>
      </c>
      <c r="CI115" s="48">
        <v>37674</v>
      </c>
      <c r="CJ115" s="48">
        <v>40452</v>
      </c>
      <c r="CL115" s="134" t="s">
        <v>3</v>
      </c>
      <c r="CM115" s="131">
        <f t="shared" si="10"/>
        <v>0</v>
      </c>
      <c r="CN115" s="48">
        <v>26557</v>
      </c>
      <c r="CO115" s="48">
        <v>34067</v>
      </c>
      <c r="CP115" s="48">
        <v>34691</v>
      </c>
      <c r="CQ115" s="48">
        <v>31383</v>
      </c>
      <c r="CR115" s="48">
        <v>33800</v>
      </c>
      <c r="CT115" s="134" t="s">
        <v>3</v>
      </c>
      <c r="CU115" s="131">
        <f t="shared" si="11"/>
        <v>0</v>
      </c>
      <c r="CV115" s="48">
        <v>31669</v>
      </c>
      <c r="CW115" s="48">
        <v>0</v>
      </c>
      <c r="CX115" s="48"/>
      <c r="CY115" s="48"/>
      <c r="CZ115" s="48"/>
      <c r="DB115" s="134" t="s">
        <v>3</v>
      </c>
      <c r="DC115" s="131">
        <f t="shared" ref="DC115" si="34">+DC99+DC83+DC67+DC51</f>
        <v>0</v>
      </c>
      <c r="DD115" s="48">
        <v>30483</v>
      </c>
      <c r="DE115" s="48">
        <v>0</v>
      </c>
      <c r="DF115" s="48"/>
      <c r="DG115" s="48"/>
      <c r="DH115" s="48"/>
      <c r="DI115" s="48"/>
      <c r="DJ115" s="134" t="s">
        <v>3</v>
      </c>
      <c r="DK115" s="131">
        <f t="shared" ref="DK115" si="35">+DK99+DK83+DK67+DK51</f>
        <v>0</v>
      </c>
      <c r="DL115" s="48">
        <v>15815</v>
      </c>
      <c r="DM115" s="48">
        <v>0</v>
      </c>
      <c r="DN115" s="48"/>
      <c r="DO115" s="48"/>
      <c r="DP115" s="48"/>
      <c r="DR115" s="134" t="s">
        <v>3</v>
      </c>
      <c r="DS115" s="131">
        <f t="shared" ref="DS115" si="36">+DS99+DS83+DS67+DS51</f>
        <v>0</v>
      </c>
      <c r="DT115" s="48">
        <v>19471</v>
      </c>
      <c r="DU115" s="48">
        <v>0</v>
      </c>
      <c r="DV115" s="48"/>
      <c r="DW115" s="48"/>
      <c r="DX115" s="48"/>
      <c r="DZ115" s="134" t="s">
        <v>3</v>
      </c>
      <c r="EA115" s="131">
        <f t="shared" ref="EA115:EA119" si="37">+EA99+EA83+EA67+EA51</f>
        <v>0</v>
      </c>
      <c r="EB115" s="48">
        <v>18513</v>
      </c>
      <c r="EC115" s="48">
        <v>0</v>
      </c>
      <c r="ED115" s="48"/>
      <c r="EE115" s="48"/>
      <c r="EF115" s="48"/>
    </row>
    <row r="116" spans="1:136" x14ac:dyDescent="0.2">
      <c r="A116" s="292"/>
      <c r="B116" s="134" t="s">
        <v>71</v>
      </c>
      <c r="C116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6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201143</v>
      </c>
      <c r="E116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228885</v>
      </c>
      <c r="F116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209221</v>
      </c>
      <c r="G116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204695</v>
      </c>
      <c r="H116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181069</v>
      </c>
      <c r="I116" s="48"/>
      <c r="J116" s="134" t="s">
        <v>71</v>
      </c>
      <c r="K116" s="131">
        <f t="shared" si="0"/>
        <v>0</v>
      </c>
      <c r="L116" s="48">
        <v>22773</v>
      </c>
      <c r="M116" s="48">
        <v>26828</v>
      </c>
      <c r="N116" s="48">
        <v>26353</v>
      </c>
      <c r="O116" s="48">
        <v>26758</v>
      </c>
      <c r="P116" s="48">
        <v>28313</v>
      </c>
      <c r="R116" s="134" t="s">
        <v>71</v>
      </c>
      <c r="S116" s="48">
        <f t="shared" si="1"/>
        <v>0</v>
      </c>
      <c r="T116" s="48">
        <v>12640</v>
      </c>
      <c r="U116" s="48">
        <v>13385</v>
      </c>
      <c r="V116" s="48">
        <v>14049</v>
      </c>
      <c r="W116" s="48">
        <v>15632</v>
      </c>
      <c r="X116" s="48">
        <v>15510</v>
      </c>
      <c r="Z116" s="134" t="s">
        <v>71</v>
      </c>
      <c r="AA116" s="131">
        <f t="shared" si="2"/>
        <v>0</v>
      </c>
      <c r="AB116" s="48">
        <v>15649</v>
      </c>
      <c r="AC116" s="48">
        <v>19438</v>
      </c>
      <c r="AD116" s="48">
        <v>19781</v>
      </c>
      <c r="AE116" s="48">
        <v>18762</v>
      </c>
      <c r="AF116" s="48">
        <v>18968</v>
      </c>
      <c r="AH116" s="134" t="s">
        <v>71</v>
      </c>
      <c r="AI116" s="131">
        <f t="shared" si="3"/>
        <v>0</v>
      </c>
      <c r="AJ116" s="48">
        <v>20790</v>
      </c>
      <c r="AK116" s="48">
        <v>23057</v>
      </c>
      <c r="AL116" s="48">
        <v>21747</v>
      </c>
      <c r="AM116" s="48">
        <v>20236</v>
      </c>
      <c r="AN116" s="48">
        <v>24175</v>
      </c>
      <c r="AP116" s="134" t="s">
        <v>71</v>
      </c>
      <c r="AQ116" s="131">
        <f t="shared" si="4"/>
        <v>0</v>
      </c>
      <c r="AR116" s="48">
        <v>25546</v>
      </c>
      <c r="AS116" s="48">
        <v>30379</v>
      </c>
      <c r="AT116" s="48">
        <v>28496</v>
      </c>
      <c r="AU116" s="48">
        <v>24978</v>
      </c>
      <c r="AV116" s="48">
        <v>0</v>
      </c>
      <c r="AX116" s="134" t="s">
        <v>71</v>
      </c>
      <c r="AY116" s="131">
        <f t="shared" si="5"/>
        <v>0</v>
      </c>
      <c r="AZ116" s="48">
        <v>12256</v>
      </c>
      <c r="BA116" s="48">
        <v>13029</v>
      </c>
      <c r="BB116" s="48">
        <v>13486</v>
      </c>
      <c r="BC116" s="48">
        <v>12635</v>
      </c>
      <c r="BD116" s="48"/>
      <c r="BE116" s="48"/>
      <c r="BF116" s="134" t="s">
        <v>71</v>
      </c>
      <c r="BG116" s="131">
        <f t="shared" ref="BG116" si="38">+BG100+BG84+BG68+BG52</f>
        <v>0</v>
      </c>
      <c r="BH116" s="48">
        <v>12950</v>
      </c>
      <c r="BI116" s="48">
        <v>14474</v>
      </c>
      <c r="BJ116" s="48"/>
      <c r="BK116" s="48"/>
      <c r="BL116" s="48"/>
      <c r="BM116" s="48"/>
      <c r="BN116" s="134" t="s">
        <v>71</v>
      </c>
      <c r="BO116" s="131">
        <f>+BO100+BO84+BO68+BO52</f>
        <v>0</v>
      </c>
      <c r="BP116" s="48">
        <v>21032</v>
      </c>
      <c r="BQ116" s="48">
        <v>21628</v>
      </c>
      <c r="BR116" s="48">
        <v>22011</v>
      </c>
      <c r="BS116" s="48">
        <v>21798</v>
      </c>
      <c r="BT116" s="48">
        <v>25061</v>
      </c>
      <c r="BV116" s="134" t="s">
        <v>71</v>
      </c>
      <c r="BW116" s="131">
        <f t="shared" si="29"/>
        <v>0</v>
      </c>
      <c r="BX116" s="48">
        <v>14180</v>
      </c>
      <c r="BY116" s="48">
        <v>14976</v>
      </c>
      <c r="BZ116" s="48">
        <v>15686</v>
      </c>
      <c r="CA116" s="48">
        <v>14858</v>
      </c>
      <c r="CB116" s="48">
        <v>16074</v>
      </c>
      <c r="CC116" s="48"/>
      <c r="CD116" s="134" t="s">
        <v>71</v>
      </c>
      <c r="CE116" s="131">
        <f t="shared" si="22"/>
        <v>0</v>
      </c>
      <c r="CF116" s="48">
        <v>21940</v>
      </c>
      <c r="CG116" s="48">
        <v>24487</v>
      </c>
      <c r="CH116" s="48">
        <v>21242</v>
      </c>
      <c r="CI116" s="48">
        <v>23176</v>
      </c>
      <c r="CJ116" s="48">
        <v>25698</v>
      </c>
      <c r="CL116" s="134" t="s">
        <v>71</v>
      </c>
      <c r="CM116" s="131">
        <f t="shared" si="10"/>
        <v>0</v>
      </c>
      <c r="CN116" s="48">
        <v>21387</v>
      </c>
      <c r="CO116" s="48">
        <v>27204</v>
      </c>
      <c r="CP116" s="48">
        <v>26370</v>
      </c>
      <c r="CQ116" s="48">
        <v>25862</v>
      </c>
      <c r="CR116" s="48">
        <v>27270</v>
      </c>
      <c r="CT116" s="134" t="s">
        <v>71</v>
      </c>
      <c r="CU116" s="131">
        <f t="shared" si="11"/>
        <v>0</v>
      </c>
      <c r="CV116" s="48">
        <v>28678</v>
      </c>
      <c r="CW116" s="48">
        <v>0</v>
      </c>
      <c r="CX116" s="48"/>
      <c r="CY116" s="48"/>
      <c r="CZ116" s="48"/>
      <c r="DB116" s="134" t="s">
        <v>71</v>
      </c>
      <c r="DC116" s="131">
        <f t="shared" ref="DC116" si="39">+DC100+DC84+DC68+DC52</f>
        <v>0</v>
      </c>
      <c r="DD116" s="48">
        <v>26805</v>
      </c>
      <c r="DE116" s="48">
        <v>0</v>
      </c>
      <c r="DF116" s="48"/>
      <c r="DG116" s="48"/>
      <c r="DH116" s="48"/>
      <c r="DI116" s="48"/>
      <c r="DJ116" s="134" t="s">
        <v>71</v>
      </c>
      <c r="DK116" s="131">
        <f t="shared" ref="DK116" si="40">+DK100+DK84+DK68+DK52</f>
        <v>0</v>
      </c>
      <c r="DL116" s="48">
        <v>15929</v>
      </c>
      <c r="DM116" s="48">
        <v>0</v>
      </c>
      <c r="DN116" s="48"/>
      <c r="DO116" s="48"/>
      <c r="DP116" s="48"/>
      <c r="DR116" s="134" t="s">
        <v>71</v>
      </c>
      <c r="DS116" s="131">
        <f t="shared" ref="DS116" si="41">+DS100+DS84+DS68+DS52</f>
        <v>0</v>
      </c>
      <c r="DT116" s="48">
        <v>19097</v>
      </c>
      <c r="DU116" s="48">
        <v>0</v>
      </c>
      <c r="DV116" s="48"/>
      <c r="DW116" s="48"/>
      <c r="DX116" s="48"/>
      <c r="DZ116" s="134" t="s">
        <v>71</v>
      </c>
      <c r="EA116" s="273">
        <f t="shared" si="37"/>
        <v>0</v>
      </c>
      <c r="EB116" s="48">
        <v>11831</v>
      </c>
      <c r="EC116" s="48">
        <v>0</v>
      </c>
      <c r="ED116" s="48"/>
      <c r="EE116" s="48"/>
      <c r="EF116" s="48"/>
    </row>
    <row r="117" spans="1:136" x14ac:dyDescent="0.2">
      <c r="A117" s="292"/>
      <c r="B117" s="134" t="s">
        <v>12</v>
      </c>
      <c r="C117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7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215177</v>
      </c>
      <c r="E117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225418</v>
      </c>
      <c r="F117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225750</v>
      </c>
      <c r="G117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225802</v>
      </c>
      <c r="H117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181947</v>
      </c>
      <c r="I117" s="48"/>
      <c r="J117" s="134" t="s">
        <v>12</v>
      </c>
      <c r="K117" s="131">
        <f>+K101+K85+K69+K53</f>
        <v>0</v>
      </c>
      <c r="L117" s="48">
        <v>25723</v>
      </c>
      <c r="M117" s="48">
        <v>25932</v>
      </c>
      <c r="N117" s="48">
        <v>30094</v>
      </c>
      <c r="O117" s="48">
        <v>29888</v>
      </c>
      <c r="P117" s="48">
        <v>28743</v>
      </c>
      <c r="R117" s="134" t="s">
        <v>12</v>
      </c>
      <c r="S117" s="48">
        <f t="shared" si="1"/>
        <v>0</v>
      </c>
      <c r="T117" s="48">
        <v>13510</v>
      </c>
      <c r="U117" s="48">
        <v>13298</v>
      </c>
      <c r="V117" s="48">
        <v>15447</v>
      </c>
      <c r="W117" s="48">
        <v>17279</v>
      </c>
      <c r="X117" s="48">
        <v>16880</v>
      </c>
      <c r="Z117" s="134" t="s">
        <v>12</v>
      </c>
      <c r="AA117" s="131">
        <f t="shared" si="2"/>
        <v>0</v>
      </c>
      <c r="AB117" s="48">
        <v>16681</v>
      </c>
      <c r="AC117" s="48">
        <v>17917</v>
      </c>
      <c r="AD117" s="48">
        <v>22665</v>
      </c>
      <c r="AE117" s="48">
        <v>21164</v>
      </c>
      <c r="AF117" s="48">
        <v>18686</v>
      </c>
      <c r="AH117" s="134" t="s">
        <v>12</v>
      </c>
      <c r="AI117" s="131">
        <f t="shared" si="3"/>
        <v>0</v>
      </c>
      <c r="AJ117" s="48">
        <v>22249</v>
      </c>
      <c r="AK117" s="48">
        <v>23665</v>
      </c>
      <c r="AL117" s="48">
        <v>24413</v>
      </c>
      <c r="AM117" s="48">
        <v>22793</v>
      </c>
      <c r="AN117" s="48">
        <v>25567</v>
      </c>
      <c r="AP117" s="134" t="s">
        <v>12</v>
      </c>
      <c r="AQ117" s="131">
        <f t="shared" si="4"/>
        <v>0</v>
      </c>
      <c r="AR117" s="48">
        <v>28844</v>
      </c>
      <c r="AS117" s="48">
        <v>28969</v>
      </c>
      <c r="AT117" s="48">
        <v>31883</v>
      </c>
      <c r="AU117" s="48">
        <v>28302</v>
      </c>
      <c r="AV117" s="48">
        <v>0</v>
      </c>
      <c r="AX117" s="134" t="s">
        <v>12</v>
      </c>
      <c r="AY117" s="131">
        <f t="shared" si="5"/>
        <v>0</v>
      </c>
      <c r="AZ117" s="48">
        <v>12815</v>
      </c>
      <c r="BA117" s="48">
        <v>13331</v>
      </c>
      <c r="BB117" s="48">
        <v>14693</v>
      </c>
      <c r="BC117" s="48">
        <v>14338</v>
      </c>
      <c r="BD117" s="48"/>
      <c r="BE117" s="48"/>
      <c r="BF117" s="134" t="s">
        <v>12</v>
      </c>
      <c r="BG117" s="131">
        <f t="shared" ref="BG117" si="42">+BG101+BG85+BG69+BG53</f>
        <v>0</v>
      </c>
      <c r="BH117" s="48">
        <v>13909</v>
      </c>
      <c r="BI117" s="48">
        <v>14592</v>
      </c>
      <c r="BJ117" s="48"/>
      <c r="BK117" s="48"/>
      <c r="BL117" s="48"/>
      <c r="BM117" s="48"/>
      <c r="BN117" s="134" t="s">
        <v>12</v>
      </c>
      <c r="BO117" s="131">
        <f t="shared" si="7"/>
        <v>0</v>
      </c>
      <c r="BP117" s="48">
        <v>20708</v>
      </c>
      <c r="BQ117" s="48">
        <v>20732</v>
      </c>
      <c r="BR117" s="48">
        <v>23038</v>
      </c>
      <c r="BS117" s="48">
        <v>23368</v>
      </c>
      <c r="BT117" s="48">
        <v>23698</v>
      </c>
      <c r="BV117" s="134" t="s">
        <v>12</v>
      </c>
      <c r="BW117" s="131">
        <f t="shared" si="29"/>
        <v>0</v>
      </c>
      <c r="BX117" s="48">
        <v>15297</v>
      </c>
      <c r="BY117" s="48">
        <v>15087</v>
      </c>
      <c r="BZ117" s="48">
        <v>16576</v>
      </c>
      <c r="CA117" s="48">
        <v>16334</v>
      </c>
      <c r="CB117" s="48">
        <v>16366</v>
      </c>
      <c r="CC117" s="48"/>
      <c r="CD117" s="134" t="s">
        <v>12</v>
      </c>
      <c r="CE117" s="131">
        <f t="shared" si="22"/>
        <v>0</v>
      </c>
      <c r="CF117" s="48">
        <v>23156</v>
      </c>
      <c r="CG117" s="48">
        <v>24269</v>
      </c>
      <c r="CH117" s="48">
        <v>22364</v>
      </c>
      <c r="CI117" s="48">
        <v>24145</v>
      </c>
      <c r="CJ117" s="48">
        <v>24307</v>
      </c>
      <c r="CL117" s="134" t="s">
        <v>12</v>
      </c>
      <c r="CM117" s="131">
        <f t="shared" si="10"/>
        <v>0</v>
      </c>
      <c r="CN117" s="48">
        <v>22285</v>
      </c>
      <c r="CO117" s="48">
        <v>27626</v>
      </c>
      <c r="CP117" s="48">
        <v>24577</v>
      </c>
      <c r="CQ117" s="48">
        <v>28191</v>
      </c>
      <c r="CR117" s="48">
        <v>27700</v>
      </c>
      <c r="CT117" s="134" t="s">
        <v>12</v>
      </c>
      <c r="CU117" s="131">
        <f t="shared" si="11"/>
        <v>0</v>
      </c>
      <c r="CV117" s="48">
        <v>30025</v>
      </c>
      <c r="CW117" s="48">
        <v>0</v>
      </c>
      <c r="CX117" s="48"/>
      <c r="CY117" s="48"/>
      <c r="CZ117" s="48"/>
      <c r="DB117" s="134" t="s">
        <v>12</v>
      </c>
      <c r="DC117" s="131">
        <f t="shared" ref="DC117" si="43">+DC101+DC85+DC69+DC53</f>
        <v>0</v>
      </c>
      <c r="DD117" s="48">
        <v>28650</v>
      </c>
      <c r="DE117" s="48">
        <v>0</v>
      </c>
      <c r="DF117" s="48"/>
      <c r="DG117" s="48"/>
      <c r="DH117" s="48"/>
      <c r="DI117" s="48"/>
      <c r="DJ117" s="134" t="s">
        <v>12</v>
      </c>
      <c r="DK117" s="131">
        <f t="shared" ref="DK117" si="44">+DK101+DK85+DK69+DK53</f>
        <v>0</v>
      </c>
      <c r="DL117" s="48">
        <v>16201</v>
      </c>
      <c r="DM117" s="48">
        <v>0</v>
      </c>
      <c r="DN117" s="48"/>
      <c r="DO117" s="48"/>
      <c r="DP117" s="48"/>
      <c r="DR117" s="134" t="s">
        <v>12</v>
      </c>
      <c r="DS117" s="131">
        <f t="shared" ref="DS117" si="45">+DS101+DS85+DS69+DS53</f>
        <v>0</v>
      </c>
      <c r="DT117" s="48">
        <v>19957</v>
      </c>
      <c r="DU117" s="48">
        <v>0</v>
      </c>
      <c r="DV117" s="48"/>
      <c r="DW117" s="48"/>
      <c r="DX117" s="48"/>
      <c r="DZ117" s="134" t="s">
        <v>12</v>
      </c>
      <c r="EA117" s="131">
        <f t="shared" si="37"/>
        <v>0</v>
      </c>
      <c r="EB117" s="48">
        <v>12756</v>
      </c>
      <c r="EC117" s="48">
        <v>0</v>
      </c>
      <c r="ED117" s="48"/>
      <c r="EE117" s="48"/>
      <c r="EF117" s="48"/>
    </row>
    <row r="118" spans="1:136" x14ac:dyDescent="0.2">
      <c r="A118" s="292"/>
      <c r="B118" s="134" t="s">
        <v>13</v>
      </c>
      <c r="C118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211013</v>
      </c>
      <c r="E11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218715</v>
      </c>
      <c r="F11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213893</v>
      </c>
      <c r="G11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220911</v>
      </c>
      <c r="H11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99836</v>
      </c>
      <c r="I118" s="48"/>
      <c r="J118" s="134" t="s">
        <v>13</v>
      </c>
      <c r="K118" s="131">
        <f t="shared" si="0"/>
        <v>0</v>
      </c>
      <c r="L118" s="48">
        <v>26254</v>
      </c>
      <c r="M118" s="48">
        <v>25094</v>
      </c>
      <c r="N118" s="48">
        <v>28463</v>
      </c>
      <c r="O118" s="48">
        <v>29395</v>
      </c>
      <c r="P118" s="48">
        <v>17072</v>
      </c>
      <c r="R118" s="134" t="s">
        <v>13</v>
      </c>
      <c r="S118" s="48">
        <f t="shared" si="1"/>
        <v>0</v>
      </c>
      <c r="T118" s="48">
        <v>12898</v>
      </c>
      <c r="U118" s="48">
        <v>13166</v>
      </c>
      <c r="V118" s="48">
        <v>14533</v>
      </c>
      <c r="W118" s="48">
        <v>16530</v>
      </c>
      <c r="X118" s="48">
        <v>10422</v>
      </c>
      <c r="Z118" s="134" t="s">
        <v>13</v>
      </c>
      <c r="AA118" s="131">
        <f t="shared" si="2"/>
        <v>0</v>
      </c>
      <c r="AB118" s="48">
        <v>17695</v>
      </c>
      <c r="AC118" s="48">
        <v>19753</v>
      </c>
      <c r="AD118" s="48">
        <v>21700</v>
      </c>
      <c r="AE118" s="48">
        <v>20406</v>
      </c>
      <c r="AF118" s="48">
        <v>11434</v>
      </c>
      <c r="AH118" s="134" t="s">
        <v>13</v>
      </c>
      <c r="AI118" s="131">
        <f t="shared" si="3"/>
        <v>0</v>
      </c>
      <c r="AJ118" s="48">
        <v>21775</v>
      </c>
      <c r="AK118" s="48">
        <v>22079</v>
      </c>
      <c r="AL118" s="48">
        <v>22578</v>
      </c>
      <c r="AM118" s="48">
        <v>23034</v>
      </c>
      <c r="AN118" s="48">
        <v>14266</v>
      </c>
      <c r="AP118" s="134" t="s">
        <v>13</v>
      </c>
      <c r="AQ118" s="131">
        <f t="shared" si="4"/>
        <v>0</v>
      </c>
      <c r="AR118" s="48">
        <v>28534</v>
      </c>
      <c r="AS118" s="48">
        <v>27737</v>
      </c>
      <c r="AT118" s="48">
        <v>29494</v>
      </c>
      <c r="AU118" s="48">
        <v>28773</v>
      </c>
      <c r="AV118" s="48">
        <v>0</v>
      </c>
      <c r="AX118" s="134" t="s">
        <v>13</v>
      </c>
      <c r="AY118" s="131">
        <f t="shared" si="5"/>
        <v>0</v>
      </c>
      <c r="AZ118" s="48">
        <v>12226</v>
      </c>
      <c r="BA118" s="48">
        <v>12679</v>
      </c>
      <c r="BB118" s="48">
        <v>13723</v>
      </c>
      <c r="BC118" s="48">
        <v>13798</v>
      </c>
      <c r="BD118" s="48"/>
      <c r="BE118" s="48"/>
      <c r="BF118" s="134" t="s">
        <v>13</v>
      </c>
      <c r="BG118" s="131">
        <f t="shared" ref="BG118" si="46">+BG102+BG86+BG70+BG54</f>
        <v>0</v>
      </c>
      <c r="BH118" s="48">
        <v>12938</v>
      </c>
      <c r="BI118" s="48">
        <v>13725</v>
      </c>
      <c r="BJ118" s="48"/>
      <c r="BK118" s="48"/>
      <c r="BL118" s="48"/>
      <c r="BM118" s="48"/>
      <c r="BN118" s="134" t="s">
        <v>13</v>
      </c>
      <c r="BO118" s="131">
        <f t="shared" si="7"/>
        <v>0</v>
      </c>
      <c r="BP118" s="48">
        <v>20796</v>
      </c>
      <c r="BQ118" s="48">
        <v>21288</v>
      </c>
      <c r="BR118" s="48">
        <v>20601</v>
      </c>
      <c r="BS118" s="48">
        <v>23895</v>
      </c>
      <c r="BT118" s="48">
        <v>11340</v>
      </c>
      <c r="BV118" s="134" t="s">
        <v>13</v>
      </c>
      <c r="BW118" s="131">
        <f t="shared" si="29"/>
        <v>0</v>
      </c>
      <c r="BX118" s="48">
        <v>13720</v>
      </c>
      <c r="BY118" s="48">
        <v>13545</v>
      </c>
      <c r="BZ118" s="48">
        <v>14672</v>
      </c>
      <c r="CA118" s="48">
        <v>15376</v>
      </c>
      <c r="CB118" s="48">
        <v>8315</v>
      </c>
      <c r="CC118" s="48"/>
      <c r="CD118" s="134" t="s">
        <v>13</v>
      </c>
      <c r="CE118" s="131">
        <f t="shared" si="22"/>
        <v>0</v>
      </c>
      <c r="CF118" s="48">
        <v>21996</v>
      </c>
      <c r="CG118" s="48">
        <v>22024</v>
      </c>
      <c r="CH118" s="48">
        <v>21386</v>
      </c>
      <c r="CI118" s="48">
        <v>21896</v>
      </c>
      <c r="CJ118" s="48">
        <v>11595</v>
      </c>
      <c r="CL118" s="134" t="s">
        <v>13</v>
      </c>
      <c r="CM118" s="131">
        <f t="shared" si="10"/>
        <v>0</v>
      </c>
      <c r="CN118" s="48">
        <v>22181</v>
      </c>
      <c r="CO118" s="48">
        <v>27625</v>
      </c>
      <c r="CP118" s="48">
        <v>26743</v>
      </c>
      <c r="CQ118" s="48">
        <v>27808</v>
      </c>
      <c r="CR118" s="48">
        <v>15392</v>
      </c>
      <c r="CT118" s="134" t="s">
        <v>13</v>
      </c>
      <c r="CU118" s="131">
        <f t="shared" si="11"/>
        <v>0</v>
      </c>
      <c r="CV118" s="48">
        <v>29882</v>
      </c>
      <c r="CW118" s="48">
        <v>0</v>
      </c>
      <c r="CX118" s="48"/>
      <c r="CY118" s="48"/>
      <c r="CZ118" s="48"/>
      <c r="DB118" s="134" t="s">
        <v>13</v>
      </c>
      <c r="DC118" s="131">
        <f t="shared" ref="DC118" si="47">+DC102+DC86+DC70+DC54</f>
        <v>0</v>
      </c>
      <c r="DD118" s="48">
        <v>28918</v>
      </c>
      <c r="DE118" s="48">
        <v>0</v>
      </c>
      <c r="DF118" s="48"/>
      <c r="DG118" s="48"/>
      <c r="DH118" s="48"/>
      <c r="DI118" s="48"/>
      <c r="DJ118" s="134" t="s">
        <v>13</v>
      </c>
      <c r="DK118" s="131">
        <f t="shared" ref="DK118" si="48">+DK102+DK86+DK70+DK54</f>
        <v>0</v>
      </c>
      <c r="DL118" s="48">
        <v>16390</v>
      </c>
      <c r="DM118" s="48">
        <v>0</v>
      </c>
      <c r="DN118" s="48"/>
      <c r="DO118" s="48"/>
      <c r="DP118" s="48"/>
      <c r="DR118" s="134" t="s">
        <v>13</v>
      </c>
      <c r="DS118" s="131">
        <f t="shared" ref="DS118" si="49">+DS102+DS86+DS70+DS54</f>
        <v>0</v>
      </c>
      <c r="DT118" s="48">
        <v>19688</v>
      </c>
      <c r="DU118" s="48">
        <v>0</v>
      </c>
      <c r="DV118" s="48"/>
      <c r="DW118" s="48"/>
      <c r="DX118" s="48"/>
      <c r="DZ118" s="134" t="s">
        <v>13</v>
      </c>
      <c r="EA118" s="131">
        <f t="shared" si="37"/>
        <v>0</v>
      </c>
      <c r="EB118" s="48">
        <v>12276</v>
      </c>
      <c r="EC118" s="48">
        <v>0</v>
      </c>
      <c r="ED118" s="48"/>
      <c r="EE118" s="48"/>
      <c r="EF118" s="48"/>
    </row>
    <row r="119" spans="1:136" x14ac:dyDescent="0.2">
      <c r="A119" s="292"/>
      <c r="B119" s="134" t="s">
        <v>15</v>
      </c>
      <c r="C119" s="131" t="str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>210759</v>
      </c>
      <c r="E11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>211474</v>
      </c>
      <c r="F11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>214408</v>
      </c>
      <c r="G11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>214745</v>
      </c>
      <c r="H11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>115892</v>
      </c>
      <c r="I119" s="48"/>
      <c r="J119" s="134" t="s">
        <v>15</v>
      </c>
      <c r="K119" s="131">
        <f t="shared" si="0"/>
        <v>0</v>
      </c>
      <c r="L119" s="48">
        <v>25848</v>
      </c>
      <c r="M119" s="48">
        <v>24580</v>
      </c>
      <c r="N119" s="48">
        <v>28876</v>
      </c>
      <c r="O119" s="48">
        <v>29643</v>
      </c>
      <c r="P119" s="48">
        <v>19095</v>
      </c>
      <c r="R119" s="134" t="s">
        <v>15</v>
      </c>
      <c r="S119" s="48">
        <f t="shared" si="1"/>
        <v>0</v>
      </c>
      <c r="T119" s="48">
        <v>13073</v>
      </c>
      <c r="U119" s="48">
        <v>12932</v>
      </c>
      <c r="V119" s="48">
        <v>14890</v>
      </c>
      <c r="W119" s="48">
        <v>16154</v>
      </c>
      <c r="X119" s="48">
        <v>12185</v>
      </c>
      <c r="Z119" s="134" t="s">
        <v>15</v>
      </c>
      <c r="AA119" s="131">
        <f t="shared" si="2"/>
        <v>0</v>
      </c>
      <c r="AB119" s="48">
        <v>16054</v>
      </c>
      <c r="AC119" s="48">
        <v>16146</v>
      </c>
      <c r="AD119" s="48">
        <v>18894</v>
      </c>
      <c r="AE119" s="48">
        <v>18182</v>
      </c>
      <c r="AF119" s="48">
        <v>12196</v>
      </c>
      <c r="AH119" s="134" t="s">
        <v>15</v>
      </c>
      <c r="AI119" s="131">
        <f t="shared" si="3"/>
        <v>0</v>
      </c>
      <c r="AJ119" s="48">
        <v>21097</v>
      </c>
      <c r="AK119" s="48">
        <v>21812</v>
      </c>
      <c r="AL119" s="48">
        <v>22316</v>
      </c>
      <c r="AM119" s="48">
        <v>22166</v>
      </c>
      <c r="AN119" s="48">
        <v>16146</v>
      </c>
      <c r="AP119" s="134" t="s">
        <v>15</v>
      </c>
      <c r="AQ119" s="131">
        <f t="shared" si="4"/>
        <v>0</v>
      </c>
      <c r="AR119" s="48">
        <v>30795</v>
      </c>
      <c r="AS119" s="48">
        <v>30244</v>
      </c>
      <c r="AT119" s="48">
        <v>32610</v>
      </c>
      <c r="AU119" s="48">
        <v>29635</v>
      </c>
      <c r="AV119" s="48">
        <v>0</v>
      </c>
      <c r="AX119" s="134" t="s">
        <v>15</v>
      </c>
      <c r="AY119" s="131">
        <f t="shared" si="5"/>
        <v>0</v>
      </c>
      <c r="AZ119" s="48">
        <v>12361</v>
      </c>
      <c r="BA119" s="48">
        <v>13070</v>
      </c>
      <c r="BB119" s="48">
        <v>13858</v>
      </c>
      <c r="BC119" s="48">
        <v>13221</v>
      </c>
      <c r="BD119" s="48"/>
      <c r="BE119" s="48"/>
      <c r="BF119" s="134" t="s">
        <v>15</v>
      </c>
      <c r="BG119" s="131">
        <f t="shared" ref="BG119" si="50">+BG103+BG87+BG71+BG55</f>
        <v>0</v>
      </c>
      <c r="BH119" s="48">
        <v>12886</v>
      </c>
      <c r="BI119" s="48">
        <v>13415</v>
      </c>
      <c r="BJ119" s="48"/>
      <c r="BK119" s="48"/>
      <c r="BL119" s="48"/>
      <c r="BM119" s="48"/>
      <c r="BN119" s="134" t="s">
        <v>15</v>
      </c>
      <c r="BO119" s="131">
        <f t="shared" si="7"/>
        <v>0</v>
      </c>
      <c r="BP119" s="48">
        <v>21449</v>
      </c>
      <c r="BQ119" s="48">
        <v>20636</v>
      </c>
      <c r="BR119" s="48">
        <v>20866</v>
      </c>
      <c r="BS119" s="48">
        <v>22155</v>
      </c>
      <c r="BT119" s="48">
        <v>13126</v>
      </c>
      <c r="BV119" s="134" t="s">
        <v>15</v>
      </c>
      <c r="BW119" s="131">
        <f t="shared" si="29"/>
        <v>0</v>
      </c>
      <c r="BX119" s="48">
        <v>13648</v>
      </c>
      <c r="BY119" s="48">
        <v>13183</v>
      </c>
      <c r="BZ119" s="48">
        <v>13816</v>
      </c>
      <c r="CA119" s="48">
        <v>14159</v>
      </c>
      <c r="CB119" s="48">
        <v>10233</v>
      </c>
      <c r="CC119" s="48"/>
      <c r="CD119" s="134" t="s">
        <v>15</v>
      </c>
      <c r="CE119" s="131">
        <f t="shared" si="22"/>
        <v>0</v>
      </c>
      <c r="CF119" s="48">
        <v>20581</v>
      </c>
      <c r="CG119" s="48">
        <v>21798</v>
      </c>
      <c r="CH119" s="48">
        <v>20364</v>
      </c>
      <c r="CI119" s="48">
        <v>21649</v>
      </c>
      <c r="CJ119" s="48">
        <v>14272</v>
      </c>
      <c r="CL119" s="134" t="s">
        <v>15</v>
      </c>
      <c r="CM119" s="131">
        <f t="shared" si="10"/>
        <v>0</v>
      </c>
      <c r="CN119" s="48">
        <v>22967</v>
      </c>
      <c r="CO119" s="48">
        <v>23658</v>
      </c>
      <c r="CP119" s="48">
        <v>27918</v>
      </c>
      <c r="CQ119" s="48">
        <v>27781</v>
      </c>
      <c r="CR119" s="48">
        <v>18639</v>
      </c>
      <c r="CT119" s="134" t="s">
        <v>15</v>
      </c>
      <c r="CU119" s="131">
        <f t="shared" si="11"/>
        <v>0</v>
      </c>
      <c r="CV119" s="48">
        <v>28304</v>
      </c>
      <c r="CW119" s="48">
        <v>0</v>
      </c>
      <c r="CX119" s="48"/>
      <c r="CY119" s="48"/>
      <c r="CZ119" s="48"/>
      <c r="DB119" s="134" t="s">
        <v>15</v>
      </c>
      <c r="DC119" s="131">
        <f t="shared" ref="DC119" si="51">+DC103+DC87+DC71+DC55</f>
        <v>0</v>
      </c>
      <c r="DD119" s="48">
        <v>30878</v>
      </c>
      <c r="DE119" s="48">
        <v>0</v>
      </c>
      <c r="DF119" s="48"/>
      <c r="DG119" s="48"/>
      <c r="DH119" s="48"/>
      <c r="DI119" s="48"/>
      <c r="DJ119" s="134" t="s">
        <v>15</v>
      </c>
      <c r="DK119" s="131">
        <f t="shared" ref="DK119" si="52">+DK103+DK87+DK71+DK55</f>
        <v>0</v>
      </c>
      <c r="DL119" s="48">
        <v>17643</v>
      </c>
      <c r="DM119" s="48">
        <v>0</v>
      </c>
      <c r="DN119" s="48"/>
      <c r="DO119" s="48"/>
      <c r="DP119" s="48"/>
      <c r="DR119" s="134" t="s">
        <v>15</v>
      </c>
      <c r="DS119" s="131">
        <f t="shared" ref="DS119" si="53">+DS103+DS87+DS71+DS55</f>
        <v>0</v>
      </c>
      <c r="DT119" s="48">
        <v>20001</v>
      </c>
      <c r="DU119" s="48">
        <v>0</v>
      </c>
      <c r="DV119" s="48"/>
      <c r="DW119" s="48"/>
      <c r="DX119" s="48"/>
      <c r="DZ119" s="134" t="s">
        <v>15</v>
      </c>
      <c r="EA119" s="131">
        <f t="shared" si="37"/>
        <v>0</v>
      </c>
      <c r="EB119" s="48">
        <v>11905</v>
      </c>
      <c r="EC119" s="48">
        <v>0</v>
      </c>
      <c r="ED119" s="48"/>
      <c r="EE119" s="48"/>
      <c r="EF119" s="48"/>
    </row>
    <row r="121" spans="1:136" ht="15.75" x14ac:dyDescent="0.2">
      <c r="B121" s="45" t="s">
        <v>131</v>
      </c>
      <c r="J121" s="45" t="s">
        <v>2999</v>
      </c>
      <c r="R121" s="45" t="s">
        <v>3001</v>
      </c>
      <c r="Z121" s="45" t="s">
        <v>210</v>
      </c>
      <c r="AH121" s="45" t="s">
        <v>3003</v>
      </c>
      <c r="AP121" s="45" t="s">
        <v>2156</v>
      </c>
      <c r="AX121" s="45" t="s">
        <v>3000</v>
      </c>
      <c r="BF121" s="45" t="s">
        <v>3002</v>
      </c>
      <c r="BN121" s="45" t="s">
        <v>297</v>
      </c>
      <c r="BV121" s="45" t="s">
        <v>296</v>
      </c>
      <c r="CD121" s="45" t="s">
        <v>292</v>
      </c>
      <c r="CL121" s="45" t="s">
        <v>294</v>
      </c>
      <c r="CT121" s="45" t="s">
        <v>6963</v>
      </c>
      <c r="DB121" s="45" t="s">
        <v>6964</v>
      </c>
      <c r="DJ121" s="45" t="s">
        <v>6966</v>
      </c>
      <c r="DR121" s="45" t="s">
        <v>6965</v>
      </c>
      <c r="DZ121" s="45" t="s">
        <v>7094</v>
      </c>
    </row>
    <row r="123" spans="1:136" s="188" customFormat="1" ht="18.600000000000001" customHeight="1" x14ac:dyDescent="0.2">
      <c r="A123" s="292" t="s">
        <v>183</v>
      </c>
      <c r="B123" s="186" t="s">
        <v>106</v>
      </c>
      <c r="C123" s="187" t="s">
        <v>6962</v>
      </c>
      <c r="D123" s="187" t="s">
        <v>2169</v>
      </c>
      <c r="E123" s="187" t="s">
        <v>1553</v>
      </c>
      <c r="F123" s="187" t="s">
        <v>1522</v>
      </c>
      <c r="G123" s="187" t="s">
        <v>1304</v>
      </c>
      <c r="H123" s="187" t="s">
        <v>209</v>
      </c>
      <c r="I123" s="187"/>
      <c r="J123" s="186" t="s">
        <v>106</v>
      </c>
      <c r="K123" s="186" t="s">
        <v>7114</v>
      </c>
      <c r="L123" s="186" t="s">
        <v>6962</v>
      </c>
      <c r="M123" s="186" t="s">
        <v>2169</v>
      </c>
      <c r="N123" s="186" t="s">
        <v>1553</v>
      </c>
      <c r="O123" s="186" t="s">
        <v>1522</v>
      </c>
      <c r="P123" s="186" t="s">
        <v>1304</v>
      </c>
      <c r="R123" s="186" t="s">
        <v>106</v>
      </c>
      <c r="S123" s="186" t="s">
        <v>7114</v>
      </c>
      <c r="T123" s="186" t="s">
        <v>6962</v>
      </c>
      <c r="U123" s="186" t="s">
        <v>2169</v>
      </c>
      <c r="V123" s="186" t="s">
        <v>1553</v>
      </c>
      <c r="W123" s="186" t="s">
        <v>1522</v>
      </c>
      <c r="X123" s="186" t="s">
        <v>1304</v>
      </c>
      <c r="Z123" s="186" t="s">
        <v>106</v>
      </c>
      <c r="AA123" s="186" t="s">
        <v>7114</v>
      </c>
      <c r="AB123" s="186" t="s">
        <v>6962</v>
      </c>
      <c r="AC123" s="186" t="s">
        <v>2169</v>
      </c>
      <c r="AD123" s="186" t="s">
        <v>1553</v>
      </c>
      <c r="AE123" s="186" t="s">
        <v>1522</v>
      </c>
      <c r="AF123" s="186" t="s">
        <v>1304</v>
      </c>
      <c r="AH123" s="186" t="s">
        <v>106</v>
      </c>
      <c r="AI123" s="186" t="s">
        <v>7114</v>
      </c>
      <c r="AJ123" s="186" t="s">
        <v>6962</v>
      </c>
      <c r="AK123" s="186" t="s">
        <v>2169</v>
      </c>
      <c r="AL123" s="186" t="s">
        <v>1553</v>
      </c>
      <c r="AM123" s="186" t="s">
        <v>1522</v>
      </c>
      <c r="AN123" s="186" t="s">
        <v>1304</v>
      </c>
      <c r="AP123" s="186" t="s">
        <v>106</v>
      </c>
      <c r="AQ123" s="186" t="s">
        <v>7114</v>
      </c>
      <c r="AR123" s="186" t="s">
        <v>6962</v>
      </c>
      <c r="AS123" s="186" t="s">
        <v>2169</v>
      </c>
      <c r="AT123" s="186" t="s">
        <v>1553</v>
      </c>
      <c r="AU123" s="186" t="s">
        <v>1522</v>
      </c>
      <c r="AV123" s="186" t="s">
        <v>1304</v>
      </c>
      <c r="AX123" s="186" t="s">
        <v>106</v>
      </c>
      <c r="AY123" s="186" t="s">
        <v>7114</v>
      </c>
      <c r="AZ123" s="186" t="s">
        <v>6962</v>
      </c>
      <c r="BA123" s="186" t="s">
        <v>2169</v>
      </c>
      <c r="BB123" s="186" t="s">
        <v>1553</v>
      </c>
      <c r="BC123" s="186" t="s">
        <v>1522</v>
      </c>
      <c r="BD123" s="186" t="s">
        <v>1304</v>
      </c>
      <c r="BE123" s="187"/>
      <c r="BF123" s="186" t="s">
        <v>106</v>
      </c>
      <c r="BG123" s="186" t="s">
        <v>7114</v>
      </c>
      <c r="BH123" s="186" t="s">
        <v>6962</v>
      </c>
      <c r="BI123" s="186" t="s">
        <v>2169</v>
      </c>
      <c r="BJ123" s="186" t="s">
        <v>1553</v>
      </c>
      <c r="BK123" s="186" t="s">
        <v>1522</v>
      </c>
      <c r="BL123" s="186" t="s">
        <v>1304</v>
      </c>
      <c r="BM123" s="186"/>
      <c r="BN123" s="186" t="s">
        <v>106</v>
      </c>
      <c r="BO123" s="187" t="s">
        <v>7114</v>
      </c>
      <c r="BP123" s="187" t="s">
        <v>6962</v>
      </c>
      <c r="BQ123" s="187" t="s">
        <v>2169</v>
      </c>
      <c r="BR123" s="187" t="s">
        <v>1553</v>
      </c>
      <c r="BS123" s="187" t="s">
        <v>1522</v>
      </c>
      <c r="BT123" s="187" t="s">
        <v>1304</v>
      </c>
      <c r="BV123" s="186" t="s">
        <v>106</v>
      </c>
      <c r="BW123" s="187" t="s">
        <v>7114</v>
      </c>
      <c r="BX123" s="187" t="s">
        <v>6962</v>
      </c>
      <c r="BY123" s="187" t="s">
        <v>2169</v>
      </c>
      <c r="BZ123" s="187" t="s">
        <v>1553</v>
      </c>
      <c r="CA123" s="187" t="s">
        <v>1522</v>
      </c>
      <c r="CB123" s="187" t="s">
        <v>1304</v>
      </c>
      <c r="CC123" s="187"/>
      <c r="CD123" s="186" t="s">
        <v>106</v>
      </c>
      <c r="CE123" s="187" t="s">
        <v>7114</v>
      </c>
      <c r="CF123" s="187" t="s">
        <v>6962</v>
      </c>
      <c r="CG123" s="187" t="s">
        <v>2169</v>
      </c>
      <c r="CH123" s="187" t="s">
        <v>1553</v>
      </c>
      <c r="CI123" s="187" t="s">
        <v>1522</v>
      </c>
      <c r="CJ123" s="187" t="s">
        <v>1304</v>
      </c>
      <c r="CL123" s="186" t="s">
        <v>106</v>
      </c>
      <c r="CM123" s="187" t="s">
        <v>7114</v>
      </c>
      <c r="CN123" s="187" t="s">
        <v>6962</v>
      </c>
      <c r="CO123" s="187" t="s">
        <v>2169</v>
      </c>
      <c r="CP123" s="187" t="s">
        <v>1553</v>
      </c>
      <c r="CQ123" s="187" t="s">
        <v>1522</v>
      </c>
      <c r="CR123" s="187" t="s">
        <v>1304</v>
      </c>
      <c r="CT123" s="186" t="s">
        <v>106</v>
      </c>
      <c r="CU123" s="187" t="s">
        <v>7114</v>
      </c>
      <c r="CV123" s="187" t="s">
        <v>6962</v>
      </c>
      <c r="CW123" s="187" t="s">
        <v>2169</v>
      </c>
      <c r="CX123" s="187" t="s">
        <v>1553</v>
      </c>
      <c r="CY123" s="187" t="s">
        <v>1522</v>
      </c>
      <c r="CZ123" s="187" t="s">
        <v>1304</v>
      </c>
      <c r="DB123" s="186" t="s">
        <v>106</v>
      </c>
      <c r="DC123" s="187" t="s">
        <v>7114</v>
      </c>
      <c r="DD123" s="187" t="s">
        <v>6962</v>
      </c>
      <c r="DE123" s="187" t="s">
        <v>2169</v>
      </c>
      <c r="DF123" s="187" t="s">
        <v>1553</v>
      </c>
      <c r="DG123" s="187" t="s">
        <v>1522</v>
      </c>
      <c r="DH123" s="187" t="s">
        <v>1304</v>
      </c>
      <c r="DI123" s="187"/>
      <c r="DJ123" s="186" t="s">
        <v>106</v>
      </c>
      <c r="DK123" s="187" t="s">
        <v>7114</v>
      </c>
      <c r="DL123" s="187" t="s">
        <v>6962</v>
      </c>
      <c r="DM123" s="187" t="s">
        <v>2169</v>
      </c>
      <c r="DN123" s="187" t="s">
        <v>1553</v>
      </c>
      <c r="DO123" s="187" t="s">
        <v>1522</v>
      </c>
      <c r="DP123" s="187" t="s">
        <v>1304</v>
      </c>
      <c r="DR123" s="186" t="s">
        <v>106</v>
      </c>
      <c r="DS123" s="187" t="s">
        <v>7114</v>
      </c>
      <c r="DT123" s="187" t="s">
        <v>6962</v>
      </c>
      <c r="DU123" s="187" t="s">
        <v>2169</v>
      </c>
      <c r="DV123" s="187" t="s">
        <v>1553</v>
      </c>
      <c r="DW123" s="187" t="s">
        <v>1522</v>
      </c>
      <c r="DX123" s="187" t="s">
        <v>1304</v>
      </c>
      <c r="DZ123" s="186" t="s">
        <v>106</v>
      </c>
      <c r="EA123" s="187" t="s">
        <v>7114</v>
      </c>
      <c r="EB123" s="187" t="s">
        <v>6962</v>
      </c>
      <c r="EC123" s="187" t="s">
        <v>2169</v>
      </c>
      <c r="ED123" s="187" t="s">
        <v>1553</v>
      </c>
      <c r="EE123" s="187" t="s">
        <v>1522</v>
      </c>
      <c r="EF123" s="187" t="s">
        <v>1304</v>
      </c>
    </row>
    <row r="124" spans="1:136" x14ac:dyDescent="0.2">
      <c r="A124" s="292"/>
      <c r="B124" s="134" t="s">
        <v>143</v>
      </c>
      <c r="C12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26840</v>
      </c>
      <c r="E12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29208</v>
      </c>
      <c r="F12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19172</v>
      </c>
      <c r="G12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384</v>
      </c>
      <c r="H12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35425</v>
      </c>
      <c r="I124" s="48"/>
      <c r="J124" s="134" t="s">
        <v>143</v>
      </c>
      <c r="K124" s="131">
        <f t="shared" ref="K124" si="54">+K44</f>
        <v>2414</v>
      </c>
      <c r="L124" s="48">
        <v>3045</v>
      </c>
      <c r="M124" s="48">
        <v>3175</v>
      </c>
      <c r="N124" s="48">
        <v>2116</v>
      </c>
      <c r="O124" s="48">
        <v>39</v>
      </c>
      <c r="P124" s="48">
        <v>4939</v>
      </c>
      <c r="R124" s="134" t="s">
        <v>143</v>
      </c>
      <c r="S124" s="131">
        <f t="shared" ref="S124" si="55">+S44</f>
        <v>999</v>
      </c>
      <c r="T124" s="48">
        <v>1028</v>
      </c>
      <c r="U124" s="48">
        <v>1304</v>
      </c>
      <c r="V124" s="48">
        <v>755</v>
      </c>
      <c r="W124" s="48">
        <v>20</v>
      </c>
      <c r="X124" s="48">
        <v>2582</v>
      </c>
      <c r="Z124" s="134" t="s">
        <v>143</v>
      </c>
      <c r="AA124" s="131">
        <f t="shared" ref="AA124" si="56">+AA44</f>
        <v>1913</v>
      </c>
      <c r="AB124" s="48">
        <v>1973</v>
      </c>
      <c r="AC124" s="48">
        <v>2718</v>
      </c>
      <c r="AD124" s="48">
        <v>1534</v>
      </c>
      <c r="AE124" s="48">
        <v>30</v>
      </c>
      <c r="AF124" s="48">
        <v>3470</v>
      </c>
      <c r="AH124" s="134" t="s">
        <v>143</v>
      </c>
      <c r="AI124" s="131">
        <f>+AI44</f>
        <v>0</v>
      </c>
      <c r="AJ124" s="48">
        <v>2269</v>
      </c>
      <c r="AK124" s="48">
        <v>2317</v>
      </c>
      <c r="AL124" s="48">
        <v>1544</v>
      </c>
      <c r="AM124" s="48">
        <v>92</v>
      </c>
      <c r="AN124" s="48">
        <v>3787</v>
      </c>
      <c r="AP124" s="134" t="s">
        <v>143</v>
      </c>
      <c r="AQ124" s="131">
        <f t="shared" ref="AQ124" si="57">+AQ44</f>
        <v>3643</v>
      </c>
      <c r="AR124" s="48">
        <v>4468</v>
      </c>
      <c r="AS124" s="48">
        <v>4511</v>
      </c>
      <c r="AT124" s="48">
        <v>2975</v>
      </c>
      <c r="AU124" s="48">
        <v>74</v>
      </c>
      <c r="AV124" s="48">
        <v>0</v>
      </c>
      <c r="AX124" s="134" t="s">
        <v>143</v>
      </c>
      <c r="AY124" s="131">
        <f>+AY44</f>
        <v>0</v>
      </c>
      <c r="AZ124" s="48">
        <v>1252</v>
      </c>
      <c r="BA124" s="48">
        <v>1336</v>
      </c>
      <c r="BB124" s="48">
        <v>997</v>
      </c>
      <c r="BC124" s="48"/>
      <c r="BD124" s="48"/>
      <c r="BE124" s="48"/>
      <c r="BF124" s="134" t="s">
        <v>143</v>
      </c>
      <c r="BG124" s="131">
        <f>+BG44</f>
        <v>1497</v>
      </c>
      <c r="BH124" s="48">
        <v>1750</v>
      </c>
      <c r="BI124" s="48">
        <v>1647</v>
      </c>
      <c r="BJ124" s="48"/>
      <c r="BK124" s="48"/>
      <c r="BL124" s="48"/>
      <c r="BM124" s="48"/>
      <c r="BN124" s="134" t="s">
        <v>143</v>
      </c>
      <c r="BO124" s="131">
        <f>+BO44</f>
        <v>3621</v>
      </c>
      <c r="BP124" s="48">
        <v>3584</v>
      </c>
      <c r="BQ124" s="48">
        <v>3874</v>
      </c>
      <c r="BR124" s="48">
        <v>3522</v>
      </c>
      <c r="BS124" s="48">
        <v>41</v>
      </c>
      <c r="BT124" s="48">
        <v>6811</v>
      </c>
      <c r="BV124" s="134" t="s">
        <v>143</v>
      </c>
      <c r="BW124" s="131">
        <f>+BW44</f>
        <v>1703</v>
      </c>
      <c r="BX124" s="48">
        <v>1611</v>
      </c>
      <c r="BY124" s="48">
        <v>1921</v>
      </c>
      <c r="BZ124" s="48">
        <v>1108</v>
      </c>
      <c r="CA124" s="48">
        <v>3</v>
      </c>
      <c r="CB124" s="48">
        <v>2805</v>
      </c>
      <c r="CC124" s="48"/>
      <c r="CD124" s="134" t="s">
        <v>143</v>
      </c>
      <c r="CE124" s="131">
        <f>+CE44</f>
        <v>3277</v>
      </c>
      <c r="CF124" s="48">
        <v>3635</v>
      </c>
      <c r="CG124" s="48">
        <v>3236</v>
      </c>
      <c r="CH124" s="48">
        <v>2824</v>
      </c>
      <c r="CI124" s="48">
        <v>1</v>
      </c>
      <c r="CJ124" s="48">
        <v>6019</v>
      </c>
      <c r="CL124" s="134" t="s">
        <v>143</v>
      </c>
      <c r="CM124" s="131">
        <f>+CM44</f>
        <v>2228</v>
      </c>
      <c r="CN124" s="48">
        <v>2225</v>
      </c>
      <c r="CO124" s="48">
        <v>3169</v>
      </c>
      <c r="CP124" s="48">
        <v>1797</v>
      </c>
      <c r="CQ124" s="48">
        <v>84</v>
      </c>
      <c r="CR124" s="48">
        <v>5012</v>
      </c>
      <c r="CT124" s="134" t="s">
        <v>143</v>
      </c>
      <c r="CU124" s="131">
        <f>+CU44</f>
        <v>3426</v>
      </c>
      <c r="CV124" s="48">
        <v>3956</v>
      </c>
      <c r="CW124" s="48">
        <v>0</v>
      </c>
      <c r="CX124" s="48"/>
      <c r="CY124" s="48"/>
      <c r="CZ124" s="48"/>
      <c r="DB124" s="134" t="s">
        <v>143</v>
      </c>
      <c r="DC124" s="131">
        <f>+DC44</f>
        <v>2119</v>
      </c>
      <c r="DD124" s="48">
        <v>2624</v>
      </c>
      <c r="DE124" s="48">
        <v>0</v>
      </c>
      <c r="DF124" s="48"/>
      <c r="DG124" s="48"/>
      <c r="DH124" s="48"/>
      <c r="DI124" s="48"/>
      <c r="DJ124" s="134" t="s">
        <v>143</v>
      </c>
      <c r="DK124" s="131">
        <f>+DK44</f>
        <v>2631</v>
      </c>
      <c r="DL124" s="48">
        <v>2747</v>
      </c>
      <c r="DM124" s="48">
        <v>0</v>
      </c>
      <c r="DN124" s="48"/>
      <c r="DO124" s="48"/>
      <c r="DP124" s="48"/>
      <c r="DR124" s="134" t="s">
        <v>143</v>
      </c>
      <c r="DS124" s="131">
        <f>+DS44</f>
        <v>1372</v>
      </c>
      <c r="DT124" s="48">
        <v>1384</v>
      </c>
      <c r="DU124" s="48">
        <v>0</v>
      </c>
      <c r="DV124" s="48"/>
      <c r="DW124" s="48"/>
      <c r="DX124" s="48"/>
      <c r="DZ124" s="134" t="s">
        <v>143</v>
      </c>
      <c r="EA124" s="131">
        <f>EA44</f>
        <v>1766</v>
      </c>
      <c r="EB124" s="48"/>
      <c r="EC124" s="48">
        <v>0</v>
      </c>
      <c r="ED124" s="48"/>
      <c r="EE124" s="48"/>
      <c r="EF124" s="48"/>
    </row>
    <row r="125" spans="1:136" x14ac:dyDescent="0.2">
      <c r="A125" s="292"/>
      <c r="B125" s="134" t="s">
        <v>5</v>
      </c>
      <c r="C12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54706</v>
      </c>
      <c r="E12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58380</v>
      </c>
      <c r="F12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40774</v>
      </c>
      <c r="G12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922</v>
      </c>
      <c r="H12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68618</v>
      </c>
      <c r="I125" s="48"/>
      <c r="J125" s="134" t="s">
        <v>5</v>
      </c>
      <c r="K125" s="131">
        <f>K44+K45</f>
        <v>2414</v>
      </c>
      <c r="L125" s="48">
        <v>5723</v>
      </c>
      <c r="M125" s="48">
        <v>6498</v>
      </c>
      <c r="N125" s="48">
        <v>4685</v>
      </c>
      <c r="O125" s="48">
        <v>118</v>
      </c>
      <c r="P125" s="48">
        <v>9573</v>
      </c>
      <c r="R125" s="134" t="s">
        <v>5</v>
      </c>
      <c r="S125" s="131">
        <f>S44+S45</f>
        <v>999</v>
      </c>
      <c r="T125" s="48">
        <v>2247</v>
      </c>
      <c r="U125" s="48">
        <v>2623</v>
      </c>
      <c r="V125" s="48">
        <v>1655</v>
      </c>
      <c r="W125" s="48">
        <v>66</v>
      </c>
      <c r="X125" s="48">
        <v>4626</v>
      </c>
      <c r="Z125" s="134" t="s">
        <v>5</v>
      </c>
      <c r="AA125" s="131">
        <f t="shared" ref="AA125:AA130" si="58">AA124+AA45</f>
        <v>1913</v>
      </c>
      <c r="AB125" s="48">
        <v>4103</v>
      </c>
      <c r="AC125" s="48">
        <v>5235</v>
      </c>
      <c r="AD125" s="48">
        <v>3237</v>
      </c>
      <c r="AE125" s="48">
        <v>69</v>
      </c>
      <c r="AF125" s="48">
        <v>7135</v>
      </c>
      <c r="AH125" s="134" t="s">
        <v>5</v>
      </c>
      <c r="AI125" s="131">
        <f>AI124+AI45</f>
        <v>0</v>
      </c>
      <c r="AJ125" s="48">
        <v>4868</v>
      </c>
      <c r="AK125" s="48">
        <v>4510</v>
      </c>
      <c r="AL125" s="48">
        <v>3535</v>
      </c>
      <c r="AM125" s="48">
        <v>195</v>
      </c>
      <c r="AN125" s="48">
        <v>7526</v>
      </c>
      <c r="AP125" s="134" t="s">
        <v>5</v>
      </c>
      <c r="AQ125" s="131">
        <f t="shared" ref="AQ125:AQ130" si="59">AQ124+AQ45</f>
        <v>3643</v>
      </c>
      <c r="AR125" s="48">
        <v>8823</v>
      </c>
      <c r="AS125" s="48">
        <v>8938</v>
      </c>
      <c r="AT125" s="48">
        <v>6871</v>
      </c>
      <c r="AU125" s="48">
        <v>148</v>
      </c>
      <c r="AV125" s="48">
        <v>0</v>
      </c>
      <c r="AX125" s="134" t="s">
        <v>5</v>
      </c>
      <c r="AY125" s="131">
        <f t="shared" ref="AY125:AY130" si="60">AY124+AY45</f>
        <v>0</v>
      </c>
      <c r="AZ125" s="48">
        <v>2659</v>
      </c>
      <c r="BA125" s="48">
        <v>2752</v>
      </c>
      <c r="BB125" s="48">
        <v>2229</v>
      </c>
      <c r="BC125" s="48"/>
      <c r="BD125" s="48"/>
      <c r="BE125" s="48"/>
      <c r="BF125" s="134" t="s">
        <v>5</v>
      </c>
      <c r="BG125" s="131">
        <f t="shared" ref="BG125:BG130" si="61">BG124+BG45</f>
        <v>1497</v>
      </c>
      <c r="BH125" s="48">
        <v>3510</v>
      </c>
      <c r="BI125" s="48">
        <v>3384</v>
      </c>
      <c r="BJ125" s="48"/>
      <c r="BK125" s="48"/>
      <c r="BL125" s="48"/>
      <c r="BM125" s="48"/>
      <c r="BN125" s="134" t="s">
        <v>5</v>
      </c>
      <c r="BO125" s="131">
        <f t="shared" ref="BO125:BO130" si="62">BO124+BO45</f>
        <v>3621</v>
      </c>
      <c r="BP125" s="48">
        <v>7089</v>
      </c>
      <c r="BQ125" s="48">
        <v>7249</v>
      </c>
      <c r="BR125" s="48">
        <v>6471</v>
      </c>
      <c r="BS125" s="48">
        <v>136</v>
      </c>
      <c r="BT125" s="48">
        <v>11828</v>
      </c>
      <c r="BV125" s="134" t="s">
        <v>5</v>
      </c>
      <c r="BW125" s="131">
        <f t="shared" ref="BW125:BW130" si="63">BW124+BW45</f>
        <v>1703</v>
      </c>
      <c r="BX125" s="48">
        <v>3383</v>
      </c>
      <c r="BY125" s="48">
        <v>4139</v>
      </c>
      <c r="BZ125" s="48">
        <v>2560</v>
      </c>
      <c r="CA125" s="48">
        <v>15</v>
      </c>
      <c r="CB125" s="48">
        <v>5638</v>
      </c>
      <c r="CC125" s="48"/>
      <c r="CD125" s="134" t="s">
        <v>5</v>
      </c>
      <c r="CE125" s="131">
        <f t="shared" ref="CE125:CE130" si="64">CE124+CE45</f>
        <v>3277</v>
      </c>
      <c r="CF125" s="48">
        <v>7471</v>
      </c>
      <c r="CG125" s="48">
        <v>6820</v>
      </c>
      <c r="CH125" s="48">
        <v>5737</v>
      </c>
      <c r="CI125" s="48">
        <v>22</v>
      </c>
      <c r="CJ125" s="48">
        <v>12485</v>
      </c>
      <c r="CL125" s="134" t="s">
        <v>5</v>
      </c>
      <c r="CM125" s="131">
        <f>CM124+CM45</f>
        <v>2228</v>
      </c>
      <c r="CN125" s="48">
        <v>4830</v>
      </c>
      <c r="CO125" s="48">
        <v>6232</v>
      </c>
      <c r="CP125" s="48">
        <v>3794</v>
      </c>
      <c r="CQ125" s="48">
        <v>153</v>
      </c>
      <c r="CR125" s="48">
        <v>9807</v>
      </c>
      <c r="CT125" s="134" t="s">
        <v>5</v>
      </c>
      <c r="CU125" s="131">
        <f t="shared" ref="CU125:CU130" si="65">CU124+CU45</f>
        <v>3426</v>
      </c>
      <c r="CV125" s="48">
        <v>7572</v>
      </c>
      <c r="CW125" s="48">
        <v>0</v>
      </c>
      <c r="CX125" s="48"/>
      <c r="CY125" s="48"/>
      <c r="CZ125" s="48"/>
      <c r="DB125" s="134" t="s">
        <v>5</v>
      </c>
      <c r="DC125" s="131">
        <f>DC124+DC45</f>
        <v>2119</v>
      </c>
      <c r="DD125" s="48">
        <v>6033</v>
      </c>
      <c r="DE125" s="48">
        <v>0</v>
      </c>
      <c r="DF125" s="48"/>
      <c r="DG125" s="48"/>
      <c r="DH125" s="48"/>
      <c r="DI125" s="48"/>
      <c r="DJ125" s="134" t="s">
        <v>5</v>
      </c>
      <c r="DK125" s="131">
        <f t="shared" ref="DK125:DK130" si="66">DK124+DK45</f>
        <v>2631</v>
      </c>
      <c r="DL125" s="48">
        <v>5814</v>
      </c>
      <c r="DM125" s="48">
        <v>0</v>
      </c>
      <c r="DN125" s="48"/>
      <c r="DO125" s="48"/>
      <c r="DP125" s="48"/>
      <c r="DR125" s="134" t="s">
        <v>5</v>
      </c>
      <c r="DS125" s="131">
        <f t="shared" ref="DS125:DS130" si="67">DS124+DS45</f>
        <v>1372</v>
      </c>
      <c r="DT125" s="48">
        <v>2715</v>
      </c>
      <c r="DU125" s="48">
        <v>0</v>
      </c>
      <c r="DV125" s="48"/>
      <c r="DW125" s="48"/>
      <c r="DX125" s="48"/>
      <c r="DZ125" s="134" t="s">
        <v>5</v>
      </c>
      <c r="EA125" s="131">
        <f t="shared" ref="EA125:EA130" si="68">EA124+EA45</f>
        <v>1766</v>
      </c>
      <c r="EB125" s="48"/>
      <c r="EC125" s="48">
        <v>0</v>
      </c>
      <c r="ED125" s="48"/>
      <c r="EE125" s="48"/>
      <c r="EF125" s="48"/>
    </row>
    <row r="126" spans="1:136" x14ac:dyDescent="0.2">
      <c r="A126" s="292"/>
      <c r="B126" s="134" t="s">
        <v>7</v>
      </c>
      <c r="C126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6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83635</v>
      </c>
      <c r="E126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85428</v>
      </c>
      <c r="F126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65459</v>
      </c>
      <c r="G126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1544</v>
      </c>
      <c r="H126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81430</v>
      </c>
      <c r="I126" s="48"/>
      <c r="J126" s="134" t="s">
        <v>7</v>
      </c>
      <c r="K126" s="131">
        <f t="shared" ref="K126:K131" si="69">K125+K46</f>
        <v>2414</v>
      </c>
      <c r="L126" s="48">
        <v>8107</v>
      </c>
      <c r="M126" s="48">
        <v>9387</v>
      </c>
      <c r="N126" s="48">
        <v>7502</v>
      </c>
      <c r="O126" s="48">
        <v>228</v>
      </c>
      <c r="P126" s="48">
        <v>11357</v>
      </c>
      <c r="R126" s="134" t="s">
        <v>7</v>
      </c>
      <c r="S126" s="131">
        <f t="shared" ref="S126:S131" si="70">S125+S46</f>
        <v>999</v>
      </c>
      <c r="T126" s="48">
        <v>3564</v>
      </c>
      <c r="U126" s="48">
        <v>3851</v>
      </c>
      <c r="V126" s="48">
        <v>2617</v>
      </c>
      <c r="W126" s="48">
        <v>100</v>
      </c>
      <c r="X126" s="48">
        <v>5501</v>
      </c>
      <c r="Z126" s="134" t="s">
        <v>7</v>
      </c>
      <c r="AA126" s="131">
        <f t="shared" si="58"/>
        <v>1913</v>
      </c>
      <c r="AB126" s="48">
        <v>6357</v>
      </c>
      <c r="AC126" s="48">
        <v>7706</v>
      </c>
      <c r="AD126" s="48">
        <v>5646</v>
      </c>
      <c r="AE126" s="48">
        <v>120</v>
      </c>
      <c r="AF126" s="48">
        <v>8792</v>
      </c>
      <c r="AH126" s="134" t="s">
        <v>7</v>
      </c>
      <c r="AI126" s="131">
        <f>AI125+AI46</f>
        <v>0</v>
      </c>
      <c r="AJ126" s="48">
        <v>7081</v>
      </c>
      <c r="AK126" s="48">
        <v>6601</v>
      </c>
      <c r="AL126" s="48">
        <v>5367</v>
      </c>
      <c r="AM126" s="48">
        <v>279</v>
      </c>
      <c r="AN126" s="48">
        <v>7638</v>
      </c>
      <c r="AP126" s="134" t="s">
        <v>7</v>
      </c>
      <c r="AQ126" s="131">
        <f t="shared" si="59"/>
        <v>3643</v>
      </c>
      <c r="AR126" s="48">
        <v>13651</v>
      </c>
      <c r="AS126" s="48">
        <v>12910</v>
      </c>
      <c r="AT126" s="48">
        <v>10764</v>
      </c>
      <c r="AU126" s="48">
        <v>253</v>
      </c>
      <c r="AV126" s="48">
        <v>0</v>
      </c>
      <c r="AX126" s="134" t="s">
        <v>7</v>
      </c>
      <c r="AY126" s="131">
        <f t="shared" si="60"/>
        <v>0</v>
      </c>
      <c r="AZ126" s="48">
        <v>4337</v>
      </c>
      <c r="BA126" s="48">
        <v>4007</v>
      </c>
      <c r="BB126" s="48">
        <v>3457</v>
      </c>
      <c r="BC126" s="48"/>
      <c r="BD126" s="48"/>
      <c r="BE126" s="48"/>
      <c r="BF126" s="134" t="s">
        <v>7</v>
      </c>
      <c r="BG126" s="131">
        <f t="shared" si="61"/>
        <v>1497</v>
      </c>
      <c r="BH126" s="48">
        <v>5284</v>
      </c>
      <c r="BI126" s="48">
        <v>4694</v>
      </c>
      <c r="BJ126" s="48"/>
      <c r="BK126" s="48"/>
      <c r="BL126" s="48"/>
      <c r="BM126" s="48"/>
      <c r="BN126" s="134" t="s">
        <v>7</v>
      </c>
      <c r="BO126" s="131">
        <f t="shared" si="62"/>
        <v>3621</v>
      </c>
      <c r="BP126" s="48">
        <v>10476</v>
      </c>
      <c r="BQ126" s="48">
        <v>10749</v>
      </c>
      <c r="BR126" s="48">
        <v>10707</v>
      </c>
      <c r="BS126" s="48">
        <v>228</v>
      </c>
      <c r="BT126" s="48">
        <v>14519</v>
      </c>
      <c r="BV126" s="134" t="s">
        <v>7</v>
      </c>
      <c r="BW126" s="131">
        <f t="shared" si="63"/>
        <v>1703</v>
      </c>
      <c r="BX126" s="48">
        <v>5427</v>
      </c>
      <c r="BY126" s="48">
        <v>6269</v>
      </c>
      <c r="BZ126" s="48">
        <v>4253</v>
      </c>
      <c r="CA126" s="48">
        <v>61</v>
      </c>
      <c r="CB126" s="48">
        <v>6679</v>
      </c>
      <c r="CC126" s="48"/>
      <c r="CD126" s="134" t="s">
        <v>7</v>
      </c>
      <c r="CE126" s="131">
        <f t="shared" si="64"/>
        <v>3277</v>
      </c>
      <c r="CF126" s="48">
        <v>11466</v>
      </c>
      <c r="CG126" s="48">
        <v>10281</v>
      </c>
      <c r="CH126" s="48">
        <v>9147</v>
      </c>
      <c r="CI126" s="48">
        <v>67</v>
      </c>
      <c r="CJ126" s="48">
        <v>15099</v>
      </c>
      <c r="CL126" s="134" t="s">
        <v>7</v>
      </c>
      <c r="CM126" s="131">
        <f>CM125+CM46</f>
        <v>2228</v>
      </c>
      <c r="CN126" s="48">
        <v>7885</v>
      </c>
      <c r="CO126" s="48">
        <v>8973</v>
      </c>
      <c r="CP126" s="48">
        <v>5999</v>
      </c>
      <c r="CQ126" s="48">
        <v>208</v>
      </c>
      <c r="CR126" s="48">
        <v>11845</v>
      </c>
      <c r="CT126" s="134" t="s">
        <v>7</v>
      </c>
      <c r="CU126" s="131">
        <f t="shared" si="65"/>
        <v>3426</v>
      </c>
      <c r="CV126" s="48">
        <v>11265</v>
      </c>
      <c r="CW126" s="48">
        <v>0</v>
      </c>
      <c r="CX126" s="48"/>
      <c r="CY126" s="48"/>
      <c r="CZ126" s="48"/>
      <c r="DB126" s="134" t="s">
        <v>7</v>
      </c>
      <c r="DC126" s="131">
        <f>DC125+DC46</f>
        <v>2119</v>
      </c>
      <c r="DD126" s="48">
        <v>9369</v>
      </c>
      <c r="DE126" s="48">
        <v>0</v>
      </c>
      <c r="DF126" s="48"/>
      <c r="DG126" s="48"/>
      <c r="DH126" s="48"/>
      <c r="DI126" s="48"/>
      <c r="DJ126" s="134" t="s">
        <v>7</v>
      </c>
      <c r="DK126" s="131">
        <f t="shared" si="66"/>
        <v>2631</v>
      </c>
      <c r="DL126" s="48">
        <v>8303</v>
      </c>
      <c r="DM126" s="48">
        <v>0</v>
      </c>
      <c r="DN126" s="48"/>
      <c r="DO126" s="48"/>
      <c r="DP126" s="48"/>
      <c r="DR126" s="134" t="s">
        <v>7</v>
      </c>
      <c r="DS126" s="131">
        <f t="shared" si="67"/>
        <v>1372</v>
      </c>
      <c r="DT126" s="48">
        <v>4031</v>
      </c>
      <c r="DU126" s="48">
        <v>0</v>
      </c>
      <c r="DV126" s="48"/>
      <c r="DW126" s="48"/>
      <c r="DX126" s="48"/>
      <c r="DZ126" s="134" t="s">
        <v>7</v>
      </c>
      <c r="EA126" s="131">
        <f t="shared" si="68"/>
        <v>1766</v>
      </c>
      <c r="EB126" s="48"/>
      <c r="EC126" s="48">
        <v>0</v>
      </c>
      <c r="ED126" s="48"/>
      <c r="EE126" s="48"/>
      <c r="EF126" s="48"/>
    </row>
    <row r="127" spans="1:136" x14ac:dyDescent="0.2">
      <c r="A127" s="292"/>
      <c r="B127" s="134" t="s">
        <v>9</v>
      </c>
      <c r="C127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7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114220</v>
      </c>
      <c r="E127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116062</v>
      </c>
      <c r="F127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92226</v>
      </c>
      <c r="G127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2005</v>
      </c>
      <c r="H127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81431.000000009997</v>
      </c>
      <c r="I127" s="48"/>
      <c r="J127" s="134" t="s">
        <v>9</v>
      </c>
      <c r="K127" s="131">
        <f t="shared" si="69"/>
        <v>2414</v>
      </c>
      <c r="L127" s="48">
        <v>10655</v>
      </c>
      <c r="M127" s="48">
        <v>12219</v>
      </c>
      <c r="N127" s="48">
        <v>10418</v>
      </c>
      <c r="O127" s="48">
        <v>302</v>
      </c>
      <c r="P127" s="48">
        <v>11357.000000010001</v>
      </c>
      <c r="R127" s="134" t="s">
        <v>9</v>
      </c>
      <c r="S127" s="131">
        <f t="shared" si="70"/>
        <v>999</v>
      </c>
      <c r="T127" s="48">
        <v>4985</v>
      </c>
      <c r="U127" s="48">
        <v>5239</v>
      </c>
      <c r="V127" s="48">
        <v>3746</v>
      </c>
      <c r="W127" s="48">
        <v>120</v>
      </c>
      <c r="X127" s="48">
        <v>5501</v>
      </c>
      <c r="Z127" s="134" t="s">
        <v>9</v>
      </c>
      <c r="AA127" s="131">
        <f t="shared" si="58"/>
        <v>1913</v>
      </c>
      <c r="AB127" s="48">
        <v>8918</v>
      </c>
      <c r="AC127" s="48">
        <v>10396</v>
      </c>
      <c r="AD127" s="48">
        <v>7439</v>
      </c>
      <c r="AE127" s="48">
        <v>191</v>
      </c>
      <c r="AF127" s="48">
        <v>8792</v>
      </c>
      <c r="AH127" s="134" t="s">
        <v>9</v>
      </c>
      <c r="AI127" s="131">
        <f t="shared" ref="AI127:AI135" si="71">AI126+AI47</f>
        <v>0</v>
      </c>
      <c r="AJ127" s="48">
        <v>10210</v>
      </c>
      <c r="AK127" s="48">
        <v>9229</v>
      </c>
      <c r="AL127" s="48">
        <v>7484</v>
      </c>
      <c r="AM127" s="48">
        <v>367</v>
      </c>
      <c r="AN127" s="48">
        <v>7638</v>
      </c>
      <c r="AP127" s="134" t="s">
        <v>9</v>
      </c>
      <c r="AQ127" s="131">
        <f t="shared" si="59"/>
        <v>3643</v>
      </c>
      <c r="AR127" s="48">
        <v>18418</v>
      </c>
      <c r="AS127" s="48">
        <v>17998</v>
      </c>
      <c r="AT127" s="48">
        <v>15065</v>
      </c>
      <c r="AU127" s="48">
        <v>298</v>
      </c>
      <c r="AV127" s="48">
        <v>0</v>
      </c>
      <c r="AX127" s="134" t="s">
        <v>9</v>
      </c>
      <c r="AY127" s="131">
        <f t="shared" si="60"/>
        <v>0</v>
      </c>
      <c r="AZ127" s="48">
        <v>5934</v>
      </c>
      <c r="BA127" s="48">
        <v>5656</v>
      </c>
      <c r="BB127" s="48">
        <v>4889</v>
      </c>
      <c r="BC127" s="48"/>
      <c r="BD127" s="48"/>
      <c r="BE127" s="48"/>
      <c r="BF127" s="134" t="s">
        <v>9</v>
      </c>
      <c r="BG127" s="131">
        <f t="shared" si="61"/>
        <v>1497</v>
      </c>
      <c r="BH127" s="48">
        <v>7099</v>
      </c>
      <c r="BI127" s="48">
        <v>6598</v>
      </c>
      <c r="BJ127" s="48"/>
      <c r="BK127" s="48"/>
      <c r="BL127" s="48"/>
      <c r="BM127" s="48"/>
      <c r="BN127" s="134" t="s">
        <v>9</v>
      </c>
      <c r="BO127" s="131">
        <f t="shared" si="62"/>
        <v>3621</v>
      </c>
      <c r="BP127" s="48">
        <v>13887</v>
      </c>
      <c r="BQ127" s="48">
        <v>14092</v>
      </c>
      <c r="BR127" s="48">
        <v>15205</v>
      </c>
      <c r="BS127" s="48">
        <v>270</v>
      </c>
      <c r="BT127" s="48">
        <v>14519</v>
      </c>
      <c r="BV127" s="134" t="s">
        <v>9</v>
      </c>
      <c r="BW127" s="131">
        <f t="shared" si="63"/>
        <v>1703</v>
      </c>
      <c r="BX127" s="48">
        <v>7645</v>
      </c>
      <c r="BY127" s="48">
        <v>8336</v>
      </c>
      <c r="BZ127" s="48">
        <v>6211</v>
      </c>
      <c r="CA127" s="48">
        <v>91</v>
      </c>
      <c r="CB127" s="48">
        <v>6679</v>
      </c>
      <c r="CC127" s="48"/>
      <c r="CD127" s="134" t="s">
        <v>9</v>
      </c>
      <c r="CE127" s="131">
        <f t="shared" si="64"/>
        <v>3277</v>
      </c>
      <c r="CF127" s="48">
        <v>15817</v>
      </c>
      <c r="CG127" s="48">
        <v>14009</v>
      </c>
      <c r="CH127" s="48">
        <v>12815</v>
      </c>
      <c r="CI127" s="48">
        <v>118</v>
      </c>
      <c r="CJ127" s="48">
        <v>15100</v>
      </c>
      <c r="CL127" s="134" t="s">
        <v>9</v>
      </c>
      <c r="CM127" s="131">
        <f>CM126+CM47</f>
        <v>2228</v>
      </c>
      <c r="CN127" s="48">
        <v>10652</v>
      </c>
      <c r="CO127" s="48">
        <v>12290</v>
      </c>
      <c r="CP127" s="48">
        <v>8954</v>
      </c>
      <c r="CQ127" s="48">
        <v>248</v>
      </c>
      <c r="CR127" s="48">
        <v>11845</v>
      </c>
      <c r="CT127" s="134" t="s">
        <v>9</v>
      </c>
      <c r="CU127" s="131">
        <f t="shared" si="65"/>
        <v>3426</v>
      </c>
      <c r="CV127" s="48">
        <v>15330</v>
      </c>
      <c r="CW127" s="48">
        <v>0</v>
      </c>
      <c r="CX127" s="48"/>
      <c r="CY127" s="48"/>
      <c r="CZ127" s="48"/>
      <c r="DB127" s="134" t="s">
        <v>9</v>
      </c>
      <c r="DC127" s="131">
        <f>DC126+DC47</f>
        <v>2119</v>
      </c>
      <c r="DD127" s="48">
        <v>12361</v>
      </c>
      <c r="DE127" s="48">
        <v>0</v>
      </c>
      <c r="DF127" s="48"/>
      <c r="DG127" s="48"/>
      <c r="DH127" s="48"/>
      <c r="DI127" s="48"/>
      <c r="DJ127" s="134" t="s">
        <v>9</v>
      </c>
      <c r="DK127" s="131">
        <f t="shared" si="66"/>
        <v>2631</v>
      </c>
      <c r="DL127" s="48">
        <v>11208</v>
      </c>
      <c r="DM127" s="48">
        <v>0</v>
      </c>
      <c r="DN127" s="48"/>
      <c r="DO127" s="48"/>
      <c r="DP127" s="48"/>
      <c r="DR127" s="134" t="s">
        <v>9</v>
      </c>
      <c r="DS127" s="131">
        <f t="shared" si="67"/>
        <v>1372</v>
      </c>
      <c r="DT127" s="48">
        <v>5739</v>
      </c>
      <c r="DU127" s="48">
        <v>0</v>
      </c>
      <c r="DV127" s="48"/>
      <c r="DW127" s="48"/>
      <c r="DX127" s="48"/>
      <c r="DZ127" s="134" t="s">
        <v>9</v>
      </c>
      <c r="EA127" s="131">
        <f t="shared" si="68"/>
        <v>1766</v>
      </c>
      <c r="EB127" s="48"/>
      <c r="EC127" s="48">
        <v>0</v>
      </c>
      <c r="ED127" s="48"/>
      <c r="EE127" s="48"/>
      <c r="EF127" s="48"/>
    </row>
    <row r="128" spans="1:136" x14ac:dyDescent="0.2">
      <c r="A128" s="292"/>
      <c r="B128" s="134" t="s">
        <v>11</v>
      </c>
      <c r="C128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8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144823</v>
      </c>
      <c r="E128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147174</v>
      </c>
      <c r="F128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123580</v>
      </c>
      <c r="G128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5622</v>
      </c>
      <c r="H128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81465.000000109998</v>
      </c>
      <c r="I128" s="48"/>
      <c r="J128" s="134" t="s">
        <v>11</v>
      </c>
      <c r="K128" s="131">
        <f t="shared" si="69"/>
        <v>2414</v>
      </c>
      <c r="L128" s="48">
        <v>13499</v>
      </c>
      <c r="M128" s="48">
        <v>15245</v>
      </c>
      <c r="N128" s="48">
        <v>13967</v>
      </c>
      <c r="O128" s="48">
        <v>884</v>
      </c>
      <c r="P128" s="48">
        <v>11357.000000110002</v>
      </c>
      <c r="R128" s="134" t="s">
        <v>11</v>
      </c>
      <c r="S128" s="131">
        <f t="shared" si="70"/>
        <v>999</v>
      </c>
      <c r="T128" s="48">
        <v>6540</v>
      </c>
      <c r="U128" s="48">
        <v>6801</v>
      </c>
      <c r="V128" s="48">
        <v>5142</v>
      </c>
      <c r="W128" s="48">
        <v>273</v>
      </c>
      <c r="X128" s="48">
        <v>5501</v>
      </c>
      <c r="Z128" s="134" t="s">
        <v>11</v>
      </c>
      <c r="AA128" s="131">
        <f t="shared" si="58"/>
        <v>1913</v>
      </c>
      <c r="AB128" s="48">
        <v>10855</v>
      </c>
      <c r="AC128" s="48">
        <v>12628</v>
      </c>
      <c r="AD128" s="48">
        <v>9890</v>
      </c>
      <c r="AE128" s="48">
        <v>500</v>
      </c>
      <c r="AF128" s="48">
        <v>8792</v>
      </c>
      <c r="AH128" s="134" t="s">
        <v>11</v>
      </c>
      <c r="AI128" s="131">
        <f t="shared" si="71"/>
        <v>0</v>
      </c>
      <c r="AJ128" s="48">
        <v>12816</v>
      </c>
      <c r="AK128" s="48">
        <v>11720</v>
      </c>
      <c r="AL128" s="48">
        <v>10066</v>
      </c>
      <c r="AM128" s="48">
        <v>715</v>
      </c>
      <c r="AN128" s="48">
        <v>7638</v>
      </c>
      <c r="AP128" s="134" t="s">
        <v>11</v>
      </c>
      <c r="AQ128" s="131">
        <f t="shared" si="59"/>
        <v>3643</v>
      </c>
      <c r="AR128" s="48">
        <v>22821</v>
      </c>
      <c r="AS128" s="48">
        <v>22675</v>
      </c>
      <c r="AT128" s="48">
        <v>19808</v>
      </c>
      <c r="AU128" s="48">
        <v>1008</v>
      </c>
      <c r="AV128" s="48">
        <v>0</v>
      </c>
      <c r="AX128" s="134" t="s">
        <v>11</v>
      </c>
      <c r="AY128" s="131">
        <f t="shared" si="60"/>
        <v>0</v>
      </c>
      <c r="AZ128" s="48">
        <v>7605</v>
      </c>
      <c r="BA128" s="48">
        <v>7257</v>
      </c>
      <c r="BB128" s="48">
        <v>6337</v>
      </c>
      <c r="BC128" s="48"/>
      <c r="BD128" s="48"/>
      <c r="BE128" s="48"/>
      <c r="BF128" s="134" t="s">
        <v>11</v>
      </c>
      <c r="BG128" s="131">
        <f t="shared" si="61"/>
        <v>1497</v>
      </c>
      <c r="BH128" s="48">
        <v>9227</v>
      </c>
      <c r="BI128" s="48">
        <v>8554</v>
      </c>
      <c r="BJ128" s="48"/>
      <c r="BK128" s="48"/>
      <c r="BL128" s="48"/>
      <c r="BM128" s="48"/>
      <c r="BN128" s="134" t="s">
        <v>11</v>
      </c>
      <c r="BO128" s="131">
        <f t="shared" si="62"/>
        <v>3621</v>
      </c>
      <c r="BP128" s="48">
        <v>17271</v>
      </c>
      <c r="BQ128" s="48">
        <v>17418</v>
      </c>
      <c r="BR128" s="48">
        <v>19831</v>
      </c>
      <c r="BS128" s="48">
        <v>515</v>
      </c>
      <c r="BT128" s="48">
        <v>14523</v>
      </c>
      <c r="BV128" s="134" t="s">
        <v>11</v>
      </c>
      <c r="BW128" s="131">
        <f t="shared" si="63"/>
        <v>1703</v>
      </c>
      <c r="BX128" s="48">
        <v>10052</v>
      </c>
      <c r="BY128" s="48">
        <v>10665</v>
      </c>
      <c r="BZ128" s="48">
        <v>8330</v>
      </c>
      <c r="CA128" s="48">
        <v>419</v>
      </c>
      <c r="CB128" s="48">
        <v>6683</v>
      </c>
      <c r="CC128" s="48"/>
      <c r="CD128" s="134" t="s">
        <v>11</v>
      </c>
      <c r="CE128" s="131">
        <f t="shared" si="64"/>
        <v>3277</v>
      </c>
      <c r="CF128" s="48">
        <v>20465</v>
      </c>
      <c r="CG128" s="48">
        <v>18426</v>
      </c>
      <c r="CH128" s="48">
        <v>17450</v>
      </c>
      <c r="CI128" s="48">
        <v>702</v>
      </c>
      <c r="CJ128" s="48">
        <v>15125</v>
      </c>
      <c r="CL128" s="134" t="s">
        <v>11</v>
      </c>
      <c r="CM128" s="131">
        <f>CM127+CM48</f>
        <v>2228</v>
      </c>
      <c r="CN128" s="48">
        <v>13672</v>
      </c>
      <c r="CO128" s="48">
        <v>15785</v>
      </c>
      <c r="CP128" s="48">
        <v>12759</v>
      </c>
      <c r="CQ128" s="48">
        <v>606</v>
      </c>
      <c r="CR128" s="48">
        <v>11846</v>
      </c>
      <c r="CT128" s="134" t="s">
        <v>11</v>
      </c>
      <c r="CU128" s="131">
        <f t="shared" si="65"/>
        <v>3426</v>
      </c>
      <c r="CV128" s="48">
        <v>19139</v>
      </c>
      <c r="CW128" s="48">
        <v>0</v>
      </c>
      <c r="CX128" s="48"/>
      <c r="CY128" s="48"/>
      <c r="CZ128" s="48"/>
      <c r="DB128" s="134" t="s">
        <v>11</v>
      </c>
      <c r="DC128" s="131">
        <f t="shared" ref="DC128:DC135" si="72">DC127+DC48</f>
        <v>2119</v>
      </c>
      <c r="DD128" s="48">
        <v>15228</v>
      </c>
      <c r="DE128" s="48">
        <v>0</v>
      </c>
      <c r="DF128" s="48"/>
      <c r="DG128" s="48"/>
      <c r="DH128" s="48"/>
      <c r="DI128" s="48"/>
      <c r="DJ128" s="134" t="s">
        <v>11</v>
      </c>
      <c r="DK128" s="131">
        <f t="shared" si="66"/>
        <v>2631</v>
      </c>
      <c r="DL128" s="48">
        <v>14075</v>
      </c>
      <c r="DM128" s="48">
        <v>0</v>
      </c>
      <c r="DN128" s="48"/>
      <c r="DO128" s="48"/>
      <c r="DP128" s="48"/>
      <c r="DR128" s="134" t="s">
        <v>11</v>
      </c>
      <c r="DS128" s="131">
        <f t="shared" si="67"/>
        <v>1372</v>
      </c>
      <c r="DT128" s="48">
        <v>7442</v>
      </c>
      <c r="DU128" s="48">
        <v>0</v>
      </c>
      <c r="DV128" s="48"/>
      <c r="DW128" s="48"/>
      <c r="DX128" s="48"/>
      <c r="DZ128" s="134" t="s">
        <v>11</v>
      </c>
      <c r="EA128" s="131">
        <f t="shared" si="68"/>
        <v>1766</v>
      </c>
      <c r="EB128" s="48"/>
      <c r="EC128" s="48">
        <v>0</v>
      </c>
      <c r="ED128" s="48"/>
      <c r="EE128" s="48"/>
      <c r="EF128" s="48"/>
    </row>
    <row r="129" spans="1:136" x14ac:dyDescent="0.2">
      <c r="A129" s="292"/>
      <c r="B129" s="134" t="s">
        <v>0</v>
      </c>
      <c r="C129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29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173835</v>
      </c>
      <c r="E129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176853</v>
      </c>
      <c r="F129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154235</v>
      </c>
      <c r="G129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23001</v>
      </c>
      <c r="H129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96849.000000109998</v>
      </c>
      <c r="I129" s="48"/>
      <c r="J129" s="134" t="s">
        <v>0</v>
      </c>
      <c r="K129" s="131">
        <f t="shared" si="69"/>
        <v>2414</v>
      </c>
      <c r="L129" s="48">
        <v>16389</v>
      </c>
      <c r="M129" s="48">
        <v>18194</v>
      </c>
      <c r="N129" s="48">
        <v>17357</v>
      </c>
      <c r="O129" s="48">
        <v>3501</v>
      </c>
      <c r="P129" s="48">
        <v>13259.000000110002</v>
      </c>
      <c r="R129" s="134" t="s">
        <v>0</v>
      </c>
      <c r="S129" s="131">
        <f t="shared" si="70"/>
        <v>999</v>
      </c>
      <c r="T129" s="48">
        <v>8024</v>
      </c>
      <c r="U129" s="48">
        <v>8397</v>
      </c>
      <c r="V129" s="48">
        <v>6518</v>
      </c>
      <c r="W129" s="48">
        <v>1376</v>
      </c>
      <c r="X129" s="48">
        <v>6283</v>
      </c>
      <c r="Z129" s="134" t="s">
        <v>0</v>
      </c>
      <c r="AA129" s="131">
        <f t="shared" si="58"/>
        <v>1913</v>
      </c>
      <c r="AB129" s="48">
        <v>12954</v>
      </c>
      <c r="AC129" s="48">
        <v>14831</v>
      </c>
      <c r="AD129" s="48">
        <v>11924</v>
      </c>
      <c r="AE129" s="48">
        <v>1788</v>
      </c>
      <c r="AF129" s="48">
        <v>9917</v>
      </c>
      <c r="AH129" s="134" t="s">
        <v>0</v>
      </c>
      <c r="AI129" s="131">
        <f t="shared" si="71"/>
        <v>0</v>
      </c>
      <c r="AJ129" s="48">
        <v>15128</v>
      </c>
      <c r="AK129" s="48">
        <v>14238</v>
      </c>
      <c r="AL129" s="48">
        <v>12532</v>
      </c>
      <c r="AM129" s="48">
        <v>2860</v>
      </c>
      <c r="AN129" s="48">
        <v>9544</v>
      </c>
      <c r="AP129" s="134" t="s">
        <v>0</v>
      </c>
      <c r="AQ129" s="131">
        <f t="shared" si="59"/>
        <v>3643</v>
      </c>
      <c r="AR129" s="48">
        <v>26691</v>
      </c>
      <c r="AS129" s="48">
        <v>27035</v>
      </c>
      <c r="AT129" s="48">
        <v>25104</v>
      </c>
      <c r="AU129" s="48">
        <v>2069</v>
      </c>
      <c r="AV129" s="48">
        <v>0</v>
      </c>
      <c r="AX129" s="134" t="s">
        <v>0</v>
      </c>
      <c r="AY129" s="131">
        <f t="shared" si="60"/>
        <v>0</v>
      </c>
      <c r="AZ129" s="48">
        <v>9211</v>
      </c>
      <c r="BA129" s="48">
        <v>8820</v>
      </c>
      <c r="BB129" s="48">
        <v>7973</v>
      </c>
      <c r="BC129" s="48"/>
      <c r="BD129" s="48"/>
      <c r="BE129" s="48"/>
      <c r="BF129" s="134" t="s">
        <v>0</v>
      </c>
      <c r="BG129" s="131">
        <f t="shared" si="61"/>
        <v>1497</v>
      </c>
      <c r="BH129" s="48">
        <v>11304</v>
      </c>
      <c r="BI129" s="48">
        <v>10583</v>
      </c>
      <c r="BJ129" s="48"/>
      <c r="BK129" s="48"/>
      <c r="BL129" s="48"/>
      <c r="BM129" s="48"/>
      <c r="BN129" s="134" t="s">
        <v>0</v>
      </c>
      <c r="BO129" s="131">
        <f t="shared" si="62"/>
        <v>3621</v>
      </c>
      <c r="BP129" s="48">
        <v>20183</v>
      </c>
      <c r="BQ129" s="48">
        <v>20326</v>
      </c>
      <c r="BR129" s="48">
        <v>23291</v>
      </c>
      <c r="BS129" s="48">
        <v>2514</v>
      </c>
      <c r="BT129" s="48">
        <v>16337</v>
      </c>
      <c r="BV129" s="134" t="s">
        <v>0</v>
      </c>
      <c r="BW129" s="131">
        <f t="shared" si="63"/>
        <v>1703</v>
      </c>
      <c r="BX129" s="48">
        <v>12338</v>
      </c>
      <c r="BY129" s="48">
        <v>12768</v>
      </c>
      <c r="BZ129" s="48">
        <v>10783</v>
      </c>
      <c r="CA129" s="48">
        <v>2055</v>
      </c>
      <c r="CB129" s="48">
        <v>8478</v>
      </c>
      <c r="CC129" s="48"/>
      <c r="CD129" s="134" t="s">
        <v>0</v>
      </c>
      <c r="CE129" s="131">
        <f t="shared" si="64"/>
        <v>3277</v>
      </c>
      <c r="CF129" s="48">
        <v>24568</v>
      </c>
      <c r="CG129" s="48">
        <v>22782</v>
      </c>
      <c r="CH129" s="48">
        <v>22002</v>
      </c>
      <c r="CI129" s="48">
        <v>3978</v>
      </c>
      <c r="CJ129" s="48">
        <v>19243</v>
      </c>
      <c r="CL129" s="134" t="s">
        <v>0</v>
      </c>
      <c r="CM129" s="131">
        <f>CM128+CM49</f>
        <v>2228</v>
      </c>
      <c r="CN129" s="48">
        <v>17045</v>
      </c>
      <c r="CO129" s="48">
        <v>18879</v>
      </c>
      <c r="CP129" s="48">
        <v>16751</v>
      </c>
      <c r="CQ129" s="48">
        <v>2860</v>
      </c>
      <c r="CR129" s="48">
        <v>13788</v>
      </c>
      <c r="CT129" s="134" t="s">
        <v>0</v>
      </c>
      <c r="CU129" s="131">
        <f t="shared" si="65"/>
        <v>3426</v>
      </c>
      <c r="CV129" s="48">
        <v>22691</v>
      </c>
      <c r="CW129" s="48">
        <v>0</v>
      </c>
      <c r="CX129" s="48"/>
      <c r="CY129" s="48"/>
      <c r="CZ129" s="48"/>
      <c r="DB129" s="134" t="s">
        <v>0</v>
      </c>
      <c r="DC129" s="131">
        <f t="shared" si="72"/>
        <v>2119</v>
      </c>
      <c r="DD129" s="48">
        <v>17825</v>
      </c>
      <c r="DE129" s="48">
        <v>0</v>
      </c>
      <c r="DF129" s="48"/>
      <c r="DG129" s="48"/>
      <c r="DH129" s="48"/>
      <c r="DI129" s="48"/>
      <c r="DJ129" s="134" t="s">
        <v>0</v>
      </c>
      <c r="DK129" s="131">
        <f t="shared" si="66"/>
        <v>2631</v>
      </c>
      <c r="DL129" s="48">
        <v>16599</v>
      </c>
      <c r="DM129" s="48">
        <v>0</v>
      </c>
      <c r="DN129" s="48"/>
      <c r="DO129" s="48"/>
      <c r="DP129" s="48"/>
      <c r="DR129" s="134" t="s">
        <v>0</v>
      </c>
      <c r="DS129" s="131">
        <f t="shared" si="67"/>
        <v>1372</v>
      </c>
      <c r="DT129" s="48">
        <v>9090</v>
      </c>
      <c r="DU129" s="48">
        <v>0</v>
      </c>
      <c r="DV129" s="48"/>
      <c r="DW129" s="48"/>
      <c r="DX129" s="48"/>
      <c r="DZ129" s="134" t="s">
        <v>0</v>
      </c>
      <c r="EA129" s="131">
        <f t="shared" si="68"/>
        <v>1766</v>
      </c>
      <c r="EB129" s="48"/>
      <c r="EC129" s="48">
        <v>0</v>
      </c>
      <c r="ED129" s="48"/>
      <c r="EE129" s="48"/>
      <c r="EF129" s="48"/>
    </row>
    <row r="130" spans="1:136" x14ac:dyDescent="0.2">
      <c r="A130" s="292"/>
      <c r="B130" s="134" t="s">
        <v>1</v>
      </c>
      <c r="C130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0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207367</v>
      </c>
      <c r="E130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210749</v>
      </c>
      <c r="F130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188944</v>
      </c>
      <c r="G130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46840</v>
      </c>
      <c r="H130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121385.00000011</v>
      </c>
      <c r="I130" s="48"/>
      <c r="J130" s="134" t="s">
        <v>1</v>
      </c>
      <c r="K130" s="131">
        <f t="shared" si="69"/>
        <v>2414</v>
      </c>
      <c r="L130" s="48">
        <v>20000</v>
      </c>
      <c r="M130" s="48">
        <v>21351</v>
      </c>
      <c r="N130" s="48">
        <v>21170</v>
      </c>
      <c r="O130" s="48">
        <v>6596</v>
      </c>
      <c r="P130" s="48">
        <v>16172.000000110002</v>
      </c>
      <c r="R130" s="134" t="s">
        <v>1</v>
      </c>
      <c r="S130" s="131">
        <f t="shared" si="70"/>
        <v>999</v>
      </c>
      <c r="T130" s="48">
        <v>9617</v>
      </c>
      <c r="U130" s="48">
        <v>9880</v>
      </c>
      <c r="V130" s="48">
        <v>8000</v>
      </c>
      <c r="W130" s="48">
        <v>2789</v>
      </c>
      <c r="X130" s="48">
        <v>7820</v>
      </c>
      <c r="Z130" s="134" t="s">
        <v>1</v>
      </c>
      <c r="AA130" s="131">
        <f t="shared" si="58"/>
        <v>1913</v>
      </c>
      <c r="AB130" s="48">
        <v>14865</v>
      </c>
      <c r="AC130" s="48">
        <v>16759</v>
      </c>
      <c r="AD130" s="48">
        <v>13834</v>
      </c>
      <c r="AE130" s="48">
        <v>3702</v>
      </c>
      <c r="AF130" s="48">
        <v>11571</v>
      </c>
      <c r="AH130" s="134" t="s">
        <v>1</v>
      </c>
      <c r="AI130" s="131">
        <f t="shared" si="71"/>
        <v>0</v>
      </c>
      <c r="AJ130" s="48">
        <v>17333</v>
      </c>
      <c r="AK130" s="48">
        <v>16940</v>
      </c>
      <c r="AL130" s="48">
        <v>14952</v>
      </c>
      <c r="AM130" s="48">
        <v>5006</v>
      </c>
      <c r="AN130" s="48">
        <v>12041</v>
      </c>
      <c r="AP130" s="134" t="s">
        <v>1</v>
      </c>
      <c r="AQ130" s="131">
        <f t="shared" si="59"/>
        <v>3643</v>
      </c>
      <c r="AR130" s="48">
        <v>31054</v>
      </c>
      <c r="AS130" s="48">
        <v>31794</v>
      </c>
      <c r="AT130" s="48">
        <v>30867</v>
      </c>
      <c r="AU130" s="48">
        <v>3125</v>
      </c>
      <c r="AV130" s="48">
        <v>0</v>
      </c>
      <c r="AX130" s="134" t="s">
        <v>1</v>
      </c>
      <c r="AY130" s="131">
        <f t="shared" si="60"/>
        <v>0</v>
      </c>
      <c r="AZ130" s="48">
        <v>10683</v>
      </c>
      <c r="BA130" s="48">
        <v>10538</v>
      </c>
      <c r="BB130" s="48">
        <v>9626</v>
      </c>
      <c r="BC130" s="48">
        <v>422</v>
      </c>
      <c r="BD130" s="48"/>
      <c r="BE130" s="48"/>
      <c r="BF130" s="134" t="s">
        <v>1</v>
      </c>
      <c r="BG130" s="131">
        <f t="shared" si="61"/>
        <v>1497</v>
      </c>
      <c r="BH130" s="48">
        <v>13782</v>
      </c>
      <c r="BI130" s="48">
        <v>13268</v>
      </c>
      <c r="BJ130" s="48"/>
      <c r="BK130" s="48"/>
      <c r="BL130" s="48"/>
      <c r="BM130" s="48"/>
      <c r="BN130" s="134" t="s">
        <v>1</v>
      </c>
      <c r="BO130" s="131">
        <f t="shared" si="62"/>
        <v>3621</v>
      </c>
      <c r="BP130" s="48">
        <v>22861</v>
      </c>
      <c r="BQ130" s="48">
        <v>23074</v>
      </c>
      <c r="BR130" s="48">
        <v>26673</v>
      </c>
      <c r="BS130" s="48">
        <v>5067</v>
      </c>
      <c r="BT130" s="48">
        <v>18772</v>
      </c>
      <c r="BV130" s="134" t="s">
        <v>1</v>
      </c>
      <c r="BW130" s="131">
        <f t="shared" si="63"/>
        <v>1703</v>
      </c>
      <c r="BX130" s="48">
        <v>15602</v>
      </c>
      <c r="BY130" s="48">
        <v>15890</v>
      </c>
      <c r="BZ130" s="48">
        <v>14286</v>
      </c>
      <c r="CA130" s="48">
        <v>5038</v>
      </c>
      <c r="CB130" s="48">
        <v>11534</v>
      </c>
      <c r="CC130" s="48"/>
      <c r="CD130" s="134" t="s">
        <v>1</v>
      </c>
      <c r="CE130" s="131">
        <f t="shared" si="64"/>
        <v>3277</v>
      </c>
      <c r="CF130" s="48">
        <v>30235</v>
      </c>
      <c r="CG130" s="48">
        <v>28551</v>
      </c>
      <c r="CH130" s="48">
        <v>28419</v>
      </c>
      <c r="CI130" s="48">
        <v>8866</v>
      </c>
      <c r="CJ130" s="48">
        <v>26282</v>
      </c>
      <c r="CL130" s="134" t="s">
        <v>1</v>
      </c>
      <c r="CM130" s="131">
        <f t="shared" ref="CM130:CM135" si="73">CM129+CM50</f>
        <v>2228</v>
      </c>
      <c r="CN130" s="48">
        <v>21335</v>
      </c>
      <c r="CO130" s="48">
        <v>22704</v>
      </c>
      <c r="CP130" s="48">
        <v>21117</v>
      </c>
      <c r="CQ130" s="48">
        <v>6229</v>
      </c>
      <c r="CR130" s="48">
        <v>17193</v>
      </c>
      <c r="CT130" s="134" t="s">
        <v>1</v>
      </c>
      <c r="CU130" s="131">
        <f t="shared" si="65"/>
        <v>3426</v>
      </c>
      <c r="CV130" s="48">
        <v>26560</v>
      </c>
      <c r="CW130" s="48">
        <v>0</v>
      </c>
      <c r="CX130" s="48"/>
      <c r="CY130" s="48"/>
      <c r="CZ130" s="48"/>
      <c r="DB130" s="134" t="s">
        <v>1</v>
      </c>
      <c r="DC130" s="131">
        <f t="shared" si="72"/>
        <v>2119</v>
      </c>
      <c r="DD130" s="48">
        <v>20709</v>
      </c>
      <c r="DE130" s="48">
        <v>0</v>
      </c>
      <c r="DF130" s="48"/>
      <c r="DG130" s="48"/>
      <c r="DH130" s="48"/>
      <c r="DI130" s="48"/>
      <c r="DJ130" s="134" t="s">
        <v>1</v>
      </c>
      <c r="DK130" s="131">
        <f t="shared" si="66"/>
        <v>2631</v>
      </c>
      <c r="DL130" s="48">
        <v>19282</v>
      </c>
      <c r="DM130" s="48">
        <v>0</v>
      </c>
      <c r="DN130" s="48"/>
      <c r="DO130" s="48"/>
      <c r="DP130" s="48"/>
      <c r="DR130" s="134" t="s">
        <v>1</v>
      </c>
      <c r="DS130" s="131">
        <f t="shared" si="67"/>
        <v>1372</v>
      </c>
      <c r="DT130" s="48">
        <v>10681</v>
      </c>
      <c r="DU130" s="48">
        <v>0</v>
      </c>
      <c r="DV130" s="48"/>
      <c r="DW130" s="48"/>
      <c r="DX130" s="48"/>
      <c r="DZ130" s="134" t="s">
        <v>1</v>
      </c>
      <c r="EA130" s="131">
        <f t="shared" si="68"/>
        <v>1766</v>
      </c>
      <c r="EB130" s="48"/>
      <c r="EC130" s="48">
        <v>0</v>
      </c>
      <c r="ED130" s="48"/>
      <c r="EE130" s="48"/>
      <c r="EF130" s="48"/>
    </row>
    <row r="131" spans="1:136" x14ac:dyDescent="0.2">
      <c r="A131" s="292"/>
      <c r="B131" s="134" t="s">
        <v>3</v>
      </c>
      <c r="C131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1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242577</v>
      </c>
      <c r="E131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247618</v>
      </c>
      <c r="F131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224558</v>
      </c>
      <c r="G131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69377</v>
      </c>
      <c r="H131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149183.00000011001</v>
      </c>
      <c r="I131" s="48"/>
      <c r="J131" s="134" t="s">
        <v>3</v>
      </c>
      <c r="K131" s="131">
        <f t="shared" si="69"/>
        <v>2414</v>
      </c>
      <c r="L131" s="48">
        <v>23825</v>
      </c>
      <c r="M131" s="48">
        <v>24595</v>
      </c>
      <c r="N131" s="48">
        <v>25060</v>
      </c>
      <c r="O131" s="48">
        <v>8689</v>
      </c>
      <c r="P131" s="48">
        <v>19559.000000110002</v>
      </c>
      <c r="R131" s="134" t="s">
        <v>3</v>
      </c>
      <c r="S131" s="131">
        <f t="shared" si="70"/>
        <v>999</v>
      </c>
      <c r="T131" s="48">
        <v>11132</v>
      </c>
      <c r="U131" s="48">
        <v>11323</v>
      </c>
      <c r="V131" s="48">
        <v>9433</v>
      </c>
      <c r="W131" s="48">
        <v>3778</v>
      </c>
      <c r="X131" s="48">
        <v>9424</v>
      </c>
      <c r="Z131" s="134" t="s">
        <v>3</v>
      </c>
      <c r="AA131" s="131">
        <f t="shared" ref="AA131:AA135" si="74">AA130+AA51</f>
        <v>1913</v>
      </c>
      <c r="AB131" s="48">
        <v>16530</v>
      </c>
      <c r="AC131" s="48">
        <v>19060</v>
      </c>
      <c r="AD131" s="48">
        <v>15754</v>
      </c>
      <c r="AE131" s="48">
        <v>5043</v>
      </c>
      <c r="AF131" s="48">
        <v>13233</v>
      </c>
      <c r="AH131" s="134" t="s">
        <v>3</v>
      </c>
      <c r="AI131" s="131">
        <f t="shared" si="71"/>
        <v>0</v>
      </c>
      <c r="AJ131" s="48">
        <v>19574</v>
      </c>
      <c r="AK131" s="48">
        <v>19889</v>
      </c>
      <c r="AL131" s="48">
        <v>17441</v>
      </c>
      <c r="AM131" s="48">
        <v>6694</v>
      </c>
      <c r="AN131" s="48">
        <v>14792</v>
      </c>
      <c r="AP131" s="134" t="s">
        <v>3</v>
      </c>
      <c r="AQ131" s="131">
        <f t="shared" ref="AQ131:AQ135" si="75">AQ130+AQ51</f>
        <v>3643</v>
      </c>
      <c r="AR131" s="48">
        <v>35751</v>
      </c>
      <c r="AS131" s="48">
        <v>36780</v>
      </c>
      <c r="AT131" s="48">
        <v>36770</v>
      </c>
      <c r="AU131" s="48">
        <v>6177</v>
      </c>
      <c r="AV131" s="48">
        <v>0</v>
      </c>
      <c r="AX131" s="134" t="s">
        <v>3</v>
      </c>
      <c r="AY131" s="131">
        <f t="shared" ref="AY131:AY135" si="76">AY130+AY51</f>
        <v>0</v>
      </c>
      <c r="AZ131" s="48">
        <v>12403</v>
      </c>
      <c r="BA131" s="48">
        <v>12412</v>
      </c>
      <c r="BB131" s="48">
        <v>11469</v>
      </c>
      <c r="BC131" s="48">
        <v>2248</v>
      </c>
      <c r="BD131" s="48"/>
      <c r="BE131" s="48"/>
      <c r="BF131" s="134" t="s">
        <v>3</v>
      </c>
      <c r="BG131" s="131">
        <f t="shared" ref="BG131:BG135" si="77">BG130+BG51</f>
        <v>1497</v>
      </c>
      <c r="BH131" s="48">
        <v>16735</v>
      </c>
      <c r="BI131" s="48">
        <v>16143</v>
      </c>
      <c r="BJ131" s="48"/>
      <c r="BK131" s="48"/>
      <c r="BL131" s="48"/>
      <c r="BM131" s="48"/>
      <c r="BN131" s="134" t="s">
        <v>3</v>
      </c>
      <c r="BO131" s="131">
        <f t="shared" ref="BO131:BO135" si="78">BO130+BO51</f>
        <v>3621</v>
      </c>
      <c r="BP131" s="48">
        <v>25612</v>
      </c>
      <c r="BQ131" s="48">
        <v>25725</v>
      </c>
      <c r="BR131" s="48">
        <v>29745</v>
      </c>
      <c r="BS131" s="48">
        <v>6861</v>
      </c>
      <c r="BT131" s="48">
        <v>21665</v>
      </c>
      <c r="BV131" s="134" t="s">
        <v>3</v>
      </c>
      <c r="BW131" s="131">
        <f t="shared" ref="BW131:BW135" si="79">BW130+BW51</f>
        <v>1703</v>
      </c>
      <c r="BX131" s="48">
        <v>19116</v>
      </c>
      <c r="BY131" s="48">
        <v>19223</v>
      </c>
      <c r="BZ131" s="48">
        <v>18141</v>
      </c>
      <c r="CA131" s="48">
        <v>7410</v>
      </c>
      <c r="CB131" s="48">
        <v>15191</v>
      </c>
      <c r="CC131" s="48"/>
      <c r="CD131" s="134" t="s">
        <v>3</v>
      </c>
      <c r="CE131" s="131">
        <f t="shared" ref="CE131:CE135" si="80">CE130+CE51</f>
        <v>3277</v>
      </c>
      <c r="CF131" s="48">
        <v>36902</v>
      </c>
      <c r="CG131" s="48">
        <v>35244</v>
      </c>
      <c r="CH131" s="48">
        <v>34937</v>
      </c>
      <c r="CI131" s="48">
        <v>13484</v>
      </c>
      <c r="CJ131" s="48">
        <v>33933</v>
      </c>
      <c r="CL131" s="134" t="s">
        <v>3</v>
      </c>
      <c r="CM131" s="131">
        <f t="shared" si="73"/>
        <v>2228</v>
      </c>
      <c r="CN131" s="48">
        <v>24997</v>
      </c>
      <c r="CO131" s="48">
        <v>27224</v>
      </c>
      <c r="CP131" s="48">
        <v>25808</v>
      </c>
      <c r="CQ131" s="48">
        <v>8993</v>
      </c>
      <c r="CR131" s="48">
        <v>21386</v>
      </c>
      <c r="CT131" s="134" t="s">
        <v>3</v>
      </c>
      <c r="CU131" s="131">
        <f t="shared" ref="CU131:CU135" si="81">CU130+CU51</f>
        <v>3426</v>
      </c>
      <c r="CV131" s="48">
        <v>31128</v>
      </c>
      <c r="CW131" s="48">
        <v>0</v>
      </c>
      <c r="CX131" s="48"/>
      <c r="CY131" s="48"/>
      <c r="CZ131" s="48"/>
      <c r="DB131" s="134" t="s">
        <v>3</v>
      </c>
      <c r="DC131" s="131">
        <f t="shared" si="72"/>
        <v>2119</v>
      </c>
      <c r="DD131" s="48">
        <v>23771</v>
      </c>
      <c r="DE131" s="48">
        <v>0</v>
      </c>
      <c r="DF131" s="48"/>
      <c r="DG131" s="48"/>
      <c r="DH131" s="48"/>
      <c r="DI131" s="48"/>
      <c r="DJ131" s="134" t="s">
        <v>3</v>
      </c>
      <c r="DK131" s="131">
        <f t="shared" ref="DK131:DK135" si="82">DK130+DK51</f>
        <v>2631</v>
      </c>
      <c r="DL131" s="48">
        <v>21962</v>
      </c>
      <c r="DM131" s="48">
        <v>0</v>
      </c>
      <c r="DN131" s="48"/>
      <c r="DO131" s="48"/>
      <c r="DP131" s="48"/>
      <c r="DR131" s="134" t="s">
        <v>3</v>
      </c>
      <c r="DS131" s="131">
        <f t="shared" ref="DS131:DS135" si="83">DS130+DS51</f>
        <v>1372</v>
      </c>
      <c r="DT131" s="48">
        <v>12375</v>
      </c>
      <c r="DU131" s="48">
        <v>0</v>
      </c>
      <c r="DV131" s="48"/>
      <c r="DW131" s="48"/>
      <c r="DX131" s="48"/>
      <c r="DZ131" s="134" t="s">
        <v>3</v>
      </c>
      <c r="EA131" s="131">
        <f t="shared" ref="EA131" si="84">EA130+EA51</f>
        <v>1766</v>
      </c>
      <c r="EB131" s="48">
        <v>3052</v>
      </c>
      <c r="EC131" s="48">
        <v>0</v>
      </c>
      <c r="ED131" s="48"/>
      <c r="EE131" s="48"/>
      <c r="EF131" s="48"/>
    </row>
    <row r="132" spans="1:136" x14ac:dyDescent="0.2">
      <c r="A132" s="292"/>
      <c r="B132" s="134" t="s">
        <v>71</v>
      </c>
      <c r="C132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2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267035</v>
      </c>
      <c r="E132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276619</v>
      </c>
      <c r="F132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251822</v>
      </c>
      <c r="G132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89607</v>
      </c>
      <c r="H132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175705.00000011001</v>
      </c>
      <c r="I132" s="48"/>
      <c r="J132" s="134" t="s">
        <v>71</v>
      </c>
      <c r="K132" s="131">
        <f t="shared" ref="K132:K135" si="85">K131+K52</f>
        <v>2414</v>
      </c>
      <c r="L132" s="48">
        <v>26458</v>
      </c>
      <c r="M132" s="48">
        <v>27337</v>
      </c>
      <c r="N132" s="48">
        <v>28354</v>
      </c>
      <c r="O132" s="48">
        <v>11019</v>
      </c>
      <c r="P132" s="48">
        <v>23024.000000110002</v>
      </c>
      <c r="R132" s="134" t="s">
        <v>71</v>
      </c>
      <c r="S132" s="131">
        <f t="shared" ref="S132:S135" si="86">S131+S52</f>
        <v>999</v>
      </c>
      <c r="T132" s="48">
        <v>12293</v>
      </c>
      <c r="U132" s="48">
        <v>12652</v>
      </c>
      <c r="V132" s="48">
        <v>10698</v>
      </c>
      <c r="W132" s="48">
        <v>4536</v>
      </c>
      <c r="X132" s="48">
        <v>10898</v>
      </c>
      <c r="Z132" s="134" t="s">
        <v>71</v>
      </c>
      <c r="AA132" s="131">
        <f t="shared" si="74"/>
        <v>1913</v>
      </c>
      <c r="AB132" s="48">
        <v>18278</v>
      </c>
      <c r="AC132" s="48">
        <v>21520</v>
      </c>
      <c r="AD132" s="48">
        <v>18215</v>
      </c>
      <c r="AE132" s="48">
        <v>6746</v>
      </c>
      <c r="AF132" s="48">
        <v>15837</v>
      </c>
      <c r="AH132" s="134" t="s">
        <v>71</v>
      </c>
      <c r="AI132" s="131">
        <f t="shared" si="71"/>
        <v>0</v>
      </c>
      <c r="AJ132" s="48">
        <v>21360</v>
      </c>
      <c r="AK132" s="48">
        <v>22380</v>
      </c>
      <c r="AL132" s="48">
        <v>19590</v>
      </c>
      <c r="AM132" s="48">
        <v>8448</v>
      </c>
      <c r="AN132" s="48">
        <v>18041</v>
      </c>
      <c r="AP132" s="134" t="s">
        <v>71</v>
      </c>
      <c r="AQ132" s="131">
        <f t="shared" si="75"/>
        <v>3643</v>
      </c>
      <c r="AR132" s="48">
        <v>38833</v>
      </c>
      <c r="AS132" s="48">
        <v>40800</v>
      </c>
      <c r="AT132" s="48">
        <v>41073</v>
      </c>
      <c r="AU132" s="48">
        <v>8478</v>
      </c>
      <c r="AV132" s="48">
        <v>0</v>
      </c>
      <c r="AX132" s="134" t="s">
        <v>71</v>
      </c>
      <c r="AY132" s="131">
        <f t="shared" si="76"/>
        <v>0</v>
      </c>
      <c r="AZ132" s="48">
        <v>13455</v>
      </c>
      <c r="BA132" s="48">
        <v>13870</v>
      </c>
      <c r="BB132" s="48">
        <v>12840</v>
      </c>
      <c r="BC132" s="48">
        <v>4045</v>
      </c>
      <c r="BD132" s="48"/>
      <c r="BE132" s="48"/>
      <c r="BF132" s="134" t="s">
        <v>71</v>
      </c>
      <c r="BG132" s="131">
        <f t="shared" si="77"/>
        <v>1497</v>
      </c>
      <c r="BH132" s="48">
        <v>18376</v>
      </c>
      <c r="BI132" s="48">
        <v>17886</v>
      </c>
      <c r="BJ132" s="48"/>
      <c r="BK132" s="48"/>
      <c r="BL132" s="48"/>
      <c r="BM132" s="48"/>
      <c r="BN132" s="134" t="s">
        <v>71</v>
      </c>
      <c r="BO132" s="131">
        <f t="shared" si="78"/>
        <v>3621</v>
      </c>
      <c r="BP132" s="48">
        <v>29012</v>
      </c>
      <c r="BQ132" s="48">
        <v>29387</v>
      </c>
      <c r="BR132" s="48">
        <v>33905</v>
      </c>
      <c r="BS132" s="48">
        <v>10099</v>
      </c>
      <c r="BT132" s="48">
        <v>27243</v>
      </c>
      <c r="BV132" s="134" t="s">
        <v>71</v>
      </c>
      <c r="BW132" s="131">
        <f t="shared" si="79"/>
        <v>1703</v>
      </c>
      <c r="BX132" s="48">
        <v>21116</v>
      </c>
      <c r="BY132" s="48">
        <v>21292</v>
      </c>
      <c r="BZ132" s="48">
        <v>20168</v>
      </c>
      <c r="CA132" s="48">
        <v>8827</v>
      </c>
      <c r="CB132" s="48">
        <v>17591</v>
      </c>
      <c r="CC132" s="48"/>
      <c r="CD132" s="134" t="s">
        <v>71</v>
      </c>
      <c r="CE132" s="131">
        <f t="shared" si="80"/>
        <v>3277</v>
      </c>
      <c r="CF132" s="48">
        <v>40488</v>
      </c>
      <c r="CG132" s="48">
        <v>39328</v>
      </c>
      <c r="CH132" s="48">
        <v>38215</v>
      </c>
      <c r="CI132" s="48">
        <v>16311</v>
      </c>
      <c r="CJ132" s="48">
        <v>38579</v>
      </c>
      <c r="CL132" s="134" t="s">
        <v>71</v>
      </c>
      <c r="CM132" s="131">
        <f t="shared" si="73"/>
        <v>2228</v>
      </c>
      <c r="CN132" s="48">
        <v>27366</v>
      </c>
      <c r="CO132" s="48">
        <v>30167</v>
      </c>
      <c r="CP132" s="48">
        <v>28764</v>
      </c>
      <c r="CQ132" s="48">
        <v>11098</v>
      </c>
      <c r="CR132" s="48">
        <v>24492</v>
      </c>
      <c r="CT132" s="134" t="s">
        <v>71</v>
      </c>
      <c r="CU132" s="131">
        <f t="shared" si="81"/>
        <v>3426</v>
      </c>
      <c r="CV132" s="48">
        <v>34940</v>
      </c>
      <c r="CW132" s="48">
        <v>0</v>
      </c>
      <c r="CX132" s="48"/>
      <c r="CY132" s="48"/>
      <c r="CZ132" s="48"/>
      <c r="DB132" s="134" t="s">
        <v>71</v>
      </c>
      <c r="DC132" s="131">
        <f t="shared" si="72"/>
        <v>2119</v>
      </c>
      <c r="DD132" s="48">
        <v>26100</v>
      </c>
      <c r="DE132" s="48">
        <v>0</v>
      </c>
      <c r="DF132" s="48"/>
      <c r="DG132" s="48"/>
      <c r="DH132" s="48"/>
      <c r="DI132" s="48"/>
      <c r="DJ132" s="134" t="s">
        <v>71</v>
      </c>
      <c r="DK132" s="131">
        <f t="shared" si="82"/>
        <v>2631</v>
      </c>
      <c r="DL132" s="48">
        <v>24440</v>
      </c>
      <c r="DM132" s="48">
        <v>0</v>
      </c>
      <c r="DN132" s="48"/>
      <c r="DO132" s="48"/>
      <c r="DP132" s="48"/>
      <c r="DR132" s="134" t="s">
        <v>71</v>
      </c>
      <c r="DS132" s="131">
        <f t="shared" si="83"/>
        <v>1372</v>
      </c>
      <c r="DT132" s="48">
        <v>13961</v>
      </c>
      <c r="DU132" s="48">
        <v>0</v>
      </c>
      <c r="DV132" s="48"/>
      <c r="DW132" s="48"/>
      <c r="DX132" s="48"/>
      <c r="DZ132" s="134" t="s">
        <v>71</v>
      </c>
      <c r="EA132" s="131">
        <f>EA131+EA116</f>
        <v>1766</v>
      </c>
      <c r="EB132" s="48">
        <v>14883</v>
      </c>
      <c r="EC132" s="48">
        <v>0</v>
      </c>
      <c r="ED132" s="48"/>
      <c r="EE132" s="48"/>
      <c r="EF132" s="48"/>
    </row>
    <row r="133" spans="1:136" x14ac:dyDescent="0.2">
      <c r="A133" s="292"/>
      <c r="B133" s="134" t="s">
        <v>12</v>
      </c>
      <c r="C133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3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293780</v>
      </c>
      <c r="E133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304610</v>
      </c>
      <c r="F133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281237</v>
      </c>
      <c r="G133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113805</v>
      </c>
      <c r="H133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200833.00000011001</v>
      </c>
      <c r="I133" s="48"/>
      <c r="J133" s="134" t="s">
        <v>12</v>
      </c>
      <c r="K133" s="131">
        <f t="shared" si="85"/>
        <v>2414</v>
      </c>
      <c r="L133" s="48">
        <v>29325</v>
      </c>
      <c r="M133" s="48">
        <v>29862</v>
      </c>
      <c r="N133" s="48">
        <v>32237</v>
      </c>
      <c r="O133" s="48">
        <v>13697</v>
      </c>
      <c r="P133" s="48">
        <v>26672.000000110002</v>
      </c>
      <c r="R133" s="134" t="s">
        <v>12</v>
      </c>
      <c r="S133" s="131">
        <f t="shared" si="86"/>
        <v>999</v>
      </c>
      <c r="T133" s="48">
        <v>13590</v>
      </c>
      <c r="U133" s="48">
        <v>13839</v>
      </c>
      <c r="V133" s="48">
        <v>12069</v>
      </c>
      <c r="W133" s="48">
        <v>5590</v>
      </c>
      <c r="X133" s="48">
        <v>12686</v>
      </c>
      <c r="Z133" s="134" t="s">
        <v>12</v>
      </c>
      <c r="AA133" s="131">
        <f t="shared" si="74"/>
        <v>1913</v>
      </c>
      <c r="AB133" s="48">
        <v>20363</v>
      </c>
      <c r="AC133" s="48">
        <v>23717</v>
      </c>
      <c r="AD133" s="48">
        <v>21122</v>
      </c>
      <c r="AE133" s="48">
        <v>9107</v>
      </c>
      <c r="AF133" s="48">
        <v>18248</v>
      </c>
      <c r="AH133" s="134" t="s">
        <v>12</v>
      </c>
      <c r="AI133" s="131">
        <f t="shared" si="71"/>
        <v>0</v>
      </c>
      <c r="AJ133" s="48">
        <v>23388</v>
      </c>
      <c r="AK133" s="48">
        <v>24849</v>
      </c>
      <c r="AL133" s="48">
        <v>22077</v>
      </c>
      <c r="AM133" s="48">
        <v>10572</v>
      </c>
      <c r="AN133" s="48">
        <v>21590</v>
      </c>
      <c r="AP133" s="134" t="s">
        <v>12</v>
      </c>
      <c r="AQ133" s="131">
        <f t="shared" si="75"/>
        <v>3643</v>
      </c>
      <c r="AR133" s="48">
        <v>42674</v>
      </c>
      <c r="AS133" s="48">
        <v>44854</v>
      </c>
      <c r="AT133" s="48">
        <v>46244</v>
      </c>
      <c r="AU133" s="48">
        <v>11708</v>
      </c>
      <c r="AV133" s="48">
        <v>0</v>
      </c>
      <c r="AX133" s="134" t="s">
        <v>12</v>
      </c>
      <c r="AY133" s="131">
        <f t="shared" si="76"/>
        <v>0</v>
      </c>
      <c r="AZ133" s="48">
        <v>14681</v>
      </c>
      <c r="BA133" s="48">
        <v>15195</v>
      </c>
      <c r="BB133" s="48">
        <v>14387</v>
      </c>
      <c r="BC133" s="48">
        <v>5522</v>
      </c>
      <c r="BD133" s="48"/>
      <c r="BE133" s="48"/>
      <c r="BF133" s="134" t="s">
        <v>12</v>
      </c>
      <c r="BG133" s="131">
        <f t="shared" si="77"/>
        <v>1497</v>
      </c>
      <c r="BH133" s="48">
        <v>20176</v>
      </c>
      <c r="BI133" s="48">
        <v>19648</v>
      </c>
      <c r="BJ133" s="48"/>
      <c r="BK133" s="48"/>
      <c r="BL133" s="48"/>
      <c r="BM133" s="48"/>
      <c r="BN133" s="134" t="s">
        <v>12</v>
      </c>
      <c r="BO133" s="131">
        <f t="shared" si="78"/>
        <v>3621</v>
      </c>
      <c r="BP133" s="48">
        <v>31955</v>
      </c>
      <c r="BQ133" s="48">
        <v>32655</v>
      </c>
      <c r="BR133" s="48">
        <v>37818</v>
      </c>
      <c r="BS133" s="48">
        <v>13872</v>
      </c>
      <c r="BT133" s="48">
        <v>31131</v>
      </c>
      <c r="BV133" s="134" t="s">
        <v>12</v>
      </c>
      <c r="BW133" s="131">
        <f t="shared" si="79"/>
        <v>1703</v>
      </c>
      <c r="BX133" s="48">
        <v>23323</v>
      </c>
      <c r="BY133" s="48">
        <v>23240</v>
      </c>
      <c r="BZ133" s="48">
        <v>22245</v>
      </c>
      <c r="CA133" s="48">
        <v>10680</v>
      </c>
      <c r="CB133" s="48">
        <v>20116</v>
      </c>
      <c r="CC133" s="48"/>
      <c r="CD133" s="134" t="s">
        <v>12</v>
      </c>
      <c r="CE133" s="131">
        <f t="shared" si="80"/>
        <v>3277</v>
      </c>
      <c r="CF133" s="48">
        <v>44477</v>
      </c>
      <c r="CG133" s="48">
        <v>43293</v>
      </c>
      <c r="CH133" s="48">
        <v>41523</v>
      </c>
      <c r="CI133" s="48">
        <v>19497</v>
      </c>
      <c r="CJ133" s="48">
        <v>42466</v>
      </c>
      <c r="CL133" s="134" t="s">
        <v>12</v>
      </c>
      <c r="CM133" s="131">
        <f t="shared" si="73"/>
        <v>2228</v>
      </c>
      <c r="CN133" s="48">
        <v>29828</v>
      </c>
      <c r="CO133" s="48">
        <v>33458</v>
      </c>
      <c r="CP133" s="48">
        <v>31515</v>
      </c>
      <c r="CQ133" s="48">
        <v>13560</v>
      </c>
      <c r="CR133" s="48">
        <v>27924</v>
      </c>
      <c r="CT133" s="134" t="s">
        <v>12</v>
      </c>
      <c r="CU133" s="131">
        <f t="shared" si="81"/>
        <v>3426</v>
      </c>
      <c r="CV133" s="48">
        <v>38930</v>
      </c>
      <c r="CW133" s="48">
        <v>0</v>
      </c>
      <c r="CX133" s="48"/>
      <c r="CY133" s="48"/>
      <c r="CZ133" s="48"/>
      <c r="DB133" s="134" t="s">
        <v>12</v>
      </c>
      <c r="DC133" s="131">
        <f t="shared" si="72"/>
        <v>2119</v>
      </c>
      <c r="DD133" s="48">
        <v>28678</v>
      </c>
      <c r="DE133" s="48">
        <v>0</v>
      </c>
      <c r="DF133" s="48"/>
      <c r="DG133" s="48"/>
      <c r="DH133" s="48"/>
      <c r="DI133" s="48"/>
      <c r="DJ133" s="134" t="s">
        <v>12</v>
      </c>
      <c r="DK133" s="131">
        <f t="shared" si="82"/>
        <v>2631</v>
      </c>
      <c r="DL133" s="48">
        <v>27154</v>
      </c>
      <c r="DM133" s="48">
        <v>0</v>
      </c>
      <c r="DN133" s="48"/>
      <c r="DO133" s="48"/>
      <c r="DP133" s="48"/>
      <c r="DR133" s="134" t="s">
        <v>12</v>
      </c>
      <c r="DS133" s="131">
        <f t="shared" si="83"/>
        <v>1372</v>
      </c>
      <c r="DT133" s="48">
        <v>15466</v>
      </c>
      <c r="DU133" s="48">
        <v>0</v>
      </c>
      <c r="DV133" s="48"/>
      <c r="DW133" s="48"/>
      <c r="DX133" s="48"/>
      <c r="DZ133" s="134" t="s">
        <v>12</v>
      </c>
      <c r="EA133" s="131">
        <f t="shared" ref="EA133:EA135" si="87">EA132+EA117</f>
        <v>1766</v>
      </c>
      <c r="EB133" s="48">
        <v>27639</v>
      </c>
      <c r="EC133" s="48">
        <v>0</v>
      </c>
      <c r="ED133" s="48"/>
      <c r="EE133" s="48"/>
      <c r="EF133" s="48"/>
    </row>
    <row r="134" spans="1:136" x14ac:dyDescent="0.2">
      <c r="A134" s="292"/>
      <c r="B134" s="134" t="s">
        <v>13</v>
      </c>
      <c r="C13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318101</v>
      </c>
      <c r="E13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331607</v>
      </c>
      <c r="F13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307863</v>
      </c>
      <c r="G13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140293</v>
      </c>
      <c r="H13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201100.00000011001</v>
      </c>
      <c r="I134" s="48"/>
      <c r="J134" s="134" t="s">
        <v>13</v>
      </c>
      <c r="K134" s="131">
        <f t="shared" si="85"/>
        <v>2414</v>
      </c>
      <c r="L134" s="48">
        <v>31827</v>
      </c>
      <c r="M134" s="48">
        <v>32473</v>
      </c>
      <c r="N134" s="48">
        <v>35538</v>
      </c>
      <c r="O134" s="48">
        <v>16780</v>
      </c>
      <c r="P134" s="48">
        <v>26686.000000110002</v>
      </c>
      <c r="R134" s="134" t="s">
        <v>13</v>
      </c>
      <c r="S134" s="131">
        <f t="shared" si="86"/>
        <v>999</v>
      </c>
      <c r="T134" s="48">
        <v>14649</v>
      </c>
      <c r="U134" s="48">
        <v>15067</v>
      </c>
      <c r="V134" s="48">
        <v>13230</v>
      </c>
      <c r="W134" s="48">
        <v>6854</v>
      </c>
      <c r="X134" s="48">
        <v>12724</v>
      </c>
      <c r="Z134" s="134" t="s">
        <v>13</v>
      </c>
      <c r="AA134" s="131">
        <f t="shared" si="74"/>
        <v>1913</v>
      </c>
      <c r="AB134" s="48">
        <v>22373</v>
      </c>
      <c r="AC134" s="48">
        <v>26105</v>
      </c>
      <c r="AD134" s="48">
        <v>23970</v>
      </c>
      <c r="AE134" s="48">
        <v>11455</v>
      </c>
      <c r="AF134" s="48">
        <v>18290</v>
      </c>
      <c r="AH134" s="134" t="s">
        <v>13</v>
      </c>
      <c r="AI134" s="131">
        <f t="shared" si="71"/>
        <v>0</v>
      </c>
      <c r="AJ134" s="48">
        <v>25235</v>
      </c>
      <c r="AK134" s="48">
        <v>26964</v>
      </c>
      <c r="AL134" s="48">
        <v>24093</v>
      </c>
      <c r="AM134" s="48">
        <v>12892</v>
      </c>
      <c r="AN134" s="48">
        <v>21606</v>
      </c>
      <c r="AP134" s="134" t="s">
        <v>13</v>
      </c>
      <c r="AQ134" s="131">
        <f t="shared" si="75"/>
        <v>3643</v>
      </c>
      <c r="AR134" s="48">
        <v>46302</v>
      </c>
      <c r="AS134" s="48">
        <v>48755</v>
      </c>
      <c r="AT134" s="48">
        <v>50734</v>
      </c>
      <c r="AU134" s="48">
        <v>15928</v>
      </c>
      <c r="AV134" s="48">
        <v>0</v>
      </c>
      <c r="AX134" s="134" t="s">
        <v>13</v>
      </c>
      <c r="AY134" s="131">
        <f t="shared" si="76"/>
        <v>0</v>
      </c>
      <c r="AZ134" s="48">
        <v>15706</v>
      </c>
      <c r="BA134" s="48">
        <v>16353</v>
      </c>
      <c r="BB134" s="48">
        <v>15905</v>
      </c>
      <c r="BC134" s="48">
        <v>6960</v>
      </c>
      <c r="BD134" s="48"/>
      <c r="BE134" s="48"/>
      <c r="BF134" s="134" t="s">
        <v>13</v>
      </c>
      <c r="BG134" s="131">
        <f t="shared" si="77"/>
        <v>1497</v>
      </c>
      <c r="BH134" s="48">
        <v>21789</v>
      </c>
      <c r="BI134" s="48">
        <v>21278</v>
      </c>
      <c r="BJ134" s="48"/>
      <c r="BK134" s="48"/>
      <c r="BL134" s="48"/>
      <c r="BM134" s="48"/>
      <c r="BN134" s="134" t="s">
        <v>13</v>
      </c>
      <c r="BO134" s="131">
        <f t="shared" si="78"/>
        <v>3621</v>
      </c>
      <c r="BP134" s="48">
        <v>34932</v>
      </c>
      <c r="BQ134" s="48">
        <v>36311</v>
      </c>
      <c r="BR134" s="48">
        <v>41078</v>
      </c>
      <c r="BS134" s="48">
        <v>18598</v>
      </c>
      <c r="BT134" s="48">
        <v>31154</v>
      </c>
      <c r="BV134" s="134" t="s">
        <v>13</v>
      </c>
      <c r="BW134" s="131">
        <f t="shared" si="79"/>
        <v>1703</v>
      </c>
      <c r="BX134" s="48">
        <v>25174</v>
      </c>
      <c r="BY134" s="48">
        <v>24942</v>
      </c>
      <c r="BZ134" s="48">
        <v>24033</v>
      </c>
      <c r="CA134" s="48">
        <v>12433</v>
      </c>
      <c r="CB134" s="48">
        <v>20130</v>
      </c>
      <c r="CC134" s="48"/>
      <c r="CD134" s="134" t="s">
        <v>13</v>
      </c>
      <c r="CE134" s="131">
        <f t="shared" si="80"/>
        <v>3277</v>
      </c>
      <c r="CF134" s="48">
        <v>47996</v>
      </c>
      <c r="CG134" s="48">
        <v>46763</v>
      </c>
      <c r="CH134" s="48">
        <v>44960</v>
      </c>
      <c r="CI134" s="48">
        <v>22184</v>
      </c>
      <c r="CJ134" s="48">
        <v>42485</v>
      </c>
      <c r="CL134" s="134" t="s">
        <v>13</v>
      </c>
      <c r="CM134" s="131">
        <f t="shared" si="73"/>
        <v>2228</v>
      </c>
      <c r="CN134" s="48">
        <v>32118</v>
      </c>
      <c r="CO134" s="48">
        <v>36596</v>
      </c>
      <c r="CP134" s="48">
        <v>34322</v>
      </c>
      <c r="CQ134" s="48">
        <v>16209</v>
      </c>
      <c r="CR134" s="48">
        <v>28025</v>
      </c>
      <c r="CT134" s="134" t="s">
        <v>13</v>
      </c>
      <c r="CU134" s="131">
        <f t="shared" si="81"/>
        <v>3426</v>
      </c>
      <c r="CV134" s="48">
        <v>42462</v>
      </c>
      <c r="CW134" s="48">
        <v>0</v>
      </c>
      <c r="CX134" s="48"/>
      <c r="CY134" s="48"/>
      <c r="CZ134" s="48"/>
      <c r="DB134" s="134" t="s">
        <v>13</v>
      </c>
      <c r="DC134" s="131">
        <f t="shared" si="72"/>
        <v>2119</v>
      </c>
      <c r="DD134" s="48">
        <v>31161</v>
      </c>
      <c r="DE134" s="48">
        <v>0</v>
      </c>
      <c r="DF134" s="48"/>
      <c r="DG134" s="48"/>
      <c r="DH134" s="48"/>
      <c r="DI134" s="48"/>
      <c r="DJ134" s="134" t="s">
        <v>13</v>
      </c>
      <c r="DK134" s="131">
        <f t="shared" si="82"/>
        <v>2631</v>
      </c>
      <c r="DL134" s="48">
        <v>29610</v>
      </c>
      <c r="DM134" s="48">
        <v>0</v>
      </c>
      <c r="DN134" s="48"/>
      <c r="DO134" s="48"/>
      <c r="DP134" s="48"/>
      <c r="DR134" s="134" t="s">
        <v>13</v>
      </c>
      <c r="DS134" s="131">
        <f t="shared" si="83"/>
        <v>1372</v>
      </c>
      <c r="DT134" s="48">
        <v>16880</v>
      </c>
      <c r="DU134" s="48">
        <v>0</v>
      </c>
      <c r="DV134" s="48"/>
      <c r="DW134" s="48"/>
      <c r="DX134" s="48"/>
      <c r="DZ134" s="134" t="s">
        <v>13</v>
      </c>
      <c r="EA134" s="131">
        <f t="shared" si="87"/>
        <v>1766</v>
      </c>
      <c r="EB134" s="48">
        <v>39915</v>
      </c>
      <c r="EC134" s="48">
        <v>0</v>
      </c>
      <c r="ED134" s="48"/>
      <c r="EE134" s="48"/>
      <c r="EF134" s="48"/>
    </row>
    <row r="135" spans="1:136" x14ac:dyDescent="0.2">
      <c r="A135" s="292"/>
      <c r="B135" s="134" t="s">
        <v>15</v>
      </c>
      <c r="C13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>32609</v>
      </c>
      <c r="D13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>342406</v>
      </c>
      <c r="E13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>318128</v>
      </c>
      <c r="F13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>296083</v>
      </c>
      <c r="G13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>163020</v>
      </c>
      <c r="H13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>201393.00000011001</v>
      </c>
      <c r="I135" s="48"/>
      <c r="J135" s="134" t="s">
        <v>15</v>
      </c>
      <c r="K135" s="131">
        <f t="shared" si="85"/>
        <v>2414</v>
      </c>
      <c r="L135" s="48">
        <v>34354</v>
      </c>
      <c r="M135" s="48">
        <v>35315</v>
      </c>
      <c r="N135" s="48">
        <v>38820</v>
      </c>
      <c r="O135" s="48">
        <v>19540</v>
      </c>
      <c r="P135" s="48">
        <v>26704.000000110002</v>
      </c>
      <c r="R135" s="134" t="s">
        <v>15</v>
      </c>
      <c r="S135" s="131">
        <f t="shared" si="86"/>
        <v>999</v>
      </c>
      <c r="T135" s="48">
        <v>15661</v>
      </c>
      <c r="U135" s="48">
        <v>16175</v>
      </c>
      <c r="V135" s="48">
        <v>14531</v>
      </c>
      <c r="W135" s="48">
        <v>8022</v>
      </c>
      <c r="X135" s="48">
        <v>12757</v>
      </c>
      <c r="Z135" s="134" t="s">
        <v>15</v>
      </c>
      <c r="AA135" s="131">
        <f t="shared" si="74"/>
        <v>1913</v>
      </c>
      <c r="AB135" s="48">
        <v>24130</v>
      </c>
      <c r="AC135" s="48">
        <v>27972</v>
      </c>
      <c r="AD135" s="48">
        <v>26001</v>
      </c>
      <c r="AE135" s="48">
        <v>13042</v>
      </c>
      <c r="AF135" s="48">
        <v>18321</v>
      </c>
      <c r="AH135" s="134" t="s">
        <v>15</v>
      </c>
      <c r="AI135" s="131">
        <f t="shared" si="71"/>
        <v>0</v>
      </c>
      <c r="AJ135" s="48">
        <v>26830</v>
      </c>
      <c r="AK135" s="48">
        <v>28979</v>
      </c>
      <c r="AL135" s="48">
        <v>26159</v>
      </c>
      <c r="AM135" s="48">
        <v>14806</v>
      </c>
      <c r="AN135" s="48">
        <v>21678</v>
      </c>
      <c r="AP135" s="134" t="s">
        <v>15</v>
      </c>
      <c r="AQ135" s="131">
        <f t="shared" si="75"/>
        <v>3643</v>
      </c>
      <c r="AR135" s="48">
        <v>50347</v>
      </c>
      <c r="AS135" s="48">
        <v>53021</v>
      </c>
      <c r="AT135" s="48">
        <v>55802</v>
      </c>
      <c r="AU135" s="48">
        <v>19869</v>
      </c>
      <c r="AV135" s="48">
        <v>0</v>
      </c>
      <c r="AX135" s="134" t="s">
        <v>15</v>
      </c>
      <c r="AY135" s="131">
        <f t="shared" si="76"/>
        <v>0</v>
      </c>
      <c r="AZ135" s="48">
        <v>16739</v>
      </c>
      <c r="BA135" s="48">
        <v>17595</v>
      </c>
      <c r="BB135" s="48">
        <v>17171</v>
      </c>
      <c r="BC135" s="48">
        <v>8183</v>
      </c>
      <c r="BD135" s="48"/>
      <c r="BE135" s="48"/>
      <c r="BF135" s="134" t="s">
        <v>15</v>
      </c>
      <c r="BG135" s="131">
        <f t="shared" si="77"/>
        <v>1497</v>
      </c>
      <c r="BH135" s="48">
        <v>23418</v>
      </c>
      <c r="BI135" s="48">
        <v>22827</v>
      </c>
      <c r="BJ135" s="48"/>
      <c r="BK135" s="48"/>
      <c r="BL135" s="48"/>
      <c r="BM135" s="48"/>
      <c r="BN135" s="134" t="s">
        <v>15</v>
      </c>
      <c r="BO135" s="131">
        <f t="shared" si="78"/>
        <v>3621</v>
      </c>
      <c r="BP135" s="48">
        <v>38183</v>
      </c>
      <c r="BQ135" s="48">
        <v>39344</v>
      </c>
      <c r="BR135" s="48">
        <v>43967</v>
      </c>
      <c r="BS135" s="48">
        <v>22106</v>
      </c>
      <c r="BT135" s="48">
        <v>31170</v>
      </c>
      <c r="BV135" s="134" t="s">
        <v>15</v>
      </c>
      <c r="BW135" s="131">
        <f t="shared" si="79"/>
        <v>1703</v>
      </c>
      <c r="BX135" s="48">
        <v>26740</v>
      </c>
      <c r="BY135" s="48">
        <v>26663</v>
      </c>
      <c r="BZ135" s="48">
        <v>25596</v>
      </c>
      <c r="CA135" s="48">
        <v>13845</v>
      </c>
      <c r="CB135" s="48">
        <v>20134</v>
      </c>
      <c r="CC135" s="48"/>
      <c r="CD135" s="134" t="s">
        <v>15</v>
      </c>
      <c r="CE135" s="131">
        <f t="shared" si="80"/>
        <v>3277</v>
      </c>
      <c r="CF135" s="48">
        <v>51341</v>
      </c>
      <c r="CG135" s="48">
        <v>50237</v>
      </c>
      <c r="CH135" s="48">
        <v>48036</v>
      </c>
      <c r="CI135" s="48">
        <v>24937</v>
      </c>
      <c r="CJ135" s="48">
        <v>42522</v>
      </c>
      <c r="CL135" s="134" t="s">
        <v>15</v>
      </c>
      <c r="CM135" s="131">
        <f t="shared" si="73"/>
        <v>2228</v>
      </c>
      <c r="CN135" s="48">
        <v>34663</v>
      </c>
      <c r="CO135" s="48"/>
      <c r="CP135" s="48"/>
      <c r="CQ135" s="48">
        <v>18670</v>
      </c>
      <c r="CR135" s="48">
        <v>28107</v>
      </c>
      <c r="CT135" s="134" t="s">
        <v>15</v>
      </c>
      <c r="CU135" s="131">
        <f t="shared" si="81"/>
        <v>3426</v>
      </c>
      <c r="CV135" s="48">
        <v>45809</v>
      </c>
      <c r="CW135" s="48">
        <v>0</v>
      </c>
      <c r="CX135" s="48"/>
      <c r="CY135" s="48"/>
      <c r="CZ135" s="48"/>
      <c r="DB135" s="134" t="s">
        <v>15</v>
      </c>
      <c r="DC135" s="131">
        <f t="shared" si="72"/>
        <v>2119</v>
      </c>
      <c r="DD135" s="48">
        <v>33805</v>
      </c>
      <c r="DE135" s="48">
        <v>0</v>
      </c>
      <c r="DF135" s="48"/>
      <c r="DG135" s="48"/>
      <c r="DH135" s="48"/>
      <c r="DI135" s="48"/>
      <c r="DJ135" s="134" t="s">
        <v>15</v>
      </c>
      <c r="DK135" s="131">
        <f t="shared" si="82"/>
        <v>2631</v>
      </c>
      <c r="DL135" s="48">
        <v>32332</v>
      </c>
      <c r="DM135" s="48">
        <v>0</v>
      </c>
      <c r="DN135" s="48"/>
      <c r="DO135" s="48"/>
      <c r="DP135" s="48"/>
      <c r="DR135" s="134" t="s">
        <v>15</v>
      </c>
      <c r="DS135" s="131">
        <f t="shared" si="83"/>
        <v>1372</v>
      </c>
      <c r="DT135" s="48">
        <v>18161</v>
      </c>
      <c r="DU135" s="48"/>
      <c r="DV135" s="48"/>
      <c r="DW135" s="48"/>
      <c r="DX135" s="48"/>
      <c r="DZ135" s="134" t="s">
        <v>15</v>
      </c>
      <c r="EA135" s="131">
        <f t="shared" si="87"/>
        <v>1766</v>
      </c>
      <c r="EB135" s="48">
        <v>51820</v>
      </c>
      <c r="EC135" s="48"/>
      <c r="ED135" s="48"/>
      <c r="EE135" s="48"/>
      <c r="EF135" s="48"/>
    </row>
    <row r="137" spans="1:136" ht="15.75" x14ac:dyDescent="0.2">
      <c r="B137" s="45" t="s">
        <v>131</v>
      </c>
      <c r="J137" s="45" t="s">
        <v>2999</v>
      </c>
      <c r="R137" s="45" t="s">
        <v>3001</v>
      </c>
      <c r="Z137" s="45" t="s">
        <v>210</v>
      </c>
      <c r="AH137" s="45" t="s">
        <v>3003</v>
      </c>
      <c r="AP137" s="45" t="s">
        <v>2156</v>
      </c>
      <c r="AX137" s="45" t="s">
        <v>3000</v>
      </c>
      <c r="BF137" s="45" t="s">
        <v>3002</v>
      </c>
      <c r="BN137" s="45" t="s">
        <v>297</v>
      </c>
      <c r="BV137" s="45" t="s">
        <v>296</v>
      </c>
      <c r="CD137" s="45" t="s">
        <v>292</v>
      </c>
      <c r="CL137" s="45" t="s">
        <v>294</v>
      </c>
      <c r="CT137" s="45" t="s">
        <v>6963</v>
      </c>
      <c r="DB137" s="45" t="s">
        <v>6964</v>
      </c>
      <c r="DJ137" s="45" t="s">
        <v>6966</v>
      </c>
      <c r="DR137" s="45" t="s">
        <v>6965</v>
      </c>
      <c r="DZ137" s="45" t="s">
        <v>7094</v>
      </c>
    </row>
    <row r="139" spans="1:136" s="188" customFormat="1" ht="18.600000000000001" customHeight="1" x14ac:dyDescent="0.2">
      <c r="A139" s="292" t="s">
        <v>184</v>
      </c>
      <c r="B139" s="186" t="s">
        <v>106</v>
      </c>
      <c r="C139" s="187" t="s">
        <v>6962</v>
      </c>
      <c r="D139" s="187" t="s">
        <v>2169</v>
      </c>
      <c r="E139" s="187" t="s">
        <v>1553</v>
      </c>
      <c r="F139" s="187" t="s">
        <v>1522</v>
      </c>
      <c r="G139" s="187" t="s">
        <v>1304</v>
      </c>
      <c r="H139" s="187" t="s">
        <v>209</v>
      </c>
      <c r="I139" s="187"/>
      <c r="J139" s="186" t="s">
        <v>106</v>
      </c>
      <c r="K139" s="186" t="s">
        <v>7114</v>
      </c>
      <c r="L139" s="186" t="s">
        <v>6962</v>
      </c>
      <c r="M139" s="186" t="s">
        <v>2169</v>
      </c>
      <c r="N139" s="186" t="s">
        <v>1553</v>
      </c>
      <c r="O139" s="186" t="s">
        <v>1522</v>
      </c>
      <c r="P139" s="186" t="s">
        <v>1304</v>
      </c>
      <c r="R139" s="186" t="s">
        <v>106</v>
      </c>
      <c r="S139" s="186" t="s">
        <v>7114</v>
      </c>
      <c r="T139" s="186" t="s">
        <v>6962</v>
      </c>
      <c r="U139" s="186" t="s">
        <v>2169</v>
      </c>
      <c r="V139" s="186" t="s">
        <v>1553</v>
      </c>
      <c r="W139" s="186" t="s">
        <v>1522</v>
      </c>
      <c r="X139" s="186" t="s">
        <v>1304</v>
      </c>
      <c r="Z139" s="186" t="s">
        <v>106</v>
      </c>
      <c r="AA139" s="186" t="s">
        <v>7114</v>
      </c>
      <c r="AB139" s="186" t="s">
        <v>6962</v>
      </c>
      <c r="AC139" s="186" t="s">
        <v>2169</v>
      </c>
      <c r="AD139" s="186" t="s">
        <v>1553</v>
      </c>
      <c r="AE139" s="186" t="s">
        <v>1522</v>
      </c>
      <c r="AF139" s="186" t="s">
        <v>1304</v>
      </c>
      <c r="AH139" s="186" t="s">
        <v>106</v>
      </c>
      <c r="AI139" s="186" t="s">
        <v>7114</v>
      </c>
      <c r="AJ139" s="186" t="s">
        <v>6962</v>
      </c>
      <c r="AK139" s="186" t="s">
        <v>2169</v>
      </c>
      <c r="AL139" s="186" t="s">
        <v>1553</v>
      </c>
      <c r="AM139" s="186" t="s">
        <v>1522</v>
      </c>
      <c r="AN139" s="186" t="s">
        <v>1304</v>
      </c>
      <c r="AP139" s="186" t="s">
        <v>106</v>
      </c>
      <c r="AQ139" s="186" t="s">
        <v>7114</v>
      </c>
      <c r="AR139" s="186" t="s">
        <v>6962</v>
      </c>
      <c r="AS139" s="186" t="s">
        <v>2169</v>
      </c>
      <c r="AT139" s="186" t="s">
        <v>1553</v>
      </c>
      <c r="AU139" s="186" t="s">
        <v>1522</v>
      </c>
      <c r="AV139" s="186" t="s">
        <v>1304</v>
      </c>
      <c r="AX139" s="186" t="s">
        <v>106</v>
      </c>
      <c r="AY139" s="186" t="s">
        <v>7114</v>
      </c>
      <c r="AZ139" s="186" t="s">
        <v>6962</v>
      </c>
      <c r="BA139" s="186" t="s">
        <v>2169</v>
      </c>
      <c r="BB139" s="186" t="s">
        <v>1553</v>
      </c>
      <c r="BC139" s="186" t="s">
        <v>1522</v>
      </c>
      <c r="BD139" s="186" t="s">
        <v>1304</v>
      </c>
      <c r="BE139" s="187"/>
      <c r="BF139" s="186" t="s">
        <v>106</v>
      </c>
      <c r="BG139" s="186" t="s">
        <v>7114</v>
      </c>
      <c r="BH139" s="186" t="s">
        <v>6962</v>
      </c>
      <c r="BI139" s="186" t="s">
        <v>2169</v>
      </c>
      <c r="BJ139" s="186" t="s">
        <v>1553</v>
      </c>
      <c r="BK139" s="186" t="s">
        <v>1522</v>
      </c>
      <c r="BL139" s="186" t="s">
        <v>1304</v>
      </c>
      <c r="BM139" s="186"/>
      <c r="BN139" s="186" t="s">
        <v>106</v>
      </c>
      <c r="BO139" s="187" t="s">
        <v>7114</v>
      </c>
      <c r="BP139" s="187" t="s">
        <v>6962</v>
      </c>
      <c r="BQ139" s="187" t="s">
        <v>2169</v>
      </c>
      <c r="BR139" s="187" t="s">
        <v>1553</v>
      </c>
      <c r="BS139" s="187" t="s">
        <v>1522</v>
      </c>
      <c r="BT139" s="187" t="s">
        <v>1304</v>
      </c>
      <c r="BV139" s="186" t="s">
        <v>106</v>
      </c>
      <c r="BW139" s="187" t="s">
        <v>7114</v>
      </c>
      <c r="BX139" s="187" t="s">
        <v>6962</v>
      </c>
      <c r="BY139" s="187" t="s">
        <v>2169</v>
      </c>
      <c r="BZ139" s="187" t="s">
        <v>1553</v>
      </c>
      <c r="CA139" s="187" t="s">
        <v>1522</v>
      </c>
      <c r="CB139" s="187" t="s">
        <v>1304</v>
      </c>
      <c r="CC139" s="187"/>
      <c r="CD139" s="186" t="s">
        <v>106</v>
      </c>
      <c r="CE139" s="187" t="s">
        <v>7114</v>
      </c>
      <c r="CF139" s="187" t="s">
        <v>6962</v>
      </c>
      <c r="CG139" s="187" t="s">
        <v>2169</v>
      </c>
      <c r="CH139" s="187" t="s">
        <v>1553</v>
      </c>
      <c r="CI139" s="187" t="s">
        <v>1522</v>
      </c>
      <c r="CJ139" s="187" t="s">
        <v>1304</v>
      </c>
      <c r="CL139" s="186" t="s">
        <v>106</v>
      </c>
      <c r="CM139" s="187" t="s">
        <v>7114</v>
      </c>
      <c r="CN139" s="187" t="s">
        <v>6962</v>
      </c>
      <c r="CO139" s="187" t="s">
        <v>2169</v>
      </c>
      <c r="CP139" s="187" t="s">
        <v>1553</v>
      </c>
      <c r="CQ139" s="187" t="s">
        <v>1522</v>
      </c>
      <c r="CR139" s="187" t="s">
        <v>1304</v>
      </c>
      <c r="CT139" s="186" t="s">
        <v>106</v>
      </c>
      <c r="CU139" s="187" t="s">
        <v>7114</v>
      </c>
      <c r="CV139" s="187" t="s">
        <v>6962</v>
      </c>
      <c r="CW139" s="187" t="s">
        <v>2169</v>
      </c>
      <c r="CX139" s="187" t="s">
        <v>1553</v>
      </c>
      <c r="CY139" s="187" t="s">
        <v>1522</v>
      </c>
      <c r="CZ139" s="187" t="s">
        <v>1304</v>
      </c>
      <c r="DB139" s="186" t="s">
        <v>106</v>
      </c>
      <c r="DC139" s="187" t="s">
        <v>7114</v>
      </c>
      <c r="DD139" s="187" t="s">
        <v>6962</v>
      </c>
      <c r="DE139" s="187" t="s">
        <v>2169</v>
      </c>
      <c r="DF139" s="187" t="s">
        <v>1553</v>
      </c>
      <c r="DG139" s="187" t="s">
        <v>1522</v>
      </c>
      <c r="DH139" s="187" t="s">
        <v>1304</v>
      </c>
      <c r="DI139" s="187"/>
      <c r="DJ139" s="186" t="s">
        <v>106</v>
      </c>
      <c r="DK139" s="187" t="s">
        <v>7114</v>
      </c>
      <c r="DL139" s="187" t="s">
        <v>6962</v>
      </c>
      <c r="DM139" s="187" t="s">
        <v>2169</v>
      </c>
      <c r="DN139" s="187" t="s">
        <v>1553</v>
      </c>
      <c r="DO139" s="187" t="s">
        <v>1522</v>
      </c>
      <c r="DP139" s="187" t="s">
        <v>1304</v>
      </c>
      <c r="DR139" s="186" t="s">
        <v>106</v>
      </c>
      <c r="DS139" s="187" t="s">
        <v>7114</v>
      </c>
      <c r="DT139" s="187" t="s">
        <v>6962</v>
      </c>
      <c r="DU139" s="187" t="s">
        <v>2169</v>
      </c>
      <c r="DV139" s="187" t="s">
        <v>1553</v>
      </c>
      <c r="DW139" s="187" t="s">
        <v>1522</v>
      </c>
      <c r="DX139" s="187" t="s">
        <v>1304</v>
      </c>
      <c r="DZ139" s="186" t="s">
        <v>106</v>
      </c>
      <c r="EA139" s="187" t="s">
        <v>7114</v>
      </c>
      <c r="EB139" s="187" t="s">
        <v>6962</v>
      </c>
      <c r="EC139" s="187" t="s">
        <v>2169</v>
      </c>
      <c r="ED139" s="187" t="s">
        <v>1553</v>
      </c>
      <c r="EE139" s="187" t="s">
        <v>1522</v>
      </c>
      <c r="EF139" s="187" t="s">
        <v>1304</v>
      </c>
    </row>
    <row r="140" spans="1:136" x14ac:dyDescent="0.2">
      <c r="A140" s="292"/>
      <c r="B140" s="134" t="s">
        <v>143</v>
      </c>
      <c r="C14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26949</v>
      </c>
      <c r="E14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27383</v>
      </c>
      <c r="F14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27650</v>
      </c>
      <c r="G14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16053</v>
      </c>
      <c r="H14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16781</v>
      </c>
      <c r="I140" s="48"/>
      <c r="J140" s="134" t="s">
        <v>143</v>
      </c>
      <c r="K140" s="131">
        <f t="shared" ref="K140" si="88">+K60</f>
        <v>5170</v>
      </c>
      <c r="L140" s="48">
        <v>3309</v>
      </c>
      <c r="M140" s="48">
        <v>3543</v>
      </c>
      <c r="N140" s="48">
        <v>3627</v>
      </c>
      <c r="O140" s="48">
        <v>2866</v>
      </c>
      <c r="P140" s="48">
        <v>3382</v>
      </c>
      <c r="R140" s="134" t="s">
        <v>143</v>
      </c>
      <c r="S140" s="131">
        <f t="shared" ref="S140" si="89">+S60</f>
        <v>2001</v>
      </c>
      <c r="T140" s="48">
        <v>1388</v>
      </c>
      <c r="U140" s="48">
        <v>2092</v>
      </c>
      <c r="V140" s="48">
        <v>2868</v>
      </c>
      <c r="W140" s="48">
        <v>1497</v>
      </c>
      <c r="X140" s="48">
        <v>1626</v>
      </c>
      <c r="Z140" s="134" t="s">
        <v>143</v>
      </c>
      <c r="AA140" s="131">
        <f t="shared" ref="AA140" si="90">+AA60</f>
        <v>2741</v>
      </c>
      <c r="AB140" s="48">
        <v>2716</v>
      </c>
      <c r="AC140" s="48">
        <v>2872</v>
      </c>
      <c r="AD140" s="48">
        <v>3424</v>
      </c>
      <c r="AE140" s="48">
        <v>3122</v>
      </c>
      <c r="AF140" s="48">
        <v>2472</v>
      </c>
      <c r="AH140" s="134" t="s">
        <v>143</v>
      </c>
      <c r="AI140" s="131">
        <f>+AI60</f>
        <v>0</v>
      </c>
      <c r="AJ140" s="48">
        <v>3632</v>
      </c>
      <c r="AK140" s="48">
        <v>3155</v>
      </c>
      <c r="AL140" s="48">
        <v>2214</v>
      </c>
      <c r="AM140" s="48">
        <v>1258</v>
      </c>
      <c r="AN140" s="48">
        <v>1651</v>
      </c>
      <c r="AP140" s="134" t="s">
        <v>143</v>
      </c>
      <c r="AQ140" s="131">
        <f t="shared" ref="AQ140" si="91">+AQ60</f>
        <v>3199</v>
      </c>
      <c r="AR140" s="48">
        <v>2980</v>
      </c>
      <c r="AS140" s="48">
        <v>2503</v>
      </c>
      <c r="AT140" s="48">
        <v>2195</v>
      </c>
      <c r="AU140" s="48">
        <v>1567</v>
      </c>
      <c r="AV140" s="48">
        <v>0</v>
      </c>
      <c r="AX140" s="134" t="s">
        <v>143</v>
      </c>
      <c r="AY140" s="131">
        <f>+AY60</f>
        <v>0</v>
      </c>
      <c r="AZ140" s="48">
        <v>1649</v>
      </c>
      <c r="BA140" s="48">
        <v>1083</v>
      </c>
      <c r="BB140" s="48">
        <v>1246</v>
      </c>
      <c r="BC140" s="48"/>
      <c r="BD140" s="48"/>
      <c r="BE140" s="48"/>
      <c r="BF140" s="134" t="s">
        <v>143</v>
      </c>
      <c r="BG140" s="131">
        <f>+BG60</f>
        <v>1727</v>
      </c>
      <c r="BH140" s="48">
        <v>1024</v>
      </c>
      <c r="BI140" s="48">
        <v>952</v>
      </c>
      <c r="BJ140" s="48"/>
      <c r="BK140" s="48"/>
      <c r="BL140" s="48"/>
      <c r="BM140" s="48"/>
      <c r="BN140" s="134" t="s">
        <v>143</v>
      </c>
      <c r="BO140" s="131">
        <f>+BO60</f>
        <v>3243</v>
      </c>
      <c r="BP140" s="48">
        <v>2735</v>
      </c>
      <c r="BQ140" s="48">
        <v>2373</v>
      </c>
      <c r="BR140" s="48">
        <v>2769</v>
      </c>
      <c r="BS140" s="48">
        <v>2236</v>
      </c>
      <c r="BT140" s="48">
        <v>2128</v>
      </c>
      <c r="BV140" s="134" t="s">
        <v>143</v>
      </c>
      <c r="BW140" s="131">
        <f>+BW60</f>
        <v>2658</v>
      </c>
      <c r="BX140" s="48">
        <v>2195</v>
      </c>
      <c r="BY140" s="48">
        <v>2356</v>
      </c>
      <c r="BZ140" s="48">
        <v>2130</v>
      </c>
      <c r="CA140" s="48">
        <v>1199</v>
      </c>
      <c r="CB140" s="48">
        <v>1552</v>
      </c>
      <c r="CC140" s="48"/>
      <c r="CD140" s="134" t="s">
        <v>143</v>
      </c>
      <c r="CE140" s="131">
        <f>+CE60</f>
        <v>2733</v>
      </c>
      <c r="CF140" s="48">
        <v>2464</v>
      </c>
      <c r="CG140" s="48">
        <v>2883</v>
      </c>
      <c r="CH140" s="48">
        <v>3429</v>
      </c>
      <c r="CI140" s="48">
        <v>134</v>
      </c>
      <c r="CJ140" s="48">
        <v>1723</v>
      </c>
      <c r="CL140" s="134" t="s">
        <v>143</v>
      </c>
      <c r="CM140" s="131">
        <f>+CM60</f>
        <v>4129</v>
      </c>
      <c r="CN140" s="48">
        <v>2857</v>
      </c>
      <c r="CO140" s="48">
        <v>3571</v>
      </c>
      <c r="CP140" s="48">
        <v>3748</v>
      </c>
      <c r="CQ140" s="48">
        <v>2174</v>
      </c>
      <c r="CR140" s="48">
        <v>2247</v>
      </c>
      <c r="CT140" s="134" t="s">
        <v>143</v>
      </c>
      <c r="CU140" s="131">
        <f>+CU60</f>
        <v>5537</v>
      </c>
      <c r="CV140" s="48">
        <v>5065</v>
      </c>
      <c r="CW140" s="48">
        <v>0</v>
      </c>
      <c r="CX140" s="48"/>
      <c r="CY140" s="48"/>
      <c r="CZ140" s="48"/>
      <c r="DB140" s="134" t="s">
        <v>143</v>
      </c>
      <c r="DC140" s="131">
        <f>+DC60</f>
        <v>5422</v>
      </c>
      <c r="DD140" s="48">
        <v>3573</v>
      </c>
      <c r="DE140" s="48">
        <v>0</v>
      </c>
      <c r="DF140" s="48"/>
      <c r="DG140" s="48"/>
      <c r="DH140" s="48"/>
      <c r="DI140" s="48"/>
      <c r="DJ140" s="134" t="s">
        <v>143</v>
      </c>
      <c r="DK140" s="131">
        <f>+DK60</f>
        <v>2631</v>
      </c>
      <c r="DL140" s="48">
        <v>5429</v>
      </c>
      <c r="DM140" s="48">
        <v>0</v>
      </c>
      <c r="DN140" s="48"/>
      <c r="DO140" s="48"/>
      <c r="DP140" s="48"/>
      <c r="DR140" s="134" t="s">
        <v>143</v>
      </c>
      <c r="DS140" s="131">
        <f>+DS60</f>
        <v>3082</v>
      </c>
      <c r="DT140" s="48">
        <v>3024</v>
      </c>
      <c r="DU140" s="48">
        <v>0</v>
      </c>
      <c r="DV140" s="48"/>
      <c r="DW140" s="48"/>
      <c r="DX140" s="48"/>
      <c r="DZ140" s="134" t="s">
        <v>143</v>
      </c>
      <c r="EA140" s="131">
        <f>+EA60</f>
        <v>1675</v>
      </c>
      <c r="EB140" s="48"/>
      <c r="EC140" s="48">
        <v>0</v>
      </c>
      <c r="ED140" s="48"/>
      <c r="EE140" s="48"/>
      <c r="EF140" s="48"/>
    </row>
    <row r="141" spans="1:136" x14ac:dyDescent="0.2">
      <c r="A141" s="292"/>
      <c r="B141" s="134" t="s">
        <v>5</v>
      </c>
      <c r="C14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53545</v>
      </c>
      <c r="E14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52514</v>
      </c>
      <c r="F14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55413</v>
      </c>
      <c r="G14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34763</v>
      </c>
      <c r="H14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32585</v>
      </c>
      <c r="I141" s="48"/>
      <c r="J141" s="134" t="s">
        <v>5</v>
      </c>
      <c r="K141" s="131">
        <f>K140+K61</f>
        <v>5170</v>
      </c>
      <c r="L141" s="48">
        <v>6849</v>
      </c>
      <c r="M141" s="48">
        <v>7107</v>
      </c>
      <c r="N141" s="48">
        <v>7492</v>
      </c>
      <c r="O141" s="48">
        <v>5876</v>
      </c>
      <c r="P141" s="48">
        <v>6604</v>
      </c>
      <c r="R141" s="134" t="s">
        <v>5</v>
      </c>
      <c r="S141" s="131">
        <f t="shared" ref="S141:S147" si="92">S140+S61</f>
        <v>2001</v>
      </c>
      <c r="T141" s="48">
        <v>3086</v>
      </c>
      <c r="U141" s="48">
        <v>4061</v>
      </c>
      <c r="V141" s="48">
        <v>5617</v>
      </c>
      <c r="W141" s="48">
        <v>3083</v>
      </c>
      <c r="X141" s="48">
        <v>3198</v>
      </c>
      <c r="Z141" s="134" t="s">
        <v>5</v>
      </c>
      <c r="AA141" s="131">
        <f t="shared" ref="AA141:AA147" si="93">AA140+AA61</f>
        <v>2741</v>
      </c>
      <c r="AB141" s="48">
        <v>5157</v>
      </c>
      <c r="AC141" s="48">
        <v>5323</v>
      </c>
      <c r="AD141" s="48">
        <v>6664</v>
      </c>
      <c r="AE141" s="48">
        <v>6124</v>
      </c>
      <c r="AF141" s="48">
        <v>4810</v>
      </c>
      <c r="AH141" s="134" t="s">
        <v>5</v>
      </c>
      <c r="AI141" s="131">
        <f>AI140+AI61</f>
        <v>0</v>
      </c>
      <c r="AJ141" s="48">
        <v>7156</v>
      </c>
      <c r="AK141" s="48">
        <v>5890</v>
      </c>
      <c r="AL141" s="48">
        <v>4483</v>
      </c>
      <c r="AM141" s="48">
        <v>3019</v>
      </c>
      <c r="AN141" s="48">
        <v>3340</v>
      </c>
      <c r="AP141" s="134" t="s">
        <v>5</v>
      </c>
      <c r="AQ141" s="131">
        <f t="shared" ref="AQ141:AQ146" si="94">AQ140+AQ61</f>
        <v>3199</v>
      </c>
      <c r="AR141" s="48">
        <v>5833</v>
      </c>
      <c r="AS141" s="48">
        <v>4716</v>
      </c>
      <c r="AT141" s="48">
        <v>4729</v>
      </c>
      <c r="AU141" s="48">
        <v>3233</v>
      </c>
      <c r="AV141" s="48">
        <v>0</v>
      </c>
      <c r="AX141" s="134" t="s">
        <v>5</v>
      </c>
      <c r="AY141" s="131">
        <f t="shared" ref="AY141:AY146" si="95">AY140+AY61</f>
        <v>0</v>
      </c>
      <c r="AZ141" s="48">
        <v>3350</v>
      </c>
      <c r="BA141" s="48">
        <v>2332</v>
      </c>
      <c r="BB141" s="48">
        <v>2590</v>
      </c>
      <c r="BC141" s="48"/>
      <c r="BD141" s="48"/>
      <c r="BE141" s="48"/>
      <c r="BF141" s="134" t="s">
        <v>5</v>
      </c>
      <c r="BG141" s="131">
        <f t="shared" ref="BG141:BG146" si="96">BG140+BG61</f>
        <v>1727</v>
      </c>
      <c r="BH141" s="48">
        <v>1982</v>
      </c>
      <c r="BI141" s="48">
        <v>1923</v>
      </c>
      <c r="BJ141" s="48"/>
      <c r="BK141" s="48"/>
      <c r="BL141" s="48"/>
      <c r="BM141" s="48"/>
      <c r="BN141" s="134" t="s">
        <v>5</v>
      </c>
      <c r="BO141" s="131">
        <f t="shared" ref="BO141:BO146" si="97">BO140+BO61</f>
        <v>3243</v>
      </c>
      <c r="BP141" s="48">
        <v>5300</v>
      </c>
      <c r="BQ141" s="48">
        <v>4590</v>
      </c>
      <c r="BR141" s="48">
        <v>5567</v>
      </c>
      <c r="BS141" s="48">
        <v>5216</v>
      </c>
      <c r="BT141" s="48">
        <v>3904</v>
      </c>
      <c r="BV141" s="134" t="s">
        <v>5</v>
      </c>
      <c r="BW141" s="131">
        <f t="shared" ref="BW141:BW146" si="98">BW140+BW61</f>
        <v>2658</v>
      </c>
      <c r="BX141" s="48">
        <v>4306</v>
      </c>
      <c r="BY141" s="48">
        <v>4472</v>
      </c>
      <c r="BZ141" s="48">
        <v>4407</v>
      </c>
      <c r="CA141" s="48">
        <v>2448</v>
      </c>
      <c r="CB141" s="48">
        <v>3061</v>
      </c>
      <c r="CC141" s="48"/>
      <c r="CD141" s="134" t="s">
        <v>5</v>
      </c>
      <c r="CE141" s="131">
        <f t="shared" ref="CE141:CE146" si="99">CE140+CE61</f>
        <v>2733</v>
      </c>
      <c r="CF141" s="48">
        <v>4741</v>
      </c>
      <c r="CG141" s="48">
        <v>5249</v>
      </c>
      <c r="CH141" s="48">
        <v>6457</v>
      </c>
      <c r="CI141" s="48">
        <v>1066</v>
      </c>
      <c r="CJ141" s="48">
        <v>3331</v>
      </c>
      <c r="CL141" s="134" t="s">
        <v>5</v>
      </c>
      <c r="CM141" s="131">
        <f t="shared" ref="CM141:CM146" si="100">CM140+CM61</f>
        <v>4129</v>
      </c>
      <c r="CN141" s="48">
        <v>5785</v>
      </c>
      <c r="CO141" s="48">
        <v>6851</v>
      </c>
      <c r="CP141" s="48">
        <v>7407</v>
      </c>
      <c r="CQ141" s="48">
        <v>4698</v>
      </c>
      <c r="CR141" s="48">
        <v>4337</v>
      </c>
      <c r="CT141" s="134" t="s">
        <v>5</v>
      </c>
      <c r="CU141" s="131">
        <f t="shared" ref="CU141:CU146" si="101">CU140+CU61</f>
        <v>5537</v>
      </c>
      <c r="CV141" s="48">
        <v>9820</v>
      </c>
      <c r="CW141" s="48">
        <v>0</v>
      </c>
      <c r="CX141" s="48"/>
      <c r="CY141" s="48"/>
      <c r="CZ141" s="48"/>
      <c r="DB141" s="134" t="s">
        <v>5</v>
      </c>
      <c r="DC141" s="131">
        <f>DC140+DC61</f>
        <v>5422</v>
      </c>
      <c r="DD141" s="48">
        <v>7358</v>
      </c>
      <c r="DE141" s="48">
        <v>0</v>
      </c>
      <c r="DF141" s="48"/>
      <c r="DG141" s="48"/>
      <c r="DH141" s="48"/>
      <c r="DI141" s="48"/>
      <c r="DJ141" s="134" t="s">
        <v>5</v>
      </c>
      <c r="DK141" s="131">
        <f t="shared" ref="DK141:DK146" si="102">DK140+DK61</f>
        <v>2631</v>
      </c>
      <c r="DL141" s="48">
        <v>11061</v>
      </c>
      <c r="DM141" s="48">
        <v>0</v>
      </c>
      <c r="DN141" s="48"/>
      <c r="DO141" s="48"/>
      <c r="DP141" s="48"/>
      <c r="DR141" s="134" t="s">
        <v>5</v>
      </c>
      <c r="DS141" s="131">
        <f t="shared" ref="DS141:DS146" si="103">DS140+DS61</f>
        <v>3082</v>
      </c>
      <c r="DT141" s="48">
        <v>5708</v>
      </c>
      <c r="DU141" s="48">
        <v>0</v>
      </c>
      <c r="DV141" s="48"/>
      <c r="DW141" s="48"/>
      <c r="DX141" s="48"/>
      <c r="DZ141" s="134" t="s">
        <v>5</v>
      </c>
      <c r="EA141" s="131">
        <f t="shared" ref="EA141:EA147" si="104">EA140+EA61</f>
        <v>1675</v>
      </c>
      <c r="EB141" s="48"/>
      <c r="EC141" s="48">
        <v>0</v>
      </c>
      <c r="ED141" s="48"/>
      <c r="EE141" s="48"/>
      <c r="EF141" s="48"/>
    </row>
    <row r="142" spans="1:136" x14ac:dyDescent="0.2">
      <c r="A142" s="292"/>
      <c r="B142" s="134" t="s">
        <v>7</v>
      </c>
      <c r="C142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2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83705</v>
      </c>
      <c r="E142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76953</v>
      </c>
      <c r="F142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81794</v>
      </c>
      <c r="G142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55533</v>
      </c>
      <c r="H142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39538</v>
      </c>
      <c r="I142" s="48"/>
      <c r="J142" s="134" t="s">
        <v>7</v>
      </c>
      <c r="K142" s="131">
        <f t="shared" ref="K142:K148" si="105">K141+K62</f>
        <v>5170</v>
      </c>
      <c r="L142" s="48">
        <v>10778</v>
      </c>
      <c r="M142" s="48">
        <v>10459</v>
      </c>
      <c r="N142" s="48">
        <v>11289</v>
      </c>
      <c r="O142" s="48">
        <v>9247</v>
      </c>
      <c r="P142" s="48">
        <v>8165</v>
      </c>
      <c r="R142" s="134" t="s">
        <v>7</v>
      </c>
      <c r="S142" s="131">
        <f t="shared" si="92"/>
        <v>2001</v>
      </c>
      <c r="T142" s="48">
        <v>5371</v>
      </c>
      <c r="U142" s="48">
        <v>6012</v>
      </c>
      <c r="V142" s="48">
        <v>8038</v>
      </c>
      <c r="W142" s="48">
        <v>4846</v>
      </c>
      <c r="X142" s="48">
        <v>3962</v>
      </c>
      <c r="Z142" s="134" t="s">
        <v>7</v>
      </c>
      <c r="AA142" s="131">
        <f t="shared" si="93"/>
        <v>2741</v>
      </c>
      <c r="AB142" s="48">
        <v>7964</v>
      </c>
      <c r="AC142" s="48">
        <v>7650</v>
      </c>
      <c r="AD142" s="48">
        <v>9747</v>
      </c>
      <c r="AE142" s="48">
        <v>9131</v>
      </c>
      <c r="AF142" s="48">
        <v>6096</v>
      </c>
      <c r="AH142" s="134" t="s">
        <v>7</v>
      </c>
      <c r="AI142" s="131">
        <f>AI141+AI62</f>
        <v>0</v>
      </c>
      <c r="AJ142" s="48">
        <v>10913</v>
      </c>
      <c r="AK142" s="48">
        <v>8717</v>
      </c>
      <c r="AL142" s="48">
        <v>6953</v>
      </c>
      <c r="AM142" s="48">
        <v>4786</v>
      </c>
      <c r="AN142" s="48">
        <v>3386</v>
      </c>
      <c r="AP142" s="134" t="s">
        <v>7</v>
      </c>
      <c r="AQ142" s="131">
        <f t="shared" si="94"/>
        <v>3199</v>
      </c>
      <c r="AR142" s="48">
        <v>9203</v>
      </c>
      <c r="AS142" s="48">
        <v>6997</v>
      </c>
      <c r="AT142" s="48">
        <v>7049</v>
      </c>
      <c r="AU142" s="48">
        <v>5392</v>
      </c>
      <c r="AV142" s="48">
        <v>0</v>
      </c>
      <c r="AX142" s="134" t="s">
        <v>7</v>
      </c>
      <c r="AY142" s="131">
        <f t="shared" si="95"/>
        <v>0</v>
      </c>
      <c r="AZ142" s="48">
        <v>5320</v>
      </c>
      <c r="BA142" s="48">
        <v>3594</v>
      </c>
      <c r="BB142" s="48">
        <v>3751</v>
      </c>
      <c r="BC142" s="48"/>
      <c r="BD142" s="48"/>
      <c r="BE142" s="48"/>
      <c r="BF142" s="134" t="s">
        <v>7</v>
      </c>
      <c r="BG142" s="131">
        <f t="shared" si="96"/>
        <v>1727</v>
      </c>
      <c r="BH142" s="48">
        <v>3036</v>
      </c>
      <c r="BI142" s="48">
        <v>2755</v>
      </c>
      <c r="BJ142" s="48"/>
      <c r="BK142" s="48"/>
      <c r="BL142" s="48"/>
      <c r="BM142" s="48"/>
      <c r="BN142" s="134" t="s">
        <v>7</v>
      </c>
      <c r="BO142" s="131">
        <f t="shared" si="97"/>
        <v>3243</v>
      </c>
      <c r="BP142" s="48">
        <v>8021</v>
      </c>
      <c r="BQ142" s="48">
        <v>6843</v>
      </c>
      <c r="BR142" s="48">
        <v>8374</v>
      </c>
      <c r="BS142" s="48">
        <v>8388</v>
      </c>
      <c r="BT142" s="48">
        <v>4796</v>
      </c>
      <c r="BV142" s="134" t="s">
        <v>7</v>
      </c>
      <c r="BW142" s="131">
        <f t="shared" si="98"/>
        <v>2658</v>
      </c>
      <c r="BX142" s="48">
        <v>6598</v>
      </c>
      <c r="BY142" s="48">
        <v>6528</v>
      </c>
      <c r="BZ142" s="48">
        <v>6478</v>
      </c>
      <c r="CA142" s="48">
        <v>3907</v>
      </c>
      <c r="CB142" s="48">
        <v>3762</v>
      </c>
      <c r="CC142" s="48"/>
      <c r="CD142" s="134" t="s">
        <v>7</v>
      </c>
      <c r="CE142" s="131">
        <f t="shared" si="99"/>
        <v>2733</v>
      </c>
      <c r="CF142" s="48">
        <v>7235</v>
      </c>
      <c r="CG142" s="48">
        <v>7482</v>
      </c>
      <c r="CH142" s="48">
        <v>9342</v>
      </c>
      <c r="CI142" s="48">
        <v>2521</v>
      </c>
      <c r="CJ142" s="48">
        <v>4048</v>
      </c>
      <c r="CL142" s="134" t="s">
        <v>7</v>
      </c>
      <c r="CM142" s="131">
        <f t="shared" si="100"/>
        <v>4129</v>
      </c>
      <c r="CN142" s="48">
        <v>9266</v>
      </c>
      <c r="CO142" s="48">
        <v>9916</v>
      </c>
      <c r="CP142" s="48">
        <v>10773</v>
      </c>
      <c r="CQ142" s="48">
        <v>7315</v>
      </c>
      <c r="CR142" s="48">
        <v>5323</v>
      </c>
      <c r="CT142" s="134" t="s">
        <v>7</v>
      </c>
      <c r="CU142" s="131">
        <f t="shared" si="101"/>
        <v>5537</v>
      </c>
      <c r="CV142" s="48">
        <v>15298</v>
      </c>
      <c r="CW142" s="48">
        <v>0</v>
      </c>
      <c r="CX142" s="48"/>
      <c r="CY142" s="48"/>
      <c r="CZ142" s="48"/>
      <c r="DB142" s="134" t="s">
        <v>7</v>
      </c>
      <c r="DC142" s="131">
        <f>DC141+DC62</f>
        <v>5422</v>
      </c>
      <c r="DD142" s="48">
        <v>11667</v>
      </c>
      <c r="DE142" s="48">
        <v>0</v>
      </c>
      <c r="DF142" s="48"/>
      <c r="DG142" s="48"/>
      <c r="DH142" s="48"/>
      <c r="DI142" s="48"/>
      <c r="DJ142" s="134" t="s">
        <v>7</v>
      </c>
      <c r="DK142" s="131">
        <f t="shared" si="102"/>
        <v>2631</v>
      </c>
      <c r="DL142" s="48">
        <v>16695</v>
      </c>
      <c r="DM142" s="48">
        <v>0</v>
      </c>
      <c r="DN142" s="48"/>
      <c r="DO142" s="48"/>
      <c r="DP142" s="48"/>
      <c r="DR142" s="134" t="s">
        <v>7</v>
      </c>
      <c r="DS142" s="131">
        <f t="shared" si="103"/>
        <v>3082</v>
      </c>
      <c r="DT142" s="48">
        <v>8995</v>
      </c>
      <c r="DU142" s="48">
        <v>0</v>
      </c>
      <c r="DV142" s="48"/>
      <c r="DW142" s="48"/>
      <c r="DX142" s="48"/>
      <c r="DZ142" s="134" t="s">
        <v>7</v>
      </c>
      <c r="EA142" s="131">
        <f t="shared" si="104"/>
        <v>1675</v>
      </c>
      <c r="EB142" s="48"/>
      <c r="EC142" s="48">
        <v>0</v>
      </c>
      <c r="ED142" s="48"/>
      <c r="EE142" s="48"/>
      <c r="EF142" s="48"/>
    </row>
    <row r="143" spans="1:136" x14ac:dyDescent="0.2">
      <c r="A143" s="292"/>
      <c r="B143" s="134" t="s">
        <v>9</v>
      </c>
      <c r="C143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3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114717</v>
      </c>
      <c r="E143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103576</v>
      </c>
      <c r="F143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106049</v>
      </c>
      <c r="G143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78236</v>
      </c>
      <c r="H143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39538.000010000003</v>
      </c>
      <c r="I143" s="48"/>
      <c r="J143" s="134" t="s">
        <v>9</v>
      </c>
      <c r="K143" s="131">
        <f t="shared" si="105"/>
        <v>5170</v>
      </c>
      <c r="L143" s="48">
        <v>14936</v>
      </c>
      <c r="M143" s="48">
        <v>13836</v>
      </c>
      <c r="N143" s="48">
        <v>14767</v>
      </c>
      <c r="O143" s="48">
        <v>12881</v>
      </c>
      <c r="P143" s="48">
        <v>8165.0000099999997</v>
      </c>
      <c r="R143" s="134" t="s">
        <v>9</v>
      </c>
      <c r="S143" s="131">
        <f t="shared" si="92"/>
        <v>2001</v>
      </c>
      <c r="T143" s="48">
        <v>7620</v>
      </c>
      <c r="U143" s="48">
        <v>7952</v>
      </c>
      <c r="V143" s="48">
        <v>10268</v>
      </c>
      <c r="W143" s="48">
        <v>6762</v>
      </c>
      <c r="X143" s="48">
        <v>3962</v>
      </c>
      <c r="Z143" s="134" t="s">
        <v>9</v>
      </c>
      <c r="AA143" s="131">
        <f t="shared" si="93"/>
        <v>2741</v>
      </c>
      <c r="AB143" s="48">
        <v>10853</v>
      </c>
      <c r="AC143" s="48">
        <v>10136</v>
      </c>
      <c r="AD143" s="48">
        <v>12287</v>
      </c>
      <c r="AE143" s="48">
        <v>12608</v>
      </c>
      <c r="AF143" s="48">
        <v>6096</v>
      </c>
      <c r="AH143" s="134" t="s">
        <v>9</v>
      </c>
      <c r="AI143" s="131">
        <f t="shared" ref="AI143:AI151" si="106">AI142+AI63</f>
        <v>0</v>
      </c>
      <c r="AJ143" s="48">
        <v>14958</v>
      </c>
      <c r="AK143" s="48">
        <v>11898</v>
      </c>
      <c r="AL143" s="48">
        <v>9007</v>
      </c>
      <c r="AM143" s="48">
        <v>6928</v>
      </c>
      <c r="AN143" s="48">
        <v>3386</v>
      </c>
      <c r="AP143" s="134" t="s">
        <v>9</v>
      </c>
      <c r="AQ143" s="131">
        <f t="shared" si="94"/>
        <v>3199</v>
      </c>
      <c r="AR143" s="48">
        <v>12778</v>
      </c>
      <c r="AS143" s="48">
        <v>9491</v>
      </c>
      <c r="AT143" s="48">
        <v>9047</v>
      </c>
      <c r="AU143" s="48">
        <v>7839</v>
      </c>
      <c r="AV143" s="48">
        <v>0</v>
      </c>
      <c r="AX143" s="134" t="s">
        <v>9</v>
      </c>
      <c r="AY143" s="131">
        <f t="shared" si="95"/>
        <v>0</v>
      </c>
      <c r="AZ143" s="48">
        <v>7154</v>
      </c>
      <c r="BA143" s="48">
        <v>5204</v>
      </c>
      <c r="BB143" s="48">
        <v>4900</v>
      </c>
      <c r="BC143" s="48"/>
      <c r="BD143" s="48"/>
      <c r="BE143" s="48"/>
      <c r="BF143" s="134" t="s">
        <v>9</v>
      </c>
      <c r="BG143" s="131">
        <f t="shared" si="96"/>
        <v>1727</v>
      </c>
      <c r="BH143" s="48">
        <v>4229</v>
      </c>
      <c r="BI143" s="48">
        <v>3817</v>
      </c>
      <c r="BJ143" s="48"/>
      <c r="BK143" s="48"/>
      <c r="BL143" s="48"/>
      <c r="BM143" s="48"/>
      <c r="BN143" s="134" t="s">
        <v>9</v>
      </c>
      <c r="BO143" s="131">
        <f t="shared" si="97"/>
        <v>3243</v>
      </c>
      <c r="BP143" s="48">
        <v>10935</v>
      </c>
      <c r="BQ143" s="48">
        <v>9316</v>
      </c>
      <c r="BR143" s="48">
        <v>10934</v>
      </c>
      <c r="BS143" s="48">
        <v>11217</v>
      </c>
      <c r="BT143" s="48">
        <v>4796</v>
      </c>
      <c r="BV143" s="134" t="s">
        <v>9</v>
      </c>
      <c r="BW143" s="131">
        <f t="shared" si="98"/>
        <v>2658</v>
      </c>
      <c r="BX143" s="48">
        <v>9037</v>
      </c>
      <c r="BY143" s="48">
        <v>8656</v>
      </c>
      <c r="BZ143" s="48">
        <v>8663</v>
      </c>
      <c r="CA143" s="48">
        <v>5675</v>
      </c>
      <c r="CB143" s="48">
        <v>3762</v>
      </c>
      <c r="CC143" s="48"/>
      <c r="CD143" s="134" t="s">
        <v>9</v>
      </c>
      <c r="CE143" s="131">
        <f t="shared" si="99"/>
        <v>2733</v>
      </c>
      <c r="CF143" s="48">
        <v>9662</v>
      </c>
      <c r="CG143" s="48">
        <v>9820</v>
      </c>
      <c r="CH143" s="48">
        <v>12075</v>
      </c>
      <c r="CI143" s="48">
        <v>4305</v>
      </c>
      <c r="CJ143" s="48">
        <v>4048</v>
      </c>
      <c r="CL143" s="134" t="s">
        <v>9</v>
      </c>
      <c r="CM143" s="131">
        <f t="shared" si="100"/>
        <v>4129</v>
      </c>
      <c r="CN143" s="48">
        <v>12555</v>
      </c>
      <c r="CO143" s="48">
        <v>13450</v>
      </c>
      <c r="CP143" s="48">
        <v>14101</v>
      </c>
      <c r="CQ143" s="48">
        <v>10021</v>
      </c>
      <c r="CR143" s="48">
        <v>5323</v>
      </c>
      <c r="CT143" s="134" t="s">
        <v>9</v>
      </c>
      <c r="CU143" s="131">
        <f t="shared" si="101"/>
        <v>5537</v>
      </c>
      <c r="CV143" s="48">
        <v>20301</v>
      </c>
      <c r="CW143" s="48">
        <v>0</v>
      </c>
      <c r="CX143" s="48"/>
      <c r="CY143" s="48"/>
      <c r="CZ143" s="48"/>
      <c r="DB143" s="134" t="s">
        <v>9</v>
      </c>
      <c r="DC143" s="131">
        <f>DC142+DC63</f>
        <v>5422</v>
      </c>
      <c r="DD143" s="48">
        <v>15703</v>
      </c>
      <c r="DE143" s="48">
        <v>0</v>
      </c>
      <c r="DF143" s="48"/>
      <c r="DG143" s="48"/>
      <c r="DH143" s="48"/>
      <c r="DI143" s="48"/>
      <c r="DJ143" s="134" t="s">
        <v>9</v>
      </c>
      <c r="DK143" s="131">
        <f t="shared" si="102"/>
        <v>2631</v>
      </c>
      <c r="DL143" s="48">
        <v>22146</v>
      </c>
      <c r="DM143" s="48">
        <v>0</v>
      </c>
      <c r="DN143" s="48"/>
      <c r="DO143" s="48"/>
      <c r="DP143" s="48"/>
      <c r="DR143" s="134" t="s">
        <v>9</v>
      </c>
      <c r="DS143" s="131">
        <f t="shared" si="103"/>
        <v>3082</v>
      </c>
      <c r="DT143" s="48">
        <v>12001</v>
      </c>
      <c r="DU143" s="48">
        <v>0</v>
      </c>
      <c r="DV143" s="48"/>
      <c r="DW143" s="48"/>
      <c r="DX143" s="48"/>
      <c r="DZ143" s="134" t="s">
        <v>9</v>
      </c>
      <c r="EA143" s="131">
        <f t="shared" si="104"/>
        <v>1675</v>
      </c>
      <c r="EB143" s="48"/>
      <c r="EC143" s="48">
        <v>0</v>
      </c>
      <c r="ED143" s="48"/>
      <c r="EE143" s="48"/>
      <c r="EF143" s="48"/>
    </row>
    <row r="144" spans="1:136" x14ac:dyDescent="0.2">
      <c r="A144" s="292"/>
      <c r="B144" s="134" t="s">
        <v>11</v>
      </c>
      <c r="C144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4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146307</v>
      </c>
      <c r="E144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131433</v>
      </c>
      <c r="F144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131892</v>
      </c>
      <c r="G144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109753</v>
      </c>
      <c r="H144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43146.000010000003</v>
      </c>
      <c r="I144" s="48"/>
      <c r="J144" s="134" t="s">
        <v>11</v>
      </c>
      <c r="K144" s="131">
        <f t="shared" si="105"/>
        <v>5170</v>
      </c>
      <c r="L144" s="48">
        <v>19172</v>
      </c>
      <c r="M144" s="48">
        <v>17347</v>
      </c>
      <c r="N144" s="48">
        <v>18065</v>
      </c>
      <c r="O144" s="48">
        <v>17403</v>
      </c>
      <c r="P144" s="48">
        <v>9372.0000099999997</v>
      </c>
      <c r="R144" s="134" t="s">
        <v>11</v>
      </c>
      <c r="S144" s="131">
        <f t="shared" si="92"/>
        <v>2001</v>
      </c>
      <c r="T144" s="48">
        <v>9810</v>
      </c>
      <c r="U144" s="48">
        <v>9958</v>
      </c>
      <c r="V144" s="48">
        <v>12279</v>
      </c>
      <c r="W144" s="48">
        <v>9276</v>
      </c>
      <c r="X144" s="48">
        <v>4338</v>
      </c>
      <c r="Z144" s="134" t="s">
        <v>11</v>
      </c>
      <c r="AA144" s="131">
        <f t="shared" si="93"/>
        <v>2741</v>
      </c>
      <c r="AB144" s="48">
        <v>13337</v>
      </c>
      <c r="AC144" s="48">
        <v>12539</v>
      </c>
      <c r="AD144" s="48">
        <v>15130</v>
      </c>
      <c r="AE144" s="48">
        <v>16595</v>
      </c>
      <c r="AF144" s="48">
        <v>7419</v>
      </c>
      <c r="AH144" s="134" t="s">
        <v>11</v>
      </c>
      <c r="AI144" s="131">
        <f t="shared" si="106"/>
        <v>0</v>
      </c>
      <c r="AJ144" s="48">
        <v>19022</v>
      </c>
      <c r="AK144" s="48">
        <v>15180</v>
      </c>
      <c r="AL144" s="48">
        <v>11327</v>
      </c>
      <c r="AM144" s="48">
        <v>10020</v>
      </c>
      <c r="AN144" s="48">
        <v>3407</v>
      </c>
      <c r="AP144" s="134" t="s">
        <v>11</v>
      </c>
      <c r="AQ144" s="131">
        <f t="shared" si="94"/>
        <v>3199</v>
      </c>
      <c r="AR144" s="48">
        <v>15981</v>
      </c>
      <c r="AS144" s="48">
        <v>12260</v>
      </c>
      <c r="AT144" s="48">
        <v>11362</v>
      </c>
      <c r="AU144" s="48">
        <v>10671</v>
      </c>
      <c r="AV144" s="48">
        <v>0</v>
      </c>
      <c r="AX144" s="134" t="s">
        <v>11</v>
      </c>
      <c r="AY144" s="131">
        <f t="shared" si="95"/>
        <v>0</v>
      </c>
      <c r="AZ144" s="48">
        <v>9072</v>
      </c>
      <c r="BA144" s="48">
        <v>6863</v>
      </c>
      <c r="BB144" s="48">
        <v>6110</v>
      </c>
      <c r="BC144" s="48"/>
      <c r="BD144" s="48"/>
      <c r="BE144" s="48"/>
      <c r="BF144" s="134" t="s">
        <v>11</v>
      </c>
      <c r="BG144" s="131">
        <f t="shared" si="96"/>
        <v>1727</v>
      </c>
      <c r="BH144" s="48">
        <v>5617</v>
      </c>
      <c r="BI144" s="48">
        <v>4957</v>
      </c>
      <c r="BJ144" s="48"/>
      <c r="BK144" s="48"/>
      <c r="BL144" s="48"/>
      <c r="BM144" s="48"/>
      <c r="BN144" s="134" t="s">
        <v>11</v>
      </c>
      <c r="BO144" s="131">
        <f t="shared" si="97"/>
        <v>3243</v>
      </c>
      <c r="BP144" s="48">
        <v>13951</v>
      </c>
      <c r="BQ144" s="48">
        <v>12012</v>
      </c>
      <c r="BR144" s="48">
        <v>13620</v>
      </c>
      <c r="BS144" s="48">
        <v>15149</v>
      </c>
      <c r="BT144" s="48">
        <v>4796</v>
      </c>
      <c r="BV144" s="134" t="s">
        <v>11</v>
      </c>
      <c r="BW144" s="131">
        <f t="shared" si="98"/>
        <v>2658</v>
      </c>
      <c r="BX144" s="48">
        <v>11512</v>
      </c>
      <c r="BY144" s="48">
        <v>10959</v>
      </c>
      <c r="BZ144" s="48">
        <v>10969</v>
      </c>
      <c r="CA144" s="48">
        <v>8262</v>
      </c>
      <c r="CB144" s="48">
        <v>4174</v>
      </c>
      <c r="CC144" s="48"/>
      <c r="CD144" s="134" t="s">
        <v>11</v>
      </c>
      <c r="CE144" s="131">
        <f t="shared" si="99"/>
        <v>2733</v>
      </c>
      <c r="CF144" s="48">
        <v>12876</v>
      </c>
      <c r="CG144" s="48">
        <v>12243</v>
      </c>
      <c r="CH144" s="48">
        <v>15390</v>
      </c>
      <c r="CI144" s="48">
        <v>8402</v>
      </c>
      <c r="CJ144" s="48">
        <v>4056</v>
      </c>
      <c r="CL144" s="134" t="s">
        <v>11</v>
      </c>
      <c r="CM144" s="131">
        <f t="shared" si="100"/>
        <v>4129</v>
      </c>
      <c r="CN144" s="48">
        <v>15957</v>
      </c>
      <c r="CO144" s="48">
        <v>17115</v>
      </c>
      <c r="CP144" s="48">
        <v>17640</v>
      </c>
      <c r="CQ144" s="48">
        <v>13975</v>
      </c>
      <c r="CR144" s="48">
        <v>5584</v>
      </c>
      <c r="CT144" s="134" t="s">
        <v>11</v>
      </c>
      <c r="CU144" s="131">
        <f t="shared" si="101"/>
        <v>5537</v>
      </c>
      <c r="CV144" s="48">
        <v>25275</v>
      </c>
      <c r="CW144" s="48">
        <v>0</v>
      </c>
      <c r="CX144" s="48"/>
      <c r="CY144" s="48"/>
      <c r="CZ144" s="48"/>
      <c r="DB144" s="134" t="s">
        <v>11</v>
      </c>
      <c r="DC144" s="131">
        <f t="shared" ref="DC144:DC151" si="107">DC143+DC64</f>
        <v>5422</v>
      </c>
      <c r="DD144" s="48">
        <v>19637</v>
      </c>
      <c r="DE144" s="48">
        <v>0</v>
      </c>
      <c r="DF144" s="48"/>
      <c r="DG144" s="48"/>
      <c r="DH144" s="48"/>
      <c r="DI144" s="48"/>
      <c r="DJ144" s="134" t="s">
        <v>11</v>
      </c>
      <c r="DK144" s="131">
        <f t="shared" si="102"/>
        <v>2631</v>
      </c>
      <c r="DL144" s="48">
        <v>27805</v>
      </c>
      <c r="DM144" s="48">
        <v>0</v>
      </c>
      <c r="DN144" s="48"/>
      <c r="DO144" s="48"/>
      <c r="DP144" s="48"/>
      <c r="DR144" s="134" t="s">
        <v>11</v>
      </c>
      <c r="DS144" s="131">
        <f t="shared" si="103"/>
        <v>3082</v>
      </c>
      <c r="DT144" s="48">
        <v>15114</v>
      </c>
      <c r="DU144" s="48">
        <v>0</v>
      </c>
      <c r="DV144" s="48"/>
      <c r="DW144" s="48"/>
      <c r="DX144" s="48"/>
      <c r="DZ144" s="134" t="s">
        <v>11</v>
      </c>
      <c r="EA144" s="131">
        <f t="shared" si="104"/>
        <v>1675</v>
      </c>
      <c r="EB144" s="48"/>
      <c r="EC144" s="48">
        <v>0</v>
      </c>
      <c r="ED144" s="48"/>
      <c r="EE144" s="48"/>
      <c r="EF144" s="48"/>
    </row>
    <row r="145" spans="1:136" x14ac:dyDescent="0.2">
      <c r="A145" s="292"/>
      <c r="B145" s="134" t="s">
        <v>0</v>
      </c>
      <c r="C145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5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177548</v>
      </c>
      <c r="E145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157643</v>
      </c>
      <c r="F145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156464</v>
      </c>
      <c r="G145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138104</v>
      </c>
      <c r="H145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55152.000010000003</v>
      </c>
      <c r="I145" s="48"/>
      <c r="J145" s="134" t="s">
        <v>0</v>
      </c>
      <c r="K145" s="131">
        <f t="shared" si="105"/>
        <v>5170</v>
      </c>
      <c r="L145" s="48">
        <v>23255</v>
      </c>
      <c r="M145" s="48">
        <v>20696</v>
      </c>
      <c r="N145" s="48">
        <v>21250</v>
      </c>
      <c r="O145" s="48">
        <v>21795</v>
      </c>
      <c r="P145" s="48">
        <v>11632.00001</v>
      </c>
      <c r="R145" s="134" t="s">
        <v>0</v>
      </c>
      <c r="S145" s="131">
        <f t="shared" si="92"/>
        <v>2001</v>
      </c>
      <c r="T145" s="48">
        <v>11822</v>
      </c>
      <c r="U145" s="48">
        <v>11906</v>
      </c>
      <c r="V145" s="48">
        <v>14249</v>
      </c>
      <c r="W145" s="48">
        <v>11992</v>
      </c>
      <c r="X145" s="48">
        <v>5623</v>
      </c>
      <c r="Z145" s="134" t="s">
        <v>0</v>
      </c>
      <c r="AA145" s="131">
        <f t="shared" si="93"/>
        <v>2741</v>
      </c>
      <c r="AB145" s="48">
        <v>15866</v>
      </c>
      <c r="AC145" s="48">
        <v>14902</v>
      </c>
      <c r="AD145" s="48">
        <v>17668</v>
      </c>
      <c r="AE145" s="48">
        <v>19998</v>
      </c>
      <c r="AF145" s="48">
        <v>9553</v>
      </c>
      <c r="AH145" s="134" t="s">
        <v>0</v>
      </c>
      <c r="AI145" s="131">
        <f t="shared" si="106"/>
        <v>0</v>
      </c>
      <c r="AJ145" s="48">
        <v>22854</v>
      </c>
      <c r="AK145" s="48">
        <v>18335</v>
      </c>
      <c r="AL145" s="48">
        <v>13533</v>
      </c>
      <c r="AM145" s="48">
        <v>13258</v>
      </c>
      <c r="AN145" s="48">
        <v>4448</v>
      </c>
      <c r="AP145" s="134" t="s">
        <v>0</v>
      </c>
      <c r="AQ145" s="131">
        <f t="shared" si="94"/>
        <v>3199</v>
      </c>
      <c r="AR145" s="48">
        <v>18866</v>
      </c>
      <c r="AS145" s="48">
        <v>14775</v>
      </c>
      <c r="AT145" s="48">
        <v>13606</v>
      </c>
      <c r="AU145" s="48">
        <v>11952</v>
      </c>
      <c r="AV145" s="48">
        <v>0</v>
      </c>
      <c r="AX145" s="134" t="s">
        <v>0</v>
      </c>
      <c r="AY145" s="131">
        <f t="shared" si="95"/>
        <v>0</v>
      </c>
      <c r="AZ145" s="48">
        <v>11031</v>
      </c>
      <c r="BA145" s="48">
        <v>8414</v>
      </c>
      <c r="BB145" s="48">
        <v>7235</v>
      </c>
      <c r="BC145" s="48"/>
      <c r="BD145" s="48"/>
      <c r="BE145" s="48"/>
      <c r="BF145" s="134" t="s">
        <v>0</v>
      </c>
      <c r="BG145" s="131">
        <f t="shared" si="96"/>
        <v>1727</v>
      </c>
      <c r="BH145" s="48">
        <v>7261</v>
      </c>
      <c r="BI145" s="48">
        <v>6090</v>
      </c>
      <c r="BJ145" s="48"/>
      <c r="BK145" s="48"/>
      <c r="BL145" s="48"/>
      <c r="BM145" s="48"/>
      <c r="BN145" s="134" t="s">
        <v>0</v>
      </c>
      <c r="BO145" s="131">
        <f t="shared" si="97"/>
        <v>3243</v>
      </c>
      <c r="BP145" s="48">
        <v>16836</v>
      </c>
      <c r="BQ145" s="48">
        <v>14572</v>
      </c>
      <c r="BR145" s="48">
        <v>15975</v>
      </c>
      <c r="BS145" s="48">
        <v>18774</v>
      </c>
      <c r="BT145" s="48">
        <v>5888</v>
      </c>
      <c r="BV145" s="134" t="s">
        <v>0</v>
      </c>
      <c r="BW145" s="131">
        <f t="shared" si="98"/>
        <v>2658</v>
      </c>
      <c r="BX145" s="48">
        <v>13841</v>
      </c>
      <c r="BY145" s="48">
        <v>13041</v>
      </c>
      <c r="BZ145" s="48">
        <v>13229</v>
      </c>
      <c r="CA145" s="48">
        <v>10831</v>
      </c>
      <c r="CB145" s="48">
        <v>5649</v>
      </c>
      <c r="CC145" s="48"/>
      <c r="CD145" s="134" t="s">
        <v>0</v>
      </c>
      <c r="CE145" s="131">
        <f t="shared" si="99"/>
        <v>2733</v>
      </c>
      <c r="CF145" s="48">
        <v>16274</v>
      </c>
      <c r="CG145" s="48">
        <v>14302</v>
      </c>
      <c r="CH145" s="48">
        <v>18471</v>
      </c>
      <c r="CI145" s="48">
        <v>11898</v>
      </c>
      <c r="CJ145" s="48">
        <v>5485</v>
      </c>
      <c r="CL145" s="134" t="s">
        <v>0</v>
      </c>
      <c r="CM145" s="131">
        <f t="shared" si="100"/>
        <v>4129</v>
      </c>
      <c r="CN145" s="48">
        <v>19642</v>
      </c>
      <c r="CO145" s="48">
        <v>20610</v>
      </c>
      <c r="CP145" s="48">
        <v>21248</v>
      </c>
      <c r="CQ145" s="48">
        <v>17606</v>
      </c>
      <c r="CR145" s="48">
        <v>6874</v>
      </c>
      <c r="CT145" s="134" t="s">
        <v>0</v>
      </c>
      <c r="CU145" s="131">
        <f t="shared" si="101"/>
        <v>5537</v>
      </c>
      <c r="CV145" s="48">
        <v>30154</v>
      </c>
      <c r="CW145" s="48">
        <v>0</v>
      </c>
      <c r="CX145" s="48"/>
      <c r="CY145" s="48"/>
      <c r="CZ145" s="48"/>
      <c r="DB145" s="134" t="s">
        <v>0</v>
      </c>
      <c r="DC145" s="131">
        <f t="shared" si="107"/>
        <v>5422</v>
      </c>
      <c r="DD145" s="48">
        <v>24070</v>
      </c>
      <c r="DE145" s="48">
        <v>0</v>
      </c>
      <c r="DF145" s="48"/>
      <c r="DG145" s="48"/>
      <c r="DH145" s="48"/>
      <c r="DI145" s="48"/>
      <c r="DJ145" s="134" t="s">
        <v>0</v>
      </c>
      <c r="DK145" s="131">
        <f t="shared" si="102"/>
        <v>2631</v>
      </c>
      <c r="DL145" s="48">
        <v>33310</v>
      </c>
      <c r="DM145" s="48">
        <v>0</v>
      </c>
      <c r="DN145" s="48"/>
      <c r="DO145" s="48"/>
      <c r="DP145" s="48"/>
      <c r="DR145" s="134" t="s">
        <v>0</v>
      </c>
      <c r="DS145" s="131">
        <f t="shared" si="103"/>
        <v>3082</v>
      </c>
      <c r="DT145" s="48">
        <v>18070</v>
      </c>
      <c r="DU145" s="48">
        <v>0</v>
      </c>
      <c r="DV145" s="48"/>
      <c r="DW145" s="48"/>
      <c r="DX145" s="48"/>
      <c r="DZ145" s="134" t="s">
        <v>0</v>
      </c>
      <c r="EA145" s="131">
        <f t="shared" si="104"/>
        <v>1675</v>
      </c>
      <c r="EB145" s="48"/>
      <c r="EC145" s="48">
        <v>0</v>
      </c>
      <c r="ED145" s="48"/>
      <c r="EE145" s="48"/>
      <c r="EF145" s="48"/>
    </row>
    <row r="146" spans="1:136" x14ac:dyDescent="0.2">
      <c r="A146" s="292"/>
      <c r="B146" s="134" t="s">
        <v>1</v>
      </c>
      <c r="C146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6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210076</v>
      </c>
      <c r="E146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186423</v>
      </c>
      <c r="F146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183290</v>
      </c>
      <c r="G146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167596</v>
      </c>
      <c r="H146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69996.000010000003</v>
      </c>
      <c r="I146" s="48"/>
      <c r="J146" s="134" t="s">
        <v>1</v>
      </c>
      <c r="K146" s="131">
        <f t="shared" si="105"/>
        <v>5170</v>
      </c>
      <c r="L146" s="48">
        <v>27398</v>
      </c>
      <c r="M146" s="48">
        <v>24126</v>
      </c>
      <c r="N146" s="48">
        <v>24693</v>
      </c>
      <c r="O146" s="48">
        <v>28320</v>
      </c>
      <c r="P146" s="48">
        <v>14255.00001</v>
      </c>
      <c r="R146" s="134" t="s">
        <v>1</v>
      </c>
      <c r="S146" s="131">
        <f t="shared" si="92"/>
        <v>2001</v>
      </c>
      <c r="T146" s="48">
        <v>13791</v>
      </c>
      <c r="U146" s="48">
        <v>13744</v>
      </c>
      <c r="V146" s="48">
        <v>16226</v>
      </c>
      <c r="W146" s="48">
        <v>14719</v>
      </c>
      <c r="X146" s="48">
        <v>7201</v>
      </c>
      <c r="Z146" s="134" t="s">
        <v>1</v>
      </c>
      <c r="AA146" s="131">
        <f t="shared" si="93"/>
        <v>2741</v>
      </c>
      <c r="AB146" s="48">
        <v>18325</v>
      </c>
      <c r="AC146" s="48">
        <v>17173</v>
      </c>
      <c r="AD146" s="48">
        <v>20220</v>
      </c>
      <c r="AE146" s="48">
        <v>22889</v>
      </c>
      <c r="AF146" s="48">
        <v>11579</v>
      </c>
      <c r="AH146" s="134" t="s">
        <v>1</v>
      </c>
      <c r="AI146" s="131">
        <f t="shared" si="106"/>
        <v>0</v>
      </c>
      <c r="AJ146" s="48">
        <v>26806</v>
      </c>
      <c r="AK146" s="48">
        <v>21909</v>
      </c>
      <c r="AL146" s="48">
        <v>16138</v>
      </c>
      <c r="AM146" s="48">
        <v>16071</v>
      </c>
      <c r="AN146" s="48">
        <v>5717</v>
      </c>
      <c r="AP146" s="134" t="s">
        <v>1</v>
      </c>
      <c r="AQ146" s="131">
        <f t="shared" si="94"/>
        <v>3199</v>
      </c>
      <c r="AR146" s="48">
        <v>21817</v>
      </c>
      <c r="AS146" s="48">
        <v>17657</v>
      </c>
      <c r="AT146" s="48">
        <v>16033</v>
      </c>
      <c r="AU146" s="48">
        <v>12958</v>
      </c>
      <c r="AV146" s="48">
        <v>0</v>
      </c>
      <c r="AX146" s="134" t="s">
        <v>1</v>
      </c>
      <c r="AY146" s="131">
        <f t="shared" si="95"/>
        <v>0</v>
      </c>
      <c r="AZ146" s="48">
        <v>12872</v>
      </c>
      <c r="BA146" s="48">
        <v>10162</v>
      </c>
      <c r="BB146" s="48">
        <v>8530</v>
      </c>
      <c r="BC146" s="48">
        <v>375</v>
      </c>
      <c r="BD146" s="48"/>
      <c r="BE146" s="48"/>
      <c r="BF146" s="134" t="s">
        <v>1</v>
      </c>
      <c r="BG146" s="131">
        <f t="shared" si="96"/>
        <v>1727</v>
      </c>
      <c r="BH146" s="48">
        <v>9206</v>
      </c>
      <c r="BI146" s="48">
        <v>7468</v>
      </c>
      <c r="BJ146" s="48"/>
      <c r="BK146" s="48"/>
      <c r="BL146" s="48"/>
      <c r="BM146" s="48"/>
      <c r="BN146" s="134" t="s">
        <v>1</v>
      </c>
      <c r="BO146" s="131">
        <f t="shared" si="97"/>
        <v>3243</v>
      </c>
      <c r="BP146" s="48">
        <v>19644</v>
      </c>
      <c r="BQ146" s="48">
        <v>17099</v>
      </c>
      <c r="BR146" s="48">
        <v>18304</v>
      </c>
      <c r="BS146" s="48">
        <v>21694</v>
      </c>
      <c r="BT146" s="48">
        <v>7279</v>
      </c>
      <c r="BV146" s="134" t="s">
        <v>1</v>
      </c>
      <c r="BW146" s="131">
        <f t="shared" si="98"/>
        <v>2658</v>
      </c>
      <c r="BX146" s="48">
        <v>16526</v>
      </c>
      <c r="BY146" s="48">
        <v>15585</v>
      </c>
      <c r="BZ146" s="48">
        <v>15961</v>
      </c>
      <c r="CA146" s="48">
        <v>13517</v>
      </c>
      <c r="CB146" s="48">
        <v>7507</v>
      </c>
      <c r="CC146" s="48"/>
      <c r="CD146" s="134" t="s">
        <v>1</v>
      </c>
      <c r="CE146" s="131">
        <f t="shared" si="99"/>
        <v>2733</v>
      </c>
      <c r="CF146" s="48">
        <v>20204</v>
      </c>
      <c r="CG146" s="48">
        <v>16956</v>
      </c>
      <c r="CH146" s="48">
        <v>22398</v>
      </c>
      <c r="CI146" s="48">
        <v>15861</v>
      </c>
      <c r="CJ146" s="48">
        <v>7749</v>
      </c>
      <c r="CL146" s="134" t="s">
        <v>1</v>
      </c>
      <c r="CM146" s="131">
        <f t="shared" si="100"/>
        <v>4129</v>
      </c>
      <c r="CN146" s="48">
        <v>23487</v>
      </c>
      <c r="CO146" s="48">
        <v>24544</v>
      </c>
      <c r="CP146" s="48">
        <v>24787</v>
      </c>
      <c r="CQ146" s="48">
        <v>21192</v>
      </c>
      <c r="CR146" s="48">
        <v>8709</v>
      </c>
      <c r="CT146" s="134" t="s">
        <v>1</v>
      </c>
      <c r="CU146" s="131">
        <f t="shared" si="101"/>
        <v>5537</v>
      </c>
      <c r="CV146" s="48">
        <v>35127</v>
      </c>
      <c r="CW146" s="48">
        <v>0</v>
      </c>
      <c r="CX146" s="48"/>
      <c r="CY146" s="48"/>
      <c r="CZ146" s="48"/>
      <c r="DB146" s="134" t="s">
        <v>1</v>
      </c>
      <c r="DC146" s="131">
        <f t="shared" si="107"/>
        <v>5422</v>
      </c>
      <c r="DD146" s="48">
        <v>28809</v>
      </c>
      <c r="DE146" s="48">
        <v>0</v>
      </c>
      <c r="DF146" s="48"/>
      <c r="DG146" s="48"/>
      <c r="DH146" s="48"/>
      <c r="DI146" s="48"/>
      <c r="DJ146" s="134" t="s">
        <v>1</v>
      </c>
      <c r="DK146" s="131">
        <f t="shared" si="102"/>
        <v>2631</v>
      </c>
      <c r="DL146" s="48">
        <v>38606</v>
      </c>
      <c r="DM146" s="48">
        <v>0</v>
      </c>
      <c r="DN146" s="48"/>
      <c r="DO146" s="48"/>
      <c r="DP146" s="48"/>
      <c r="DR146" s="134" t="s">
        <v>1</v>
      </c>
      <c r="DS146" s="131">
        <f t="shared" si="103"/>
        <v>3082</v>
      </c>
      <c r="DT146" s="48">
        <v>20964</v>
      </c>
      <c r="DU146" s="48">
        <v>0</v>
      </c>
      <c r="DV146" s="48"/>
      <c r="DW146" s="48"/>
      <c r="DX146" s="48"/>
      <c r="DZ146" s="134" t="s">
        <v>1</v>
      </c>
      <c r="EA146" s="131">
        <f t="shared" si="104"/>
        <v>1675</v>
      </c>
      <c r="EB146" s="48"/>
      <c r="EC146" s="48">
        <v>0</v>
      </c>
      <c r="ED146" s="48"/>
      <c r="EE146" s="48"/>
      <c r="EF146" s="48"/>
    </row>
    <row r="147" spans="1:136" x14ac:dyDescent="0.2">
      <c r="A147" s="292"/>
      <c r="B147" s="134" t="s">
        <v>3</v>
      </c>
      <c r="C147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7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243717</v>
      </c>
      <c r="E147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215648</v>
      </c>
      <c r="F147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210973</v>
      </c>
      <c r="G147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199969</v>
      </c>
      <c r="H147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87204.000010000003</v>
      </c>
      <c r="I147" s="48"/>
      <c r="J147" s="134" t="s">
        <v>3</v>
      </c>
      <c r="K147" s="131">
        <f t="shared" si="105"/>
        <v>5170</v>
      </c>
      <c r="L147" s="48">
        <v>31384</v>
      </c>
      <c r="M147" s="48">
        <v>27389</v>
      </c>
      <c r="N147" s="48">
        <v>28000</v>
      </c>
      <c r="O147" s="48">
        <v>32265</v>
      </c>
      <c r="P147" s="48">
        <v>16857.00001</v>
      </c>
      <c r="R147" s="134" t="s">
        <v>3</v>
      </c>
      <c r="S147" s="131">
        <f t="shared" si="92"/>
        <v>2001</v>
      </c>
      <c r="T147" s="48">
        <v>15723</v>
      </c>
      <c r="U147" s="48">
        <v>15657</v>
      </c>
      <c r="V147" s="48">
        <v>18324</v>
      </c>
      <c r="W147" s="48">
        <v>17452</v>
      </c>
      <c r="X147" s="48">
        <v>8883</v>
      </c>
      <c r="Z147" s="134" t="s">
        <v>3</v>
      </c>
      <c r="AA147" s="131">
        <f t="shared" si="93"/>
        <v>2741</v>
      </c>
      <c r="AB147" s="48">
        <v>20686</v>
      </c>
      <c r="AC147" s="48">
        <v>19474</v>
      </c>
      <c r="AD147" s="48">
        <v>22643</v>
      </c>
      <c r="AE147" s="48">
        <v>25734</v>
      </c>
      <c r="AF147" s="48">
        <v>13917</v>
      </c>
      <c r="AH147" s="134" t="s">
        <v>3</v>
      </c>
      <c r="AI147" s="131">
        <f t="shared" si="106"/>
        <v>0</v>
      </c>
      <c r="AJ147" s="48">
        <v>30809</v>
      </c>
      <c r="AK147" s="48">
        <v>25507</v>
      </c>
      <c r="AL147" s="48">
        <v>18773</v>
      </c>
      <c r="AM147" s="48">
        <v>19280</v>
      </c>
      <c r="AN147" s="48">
        <v>7195</v>
      </c>
      <c r="AP147" s="134" t="s">
        <v>3</v>
      </c>
      <c r="AQ147" s="131">
        <f t="shared" ref="AQ147:AQ151" si="108">AQ146+AQ67</f>
        <v>3199</v>
      </c>
      <c r="AR147" s="48">
        <v>24770</v>
      </c>
      <c r="AS147" s="48">
        <v>20442</v>
      </c>
      <c r="AT147" s="48">
        <v>18409</v>
      </c>
      <c r="AU147" s="48">
        <v>14858</v>
      </c>
      <c r="AV147" s="48">
        <v>0</v>
      </c>
      <c r="AX147" s="134" t="s">
        <v>3</v>
      </c>
      <c r="AY147" s="131">
        <f t="shared" ref="AY147:AY151" si="109">AY146+AY67</f>
        <v>0</v>
      </c>
      <c r="AZ147" s="48">
        <v>14888</v>
      </c>
      <c r="BA147" s="48">
        <v>11829</v>
      </c>
      <c r="BB147" s="48">
        <v>10002</v>
      </c>
      <c r="BC147" s="48">
        <v>2369</v>
      </c>
      <c r="BD147" s="48"/>
      <c r="BE147" s="48"/>
      <c r="BF147" s="134" t="s">
        <v>3</v>
      </c>
      <c r="BG147" s="131">
        <f t="shared" ref="BG147:BG151" si="110">BG146+BG67</f>
        <v>1727</v>
      </c>
      <c r="BH147" s="48">
        <v>11239</v>
      </c>
      <c r="BI147" s="48">
        <v>8750</v>
      </c>
      <c r="BJ147" s="48"/>
      <c r="BK147" s="48"/>
      <c r="BL147" s="48"/>
      <c r="BM147" s="48"/>
      <c r="BN147" s="134" t="s">
        <v>3</v>
      </c>
      <c r="BO147" s="131">
        <f t="shared" ref="BO147:BO151" si="111">BO146+BO67</f>
        <v>3243</v>
      </c>
      <c r="BP147" s="48">
        <v>22562</v>
      </c>
      <c r="BQ147" s="48">
        <v>19523</v>
      </c>
      <c r="BR147" s="48">
        <v>20483</v>
      </c>
      <c r="BS147" s="48">
        <v>24858</v>
      </c>
      <c r="BT147" s="48">
        <v>8962</v>
      </c>
      <c r="BV147" s="134" t="s">
        <v>3</v>
      </c>
      <c r="BW147" s="131">
        <f t="shared" ref="BW147:BW151" si="112">BW146+BW67</f>
        <v>2658</v>
      </c>
      <c r="BX147" s="48">
        <v>19439</v>
      </c>
      <c r="BY147" s="48">
        <v>18238</v>
      </c>
      <c r="BZ147" s="48">
        <v>18811</v>
      </c>
      <c r="CA147" s="48">
        <v>17000</v>
      </c>
      <c r="CB147" s="48">
        <v>9875</v>
      </c>
      <c r="CC147" s="48"/>
      <c r="CD147" s="134" t="s">
        <v>3</v>
      </c>
      <c r="CE147" s="131">
        <f t="shared" ref="CE147:CE151" si="113">CE146+CE67</f>
        <v>2733</v>
      </c>
      <c r="CF147" s="48">
        <v>24999</v>
      </c>
      <c r="CG147" s="48">
        <v>20134</v>
      </c>
      <c r="CH147" s="48">
        <v>27140</v>
      </c>
      <c r="CI147" s="48">
        <v>20586</v>
      </c>
      <c r="CJ147" s="48">
        <v>10375</v>
      </c>
      <c r="CL147" s="134" t="s">
        <v>3</v>
      </c>
      <c r="CM147" s="131">
        <f t="shared" ref="CM147:CM151" si="114">CM146+CM67</f>
        <v>4129</v>
      </c>
      <c r="CN147" s="48">
        <v>27218</v>
      </c>
      <c r="CO147" s="48">
        <v>28705</v>
      </c>
      <c r="CP147" s="48">
        <v>28388</v>
      </c>
      <c r="CQ147" s="48">
        <v>25567</v>
      </c>
      <c r="CR147" s="48">
        <v>11140</v>
      </c>
      <c r="CT147" s="134" t="s">
        <v>3</v>
      </c>
      <c r="CU147" s="131">
        <f t="shared" ref="CU147:CU151" si="115">CU146+CU67</f>
        <v>5537</v>
      </c>
      <c r="CV147" s="48">
        <v>40277</v>
      </c>
      <c r="CW147" s="48">
        <v>0</v>
      </c>
      <c r="CX147" s="48"/>
      <c r="CY147" s="48"/>
      <c r="CZ147" s="48"/>
      <c r="DB147" s="134" t="s">
        <v>3</v>
      </c>
      <c r="DC147" s="131">
        <f t="shared" si="107"/>
        <v>5422</v>
      </c>
      <c r="DD147" s="48">
        <v>33693</v>
      </c>
      <c r="DE147" s="48">
        <v>0</v>
      </c>
      <c r="DF147" s="48"/>
      <c r="DG147" s="48"/>
      <c r="DH147" s="48"/>
      <c r="DI147" s="48"/>
      <c r="DJ147" s="134" t="s">
        <v>3</v>
      </c>
      <c r="DK147" s="131">
        <f t="shared" ref="DK147:DK151" si="116">DK146+DK67</f>
        <v>2631</v>
      </c>
      <c r="DL147" s="48">
        <v>44040</v>
      </c>
      <c r="DM147" s="48">
        <v>0</v>
      </c>
      <c r="DN147" s="48"/>
      <c r="DO147" s="48"/>
      <c r="DP147" s="48"/>
      <c r="DR147" s="134" t="s">
        <v>3</v>
      </c>
      <c r="DS147" s="131">
        <f t="shared" ref="DS147:DS151" si="117">DS146+DS67</f>
        <v>3082</v>
      </c>
      <c r="DT147" s="48">
        <v>23930</v>
      </c>
      <c r="DU147" s="48">
        <v>0</v>
      </c>
      <c r="DV147" s="48"/>
      <c r="DW147" s="48"/>
      <c r="DX147" s="48"/>
      <c r="DZ147" s="134" t="s">
        <v>3</v>
      </c>
      <c r="EA147" s="131">
        <f t="shared" si="104"/>
        <v>1675</v>
      </c>
      <c r="EB147" s="48">
        <v>1891</v>
      </c>
      <c r="EC147" s="48">
        <v>0</v>
      </c>
      <c r="ED147" s="48"/>
      <c r="EE147" s="48"/>
      <c r="EF147" s="48"/>
    </row>
    <row r="148" spans="1:136" x14ac:dyDescent="0.2">
      <c r="A148" s="292"/>
      <c r="B148" s="134" t="s">
        <v>71</v>
      </c>
      <c r="C148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8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272751</v>
      </c>
      <c r="E148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242920</v>
      </c>
      <c r="F148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235992</v>
      </c>
      <c r="G148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226062</v>
      </c>
      <c r="H148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104588.00001</v>
      </c>
      <c r="I148" s="48"/>
      <c r="J148" s="134" t="s">
        <v>71</v>
      </c>
      <c r="K148" s="131">
        <f t="shared" si="105"/>
        <v>5170</v>
      </c>
      <c r="L148" s="48">
        <v>35015</v>
      </c>
      <c r="M148" s="48">
        <v>30750</v>
      </c>
      <c r="N148" s="48">
        <v>31368</v>
      </c>
      <c r="O148" s="48">
        <v>35785</v>
      </c>
      <c r="P148" s="48">
        <v>20071.00001</v>
      </c>
      <c r="R148" s="134" t="s">
        <v>71</v>
      </c>
      <c r="S148" s="131">
        <f t="shared" ref="S148:S151" si="118">S147+S68</f>
        <v>2001</v>
      </c>
      <c r="T148" s="48">
        <v>17607</v>
      </c>
      <c r="U148" s="48">
        <v>17447</v>
      </c>
      <c r="V148" s="48">
        <v>20266</v>
      </c>
      <c r="W148" s="48">
        <v>19985</v>
      </c>
      <c r="X148" s="48">
        <v>10576</v>
      </c>
      <c r="Z148" s="134" t="s">
        <v>71</v>
      </c>
      <c r="AA148" s="131">
        <f t="shared" ref="AA148:AA151" si="119">AA147+AA68</f>
        <v>2741</v>
      </c>
      <c r="AB148" s="48">
        <v>23005</v>
      </c>
      <c r="AC148" s="48">
        <v>21851</v>
      </c>
      <c r="AD148" s="48">
        <v>25341</v>
      </c>
      <c r="AE148" s="48">
        <v>28634</v>
      </c>
      <c r="AF148" s="48">
        <v>16475</v>
      </c>
      <c r="AH148" s="134" t="s">
        <v>71</v>
      </c>
      <c r="AI148" s="131">
        <f t="shared" si="106"/>
        <v>0</v>
      </c>
      <c r="AJ148" s="48">
        <v>34467</v>
      </c>
      <c r="AK148" s="48">
        <v>28714</v>
      </c>
      <c r="AL148" s="48">
        <v>21229</v>
      </c>
      <c r="AM148" s="48">
        <v>21363</v>
      </c>
      <c r="AN148" s="48">
        <v>8847</v>
      </c>
      <c r="AP148" s="134" t="s">
        <v>71</v>
      </c>
      <c r="AQ148" s="131">
        <f t="shared" si="108"/>
        <v>3199</v>
      </c>
      <c r="AR148" s="48">
        <v>27578</v>
      </c>
      <c r="AS148" s="48">
        <v>23029</v>
      </c>
      <c r="AT148" s="48">
        <v>20591</v>
      </c>
      <c r="AU148" s="48">
        <v>16749</v>
      </c>
      <c r="AV148" s="48">
        <v>0</v>
      </c>
      <c r="AX148" s="134" t="s">
        <v>71</v>
      </c>
      <c r="AY148" s="131">
        <f t="shared" si="109"/>
        <v>0</v>
      </c>
      <c r="AZ148" s="48">
        <v>16665</v>
      </c>
      <c r="BA148" s="48">
        <v>13637</v>
      </c>
      <c r="BB148" s="48">
        <v>11228</v>
      </c>
      <c r="BC148" s="48">
        <v>3922</v>
      </c>
      <c r="BD148" s="48"/>
      <c r="BE148" s="48"/>
      <c r="BF148" s="134" t="s">
        <v>71</v>
      </c>
      <c r="BG148" s="131">
        <f t="shared" si="110"/>
        <v>1727</v>
      </c>
      <c r="BH148" s="48">
        <v>12866</v>
      </c>
      <c r="BI148" s="48">
        <v>9968</v>
      </c>
      <c r="BJ148" s="48"/>
      <c r="BK148" s="48"/>
      <c r="BL148" s="48"/>
      <c r="BM148" s="48"/>
      <c r="BN148" s="134" t="s">
        <v>71</v>
      </c>
      <c r="BO148" s="131">
        <f t="shared" si="111"/>
        <v>3243</v>
      </c>
      <c r="BP148" s="48">
        <v>25337</v>
      </c>
      <c r="BQ148" s="48">
        <v>22103</v>
      </c>
      <c r="BR148" s="48">
        <v>22689</v>
      </c>
      <c r="BS148" s="48">
        <v>28006</v>
      </c>
      <c r="BT148" s="48">
        <v>11442</v>
      </c>
      <c r="BV148" s="134" t="s">
        <v>71</v>
      </c>
      <c r="BW148" s="131">
        <f t="shared" si="112"/>
        <v>2658</v>
      </c>
      <c r="BX148" s="48">
        <v>21816</v>
      </c>
      <c r="BY148" s="48">
        <v>20950</v>
      </c>
      <c r="BZ148" s="48">
        <v>20923</v>
      </c>
      <c r="CA148" s="48">
        <v>19305</v>
      </c>
      <c r="CB148" s="48">
        <v>11937</v>
      </c>
      <c r="CC148" s="48"/>
      <c r="CD148" s="134" t="s">
        <v>71</v>
      </c>
      <c r="CE148" s="131">
        <f t="shared" si="113"/>
        <v>2733</v>
      </c>
      <c r="CF148" s="48">
        <v>27910</v>
      </c>
      <c r="CG148" s="48">
        <v>22281</v>
      </c>
      <c r="CH148" s="48">
        <v>30640</v>
      </c>
      <c r="CI148" s="48">
        <v>23335</v>
      </c>
      <c r="CJ148" s="48">
        <v>11930</v>
      </c>
      <c r="CL148" s="134" t="s">
        <v>71</v>
      </c>
      <c r="CM148" s="131">
        <f t="shared" si="114"/>
        <v>4129</v>
      </c>
      <c r="CN148" s="48">
        <v>30485</v>
      </c>
      <c r="CO148" s="48">
        <v>32190</v>
      </c>
      <c r="CP148" s="48">
        <v>31717</v>
      </c>
      <c r="CQ148" s="48">
        <v>28978</v>
      </c>
      <c r="CR148" s="48">
        <v>13310</v>
      </c>
      <c r="CT148" s="134" t="s">
        <v>71</v>
      </c>
      <c r="CU148" s="131">
        <f t="shared" si="115"/>
        <v>5537</v>
      </c>
      <c r="CV148" s="48">
        <v>45217</v>
      </c>
      <c r="CW148" s="48">
        <v>0</v>
      </c>
      <c r="CX148" s="48"/>
      <c r="CY148" s="48"/>
      <c r="CZ148" s="48"/>
      <c r="DB148" s="134" t="s">
        <v>71</v>
      </c>
      <c r="DC148" s="131">
        <f t="shared" si="107"/>
        <v>5422</v>
      </c>
      <c r="DD148" s="48">
        <v>38314</v>
      </c>
      <c r="DE148" s="48">
        <v>0</v>
      </c>
      <c r="DF148" s="48"/>
      <c r="DG148" s="48"/>
      <c r="DH148" s="48"/>
      <c r="DI148" s="48"/>
      <c r="DJ148" s="134" t="s">
        <v>71</v>
      </c>
      <c r="DK148" s="131">
        <f t="shared" si="116"/>
        <v>2631</v>
      </c>
      <c r="DL148" s="48">
        <v>49860</v>
      </c>
      <c r="DM148" s="48">
        <v>0</v>
      </c>
      <c r="DN148" s="48"/>
      <c r="DO148" s="48"/>
      <c r="DP148" s="48"/>
      <c r="DR148" s="134" t="s">
        <v>71</v>
      </c>
      <c r="DS148" s="131">
        <f t="shared" si="117"/>
        <v>3082</v>
      </c>
      <c r="DT148" s="48">
        <v>26709</v>
      </c>
      <c r="DU148" s="48">
        <v>0</v>
      </c>
      <c r="DV148" s="48"/>
      <c r="DW148" s="48"/>
      <c r="DX148" s="48"/>
      <c r="DZ148" s="134" t="s">
        <v>71</v>
      </c>
      <c r="EA148" s="131">
        <f>EA147+EA68</f>
        <v>1675</v>
      </c>
      <c r="EB148" s="48">
        <v>3470</v>
      </c>
      <c r="EC148" s="48">
        <v>0</v>
      </c>
      <c r="ED148" s="48"/>
      <c r="EE148" s="48"/>
      <c r="EF148" s="48"/>
    </row>
    <row r="149" spans="1:136" x14ac:dyDescent="0.2">
      <c r="A149" s="292"/>
      <c r="B149" s="134" t="s">
        <v>12</v>
      </c>
      <c r="C149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49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302996</v>
      </c>
      <c r="E149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269861</v>
      </c>
      <c r="F149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263415</v>
      </c>
      <c r="G149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257151</v>
      </c>
      <c r="H149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121563.00001</v>
      </c>
      <c r="I149" s="48"/>
      <c r="J149" s="134" t="s">
        <v>12</v>
      </c>
      <c r="K149" s="131">
        <f t="shared" ref="K149:K151" si="120">K148+K69</f>
        <v>5170</v>
      </c>
      <c r="L149" s="48">
        <v>39218</v>
      </c>
      <c r="M149" s="48">
        <v>34030</v>
      </c>
      <c r="N149" s="48">
        <v>35538</v>
      </c>
      <c r="O149" s="48">
        <v>39895</v>
      </c>
      <c r="P149" s="48">
        <v>23564.00001</v>
      </c>
      <c r="R149" s="134" t="s">
        <v>12</v>
      </c>
      <c r="S149" s="131">
        <f t="shared" si="118"/>
        <v>2001</v>
      </c>
      <c r="T149" s="48">
        <v>19464</v>
      </c>
      <c r="U149" s="48">
        <v>19272</v>
      </c>
      <c r="V149" s="48">
        <v>22513</v>
      </c>
      <c r="W149" s="48">
        <v>22925</v>
      </c>
      <c r="X149" s="48">
        <v>12614</v>
      </c>
      <c r="Z149" s="134" t="s">
        <v>12</v>
      </c>
      <c r="AA149" s="131">
        <f t="shared" si="119"/>
        <v>2741</v>
      </c>
      <c r="AB149" s="48">
        <v>25128</v>
      </c>
      <c r="AC149" s="48">
        <v>24180</v>
      </c>
      <c r="AD149" s="48">
        <v>28310</v>
      </c>
      <c r="AE149" s="48">
        <v>32282</v>
      </c>
      <c r="AF149" s="48">
        <v>19352</v>
      </c>
      <c r="AH149" s="134" t="s">
        <v>12</v>
      </c>
      <c r="AI149" s="131">
        <f t="shared" si="106"/>
        <v>0</v>
      </c>
      <c r="AJ149" s="48">
        <v>38332</v>
      </c>
      <c r="AK149" s="48">
        <v>32117</v>
      </c>
      <c r="AL149" s="48">
        <v>24028</v>
      </c>
      <c r="AM149" s="48">
        <v>23907</v>
      </c>
      <c r="AN149" s="48">
        <v>10513</v>
      </c>
      <c r="AP149" s="134" t="s">
        <v>12</v>
      </c>
      <c r="AQ149" s="131">
        <f t="shared" si="108"/>
        <v>3199</v>
      </c>
      <c r="AR149" s="48">
        <v>30580</v>
      </c>
      <c r="AS149" s="48">
        <v>25779</v>
      </c>
      <c r="AT149" s="48">
        <v>23108</v>
      </c>
      <c r="AU149" s="48">
        <v>19498</v>
      </c>
      <c r="AV149" s="48">
        <v>0</v>
      </c>
      <c r="AX149" s="134" t="s">
        <v>12</v>
      </c>
      <c r="AY149" s="131">
        <f t="shared" si="109"/>
        <v>0</v>
      </c>
      <c r="AZ149" s="48">
        <v>18494</v>
      </c>
      <c r="BA149" s="48">
        <v>15381</v>
      </c>
      <c r="BB149" s="48">
        <v>12660</v>
      </c>
      <c r="BC149" s="48">
        <v>5431</v>
      </c>
      <c r="BD149" s="48"/>
      <c r="BE149" s="48"/>
      <c r="BF149" s="134" t="s">
        <v>12</v>
      </c>
      <c r="BG149" s="131">
        <f t="shared" si="110"/>
        <v>1727</v>
      </c>
      <c r="BH149" s="48">
        <v>14498</v>
      </c>
      <c r="BI149" s="48">
        <v>10934</v>
      </c>
      <c r="BJ149" s="48"/>
      <c r="BK149" s="48"/>
      <c r="BL149" s="48"/>
      <c r="BM149" s="48"/>
      <c r="BN149" s="134" t="s">
        <v>12</v>
      </c>
      <c r="BO149" s="131">
        <f t="shared" si="111"/>
        <v>3243</v>
      </c>
      <c r="BP149" s="48">
        <v>28208</v>
      </c>
      <c r="BQ149" s="48">
        <v>24718</v>
      </c>
      <c r="BR149" s="48">
        <v>25184</v>
      </c>
      <c r="BS149" s="48">
        <v>31430</v>
      </c>
      <c r="BT149" s="48">
        <v>13245</v>
      </c>
      <c r="BV149" s="134" t="s">
        <v>12</v>
      </c>
      <c r="BW149" s="131">
        <f t="shared" si="112"/>
        <v>2658</v>
      </c>
      <c r="BX149" s="48">
        <v>24184</v>
      </c>
      <c r="BY149" s="48">
        <v>23177</v>
      </c>
      <c r="BZ149" s="48">
        <v>23141</v>
      </c>
      <c r="CA149" s="48">
        <v>22191</v>
      </c>
      <c r="CB149" s="48">
        <v>13764</v>
      </c>
      <c r="CC149" s="48"/>
      <c r="CD149" s="134" t="s">
        <v>12</v>
      </c>
      <c r="CE149" s="131">
        <f t="shared" si="113"/>
        <v>2733</v>
      </c>
      <c r="CF149" s="48">
        <v>30950</v>
      </c>
      <c r="CG149" s="48">
        <v>24381</v>
      </c>
      <c r="CH149" s="48">
        <v>33927</v>
      </c>
      <c r="CI149" s="48">
        <v>26576</v>
      </c>
      <c r="CJ149" s="48">
        <v>13173</v>
      </c>
      <c r="CL149" s="134" t="s">
        <v>12</v>
      </c>
      <c r="CM149" s="131">
        <f t="shared" si="114"/>
        <v>4129</v>
      </c>
      <c r="CN149" s="48">
        <v>33940</v>
      </c>
      <c r="CO149" s="48">
        <v>35892</v>
      </c>
      <c r="CP149" s="48">
        <v>35006</v>
      </c>
      <c r="CQ149" s="48">
        <v>33016</v>
      </c>
      <c r="CR149" s="48">
        <v>15338</v>
      </c>
      <c r="CT149" s="134" t="s">
        <v>12</v>
      </c>
      <c r="CU149" s="131">
        <f t="shared" si="115"/>
        <v>5537</v>
      </c>
      <c r="CV149" s="48">
        <v>49844</v>
      </c>
      <c r="CW149" s="48">
        <v>0</v>
      </c>
      <c r="CX149" s="48"/>
      <c r="CY149" s="48"/>
      <c r="CZ149" s="48"/>
      <c r="DB149" s="134" t="s">
        <v>12</v>
      </c>
      <c r="DC149" s="131">
        <f t="shared" si="107"/>
        <v>5422</v>
      </c>
      <c r="DD149" s="48">
        <v>42868</v>
      </c>
      <c r="DE149" s="48">
        <v>0</v>
      </c>
      <c r="DF149" s="48"/>
      <c r="DG149" s="48"/>
      <c r="DH149" s="48"/>
      <c r="DI149" s="48"/>
      <c r="DJ149" s="134" t="s">
        <v>12</v>
      </c>
      <c r="DK149" s="131">
        <f t="shared" si="116"/>
        <v>2631</v>
      </c>
      <c r="DL149" s="48">
        <v>55618</v>
      </c>
      <c r="DM149" s="48">
        <v>0</v>
      </c>
      <c r="DN149" s="48"/>
      <c r="DO149" s="48"/>
      <c r="DP149" s="48"/>
      <c r="DR149" s="134" t="s">
        <v>12</v>
      </c>
      <c r="DS149" s="131">
        <f t="shared" si="117"/>
        <v>3082</v>
      </c>
      <c r="DT149" s="48">
        <v>29900</v>
      </c>
      <c r="DU149" s="48">
        <v>0</v>
      </c>
      <c r="DV149" s="48"/>
      <c r="DW149" s="48"/>
      <c r="DX149" s="48"/>
      <c r="DZ149" s="134" t="s">
        <v>12</v>
      </c>
      <c r="EA149" s="131">
        <f t="shared" ref="EA149:EA150" si="121">EA148+EA69</f>
        <v>1675</v>
      </c>
      <c r="EB149" s="48">
        <v>5279</v>
      </c>
      <c r="EC149" s="48">
        <v>0</v>
      </c>
      <c r="ED149" s="48"/>
      <c r="EE149" s="48"/>
      <c r="EF149" s="48"/>
    </row>
    <row r="150" spans="1:136" x14ac:dyDescent="0.2">
      <c r="A150" s="292"/>
      <c r="B150" s="134" t="s">
        <v>13</v>
      </c>
      <c r="C15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5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335756</v>
      </c>
      <c r="E15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298604</v>
      </c>
      <c r="F15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288833</v>
      </c>
      <c r="G15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291585</v>
      </c>
      <c r="H15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129873.00001</v>
      </c>
      <c r="I150" s="48"/>
      <c r="J150" s="134" t="s">
        <v>13</v>
      </c>
      <c r="K150" s="131">
        <f t="shared" si="120"/>
        <v>5170</v>
      </c>
      <c r="L150" s="48">
        <v>44029</v>
      </c>
      <c r="M150" s="48">
        <v>37605</v>
      </c>
      <c r="N150" s="48">
        <v>39224</v>
      </c>
      <c r="O150" s="48">
        <v>44564</v>
      </c>
      <c r="P150" s="48">
        <v>25508.00001</v>
      </c>
      <c r="R150" s="134" t="s">
        <v>13</v>
      </c>
      <c r="S150" s="131">
        <f t="shared" si="118"/>
        <v>2001</v>
      </c>
      <c r="T150" s="48">
        <v>21294</v>
      </c>
      <c r="U150" s="48">
        <v>21208</v>
      </c>
      <c r="V150" s="48">
        <v>24542</v>
      </c>
      <c r="W150" s="48">
        <v>26263</v>
      </c>
      <c r="X150" s="48">
        <v>14257</v>
      </c>
      <c r="Z150" s="134" t="s">
        <v>13</v>
      </c>
      <c r="AA150" s="131">
        <f t="shared" si="119"/>
        <v>2741</v>
      </c>
      <c r="AB150" s="48">
        <v>27751</v>
      </c>
      <c r="AC150" s="48">
        <v>26691</v>
      </c>
      <c r="AD150" s="48">
        <v>30987</v>
      </c>
      <c r="AE150" s="48">
        <v>35888</v>
      </c>
      <c r="AF150" s="48">
        <v>21675</v>
      </c>
      <c r="AH150" s="134" t="s">
        <v>13</v>
      </c>
      <c r="AI150" s="131">
        <f t="shared" si="106"/>
        <v>0</v>
      </c>
      <c r="AJ150" s="48">
        <v>42572</v>
      </c>
      <c r="AK150" s="48">
        <v>35648</v>
      </c>
      <c r="AL150" s="48">
        <v>26867</v>
      </c>
      <c r="AM150" s="48">
        <v>27084</v>
      </c>
      <c r="AN150" s="48">
        <v>10570</v>
      </c>
      <c r="AP150" s="134" t="s">
        <v>13</v>
      </c>
      <c r="AQ150" s="131">
        <f t="shared" si="108"/>
        <v>3199</v>
      </c>
      <c r="AR150" s="48">
        <v>33877</v>
      </c>
      <c r="AS150" s="48">
        <v>28745</v>
      </c>
      <c r="AT150" s="48">
        <v>25440</v>
      </c>
      <c r="AU150" s="48">
        <v>22860</v>
      </c>
      <c r="AV150" s="48">
        <v>0</v>
      </c>
      <c r="AX150" s="134" t="s">
        <v>13</v>
      </c>
      <c r="AY150" s="131">
        <f t="shared" si="109"/>
        <v>0</v>
      </c>
      <c r="AZ150" s="48">
        <v>20359</v>
      </c>
      <c r="BA150" s="48">
        <v>17321</v>
      </c>
      <c r="BB150" s="48">
        <v>13960</v>
      </c>
      <c r="BC150" s="48">
        <v>7246</v>
      </c>
      <c r="BD150" s="48"/>
      <c r="BE150" s="48"/>
      <c r="BF150" s="134" t="s">
        <v>13</v>
      </c>
      <c r="BG150" s="131">
        <f t="shared" si="110"/>
        <v>1727</v>
      </c>
      <c r="BH150" s="48">
        <v>16151</v>
      </c>
      <c r="BI150" s="48">
        <v>11983</v>
      </c>
      <c r="BJ150" s="48"/>
      <c r="BK150" s="48"/>
      <c r="BL150" s="48"/>
      <c r="BM150" s="48"/>
      <c r="BN150" s="134" t="s">
        <v>13</v>
      </c>
      <c r="BO150" s="131">
        <f t="shared" si="111"/>
        <v>3243</v>
      </c>
      <c r="BP150" s="48">
        <v>31324</v>
      </c>
      <c r="BQ150" s="48">
        <v>27584</v>
      </c>
      <c r="BR150" s="48">
        <v>27374</v>
      </c>
      <c r="BS150" s="48">
        <v>35218</v>
      </c>
      <c r="BT150" s="48">
        <v>13434</v>
      </c>
      <c r="BV150" s="134" t="s">
        <v>13</v>
      </c>
      <c r="BW150" s="131">
        <f t="shared" si="112"/>
        <v>2658</v>
      </c>
      <c r="BX150" s="48">
        <v>26586</v>
      </c>
      <c r="BY150" s="48">
        <v>25428</v>
      </c>
      <c r="BZ150" s="48">
        <v>25070</v>
      </c>
      <c r="CA150" s="48">
        <v>25088</v>
      </c>
      <c r="CB150" s="48">
        <v>14922</v>
      </c>
      <c r="CC150" s="48"/>
      <c r="CD150" s="134" t="s">
        <v>13</v>
      </c>
      <c r="CE150" s="131">
        <f t="shared" si="113"/>
        <v>2733</v>
      </c>
      <c r="CF150" s="48">
        <v>33800</v>
      </c>
      <c r="CG150" s="48">
        <v>26594</v>
      </c>
      <c r="CH150" s="48">
        <v>37167</v>
      </c>
      <c r="CI150" s="48">
        <v>29946</v>
      </c>
      <c r="CJ150" s="48">
        <v>13260</v>
      </c>
      <c r="CL150" s="134" t="s">
        <v>13</v>
      </c>
      <c r="CM150" s="131">
        <f t="shared" si="114"/>
        <v>4129</v>
      </c>
      <c r="CN150" s="48">
        <v>38013</v>
      </c>
      <c r="CO150" s="48">
        <v>39797</v>
      </c>
      <c r="CP150" s="48">
        <v>38202</v>
      </c>
      <c r="CQ150" s="48">
        <v>37428</v>
      </c>
      <c r="CR150" s="48">
        <v>16247</v>
      </c>
      <c r="CT150" s="134" t="s">
        <v>13</v>
      </c>
      <c r="CU150" s="131">
        <f t="shared" si="115"/>
        <v>5537</v>
      </c>
      <c r="CV150" s="48">
        <v>55128</v>
      </c>
      <c r="CW150" s="48">
        <v>0</v>
      </c>
      <c r="CX150" s="48"/>
      <c r="CY150" s="48"/>
      <c r="CZ150" s="48"/>
      <c r="DB150" s="134" t="s">
        <v>13</v>
      </c>
      <c r="DC150" s="131">
        <f t="shared" si="107"/>
        <v>5422</v>
      </c>
      <c r="DD150" s="48">
        <v>47885</v>
      </c>
      <c r="DE150" s="48">
        <v>0</v>
      </c>
      <c r="DF150" s="48"/>
      <c r="DG150" s="48"/>
      <c r="DH150" s="48"/>
      <c r="DI150" s="48"/>
      <c r="DJ150" s="134" t="s">
        <v>13</v>
      </c>
      <c r="DK150" s="131">
        <f t="shared" si="116"/>
        <v>2631</v>
      </c>
      <c r="DL150" s="48">
        <v>61490</v>
      </c>
      <c r="DM150" s="48">
        <v>0</v>
      </c>
      <c r="DN150" s="48"/>
      <c r="DO150" s="48"/>
      <c r="DP150" s="48"/>
      <c r="DR150" s="134" t="s">
        <v>13</v>
      </c>
      <c r="DS150" s="131">
        <f t="shared" si="117"/>
        <v>3082</v>
      </c>
      <c r="DT150" s="48">
        <v>33208</v>
      </c>
      <c r="DU150" s="48">
        <v>0</v>
      </c>
      <c r="DV150" s="48"/>
      <c r="DW150" s="48"/>
      <c r="DX150" s="48"/>
      <c r="DZ150" s="134" t="s">
        <v>13</v>
      </c>
      <c r="EA150" s="131">
        <f t="shared" si="121"/>
        <v>1675</v>
      </c>
      <c r="EB150" s="48">
        <v>7071</v>
      </c>
      <c r="EC150" s="48">
        <v>0</v>
      </c>
      <c r="ED150" s="48"/>
      <c r="EE150" s="48"/>
      <c r="EF150" s="48"/>
    </row>
    <row r="151" spans="1:136" x14ac:dyDescent="0.2">
      <c r="A151" s="292"/>
      <c r="B151" s="134" t="s">
        <v>15</v>
      </c>
      <c r="C15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>45948</v>
      </c>
      <c r="D15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>369516</v>
      </c>
      <c r="E15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>325573</v>
      </c>
      <c r="F15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>313676</v>
      </c>
      <c r="G15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>321133</v>
      </c>
      <c r="H15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>141784.00001000002</v>
      </c>
      <c r="I151" s="48"/>
      <c r="J151" s="134" t="s">
        <v>15</v>
      </c>
      <c r="K151" s="131">
        <f t="shared" si="120"/>
        <v>5170</v>
      </c>
      <c r="L151" s="48">
        <v>48936</v>
      </c>
      <c r="M151" s="48">
        <v>41076</v>
      </c>
      <c r="N151" s="48">
        <v>42758</v>
      </c>
      <c r="O151" s="48">
        <v>48635</v>
      </c>
      <c r="P151" s="48">
        <v>27796.00001</v>
      </c>
      <c r="R151" s="134" t="s">
        <v>15</v>
      </c>
      <c r="S151" s="131">
        <f t="shared" si="118"/>
        <v>2001</v>
      </c>
      <c r="T151" s="48">
        <v>23224</v>
      </c>
      <c r="U151" s="48">
        <v>22925</v>
      </c>
      <c r="V151" s="48">
        <v>26575</v>
      </c>
      <c r="W151" s="48">
        <v>29122</v>
      </c>
      <c r="X151" s="48">
        <v>16134</v>
      </c>
      <c r="Z151" s="134" t="s">
        <v>15</v>
      </c>
      <c r="AA151" s="131">
        <f t="shared" si="119"/>
        <v>2741</v>
      </c>
      <c r="AB151" s="48">
        <v>30303</v>
      </c>
      <c r="AC151" s="48">
        <v>28868</v>
      </c>
      <c r="AD151" s="48">
        <v>33574</v>
      </c>
      <c r="AE151" s="48">
        <v>39071</v>
      </c>
      <c r="AF151" s="48">
        <v>23872</v>
      </c>
      <c r="AH151" s="134" t="s">
        <v>15</v>
      </c>
      <c r="AI151" s="131">
        <f t="shared" si="106"/>
        <v>0</v>
      </c>
      <c r="AJ151" s="48">
        <v>46964</v>
      </c>
      <c r="AK151" s="48">
        <v>39079</v>
      </c>
      <c r="AL151" s="48">
        <v>29801</v>
      </c>
      <c r="AM151" s="48">
        <v>29554</v>
      </c>
      <c r="AN151" s="48">
        <v>11415</v>
      </c>
      <c r="AP151" s="134" t="s">
        <v>15</v>
      </c>
      <c r="AQ151" s="131">
        <f t="shared" si="108"/>
        <v>3199</v>
      </c>
      <c r="AR151" s="48">
        <v>37361</v>
      </c>
      <c r="AS151" s="48">
        <v>31860</v>
      </c>
      <c r="AT151" s="48">
        <v>27900</v>
      </c>
      <c r="AU151" s="48">
        <v>25645</v>
      </c>
      <c r="AV151" s="48">
        <v>0</v>
      </c>
      <c r="AX151" s="134" t="s">
        <v>15</v>
      </c>
      <c r="AY151" s="131">
        <f t="shared" si="109"/>
        <v>0</v>
      </c>
      <c r="AZ151" s="48">
        <v>22268</v>
      </c>
      <c r="BA151" s="48">
        <v>19165</v>
      </c>
      <c r="BB151" s="48">
        <v>15344</v>
      </c>
      <c r="BC151" s="48">
        <v>8657</v>
      </c>
      <c r="BD151" s="48"/>
      <c r="BE151" s="48"/>
      <c r="BF151" s="134" t="s">
        <v>15</v>
      </c>
      <c r="BG151" s="131">
        <f t="shared" si="110"/>
        <v>1727</v>
      </c>
      <c r="BH151" s="48">
        <v>17880</v>
      </c>
      <c r="BI151" s="48">
        <v>12966</v>
      </c>
      <c r="BJ151" s="48"/>
      <c r="BK151" s="48"/>
      <c r="BL151" s="48"/>
      <c r="BM151" s="48"/>
      <c r="BN151" s="134" t="s">
        <v>15</v>
      </c>
      <c r="BO151" s="131">
        <f t="shared" si="111"/>
        <v>3243</v>
      </c>
      <c r="BP151" s="48">
        <v>34612</v>
      </c>
      <c r="BQ151" s="48">
        <v>30349</v>
      </c>
      <c r="BR151" s="48">
        <v>29408</v>
      </c>
      <c r="BS151" s="48">
        <v>38208</v>
      </c>
      <c r="BT151" s="48">
        <v>14465</v>
      </c>
      <c r="BV151" s="134" t="s">
        <v>15</v>
      </c>
      <c r="BW151" s="131">
        <f t="shared" si="112"/>
        <v>2658</v>
      </c>
      <c r="BX151" s="48">
        <v>29104</v>
      </c>
      <c r="BY151" s="48">
        <v>27580</v>
      </c>
      <c r="BZ151" s="48">
        <v>27120</v>
      </c>
      <c r="CA151" s="48">
        <v>27498</v>
      </c>
      <c r="CB151" s="48">
        <v>16135</v>
      </c>
      <c r="CC151" s="48"/>
      <c r="CD151" s="134" t="s">
        <v>15</v>
      </c>
      <c r="CE151" s="131">
        <f t="shared" si="113"/>
        <v>2733</v>
      </c>
      <c r="CF151" s="48">
        <v>36585</v>
      </c>
      <c r="CG151" s="48">
        <v>28851</v>
      </c>
      <c r="CH151" s="48">
        <v>39887</v>
      </c>
      <c r="CI151" s="48">
        <v>33275</v>
      </c>
      <c r="CJ151" s="48">
        <v>13975</v>
      </c>
      <c r="CL151" s="134" t="s">
        <v>15</v>
      </c>
      <c r="CM151" s="131">
        <f t="shared" si="114"/>
        <v>4129</v>
      </c>
      <c r="CN151" s="48">
        <v>42279</v>
      </c>
      <c r="CO151" s="48">
        <v>42854</v>
      </c>
      <c r="CP151" s="48">
        <v>41309</v>
      </c>
      <c r="CQ151" s="48">
        <v>41468</v>
      </c>
      <c r="CR151" s="48">
        <v>17992</v>
      </c>
      <c r="CT151" s="134" t="s">
        <v>15</v>
      </c>
      <c r="CU151" s="131">
        <f t="shared" si="115"/>
        <v>5537</v>
      </c>
      <c r="CV151" s="48">
        <v>60357</v>
      </c>
      <c r="CW151" s="48">
        <v>0</v>
      </c>
      <c r="CX151" s="48"/>
      <c r="CY151" s="48"/>
      <c r="CZ151" s="48"/>
      <c r="DB151" s="134" t="s">
        <v>15</v>
      </c>
      <c r="DC151" s="131">
        <f t="shared" si="107"/>
        <v>5422</v>
      </c>
      <c r="DD151" s="48">
        <v>53589</v>
      </c>
      <c r="DE151" s="48">
        <v>0</v>
      </c>
      <c r="DF151" s="48"/>
      <c r="DG151" s="48"/>
      <c r="DH151" s="48"/>
      <c r="DI151" s="48"/>
      <c r="DJ151" s="134" t="s">
        <v>15</v>
      </c>
      <c r="DK151" s="131">
        <f t="shared" si="116"/>
        <v>2631</v>
      </c>
      <c r="DL151" s="48">
        <v>67615</v>
      </c>
      <c r="DM151" s="48">
        <v>0</v>
      </c>
      <c r="DN151" s="48"/>
      <c r="DO151" s="48"/>
      <c r="DP151" s="48"/>
      <c r="DR151" s="134" t="s">
        <v>15</v>
      </c>
      <c r="DS151" s="131">
        <f t="shared" si="117"/>
        <v>3082</v>
      </c>
      <c r="DT151" s="48">
        <v>36835</v>
      </c>
      <c r="DU151" s="48">
        <v>0</v>
      </c>
      <c r="DV151" s="48"/>
      <c r="DW151" s="48"/>
      <c r="DX151" s="48"/>
      <c r="DZ151" s="134" t="s">
        <v>15</v>
      </c>
      <c r="EA151" s="131">
        <f>EA150+EA71</f>
        <v>1675</v>
      </c>
      <c r="EB151" s="48">
        <v>8912</v>
      </c>
      <c r="EC151" s="48">
        <v>0</v>
      </c>
      <c r="ED151" s="48"/>
      <c r="EE151" s="48"/>
      <c r="EF151" s="48"/>
    </row>
    <row r="153" spans="1:136" ht="15.75" x14ac:dyDescent="0.2">
      <c r="B153" s="45" t="s">
        <v>131</v>
      </c>
      <c r="J153" s="45" t="s">
        <v>2999</v>
      </c>
      <c r="R153" s="45" t="s">
        <v>3001</v>
      </c>
      <c r="Z153" s="45" t="s">
        <v>210</v>
      </c>
      <c r="AH153" s="45" t="s">
        <v>3003</v>
      </c>
      <c r="AP153" s="45" t="s">
        <v>2156</v>
      </c>
      <c r="AX153" s="45" t="s">
        <v>3000</v>
      </c>
      <c r="BF153" s="45" t="s">
        <v>3002</v>
      </c>
      <c r="BN153" s="45" t="s">
        <v>297</v>
      </c>
      <c r="BV153" s="45" t="s">
        <v>296</v>
      </c>
      <c r="CD153" s="45" t="s">
        <v>292</v>
      </c>
      <c r="CL153" s="45" t="s">
        <v>294</v>
      </c>
      <c r="CT153" s="45" t="s">
        <v>6963</v>
      </c>
      <c r="DB153" s="45" t="s">
        <v>6964</v>
      </c>
      <c r="DJ153" s="45" t="s">
        <v>6966</v>
      </c>
      <c r="DR153" s="45" t="s">
        <v>6965</v>
      </c>
      <c r="DZ153" s="45" t="s">
        <v>7094</v>
      </c>
    </row>
    <row r="155" spans="1:136" s="188" customFormat="1" ht="18.600000000000001" customHeight="1" x14ac:dyDescent="0.2">
      <c r="A155" s="292" t="s">
        <v>185</v>
      </c>
      <c r="B155" s="186" t="s">
        <v>106</v>
      </c>
      <c r="C155" s="187" t="s">
        <v>6962</v>
      </c>
      <c r="D155" s="187" t="s">
        <v>2169</v>
      </c>
      <c r="E155" s="187" t="s">
        <v>1553</v>
      </c>
      <c r="F155" s="187" t="s">
        <v>1522</v>
      </c>
      <c r="G155" s="187" t="s">
        <v>1304</v>
      </c>
      <c r="H155" s="187" t="s">
        <v>209</v>
      </c>
      <c r="I155" s="187"/>
      <c r="J155" s="186" t="s">
        <v>106</v>
      </c>
      <c r="K155" s="186" t="s">
        <v>7114</v>
      </c>
      <c r="L155" s="186" t="s">
        <v>6962</v>
      </c>
      <c r="M155" s="186" t="s">
        <v>2169</v>
      </c>
      <c r="N155" s="186" t="s">
        <v>1553</v>
      </c>
      <c r="O155" s="186" t="s">
        <v>1522</v>
      </c>
      <c r="P155" s="186" t="s">
        <v>1304</v>
      </c>
      <c r="R155" s="186" t="s">
        <v>106</v>
      </c>
      <c r="S155" s="186" t="s">
        <v>7114</v>
      </c>
      <c r="T155" s="186" t="s">
        <v>6962</v>
      </c>
      <c r="U155" s="186" t="s">
        <v>2169</v>
      </c>
      <c r="V155" s="186" t="s">
        <v>1553</v>
      </c>
      <c r="W155" s="186" t="s">
        <v>1522</v>
      </c>
      <c r="X155" s="186" t="s">
        <v>1304</v>
      </c>
      <c r="Z155" s="186" t="s">
        <v>106</v>
      </c>
      <c r="AA155" s="186" t="s">
        <v>7114</v>
      </c>
      <c r="AB155" s="186" t="s">
        <v>6962</v>
      </c>
      <c r="AC155" s="186" t="s">
        <v>2169</v>
      </c>
      <c r="AD155" s="186" t="s">
        <v>1553</v>
      </c>
      <c r="AE155" s="186" t="s">
        <v>1522</v>
      </c>
      <c r="AF155" s="186" t="s">
        <v>1304</v>
      </c>
      <c r="AH155" s="186" t="s">
        <v>106</v>
      </c>
      <c r="AI155" s="186" t="s">
        <v>7114</v>
      </c>
      <c r="AJ155" s="186" t="s">
        <v>6962</v>
      </c>
      <c r="AK155" s="186" t="s">
        <v>2169</v>
      </c>
      <c r="AL155" s="186" t="s">
        <v>1553</v>
      </c>
      <c r="AM155" s="186" t="s">
        <v>1522</v>
      </c>
      <c r="AN155" s="186" t="s">
        <v>1304</v>
      </c>
      <c r="AP155" s="186" t="s">
        <v>106</v>
      </c>
      <c r="AQ155" s="186" t="s">
        <v>7114</v>
      </c>
      <c r="AR155" s="186" t="s">
        <v>6962</v>
      </c>
      <c r="AS155" s="186" t="s">
        <v>2169</v>
      </c>
      <c r="AT155" s="186" t="s">
        <v>1553</v>
      </c>
      <c r="AU155" s="186" t="s">
        <v>1522</v>
      </c>
      <c r="AV155" s="186" t="s">
        <v>1304</v>
      </c>
      <c r="AX155" s="186" t="s">
        <v>106</v>
      </c>
      <c r="AY155" s="186" t="s">
        <v>7114</v>
      </c>
      <c r="AZ155" s="186" t="s">
        <v>6962</v>
      </c>
      <c r="BA155" s="186" t="s">
        <v>2169</v>
      </c>
      <c r="BB155" s="186" t="s">
        <v>1553</v>
      </c>
      <c r="BC155" s="186" t="s">
        <v>1522</v>
      </c>
      <c r="BD155" s="186" t="s">
        <v>1304</v>
      </c>
      <c r="BE155" s="187"/>
      <c r="BF155" s="186" t="s">
        <v>106</v>
      </c>
      <c r="BG155" s="186" t="s">
        <v>7114</v>
      </c>
      <c r="BH155" s="186" t="s">
        <v>6962</v>
      </c>
      <c r="BI155" s="186" t="s">
        <v>2169</v>
      </c>
      <c r="BJ155" s="186" t="s">
        <v>1553</v>
      </c>
      <c r="BK155" s="186" t="s">
        <v>1522</v>
      </c>
      <c r="BL155" s="186" t="s">
        <v>1304</v>
      </c>
      <c r="BM155" s="186"/>
      <c r="BN155" s="186" t="s">
        <v>106</v>
      </c>
      <c r="BO155" s="187" t="s">
        <v>7114</v>
      </c>
      <c r="BP155" s="187" t="s">
        <v>6962</v>
      </c>
      <c r="BQ155" s="187" t="s">
        <v>2169</v>
      </c>
      <c r="BR155" s="187" t="s">
        <v>1553</v>
      </c>
      <c r="BS155" s="187" t="s">
        <v>1522</v>
      </c>
      <c r="BT155" s="187" t="s">
        <v>1304</v>
      </c>
      <c r="BV155" s="186" t="s">
        <v>106</v>
      </c>
      <c r="BW155" s="187" t="s">
        <v>7114</v>
      </c>
      <c r="BX155" s="187" t="s">
        <v>6962</v>
      </c>
      <c r="BY155" s="187" t="s">
        <v>2169</v>
      </c>
      <c r="BZ155" s="187" t="s">
        <v>1553</v>
      </c>
      <c r="CA155" s="187" t="s">
        <v>1522</v>
      </c>
      <c r="CB155" s="187" t="s">
        <v>1304</v>
      </c>
      <c r="CC155" s="187"/>
      <c r="CD155" s="186" t="s">
        <v>106</v>
      </c>
      <c r="CE155" s="187" t="s">
        <v>7114</v>
      </c>
      <c r="CF155" s="187" t="s">
        <v>6962</v>
      </c>
      <c r="CG155" s="187" t="s">
        <v>2169</v>
      </c>
      <c r="CH155" s="187" t="s">
        <v>1553</v>
      </c>
      <c r="CI155" s="187" t="s">
        <v>1522</v>
      </c>
      <c r="CJ155" s="187" t="s">
        <v>1304</v>
      </c>
      <c r="CL155" s="186" t="s">
        <v>106</v>
      </c>
      <c r="CM155" s="187" t="s">
        <v>7114</v>
      </c>
      <c r="CN155" s="187" t="s">
        <v>6962</v>
      </c>
      <c r="CO155" s="187" t="s">
        <v>2169</v>
      </c>
      <c r="CP155" s="187" t="s">
        <v>1553</v>
      </c>
      <c r="CQ155" s="187" t="s">
        <v>1522</v>
      </c>
      <c r="CR155" s="187" t="s">
        <v>1304</v>
      </c>
      <c r="CT155" s="186" t="s">
        <v>106</v>
      </c>
      <c r="CU155" s="187" t="s">
        <v>7114</v>
      </c>
      <c r="CV155" s="187" t="s">
        <v>6962</v>
      </c>
      <c r="CW155" s="187" t="s">
        <v>2169</v>
      </c>
      <c r="CX155" s="187" t="s">
        <v>1553</v>
      </c>
      <c r="CY155" s="187" t="s">
        <v>1522</v>
      </c>
      <c r="CZ155" s="187" t="s">
        <v>1304</v>
      </c>
      <c r="DB155" s="186" t="s">
        <v>106</v>
      </c>
      <c r="DC155" s="187" t="s">
        <v>7114</v>
      </c>
      <c r="DD155" s="187" t="s">
        <v>6962</v>
      </c>
      <c r="DE155" s="187" t="s">
        <v>2169</v>
      </c>
      <c r="DF155" s="187" t="s">
        <v>1553</v>
      </c>
      <c r="DG155" s="187" t="s">
        <v>1522</v>
      </c>
      <c r="DH155" s="187" t="s">
        <v>1304</v>
      </c>
      <c r="DI155" s="187"/>
      <c r="DJ155" s="186" t="s">
        <v>106</v>
      </c>
      <c r="DK155" s="187" t="s">
        <v>7114</v>
      </c>
      <c r="DL155" s="187" t="s">
        <v>6962</v>
      </c>
      <c r="DM155" s="187" t="s">
        <v>2169</v>
      </c>
      <c r="DN155" s="187" t="s">
        <v>1553</v>
      </c>
      <c r="DO155" s="187" t="s">
        <v>1522</v>
      </c>
      <c r="DP155" s="187" t="s">
        <v>1304</v>
      </c>
      <c r="DR155" s="186" t="s">
        <v>106</v>
      </c>
      <c r="DS155" s="187" t="s">
        <v>7114</v>
      </c>
      <c r="DT155" s="187" t="s">
        <v>6962</v>
      </c>
      <c r="DU155" s="187" t="s">
        <v>2169</v>
      </c>
      <c r="DV155" s="187" t="s">
        <v>1553</v>
      </c>
      <c r="DW155" s="187" t="s">
        <v>1522</v>
      </c>
      <c r="DX155" s="187" t="s">
        <v>1304</v>
      </c>
      <c r="DZ155" s="186" t="s">
        <v>106</v>
      </c>
      <c r="EA155" s="187" t="s">
        <v>7114</v>
      </c>
      <c r="EB155" s="187" t="s">
        <v>6962</v>
      </c>
      <c r="EC155" s="187" t="s">
        <v>2169</v>
      </c>
      <c r="ED155" s="187" t="s">
        <v>1553</v>
      </c>
      <c r="EE155" s="187" t="s">
        <v>1522</v>
      </c>
      <c r="EF155" s="187" t="s">
        <v>1304</v>
      </c>
    </row>
    <row r="156" spans="1:136" x14ac:dyDescent="0.2">
      <c r="A156" s="292"/>
      <c r="B156" s="134" t="s">
        <v>143</v>
      </c>
      <c r="C15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5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71587</v>
      </c>
      <c r="E15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87219</v>
      </c>
      <c r="F15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98632</v>
      </c>
      <c r="G15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96454</v>
      </c>
      <c r="H15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69027</v>
      </c>
      <c r="I156" s="48"/>
      <c r="J156" s="134" t="s">
        <v>143</v>
      </c>
      <c r="K156" s="131">
        <f t="shared" ref="K156" si="122">+K76</f>
        <v>9483</v>
      </c>
      <c r="L156" s="48">
        <v>9713</v>
      </c>
      <c r="M156" s="48">
        <v>12388</v>
      </c>
      <c r="N156" s="48">
        <v>13745</v>
      </c>
      <c r="O156" s="48">
        <v>13088</v>
      </c>
      <c r="P156" s="48">
        <v>13793</v>
      </c>
      <c r="R156" s="134" t="s">
        <v>143</v>
      </c>
      <c r="S156" s="131">
        <f t="shared" ref="S156" si="123">+S76</f>
        <v>4471</v>
      </c>
      <c r="T156" s="48">
        <v>4668</v>
      </c>
      <c r="U156" s="48">
        <v>6255</v>
      </c>
      <c r="V156" s="48">
        <v>7205</v>
      </c>
      <c r="W156" s="48">
        <v>8097</v>
      </c>
      <c r="X156" s="48">
        <v>6611</v>
      </c>
      <c r="Z156" s="134" t="s">
        <v>143</v>
      </c>
      <c r="AA156" s="131">
        <f t="shared" ref="AA156" si="124">+AA76</f>
        <v>4830</v>
      </c>
      <c r="AB156" s="48">
        <v>5314</v>
      </c>
      <c r="AC156" s="48">
        <v>6897</v>
      </c>
      <c r="AD156" s="48">
        <v>8124</v>
      </c>
      <c r="AE156" s="48">
        <v>8187</v>
      </c>
      <c r="AF156" s="48">
        <v>6856</v>
      </c>
      <c r="AH156" s="134" t="s">
        <v>143</v>
      </c>
      <c r="AI156" s="131">
        <f>+AI76</f>
        <v>0</v>
      </c>
      <c r="AJ156" s="48">
        <v>8173</v>
      </c>
      <c r="AK156" s="48">
        <v>9368</v>
      </c>
      <c r="AL156" s="48">
        <v>11421</v>
      </c>
      <c r="AM156" s="48">
        <v>11763</v>
      </c>
      <c r="AN156" s="48">
        <v>9914</v>
      </c>
      <c r="AP156" s="134" t="s">
        <v>143</v>
      </c>
      <c r="AQ156" s="131">
        <f t="shared" ref="AQ156" si="125">+AQ76</f>
        <v>9404</v>
      </c>
      <c r="AR156" s="48">
        <v>9679</v>
      </c>
      <c r="AS156" s="48">
        <v>11124</v>
      </c>
      <c r="AT156" s="48">
        <v>13184</v>
      </c>
      <c r="AU156" s="48">
        <v>15667</v>
      </c>
      <c r="AV156" s="48">
        <v>0</v>
      </c>
      <c r="AX156" s="134" t="s">
        <v>143</v>
      </c>
      <c r="AY156" s="131">
        <f>+AY76</f>
        <v>0</v>
      </c>
      <c r="AZ156" s="48">
        <v>4342</v>
      </c>
      <c r="BA156" s="48">
        <v>5870</v>
      </c>
      <c r="BB156" s="48">
        <v>6719</v>
      </c>
      <c r="BC156" s="48"/>
      <c r="BD156" s="48"/>
      <c r="BE156" s="48"/>
      <c r="BF156" s="134" t="s">
        <v>143</v>
      </c>
      <c r="BG156" s="131">
        <f>+BG76</f>
        <v>4180</v>
      </c>
      <c r="BH156" s="48">
        <v>5031</v>
      </c>
      <c r="BI156" s="48">
        <v>5369</v>
      </c>
      <c r="BJ156" s="48"/>
      <c r="BK156" s="48"/>
      <c r="BL156" s="48"/>
      <c r="BM156" s="48"/>
      <c r="BN156" s="134" t="s">
        <v>143</v>
      </c>
      <c r="BO156" s="131">
        <f>+BO76</f>
        <v>6154</v>
      </c>
      <c r="BP156" s="48">
        <v>6466</v>
      </c>
      <c r="BQ156" s="48">
        <v>7493</v>
      </c>
      <c r="BR156" s="48">
        <v>8780</v>
      </c>
      <c r="BS156" s="48">
        <v>9353</v>
      </c>
      <c r="BT156" s="48">
        <v>7647</v>
      </c>
      <c r="BV156" s="134" t="s">
        <v>143</v>
      </c>
      <c r="BW156" s="131">
        <f>+BW76</f>
        <v>3962</v>
      </c>
      <c r="BX156" s="48">
        <v>4058</v>
      </c>
      <c r="BY156" s="48">
        <v>5089</v>
      </c>
      <c r="BZ156" s="48">
        <v>6465</v>
      </c>
      <c r="CA156" s="48">
        <v>8077</v>
      </c>
      <c r="CB156" s="48">
        <v>4997</v>
      </c>
      <c r="CC156" s="48"/>
      <c r="CD156" s="134" t="s">
        <v>143</v>
      </c>
      <c r="CE156" s="131">
        <f>+CE76</f>
        <v>6241</v>
      </c>
      <c r="CF156" s="48">
        <v>7536</v>
      </c>
      <c r="CG156" s="48">
        <v>6994</v>
      </c>
      <c r="CH156" s="48">
        <v>10048</v>
      </c>
      <c r="CI156" s="48">
        <v>9379</v>
      </c>
      <c r="CJ156" s="48">
        <v>8669</v>
      </c>
      <c r="CL156" s="134" t="s">
        <v>143</v>
      </c>
      <c r="CM156" s="131">
        <f>+CM76</f>
        <v>7040</v>
      </c>
      <c r="CN156" s="48">
        <v>6607</v>
      </c>
      <c r="CO156" s="48">
        <v>10372</v>
      </c>
      <c r="CP156" s="48">
        <v>12941</v>
      </c>
      <c r="CQ156" s="48">
        <v>12843</v>
      </c>
      <c r="CR156" s="48">
        <v>10540</v>
      </c>
      <c r="CT156" s="134" t="s">
        <v>143</v>
      </c>
      <c r="CU156" s="131">
        <f>+CU76</f>
        <v>9067</v>
      </c>
      <c r="CV156" s="48">
        <v>8205</v>
      </c>
      <c r="CW156" s="48">
        <v>0</v>
      </c>
      <c r="CX156" s="48"/>
      <c r="CY156" s="48"/>
      <c r="CZ156" s="48"/>
      <c r="DB156" s="134" t="s">
        <v>143</v>
      </c>
      <c r="DC156" s="131">
        <f>+DC76</f>
        <v>10873</v>
      </c>
      <c r="DD156" s="48">
        <v>11542</v>
      </c>
      <c r="DE156" s="48">
        <v>0</v>
      </c>
      <c r="DF156" s="48"/>
      <c r="DG156" s="48"/>
      <c r="DH156" s="48"/>
      <c r="DI156" s="48"/>
      <c r="DJ156" s="134" t="s">
        <v>143</v>
      </c>
      <c r="DK156" s="131">
        <f>+DK76</f>
        <v>0</v>
      </c>
      <c r="DL156" s="48">
        <v>0</v>
      </c>
      <c r="DM156" s="48">
        <v>0</v>
      </c>
      <c r="DN156" s="48"/>
      <c r="DO156" s="48"/>
      <c r="DP156" s="48"/>
      <c r="DR156" s="134" t="s">
        <v>143</v>
      </c>
      <c r="DS156" s="131">
        <f>+DS76</f>
        <v>8735</v>
      </c>
      <c r="DT156" s="48">
        <v>8928</v>
      </c>
      <c r="DU156" s="48">
        <v>0</v>
      </c>
      <c r="DV156" s="48"/>
      <c r="DW156" s="48"/>
      <c r="DX156" s="48"/>
      <c r="DZ156" s="134" t="s">
        <v>143</v>
      </c>
      <c r="EA156" s="131">
        <f>EA76</f>
        <v>3700</v>
      </c>
      <c r="EB156" s="48"/>
      <c r="EC156" s="48">
        <v>0</v>
      </c>
      <c r="ED156" s="48"/>
      <c r="EE156" s="48"/>
      <c r="EF156" s="48"/>
    </row>
    <row r="157" spans="1:136" x14ac:dyDescent="0.2">
      <c r="A157" s="292"/>
      <c r="B157" s="134" t="s">
        <v>5</v>
      </c>
      <c r="C15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5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140049</v>
      </c>
      <c r="E15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167404</v>
      </c>
      <c r="F15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193606</v>
      </c>
      <c r="G15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181980</v>
      </c>
      <c r="H15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134340</v>
      </c>
      <c r="I157" s="48"/>
      <c r="J157" s="134" t="s">
        <v>5</v>
      </c>
      <c r="K157" s="131">
        <f t="shared" ref="K157:K162" si="126">K156+K77</f>
        <v>9483</v>
      </c>
      <c r="L157" s="48">
        <v>18651</v>
      </c>
      <c r="M157" s="48">
        <v>23248</v>
      </c>
      <c r="N157" s="48">
        <v>27022</v>
      </c>
      <c r="O157" s="48">
        <v>24343</v>
      </c>
      <c r="P157" s="48">
        <v>26613</v>
      </c>
      <c r="R157" s="134" t="s">
        <v>5</v>
      </c>
      <c r="S157" s="131">
        <f t="shared" ref="S157:S162" si="127">S156+S77</f>
        <v>4471</v>
      </c>
      <c r="T157" s="48">
        <v>9031</v>
      </c>
      <c r="U157" s="48">
        <v>11762</v>
      </c>
      <c r="V157" s="48">
        <v>14153</v>
      </c>
      <c r="W157" s="48">
        <v>15289</v>
      </c>
      <c r="X157" s="48">
        <v>12845</v>
      </c>
      <c r="Z157" s="134" t="s">
        <v>5</v>
      </c>
      <c r="AA157" s="131">
        <f t="shared" ref="AA157:AA162" si="128">AA156+AA77</f>
        <v>4830</v>
      </c>
      <c r="AB157" s="48">
        <v>10591</v>
      </c>
      <c r="AC157" s="48">
        <v>13324</v>
      </c>
      <c r="AD157" s="48">
        <v>16171</v>
      </c>
      <c r="AE157" s="48">
        <v>15173</v>
      </c>
      <c r="AF157" s="48">
        <v>13334</v>
      </c>
      <c r="AH157" s="134" t="s">
        <v>5</v>
      </c>
      <c r="AI157" s="131">
        <f t="shared" ref="AI157:AI167" si="129">AI156+AI77</f>
        <v>0</v>
      </c>
      <c r="AJ157" s="48">
        <v>16003</v>
      </c>
      <c r="AK157" s="48">
        <v>17865</v>
      </c>
      <c r="AL157" s="48">
        <v>22716</v>
      </c>
      <c r="AM157" s="48">
        <v>21592</v>
      </c>
      <c r="AN157" s="48">
        <v>19074</v>
      </c>
      <c r="AP157" s="134" t="s">
        <v>5</v>
      </c>
      <c r="AQ157" s="131">
        <f t="shared" ref="AQ157:AQ167" si="130">AQ156+AQ77</f>
        <v>9404</v>
      </c>
      <c r="AR157" s="48">
        <v>18861</v>
      </c>
      <c r="AS157" s="48">
        <v>21566</v>
      </c>
      <c r="AT157" s="48">
        <v>26317</v>
      </c>
      <c r="AU157" s="48">
        <v>29217</v>
      </c>
      <c r="AV157" s="48">
        <v>0</v>
      </c>
      <c r="AX157" s="134" t="s">
        <v>5</v>
      </c>
      <c r="AY157" s="131">
        <f t="shared" ref="AY157:AY167" si="131">AY156+AY77</f>
        <v>0</v>
      </c>
      <c r="AZ157" s="48">
        <v>8582</v>
      </c>
      <c r="BA157" s="48">
        <v>10828</v>
      </c>
      <c r="BB157" s="48">
        <v>12956</v>
      </c>
      <c r="BC157" s="48"/>
      <c r="BD157" s="48"/>
      <c r="BE157" s="48"/>
      <c r="BF157" s="134" t="s">
        <v>5</v>
      </c>
      <c r="BG157" s="131">
        <f t="shared" ref="BG157:BG167" si="132">BG156+BG77</f>
        <v>4180</v>
      </c>
      <c r="BH157" s="48">
        <v>9962</v>
      </c>
      <c r="BI157" s="48">
        <v>10277</v>
      </c>
      <c r="BJ157" s="48"/>
      <c r="BK157" s="48"/>
      <c r="BL157" s="48"/>
      <c r="BM157" s="48"/>
      <c r="BN157" s="134" t="s">
        <v>5</v>
      </c>
      <c r="BO157" s="131">
        <f t="shared" ref="BO157:BO167" si="133">BO156+BO77</f>
        <v>6154</v>
      </c>
      <c r="BP157" s="48">
        <v>12633</v>
      </c>
      <c r="BQ157" s="48">
        <v>14304</v>
      </c>
      <c r="BR157" s="48">
        <v>16860</v>
      </c>
      <c r="BS157" s="48">
        <v>16868</v>
      </c>
      <c r="BT157" s="48">
        <v>14980</v>
      </c>
      <c r="BV157" s="134" t="s">
        <v>5</v>
      </c>
      <c r="BW157" s="131">
        <f>BW77+BW156</f>
        <v>3962</v>
      </c>
      <c r="BX157" s="48">
        <v>7982</v>
      </c>
      <c r="BY157" s="48">
        <v>9927</v>
      </c>
      <c r="BZ157" s="48">
        <v>12625</v>
      </c>
      <c r="CA157" s="48">
        <v>15753</v>
      </c>
      <c r="CB157" s="48">
        <v>9917</v>
      </c>
      <c r="CC157" s="48"/>
      <c r="CD157" s="134" t="s">
        <v>5</v>
      </c>
      <c r="CE157" s="131">
        <f t="shared" ref="CE157:CE162" si="134">CE156+CE77</f>
        <v>6241</v>
      </c>
      <c r="CF157" s="48">
        <v>14481</v>
      </c>
      <c r="CG157" s="48">
        <v>14224</v>
      </c>
      <c r="CH157" s="48">
        <v>19630</v>
      </c>
      <c r="CI157" s="48">
        <v>19811</v>
      </c>
      <c r="CJ157" s="48">
        <v>17143</v>
      </c>
      <c r="CL157" s="134" t="s">
        <v>5</v>
      </c>
      <c r="CM157" s="131">
        <f t="shared" ref="CM157:CM167" si="135">CM156+CM77</f>
        <v>7040</v>
      </c>
      <c r="CN157" s="48">
        <v>13272</v>
      </c>
      <c r="CO157" s="48">
        <v>20079</v>
      </c>
      <c r="CP157" s="48">
        <v>25156</v>
      </c>
      <c r="CQ157" s="48">
        <v>23934</v>
      </c>
      <c r="CR157" s="48">
        <v>20434</v>
      </c>
      <c r="CT157" s="134" t="s">
        <v>5</v>
      </c>
      <c r="CU157" s="131">
        <f t="shared" ref="CU157:CU167" si="136">CU156+CU77</f>
        <v>9067</v>
      </c>
      <c r="CV157" s="48">
        <v>15884</v>
      </c>
      <c r="CW157" s="48">
        <v>0</v>
      </c>
      <c r="CX157" s="48"/>
      <c r="CY157" s="48"/>
      <c r="CZ157" s="48"/>
      <c r="DB157" s="134" t="s">
        <v>5</v>
      </c>
      <c r="DC157" s="131">
        <f>DC156+DC77</f>
        <v>10873</v>
      </c>
      <c r="DD157" s="48">
        <v>22095</v>
      </c>
      <c r="DE157" s="48">
        <v>0</v>
      </c>
      <c r="DF157" s="48"/>
      <c r="DG157" s="48"/>
      <c r="DH157" s="48"/>
      <c r="DI157" s="48"/>
      <c r="DJ157" s="134" t="s">
        <v>5</v>
      </c>
      <c r="DK157" s="131">
        <f>DK156+DK77</f>
        <v>0</v>
      </c>
      <c r="DL157" s="48">
        <v>0</v>
      </c>
      <c r="DM157" s="48">
        <v>0</v>
      </c>
      <c r="DN157" s="48"/>
      <c r="DO157" s="48"/>
      <c r="DP157" s="48"/>
      <c r="DR157" s="134" t="s">
        <v>5</v>
      </c>
      <c r="DS157" s="131">
        <f t="shared" ref="DS157:DS167" si="137">DS156+DS77</f>
        <v>8735</v>
      </c>
      <c r="DT157" s="48">
        <v>17354</v>
      </c>
      <c r="DU157" s="48">
        <v>0</v>
      </c>
      <c r="DV157" s="48"/>
      <c r="DW157" s="48"/>
      <c r="DX157" s="48"/>
      <c r="DZ157" s="134" t="s">
        <v>5</v>
      </c>
      <c r="EA157" s="131">
        <f t="shared" ref="EA157:EA163" si="138">EA156+EA77</f>
        <v>3700</v>
      </c>
      <c r="EB157" s="48"/>
      <c r="EC157" s="48">
        <v>0</v>
      </c>
      <c r="ED157" s="48"/>
      <c r="EE157" s="48"/>
      <c r="EF157" s="48"/>
    </row>
    <row r="158" spans="1:136" x14ac:dyDescent="0.2">
      <c r="A158" s="292"/>
      <c r="B158" s="134" t="s">
        <v>7</v>
      </c>
      <c r="C158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58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214109</v>
      </c>
      <c r="E158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252894</v>
      </c>
      <c r="F158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289980</v>
      </c>
      <c r="G158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272858</v>
      </c>
      <c r="H158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166107</v>
      </c>
      <c r="I158" s="48"/>
      <c r="J158" s="134" t="s">
        <v>7</v>
      </c>
      <c r="K158" s="131">
        <f t="shared" si="126"/>
        <v>9483</v>
      </c>
      <c r="L158" s="48">
        <v>28490</v>
      </c>
      <c r="M158" s="48">
        <v>34910</v>
      </c>
      <c r="N158" s="48">
        <v>40818</v>
      </c>
      <c r="O158" s="48">
        <v>37128</v>
      </c>
      <c r="P158" s="48">
        <v>33138</v>
      </c>
      <c r="R158" s="134" t="s">
        <v>7</v>
      </c>
      <c r="S158" s="131">
        <f t="shared" si="127"/>
        <v>4471</v>
      </c>
      <c r="T158" s="48">
        <v>13732</v>
      </c>
      <c r="U158" s="48">
        <v>17535</v>
      </c>
      <c r="V158" s="48">
        <v>21270</v>
      </c>
      <c r="W158" s="48">
        <v>22441</v>
      </c>
      <c r="X158" s="48">
        <v>16238</v>
      </c>
      <c r="Z158" s="134" t="s">
        <v>7</v>
      </c>
      <c r="AA158" s="131">
        <f t="shared" si="128"/>
        <v>4830</v>
      </c>
      <c r="AB158" s="48">
        <v>16422</v>
      </c>
      <c r="AC158" s="48">
        <v>20289</v>
      </c>
      <c r="AD158" s="48">
        <v>24749</v>
      </c>
      <c r="AE158" s="48">
        <v>22885</v>
      </c>
      <c r="AF158" s="48">
        <v>16895</v>
      </c>
      <c r="AH158" s="134" t="s">
        <v>7</v>
      </c>
      <c r="AI158" s="131">
        <f t="shared" si="129"/>
        <v>0</v>
      </c>
      <c r="AJ158" s="48">
        <v>24227</v>
      </c>
      <c r="AK158" s="48">
        <v>27119</v>
      </c>
      <c r="AL158" s="48">
        <v>33697</v>
      </c>
      <c r="AM158" s="48">
        <v>32245</v>
      </c>
      <c r="AN158" s="48">
        <v>21601</v>
      </c>
      <c r="AP158" s="134" t="s">
        <v>7</v>
      </c>
      <c r="AQ158" s="131">
        <f t="shared" si="130"/>
        <v>9404</v>
      </c>
      <c r="AR158" s="48">
        <v>28559</v>
      </c>
      <c r="AS158" s="48">
        <v>32458</v>
      </c>
      <c r="AT158" s="48">
        <v>39129</v>
      </c>
      <c r="AU158" s="48">
        <v>43024</v>
      </c>
      <c r="AV158" s="48">
        <v>0</v>
      </c>
      <c r="AX158" s="134" t="s">
        <v>7</v>
      </c>
      <c r="AY158" s="131">
        <f t="shared" si="131"/>
        <v>0</v>
      </c>
      <c r="AZ158" s="48">
        <v>13178</v>
      </c>
      <c r="BA158" s="48">
        <v>16301</v>
      </c>
      <c r="BB158" s="48">
        <v>19433</v>
      </c>
      <c r="BC158" s="48"/>
      <c r="BD158" s="48"/>
      <c r="BE158" s="48"/>
      <c r="BF158" s="134" t="s">
        <v>7</v>
      </c>
      <c r="BG158" s="131">
        <f t="shared" si="132"/>
        <v>4180</v>
      </c>
      <c r="BH158" s="48">
        <v>15002</v>
      </c>
      <c r="BI158" s="48">
        <v>15335</v>
      </c>
      <c r="BJ158" s="48"/>
      <c r="BK158" s="48"/>
      <c r="BL158" s="48"/>
      <c r="BM158" s="48"/>
      <c r="BN158" s="134" t="s">
        <v>7</v>
      </c>
      <c r="BO158" s="131">
        <f t="shared" si="133"/>
        <v>6154</v>
      </c>
      <c r="BP158" s="48">
        <v>19305</v>
      </c>
      <c r="BQ158" s="48">
        <v>21642</v>
      </c>
      <c r="BR158" s="48">
        <v>25217</v>
      </c>
      <c r="BS158" s="48">
        <v>24844</v>
      </c>
      <c r="BT158" s="48">
        <v>18785</v>
      </c>
      <c r="BV158" s="134" t="s">
        <v>7</v>
      </c>
      <c r="BW158" s="131">
        <f>BW78+BW157</f>
        <v>3962</v>
      </c>
      <c r="BX158" s="48">
        <v>12463</v>
      </c>
      <c r="BY158" s="48">
        <v>15020</v>
      </c>
      <c r="BZ158" s="48">
        <v>18757</v>
      </c>
      <c r="CA158" s="48">
        <v>23082</v>
      </c>
      <c r="CB158" s="48">
        <v>12241</v>
      </c>
      <c r="CC158" s="48"/>
      <c r="CD158" s="134" t="s">
        <v>7</v>
      </c>
      <c r="CE158" s="131">
        <f t="shared" si="134"/>
        <v>6241</v>
      </c>
      <c r="CF158" s="48">
        <v>21938</v>
      </c>
      <c r="CG158" s="48">
        <v>21931</v>
      </c>
      <c r="CH158" s="48">
        <v>29503</v>
      </c>
      <c r="CI158" s="48">
        <v>30629</v>
      </c>
      <c r="CJ158" s="48">
        <v>21432</v>
      </c>
      <c r="CL158" s="134" t="s">
        <v>7</v>
      </c>
      <c r="CM158" s="131">
        <f t="shared" si="135"/>
        <v>7040</v>
      </c>
      <c r="CN158" s="48">
        <v>20793</v>
      </c>
      <c r="CO158" s="48">
        <v>30354</v>
      </c>
      <c r="CP158" s="48">
        <v>37407</v>
      </c>
      <c r="CQ158" s="48">
        <v>36580</v>
      </c>
      <c r="CR158" s="48">
        <v>25777</v>
      </c>
      <c r="CT158" s="134" t="s">
        <v>7</v>
      </c>
      <c r="CU158" s="131">
        <f t="shared" si="136"/>
        <v>9067</v>
      </c>
      <c r="CV158" s="48">
        <v>24199</v>
      </c>
      <c r="CW158" s="48">
        <v>0</v>
      </c>
      <c r="CX158" s="48"/>
      <c r="CY158" s="48"/>
      <c r="CZ158" s="48"/>
      <c r="DB158" s="134" t="s">
        <v>7</v>
      </c>
      <c r="DC158" s="131">
        <f>DC157+DC78</f>
        <v>10873</v>
      </c>
      <c r="DD158" s="48">
        <v>34069</v>
      </c>
      <c r="DE158" s="48">
        <v>0</v>
      </c>
      <c r="DF158" s="48"/>
      <c r="DG158" s="48"/>
      <c r="DH158" s="48"/>
      <c r="DI158" s="48"/>
      <c r="DJ158" s="134" t="s">
        <v>7</v>
      </c>
      <c r="DK158" s="131">
        <f t="shared" ref="DK158:DK167" si="139">DK157+DK78</f>
        <v>0</v>
      </c>
      <c r="DL158" s="48">
        <v>0</v>
      </c>
      <c r="DM158" s="48">
        <v>0</v>
      </c>
      <c r="DN158" s="48"/>
      <c r="DO158" s="48"/>
      <c r="DP158" s="48"/>
      <c r="DR158" s="134" t="s">
        <v>7</v>
      </c>
      <c r="DS158" s="131">
        <f t="shared" si="137"/>
        <v>8735</v>
      </c>
      <c r="DT158" s="48">
        <v>26143</v>
      </c>
      <c r="DU158" s="48">
        <v>0</v>
      </c>
      <c r="DV158" s="48"/>
      <c r="DW158" s="48"/>
      <c r="DX158" s="48"/>
      <c r="DZ158" s="134" t="s">
        <v>7</v>
      </c>
      <c r="EA158" s="131">
        <f t="shared" si="138"/>
        <v>3700</v>
      </c>
      <c r="EB158" s="48"/>
      <c r="EC158" s="48">
        <v>0</v>
      </c>
      <c r="ED158" s="48"/>
      <c r="EE158" s="48"/>
      <c r="EF158" s="48"/>
    </row>
    <row r="159" spans="1:136" x14ac:dyDescent="0.2">
      <c r="A159" s="292"/>
      <c r="B159" s="134" t="s">
        <v>9</v>
      </c>
      <c r="C159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59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289369</v>
      </c>
      <c r="E159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339000</v>
      </c>
      <c r="F159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382940</v>
      </c>
      <c r="G159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364018</v>
      </c>
      <c r="H159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166107.00001000002</v>
      </c>
      <c r="I159" s="48"/>
      <c r="J159" s="134" t="s">
        <v>9</v>
      </c>
      <c r="K159" s="131">
        <f t="shared" si="126"/>
        <v>9483</v>
      </c>
      <c r="L159" s="48">
        <v>38026</v>
      </c>
      <c r="M159" s="48">
        <v>46446</v>
      </c>
      <c r="N159" s="48">
        <v>53971</v>
      </c>
      <c r="O159" s="48">
        <v>50006</v>
      </c>
      <c r="P159" s="48">
        <v>33138.000010000003</v>
      </c>
      <c r="R159" s="134" t="s">
        <v>9</v>
      </c>
      <c r="S159" s="131">
        <f t="shared" si="127"/>
        <v>4471</v>
      </c>
      <c r="T159" s="48">
        <v>18549</v>
      </c>
      <c r="U159" s="48">
        <v>23072</v>
      </c>
      <c r="V159" s="48">
        <v>27845</v>
      </c>
      <c r="W159" s="48">
        <v>29744</v>
      </c>
      <c r="X159" s="48">
        <v>16238</v>
      </c>
      <c r="Z159" s="134" t="s">
        <v>9</v>
      </c>
      <c r="AA159" s="131">
        <f t="shared" si="128"/>
        <v>4830</v>
      </c>
      <c r="AB159" s="48">
        <v>22179</v>
      </c>
      <c r="AC159" s="48">
        <v>26876</v>
      </c>
      <c r="AD159" s="48">
        <v>32327</v>
      </c>
      <c r="AE159" s="48">
        <v>30814</v>
      </c>
      <c r="AF159" s="48">
        <v>16895</v>
      </c>
      <c r="AH159" s="134" t="s">
        <v>9</v>
      </c>
      <c r="AI159" s="131">
        <f t="shared" si="129"/>
        <v>0</v>
      </c>
      <c r="AJ159" s="48">
        <v>32902</v>
      </c>
      <c r="AK159" s="48">
        <v>36567</v>
      </c>
      <c r="AL159" s="48">
        <v>44490</v>
      </c>
      <c r="AM159" s="48">
        <v>43474</v>
      </c>
      <c r="AN159" s="48">
        <v>21601</v>
      </c>
      <c r="AP159" s="134" t="s">
        <v>9</v>
      </c>
      <c r="AQ159" s="131">
        <f t="shared" si="130"/>
        <v>9404</v>
      </c>
      <c r="AR159" s="48">
        <v>38550</v>
      </c>
      <c r="AS159" s="48">
        <v>43667</v>
      </c>
      <c r="AT159" s="48">
        <v>51470</v>
      </c>
      <c r="AU159" s="48">
        <v>55857</v>
      </c>
      <c r="AV159" s="48">
        <v>0</v>
      </c>
      <c r="AX159" s="134" t="s">
        <v>9</v>
      </c>
      <c r="AY159" s="131">
        <f t="shared" si="131"/>
        <v>0</v>
      </c>
      <c r="AZ159" s="48">
        <v>17729</v>
      </c>
      <c r="BA159" s="48">
        <v>21632</v>
      </c>
      <c r="BB159" s="48">
        <v>25607</v>
      </c>
      <c r="BC159" s="48"/>
      <c r="BD159" s="48"/>
      <c r="BE159" s="48"/>
      <c r="BF159" s="134" t="s">
        <v>9</v>
      </c>
      <c r="BG159" s="131">
        <f t="shared" si="132"/>
        <v>4180</v>
      </c>
      <c r="BH159" s="48">
        <v>20400</v>
      </c>
      <c r="BI159" s="48">
        <v>21052</v>
      </c>
      <c r="BJ159" s="48"/>
      <c r="BK159" s="48"/>
      <c r="BL159" s="48"/>
      <c r="BM159" s="48"/>
      <c r="BN159" s="134" t="s">
        <v>9</v>
      </c>
      <c r="BO159" s="131">
        <f t="shared" si="133"/>
        <v>6154</v>
      </c>
      <c r="BP159" s="48">
        <v>25819</v>
      </c>
      <c r="BQ159" s="48">
        <v>28893</v>
      </c>
      <c r="BR159" s="48">
        <v>33347</v>
      </c>
      <c r="BS159" s="48">
        <v>33720</v>
      </c>
      <c r="BT159" s="48">
        <v>18785</v>
      </c>
      <c r="BV159" s="134" t="s">
        <v>9</v>
      </c>
      <c r="BW159" s="131">
        <f>BW79+BW158</f>
        <v>3962</v>
      </c>
      <c r="BX159" s="48">
        <v>17067</v>
      </c>
      <c r="BY159" s="48">
        <v>20062</v>
      </c>
      <c r="BZ159" s="48">
        <v>25155</v>
      </c>
      <c r="CA159" s="48">
        <v>30136</v>
      </c>
      <c r="CB159" s="48">
        <v>12241</v>
      </c>
      <c r="CC159" s="48"/>
      <c r="CD159" s="134" t="s">
        <v>9</v>
      </c>
      <c r="CE159" s="131">
        <f t="shared" si="134"/>
        <v>6241</v>
      </c>
      <c r="CF159" s="48">
        <v>29947</v>
      </c>
      <c r="CG159" s="48">
        <v>30029</v>
      </c>
      <c r="CH159" s="48">
        <v>39185</v>
      </c>
      <c r="CI159" s="48">
        <v>41260</v>
      </c>
      <c r="CJ159" s="48">
        <v>21432</v>
      </c>
      <c r="CL159" s="134" t="s">
        <v>9</v>
      </c>
      <c r="CM159" s="131">
        <f t="shared" si="135"/>
        <v>7040</v>
      </c>
      <c r="CN159" s="48">
        <v>28201</v>
      </c>
      <c r="CO159" s="48">
        <v>40704</v>
      </c>
      <c r="CP159" s="48">
        <v>49543</v>
      </c>
      <c r="CQ159" s="48">
        <v>49007</v>
      </c>
      <c r="CR159" s="48">
        <v>25777</v>
      </c>
      <c r="CT159" s="134" t="s">
        <v>9</v>
      </c>
      <c r="CU159" s="131">
        <f t="shared" si="136"/>
        <v>9067</v>
      </c>
      <c r="CV159" s="48">
        <v>32601</v>
      </c>
      <c r="CW159" s="48">
        <v>0</v>
      </c>
      <c r="CX159" s="48"/>
      <c r="CY159" s="48"/>
      <c r="CZ159" s="48"/>
      <c r="DB159" s="134" t="s">
        <v>9</v>
      </c>
      <c r="DC159" s="131">
        <f>DC158+DC79</f>
        <v>10873</v>
      </c>
      <c r="DD159" s="48">
        <v>46015</v>
      </c>
      <c r="DE159" s="48">
        <v>0</v>
      </c>
      <c r="DF159" s="48"/>
      <c r="DG159" s="48"/>
      <c r="DH159" s="48"/>
      <c r="DI159" s="48"/>
      <c r="DJ159" s="134" t="s">
        <v>9</v>
      </c>
      <c r="DK159" s="131">
        <f t="shared" si="139"/>
        <v>0</v>
      </c>
      <c r="DL159" s="48">
        <v>0</v>
      </c>
      <c r="DM159" s="48">
        <v>0</v>
      </c>
      <c r="DN159" s="48"/>
      <c r="DO159" s="48"/>
      <c r="DP159" s="48"/>
      <c r="DR159" s="134" t="s">
        <v>9</v>
      </c>
      <c r="DS159" s="131">
        <f t="shared" si="137"/>
        <v>8735</v>
      </c>
      <c r="DT159" s="48">
        <v>35077</v>
      </c>
      <c r="DU159" s="48">
        <v>0</v>
      </c>
      <c r="DV159" s="48"/>
      <c r="DW159" s="48"/>
      <c r="DX159" s="48"/>
      <c r="DZ159" s="134" t="s">
        <v>9</v>
      </c>
      <c r="EA159" s="131">
        <f t="shared" si="138"/>
        <v>3700</v>
      </c>
      <c r="EB159" s="48"/>
      <c r="EC159" s="48">
        <v>0</v>
      </c>
      <c r="ED159" s="48"/>
      <c r="EE159" s="48"/>
      <c r="EF159" s="48"/>
    </row>
    <row r="160" spans="1:136" x14ac:dyDescent="0.2">
      <c r="A160" s="292"/>
      <c r="B160" s="134" t="s">
        <v>11</v>
      </c>
      <c r="C160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0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365793</v>
      </c>
      <c r="E160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427407</v>
      </c>
      <c r="F160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479046</v>
      </c>
      <c r="G160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472883</v>
      </c>
      <c r="H160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231230.00001000002</v>
      </c>
      <c r="I160" s="48"/>
      <c r="J160" s="134" t="s">
        <v>11</v>
      </c>
      <c r="K160" s="131">
        <f t="shared" si="126"/>
        <v>9483</v>
      </c>
      <c r="L160" s="48">
        <v>47824</v>
      </c>
      <c r="M160" s="48">
        <v>58009</v>
      </c>
      <c r="N160" s="48">
        <v>67365</v>
      </c>
      <c r="O160" s="48">
        <v>64576</v>
      </c>
      <c r="P160" s="48">
        <v>44226.000010000003</v>
      </c>
      <c r="R160" s="134" t="s">
        <v>11</v>
      </c>
      <c r="S160" s="131">
        <f t="shared" si="127"/>
        <v>4471</v>
      </c>
      <c r="T160" s="48">
        <v>23419</v>
      </c>
      <c r="U160" s="48">
        <v>28677</v>
      </c>
      <c r="V160" s="48">
        <v>34293</v>
      </c>
      <c r="W160" s="48">
        <v>38193</v>
      </c>
      <c r="X160" s="48">
        <v>19830</v>
      </c>
      <c r="Z160" s="134" t="s">
        <v>11</v>
      </c>
      <c r="AA160" s="131">
        <f t="shared" si="128"/>
        <v>4830</v>
      </c>
      <c r="AB160" s="48">
        <v>27404</v>
      </c>
      <c r="AC160" s="48">
        <v>33541</v>
      </c>
      <c r="AD160" s="48">
        <v>40540</v>
      </c>
      <c r="AE160" s="48">
        <v>40117</v>
      </c>
      <c r="AF160" s="48">
        <v>22354</v>
      </c>
      <c r="AH160" s="134" t="s">
        <v>11</v>
      </c>
      <c r="AI160" s="131">
        <f t="shared" si="129"/>
        <v>0</v>
      </c>
      <c r="AJ160" s="48">
        <v>41328</v>
      </c>
      <c r="AK160" s="48">
        <v>45960</v>
      </c>
      <c r="AL160" s="48">
        <v>55437</v>
      </c>
      <c r="AM160" s="48">
        <v>56477</v>
      </c>
      <c r="AN160" s="48">
        <v>32480</v>
      </c>
      <c r="AP160" s="134" t="s">
        <v>11</v>
      </c>
      <c r="AQ160" s="131">
        <f t="shared" si="130"/>
        <v>9404</v>
      </c>
      <c r="AR160" s="48">
        <v>48620</v>
      </c>
      <c r="AS160" s="48">
        <v>55206</v>
      </c>
      <c r="AT160" s="48">
        <v>64015</v>
      </c>
      <c r="AU160" s="48">
        <v>72422</v>
      </c>
      <c r="AV160" s="48">
        <v>0</v>
      </c>
      <c r="AX160" s="134" t="s">
        <v>11</v>
      </c>
      <c r="AY160" s="131">
        <f t="shared" si="131"/>
        <v>0</v>
      </c>
      <c r="AZ160" s="48">
        <v>22492</v>
      </c>
      <c r="BA160" s="48">
        <v>27013</v>
      </c>
      <c r="BB160" s="48">
        <v>32071</v>
      </c>
      <c r="BC160" s="48"/>
      <c r="BD160" s="48"/>
      <c r="BE160" s="48"/>
      <c r="BF160" s="134" t="s">
        <v>11</v>
      </c>
      <c r="BG160" s="131">
        <f t="shared" si="132"/>
        <v>4180</v>
      </c>
      <c r="BH160" s="48">
        <v>25680</v>
      </c>
      <c r="BI160" s="48">
        <v>26891</v>
      </c>
      <c r="BJ160" s="48"/>
      <c r="BK160" s="48"/>
      <c r="BL160" s="48"/>
      <c r="BM160" s="48"/>
      <c r="BN160" s="134" t="s">
        <v>11</v>
      </c>
      <c r="BO160" s="131">
        <f t="shared" si="133"/>
        <v>6154</v>
      </c>
      <c r="BP160" s="48">
        <v>32628</v>
      </c>
      <c r="BQ160" s="48">
        <v>36117</v>
      </c>
      <c r="BR160" s="48">
        <v>41902</v>
      </c>
      <c r="BS160" s="48">
        <v>44236</v>
      </c>
      <c r="BT160" s="48">
        <v>25854</v>
      </c>
      <c r="BV160" s="134" t="s">
        <v>11</v>
      </c>
      <c r="BW160" s="131">
        <f>BW80+BW159</f>
        <v>3962</v>
      </c>
      <c r="BX160" s="48">
        <v>22087</v>
      </c>
      <c r="BY160" s="48">
        <v>25607</v>
      </c>
      <c r="BZ160" s="48">
        <v>31840</v>
      </c>
      <c r="CA160" s="48">
        <v>38939</v>
      </c>
      <c r="CB160" s="48">
        <v>16205</v>
      </c>
      <c r="CC160" s="48"/>
      <c r="CD160" s="134" t="s">
        <v>11</v>
      </c>
      <c r="CE160" s="131">
        <f t="shared" si="134"/>
        <v>6241</v>
      </c>
      <c r="CF160" s="48">
        <v>38343</v>
      </c>
      <c r="CG160" s="48">
        <v>39145</v>
      </c>
      <c r="CH160" s="48">
        <v>49699</v>
      </c>
      <c r="CI160" s="48">
        <v>54023</v>
      </c>
      <c r="CJ160" s="48">
        <v>33551</v>
      </c>
      <c r="CL160" s="134" t="s">
        <v>11</v>
      </c>
      <c r="CM160" s="131">
        <f t="shared" si="135"/>
        <v>7040</v>
      </c>
      <c r="CN160" s="48">
        <v>35968</v>
      </c>
      <c r="CO160" s="48">
        <v>51241</v>
      </c>
      <c r="CP160" s="48">
        <v>61884</v>
      </c>
      <c r="CQ160" s="48">
        <v>63900</v>
      </c>
      <c r="CR160" s="48">
        <v>36730</v>
      </c>
      <c r="CT160" s="134" t="s">
        <v>11</v>
      </c>
      <c r="CU160" s="131">
        <f t="shared" si="136"/>
        <v>9067</v>
      </c>
      <c r="CV160" s="48">
        <v>41358</v>
      </c>
      <c r="CW160" s="48">
        <v>0</v>
      </c>
      <c r="CX160" s="48"/>
      <c r="CY160" s="48"/>
      <c r="CZ160" s="48"/>
      <c r="DB160" s="134" t="s">
        <v>11</v>
      </c>
      <c r="DC160" s="131">
        <f t="shared" ref="DC160:DC167" si="140">DC159+DC80</f>
        <v>10873</v>
      </c>
      <c r="DD160" s="48">
        <v>58420</v>
      </c>
      <c r="DE160" s="48">
        <v>0</v>
      </c>
      <c r="DF160" s="48"/>
      <c r="DG160" s="48"/>
      <c r="DH160" s="48"/>
      <c r="DI160" s="48"/>
      <c r="DJ160" s="134" t="s">
        <v>11</v>
      </c>
      <c r="DK160" s="131">
        <f t="shared" si="139"/>
        <v>0</v>
      </c>
      <c r="DL160" s="48">
        <v>0</v>
      </c>
      <c r="DM160" s="48">
        <v>0</v>
      </c>
      <c r="DN160" s="48"/>
      <c r="DO160" s="48"/>
      <c r="DP160" s="48"/>
      <c r="DR160" s="134" t="s">
        <v>11</v>
      </c>
      <c r="DS160" s="131">
        <f t="shared" si="137"/>
        <v>8735</v>
      </c>
      <c r="DT160" s="48">
        <v>44171</v>
      </c>
      <c r="DU160" s="48">
        <v>0</v>
      </c>
      <c r="DV160" s="48"/>
      <c r="DW160" s="48"/>
      <c r="DX160" s="48"/>
      <c r="DZ160" s="134" t="s">
        <v>11</v>
      </c>
      <c r="EA160" s="131">
        <f t="shared" si="138"/>
        <v>3700</v>
      </c>
      <c r="EB160" s="48"/>
      <c r="EC160" s="48">
        <v>0</v>
      </c>
      <c r="ED160" s="48"/>
      <c r="EE160" s="48"/>
      <c r="EF160" s="48"/>
    </row>
    <row r="161" spans="1:136" x14ac:dyDescent="0.2">
      <c r="A161" s="292"/>
      <c r="B161" s="134" t="s">
        <v>0</v>
      </c>
      <c r="C161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1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441232</v>
      </c>
      <c r="E161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512315</v>
      </c>
      <c r="F161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571147</v>
      </c>
      <c r="G161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570867</v>
      </c>
      <c r="H161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320394.00001000002</v>
      </c>
      <c r="I161" s="48"/>
      <c r="J161" s="134" t="s">
        <v>0</v>
      </c>
      <c r="K161" s="131">
        <f t="shared" si="126"/>
        <v>9483</v>
      </c>
      <c r="L161" s="48">
        <v>57377</v>
      </c>
      <c r="M161" s="48">
        <v>69213</v>
      </c>
      <c r="N161" s="48">
        <v>80335</v>
      </c>
      <c r="O161" s="48">
        <v>80006</v>
      </c>
      <c r="P161" s="48">
        <v>59308.000010000003</v>
      </c>
      <c r="R161" s="134" t="s">
        <v>0</v>
      </c>
      <c r="S161" s="131">
        <f t="shared" si="127"/>
        <v>4471</v>
      </c>
      <c r="T161" s="48">
        <v>28249</v>
      </c>
      <c r="U161" s="48">
        <v>34108</v>
      </c>
      <c r="V161" s="48">
        <v>40437</v>
      </c>
      <c r="W161" s="48">
        <v>46776</v>
      </c>
      <c r="X161" s="48">
        <v>27382</v>
      </c>
      <c r="Z161" s="134" t="s">
        <v>0</v>
      </c>
      <c r="AA161" s="131">
        <f t="shared" si="128"/>
        <v>4830</v>
      </c>
      <c r="AB161" s="48">
        <v>32912</v>
      </c>
      <c r="AC161" s="48">
        <v>39974</v>
      </c>
      <c r="AD161" s="48">
        <v>48290</v>
      </c>
      <c r="AE161" s="48">
        <v>49216</v>
      </c>
      <c r="AF161" s="48">
        <v>30442</v>
      </c>
      <c r="AH161" s="134" t="s">
        <v>0</v>
      </c>
      <c r="AI161" s="131">
        <f t="shared" si="129"/>
        <v>0</v>
      </c>
      <c r="AJ161" s="48">
        <v>49763</v>
      </c>
      <c r="AK161" s="48">
        <v>55361</v>
      </c>
      <c r="AL161" s="48">
        <v>65676</v>
      </c>
      <c r="AM161" s="48">
        <v>69612</v>
      </c>
      <c r="AN161" s="48">
        <v>45677</v>
      </c>
      <c r="AP161" s="134" t="s">
        <v>0</v>
      </c>
      <c r="AQ161" s="131">
        <f t="shared" si="130"/>
        <v>9404</v>
      </c>
      <c r="AR161" s="48">
        <v>58844</v>
      </c>
      <c r="AS161" s="48">
        <v>66241</v>
      </c>
      <c r="AT161" s="48">
        <v>76475</v>
      </c>
      <c r="AU161" s="48">
        <v>79665</v>
      </c>
      <c r="AV161" s="48">
        <v>0</v>
      </c>
      <c r="AX161" s="134" t="s">
        <v>0</v>
      </c>
      <c r="AY161" s="131">
        <f t="shared" si="131"/>
        <v>0</v>
      </c>
      <c r="AZ161" s="48">
        <v>27233</v>
      </c>
      <c r="BA161" s="48">
        <v>32136</v>
      </c>
      <c r="BB161" s="48">
        <v>38329</v>
      </c>
      <c r="BC161" s="48"/>
      <c r="BD161" s="48"/>
      <c r="BE161" s="48"/>
      <c r="BF161" s="134" t="s">
        <v>0</v>
      </c>
      <c r="BG161" s="131">
        <f t="shared" si="132"/>
        <v>4180</v>
      </c>
      <c r="BH161" s="48">
        <v>30484</v>
      </c>
      <c r="BI161" s="48">
        <v>32562</v>
      </c>
      <c r="BJ161" s="48"/>
      <c r="BK161" s="48"/>
      <c r="BL161" s="48"/>
      <c r="BM161" s="48"/>
      <c r="BN161" s="134" t="s">
        <v>0</v>
      </c>
      <c r="BO161" s="131">
        <f t="shared" si="133"/>
        <v>6154</v>
      </c>
      <c r="BP161" s="48">
        <v>39437</v>
      </c>
      <c r="BQ161" s="48">
        <v>43146</v>
      </c>
      <c r="BR161" s="48">
        <v>50141</v>
      </c>
      <c r="BS161" s="48">
        <v>54213</v>
      </c>
      <c r="BT161" s="48">
        <v>35941</v>
      </c>
      <c r="BV161" s="134" t="s">
        <v>0</v>
      </c>
      <c r="BW161" s="131">
        <f>BW81+BW160</f>
        <v>3962</v>
      </c>
      <c r="BX161" s="48">
        <v>26898</v>
      </c>
      <c r="BY161" s="48">
        <v>30848</v>
      </c>
      <c r="BZ161" s="48">
        <v>38239</v>
      </c>
      <c r="CA161" s="48">
        <v>46772</v>
      </c>
      <c r="CB161" s="48">
        <v>23729</v>
      </c>
      <c r="CC161" s="48"/>
      <c r="CD161" s="134" t="s">
        <v>0</v>
      </c>
      <c r="CE161" s="131">
        <f t="shared" si="134"/>
        <v>6241</v>
      </c>
      <c r="CF161" s="48">
        <v>46343</v>
      </c>
      <c r="CG161" s="48">
        <v>47662</v>
      </c>
      <c r="CH161" s="48">
        <v>59838</v>
      </c>
      <c r="CI161" s="48">
        <v>66511</v>
      </c>
      <c r="CJ161" s="48">
        <v>47135</v>
      </c>
      <c r="CL161" s="134" t="s">
        <v>0</v>
      </c>
      <c r="CM161" s="131">
        <f t="shared" si="135"/>
        <v>7040</v>
      </c>
      <c r="CN161" s="48">
        <v>43692</v>
      </c>
      <c r="CO161" s="48">
        <v>61064</v>
      </c>
      <c r="CP161" s="48">
        <v>73387</v>
      </c>
      <c r="CQ161" s="48">
        <v>78096</v>
      </c>
      <c r="CR161" s="48">
        <v>50780</v>
      </c>
      <c r="CT161" s="134" t="s">
        <v>0</v>
      </c>
      <c r="CU161" s="131">
        <f t="shared" si="136"/>
        <v>9067</v>
      </c>
      <c r="CV161" s="48">
        <v>50118</v>
      </c>
      <c r="CW161" s="48">
        <v>0</v>
      </c>
      <c r="CX161" s="48"/>
      <c r="CY161" s="48"/>
      <c r="CZ161" s="48"/>
      <c r="DB161" s="134" t="s">
        <v>0</v>
      </c>
      <c r="DC161" s="131">
        <f t="shared" si="140"/>
        <v>10873</v>
      </c>
      <c r="DD161" s="48">
        <v>70411</v>
      </c>
      <c r="DE161" s="48">
        <v>0</v>
      </c>
      <c r="DF161" s="48"/>
      <c r="DG161" s="48"/>
      <c r="DH161" s="48"/>
      <c r="DI161" s="48"/>
      <c r="DJ161" s="134" t="s">
        <v>0</v>
      </c>
      <c r="DK161" s="131">
        <f t="shared" si="139"/>
        <v>0</v>
      </c>
      <c r="DL161" s="48">
        <v>0</v>
      </c>
      <c r="DM161" s="48">
        <v>0</v>
      </c>
      <c r="DN161" s="48"/>
      <c r="DO161" s="48"/>
      <c r="DP161" s="48"/>
      <c r="DR161" s="134" t="s">
        <v>0</v>
      </c>
      <c r="DS161" s="131">
        <f t="shared" si="137"/>
        <v>8735</v>
      </c>
      <c r="DT161" s="48">
        <v>53237</v>
      </c>
      <c r="DU161" s="48">
        <v>0</v>
      </c>
      <c r="DV161" s="48"/>
      <c r="DW161" s="48"/>
      <c r="DX161" s="48"/>
      <c r="DZ161" s="134" t="s">
        <v>0</v>
      </c>
      <c r="EA161" s="131">
        <f t="shared" si="138"/>
        <v>3700</v>
      </c>
      <c r="EB161" s="48"/>
      <c r="EC161" s="48">
        <v>0</v>
      </c>
      <c r="ED161" s="48"/>
      <c r="EE161" s="48"/>
      <c r="EF161" s="48"/>
    </row>
    <row r="162" spans="1:136" x14ac:dyDescent="0.2">
      <c r="A162" s="292"/>
      <c r="B162" s="134" t="s">
        <v>1</v>
      </c>
      <c r="C162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2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516421</v>
      </c>
      <c r="E162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602100</v>
      </c>
      <c r="F162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664527</v>
      </c>
      <c r="G162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680701</v>
      </c>
      <c r="H162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411675.00001000002</v>
      </c>
      <c r="I162" s="48"/>
      <c r="J162" s="134" t="s">
        <v>1</v>
      </c>
      <c r="K162" s="131">
        <f t="shared" si="126"/>
        <v>9483</v>
      </c>
      <c r="L162" s="48">
        <v>67082</v>
      </c>
      <c r="M162" s="48">
        <v>80454</v>
      </c>
      <c r="N162" s="48">
        <v>92756</v>
      </c>
      <c r="O162" s="48">
        <v>95214</v>
      </c>
      <c r="P162" s="48">
        <v>74138.000010000003</v>
      </c>
      <c r="R162" s="134" t="s">
        <v>1</v>
      </c>
      <c r="S162" s="131">
        <f t="shared" si="127"/>
        <v>4471</v>
      </c>
      <c r="T162" s="48">
        <v>32701</v>
      </c>
      <c r="U162" s="48">
        <v>39234</v>
      </c>
      <c r="V162" s="48">
        <v>46052</v>
      </c>
      <c r="W162" s="48">
        <v>54831</v>
      </c>
      <c r="X162" s="48">
        <v>34916</v>
      </c>
      <c r="Z162" s="134" t="s">
        <v>1</v>
      </c>
      <c r="AA162" s="131">
        <f t="shared" si="128"/>
        <v>4830</v>
      </c>
      <c r="AB162" s="48">
        <v>37727</v>
      </c>
      <c r="AC162" s="48">
        <v>45972</v>
      </c>
      <c r="AD162" s="48">
        <v>55335</v>
      </c>
      <c r="AE162" s="48">
        <v>57777</v>
      </c>
      <c r="AF162" s="48">
        <v>38048</v>
      </c>
      <c r="AH162" s="134" t="s">
        <v>1</v>
      </c>
      <c r="AI162" s="131">
        <f t="shared" si="129"/>
        <v>0</v>
      </c>
      <c r="AJ162" s="48">
        <v>57865</v>
      </c>
      <c r="AK162" s="48">
        <v>64903</v>
      </c>
      <c r="AL162" s="48">
        <v>75859</v>
      </c>
      <c r="AM162" s="48">
        <v>81992</v>
      </c>
      <c r="AN162" s="48">
        <v>58761</v>
      </c>
      <c r="AP162" s="134" t="s">
        <v>1</v>
      </c>
      <c r="AQ162" s="131">
        <f t="shared" si="130"/>
        <v>9404</v>
      </c>
      <c r="AR162" s="48">
        <v>69011</v>
      </c>
      <c r="AS162" s="48">
        <v>77524</v>
      </c>
      <c r="AT162" s="48">
        <v>88950</v>
      </c>
      <c r="AU162" s="48">
        <v>95209</v>
      </c>
      <c r="AV162" s="48">
        <v>0</v>
      </c>
      <c r="AX162" s="134" t="s">
        <v>1</v>
      </c>
      <c r="AY162" s="131">
        <f t="shared" si="131"/>
        <v>0</v>
      </c>
      <c r="AZ162" s="48">
        <v>31729</v>
      </c>
      <c r="BA162" s="48">
        <v>37366</v>
      </c>
      <c r="BB162" s="48">
        <v>44490</v>
      </c>
      <c r="BC162" s="48">
        <v>1658</v>
      </c>
      <c r="BD162" s="48"/>
      <c r="BE162" s="48"/>
      <c r="BF162" s="134" t="s">
        <v>1</v>
      </c>
      <c r="BG162" s="131">
        <f t="shared" si="132"/>
        <v>4180</v>
      </c>
      <c r="BH162" s="48">
        <v>35570</v>
      </c>
      <c r="BI162" s="48">
        <v>39094</v>
      </c>
      <c r="BJ162" s="48"/>
      <c r="BK162" s="48"/>
      <c r="BL162" s="48"/>
      <c r="BM162" s="48"/>
      <c r="BN162" s="134" t="s">
        <v>1</v>
      </c>
      <c r="BO162" s="131">
        <f t="shared" si="133"/>
        <v>6154</v>
      </c>
      <c r="BP162" s="48">
        <v>45676</v>
      </c>
      <c r="BQ162" s="48">
        <v>50345</v>
      </c>
      <c r="BR162" s="48">
        <v>58321</v>
      </c>
      <c r="BS162" s="48">
        <v>64149</v>
      </c>
      <c r="BT162" s="48">
        <v>45875</v>
      </c>
      <c r="BV162" s="134" t="s">
        <v>1</v>
      </c>
      <c r="BW162" s="131">
        <f>BW161+BW82</f>
        <v>3962</v>
      </c>
      <c r="BX162" s="48">
        <v>32588</v>
      </c>
      <c r="BY162" s="48">
        <v>37444</v>
      </c>
      <c r="BZ162" s="48">
        <v>46077</v>
      </c>
      <c r="CA162" s="48">
        <v>55839</v>
      </c>
      <c r="CB162" s="48">
        <v>32301</v>
      </c>
      <c r="CC162" s="48"/>
      <c r="CD162" s="134" t="s">
        <v>1</v>
      </c>
      <c r="CE162" s="131">
        <f t="shared" si="134"/>
        <v>6241</v>
      </c>
      <c r="CF162" s="48">
        <v>55082</v>
      </c>
      <c r="CG162" s="48">
        <v>58107</v>
      </c>
      <c r="CH162" s="48">
        <v>71236</v>
      </c>
      <c r="CI162" s="48">
        <v>81878</v>
      </c>
      <c r="CJ162" s="48">
        <v>62522</v>
      </c>
      <c r="CL162" s="134" t="s">
        <v>1</v>
      </c>
      <c r="CM162" s="131">
        <f t="shared" si="135"/>
        <v>7040</v>
      </c>
      <c r="CN162" s="48">
        <v>51390</v>
      </c>
      <c r="CO162" s="48">
        <v>71657</v>
      </c>
      <c r="CP162" s="48">
        <v>85451</v>
      </c>
      <c r="CQ162" s="48">
        <v>92154</v>
      </c>
      <c r="CR162" s="48">
        <v>65114</v>
      </c>
      <c r="CT162" s="134" t="s">
        <v>1</v>
      </c>
      <c r="CU162" s="131">
        <f t="shared" si="136"/>
        <v>9067</v>
      </c>
      <c r="CV162" s="48">
        <v>58273</v>
      </c>
      <c r="CW162" s="48">
        <v>0</v>
      </c>
      <c r="CX162" s="48"/>
      <c r="CY162" s="48"/>
      <c r="CZ162" s="48"/>
      <c r="DB162" s="134" t="s">
        <v>1</v>
      </c>
      <c r="DC162" s="131">
        <f t="shared" si="140"/>
        <v>10873</v>
      </c>
      <c r="DD162" s="48">
        <v>81554</v>
      </c>
      <c r="DE162" s="48">
        <v>0</v>
      </c>
      <c r="DF162" s="48"/>
      <c r="DG162" s="48"/>
      <c r="DH162" s="48"/>
      <c r="DI162" s="48"/>
      <c r="DJ162" s="134" t="s">
        <v>1</v>
      </c>
      <c r="DK162" s="131">
        <f t="shared" si="139"/>
        <v>0</v>
      </c>
      <c r="DL162" s="48">
        <v>0</v>
      </c>
      <c r="DM162" s="48">
        <v>0</v>
      </c>
      <c r="DN162" s="48"/>
      <c r="DO162" s="48"/>
      <c r="DP162" s="48"/>
      <c r="DR162" s="134" t="s">
        <v>1</v>
      </c>
      <c r="DS162" s="131">
        <f t="shared" si="137"/>
        <v>8735</v>
      </c>
      <c r="DT162" s="48">
        <v>61665</v>
      </c>
      <c r="DU162" s="48">
        <v>0</v>
      </c>
      <c r="DV162" s="48"/>
      <c r="DW162" s="48"/>
      <c r="DX162" s="48"/>
      <c r="DZ162" s="134" t="s">
        <v>1</v>
      </c>
      <c r="EA162" s="131">
        <f t="shared" si="138"/>
        <v>3700</v>
      </c>
      <c r="EB162" s="48"/>
      <c r="EC162" s="48">
        <v>0</v>
      </c>
      <c r="ED162" s="48"/>
      <c r="EE162" s="48"/>
      <c r="EF162" s="48"/>
    </row>
    <row r="163" spans="1:136" x14ac:dyDescent="0.2">
      <c r="A163" s="292"/>
      <c r="B163" s="134" t="s">
        <v>3</v>
      </c>
      <c r="C163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3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591591</v>
      </c>
      <c r="E163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689070</v>
      </c>
      <c r="F163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753041</v>
      </c>
      <c r="G163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805158</v>
      </c>
      <c r="H163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501125.00001000002</v>
      </c>
      <c r="I163" s="48"/>
      <c r="J163" s="134" t="s">
        <v>3</v>
      </c>
      <c r="K163" s="131">
        <f>K162+K83</f>
        <v>9483</v>
      </c>
      <c r="L163" s="48">
        <v>76487</v>
      </c>
      <c r="M163" s="48">
        <v>91082</v>
      </c>
      <c r="N163" s="48">
        <v>104044</v>
      </c>
      <c r="O163" s="48">
        <v>110080</v>
      </c>
      <c r="P163" s="48">
        <v>88477.000010000003</v>
      </c>
      <c r="R163" s="134" t="s">
        <v>3</v>
      </c>
      <c r="S163" s="131">
        <f>S162+S83</f>
        <v>4471</v>
      </c>
      <c r="T163" s="48">
        <v>36847</v>
      </c>
      <c r="U163" s="48">
        <v>44117</v>
      </c>
      <c r="V163" s="48">
        <v>51379</v>
      </c>
      <c r="W163" s="48">
        <v>63306</v>
      </c>
      <c r="X163" s="48">
        <v>42194</v>
      </c>
      <c r="Z163" s="134" t="s">
        <v>3</v>
      </c>
      <c r="AA163" s="131">
        <f>AA162+AA83</f>
        <v>4830</v>
      </c>
      <c r="AB163" s="48">
        <v>42291</v>
      </c>
      <c r="AC163" s="48">
        <v>51547</v>
      </c>
      <c r="AD163" s="48">
        <v>61863</v>
      </c>
      <c r="AE163" s="48">
        <v>66988</v>
      </c>
      <c r="AF163" s="48">
        <v>45310</v>
      </c>
      <c r="AH163" s="134" t="s">
        <v>3</v>
      </c>
      <c r="AI163" s="131">
        <f t="shared" si="129"/>
        <v>0</v>
      </c>
      <c r="AJ163" s="48">
        <v>65526</v>
      </c>
      <c r="AK163" s="48">
        <v>73914</v>
      </c>
      <c r="AL163" s="48">
        <v>85670</v>
      </c>
      <c r="AM163" s="48">
        <v>95316</v>
      </c>
      <c r="AN163" s="48">
        <v>71289</v>
      </c>
      <c r="AP163" s="134" t="s">
        <v>3</v>
      </c>
      <c r="AQ163" s="131">
        <f t="shared" si="130"/>
        <v>9404</v>
      </c>
      <c r="AR163" s="48">
        <v>78953</v>
      </c>
      <c r="AS163" s="48">
        <v>88325</v>
      </c>
      <c r="AT163" s="48">
        <v>101103</v>
      </c>
      <c r="AU163" s="48">
        <v>111287</v>
      </c>
      <c r="AV163" s="48">
        <v>0</v>
      </c>
      <c r="AX163" s="134" t="s">
        <v>3</v>
      </c>
      <c r="AY163" s="131">
        <f t="shared" si="131"/>
        <v>0</v>
      </c>
      <c r="AZ163" s="48">
        <v>36106</v>
      </c>
      <c r="BA163" s="48">
        <v>42287</v>
      </c>
      <c r="BB163" s="48">
        <v>50325</v>
      </c>
      <c r="BC163" s="48">
        <v>10037</v>
      </c>
      <c r="BD163" s="48"/>
      <c r="BE163" s="48"/>
      <c r="BF163" s="134" t="s">
        <v>3</v>
      </c>
      <c r="BG163" s="131">
        <f t="shared" si="132"/>
        <v>4180</v>
      </c>
      <c r="BH163" s="48">
        <v>40788</v>
      </c>
      <c r="BI163" s="48">
        <v>45130</v>
      </c>
      <c r="BJ163" s="48"/>
      <c r="BK163" s="48"/>
      <c r="BL163" s="48"/>
      <c r="BM163" s="48"/>
      <c r="BN163" s="134" t="s">
        <v>3</v>
      </c>
      <c r="BO163" s="131">
        <f t="shared" si="133"/>
        <v>6154</v>
      </c>
      <c r="BP163" s="48">
        <v>51731</v>
      </c>
      <c r="BQ163" s="48">
        <v>57188</v>
      </c>
      <c r="BR163" s="48">
        <v>65784</v>
      </c>
      <c r="BS163" s="48">
        <v>74417</v>
      </c>
      <c r="BT163" s="48">
        <v>55502</v>
      </c>
      <c r="BV163" s="134" t="s">
        <v>3</v>
      </c>
      <c r="BW163" s="131">
        <f t="shared" ref="BW163:BW167" si="141">BW162+BW83</f>
        <v>3962</v>
      </c>
      <c r="BX163" s="48">
        <v>38455</v>
      </c>
      <c r="BY163" s="48">
        <v>43919</v>
      </c>
      <c r="BZ163" s="48">
        <v>54162</v>
      </c>
      <c r="CA163" s="48">
        <v>66158</v>
      </c>
      <c r="CB163" s="48">
        <v>41148</v>
      </c>
      <c r="CC163" s="48"/>
      <c r="CD163" s="134" t="s">
        <v>3</v>
      </c>
      <c r="CE163" s="131">
        <f t="shared" ref="CE163:CE167" si="142">CE162+CE83</f>
        <v>6241</v>
      </c>
      <c r="CF163" s="48">
        <v>65257</v>
      </c>
      <c r="CG163" s="48">
        <v>69355</v>
      </c>
      <c r="CH163" s="48">
        <v>81397</v>
      </c>
      <c r="CI163" s="48">
        <v>99288</v>
      </c>
      <c r="CJ163" s="48">
        <v>78194</v>
      </c>
      <c r="CL163" s="134" t="s">
        <v>3</v>
      </c>
      <c r="CM163" s="131">
        <f t="shared" si="135"/>
        <v>7040</v>
      </c>
      <c r="CN163" s="48">
        <v>59150</v>
      </c>
      <c r="CO163" s="48">
        <v>82206</v>
      </c>
      <c r="CP163" s="48">
        <v>97314</v>
      </c>
      <c r="CQ163" s="48">
        <v>108281</v>
      </c>
      <c r="CR163" s="48">
        <v>79011</v>
      </c>
      <c r="CT163" s="134" t="s">
        <v>3</v>
      </c>
      <c r="CU163" s="131">
        <f t="shared" si="136"/>
        <v>9067</v>
      </c>
      <c r="CV163" s="48">
        <v>67408</v>
      </c>
      <c r="CW163" s="48">
        <v>0</v>
      </c>
      <c r="CX163" s="48"/>
      <c r="CY163" s="48"/>
      <c r="CZ163" s="48"/>
      <c r="DB163" s="134" t="s">
        <v>3</v>
      </c>
      <c r="DC163" s="131">
        <f t="shared" si="140"/>
        <v>10873</v>
      </c>
      <c r="DD163" s="48">
        <v>93115</v>
      </c>
      <c r="DE163" s="48">
        <v>0</v>
      </c>
      <c r="DF163" s="48"/>
      <c r="DG163" s="48"/>
      <c r="DH163" s="48"/>
      <c r="DI163" s="48"/>
      <c r="DJ163" s="134" t="s">
        <v>3</v>
      </c>
      <c r="DK163" s="131">
        <f t="shared" si="139"/>
        <v>0</v>
      </c>
      <c r="DL163" s="48">
        <v>0</v>
      </c>
      <c r="DM163" s="48">
        <v>0</v>
      </c>
      <c r="DN163" s="48"/>
      <c r="DO163" s="48"/>
      <c r="DP163" s="48"/>
      <c r="DR163" s="134" t="s">
        <v>3</v>
      </c>
      <c r="DS163" s="131">
        <f t="shared" si="137"/>
        <v>8735</v>
      </c>
      <c r="DT163" s="48">
        <v>70070</v>
      </c>
      <c r="DU163" s="48">
        <v>0</v>
      </c>
      <c r="DV163" s="48"/>
      <c r="DW163" s="48"/>
      <c r="DX163" s="48"/>
      <c r="DZ163" s="134" t="s">
        <v>3</v>
      </c>
      <c r="EA163" s="131">
        <f t="shared" si="138"/>
        <v>3700</v>
      </c>
      <c r="EB163" s="48">
        <v>5052</v>
      </c>
      <c r="EC163" s="48">
        <v>0</v>
      </c>
      <c r="ED163" s="48"/>
      <c r="EE163" s="48"/>
      <c r="EF163" s="48"/>
    </row>
    <row r="164" spans="1:136" x14ac:dyDescent="0.2">
      <c r="A164" s="292"/>
      <c r="B164" s="134" t="s">
        <v>71</v>
      </c>
      <c r="C164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4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658886</v>
      </c>
      <c r="E164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765079</v>
      </c>
      <c r="F164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832358</v>
      </c>
      <c r="G164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910513</v>
      </c>
      <c r="H164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579883.00001000008</v>
      </c>
      <c r="I164" s="48"/>
      <c r="J164" s="134" t="s">
        <v>71</v>
      </c>
      <c r="K164" s="131">
        <f t="shared" ref="K164:K167" si="143">K163+K84</f>
        <v>9483</v>
      </c>
      <c r="L164" s="48">
        <v>85524</v>
      </c>
      <c r="M164" s="48">
        <v>101376</v>
      </c>
      <c r="N164" s="48">
        <v>115408</v>
      </c>
      <c r="O164" s="48">
        <v>124075</v>
      </c>
      <c r="P164" s="48">
        <v>102263.00001</v>
      </c>
      <c r="R164" s="134" t="s">
        <v>71</v>
      </c>
      <c r="S164" s="131">
        <f t="shared" ref="S164:S167" si="144">S163+S84</f>
        <v>4471</v>
      </c>
      <c r="T164" s="48">
        <v>41264</v>
      </c>
      <c r="U164" s="48">
        <v>48867</v>
      </c>
      <c r="V164" s="48">
        <v>57060</v>
      </c>
      <c r="W164" s="48">
        <v>71164</v>
      </c>
      <c r="X164" s="48">
        <v>49336</v>
      </c>
      <c r="Z164" s="134" t="s">
        <v>71</v>
      </c>
      <c r="AA164" s="131">
        <f t="shared" ref="AA164:AA167" si="145">AA163+AA84</f>
        <v>4830</v>
      </c>
      <c r="AB164" s="48">
        <v>47189</v>
      </c>
      <c r="AC164" s="48">
        <v>57791</v>
      </c>
      <c r="AD164" s="48">
        <v>68668</v>
      </c>
      <c r="AE164" s="48">
        <v>76099</v>
      </c>
      <c r="AF164" s="48">
        <v>53072</v>
      </c>
      <c r="AH164" s="134" t="s">
        <v>71</v>
      </c>
      <c r="AI164" s="131">
        <f t="shared" si="129"/>
        <v>0</v>
      </c>
      <c r="AJ164" s="48">
        <v>73109</v>
      </c>
      <c r="AK164" s="48">
        <v>82889</v>
      </c>
      <c r="AL164" s="48">
        <v>95350</v>
      </c>
      <c r="AM164" s="48">
        <v>107422</v>
      </c>
      <c r="AN164" s="48">
        <v>83081</v>
      </c>
      <c r="AP164" s="134" t="s">
        <v>71</v>
      </c>
      <c r="AQ164" s="131">
        <f t="shared" si="130"/>
        <v>9404</v>
      </c>
      <c r="AR164" s="48">
        <v>88168</v>
      </c>
      <c r="AS164" s="48">
        <v>98583</v>
      </c>
      <c r="AT164" s="48">
        <v>112591</v>
      </c>
      <c r="AU164" s="48">
        <v>125025</v>
      </c>
      <c r="AV164" s="48">
        <v>0</v>
      </c>
      <c r="AX164" s="134" t="s">
        <v>71</v>
      </c>
      <c r="AY164" s="131">
        <f t="shared" si="131"/>
        <v>0</v>
      </c>
      <c r="AZ164" s="48">
        <v>40236</v>
      </c>
      <c r="BA164" s="48">
        <v>46112</v>
      </c>
      <c r="BB164" s="48">
        <v>56132</v>
      </c>
      <c r="BC164" s="48">
        <v>16717</v>
      </c>
      <c r="BD164" s="48"/>
      <c r="BE164" s="48"/>
      <c r="BF164" s="134" t="s">
        <v>71</v>
      </c>
      <c r="BG164" s="131">
        <f t="shared" si="132"/>
        <v>4180</v>
      </c>
      <c r="BH164" s="48">
        <v>44908</v>
      </c>
      <c r="BI164" s="48">
        <v>49814</v>
      </c>
      <c r="BJ164" s="48"/>
      <c r="BK164" s="48"/>
      <c r="BL164" s="48"/>
      <c r="BM164" s="48"/>
      <c r="BN164" s="134" t="s">
        <v>71</v>
      </c>
      <c r="BO164" s="131">
        <f t="shared" si="133"/>
        <v>6154</v>
      </c>
      <c r="BP164" s="48">
        <v>57822</v>
      </c>
      <c r="BQ164" s="48">
        <v>64045</v>
      </c>
      <c r="BR164" s="48">
        <v>73285</v>
      </c>
      <c r="BS164" s="48">
        <v>83669</v>
      </c>
      <c r="BT164" s="48">
        <v>64045</v>
      </c>
      <c r="BV164" s="134" t="s">
        <v>71</v>
      </c>
      <c r="BW164" s="131">
        <f t="shared" si="141"/>
        <v>3962</v>
      </c>
      <c r="BX164" s="48">
        <v>42295</v>
      </c>
      <c r="BY164" s="48">
        <v>47046</v>
      </c>
      <c r="BZ164" s="48">
        <v>60024</v>
      </c>
      <c r="CA164" s="48">
        <v>73446</v>
      </c>
      <c r="CB164" s="48">
        <v>47566</v>
      </c>
      <c r="CC164" s="48"/>
      <c r="CD164" s="134" t="s">
        <v>71</v>
      </c>
      <c r="CE164" s="131">
        <f t="shared" si="142"/>
        <v>6241</v>
      </c>
      <c r="CF164" s="48">
        <v>71893</v>
      </c>
      <c r="CG164" s="48">
        <v>77031</v>
      </c>
      <c r="CH164" s="48">
        <v>87248</v>
      </c>
      <c r="CI164" s="48">
        <v>110865</v>
      </c>
      <c r="CJ164" s="48">
        <v>89376</v>
      </c>
      <c r="CL164" s="134" t="s">
        <v>71</v>
      </c>
      <c r="CM164" s="131">
        <f t="shared" si="135"/>
        <v>7040</v>
      </c>
      <c r="CN164" s="48">
        <v>66478</v>
      </c>
      <c r="CO164" s="48">
        <v>91525</v>
      </c>
      <c r="CP164" s="48">
        <v>106592</v>
      </c>
      <c r="CQ164" s="48">
        <v>122031</v>
      </c>
      <c r="CR164" s="48">
        <v>91144</v>
      </c>
      <c r="CT164" s="134" t="s">
        <v>71</v>
      </c>
      <c r="CU164" s="131">
        <f t="shared" si="136"/>
        <v>9067</v>
      </c>
      <c r="CV164" s="48">
        <v>76163</v>
      </c>
      <c r="CW164" s="48">
        <v>0</v>
      </c>
      <c r="CX164" s="48"/>
      <c r="CY164" s="48"/>
      <c r="CZ164" s="48"/>
      <c r="DB164" s="134" t="s">
        <v>71</v>
      </c>
      <c r="DC164" s="131">
        <f t="shared" si="140"/>
        <v>10873</v>
      </c>
      <c r="DD164" s="48">
        <v>103837</v>
      </c>
      <c r="DE164" s="48">
        <v>0</v>
      </c>
      <c r="DF164" s="48"/>
      <c r="DG164" s="48"/>
      <c r="DH164" s="48"/>
      <c r="DI164" s="48"/>
      <c r="DJ164" s="134" t="s">
        <v>71</v>
      </c>
      <c r="DK164" s="131">
        <f t="shared" si="139"/>
        <v>0</v>
      </c>
      <c r="DL164" s="48">
        <v>0</v>
      </c>
      <c r="DM164" s="48">
        <v>0</v>
      </c>
      <c r="DN164" s="48"/>
      <c r="DO164" s="48"/>
      <c r="DP164" s="48"/>
      <c r="DR164" s="134" t="s">
        <v>71</v>
      </c>
      <c r="DS164" s="131">
        <f t="shared" si="137"/>
        <v>8735</v>
      </c>
      <c r="DT164" s="48">
        <v>78784</v>
      </c>
      <c r="DU164" s="48">
        <v>0</v>
      </c>
      <c r="DV164" s="48"/>
      <c r="DW164" s="48"/>
      <c r="DX164" s="48"/>
      <c r="DZ164" s="134" t="s">
        <v>71</v>
      </c>
      <c r="EA164" s="131">
        <f>EA163+EA84</f>
        <v>3700</v>
      </c>
      <c r="EB164" s="48">
        <v>8879</v>
      </c>
      <c r="EC164" s="48">
        <v>0</v>
      </c>
      <c r="ED164" s="48"/>
      <c r="EE164" s="48"/>
      <c r="EF164" s="48"/>
    </row>
    <row r="165" spans="1:136" x14ac:dyDescent="0.2">
      <c r="A165" s="292"/>
      <c r="B165" s="134" t="s">
        <v>12</v>
      </c>
      <c r="C165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5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729961</v>
      </c>
      <c r="E165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845792</v>
      </c>
      <c r="F165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916384</v>
      </c>
      <c r="G165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1017591</v>
      </c>
      <c r="H165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662169.00001000008</v>
      </c>
      <c r="I165" s="48"/>
      <c r="J165" s="134" t="s">
        <v>12</v>
      </c>
      <c r="K165" s="131">
        <f t="shared" si="143"/>
        <v>9483</v>
      </c>
      <c r="L165" s="48">
        <v>95270</v>
      </c>
      <c r="M165" s="48">
        <v>111876</v>
      </c>
      <c r="N165" s="48">
        <v>127768</v>
      </c>
      <c r="O165" s="48">
        <v>139119</v>
      </c>
      <c r="P165" s="48">
        <v>116432.00001</v>
      </c>
      <c r="R165" s="134" t="s">
        <v>12</v>
      </c>
      <c r="S165" s="131">
        <f t="shared" si="144"/>
        <v>4471</v>
      </c>
      <c r="T165" s="48">
        <v>45913</v>
      </c>
      <c r="U165" s="48">
        <v>53758</v>
      </c>
      <c r="V165" s="48">
        <v>63232</v>
      </c>
      <c r="W165" s="48">
        <v>79167</v>
      </c>
      <c r="X165" s="48">
        <v>57055</v>
      </c>
      <c r="Z165" s="134" t="s">
        <v>12</v>
      </c>
      <c r="AA165" s="131">
        <f t="shared" si="145"/>
        <v>4830</v>
      </c>
      <c r="AB165" s="48">
        <v>52378</v>
      </c>
      <c r="AC165" s="48">
        <v>63751</v>
      </c>
      <c r="AD165" s="48">
        <v>76295</v>
      </c>
      <c r="AE165" s="48">
        <v>85394</v>
      </c>
      <c r="AF165" s="48">
        <v>60924</v>
      </c>
      <c r="AH165" s="134" t="s">
        <v>12</v>
      </c>
      <c r="AI165" s="131">
        <f t="shared" si="129"/>
        <v>0</v>
      </c>
      <c r="AJ165" s="48">
        <v>81050</v>
      </c>
      <c r="AK165" s="48">
        <v>92144</v>
      </c>
      <c r="AL165" s="48">
        <v>105796</v>
      </c>
      <c r="AM165" s="48">
        <v>119758</v>
      </c>
      <c r="AN165" s="48">
        <v>95707</v>
      </c>
      <c r="AP165" s="134" t="s">
        <v>12</v>
      </c>
      <c r="AQ165" s="131">
        <f t="shared" si="130"/>
        <v>9404</v>
      </c>
      <c r="AR165" s="48">
        <v>98043</v>
      </c>
      <c r="AS165" s="48">
        <v>108999</v>
      </c>
      <c r="AT165" s="48">
        <v>124789</v>
      </c>
      <c r="AU165" s="48">
        <v>138938</v>
      </c>
      <c r="AV165" s="48">
        <v>0</v>
      </c>
      <c r="AX165" s="134" t="s">
        <v>12</v>
      </c>
      <c r="AY165" s="131">
        <f t="shared" si="131"/>
        <v>0</v>
      </c>
      <c r="AZ165" s="48">
        <v>44518</v>
      </c>
      <c r="BA165" s="48">
        <v>50183</v>
      </c>
      <c r="BB165" s="48">
        <v>62171</v>
      </c>
      <c r="BC165" s="48">
        <v>24017</v>
      </c>
      <c r="BD165" s="48"/>
      <c r="BE165" s="48"/>
      <c r="BF165" s="134" t="s">
        <v>12</v>
      </c>
      <c r="BG165" s="131">
        <f t="shared" si="132"/>
        <v>4180</v>
      </c>
      <c r="BH165" s="48">
        <v>49080</v>
      </c>
      <c r="BI165" s="48">
        <v>55282</v>
      </c>
      <c r="BJ165" s="48"/>
      <c r="BK165" s="48"/>
      <c r="BL165" s="48"/>
      <c r="BM165" s="48"/>
      <c r="BN165" s="134" t="s">
        <v>12</v>
      </c>
      <c r="BO165" s="131">
        <f t="shared" si="133"/>
        <v>6154</v>
      </c>
      <c r="BP165" s="48">
        <v>64187</v>
      </c>
      <c r="BQ165" s="48">
        <v>71059</v>
      </c>
      <c r="BR165" s="48">
        <v>81189</v>
      </c>
      <c r="BS165" s="48">
        <v>93072</v>
      </c>
      <c r="BT165" s="48">
        <v>73247</v>
      </c>
      <c r="BV165" s="134" t="s">
        <v>12</v>
      </c>
      <c r="BW165" s="131">
        <f t="shared" si="141"/>
        <v>3962</v>
      </c>
      <c r="BX165" s="48">
        <v>46747</v>
      </c>
      <c r="BY165" s="48">
        <v>51745</v>
      </c>
      <c r="BZ165" s="48">
        <v>65951</v>
      </c>
      <c r="CA165" s="48">
        <v>80553</v>
      </c>
      <c r="CB165" s="48">
        <v>54257</v>
      </c>
      <c r="CC165" s="48"/>
      <c r="CD165" s="134" t="s">
        <v>12</v>
      </c>
      <c r="CE165" s="131">
        <f t="shared" si="142"/>
        <v>6241</v>
      </c>
      <c r="CF165" s="48">
        <v>78832</v>
      </c>
      <c r="CG165" s="48">
        <v>85579</v>
      </c>
      <c r="CH165" s="48">
        <v>94285</v>
      </c>
      <c r="CI165" s="48">
        <v>122128</v>
      </c>
      <c r="CJ165" s="48">
        <v>100629</v>
      </c>
      <c r="CL165" s="134" t="s">
        <v>12</v>
      </c>
      <c r="CM165" s="131">
        <f t="shared" si="135"/>
        <v>7040</v>
      </c>
      <c r="CN165" s="48">
        <v>73943</v>
      </c>
      <c r="CO165" s="48">
        <v>101416</v>
      </c>
      <c r="CP165" s="48">
        <v>114908</v>
      </c>
      <c r="CQ165" s="48">
        <v>135445</v>
      </c>
      <c r="CR165" s="48">
        <v>103918</v>
      </c>
      <c r="CT165" s="134" t="s">
        <v>12</v>
      </c>
      <c r="CU165" s="131">
        <f t="shared" si="136"/>
        <v>9067</v>
      </c>
      <c r="CV165" s="48">
        <v>85395</v>
      </c>
      <c r="CW165" s="48">
        <v>0</v>
      </c>
      <c r="CX165" s="48"/>
      <c r="CY165" s="48"/>
      <c r="CZ165" s="48"/>
      <c r="DB165" s="134" t="s">
        <v>12</v>
      </c>
      <c r="DC165" s="131">
        <f t="shared" si="140"/>
        <v>10873</v>
      </c>
      <c r="DD165" s="48">
        <v>115232</v>
      </c>
      <c r="DE165" s="48">
        <v>0</v>
      </c>
      <c r="DF165" s="48"/>
      <c r="DG165" s="48"/>
      <c r="DH165" s="48"/>
      <c r="DI165" s="48"/>
      <c r="DJ165" s="134" t="s">
        <v>12</v>
      </c>
      <c r="DK165" s="131">
        <f t="shared" si="139"/>
        <v>0</v>
      </c>
      <c r="DL165" s="48">
        <v>0</v>
      </c>
      <c r="DM165" s="48">
        <v>0</v>
      </c>
      <c r="DN165" s="48"/>
      <c r="DO165" s="48"/>
      <c r="DP165" s="48"/>
      <c r="DR165" s="134" t="s">
        <v>12</v>
      </c>
      <c r="DS165" s="131">
        <f t="shared" si="137"/>
        <v>8735</v>
      </c>
      <c r="DT165" s="48">
        <v>87791</v>
      </c>
      <c r="DU165" s="48">
        <v>0</v>
      </c>
      <c r="DV165" s="48"/>
      <c r="DW165" s="48"/>
      <c r="DX165" s="48"/>
      <c r="DZ165" s="134" t="s">
        <v>12</v>
      </c>
      <c r="EA165" s="131">
        <f t="shared" ref="EA165:EA167" si="146">EA164+EA85</f>
        <v>3700</v>
      </c>
      <c r="EB165" s="48">
        <v>12884</v>
      </c>
      <c r="EC165" s="48">
        <v>0</v>
      </c>
      <c r="ED165" s="48"/>
      <c r="EE165" s="48"/>
      <c r="EF165" s="48"/>
    </row>
    <row r="166" spans="1:136" x14ac:dyDescent="0.2">
      <c r="A166" s="292"/>
      <c r="B166" s="134" t="s">
        <v>13</v>
      </c>
      <c r="C16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798781</v>
      </c>
      <c r="E16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922193</v>
      </c>
      <c r="F16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997822</v>
      </c>
      <c r="G16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1117183</v>
      </c>
      <c r="H16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752950.00001000008</v>
      </c>
      <c r="I166" s="48"/>
      <c r="J166" s="134" t="s">
        <v>13</v>
      </c>
      <c r="K166" s="131">
        <f t="shared" si="143"/>
        <v>9483</v>
      </c>
      <c r="L166" s="48">
        <v>105077</v>
      </c>
      <c r="M166" s="48">
        <v>121810</v>
      </c>
      <c r="N166" s="48">
        <v>139728</v>
      </c>
      <c r="O166" s="48">
        <v>152788</v>
      </c>
      <c r="P166" s="48">
        <v>131546.00001000002</v>
      </c>
      <c r="R166" s="134" t="s">
        <v>13</v>
      </c>
      <c r="S166" s="131">
        <f t="shared" si="144"/>
        <v>4471</v>
      </c>
      <c r="T166" s="48">
        <v>50362</v>
      </c>
      <c r="U166" s="48">
        <v>58563</v>
      </c>
      <c r="V166" s="48">
        <v>69309</v>
      </c>
      <c r="W166" s="48">
        <v>86416</v>
      </c>
      <c r="X166" s="48">
        <v>65796</v>
      </c>
      <c r="Z166" s="134" t="s">
        <v>13</v>
      </c>
      <c r="AA166" s="131">
        <f t="shared" si="145"/>
        <v>4830</v>
      </c>
      <c r="AB166" s="48">
        <v>57306</v>
      </c>
      <c r="AC166" s="48">
        <v>69746</v>
      </c>
      <c r="AD166" s="48">
        <v>83600</v>
      </c>
      <c r="AE166" s="48">
        <v>93873</v>
      </c>
      <c r="AF166" s="48">
        <v>69993</v>
      </c>
      <c r="AH166" s="134" t="s">
        <v>13</v>
      </c>
      <c r="AI166" s="131">
        <f t="shared" si="129"/>
        <v>0</v>
      </c>
      <c r="AJ166" s="48">
        <v>88350</v>
      </c>
      <c r="AK166" s="48">
        <v>100569</v>
      </c>
      <c r="AL166" s="48">
        <v>115484</v>
      </c>
      <c r="AM166" s="48">
        <v>131320</v>
      </c>
      <c r="AN166" s="48">
        <v>109899</v>
      </c>
      <c r="AP166" s="134" t="s">
        <v>13</v>
      </c>
      <c r="AQ166" s="131">
        <f t="shared" si="130"/>
        <v>9404</v>
      </c>
      <c r="AR166" s="48">
        <v>107893</v>
      </c>
      <c r="AS166" s="48">
        <v>118799</v>
      </c>
      <c r="AT166" s="48">
        <v>136118</v>
      </c>
      <c r="AU166" s="48">
        <v>151868</v>
      </c>
      <c r="AV166" s="48">
        <v>0</v>
      </c>
      <c r="AX166" s="134" t="s">
        <v>13</v>
      </c>
      <c r="AY166" s="131">
        <f t="shared" si="131"/>
        <v>0</v>
      </c>
      <c r="AZ166" s="48">
        <v>48790</v>
      </c>
      <c r="BA166" s="48">
        <v>54224</v>
      </c>
      <c r="BB166" s="48">
        <v>67928</v>
      </c>
      <c r="BC166" s="48">
        <v>30757</v>
      </c>
      <c r="BD166" s="48"/>
      <c r="BE166" s="48"/>
      <c r="BF166" s="134" t="s">
        <v>13</v>
      </c>
      <c r="BG166" s="131">
        <f t="shared" si="132"/>
        <v>4180</v>
      </c>
      <c r="BH166" s="48">
        <v>53124</v>
      </c>
      <c r="BI166" s="48">
        <v>60604</v>
      </c>
      <c r="BJ166" s="48"/>
      <c r="BK166" s="48"/>
      <c r="BL166" s="48"/>
      <c r="BM166" s="48"/>
      <c r="BN166" s="134" t="s">
        <v>13</v>
      </c>
      <c r="BO166" s="131">
        <f t="shared" si="133"/>
        <v>6154</v>
      </c>
      <c r="BP166" s="48">
        <v>70419</v>
      </c>
      <c r="BQ166" s="48">
        <v>77726</v>
      </c>
      <c r="BR166" s="48">
        <v>88544</v>
      </c>
      <c r="BS166" s="48">
        <v>101804</v>
      </c>
      <c r="BT166" s="48">
        <v>84210</v>
      </c>
      <c r="BV166" s="134" t="s">
        <v>13</v>
      </c>
      <c r="BW166" s="131">
        <f t="shared" si="141"/>
        <v>3962</v>
      </c>
      <c r="BX166" s="48">
        <v>50905</v>
      </c>
      <c r="BY166" s="48">
        <v>56097</v>
      </c>
      <c r="BZ166" s="48">
        <v>71268</v>
      </c>
      <c r="CA166" s="48">
        <v>87144</v>
      </c>
      <c r="CB166" s="48">
        <v>61363</v>
      </c>
      <c r="CC166" s="48"/>
      <c r="CD166" s="134" t="s">
        <v>13</v>
      </c>
      <c r="CE166" s="131">
        <f t="shared" si="142"/>
        <v>6241</v>
      </c>
      <c r="CF166" s="48">
        <v>85504</v>
      </c>
      <c r="CG166" s="48">
        <v>93426</v>
      </c>
      <c r="CH166" s="48">
        <v>100644</v>
      </c>
      <c r="CI166" s="48">
        <v>133158</v>
      </c>
      <c r="CJ166" s="48">
        <v>112118</v>
      </c>
      <c r="CL166" s="134" t="s">
        <v>13</v>
      </c>
      <c r="CM166" s="131">
        <f t="shared" si="135"/>
        <v>7040</v>
      </c>
      <c r="CN166" s="48">
        <v>81051</v>
      </c>
      <c r="CO166" s="48">
        <v>110629</v>
      </c>
      <c r="CP166" s="48">
        <v>125199</v>
      </c>
      <c r="CQ166" s="48">
        <v>148055</v>
      </c>
      <c r="CR166" s="48">
        <v>118025</v>
      </c>
      <c r="CT166" s="134" t="s">
        <v>13</v>
      </c>
      <c r="CU166" s="131">
        <f t="shared" si="136"/>
        <v>9067</v>
      </c>
      <c r="CV166" s="48">
        <v>94386</v>
      </c>
      <c r="CW166" s="48">
        <v>0</v>
      </c>
      <c r="CX166" s="48"/>
      <c r="CY166" s="48"/>
      <c r="CZ166" s="48"/>
      <c r="DB166" s="134" t="s">
        <v>13</v>
      </c>
      <c r="DC166" s="131">
        <f t="shared" si="140"/>
        <v>10873</v>
      </c>
      <c r="DD166" s="48">
        <v>126249</v>
      </c>
      <c r="DE166" s="48">
        <v>0</v>
      </c>
      <c r="DF166" s="48"/>
      <c r="DG166" s="48"/>
      <c r="DH166" s="48"/>
      <c r="DI166" s="48"/>
      <c r="DJ166" s="134" t="s">
        <v>13</v>
      </c>
      <c r="DK166" s="131">
        <f t="shared" si="139"/>
        <v>0</v>
      </c>
      <c r="DL166" s="48">
        <v>0</v>
      </c>
      <c r="DM166" s="48">
        <v>0</v>
      </c>
      <c r="DN166" s="48"/>
      <c r="DO166" s="48"/>
      <c r="DP166" s="48"/>
      <c r="DR166" s="134" t="s">
        <v>13</v>
      </c>
      <c r="DS166" s="131">
        <f t="shared" si="137"/>
        <v>8735</v>
      </c>
      <c r="DT166" s="48">
        <v>96621</v>
      </c>
      <c r="DU166" s="48">
        <v>0</v>
      </c>
      <c r="DV166" s="48"/>
      <c r="DW166" s="48"/>
      <c r="DX166" s="48"/>
      <c r="DZ166" s="134" t="s">
        <v>13</v>
      </c>
      <c r="EA166" s="131">
        <f t="shared" si="146"/>
        <v>3700</v>
      </c>
      <c r="EB166" s="48">
        <v>16737</v>
      </c>
      <c r="EC166" s="48">
        <v>0</v>
      </c>
      <c r="ED166" s="48"/>
      <c r="EE166" s="48"/>
      <c r="EF166" s="48"/>
    </row>
    <row r="167" spans="1:136" x14ac:dyDescent="0.2">
      <c r="A167" s="292"/>
      <c r="B167" s="134" t="s">
        <v>15</v>
      </c>
      <c r="C16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>88140</v>
      </c>
      <c r="D16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>867905</v>
      </c>
      <c r="E16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>997669</v>
      </c>
      <c r="F16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>1081030</v>
      </c>
      <c r="G16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>1217507</v>
      </c>
      <c r="H16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>856271.00001000008</v>
      </c>
      <c r="I167" s="48"/>
      <c r="J167" s="134" t="s">
        <v>15</v>
      </c>
      <c r="K167" s="131">
        <f t="shared" si="143"/>
        <v>9483</v>
      </c>
      <c r="L167" s="48">
        <v>114711</v>
      </c>
      <c r="M167" s="48">
        <v>131884</v>
      </c>
      <c r="N167" s="48">
        <v>152080</v>
      </c>
      <c r="O167" s="48">
        <v>166730</v>
      </c>
      <c r="P167" s="48">
        <v>148333.00001000002</v>
      </c>
      <c r="R167" s="134" t="s">
        <v>15</v>
      </c>
      <c r="S167" s="131">
        <f t="shared" si="144"/>
        <v>4471</v>
      </c>
      <c r="T167" s="48">
        <v>54786</v>
      </c>
      <c r="U167" s="48">
        <v>63386</v>
      </c>
      <c r="V167" s="48">
        <v>75478</v>
      </c>
      <c r="W167" s="48">
        <v>93846</v>
      </c>
      <c r="X167" s="48">
        <v>76071</v>
      </c>
      <c r="Z167" s="134" t="s">
        <v>15</v>
      </c>
      <c r="AA167" s="131">
        <f t="shared" si="145"/>
        <v>4830</v>
      </c>
      <c r="AB167" s="48">
        <v>62328</v>
      </c>
      <c r="AC167" s="48">
        <v>75207</v>
      </c>
      <c r="AD167" s="48">
        <v>90533</v>
      </c>
      <c r="AE167" s="48">
        <v>102142</v>
      </c>
      <c r="AF167" s="48">
        <v>79961</v>
      </c>
      <c r="AH167" s="134" t="s">
        <v>15</v>
      </c>
      <c r="AI167" s="131">
        <f t="shared" si="129"/>
        <v>0</v>
      </c>
      <c r="AJ167" s="48">
        <v>95564</v>
      </c>
      <c r="AK167" s="48">
        <v>108863</v>
      </c>
      <c r="AL167" s="48">
        <v>124875</v>
      </c>
      <c r="AM167" s="48">
        <v>143144</v>
      </c>
      <c r="AN167" s="48">
        <v>125128</v>
      </c>
      <c r="AP167" s="134" t="s">
        <v>15</v>
      </c>
      <c r="AQ167" s="131">
        <f t="shared" si="130"/>
        <v>9404</v>
      </c>
      <c r="AR167" s="48">
        <v>118157</v>
      </c>
      <c r="AS167" s="48">
        <v>129392</v>
      </c>
      <c r="AT167" s="48">
        <v>148286</v>
      </c>
      <c r="AU167" s="48">
        <v>165543</v>
      </c>
      <c r="AV167" s="48">
        <v>0</v>
      </c>
      <c r="AX167" s="134" t="s">
        <v>15</v>
      </c>
      <c r="AY167" s="131">
        <f t="shared" si="131"/>
        <v>0</v>
      </c>
      <c r="AZ167" s="48">
        <v>53039</v>
      </c>
      <c r="BA167" s="48">
        <v>58632</v>
      </c>
      <c r="BB167" s="48">
        <v>73766</v>
      </c>
      <c r="BC167" s="48">
        <v>37508</v>
      </c>
      <c r="BD167" s="48"/>
      <c r="BE167" s="48"/>
      <c r="BF167" s="134" t="s">
        <v>15</v>
      </c>
      <c r="BG167" s="131">
        <f t="shared" si="132"/>
        <v>4180</v>
      </c>
      <c r="BH167" s="48">
        <v>57246</v>
      </c>
      <c r="BI167" s="48">
        <v>65776</v>
      </c>
      <c r="BJ167" s="48"/>
      <c r="BK167" s="48"/>
      <c r="BL167" s="48"/>
      <c r="BM167" s="48"/>
      <c r="BN167" s="134" t="s">
        <v>15</v>
      </c>
      <c r="BO167" s="131">
        <f t="shared" si="133"/>
        <v>6154</v>
      </c>
      <c r="BP167" s="48">
        <v>76631</v>
      </c>
      <c r="BQ167" s="48">
        <v>84478</v>
      </c>
      <c r="BR167" s="48">
        <v>96221</v>
      </c>
      <c r="BS167" s="48">
        <v>110763</v>
      </c>
      <c r="BT167" s="48">
        <v>96289</v>
      </c>
      <c r="BV167" s="134" t="s">
        <v>15</v>
      </c>
      <c r="BW167" s="131">
        <f t="shared" si="141"/>
        <v>3962</v>
      </c>
      <c r="BX167" s="48">
        <v>55135</v>
      </c>
      <c r="BY167" s="48">
        <v>60349</v>
      </c>
      <c r="BZ167" s="48">
        <v>76385</v>
      </c>
      <c r="CA167" s="48">
        <v>93735</v>
      </c>
      <c r="CB167" s="48">
        <v>70379</v>
      </c>
      <c r="CC167" s="48"/>
      <c r="CD167" s="134" t="s">
        <v>15</v>
      </c>
      <c r="CE167" s="131">
        <f t="shared" si="142"/>
        <v>6241</v>
      </c>
      <c r="CF167" s="48">
        <v>91796</v>
      </c>
      <c r="CG167" s="48">
        <v>100992</v>
      </c>
      <c r="CH167" s="48">
        <v>107536</v>
      </c>
      <c r="CI167" s="48">
        <v>143127</v>
      </c>
      <c r="CJ167" s="48">
        <v>125638</v>
      </c>
      <c r="CL167" s="134" t="s">
        <v>15</v>
      </c>
      <c r="CM167" s="131">
        <f t="shared" si="135"/>
        <v>7040</v>
      </c>
      <c r="CN167" s="48">
        <v>88512</v>
      </c>
      <c r="CO167" s="48">
        <v>118710</v>
      </c>
      <c r="CP167" s="48">
        <v>135870</v>
      </c>
      <c r="CQ167" s="48">
        <v>160969</v>
      </c>
      <c r="CR167" s="48">
        <v>134472</v>
      </c>
      <c r="CT167" s="134" t="s">
        <v>15</v>
      </c>
      <c r="CU167" s="131">
        <f t="shared" si="136"/>
        <v>9067</v>
      </c>
      <c r="CV167" s="48">
        <v>103223</v>
      </c>
      <c r="CW167" s="48">
        <v>0</v>
      </c>
      <c r="CX167" s="48"/>
      <c r="CY167" s="48"/>
      <c r="CZ167" s="48"/>
      <c r="DB167" s="134" t="s">
        <v>15</v>
      </c>
      <c r="DC167" s="131">
        <f t="shared" si="140"/>
        <v>10873</v>
      </c>
      <c r="DD167" s="48">
        <v>137807</v>
      </c>
      <c r="DE167" s="48">
        <v>0</v>
      </c>
      <c r="DF167" s="48"/>
      <c r="DG167" s="48"/>
      <c r="DH167" s="48"/>
      <c r="DI167" s="48"/>
      <c r="DJ167" s="134" t="s">
        <v>15</v>
      </c>
      <c r="DK167" s="131">
        <f t="shared" si="139"/>
        <v>0</v>
      </c>
      <c r="DL167" s="48">
        <v>0</v>
      </c>
      <c r="DM167" s="48">
        <v>0</v>
      </c>
      <c r="DN167" s="48"/>
      <c r="DO167" s="48"/>
      <c r="DP167" s="48"/>
      <c r="DR167" s="134" t="s">
        <v>15</v>
      </c>
      <c r="DS167" s="131">
        <f t="shared" si="137"/>
        <v>8735</v>
      </c>
      <c r="DT167" s="48">
        <v>105588</v>
      </c>
      <c r="DU167" s="48">
        <v>0</v>
      </c>
      <c r="DV167" s="48"/>
      <c r="DW167" s="48"/>
      <c r="DX167" s="48"/>
      <c r="DZ167" s="134" t="s">
        <v>15</v>
      </c>
      <c r="EA167" s="131">
        <f t="shared" si="146"/>
        <v>3700</v>
      </c>
      <c r="EB167" s="48">
        <v>20618</v>
      </c>
      <c r="EC167" s="48">
        <v>0</v>
      </c>
      <c r="ED167" s="48"/>
      <c r="EE167" s="48"/>
      <c r="EF167" s="48"/>
    </row>
    <row r="168" spans="1:136" x14ac:dyDescent="0.2">
      <c r="CV168" s="279"/>
    </row>
    <row r="169" spans="1:136" ht="15.75" x14ac:dyDescent="0.2">
      <c r="B169" s="45" t="s">
        <v>131</v>
      </c>
      <c r="J169" s="45" t="s">
        <v>2999</v>
      </c>
      <c r="R169" s="45" t="s">
        <v>3001</v>
      </c>
      <c r="Z169" s="45" t="s">
        <v>210</v>
      </c>
      <c r="AH169" s="45" t="s">
        <v>3003</v>
      </c>
      <c r="AP169" s="45" t="s">
        <v>2156</v>
      </c>
      <c r="AX169" s="45" t="s">
        <v>3000</v>
      </c>
      <c r="BF169" s="45" t="s">
        <v>3002</v>
      </c>
      <c r="BN169" s="45" t="s">
        <v>297</v>
      </c>
      <c r="BV169" s="45" t="s">
        <v>296</v>
      </c>
      <c r="CD169" s="45" t="s">
        <v>292</v>
      </c>
      <c r="CL169" s="45" t="s">
        <v>294</v>
      </c>
      <c r="CT169" s="45" t="s">
        <v>6963</v>
      </c>
      <c r="CV169" s="279"/>
      <c r="DB169" s="45" t="s">
        <v>6964</v>
      </c>
      <c r="DJ169" s="45" t="s">
        <v>6966</v>
      </c>
      <c r="DR169" s="45" t="s">
        <v>6965</v>
      </c>
      <c r="DZ169" s="45" t="s">
        <v>7094</v>
      </c>
    </row>
    <row r="171" spans="1:136" s="188" customFormat="1" ht="18.600000000000001" customHeight="1" x14ac:dyDescent="0.2">
      <c r="A171" s="292" t="s">
        <v>186</v>
      </c>
      <c r="B171" s="186" t="s">
        <v>106</v>
      </c>
      <c r="C171" s="187" t="s">
        <v>6962</v>
      </c>
      <c r="D171" s="187" t="s">
        <v>2169</v>
      </c>
      <c r="E171" s="187" t="s">
        <v>1553</v>
      </c>
      <c r="F171" s="187" t="s">
        <v>1522</v>
      </c>
      <c r="G171" s="187" t="s">
        <v>1304</v>
      </c>
      <c r="H171" s="187" t="s">
        <v>209</v>
      </c>
      <c r="I171" s="187"/>
      <c r="J171" s="186" t="s">
        <v>106</v>
      </c>
      <c r="K171" s="186" t="s">
        <v>7114</v>
      </c>
      <c r="L171" s="186" t="s">
        <v>6962</v>
      </c>
      <c r="M171" s="186" t="s">
        <v>2169</v>
      </c>
      <c r="N171" s="186" t="s">
        <v>1553</v>
      </c>
      <c r="O171" s="186" t="s">
        <v>1522</v>
      </c>
      <c r="P171" s="186" t="s">
        <v>1304</v>
      </c>
      <c r="R171" s="186" t="s">
        <v>106</v>
      </c>
      <c r="S171" s="186" t="s">
        <v>7114</v>
      </c>
      <c r="T171" s="186" t="s">
        <v>6962</v>
      </c>
      <c r="U171" s="186" t="s">
        <v>2169</v>
      </c>
      <c r="V171" s="186" t="s">
        <v>1553</v>
      </c>
      <c r="W171" s="186" t="s">
        <v>1522</v>
      </c>
      <c r="X171" s="186" t="s">
        <v>1304</v>
      </c>
      <c r="Z171" s="186" t="s">
        <v>106</v>
      </c>
      <c r="AA171" s="186" t="s">
        <v>7114</v>
      </c>
      <c r="AB171" s="186" t="s">
        <v>6962</v>
      </c>
      <c r="AC171" s="186" t="s">
        <v>2169</v>
      </c>
      <c r="AD171" s="186" t="s">
        <v>1553</v>
      </c>
      <c r="AE171" s="186" t="s">
        <v>1522</v>
      </c>
      <c r="AF171" s="186" t="s">
        <v>1304</v>
      </c>
      <c r="AH171" s="186" t="s">
        <v>106</v>
      </c>
      <c r="AI171" s="186" t="s">
        <v>7114</v>
      </c>
      <c r="AJ171" s="186" t="s">
        <v>6962</v>
      </c>
      <c r="AK171" s="186" t="s">
        <v>2169</v>
      </c>
      <c r="AL171" s="186" t="s">
        <v>1553</v>
      </c>
      <c r="AM171" s="186" t="s">
        <v>1522</v>
      </c>
      <c r="AN171" s="186" t="s">
        <v>1304</v>
      </c>
      <c r="AP171" s="186" t="s">
        <v>106</v>
      </c>
      <c r="AQ171" s="186" t="s">
        <v>7114</v>
      </c>
      <c r="AR171" s="186" t="s">
        <v>6962</v>
      </c>
      <c r="AS171" s="186" t="s">
        <v>2169</v>
      </c>
      <c r="AT171" s="186" t="s">
        <v>1553</v>
      </c>
      <c r="AU171" s="186" t="s">
        <v>1522</v>
      </c>
      <c r="AV171" s="186" t="s">
        <v>1304</v>
      </c>
      <c r="AX171" s="186" t="s">
        <v>106</v>
      </c>
      <c r="AY171" s="186" t="s">
        <v>7114</v>
      </c>
      <c r="AZ171" s="186" t="s">
        <v>6962</v>
      </c>
      <c r="BA171" s="186" t="s">
        <v>2169</v>
      </c>
      <c r="BB171" s="186" t="s">
        <v>1553</v>
      </c>
      <c r="BC171" s="186" t="s">
        <v>1522</v>
      </c>
      <c r="BD171" s="186" t="s">
        <v>1304</v>
      </c>
      <c r="BE171" s="187"/>
      <c r="BF171" s="186" t="s">
        <v>106</v>
      </c>
      <c r="BG171" s="186" t="s">
        <v>7114</v>
      </c>
      <c r="BH171" s="186" t="s">
        <v>6962</v>
      </c>
      <c r="BI171" s="186" t="s">
        <v>2169</v>
      </c>
      <c r="BJ171" s="186" t="s">
        <v>1553</v>
      </c>
      <c r="BK171" s="186" t="s">
        <v>1522</v>
      </c>
      <c r="BL171" s="186" t="s">
        <v>1304</v>
      </c>
      <c r="BM171" s="186"/>
      <c r="BN171" s="186" t="s">
        <v>106</v>
      </c>
      <c r="BO171" s="187" t="s">
        <v>7114</v>
      </c>
      <c r="BP171" s="187" t="s">
        <v>6962</v>
      </c>
      <c r="BQ171" s="187" t="s">
        <v>2169</v>
      </c>
      <c r="BR171" s="187" t="s">
        <v>1553</v>
      </c>
      <c r="BS171" s="187" t="s">
        <v>1522</v>
      </c>
      <c r="BT171" s="187" t="s">
        <v>1304</v>
      </c>
      <c r="BV171" s="186" t="s">
        <v>106</v>
      </c>
      <c r="BW171" s="187" t="s">
        <v>7114</v>
      </c>
      <c r="BX171" s="187" t="s">
        <v>6962</v>
      </c>
      <c r="BY171" s="187" t="s">
        <v>2169</v>
      </c>
      <c r="BZ171" s="187" t="s">
        <v>1553</v>
      </c>
      <c r="CA171" s="187" t="s">
        <v>1522</v>
      </c>
      <c r="CB171" s="187" t="s">
        <v>1304</v>
      </c>
      <c r="CC171" s="187"/>
      <c r="CD171" s="186" t="s">
        <v>106</v>
      </c>
      <c r="CE171" s="187" t="s">
        <v>7114</v>
      </c>
      <c r="CF171" s="187" t="s">
        <v>6962</v>
      </c>
      <c r="CG171" s="187" t="s">
        <v>2169</v>
      </c>
      <c r="CH171" s="187" t="s">
        <v>1553</v>
      </c>
      <c r="CI171" s="187" t="s">
        <v>1522</v>
      </c>
      <c r="CJ171" s="187" t="s">
        <v>1304</v>
      </c>
      <c r="CL171" s="186" t="s">
        <v>106</v>
      </c>
      <c r="CM171" s="187" t="s">
        <v>7114</v>
      </c>
      <c r="CN171" s="187" t="s">
        <v>6962</v>
      </c>
      <c r="CO171" s="187" t="s">
        <v>2169</v>
      </c>
      <c r="CP171" s="187" t="s">
        <v>1553</v>
      </c>
      <c r="CQ171" s="187" t="s">
        <v>1522</v>
      </c>
      <c r="CR171" s="187" t="s">
        <v>1304</v>
      </c>
      <c r="CT171" s="186" t="s">
        <v>106</v>
      </c>
      <c r="CU171" s="187" t="s">
        <v>7114</v>
      </c>
      <c r="CV171" s="187" t="s">
        <v>6962</v>
      </c>
      <c r="CW171" s="187" t="s">
        <v>2169</v>
      </c>
      <c r="CX171" s="187" t="s">
        <v>1553</v>
      </c>
      <c r="CY171" s="187" t="s">
        <v>1522</v>
      </c>
      <c r="CZ171" s="187" t="s">
        <v>1304</v>
      </c>
      <c r="DB171" s="186" t="s">
        <v>106</v>
      </c>
      <c r="DC171" s="187" t="s">
        <v>7114</v>
      </c>
      <c r="DD171" s="187" t="s">
        <v>6962</v>
      </c>
      <c r="DE171" s="187" t="s">
        <v>2169</v>
      </c>
      <c r="DF171" s="187" t="s">
        <v>1553</v>
      </c>
      <c r="DG171" s="187" t="s">
        <v>1522</v>
      </c>
      <c r="DH171" s="187" t="s">
        <v>1304</v>
      </c>
      <c r="DI171" s="187"/>
      <c r="DJ171" s="186" t="s">
        <v>106</v>
      </c>
      <c r="DK171" s="187" t="s">
        <v>7114</v>
      </c>
      <c r="DL171" s="187" t="s">
        <v>6962</v>
      </c>
      <c r="DM171" s="187" t="s">
        <v>2169</v>
      </c>
      <c r="DN171" s="187" t="s">
        <v>1553</v>
      </c>
      <c r="DO171" s="187" t="s">
        <v>1522</v>
      </c>
      <c r="DP171" s="187" t="s">
        <v>1304</v>
      </c>
      <c r="DR171" s="186" t="s">
        <v>106</v>
      </c>
      <c r="DS171" s="187" t="s">
        <v>7114</v>
      </c>
      <c r="DT171" s="187" t="s">
        <v>6962</v>
      </c>
      <c r="DU171" s="187" t="s">
        <v>2169</v>
      </c>
      <c r="DV171" s="187" t="s">
        <v>1553</v>
      </c>
      <c r="DW171" s="187" t="s">
        <v>1522</v>
      </c>
      <c r="DX171" s="187" t="s">
        <v>1304</v>
      </c>
      <c r="DZ171" s="186" t="s">
        <v>106</v>
      </c>
      <c r="EA171" s="187" t="s">
        <v>7114</v>
      </c>
      <c r="EB171" s="187" t="s">
        <v>6962</v>
      </c>
      <c r="EC171" s="187" t="s">
        <v>2169</v>
      </c>
      <c r="ED171" s="187" t="s">
        <v>1553</v>
      </c>
      <c r="EE171" s="187" t="s">
        <v>1522</v>
      </c>
      <c r="EF171" s="187" t="s">
        <v>1304</v>
      </c>
    </row>
    <row r="172" spans="1:136" x14ac:dyDescent="0.2">
      <c r="A172" s="292"/>
      <c r="B172" s="134" t="s">
        <v>143</v>
      </c>
      <c r="C17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74193</v>
      </c>
      <c r="E17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82863</v>
      </c>
      <c r="F17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55572</v>
      </c>
      <c r="G17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6097</v>
      </c>
      <c r="H17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69704</v>
      </c>
      <c r="I172" s="48"/>
      <c r="J172" s="134" t="s">
        <v>143</v>
      </c>
      <c r="K172" s="131">
        <f t="shared" ref="K172" si="147">+K92</f>
        <v>7792</v>
      </c>
      <c r="L172" s="48">
        <v>7485</v>
      </c>
      <c r="M172" s="48">
        <v>9254</v>
      </c>
      <c r="N172" s="48">
        <v>7238</v>
      </c>
      <c r="O172" s="48">
        <v>824</v>
      </c>
      <c r="P172" s="48">
        <v>10543</v>
      </c>
      <c r="R172" s="134" t="s">
        <v>143</v>
      </c>
      <c r="S172" s="131">
        <f t="shared" ref="S172" si="148">+S92</f>
        <v>5239</v>
      </c>
      <c r="T172" s="48">
        <v>4875</v>
      </c>
      <c r="U172" s="48">
        <v>5191</v>
      </c>
      <c r="V172" s="48">
        <v>3991</v>
      </c>
      <c r="W172" s="48">
        <v>673</v>
      </c>
      <c r="X172" s="48">
        <v>6587</v>
      </c>
      <c r="Z172" s="134" t="s">
        <v>143</v>
      </c>
      <c r="AA172" s="131">
        <f t="shared" ref="AA172" si="149">+AA92</f>
        <v>7289</v>
      </c>
      <c r="AB172" s="48">
        <v>6099</v>
      </c>
      <c r="AC172" s="48">
        <v>7803</v>
      </c>
      <c r="AD172" s="48">
        <v>5033</v>
      </c>
      <c r="AE172" s="48">
        <v>680</v>
      </c>
      <c r="AF172" s="48">
        <v>8554</v>
      </c>
      <c r="AH172" s="134" t="s">
        <v>143</v>
      </c>
      <c r="AI172" s="131">
        <f t="shared" ref="AI172" si="150">+AI92</f>
        <v>0</v>
      </c>
      <c r="AJ172" s="48">
        <v>7144</v>
      </c>
      <c r="AK172" s="48">
        <v>8031</v>
      </c>
      <c r="AL172" s="48">
        <v>5683</v>
      </c>
      <c r="AM172" s="48">
        <v>885</v>
      </c>
      <c r="AN172" s="48">
        <v>8685</v>
      </c>
      <c r="AP172" s="134" t="s">
        <v>143</v>
      </c>
      <c r="AQ172" s="131">
        <f t="shared" ref="AQ172" si="151">+AQ92</f>
        <v>10889</v>
      </c>
      <c r="AR172" s="48">
        <v>10022</v>
      </c>
      <c r="AS172" s="48">
        <v>10797</v>
      </c>
      <c r="AT172" s="48">
        <v>7429</v>
      </c>
      <c r="AU172" s="48">
        <v>1627</v>
      </c>
      <c r="AV172" s="48">
        <v>0</v>
      </c>
      <c r="AX172" s="134" t="s">
        <v>143</v>
      </c>
      <c r="AY172" s="131">
        <f>+AY92</f>
        <v>0</v>
      </c>
      <c r="AZ172" s="48">
        <v>5224</v>
      </c>
      <c r="BA172" s="48">
        <v>5225</v>
      </c>
      <c r="BB172" s="48">
        <v>3486</v>
      </c>
      <c r="BC172" s="48"/>
      <c r="BD172" s="48"/>
      <c r="BE172" s="48"/>
      <c r="BF172" s="134" t="s">
        <v>143</v>
      </c>
      <c r="BG172" s="131">
        <f>+BG92</f>
        <v>5200</v>
      </c>
      <c r="BH172" s="48">
        <v>5793</v>
      </c>
      <c r="BI172" s="48">
        <v>5269</v>
      </c>
      <c r="BJ172" s="48"/>
      <c r="BK172" s="48"/>
      <c r="BL172" s="48"/>
      <c r="BM172" s="48"/>
      <c r="BN172" s="134" t="s">
        <v>143</v>
      </c>
      <c r="BO172" s="131">
        <f>+BO92</f>
        <v>8798</v>
      </c>
      <c r="BP172" s="48">
        <v>7477</v>
      </c>
      <c r="BQ172" s="48">
        <v>8445</v>
      </c>
      <c r="BR172" s="48">
        <v>6571</v>
      </c>
      <c r="BS172" s="48">
        <v>742</v>
      </c>
      <c r="BT172" s="48">
        <v>9699</v>
      </c>
      <c r="BV172" s="134" t="s">
        <v>143</v>
      </c>
      <c r="BW172" s="131">
        <f>+BW92</f>
        <v>5114</v>
      </c>
      <c r="BX172" s="48">
        <v>4922</v>
      </c>
      <c r="BY172" s="48">
        <v>4871</v>
      </c>
      <c r="BZ172" s="48">
        <v>3583</v>
      </c>
      <c r="CA172" s="48">
        <v>0</v>
      </c>
      <c r="CB172" s="48">
        <v>5751</v>
      </c>
      <c r="CC172" s="48"/>
      <c r="CD172" s="134" t="s">
        <v>143</v>
      </c>
      <c r="CE172" s="131">
        <f>+CE92</f>
        <v>7935</v>
      </c>
      <c r="CF172" s="48">
        <v>8152</v>
      </c>
      <c r="CG172" s="48">
        <v>7787</v>
      </c>
      <c r="CH172" s="48">
        <v>5476</v>
      </c>
      <c r="CI172" s="48">
        <v>0</v>
      </c>
      <c r="CJ172" s="48">
        <v>7984</v>
      </c>
      <c r="CL172" s="134" t="s">
        <v>143</v>
      </c>
      <c r="CM172" s="131">
        <f>+CM92</f>
        <v>8196</v>
      </c>
      <c r="CN172" s="48">
        <v>7000</v>
      </c>
      <c r="CO172" s="48">
        <v>10190</v>
      </c>
      <c r="CP172" s="48">
        <v>7082</v>
      </c>
      <c r="CQ172" s="48">
        <v>666</v>
      </c>
      <c r="CR172" s="48">
        <v>11901</v>
      </c>
      <c r="CT172" s="134" t="s">
        <v>143</v>
      </c>
      <c r="CU172" s="131">
        <f>+CU92</f>
        <v>10822</v>
      </c>
      <c r="CV172" s="48">
        <v>8451</v>
      </c>
      <c r="CW172" s="48">
        <v>0</v>
      </c>
      <c r="CX172" s="48"/>
      <c r="CY172" s="48"/>
      <c r="CZ172" s="48"/>
      <c r="DB172" s="134" t="s">
        <v>143</v>
      </c>
      <c r="DC172" s="131">
        <f>+DC92</f>
        <v>10092</v>
      </c>
      <c r="DD172" s="48">
        <v>9427</v>
      </c>
      <c r="DE172" s="48">
        <v>0</v>
      </c>
      <c r="DF172" s="48"/>
      <c r="DG172" s="48"/>
      <c r="DH172" s="48"/>
      <c r="DI172" s="48"/>
      <c r="DJ172" s="134" t="s">
        <v>143</v>
      </c>
      <c r="DK172" s="131">
        <f>+DK92</f>
        <v>7655</v>
      </c>
      <c r="DL172" s="48">
        <v>7114</v>
      </c>
      <c r="DM172" s="48">
        <v>0</v>
      </c>
      <c r="DN172" s="48"/>
      <c r="DO172" s="48"/>
      <c r="DP172" s="48"/>
      <c r="DR172" s="134" t="s">
        <v>143</v>
      </c>
      <c r="DS172" s="131">
        <f>+DS92</f>
        <v>5955</v>
      </c>
      <c r="DT172" s="48">
        <v>5597</v>
      </c>
      <c r="DU172" s="48">
        <v>0</v>
      </c>
      <c r="DV172" s="48"/>
      <c r="DW172" s="48"/>
      <c r="DX172" s="48"/>
      <c r="DZ172" s="134" t="s">
        <v>143</v>
      </c>
      <c r="EA172" s="131">
        <f>EA92</f>
        <v>4262</v>
      </c>
      <c r="EB172" s="48"/>
      <c r="EC172" s="48">
        <v>0</v>
      </c>
      <c r="ED172" s="48"/>
      <c r="EE172" s="48"/>
      <c r="EF172" s="48"/>
    </row>
    <row r="173" spans="1:136" x14ac:dyDescent="0.2">
      <c r="A173" s="292"/>
      <c r="B173" s="134" t="s">
        <v>5</v>
      </c>
      <c r="C17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150305</v>
      </c>
      <c r="E17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167072</v>
      </c>
      <c r="F17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119036</v>
      </c>
      <c r="G17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15788</v>
      </c>
      <c r="H17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141897</v>
      </c>
      <c r="I173" s="48"/>
      <c r="J173" s="134" t="s">
        <v>5</v>
      </c>
      <c r="K173" s="131">
        <f t="shared" ref="K173:K178" si="152">K172+K93</f>
        <v>7792</v>
      </c>
      <c r="L173" s="48">
        <v>14952</v>
      </c>
      <c r="M173" s="48">
        <v>18463</v>
      </c>
      <c r="N173" s="48">
        <v>15520</v>
      </c>
      <c r="O173" s="48">
        <v>2267</v>
      </c>
      <c r="P173" s="48">
        <v>22039</v>
      </c>
      <c r="R173" s="134" t="s">
        <v>5</v>
      </c>
      <c r="S173" s="131">
        <f t="shared" ref="S173:S178" si="153">S172+S93</f>
        <v>5239</v>
      </c>
      <c r="T173" s="48">
        <v>9880</v>
      </c>
      <c r="U173" s="48">
        <v>10339</v>
      </c>
      <c r="V173" s="48">
        <v>8544</v>
      </c>
      <c r="W173" s="48">
        <v>1820</v>
      </c>
      <c r="X173" s="48">
        <v>13541</v>
      </c>
      <c r="Z173" s="134" t="s">
        <v>5</v>
      </c>
      <c r="AA173" s="131">
        <f t="shared" ref="AA173:AA178" si="154">AA172+AA93</f>
        <v>7289</v>
      </c>
      <c r="AB173" s="48">
        <v>13357</v>
      </c>
      <c r="AC173" s="48">
        <v>15895</v>
      </c>
      <c r="AD173" s="48">
        <v>10957</v>
      </c>
      <c r="AE173" s="48">
        <v>1660</v>
      </c>
      <c r="AF173" s="48">
        <v>17060</v>
      </c>
      <c r="AH173" s="134" t="s">
        <v>5</v>
      </c>
      <c r="AI173" s="131">
        <f t="shared" ref="AI173:AI183" si="155">AI93+AI172</f>
        <v>0</v>
      </c>
      <c r="AJ173" s="48">
        <v>13911</v>
      </c>
      <c r="AK173" s="48">
        <v>15772</v>
      </c>
      <c r="AL173" s="48">
        <v>12439</v>
      </c>
      <c r="AM173" s="48">
        <v>2477</v>
      </c>
      <c r="AN173" s="48">
        <v>17175</v>
      </c>
      <c r="AP173" s="134" t="s">
        <v>5</v>
      </c>
      <c r="AQ173" s="131">
        <f t="shared" ref="AQ173:AQ183" si="156">AQ172+AQ93</f>
        <v>10889</v>
      </c>
      <c r="AR173" s="48">
        <v>20224</v>
      </c>
      <c r="AS173" s="48">
        <v>21846</v>
      </c>
      <c r="AT173" s="48">
        <v>15951</v>
      </c>
      <c r="AU173" s="48">
        <v>3376</v>
      </c>
      <c r="AV173" s="48">
        <v>0</v>
      </c>
      <c r="AX173" s="134" t="s">
        <v>5</v>
      </c>
      <c r="AY173" s="131">
        <f t="shared" ref="AY173:AY183" si="157">AY172+AY93</f>
        <v>0</v>
      </c>
      <c r="AZ173" s="48">
        <v>10138</v>
      </c>
      <c r="BA173" s="48">
        <v>10460</v>
      </c>
      <c r="BB173" s="48">
        <v>7089</v>
      </c>
      <c r="BC173" s="48"/>
      <c r="BD173" s="48"/>
      <c r="BE173" s="48"/>
      <c r="BF173" s="134" t="s">
        <v>5</v>
      </c>
      <c r="BG173" s="131">
        <f t="shared" ref="BG173:BG183" si="158">BG172+BG93</f>
        <v>5200</v>
      </c>
      <c r="BH173" s="48">
        <v>11482</v>
      </c>
      <c r="BI173" s="48">
        <v>11080</v>
      </c>
      <c r="BJ173" s="48"/>
      <c r="BK173" s="48"/>
      <c r="BL173" s="48"/>
      <c r="BM173" s="48"/>
      <c r="BN173" s="134" t="s">
        <v>5</v>
      </c>
      <c r="BO173" s="131">
        <f t="shared" ref="BO173:BO183" si="159">BO172+BO93</f>
        <v>8798</v>
      </c>
      <c r="BP173" s="48">
        <v>15109</v>
      </c>
      <c r="BQ173" s="48">
        <v>16393</v>
      </c>
      <c r="BR173" s="48">
        <v>13033</v>
      </c>
      <c r="BS173" s="48">
        <v>2255</v>
      </c>
      <c r="BT173" s="48">
        <v>18581</v>
      </c>
      <c r="BV173" s="134" t="s">
        <v>5</v>
      </c>
      <c r="BW173" s="131">
        <f t="shared" ref="BW173:BW183" si="160">BW172+BW93</f>
        <v>5114</v>
      </c>
      <c r="BX173" s="48">
        <v>10070</v>
      </c>
      <c r="BY173" s="48">
        <v>10092</v>
      </c>
      <c r="BZ173" s="48">
        <v>8287</v>
      </c>
      <c r="CA173" s="48">
        <v>31</v>
      </c>
      <c r="CB173" s="48">
        <v>11849</v>
      </c>
      <c r="CC173" s="48"/>
      <c r="CD173" s="134" t="s">
        <v>5</v>
      </c>
      <c r="CE173" s="131">
        <f t="shared" ref="CE173:CE183" si="161">CE172+CE93</f>
        <v>7935</v>
      </c>
      <c r="CF173" s="48">
        <v>16931</v>
      </c>
      <c r="CG173" s="48">
        <v>16050</v>
      </c>
      <c r="CH173" s="48">
        <v>12036</v>
      </c>
      <c r="CI173" s="48">
        <v>346</v>
      </c>
      <c r="CJ173" s="48">
        <v>17288</v>
      </c>
      <c r="CL173" s="134" t="s">
        <v>5</v>
      </c>
      <c r="CM173" s="131">
        <f t="shared" ref="CM173:CM183" si="162">CM172+CM93</f>
        <v>8196</v>
      </c>
      <c r="CN173" s="48">
        <v>14251</v>
      </c>
      <c r="CO173" s="48">
        <v>20682</v>
      </c>
      <c r="CP173" s="48">
        <v>15180</v>
      </c>
      <c r="CQ173" s="48">
        <v>1556</v>
      </c>
      <c r="CR173" s="48">
        <v>24364</v>
      </c>
      <c r="CT173" s="134" t="s">
        <v>5</v>
      </c>
      <c r="CU173" s="131">
        <f>CU93+CU172</f>
        <v>10822</v>
      </c>
      <c r="CV173" s="48">
        <v>17515</v>
      </c>
      <c r="CW173" s="48">
        <v>0</v>
      </c>
      <c r="CX173" s="48"/>
      <c r="CY173" s="48"/>
      <c r="CZ173" s="48"/>
      <c r="DB173" s="134" t="s">
        <v>5</v>
      </c>
      <c r="DC173" s="131">
        <f>DC172+DC93</f>
        <v>10092</v>
      </c>
      <c r="DD173" s="48">
        <v>17174</v>
      </c>
      <c r="DE173" s="48">
        <v>0</v>
      </c>
      <c r="DF173" s="48"/>
      <c r="DG173" s="48"/>
      <c r="DH173" s="48"/>
      <c r="DI173" s="48"/>
      <c r="DJ173" s="134" t="s">
        <v>5</v>
      </c>
      <c r="DK173" s="131">
        <f>DK172+DK93</f>
        <v>7655</v>
      </c>
      <c r="DL173" s="48">
        <v>13271</v>
      </c>
      <c r="DM173" s="48">
        <v>0</v>
      </c>
      <c r="DN173" s="48"/>
      <c r="DO173" s="48"/>
      <c r="DP173" s="48"/>
      <c r="DR173" s="134" t="s">
        <v>5</v>
      </c>
      <c r="DS173" s="131">
        <f t="shared" ref="DS173:DS183" si="163">DS172+DS93</f>
        <v>5955</v>
      </c>
      <c r="DT173" s="48">
        <v>11611</v>
      </c>
      <c r="DU173" s="48">
        <v>0</v>
      </c>
      <c r="DV173" s="48"/>
      <c r="DW173" s="48"/>
      <c r="DX173" s="48"/>
      <c r="DZ173" s="134" t="s">
        <v>5</v>
      </c>
      <c r="EA173" s="131">
        <f t="shared" ref="EA173:EA178" si="164">EA172+EA93</f>
        <v>4262</v>
      </c>
      <c r="EB173" s="48"/>
      <c r="EC173" s="48">
        <v>0</v>
      </c>
      <c r="ED173" s="48"/>
      <c r="EE173" s="48"/>
      <c r="EF173" s="48"/>
    </row>
    <row r="174" spans="1:136" x14ac:dyDescent="0.2">
      <c r="A174" s="292"/>
      <c r="B174" s="134" t="s">
        <v>7</v>
      </c>
      <c r="C174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4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236281</v>
      </c>
      <c r="E174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251908</v>
      </c>
      <c r="F174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185475</v>
      </c>
      <c r="G174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27419</v>
      </c>
      <c r="H174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170824</v>
      </c>
      <c r="I174" s="48"/>
      <c r="J174" s="134" t="s">
        <v>7</v>
      </c>
      <c r="K174" s="131">
        <f t="shared" si="152"/>
        <v>7792</v>
      </c>
      <c r="L174" s="48">
        <v>24116</v>
      </c>
      <c r="M174" s="48">
        <v>27673</v>
      </c>
      <c r="N174" s="48">
        <v>24157</v>
      </c>
      <c r="O174" s="48">
        <v>3794</v>
      </c>
      <c r="P174" s="48">
        <v>27212</v>
      </c>
      <c r="R174" s="134" t="s">
        <v>7</v>
      </c>
      <c r="S174" s="131">
        <f t="shared" si="153"/>
        <v>5239</v>
      </c>
      <c r="T174" s="48">
        <v>14950</v>
      </c>
      <c r="U174" s="48">
        <v>15554</v>
      </c>
      <c r="V174" s="48">
        <v>13365</v>
      </c>
      <c r="W174" s="48">
        <v>3273</v>
      </c>
      <c r="X174" s="48">
        <v>16637</v>
      </c>
      <c r="Z174" s="134" t="s">
        <v>7</v>
      </c>
      <c r="AA174" s="131">
        <f t="shared" si="154"/>
        <v>7289</v>
      </c>
      <c r="AB174" s="48">
        <v>22154</v>
      </c>
      <c r="AC174" s="48">
        <v>24683</v>
      </c>
      <c r="AD174" s="48">
        <v>17959</v>
      </c>
      <c r="AE174" s="48">
        <v>2903</v>
      </c>
      <c r="AF174" s="48">
        <v>21107</v>
      </c>
      <c r="AH174" s="134" t="s">
        <v>7</v>
      </c>
      <c r="AI174" s="131">
        <f t="shared" si="155"/>
        <v>0</v>
      </c>
      <c r="AJ174" s="48">
        <v>22161</v>
      </c>
      <c r="AK174" s="48">
        <v>23927</v>
      </c>
      <c r="AL174" s="48">
        <v>18945</v>
      </c>
      <c r="AM174" s="48">
        <v>4113</v>
      </c>
      <c r="AN174" s="48">
        <v>17435</v>
      </c>
      <c r="AP174" s="134" t="s">
        <v>7</v>
      </c>
      <c r="AQ174" s="131">
        <f t="shared" si="156"/>
        <v>10889</v>
      </c>
      <c r="AR174" s="48">
        <v>30748</v>
      </c>
      <c r="AS174" s="48">
        <v>32798</v>
      </c>
      <c r="AT174" s="48">
        <v>24392</v>
      </c>
      <c r="AU174" s="48">
        <v>4885</v>
      </c>
      <c r="AV174" s="48">
        <v>0</v>
      </c>
      <c r="AX174" s="134" t="s">
        <v>7</v>
      </c>
      <c r="AY174" s="131">
        <f t="shared" si="157"/>
        <v>0</v>
      </c>
      <c r="AZ174" s="48">
        <v>15462</v>
      </c>
      <c r="BA174" s="48">
        <v>16041</v>
      </c>
      <c r="BB174" s="48">
        <v>11077</v>
      </c>
      <c r="BC174" s="48"/>
      <c r="BD174" s="48"/>
      <c r="BE174" s="48"/>
      <c r="BF174" s="134" t="s">
        <v>7</v>
      </c>
      <c r="BG174" s="131">
        <f t="shared" si="158"/>
        <v>5200</v>
      </c>
      <c r="BH174" s="48">
        <v>17752</v>
      </c>
      <c r="BI174" s="48">
        <v>16282</v>
      </c>
      <c r="BJ174" s="48"/>
      <c r="BK174" s="48"/>
      <c r="BL174" s="48"/>
      <c r="BM174" s="48"/>
      <c r="BN174" s="134" t="s">
        <v>7</v>
      </c>
      <c r="BO174" s="131">
        <f t="shared" si="159"/>
        <v>8798</v>
      </c>
      <c r="BP174" s="48">
        <v>23912</v>
      </c>
      <c r="BQ174" s="48">
        <v>24897</v>
      </c>
      <c r="BR174" s="48">
        <v>20006</v>
      </c>
      <c r="BS174" s="48">
        <v>3733</v>
      </c>
      <c r="BT174" s="48">
        <v>23139</v>
      </c>
      <c r="BV174" s="134" t="s">
        <v>7</v>
      </c>
      <c r="BW174" s="131">
        <f t="shared" si="160"/>
        <v>5114</v>
      </c>
      <c r="BX174" s="48">
        <v>16137</v>
      </c>
      <c r="BY174" s="48">
        <v>15069</v>
      </c>
      <c r="BZ174" s="48">
        <v>12970</v>
      </c>
      <c r="CA174" s="48">
        <v>728</v>
      </c>
      <c r="CB174" s="48">
        <v>14423</v>
      </c>
      <c r="CC174" s="48"/>
      <c r="CD174" s="134" t="s">
        <v>7</v>
      </c>
      <c r="CE174" s="131">
        <f t="shared" si="161"/>
        <v>7935</v>
      </c>
      <c r="CF174" s="48">
        <v>26158</v>
      </c>
      <c r="CG174" s="48">
        <v>23841</v>
      </c>
      <c r="CH174" s="48">
        <v>18878</v>
      </c>
      <c r="CI174" s="48">
        <v>1216</v>
      </c>
      <c r="CJ174" s="48">
        <v>21054</v>
      </c>
      <c r="CL174" s="134" t="s">
        <v>7</v>
      </c>
      <c r="CM174" s="131">
        <f t="shared" si="162"/>
        <v>8196</v>
      </c>
      <c r="CN174" s="48">
        <v>22731</v>
      </c>
      <c r="CO174" s="48">
        <v>31143</v>
      </c>
      <c r="CP174" s="48">
        <v>23726</v>
      </c>
      <c r="CQ174" s="48">
        <v>2774</v>
      </c>
      <c r="CR174" s="48">
        <v>29817</v>
      </c>
      <c r="CT174" s="134" t="s">
        <v>7</v>
      </c>
      <c r="CU174" s="131">
        <f>CU94+CU173</f>
        <v>10822</v>
      </c>
      <c r="CV174" s="48">
        <v>27816</v>
      </c>
      <c r="CW174" s="48">
        <v>0</v>
      </c>
      <c r="CX174" s="48"/>
      <c r="CY174" s="48"/>
      <c r="CZ174" s="48"/>
      <c r="DB174" s="134" t="s">
        <v>7</v>
      </c>
      <c r="DC174" s="131">
        <f>DC173+DC94</f>
        <v>10092</v>
      </c>
      <c r="DD174" s="48">
        <v>26945</v>
      </c>
      <c r="DE174" s="48">
        <v>0</v>
      </c>
      <c r="DF174" s="48"/>
      <c r="DG174" s="48"/>
      <c r="DH174" s="48"/>
      <c r="DI174" s="48"/>
      <c r="DJ174" s="134" t="s">
        <v>7</v>
      </c>
      <c r="DK174" s="131">
        <f t="shared" ref="DK174:DK183" si="165">DK173+DK94</f>
        <v>7655</v>
      </c>
      <c r="DL174" s="48">
        <v>19761</v>
      </c>
      <c r="DM174" s="48">
        <v>0</v>
      </c>
      <c r="DN174" s="48"/>
      <c r="DO174" s="48"/>
      <c r="DP174" s="48"/>
      <c r="DR174" s="134" t="s">
        <v>7</v>
      </c>
      <c r="DS174" s="131">
        <f t="shared" si="163"/>
        <v>5955</v>
      </c>
      <c r="DT174" s="48">
        <v>18153</v>
      </c>
      <c r="DU174" s="48">
        <v>0</v>
      </c>
      <c r="DV174" s="48"/>
      <c r="DW174" s="48"/>
      <c r="DX174" s="48"/>
      <c r="DZ174" s="134" t="s">
        <v>7</v>
      </c>
      <c r="EA174" s="131">
        <f t="shared" si="164"/>
        <v>4262</v>
      </c>
      <c r="EB174" s="48"/>
      <c r="EC174" s="48">
        <v>0</v>
      </c>
      <c r="ED174" s="48"/>
      <c r="EE174" s="48"/>
      <c r="EF174" s="48"/>
    </row>
    <row r="175" spans="1:136" x14ac:dyDescent="0.2">
      <c r="A175" s="292"/>
      <c r="B175" s="134" t="s">
        <v>9</v>
      </c>
      <c r="C175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5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325768</v>
      </c>
      <c r="E175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345280</v>
      </c>
      <c r="F175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259282</v>
      </c>
      <c r="G175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38410</v>
      </c>
      <c r="H175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170824.00001000002</v>
      </c>
      <c r="I175" s="48"/>
      <c r="J175" s="134" t="s">
        <v>9</v>
      </c>
      <c r="K175" s="131">
        <f t="shared" si="152"/>
        <v>7792</v>
      </c>
      <c r="L175" s="48">
        <v>33003</v>
      </c>
      <c r="M175" s="48">
        <v>38300</v>
      </c>
      <c r="N175" s="48">
        <v>32693</v>
      </c>
      <c r="O175" s="48">
        <v>5495</v>
      </c>
      <c r="P175" s="48">
        <v>27212.00001</v>
      </c>
      <c r="R175" s="134" t="s">
        <v>9</v>
      </c>
      <c r="S175" s="131">
        <f t="shared" si="153"/>
        <v>5239</v>
      </c>
      <c r="T175" s="48">
        <v>20410</v>
      </c>
      <c r="U175" s="48">
        <v>21135</v>
      </c>
      <c r="V175" s="48">
        <v>18680</v>
      </c>
      <c r="W175" s="48">
        <v>4729</v>
      </c>
      <c r="X175" s="48">
        <v>16637</v>
      </c>
      <c r="Z175" s="134" t="s">
        <v>9</v>
      </c>
      <c r="AA175" s="131">
        <f t="shared" si="154"/>
        <v>7289</v>
      </c>
      <c r="AB175" s="48">
        <v>30423</v>
      </c>
      <c r="AC175" s="48">
        <v>32367</v>
      </c>
      <c r="AD175" s="48">
        <v>25042</v>
      </c>
      <c r="AE175" s="48">
        <v>4179</v>
      </c>
      <c r="AF175" s="48">
        <v>21107</v>
      </c>
      <c r="AH175" s="134" t="s">
        <v>9</v>
      </c>
      <c r="AI175" s="131">
        <f t="shared" si="155"/>
        <v>0</v>
      </c>
      <c r="AJ175" s="48">
        <v>29868</v>
      </c>
      <c r="AK175" s="48">
        <v>32357</v>
      </c>
      <c r="AL175" s="48">
        <v>26165</v>
      </c>
      <c r="AM175" s="48">
        <v>5718</v>
      </c>
      <c r="AN175" s="48">
        <v>17435</v>
      </c>
      <c r="AP175" s="134" t="s">
        <v>9</v>
      </c>
      <c r="AQ175" s="131">
        <f t="shared" si="156"/>
        <v>10889</v>
      </c>
      <c r="AR175" s="48">
        <v>42149</v>
      </c>
      <c r="AS175" s="48">
        <v>44913</v>
      </c>
      <c r="AT175" s="48">
        <v>34368</v>
      </c>
      <c r="AU175" s="48">
        <v>6014</v>
      </c>
      <c r="AV175" s="48">
        <v>0</v>
      </c>
      <c r="AX175" s="134" t="s">
        <v>9</v>
      </c>
      <c r="AY175" s="131">
        <f t="shared" si="157"/>
        <v>0</v>
      </c>
      <c r="AZ175" s="48">
        <v>21509</v>
      </c>
      <c r="BA175" s="48">
        <v>22163</v>
      </c>
      <c r="BB175" s="48">
        <v>16008</v>
      </c>
      <c r="BC175" s="48"/>
      <c r="BD175" s="48"/>
      <c r="BE175" s="48"/>
      <c r="BF175" s="134" t="s">
        <v>9</v>
      </c>
      <c r="BG175" s="131">
        <f t="shared" si="158"/>
        <v>5200</v>
      </c>
      <c r="BH175" s="48">
        <v>24801</v>
      </c>
      <c r="BI175" s="48">
        <v>23394</v>
      </c>
      <c r="BJ175" s="48"/>
      <c r="BK175" s="48"/>
      <c r="BL175" s="48"/>
      <c r="BM175" s="48"/>
      <c r="BN175" s="134" t="s">
        <v>9</v>
      </c>
      <c r="BO175" s="131">
        <f t="shared" si="159"/>
        <v>8798</v>
      </c>
      <c r="BP175" s="48">
        <v>32434</v>
      </c>
      <c r="BQ175" s="48">
        <v>32567</v>
      </c>
      <c r="BR175" s="48">
        <v>27014</v>
      </c>
      <c r="BS175" s="48">
        <v>4916</v>
      </c>
      <c r="BT175" s="48">
        <v>23139</v>
      </c>
      <c r="BV175" s="134" t="s">
        <v>9</v>
      </c>
      <c r="BW175" s="131">
        <f t="shared" si="160"/>
        <v>5114</v>
      </c>
      <c r="BX175" s="48">
        <v>23015</v>
      </c>
      <c r="BY175" s="48">
        <v>21736</v>
      </c>
      <c r="BZ175" s="48">
        <v>18983</v>
      </c>
      <c r="CA175" s="48">
        <v>1444</v>
      </c>
      <c r="CB175" s="48">
        <v>14423</v>
      </c>
      <c r="CC175" s="48"/>
      <c r="CD175" s="134" t="s">
        <v>9</v>
      </c>
      <c r="CE175" s="131">
        <f t="shared" si="161"/>
        <v>7935</v>
      </c>
      <c r="CF175" s="48">
        <v>36638</v>
      </c>
      <c r="CG175" s="48">
        <v>33547</v>
      </c>
      <c r="CH175" s="48">
        <v>26639</v>
      </c>
      <c r="CI175" s="48">
        <v>2042</v>
      </c>
      <c r="CJ175" s="48">
        <v>21054</v>
      </c>
      <c r="CL175" s="134" t="s">
        <v>9</v>
      </c>
      <c r="CM175" s="131">
        <f t="shared" si="162"/>
        <v>8196</v>
      </c>
      <c r="CN175" s="48">
        <v>31518</v>
      </c>
      <c r="CO175" s="48">
        <v>42801</v>
      </c>
      <c r="CP175" s="48">
        <v>33690</v>
      </c>
      <c r="CQ175" s="48">
        <v>3873</v>
      </c>
      <c r="CR175" s="48">
        <v>29817</v>
      </c>
      <c r="CT175" s="134" t="s">
        <v>9</v>
      </c>
      <c r="CU175" s="131">
        <f>CU95+CU174</f>
        <v>10822</v>
      </c>
      <c r="CV175" s="48">
        <v>37771</v>
      </c>
      <c r="CW175" s="48">
        <v>0</v>
      </c>
      <c r="CX175" s="48"/>
      <c r="CY175" s="48"/>
      <c r="CZ175" s="48"/>
      <c r="DB175" s="134" t="s">
        <v>9</v>
      </c>
      <c r="DC175" s="131">
        <f>DC174+DC95</f>
        <v>10092</v>
      </c>
      <c r="DD175" s="48">
        <v>36491</v>
      </c>
      <c r="DE175" s="48">
        <v>0</v>
      </c>
      <c r="DF175" s="48"/>
      <c r="DG175" s="48"/>
      <c r="DH175" s="48"/>
      <c r="DI175" s="48"/>
      <c r="DJ175" s="134" t="s">
        <v>9</v>
      </c>
      <c r="DK175" s="131">
        <f t="shared" si="165"/>
        <v>7655</v>
      </c>
      <c r="DL175" s="48">
        <v>26373</v>
      </c>
      <c r="DM175" s="48">
        <v>0</v>
      </c>
      <c r="DN175" s="48"/>
      <c r="DO175" s="48"/>
      <c r="DP175" s="48"/>
      <c r="DR175" s="134" t="s">
        <v>9</v>
      </c>
      <c r="DS175" s="131">
        <f t="shared" si="163"/>
        <v>5955</v>
      </c>
      <c r="DT175" s="48">
        <v>24378</v>
      </c>
      <c r="DU175" s="48">
        <v>0</v>
      </c>
      <c r="DV175" s="48"/>
      <c r="DW175" s="48"/>
      <c r="DX175" s="48"/>
      <c r="DZ175" s="134" t="s">
        <v>9</v>
      </c>
      <c r="EA175" s="131">
        <f t="shared" si="164"/>
        <v>4262</v>
      </c>
      <c r="EB175" s="48"/>
      <c r="EC175" s="48">
        <v>0</v>
      </c>
      <c r="ED175" s="48"/>
      <c r="EE175" s="48"/>
      <c r="EF175" s="48"/>
    </row>
    <row r="176" spans="1:136" x14ac:dyDescent="0.2">
      <c r="A176" s="292"/>
      <c r="B176" s="134" t="s">
        <v>11</v>
      </c>
      <c r="C176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6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418624</v>
      </c>
      <c r="E176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445315</v>
      </c>
      <c r="F176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340457</v>
      </c>
      <c r="G176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63124</v>
      </c>
      <c r="H176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170824.00002000001</v>
      </c>
      <c r="I176" s="48"/>
      <c r="J176" s="134" t="s">
        <v>11</v>
      </c>
      <c r="K176" s="131">
        <f t="shared" si="152"/>
        <v>7792</v>
      </c>
      <c r="L176" s="48">
        <v>42361</v>
      </c>
      <c r="M176" s="48">
        <v>49023</v>
      </c>
      <c r="N176" s="48">
        <v>42275</v>
      </c>
      <c r="O176" s="48">
        <v>9037</v>
      </c>
      <c r="P176" s="48">
        <v>27212.000019999999</v>
      </c>
      <c r="R176" s="134" t="s">
        <v>11</v>
      </c>
      <c r="S176" s="131">
        <f t="shared" si="153"/>
        <v>5239</v>
      </c>
      <c r="T176" s="48">
        <v>25850</v>
      </c>
      <c r="U176" s="48">
        <v>26812</v>
      </c>
      <c r="V176" s="48">
        <v>24499</v>
      </c>
      <c r="W176" s="48">
        <v>6962</v>
      </c>
      <c r="X176" s="48">
        <v>16637</v>
      </c>
      <c r="Z176" s="134" t="s">
        <v>11</v>
      </c>
      <c r="AA176" s="131">
        <f t="shared" si="154"/>
        <v>7289</v>
      </c>
      <c r="AB176" s="48">
        <v>36549</v>
      </c>
      <c r="AC176" s="48">
        <v>40189</v>
      </c>
      <c r="AD176" s="48">
        <v>32970</v>
      </c>
      <c r="AE176" s="48">
        <v>6358</v>
      </c>
      <c r="AF176" s="48">
        <v>21107</v>
      </c>
      <c r="AH176" s="134" t="s">
        <v>11</v>
      </c>
      <c r="AI176" s="131">
        <f t="shared" si="155"/>
        <v>0</v>
      </c>
      <c r="AJ176" s="48">
        <v>37881</v>
      </c>
      <c r="AK176" s="48">
        <v>41667</v>
      </c>
      <c r="AL176" s="48">
        <v>34177</v>
      </c>
      <c r="AM176" s="48">
        <v>8428</v>
      </c>
      <c r="AN176" s="48">
        <v>17435</v>
      </c>
      <c r="AP176" s="134" t="s">
        <v>11</v>
      </c>
      <c r="AQ176" s="131">
        <f t="shared" si="156"/>
        <v>10889</v>
      </c>
      <c r="AR176" s="48">
        <v>54095</v>
      </c>
      <c r="AS176" s="48">
        <v>57226</v>
      </c>
      <c r="AT176" s="48">
        <v>45144</v>
      </c>
      <c r="AU176" s="48">
        <v>9923</v>
      </c>
      <c r="AV176" s="48">
        <v>0</v>
      </c>
      <c r="AX176" s="134" t="s">
        <v>11</v>
      </c>
      <c r="AY176" s="131">
        <f t="shared" si="157"/>
        <v>0</v>
      </c>
      <c r="AZ176" s="48">
        <v>28092</v>
      </c>
      <c r="BA176" s="48">
        <v>28720</v>
      </c>
      <c r="BB176" s="48">
        <v>21376</v>
      </c>
      <c r="BC176" s="48"/>
      <c r="BD176" s="48"/>
      <c r="BE176" s="48"/>
      <c r="BF176" s="134" t="s">
        <v>11</v>
      </c>
      <c r="BG176" s="131">
        <f t="shared" si="158"/>
        <v>5200</v>
      </c>
      <c r="BH176" s="48">
        <v>32281</v>
      </c>
      <c r="BI176" s="48">
        <v>30813</v>
      </c>
      <c r="BJ176" s="48"/>
      <c r="BK176" s="48"/>
      <c r="BL176" s="48"/>
      <c r="BM176" s="48"/>
      <c r="BN176" s="134" t="s">
        <v>11</v>
      </c>
      <c r="BO176" s="131">
        <f t="shared" si="159"/>
        <v>8798</v>
      </c>
      <c r="BP176" s="48">
        <v>41996</v>
      </c>
      <c r="BQ176" s="48">
        <v>41619</v>
      </c>
      <c r="BR176" s="48">
        <v>35489</v>
      </c>
      <c r="BS176" s="48">
        <v>7392</v>
      </c>
      <c r="BT176" s="48">
        <v>23139</v>
      </c>
      <c r="BV176" s="134" t="s">
        <v>11</v>
      </c>
      <c r="BW176" s="131">
        <f t="shared" si="160"/>
        <v>5114</v>
      </c>
      <c r="BX176" s="48">
        <v>30351</v>
      </c>
      <c r="BY176" s="48">
        <v>29320</v>
      </c>
      <c r="BZ176" s="48">
        <v>25541</v>
      </c>
      <c r="CA176" s="48">
        <v>3660</v>
      </c>
      <c r="CB176" s="48">
        <v>14423</v>
      </c>
      <c r="CC176" s="48"/>
      <c r="CD176" s="134" t="s">
        <v>11</v>
      </c>
      <c r="CE176" s="131">
        <f t="shared" si="161"/>
        <v>7935</v>
      </c>
      <c r="CF176" s="48">
        <v>48431</v>
      </c>
      <c r="CG176" s="48">
        <v>45027</v>
      </c>
      <c r="CH176" s="48">
        <v>35478</v>
      </c>
      <c r="CI176" s="48">
        <v>4900</v>
      </c>
      <c r="CJ176" s="48">
        <v>21054</v>
      </c>
      <c r="CL176" s="134" t="s">
        <v>11</v>
      </c>
      <c r="CM176" s="131">
        <f t="shared" si="162"/>
        <v>8196</v>
      </c>
      <c r="CN176" s="48">
        <v>40737</v>
      </c>
      <c r="CO176" s="48">
        <v>54899</v>
      </c>
      <c r="CP176" s="48">
        <v>43508</v>
      </c>
      <c r="CQ176" s="48">
        <v>6464</v>
      </c>
      <c r="CR176" s="48">
        <v>29817</v>
      </c>
      <c r="CT176" s="134" t="s">
        <v>11</v>
      </c>
      <c r="CU176" s="131">
        <f>CU96+CU175</f>
        <v>10822</v>
      </c>
      <c r="CV176" s="48">
        <v>48621</v>
      </c>
      <c r="CW176" s="48">
        <v>0</v>
      </c>
      <c r="CX176" s="48"/>
      <c r="CY176" s="48"/>
      <c r="CZ176" s="48"/>
      <c r="DB176" s="134" t="s">
        <v>11</v>
      </c>
      <c r="DC176" s="131">
        <f>DC175+DC96</f>
        <v>10092</v>
      </c>
      <c r="DD176" s="48">
        <v>46733</v>
      </c>
      <c r="DE176" s="48">
        <v>0</v>
      </c>
      <c r="DF176" s="48"/>
      <c r="DG176" s="48"/>
      <c r="DH176" s="48"/>
      <c r="DI176" s="48"/>
      <c r="DJ176" s="134" t="s">
        <v>11</v>
      </c>
      <c r="DK176" s="131">
        <f t="shared" si="165"/>
        <v>7655</v>
      </c>
      <c r="DL176" s="48">
        <v>33138</v>
      </c>
      <c r="DM176" s="48">
        <v>0</v>
      </c>
      <c r="DN176" s="48"/>
      <c r="DO176" s="48"/>
      <c r="DP176" s="48"/>
      <c r="DR176" s="134" t="s">
        <v>11</v>
      </c>
      <c r="DS176" s="131">
        <f t="shared" si="163"/>
        <v>5955</v>
      </c>
      <c r="DT176" s="48">
        <v>30833</v>
      </c>
      <c r="DU176" s="48">
        <v>0</v>
      </c>
      <c r="DV176" s="48"/>
      <c r="DW176" s="48"/>
      <c r="DX176" s="48"/>
      <c r="DZ176" s="134" t="s">
        <v>11</v>
      </c>
      <c r="EA176" s="131">
        <f t="shared" si="164"/>
        <v>4262</v>
      </c>
      <c r="EB176" s="48"/>
      <c r="EC176" s="48">
        <v>0</v>
      </c>
      <c r="ED176" s="48"/>
      <c r="EE176" s="48"/>
      <c r="EF176" s="48"/>
    </row>
    <row r="177" spans="1:136" x14ac:dyDescent="0.2">
      <c r="A177" s="292"/>
      <c r="B177" s="134" t="s">
        <v>0</v>
      </c>
      <c r="C177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7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509662</v>
      </c>
      <c r="E177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540171</v>
      </c>
      <c r="F177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422864</v>
      </c>
      <c r="G177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110228</v>
      </c>
      <c r="H177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207719.00002000001</v>
      </c>
      <c r="I177" s="48"/>
      <c r="J177" s="134" t="s">
        <v>0</v>
      </c>
      <c r="K177" s="131">
        <f t="shared" si="152"/>
        <v>7792</v>
      </c>
      <c r="L177" s="48">
        <v>50464</v>
      </c>
      <c r="M177" s="48">
        <v>59921</v>
      </c>
      <c r="N177" s="48">
        <v>51477</v>
      </c>
      <c r="O177" s="48">
        <v>15597</v>
      </c>
      <c r="P177" s="48">
        <v>32123.000019999999</v>
      </c>
      <c r="R177" s="134" t="s">
        <v>0</v>
      </c>
      <c r="S177" s="131">
        <f t="shared" si="153"/>
        <v>5239</v>
      </c>
      <c r="T177" s="48">
        <v>31639</v>
      </c>
      <c r="U177" s="48">
        <v>32508</v>
      </c>
      <c r="V177" s="48">
        <v>30287</v>
      </c>
      <c r="W177" s="48">
        <v>11330</v>
      </c>
      <c r="X177" s="48">
        <v>19759</v>
      </c>
      <c r="Z177" s="134" t="s">
        <v>0</v>
      </c>
      <c r="AA177" s="131">
        <f t="shared" si="154"/>
        <v>7289</v>
      </c>
      <c r="AB177" s="48">
        <v>43393</v>
      </c>
      <c r="AC177" s="48">
        <v>48024</v>
      </c>
      <c r="AD177" s="48">
        <v>39876</v>
      </c>
      <c r="AE177" s="48">
        <v>10377</v>
      </c>
      <c r="AF177" s="48">
        <v>23967</v>
      </c>
      <c r="AH177" s="134" t="s">
        <v>0</v>
      </c>
      <c r="AI177" s="131">
        <f t="shared" si="155"/>
        <v>0</v>
      </c>
      <c r="AJ177" s="48">
        <v>47150</v>
      </c>
      <c r="AK177" s="48">
        <v>50315</v>
      </c>
      <c r="AL177" s="48">
        <v>42806</v>
      </c>
      <c r="AM177" s="48">
        <v>13661</v>
      </c>
      <c r="AN177" s="48">
        <v>22425</v>
      </c>
      <c r="AP177" s="134" t="s">
        <v>0</v>
      </c>
      <c r="AQ177" s="131">
        <f t="shared" si="156"/>
        <v>10889</v>
      </c>
      <c r="AR177" s="48">
        <v>66010</v>
      </c>
      <c r="AS177" s="48">
        <v>69355</v>
      </c>
      <c r="AT177" s="48">
        <v>56843</v>
      </c>
      <c r="AU177" s="48">
        <v>13493</v>
      </c>
      <c r="AV177" s="48">
        <v>0</v>
      </c>
      <c r="AX177" s="134" t="s">
        <v>0</v>
      </c>
      <c r="AY177" s="131">
        <f t="shared" si="157"/>
        <v>0</v>
      </c>
      <c r="AZ177" s="48">
        <v>34761</v>
      </c>
      <c r="BA177" s="48">
        <v>35211</v>
      </c>
      <c r="BB177" s="48">
        <v>27241</v>
      </c>
      <c r="BC177" s="48"/>
      <c r="BD177" s="48"/>
      <c r="BE177" s="48"/>
      <c r="BF177" s="134" t="s">
        <v>0</v>
      </c>
      <c r="BG177" s="131">
        <f t="shared" si="158"/>
        <v>5200</v>
      </c>
      <c r="BH177" s="48">
        <v>39353</v>
      </c>
      <c r="BI177" s="48">
        <v>37545</v>
      </c>
      <c r="BJ177" s="48"/>
      <c r="BK177" s="48"/>
      <c r="BL177" s="48"/>
      <c r="BM177" s="48"/>
      <c r="BN177" s="134" t="s">
        <v>0</v>
      </c>
      <c r="BO177" s="131">
        <f t="shared" si="159"/>
        <v>8798</v>
      </c>
      <c r="BP177" s="48">
        <v>51026</v>
      </c>
      <c r="BQ177" s="48">
        <v>49516</v>
      </c>
      <c r="BR177" s="48">
        <v>44050</v>
      </c>
      <c r="BS177" s="48">
        <v>12917</v>
      </c>
      <c r="BT177" s="48">
        <v>27311</v>
      </c>
      <c r="BV177" s="134" t="s">
        <v>0</v>
      </c>
      <c r="BW177" s="131">
        <f t="shared" si="160"/>
        <v>5114</v>
      </c>
      <c r="BX177" s="48">
        <v>37114</v>
      </c>
      <c r="BY177" s="48">
        <v>35765</v>
      </c>
      <c r="BZ177" s="48">
        <v>32011</v>
      </c>
      <c r="CA177" s="48">
        <v>8113</v>
      </c>
      <c r="CB177" s="48">
        <v>18459</v>
      </c>
      <c r="CC177" s="48"/>
      <c r="CD177" s="134" t="s">
        <v>0</v>
      </c>
      <c r="CE177" s="131">
        <f t="shared" si="161"/>
        <v>7935</v>
      </c>
      <c r="CF177" s="48">
        <v>60114</v>
      </c>
      <c r="CG177" s="48">
        <v>55753</v>
      </c>
      <c r="CH177" s="48">
        <v>44130</v>
      </c>
      <c r="CI177" s="48">
        <v>11838</v>
      </c>
      <c r="CJ177" s="48">
        <v>28084</v>
      </c>
      <c r="CL177" s="134" t="s">
        <v>0</v>
      </c>
      <c r="CM177" s="131">
        <f t="shared" si="162"/>
        <v>8196</v>
      </c>
      <c r="CN177" s="48">
        <v>48638</v>
      </c>
      <c r="CO177" s="48">
        <v>66258</v>
      </c>
      <c r="CP177" s="48">
        <v>54143</v>
      </c>
      <c r="CQ177" s="48">
        <v>12902</v>
      </c>
      <c r="CR177" s="48">
        <v>35591</v>
      </c>
      <c r="CT177" s="134" t="s">
        <v>0</v>
      </c>
      <c r="CU177" s="131">
        <f>CU97+CU176</f>
        <v>10822</v>
      </c>
      <c r="CV177" s="48">
        <v>58877</v>
      </c>
      <c r="CW177" s="48">
        <v>0</v>
      </c>
      <c r="CX177" s="48"/>
      <c r="CY177" s="48"/>
      <c r="CZ177" s="48"/>
      <c r="DB177" s="134" t="s">
        <v>0</v>
      </c>
      <c r="DC177" s="131">
        <f>DC176+DC97</f>
        <v>10092</v>
      </c>
      <c r="DD177" s="48">
        <v>56951</v>
      </c>
      <c r="DE177" s="48">
        <v>0</v>
      </c>
      <c r="DF177" s="48"/>
      <c r="DG177" s="48"/>
      <c r="DH177" s="48"/>
      <c r="DI177" s="48"/>
      <c r="DJ177" s="134" t="s">
        <v>0</v>
      </c>
      <c r="DK177" s="131">
        <f t="shared" si="165"/>
        <v>7655</v>
      </c>
      <c r="DL177" s="48">
        <v>40428</v>
      </c>
      <c r="DM177" s="48">
        <v>0</v>
      </c>
      <c r="DN177" s="48"/>
      <c r="DO177" s="48"/>
      <c r="DP177" s="48"/>
      <c r="DR177" s="134" t="s">
        <v>0</v>
      </c>
      <c r="DS177" s="131">
        <f t="shared" si="163"/>
        <v>5955</v>
      </c>
      <c r="DT177" s="48">
        <v>37237</v>
      </c>
      <c r="DU177" s="48">
        <v>0</v>
      </c>
      <c r="DV177" s="48"/>
      <c r="DW177" s="48"/>
      <c r="DX177" s="48"/>
      <c r="DZ177" s="134" t="s">
        <v>0</v>
      </c>
      <c r="EA177" s="131">
        <f t="shared" si="164"/>
        <v>4262</v>
      </c>
      <c r="EB177" s="48"/>
      <c r="EC177" s="48">
        <v>0</v>
      </c>
      <c r="ED177" s="48"/>
      <c r="EE177" s="48"/>
      <c r="EF177" s="48"/>
    </row>
    <row r="178" spans="1:136" x14ac:dyDescent="0.2">
      <c r="A178" s="292"/>
      <c r="B178" s="134" t="s">
        <v>1</v>
      </c>
      <c r="C178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8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610002</v>
      </c>
      <c r="E178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652234</v>
      </c>
      <c r="F178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518819</v>
      </c>
      <c r="G178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173989</v>
      </c>
      <c r="H178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269616.00002000004</v>
      </c>
      <c r="I178" s="48"/>
      <c r="J178" s="134" t="s">
        <v>1</v>
      </c>
      <c r="K178" s="131">
        <f t="shared" si="152"/>
        <v>7792</v>
      </c>
      <c r="L178" s="48">
        <v>58868</v>
      </c>
      <c r="M178" s="48">
        <v>71840</v>
      </c>
      <c r="N178" s="48">
        <v>61585</v>
      </c>
      <c r="O178" s="48">
        <v>24266</v>
      </c>
      <c r="P178" s="48">
        <v>39505.000019999999</v>
      </c>
      <c r="R178" s="134" t="s">
        <v>1</v>
      </c>
      <c r="S178" s="131">
        <f t="shared" si="153"/>
        <v>5239</v>
      </c>
      <c r="T178" s="48">
        <v>37624</v>
      </c>
      <c r="U178" s="48">
        <v>38491</v>
      </c>
      <c r="V178" s="48">
        <v>35807</v>
      </c>
      <c r="W178" s="48">
        <v>17392</v>
      </c>
      <c r="X178" s="48">
        <v>25246</v>
      </c>
      <c r="Z178" s="134" t="s">
        <v>1</v>
      </c>
      <c r="AA178" s="131">
        <f t="shared" si="154"/>
        <v>7289</v>
      </c>
      <c r="AB178" s="48">
        <v>49320</v>
      </c>
      <c r="AC178" s="48">
        <v>54725</v>
      </c>
      <c r="AD178" s="48">
        <v>46124</v>
      </c>
      <c r="AE178" s="48">
        <v>15118</v>
      </c>
      <c r="AF178" s="48">
        <v>28266</v>
      </c>
      <c r="AH178" s="134" t="s">
        <v>1</v>
      </c>
      <c r="AI178" s="131">
        <f t="shared" si="155"/>
        <v>0</v>
      </c>
      <c r="AJ178" s="48">
        <v>56260</v>
      </c>
      <c r="AK178" s="48">
        <v>59355</v>
      </c>
      <c r="AL178" s="48">
        <v>51782</v>
      </c>
      <c r="AM178" s="48">
        <v>20655</v>
      </c>
      <c r="AN178" s="48">
        <v>29188</v>
      </c>
      <c r="AP178" s="134" t="s">
        <v>1</v>
      </c>
      <c r="AQ178" s="131">
        <f t="shared" si="156"/>
        <v>10889</v>
      </c>
      <c r="AR178" s="48">
        <v>78831</v>
      </c>
      <c r="AS178" s="48">
        <v>83471</v>
      </c>
      <c r="AT178" s="48">
        <v>69499</v>
      </c>
      <c r="AU178" s="48">
        <v>15986</v>
      </c>
      <c r="AV178" s="48">
        <v>0</v>
      </c>
      <c r="AX178" s="134" t="s">
        <v>1</v>
      </c>
      <c r="AY178" s="131">
        <f t="shared" si="157"/>
        <v>0</v>
      </c>
      <c r="AZ178" s="48">
        <v>41986</v>
      </c>
      <c r="BA178" s="48">
        <v>42801</v>
      </c>
      <c r="BB178" s="48">
        <v>33960</v>
      </c>
      <c r="BC178" s="48">
        <v>1073</v>
      </c>
      <c r="BD178" s="48"/>
      <c r="BE178" s="48"/>
      <c r="BF178" s="134" t="s">
        <v>1</v>
      </c>
      <c r="BG178" s="131">
        <f t="shared" si="158"/>
        <v>5200</v>
      </c>
      <c r="BH178" s="48">
        <v>48332</v>
      </c>
      <c r="BI178" s="48">
        <v>46929</v>
      </c>
      <c r="BJ178" s="48"/>
      <c r="BK178" s="48"/>
      <c r="BL178" s="48"/>
      <c r="BM178" s="48"/>
      <c r="BN178" s="134" t="s">
        <v>1</v>
      </c>
      <c r="BO178" s="131">
        <f t="shared" si="159"/>
        <v>8798</v>
      </c>
      <c r="BP178" s="48">
        <v>59610</v>
      </c>
      <c r="BQ178" s="48">
        <v>58449</v>
      </c>
      <c r="BR178" s="48">
        <v>52517</v>
      </c>
      <c r="BS178" s="48">
        <v>20309</v>
      </c>
      <c r="BT178" s="48">
        <v>33963</v>
      </c>
      <c r="BV178" s="134" t="s">
        <v>1</v>
      </c>
      <c r="BW178" s="131">
        <f t="shared" si="160"/>
        <v>5114</v>
      </c>
      <c r="BX178" s="48">
        <v>47208</v>
      </c>
      <c r="BY178" s="48">
        <v>45534</v>
      </c>
      <c r="BZ178" s="48">
        <v>42400</v>
      </c>
      <c r="CA178" s="48">
        <v>15251</v>
      </c>
      <c r="CB178" s="48">
        <v>26848</v>
      </c>
      <c r="CC178" s="48"/>
      <c r="CD178" s="134" t="s">
        <v>1</v>
      </c>
      <c r="CE178" s="131">
        <f t="shared" si="161"/>
        <v>7935</v>
      </c>
      <c r="CF178" s="48">
        <v>74411</v>
      </c>
      <c r="CG178" s="48">
        <v>70588</v>
      </c>
      <c r="CH178" s="48">
        <v>57884</v>
      </c>
      <c r="CI178" s="48">
        <v>21714</v>
      </c>
      <c r="CJ178" s="48">
        <v>40689</v>
      </c>
      <c r="CL178" s="134" t="s">
        <v>1</v>
      </c>
      <c r="CM178" s="131">
        <f t="shared" si="162"/>
        <v>8196</v>
      </c>
      <c r="CN178" s="48">
        <v>57552</v>
      </c>
      <c r="CO178" s="48">
        <v>80051</v>
      </c>
      <c r="CP178" s="48">
        <v>67261</v>
      </c>
      <c r="CQ178" s="48">
        <v>22225</v>
      </c>
      <c r="CR178" s="48">
        <v>45911</v>
      </c>
      <c r="CT178" s="134" t="s">
        <v>1</v>
      </c>
      <c r="CU178" s="131">
        <f>CU177+CU98</f>
        <v>10822</v>
      </c>
      <c r="CV178" s="48">
        <v>69611</v>
      </c>
      <c r="CW178" s="48">
        <v>0</v>
      </c>
      <c r="CX178" s="48"/>
      <c r="CY178" s="48"/>
      <c r="CZ178" s="48"/>
      <c r="DB178" s="134" t="s">
        <v>1</v>
      </c>
      <c r="DC178" s="131">
        <f t="shared" ref="DC178:DC183" si="166">DC177+DC98</f>
        <v>10092</v>
      </c>
      <c r="DD178" s="48">
        <v>67109</v>
      </c>
      <c r="DE178" s="48">
        <v>0</v>
      </c>
      <c r="DF178" s="48"/>
      <c r="DG178" s="48"/>
      <c r="DH178" s="48"/>
      <c r="DI178" s="48"/>
      <c r="DJ178" s="134" t="s">
        <v>1</v>
      </c>
      <c r="DK178" s="131">
        <f t="shared" si="165"/>
        <v>7655</v>
      </c>
      <c r="DL178" s="48">
        <v>47574</v>
      </c>
      <c r="DM178" s="48">
        <v>0</v>
      </c>
      <c r="DN178" s="48"/>
      <c r="DO178" s="48"/>
      <c r="DP178" s="48"/>
      <c r="DR178" s="134" t="s">
        <v>1</v>
      </c>
      <c r="DS178" s="131">
        <f t="shared" si="163"/>
        <v>5955</v>
      </c>
      <c r="DT178" s="48">
        <v>43322</v>
      </c>
      <c r="DU178" s="48">
        <v>0</v>
      </c>
      <c r="DV178" s="48"/>
      <c r="DW178" s="48"/>
      <c r="DX178" s="48"/>
      <c r="DZ178" s="134" t="s">
        <v>1</v>
      </c>
      <c r="EA178" s="131">
        <f t="shared" si="164"/>
        <v>4262</v>
      </c>
      <c r="EB178" s="48"/>
      <c r="EC178" s="48">
        <v>0</v>
      </c>
      <c r="ED178" s="48"/>
      <c r="EE178" s="48"/>
      <c r="EF178" s="48"/>
    </row>
    <row r="179" spans="1:136" x14ac:dyDescent="0.2">
      <c r="A179" s="292"/>
      <c r="B179" s="134" t="s">
        <v>3</v>
      </c>
      <c r="C179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79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720452</v>
      </c>
      <c r="E179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766534</v>
      </c>
      <c r="F179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615961</v>
      </c>
      <c r="G179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239554</v>
      </c>
      <c r="H179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343449.00002000004</v>
      </c>
      <c r="I179" s="48"/>
      <c r="J179" s="134" t="s">
        <v>3</v>
      </c>
      <c r="K179" s="131">
        <f>K178+K99</f>
        <v>7792</v>
      </c>
      <c r="L179" s="48">
        <v>67460</v>
      </c>
      <c r="M179" s="48">
        <v>83328</v>
      </c>
      <c r="N179" s="48">
        <v>70682</v>
      </c>
      <c r="O179" s="48">
        <v>31636</v>
      </c>
      <c r="P179" s="48">
        <v>48839.000019999999</v>
      </c>
      <c r="R179" s="134" t="s">
        <v>3</v>
      </c>
      <c r="S179" s="131">
        <f>S178+S99</f>
        <v>5239</v>
      </c>
      <c r="T179" s="48">
        <v>44104</v>
      </c>
      <c r="U179" s="48">
        <v>44792</v>
      </c>
      <c r="V179" s="48">
        <v>41371</v>
      </c>
      <c r="W179" s="48">
        <v>22492</v>
      </c>
      <c r="X179" s="48">
        <v>31646</v>
      </c>
      <c r="Z179" s="134" t="s">
        <v>3</v>
      </c>
      <c r="AA179" s="131">
        <f>AA178+AA99</f>
        <v>7289</v>
      </c>
      <c r="AB179" s="48">
        <v>55706</v>
      </c>
      <c r="AC179" s="48">
        <v>60904</v>
      </c>
      <c r="AD179" s="48">
        <v>52380</v>
      </c>
      <c r="AE179" s="48">
        <v>18480</v>
      </c>
      <c r="AF179" s="48">
        <v>32880</v>
      </c>
      <c r="AH179" s="134" t="s">
        <v>3</v>
      </c>
      <c r="AI179" s="131">
        <f t="shared" si="155"/>
        <v>0</v>
      </c>
      <c r="AJ179" s="48">
        <v>65373</v>
      </c>
      <c r="AK179" s="48">
        <v>67679</v>
      </c>
      <c r="AL179" s="48">
        <v>60135</v>
      </c>
      <c r="AM179" s="48">
        <v>25393</v>
      </c>
      <c r="AN179" s="48">
        <v>36797</v>
      </c>
      <c r="AP179" s="134" t="s">
        <v>3</v>
      </c>
      <c r="AQ179" s="131">
        <f t="shared" si="156"/>
        <v>10889</v>
      </c>
      <c r="AR179" s="48">
        <v>92484</v>
      </c>
      <c r="AS179" s="48">
        <v>97866</v>
      </c>
      <c r="AT179" s="48">
        <v>83088</v>
      </c>
      <c r="AU179" s="48">
        <v>24467</v>
      </c>
      <c r="AV179" s="48">
        <v>0</v>
      </c>
      <c r="AX179" s="134" t="s">
        <v>3</v>
      </c>
      <c r="AY179" s="131">
        <f t="shared" si="157"/>
        <v>0</v>
      </c>
      <c r="AZ179" s="48">
        <v>49493</v>
      </c>
      <c r="BA179" s="48">
        <v>50211</v>
      </c>
      <c r="BB179" s="48">
        <v>40845</v>
      </c>
      <c r="BC179" s="48">
        <v>5157</v>
      </c>
      <c r="BD179" s="48"/>
      <c r="BE179" s="48"/>
      <c r="BF179" s="134" t="s">
        <v>3</v>
      </c>
      <c r="BG179" s="131">
        <f t="shared" si="158"/>
        <v>5200</v>
      </c>
      <c r="BH179" s="48">
        <v>58555</v>
      </c>
      <c r="BI179" s="48">
        <v>57185</v>
      </c>
      <c r="BJ179" s="48"/>
      <c r="BK179" s="48"/>
      <c r="BL179" s="48"/>
      <c r="BM179" s="48"/>
      <c r="BN179" s="134" t="s">
        <v>3</v>
      </c>
      <c r="BO179" s="131">
        <f t="shared" si="159"/>
        <v>8798</v>
      </c>
      <c r="BP179" s="48">
        <v>68318</v>
      </c>
      <c r="BQ179" s="48">
        <v>66834</v>
      </c>
      <c r="BR179" s="48">
        <v>60422</v>
      </c>
      <c r="BS179" s="48">
        <v>25937</v>
      </c>
      <c r="BT179" s="48">
        <v>42231</v>
      </c>
      <c r="BV179" s="134" t="s">
        <v>3</v>
      </c>
      <c r="BW179" s="131">
        <f t="shared" si="160"/>
        <v>5114</v>
      </c>
      <c r="BX179" s="48">
        <v>58230</v>
      </c>
      <c r="BY179" s="48">
        <v>55852</v>
      </c>
      <c r="BZ179" s="48">
        <v>53701</v>
      </c>
      <c r="CA179" s="48">
        <v>23015</v>
      </c>
      <c r="CB179" s="48">
        <v>36674</v>
      </c>
      <c r="CC179" s="48"/>
      <c r="CD179" s="134" t="s">
        <v>3</v>
      </c>
      <c r="CE179" s="131">
        <f t="shared" si="161"/>
        <v>7935</v>
      </c>
      <c r="CF179" s="48">
        <v>91773</v>
      </c>
      <c r="CG179" s="48">
        <v>86995</v>
      </c>
      <c r="CH179" s="48">
        <v>71540</v>
      </c>
      <c r="CI179" s="48">
        <v>32635</v>
      </c>
      <c r="CJ179" s="48">
        <v>55192</v>
      </c>
      <c r="CL179" s="134" t="s">
        <v>3</v>
      </c>
      <c r="CM179" s="131">
        <f t="shared" si="162"/>
        <v>8196</v>
      </c>
      <c r="CN179" s="48">
        <v>68956</v>
      </c>
      <c r="CO179" s="48">
        <v>94888</v>
      </c>
      <c r="CP179" s="48">
        <v>81797</v>
      </c>
      <c r="CQ179" s="48">
        <v>30342</v>
      </c>
      <c r="CR179" s="48">
        <v>59190</v>
      </c>
      <c r="CT179" s="134" t="s">
        <v>3</v>
      </c>
      <c r="CU179" s="131">
        <f t="shared" ref="CU179:CU183" si="167">CU178+CU99</f>
        <v>10822</v>
      </c>
      <c r="CV179" s="48">
        <v>82427</v>
      </c>
      <c r="CW179" s="48">
        <v>0</v>
      </c>
      <c r="CX179" s="48"/>
      <c r="CY179" s="48"/>
      <c r="CZ179" s="48"/>
      <c r="DB179" s="134" t="s">
        <v>3</v>
      </c>
      <c r="DC179" s="131">
        <f t="shared" si="166"/>
        <v>10092</v>
      </c>
      <c r="DD179" s="48">
        <v>78085</v>
      </c>
      <c r="DE179" s="48">
        <v>0</v>
      </c>
      <c r="DF179" s="48"/>
      <c r="DG179" s="48"/>
      <c r="DH179" s="48"/>
      <c r="DI179" s="48"/>
      <c r="DJ179" s="134" t="s">
        <v>3</v>
      </c>
      <c r="DK179" s="131">
        <f t="shared" si="165"/>
        <v>7655</v>
      </c>
      <c r="DL179" s="48">
        <v>55275</v>
      </c>
      <c r="DM179" s="48">
        <v>0</v>
      </c>
      <c r="DN179" s="48"/>
      <c r="DO179" s="48"/>
      <c r="DP179" s="48"/>
      <c r="DR179" s="134" t="s">
        <v>3</v>
      </c>
      <c r="DS179" s="131">
        <f t="shared" si="163"/>
        <v>5955</v>
      </c>
      <c r="DT179" s="48">
        <v>49728</v>
      </c>
      <c r="DU179" s="48">
        <v>0</v>
      </c>
      <c r="DV179" s="48"/>
      <c r="DW179" s="48"/>
      <c r="DX179" s="48"/>
      <c r="DZ179" s="134" t="s">
        <v>3</v>
      </c>
      <c r="EA179" s="131">
        <f t="shared" ref="EA179" si="168">EA178+EA99</f>
        <v>4262</v>
      </c>
      <c r="EB179" s="48">
        <v>8518</v>
      </c>
      <c r="EC179" s="48">
        <v>0</v>
      </c>
      <c r="ED179" s="48"/>
      <c r="EE179" s="48"/>
      <c r="EF179" s="48"/>
    </row>
    <row r="180" spans="1:136" x14ac:dyDescent="0.2">
      <c r="A180" s="292"/>
      <c r="B180" s="134" t="s">
        <v>71</v>
      </c>
      <c r="C180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80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800808</v>
      </c>
      <c r="E180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863137</v>
      </c>
      <c r="F180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693582</v>
      </c>
      <c r="G180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292571</v>
      </c>
      <c r="H180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401854.00002000004</v>
      </c>
      <c r="I180" s="48"/>
      <c r="J180" s="134" t="s">
        <v>71</v>
      </c>
      <c r="K180" s="131">
        <f t="shared" ref="K180:K183" si="169">K179+K100</f>
        <v>7792</v>
      </c>
      <c r="L180" s="48">
        <v>74932</v>
      </c>
      <c r="M180" s="48">
        <v>93759</v>
      </c>
      <c r="N180" s="48">
        <v>79009</v>
      </c>
      <c r="O180" s="48">
        <v>38549</v>
      </c>
      <c r="P180" s="48">
        <v>56687.000019999999</v>
      </c>
      <c r="R180" s="134" t="s">
        <v>71</v>
      </c>
      <c r="S180" s="131">
        <f t="shared" ref="S180:S183" si="170">S179+S100</f>
        <v>5239</v>
      </c>
      <c r="T180" s="48">
        <v>49282</v>
      </c>
      <c r="U180" s="48">
        <v>50308</v>
      </c>
      <c r="V180" s="48">
        <v>46532</v>
      </c>
      <c r="W180" s="48">
        <v>26975</v>
      </c>
      <c r="X180" s="48">
        <v>36847</v>
      </c>
      <c r="Z180" s="134" t="s">
        <v>71</v>
      </c>
      <c r="AA180" s="131">
        <f t="shared" ref="AA180:AA183" si="171">AA179+AA100</f>
        <v>7289</v>
      </c>
      <c r="AB180" s="48">
        <v>62390</v>
      </c>
      <c r="AC180" s="48">
        <v>69261</v>
      </c>
      <c r="AD180" s="48">
        <v>60197</v>
      </c>
      <c r="AE180" s="48">
        <v>23528</v>
      </c>
      <c r="AF180" s="48">
        <v>38924</v>
      </c>
      <c r="AH180" s="134" t="s">
        <v>71</v>
      </c>
      <c r="AI180" s="131">
        <f t="shared" si="155"/>
        <v>0</v>
      </c>
      <c r="AJ180" s="48">
        <v>73136</v>
      </c>
      <c r="AK180" s="48">
        <v>76063</v>
      </c>
      <c r="AL180" s="48">
        <v>67597</v>
      </c>
      <c r="AM180" s="48">
        <v>29686</v>
      </c>
      <c r="AN180" s="48">
        <v>44279</v>
      </c>
      <c r="AP180" s="134" t="s">
        <v>71</v>
      </c>
      <c r="AQ180" s="131">
        <f>AQ179+AQ100</f>
        <v>10889</v>
      </c>
      <c r="AR180" s="48">
        <v>102925</v>
      </c>
      <c r="AS180" s="48">
        <v>111380</v>
      </c>
      <c r="AT180" s="48">
        <v>93611</v>
      </c>
      <c r="AU180" s="48">
        <v>31515</v>
      </c>
      <c r="AV180" s="48">
        <v>0</v>
      </c>
      <c r="AX180" s="134" t="s">
        <v>71</v>
      </c>
      <c r="AY180" s="131">
        <f t="shared" si="157"/>
        <v>0</v>
      </c>
      <c r="AZ180" s="48">
        <v>54790</v>
      </c>
      <c r="BA180" s="48">
        <v>56149</v>
      </c>
      <c r="BB180" s="48">
        <v>45927</v>
      </c>
      <c r="BC180" s="48">
        <v>7762</v>
      </c>
      <c r="BD180" s="48"/>
      <c r="BE180" s="48"/>
      <c r="BF180" s="134" t="s">
        <v>71</v>
      </c>
      <c r="BG180" s="131">
        <f t="shared" si="158"/>
        <v>5200</v>
      </c>
      <c r="BH180" s="48">
        <v>64117</v>
      </c>
      <c r="BI180" s="48">
        <v>64014</v>
      </c>
      <c r="BJ180" s="48"/>
      <c r="BK180" s="48"/>
      <c r="BL180" s="48"/>
      <c r="BM180" s="48"/>
      <c r="BN180" s="134" t="s">
        <v>71</v>
      </c>
      <c r="BO180" s="131">
        <f t="shared" si="159"/>
        <v>8798</v>
      </c>
      <c r="BP180" s="48">
        <v>77084</v>
      </c>
      <c r="BQ180" s="48">
        <v>75363</v>
      </c>
      <c r="BR180" s="48">
        <v>68566</v>
      </c>
      <c r="BS180" s="48">
        <v>32097</v>
      </c>
      <c r="BT180" s="48">
        <v>50691</v>
      </c>
      <c r="BV180" s="134" t="s">
        <v>71</v>
      </c>
      <c r="BW180" s="131">
        <f t="shared" si="160"/>
        <v>5114</v>
      </c>
      <c r="BX180" s="48">
        <v>64193</v>
      </c>
      <c r="BY180" s="48">
        <v>62920</v>
      </c>
      <c r="BZ180" s="48">
        <v>59386</v>
      </c>
      <c r="CA180" s="48">
        <v>26863</v>
      </c>
      <c r="CB180" s="48">
        <v>41868</v>
      </c>
      <c r="CC180" s="48"/>
      <c r="CD180" s="134" t="s">
        <v>71</v>
      </c>
      <c r="CE180" s="131">
        <f t="shared" si="161"/>
        <v>7935</v>
      </c>
      <c r="CF180" s="48">
        <v>100580</v>
      </c>
      <c r="CG180" s="48">
        <v>97575</v>
      </c>
      <c r="CH180" s="48">
        <v>80153</v>
      </c>
      <c r="CI180" s="48">
        <v>38658</v>
      </c>
      <c r="CJ180" s="48">
        <v>63507</v>
      </c>
      <c r="CL180" s="134" t="s">
        <v>71</v>
      </c>
      <c r="CM180" s="131">
        <f t="shared" si="162"/>
        <v>8196</v>
      </c>
      <c r="CN180" s="48">
        <v>77379</v>
      </c>
      <c r="CO180" s="48">
        <v>106345</v>
      </c>
      <c r="CP180" s="48">
        <v>92604</v>
      </c>
      <c r="CQ180" s="48">
        <v>36938</v>
      </c>
      <c r="CR180" s="48">
        <v>69051</v>
      </c>
      <c r="CT180" s="134" t="s">
        <v>71</v>
      </c>
      <c r="CU180" s="131">
        <f t="shared" si="167"/>
        <v>10822</v>
      </c>
      <c r="CV180" s="48">
        <v>93598</v>
      </c>
      <c r="CW180" s="48">
        <v>0</v>
      </c>
      <c r="CX180" s="48"/>
      <c r="CY180" s="48"/>
      <c r="CZ180" s="48"/>
      <c r="DB180" s="134" t="s">
        <v>71</v>
      </c>
      <c r="DC180" s="131">
        <f t="shared" si="166"/>
        <v>10092</v>
      </c>
      <c r="DD180" s="48">
        <v>87218</v>
      </c>
      <c r="DE180" s="48">
        <v>0</v>
      </c>
      <c r="DF180" s="48"/>
      <c r="DG180" s="48"/>
      <c r="DH180" s="48"/>
      <c r="DI180" s="48"/>
      <c r="DJ180" s="134" t="s">
        <v>71</v>
      </c>
      <c r="DK180" s="131">
        <f t="shared" si="165"/>
        <v>7655</v>
      </c>
      <c r="DL180" s="48">
        <v>62906</v>
      </c>
      <c r="DM180" s="48">
        <v>0</v>
      </c>
      <c r="DN180" s="48"/>
      <c r="DO180" s="48"/>
      <c r="DP180" s="48"/>
      <c r="DR180" s="134" t="s">
        <v>71</v>
      </c>
      <c r="DS180" s="131">
        <f t="shared" si="163"/>
        <v>5955</v>
      </c>
      <c r="DT180" s="48">
        <v>55746</v>
      </c>
      <c r="DU180" s="48">
        <v>0</v>
      </c>
      <c r="DV180" s="48"/>
      <c r="DW180" s="48"/>
      <c r="DX180" s="48"/>
      <c r="DZ180" s="134" t="s">
        <v>71</v>
      </c>
      <c r="EA180" s="131">
        <f>EA179+EA100</f>
        <v>4262</v>
      </c>
      <c r="EB180" s="48">
        <v>13107</v>
      </c>
      <c r="EC180" s="48">
        <v>0</v>
      </c>
      <c r="ED180" s="48"/>
      <c r="EE180" s="48"/>
      <c r="EF180" s="48"/>
    </row>
    <row r="181" spans="1:136" x14ac:dyDescent="0.2">
      <c r="A181" s="292"/>
      <c r="B181" s="134" t="s">
        <v>12</v>
      </c>
      <c r="C181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81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887920</v>
      </c>
      <c r="E181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952910</v>
      </c>
      <c r="F181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778468</v>
      </c>
      <c r="G181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356008</v>
      </c>
      <c r="H181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459412.00002000004</v>
      </c>
      <c r="I181" s="48"/>
      <c r="J181" s="134" t="s">
        <v>12</v>
      </c>
      <c r="K181" s="131">
        <f t="shared" si="169"/>
        <v>7792</v>
      </c>
      <c r="L181" s="48">
        <v>83839</v>
      </c>
      <c r="M181" s="48">
        <v>103386</v>
      </c>
      <c r="N181" s="48">
        <v>88690</v>
      </c>
      <c r="O181" s="48">
        <v>46605</v>
      </c>
      <c r="P181" s="48">
        <v>64120.000019999999</v>
      </c>
      <c r="R181" s="134" t="s">
        <v>12</v>
      </c>
      <c r="S181" s="131">
        <f t="shared" si="170"/>
        <v>5239</v>
      </c>
      <c r="T181" s="48">
        <v>54989</v>
      </c>
      <c r="U181" s="48">
        <v>55703</v>
      </c>
      <c r="V181" s="48">
        <v>52189</v>
      </c>
      <c r="W181" s="48">
        <v>32257</v>
      </c>
      <c r="X181" s="48">
        <v>42182</v>
      </c>
      <c r="Z181" s="134" t="s">
        <v>12</v>
      </c>
      <c r="AA181" s="131">
        <f t="shared" si="171"/>
        <v>7289</v>
      </c>
      <c r="AB181" s="48">
        <v>69674</v>
      </c>
      <c r="AC181" s="48">
        <v>76692</v>
      </c>
      <c r="AD181" s="48">
        <v>69359</v>
      </c>
      <c r="AE181" s="48">
        <v>29388</v>
      </c>
      <c r="AF181" s="48">
        <v>44470</v>
      </c>
      <c r="AH181" s="134" t="s">
        <v>12</v>
      </c>
      <c r="AI181" s="131">
        <f t="shared" si="155"/>
        <v>0</v>
      </c>
      <c r="AJ181" s="48">
        <v>81551</v>
      </c>
      <c r="AK181" s="48">
        <v>84601</v>
      </c>
      <c r="AL181" s="48">
        <v>76278</v>
      </c>
      <c r="AM181" s="48">
        <v>35475</v>
      </c>
      <c r="AN181" s="48">
        <v>52005</v>
      </c>
      <c r="AP181" s="134" t="s">
        <v>12</v>
      </c>
      <c r="AQ181" s="131">
        <f t="shared" si="156"/>
        <v>10889</v>
      </c>
      <c r="AR181" s="48">
        <v>115051</v>
      </c>
      <c r="AS181" s="48">
        <v>123129</v>
      </c>
      <c r="AT181" s="48">
        <v>105608</v>
      </c>
      <c r="AU181" s="48">
        <v>39925</v>
      </c>
      <c r="AV181" s="48">
        <v>0</v>
      </c>
      <c r="AX181" s="134" t="s">
        <v>12</v>
      </c>
      <c r="AY181" s="131">
        <f t="shared" si="157"/>
        <v>0</v>
      </c>
      <c r="AZ181" s="48">
        <v>60268</v>
      </c>
      <c r="BA181" s="48">
        <v>62340</v>
      </c>
      <c r="BB181" s="48">
        <v>51602</v>
      </c>
      <c r="BC181" s="48">
        <v>11814</v>
      </c>
      <c r="BD181" s="48"/>
      <c r="BE181" s="48"/>
      <c r="BF181" s="134" t="s">
        <v>12</v>
      </c>
      <c r="BG181" s="131">
        <f t="shared" si="158"/>
        <v>5200</v>
      </c>
      <c r="BH181" s="48">
        <v>70422</v>
      </c>
      <c r="BI181" s="48">
        <v>70410</v>
      </c>
      <c r="BJ181" s="48"/>
      <c r="BK181" s="48"/>
      <c r="BL181" s="48"/>
      <c r="BM181" s="48"/>
      <c r="BN181" s="134" t="s">
        <v>12</v>
      </c>
      <c r="BO181" s="131">
        <f t="shared" si="159"/>
        <v>8798</v>
      </c>
      <c r="BP181" s="48">
        <v>85613</v>
      </c>
      <c r="BQ181" s="48">
        <v>83198</v>
      </c>
      <c r="BR181" s="48">
        <v>77292</v>
      </c>
      <c r="BS181" s="48">
        <v>38865</v>
      </c>
      <c r="BT181" s="48">
        <v>59496</v>
      </c>
      <c r="BV181" s="134" t="s">
        <v>12</v>
      </c>
      <c r="BW181" s="131">
        <f t="shared" si="160"/>
        <v>5114</v>
      </c>
      <c r="BX181" s="48">
        <v>70463</v>
      </c>
      <c r="BY181" s="48">
        <v>69133</v>
      </c>
      <c r="BZ181" s="48">
        <v>65740</v>
      </c>
      <c r="CA181" s="48">
        <v>31351</v>
      </c>
      <c r="CB181" s="48">
        <v>47191</v>
      </c>
      <c r="CC181" s="48"/>
      <c r="CD181" s="134" t="s">
        <v>12</v>
      </c>
      <c r="CE181" s="131">
        <f t="shared" si="161"/>
        <v>7935</v>
      </c>
      <c r="CF181" s="48">
        <v>109768</v>
      </c>
      <c r="CG181" s="48">
        <v>107231</v>
      </c>
      <c r="CH181" s="48">
        <v>88885</v>
      </c>
      <c r="CI181" s="48">
        <v>45113</v>
      </c>
      <c r="CJ181" s="48">
        <v>71431</v>
      </c>
      <c r="CL181" s="134" t="s">
        <v>12</v>
      </c>
      <c r="CM181" s="131">
        <f t="shared" si="162"/>
        <v>8196</v>
      </c>
      <c r="CN181" s="48">
        <v>86282</v>
      </c>
      <c r="CO181" s="48">
        <v>117087</v>
      </c>
      <c r="CP181" s="48">
        <v>102825</v>
      </c>
      <c r="CQ181" s="48">
        <v>45215</v>
      </c>
      <c r="CR181" s="48">
        <v>78517</v>
      </c>
      <c r="CT181" s="134" t="s">
        <v>12</v>
      </c>
      <c r="CU181" s="131">
        <f t="shared" si="167"/>
        <v>10822</v>
      </c>
      <c r="CV181" s="48">
        <v>105774</v>
      </c>
      <c r="CW181" s="48">
        <v>0</v>
      </c>
      <c r="CX181" s="48"/>
      <c r="CY181" s="48"/>
      <c r="CZ181" s="48"/>
      <c r="DB181" s="134" t="s">
        <v>12</v>
      </c>
      <c r="DC181" s="131">
        <f t="shared" si="166"/>
        <v>10092</v>
      </c>
      <c r="DD181" s="48">
        <v>97341</v>
      </c>
      <c r="DE181" s="48">
        <v>0</v>
      </c>
      <c r="DF181" s="48"/>
      <c r="DG181" s="48"/>
      <c r="DH181" s="48"/>
      <c r="DI181" s="48"/>
      <c r="DJ181" s="134" t="s">
        <v>12</v>
      </c>
      <c r="DK181" s="131">
        <f t="shared" si="165"/>
        <v>7655</v>
      </c>
      <c r="DL181" s="48">
        <v>70635</v>
      </c>
      <c r="DM181" s="48">
        <v>0</v>
      </c>
      <c r="DN181" s="48"/>
      <c r="DO181" s="48"/>
      <c r="DP181" s="48"/>
      <c r="DR181" s="134" t="s">
        <v>12</v>
      </c>
      <c r="DS181" s="131">
        <f t="shared" si="163"/>
        <v>5955</v>
      </c>
      <c r="DT181" s="48">
        <v>62000</v>
      </c>
      <c r="DU181" s="48">
        <v>0</v>
      </c>
      <c r="DV181" s="48"/>
      <c r="DW181" s="48"/>
      <c r="DX181" s="48"/>
      <c r="DZ181" s="134" t="s">
        <v>12</v>
      </c>
      <c r="EA181" s="131">
        <f t="shared" ref="EA181:EA183" si="172">EA180+EA101</f>
        <v>4262</v>
      </c>
      <c r="EB181" s="48">
        <v>17744</v>
      </c>
      <c r="EC181" s="48">
        <v>0</v>
      </c>
      <c r="ED181" s="48"/>
      <c r="EE181" s="48"/>
      <c r="EF181" s="48"/>
    </row>
    <row r="182" spans="1:136" x14ac:dyDescent="0.2">
      <c r="A182" s="292"/>
      <c r="B182" s="134" t="s">
        <v>13</v>
      </c>
      <c r="C18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8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973032</v>
      </c>
      <c r="E18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1039484</v>
      </c>
      <c r="F18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858879</v>
      </c>
      <c r="G18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416405</v>
      </c>
      <c r="H18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459890.00002000004</v>
      </c>
      <c r="I182" s="48"/>
      <c r="J182" s="134" t="s">
        <v>13</v>
      </c>
      <c r="K182" s="131">
        <f t="shared" si="169"/>
        <v>7792</v>
      </c>
      <c r="L182" s="48">
        <v>92973</v>
      </c>
      <c r="M182" s="48">
        <v>112360</v>
      </c>
      <c r="N182" s="48">
        <v>98206</v>
      </c>
      <c r="O182" s="48">
        <v>54579</v>
      </c>
      <c r="P182" s="48">
        <v>64120.000019999999</v>
      </c>
      <c r="R182" s="134" t="s">
        <v>13</v>
      </c>
      <c r="S182" s="131">
        <f t="shared" si="170"/>
        <v>5239</v>
      </c>
      <c r="T182" s="48">
        <v>60549</v>
      </c>
      <c r="U182" s="48">
        <v>60900</v>
      </c>
      <c r="V182" s="48">
        <v>57455</v>
      </c>
      <c r="W182" s="48">
        <v>36936</v>
      </c>
      <c r="X182" s="48">
        <v>42182</v>
      </c>
      <c r="Z182" s="134" t="s">
        <v>13</v>
      </c>
      <c r="AA182" s="131">
        <f t="shared" si="171"/>
        <v>7289</v>
      </c>
      <c r="AB182" s="48">
        <v>77808</v>
      </c>
      <c r="AC182" s="48">
        <v>85551</v>
      </c>
      <c r="AD182" s="48">
        <v>78229</v>
      </c>
      <c r="AE182" s="48">
        <v>35361</v>
      </c>
      <c r="AF182" s="48">
        <v>44470</v>
      </c>
      <c r="AH182" s="134" t="s">
        <v>13</v>
      </c>
      <c r="AI182" s="131">
        <f t="shared" si="155"/>
        <v>0</v>
      </c>
      <c r="AJ182" s="48">
        <v>89939</v>
      </c>
      <c r="AK182" s="48">
        <v>92609</v>
      </c>
      <c r="AL182" s="48">
        <v>84313</v>
      </c>
      <c r="AM182" s="48">
        <v>41450</v>
      </c>
      <c r="AN182" s="48">
        <v>52006</v>
      </c>
      <c r="AP182" s="134" t="s">
        <v>13</v>
      </c>
      <c r="AQ182" s="131">
        <f t="shared" si="156"/>
        <v>10889</v>
      </c>
      <c r="AR182" s="48">
        <v>126810</v>
      </c>
      <c r="AS182" s="48">
        <v>134199</v>
      </c>
      <c r="AT182" s="48">
        <v>116951</v>
      </c>
      <c r="AU182" s="48">
        <v>48186</v>
      </c>
      <c r="AV182" s="48">
        <v>0</v>
      </c>
      <c r="AX182" s="134" t="s">
        <v>13</v>
      </c>
      <c r="AY182" s="131">
        <f t="shared" si="157"/>
        <v>0</v>
      </c>
      <c r="AZ182" s="48">
        <v>65332</v>
      </c>
      <c r="BA182" s="48">
        <v>67880</v>
      </c>
      <c r="BB182" s="48">
        <v>56750</v>
      </c>
      <c r="BC182" s="48">
        <v>15619</v>
      </c>
      <c r="BD182" s="48"/>
      <c r="BE182" s="48"/>
      <c r="BF182" s="134" t="s">
        <v>13</v>
      </c>
      <c r="BG182" s="131">
        <f t="shared" si="158"/>
        <v>5200</v>
      </c>
      <c r="BH182" s="48">
        <v>76050</v>
      </c>
      <c r="BI182" s="48">
        <v>76134</v>
      </c>
      <c r="BJ182" s="48"/>
      <c r="BK182" s="48"/>
      <c r="BL182" s="48"/>
      <c r="BM182" s="48"/>
      <c r="BN182" s="134" t="s">
        <v>13</v>
      </c>
      <c r="BO182" s="131">
        <f t="shared" si="159"/>
        <v>8798</v>
      </c>
      <c r="BP182" s="48">
        <v>94084</v>
      </c>
      <c r="BQ182" s="48">
        <v>91297</v>
      </c>
      <c r="BR182" s="48">
        <v>85088</v>
      </c>
      <c r="BS182" s="48">
        <v>45514</v>
      </c>
      <c r="BT182" s="48">
        <v>59661</v>
      </c>
      <c r="BV182" s="134" t="s">
        <v>13</v>
      </c>
      <c r="BW182" s="131">
        <f t="shared" si="160"/>
        <v>5114</v>
      </c>
      <c r="BX182" s="48">
        <v>75772</v>
      </c>
      <c r="BY182" s="48">
        <v>74373</v>
      </c>
      <c r="BZ182" s="48">
        <v>71378</v>
      </c>
      <c r="CA182" s="48">
        <v>35486</v>
      </c>
      <c r="CB182" s="48">
        <v>47228</v>
      </c>
      <c r="CC182" s="48"/>
      <c r="CD182" s="134" t="s">
        <v>13</v>
      </c>
      <c r="CE182" s="131">
        <f t="shared" si="161"/>
        <v>7935</v>
      </c>
      <c r="CF182" s="48">
        <v>118723</v>
      </c>
      <c r="CG182" s="48">
        <v>115725</v>
      </c>
      <c r="CH182" s="48">
        <v>97235</v>
      </c>
      <c r="CI182" s="48">
        <v>49922</v>
      </c>
      <c r="CJ182" s="48">
        <v>71431</v>
      </c>
      <c r="CL182" s="134" t="s">
        <v>13</v>
      </c>
      <c r="CM182" s="131">
        <f t="shared" si="162"/>
        <v>8196</v>
      </c>
      <c r="CN182" s="48">
        <v>94992</v>
      </c>
      <c r="CO182" s="48">
        <v>128456</v>
      </c>
      <c r="CP182" s="48">
        <v>113274</v>
      </c>
      <c r="CQ182" s="48">
        <v>53352</v>
      </c>
      <c r="CR182" s="48">
        <v>78792</v>
      </c>
      <c r="CT182" s="134" t="s">
        <v>13</v>
      </c>
      <c r="CU182" s="131">
        <f t="shared" si="167"/>
        <v>10822</v>
      </c>
      <c r="CV182" s="48">
        <v>117849</v>
      </c>
      <c r="CW182" s="48">
        <v>0</v>
      </c>
      <c r="CX182" s="48"/>
      <c r="CY182" s="48"/>
      <c r="CZ182" s="48"/>
      <c r="DB182" s="134" t="s">
        <v>13</v>
      </c>
      <c r="DC182" s="131">
        <f t="shared" si="166"/>
        <v>10092</v>
      </c>
      <c r="DD182" s="48">
        <v>107742</v>
      </c>
      <c r="DE182" s="48">
        <v>0</v>
      </c>
      <c r="DF182" s="48"/>
      <c r="DG182" s="48"/>
      <c r="DH182" s="48"/>
      <c r="DI182" s="48"/>
      <c r="DJ182" s="134" t="s">
        <v>13</v>
      </c>
      <c r="DK182" s="131">
        <f t="shared" si="165"/>
        <v>7655</v>
      </c>
      <c r="DL182" s="48">
        <v>78697</v>
      </c>
      <c r="DM182" s="48">
        <v>0</v>
      </c>
      <c r="DN182" s="48"/>
      <c r="DO182" s="48"/>
      <c r="DP182" s="48"/>
      <c r="DR182" s="134" t="s">
        <v>13</v>
      </c>
      <c r="DS182" s="131">
        <f t="shared" si="163"/>
        <v>5955</v>
      </c>
      <c r="DT182" s="48">
        <v>68136</v>
      </c>
      <c r="DU182" s="48">
        <v>0</v>
      </c>
      <c r="DV182" s="48"/>
      <c r="DW182" s="48"/>
      <c r="DX182" s="48"/>
      <c r="DZ182" s="134" t="s">
        <v>13</v>
      </c>
      <c r="EA182" s="131">
        <f t="shared" si="172"/>
        <v>4262</v>
      </c>
      <c r="EB182" s="48">
        <v>22334</v>
      </c>
      <c r="EC182" s="48">
        <v>0</v>
      </c>
      <c r="ED182" s="48"/>
      <c r="EE182" s="48"/>
      <c r="EF182" s="48"/>
    </row>
    <row r="183" spans="1:136" x14ac:dyDescent="0.2">
      <c r="A183" s="292"/>
      <c r="B183" s="134" t="s">
        <v>15</v>
      </c>
      <c r="C18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>105238</v>
      </c>
      <c r="D18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>1056602</v>
      </c>
      <c r="E18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>1122506</v>
      </c>
      <c r="F18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>939806</v>
      </c>
      <c r="G18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>478551</v>
      </c>
      <c r="H18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>460257.00002000004</v>
      </c>
      <c r="I183" s="48"/>
      <c r="J183" s="134" t="s">
        <v>15</v>
      </c>
      <c r="K183" s="131">
        <f t="shared" si="169"/>
        <v>7792</v>
      </c>
      <c r="L183" s="48">
        <v>101753</v>
      </c>
      <c r="M183" s="48">
        <v>120553</v>
      </c>
      <c r="N183" s="48">
        <v>107914</v>
      </c>
      <c r="O183" s="48">
        <v>63449</v>
      </c>
      <c r="P183" s="48">
        <v>64122.000019999999</v>
      </c>
      <c r="R183" s="134" t="s">
        <v>15</v>
      </c>
      <c r="S183" s="131">
        <f t="shared" si="170"/>
        <v>5239</v>
      </c>
      <c r="T183" s="48">
        <v>66256</v>
      </c>
      <c r="U183" s="48">
        <v>66184</v>
      </c>
      <c r="V183" s="48">
        <v>62842</v>
      </c>
      <c r="W183" s="48">
        <v>41633</v>
      </c>
      <c r="X183" s="48">
        <v>42182</v>
      </c>
      <c r="Z183" s="134" t="s">
        <v>15</v>
      </c>
      <c r="AA183" s="131">
        <f t="shared" si="171"/>
        <v>7289</v>
      </c>
      <c r="AB183" s="48">
        <v>84531</v>
      </c>
      <c r="AC183" s="48">
        <v>92192</v>
      </c>
      <c r="AD183" s="48">
        <v>85572</v>
      </c>
      <c r="AE183" s="48">
        <v>40504</v>
      </c>
      <c r="AF183" s="48">
        <v>44470</v>
      </c>
      <c r="AH183" s="134" t="s">
        <v>15</v>
      </c>
      <c r="AI183" s="131">
        <f t="shared" si="155"/>
        <v>0</v>
      </c>
      <c r="AJ183" s="48">
        <v>97835</v>
      </c>
      <c r="AK183" s="48">
        <v>100681</v>
      </c>
      <c r="AL183" s="48">
        <v>92238</v>
      </c>
      <c r="AM183" s="48">
        <v>47408</v>
      </c>
      <c r="AN183" s="48">
        <v>52006</v>
      </c>
      <c r="AP183" s="134" t="s">
        <v>15</v>
      </c>
      <c r="AQ183" s="131">
        <f t="shared" si="156"/>
        <v>10889</v>
      </c>
      <c r="AR183" s="48">
        <v>139812</v>
      </c>
      <c r="AS183" s="48">
        <v>146469</v>
      </c>
      <c r="AT183" s="48">
        <v>129865</v>
      </c>
      <c r="AU183" s="48">
        <v>57420</v>
      </c>
      <c r="AV183" s="48">
        <v>0</v>
      </c>
      <c r="AX183" s="134" t="s">
        <v>15</v>
      </c>
      <c r="AY183" s="131">
        <f t="shared" si="157"/>
        <v>0</v>
      </c>
      <c r="AZ183" s="48">
        <v>70502</v>
      </c>
      <c r="BA183" s="48">
        <v>73456</v>
      </c>
      <c r="BB183" s="48">
        <v>62120</v>
      </c>
      <c r="BC183" s="48">
        <v>19455</v>
      </c>
      <c r="BD183" s="48"/>
      <c r="BE183" s="48"/>
      <c r="BF183" s="134" t="s">
        <v>15</v>
      </c>
      <c r="BG183" s="131">
        <f t="shared" si="158"/>
        <v>5200</v>
      </c>
      <c r="BH183" s="48">
        <v>81456</v>
      </c>
      <c r="BI183" s="48">
        <v>81845</v>
      </c>
      <c r="BJ183" s="48"/>
      <c r="BK183" s="48"/>
      <c r="BL183" s="48"/>
      <c r="BM183" s="48"/>
      <c r="BN183" s="134" t="s">
        <v>15</v>
      </c>
      <c r="BO183" s="131">
        <f t="shared" si="159"/>
        <v>8798</v>
      </c>
      <c r="BP183" s="48">
        <v>102782</v>
      </c>
      <c r="BQ183" s="48">
        <v>99383</v>
      </c>
      <c r="BR183" s="48">
        <v>93354</v>
      </c>
      <c r="BS183" s="48">
        <v>52212</v>
      </c>
      <c r="BT183" s="48">
        <v>59661</v>
      </c>
      <c r="BV183" s="134" t="s">
        <v>15</v>
      </c>
      <c r="BW183" s="131">
        <f t="shared" si="160"/>
        <v>5114</v>
      </c>
      <c r="BX183" s="48">
        <v>81106</v>
      </c>
      <c r="BY183" s="48">
        <v>79431</v>
      </c>
      <c r="BZ183" s="48">
        <v>76464</v>
      </c>
      <c r="CA183" s="48">
        <v>39232</v>
      </c>
      <c r="CB183" s="48">
        <v>47228</v>
      </c>
      <c r="CC183" s="48"/>
      <c r="CD183" s="134" t="s">
        <v>15</v>
      </c>
      <c r="CE183" s="131">
        <f t="shared" si="161"/>
        <v>7935</v>
      </c>
      <c r="CF183" s="48">
        <v>126882</v>
      </c>
      <c r="CG183" s="48">
        <v>124226</v>
      </c>
      <c r="CH183" s="48">
        <v>104911</v>
      </c>
      <c r="CI183" s="48">
        <v>55520</v>
      </c>
      <c r="CJ183" s="48">
        <v>71431</v>
      </c>
      <c r="CL183" s="134" t="s">
        <v>15</v>
      </c>
      <c r="CM183" s="131">
        <f t="shared" si="162"/>
        <v>8196</v>
      </c>
      <c r="CN183" s="48">
        <v>103687</v>
      </c>
      <c r="CO183" s="48">
        <v>138086</v>
      </c>
      <c r="CP183" s="48">
        <v>124526</v>
      </c>
      <c r="CQ183" s="48">
        <v>61718</v>
      </c>
      <c r="CR183" s="48">
        <v>79157</v>
      </c>
      <c r="CT183" s="134" t="s">
        <v>15</v>
      </c>
      <c r="CU183" s="131">
        <f t="shared" si="167"/>
        <v>10822</v>
      </c>
      <c r="CV183" s="48">
        <v>128740</v>
      </c>
      <c r="CW183" s="48">
        <v>0</v>
      </c>
      <c r="CX183" s="48"/>
      <c r="CY183" s="48"/>
      <c r="CZ183" s="48"/>
      <c r="DB183" s="134" t="s">
        <v>15</v>
      </c>
      <c r="DC183" s="131">
        <f t="shared" si="166"/>
        <v>10092</v>
      </c>
      <c r="DD183" s="48">
        <v>118714</v>
      </c>
      <c r="DE183" s="48">
        <v>0</v>
      </c>
      <c r="DF183" s="48"/>
      <c r="DG183" s="48"/>
      <c r="DH183" s="48"/>
      <c r="DI183" s="48"/>
      <c r="DJ183" s="134" t="s">
        <v>15</v>
      </c>
      <c r="DK183" s="131">
        <f t="shared" si="165"/>
        <v>7655</v>
      </c>
      <c r="DL183" s="48">
        <v>87493</v>
      </c>
      <c r="DM183" s="48">
        <v>0</v>
      </c>
      <c r="DN183" s="48"/>
      <c r="DO183" s="48"/>
      <c r="DP183" s="48"/>
      <c r="DR183" s="134" t="s">
        <v>15</v>
      </c>
      <c r="DS183" s="131">
        <f t="shared" si="163"/>
        <v>5955</v>
      </c>
      <c r="DT183" s="48">
        <v>74262</v>
      </c>
      <c r="DU183" s="48">
        <v>0</v>
      </c>
      <c r="DV183" s="48"/>
      <c r="DW183" s="48"/>
      <c r="DX183" s="48"/>
      <c r="DZ183" s="134" t="s">
        <v>15</v>
      </c>
      <c r="EA183" s="131">
        <f t="shared" si="172"/>
        <v>4262</v>
      </c>
      <c r="EB183" s="48">
        <v>26531</v>
      </c>
      <c r="EC183" s="48">
        <v>0</v>
      </c>
      <c r="ED183" s="48"/>
      <c r="EE183" s="48"/>
      <c r="EF183" s="48"/>
    </row>
    <row r="184" spans="1:136" x14ac:dyDescent="0.2">
      <c r="S184" s="279"/>
      <c r="CV184" s="279"/>
    </row>
    <row r="185" spans="1:136" ht="15.75" x14ac:dyDescent="0.2">
      <c r="B185" s="45" t="s">
        <v>131</v>
      </c>
      <c r="J185" s="45" t="s">
        <v>2999</v>
      </c>
      <c r="R185" s="45" t="s">
        <v>3001</v>
      </c>
      <c r="Z185" s="45" t="s">
        <v>210</v>
      </c>
      <c r="AH185" s="45" t="s">
        <v>3003</v>
      </c>
      <c r="AP185" s="45" t="s">
        <v>2156</v>
      </c>
      <c r="AX185" s="45" t="s">
        <v>3000</v>
      </c>
      <c r="BF185" s="45" t="s">
        <v>3002</v>
      </c>
      <c r="BN185" s="45" t="s">
        <v>297</v>
      </c>
      <c r="BV185" s="45" t="s">
        <v>296</v>
      </c>
      <c r="CD185" s="45" t="s">
        <v>292</v>
      </c>
      <c r="CL185" s="45" t="s">
        <v>294</v>
      </c>
      <c r="CT185" s="45" t="s">
        <v>6963</v>
      </c>
      <c r="CV185" s="279"/>
      <c r="DB185" s="45" t="s">
        <v>6964</v>
      </c>
      <c r="DJ185" s="45" t="s">
        <v>6966</v>
      </c>
      <c r="DR185" s="45" t="s">
        <v>6965</v>
      </c>
      <c r="DZ185" s="45" t="s">
        <v>7094</v>
      </c>
    </row>
    <row r="187" spans="1:136" s="188" customFormat="1" ht="18.600000000000001" customHeight="1" x14ac:dyDescent="0.2">
      <c r="A187" s="292" t="s">
        <v>187</v>
      </c>
      <c r="B187" s="186" t="s">
        <v>106</v>
      </c>
      <c r="C187" s="187" t="s">
        <v>6962</v>
      </c>
      <c r="D187" s="187" t="s">
        <v>2169</v>
      </c>
      <c r="E187" s="187" t="s">
        <v>1553</v>
      </c>
      <c r="F187" s="187" t="s">
        <v>1522</v>
      </c>
      <c r="G187" s="187" t="s">
        <v>1304</v>
      </c>
      <c r="H187" s="187" t="s">
        <v>209</v>
      </c>
      <c r="I187" s="187"/>
      <c r="J187" s="186" t="s">
        <v>106</v>
      </c>
      <c r="K187" s="186" t="s">
        <v>7114</v>
      </c>
      <c r="L187" s="186" t="s">
        <v>6962</v>
      </c>
      <c r="M187" s="186" t="s">
        <v>2169</v>
      </c>
      <c r="N187" s="186" t="s">
        <v>1553</v>
      </c>
      <c r="O187" s="186" t="s">
        <v>1522</v>
      </c>
      <c r="P187" s="186" t="s">
        <v>1304</v>
      </c>
      <c r="R187" s="186" t="s">
        <v>106</v>
      </c>
      <c r="S187" s="186" t="s">
        <v>7114</v>
      </c>
      <c r="T187" s="186" t="s">
        <v>6962</v>
      </c>
      <c r="U187" s="186" t="s">
        <v>2169</v>
      </c>
      <c r="V187" s="186" t="s">
        <v>1553</v>
      </c>
      <c r="W187" s="186" t="s">
        <v>1522</v>
      </c>
      <c r="X187" s="186" t="s">
        <v>1304</v>
      </c>
      <c r="Z187" s="186" t="s">
        <v>106</v>
      </c>
      <c r="AA187" s="186" t="s">
        <v>7114</v>
      </c>
      <c r="AB187" s="186" t="s">
        <v>6962</v>
      </c>
      <c r="AC187" s="186" t="s">
        <v>2169</v>
      </c>
      <c r="AD187" s="186" t="s">
        <v>1553</v>
      </c>
      <c r="AE187" s="186" t="s">
        <v>1522</v>
      </c>
      <c r="AF187" s="186" t="s">
        <v>1304</v>
      </c>
      <c r="AH187" s="186" t="s">
        <v>106</v>
      </c>
      <c r="AI187" s="186" t="s">
        <v>7114</v>
      </c>
      <c r="AJ187" s="186" t="s">
        <v>6962</v>
      </c>
      <c r="AK187" s="186" t="s">
        <v>2169</v>
      </c>
      <c r="AL187" s="186" t="s">
        <v>1553</v>
      </c>
      <c r="AM187" s="186" t="s">
        <v>1522</v>
      </c>
      <c r="AN187" s="186" t="s">
        <v>1304</v>
      </c>
      <c r="AP187" s="186" t="s">
        <v>106</v>
      </c>
      <c r="AQ187" s="186" t="s">
        <v>7114</v>
      </c>
      <c r="AR187" s="186" t="s">
        <v>6962</v>
      </c>
      <c r="AS187" s="186" t="s">
        <v>2169</v>
      </c>
      <c r="AT187" s="186" t="s">
        <v>1553</v>
      </c>
      <c r="AU187" s="186" t="s">
        <v>1522</v>
      </c>
      <c r="AV187" s="186" t="s">
        <v>1304</v>
      </c>
      <c r="AX187" s="186" t="s">
        <v>106</v>
      </c>
      <c r="AY187" s="186" t="s">
        <v>7114</v>
      </c>
      <c r="AZ187" s="186" t="s">
        <v>6962</v>
      </c>
      <c r="BA187" s="186" t="s">
        <v>2169</v>
      </c>
      <c r="BB187" s="186" t="s">
        <v>1553</v>
      </c>
      <c r="BC187" s="186" t="s">
        <v>1522</v>
      </c>
      <c r="BD187" s="186" t="s">
        <v>1304</v>
      </c>
      <c r="BE187" s="187"/>
      <c r="BF187" s="186" t="s">
        <v>106</v>
      </c>
      <c r="BG187" s="186" t="s">
        <v>7114</v>
      </c>
      <c r="BH187" s="186" t="s">
        <v>6962</v>
      </c>
      <c r="BI187" s="186" t="s">
        <v>2169</v>
      </c>
      <c r="BJ187" s="186" t="s">
        <v>1553</v>
      </c>
      <c r="BK187" s="186" t="s">
        <v>1522</v>
      </c>
      <c r="BL187" s="186" t="s">
        <v>1304</v>
      </c>
      <c r="BM187" s="186"/>
      <c r="BN187" s="186" t="s">
        <v>106</v>
      </c>
      <c r="BO187" s="187" t="s">
        <v>7114</v>
      </c>
      <c r="BP187" s="187" t="s">
        <v>6962</v>
      </c>
      <c r="BQ187" s="187" t="s">
        <v>2169</v>
      </c>
      <c r="BR187" s="187" t="s">
        <v>1553</v>
      </c>
      <c r="BS187" s="187" t="s">
        <v>1522</v>
      </c>
      <c r="BT187" s="187" t="s">
        <v>1304</v>
      </c>
      <c r="BV187" s="186" t="s">
        <v>106</v>
      </c>
      <c r="BW187" s="187" t="s">
        <v>7114</v>
      </c>
      <c r="BX187" s="187" t="s">
        <v>6962</v>
      </c>
      <c r="BY187" s="187" t="s">
        <v>2169</v>
      </c>
      <c r="BZ187" s="187" t="s">
        <v>1553</v>
      </c>
      <c r="CA187" s="187" t="s">
        <v>1522</v>
      </c>
      <c r="CB187" s="187" t="s">
        <v>1304</v>
      </c>
      <c r="CC187" s="187"/>
      <c r="CD187" s="186" t="s">
        <v>106</v>
      </c>
      <c r="CE187" s="187" t="s">
        <v>7114</v>
      </c>
      <c r="CF187" s="187" t="s">
        <v>6962</v>
      </c>
      <c r="CG187" s="187" t="s">
        <v>2169</v>
      </c>
      <c r="CH187" s="187" t="s">
        <v>1553</v>
      </c>
      <c r="CI187" s="187" t="s">
        <v>1522</v>
      </c>
      <c r="CJ187" s="187" t="s">
        <v>1304</v>
      </c>
      <c r="CL187" s="186" t="s">
        <v>106</v>
      </c>
      <c r="CM187" s="187" t="s">
        <v>7114</v>
      </c>
      <c r="CN187" s="187" t="s">
        <v>6962</v>
      </c>
      <c r="CO187" s="187" t="s">
        <v>2169</v>
      </c>
      <c r="CP187" s="187" t="s">
        <v>1553</v>
      </c>
      <c r="CQ187" s="187" t="s">
        <v>1522</v>
      </c>
      <c r="CR187" s="187" t="s">
        <v>1304</v>
      </c>
      <c r="CT187" s="186" t="s">
        <v>106</v>
      </c>
      <c r="CU187" s="187" t="s">
        <v>7114</v>
      </c>
      <c r="CV187" s="187" t="s">
        <v>6962</v>
      </c>
      <c r="CW187" s="187" t="s">
        <v>2169</v>
      </c>
      <c r="CX187" s="187" t="s">
        <v>1553</v>
      </c>
      <c r="CY187" s="187" t="s">
        <v>1522</v>
      </c>
      <c r="CZ187" s="187" t="s">
        <v>1304</v>
      </c>
      <c r="DB187" s="186" t="s">
        <v>106</v>
      </c>
      <c r="DC187" s="187" t="s">
        <v>7114</v>
      </c>
      <c r="DD187" s="187" t="s">
        <v>6962</v>
      </c>
      <c r="DE187" s="187" t="s">
        <v>2169</v>
      </c>
      <c r="DF187" s="187" t="s">
        <v>1553</v>
      </c>
      <c r="DG187" s="187" t="s">
        <v>1522</v>
      </c>
      <c r="DH187" s="187" t="s">
        <v>1304</v>
      </c>
      <c r="DI187" s="187"/>
      <c r="DJ187" s="186" t="s">
        <v>106</v>
      </c>
      <c r="DK187" s="187" t="s">
        <v>7114</v>
      </c>
      <c r="DL187" s="187" t="s">
        <v>6962</v>
      </c>
      <c r="DM187" s="187" t="s">
        <v>2169</v>
      </c>
      <c r="DN187" s="187" t="s">
        <v>1553</v>
      </c>
      <c r="DO187" s="187" t="s">
        <v>1522</v>
      </c>
      <c r="DP187" s="187" t="s">
        <v>1304</v>
      </c>
      <c r="DR187" s="186" t="s">
        <v>106</v>
      </c>
      <c r="DS187" s="187" t="s">
        <v>7114</v>
      </c>
      <c r="DT187" s="187" t="s">
        <v>6962</v>
      </c>
      <c r="DU187" s="187" t="s">
        <v>2169</v>
      </c>
      <c r="DV187" s="187" t="s">
        <v>1553</v>
      </c>
      <c r="DW187" s="187" t="s">
        <v>1522</v>
      </c>
      <c r="DX187" s="187" t="s">
        <v>1304</v>
      </c>
      <c r="DZ187" s="186" t="s">
        <v>106</v>
      </c>
      <c r="EA187" s="187" t="s">
        <v>7114</v>
      </c>
      <c r="EB187" s="187" t="s">
        <v>6962</v>
      </c>
      <c r="EC187" s="187" t="s">
        <v>2169</v>
      </c>
      <c r="ED187" s="187" t="s">
        <v>1553</v>
      </c>
      <c r="EE187" s="187" t="s">
        <v>1522</v>
      </c>
      <c r="EF187" s="187" t="s">
        <v>1304</v>
      </c>
    </row>
    <row r="188" spans="1:136" x14ac:dyDescent="0.2">
      <c r="A188" s="292"/>
      <c r="B188" s="134" t="s">
        <v>143</v>
      </c>
      <c r="C18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8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199569</v>
      </c>
      <c r="E18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226673</v>
      </c>
      <c r="F18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201026</v>
      </c>
      <c r="G18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118988</v>
      </c>
      <c r="H18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190937</v>
      </c>
      <c r="I188" s="48"/>
      <c r="J188" s="134" t="s">
        <v>143</v>
      </c>
      <c r="K188" s="131">
        <f t="shared" ref="K188" si="173">+K108</f>
        <v>24859</v>
      </c>
      <c r="L188" s="48">
        <v>23552</v>
      </c>
      <c r="M188" s="48">
        <v>28360</v>
      </c>
      <c r="N188" s="48">
        <v>26726</v>
      </c>
      <c r="O188" s="48">
        <v>16817</v>
      </c>
      <c r="P188" s="48">
        <v>32657</v>
      </c>
      <c r="R188" s="134" t="s">
        <v>143</v>
      </c>
      <c r="S188" s="131">
        <f t="shared" ref="S188" si="174">+S108</f>
        <v>12710</v>
      </c>
      <c r="T188" s="48">
        <v>11959</v>
      </c>
      <c r="U188" s="48">
        <v>14842</v>
      </c>
      <c r="V188" s="48">
        <v>14819</v>
      </c>
      <c r="W188" s="48">
        <v>10287</v>
      </c>
      <c r="X188" s="48">
        <v>17406</v>
      </c>
      <c r="Z188" s="134" t="s">
        <v>143</v>
      </c>
      <c r="AA188" s="131">
        <f t="shared" ref="AA188" si="175">+AA108</f>
        <v>16773</v>
      </c>
      <c r="AB188" s="48">
        <v>16102</v>
      </c>
      <c r="AC188" s="48">
        <v>20290</v>
      </c>
      <c r="AD188" s="48">
        <v>18115</v>
      </c>
      <c r="AE188" s="48">
        <v>12019</v>
      </c>
      <c r="AF188" s="48">
        <v>21352</v>
      </c>
      <c r="AH188" s="134" t="s">
        <v>143</v>
      </c>
      <c r="AI188" s="131">
        <f t="shared" ref="AI188" si="176">+AI108</f>
        <v>0</v>
      </c>
      <c r="AJ188" s="48">
        <v>21218</v>
      </c>
      <c r="AK188" s="48">
        <v>22871</v>
      </c>
      <c r="AL188" s="48">
        <v>20862</v>
      </c>
      <c r="AM188" s="48">
        <v>13998</v>
      </c>
      <c r="AN188" s="48">
        <v>24037</v>
      </c>
      <c r="AP188" s="134" t="s">
        <v>143</v>
      </c>
      <c r="AQ188" s="131">
        <f t="shared" ref="AQ188" si="177">+AQ108</f>
        <v>27135</v>
      </c>
      <c r="AR188" s="48">
        <v>27149</v>
      </c>
      <c r="AS188" s="48">
        <v>28935</v>
      </c>
      <c r="AT188" s="48">
        <v>25783</v>
      </c>
      <c r="AU188" s="48">
        <v>18935</v>
      </c>
      <c r="AV188" s="48">
        <v>0</v>
      </c>
      <c r="AX188" s="134" t="s">
        <v>143</v>
      </c>
      <c r="AY188" s="131">
        <f>+AY108</f>
        <v>0</v>
      </c>
      <c r="AZ188" s="48">
        <v>12467</v>
      </c>
      <c r="BA188" s="48">
        <v>13514</v>
      </c>
      <c r="BB188" s="48">
        <v>12448</v>
      </c>
      <c r="BC188" s="48"/>
      <c r="BD188" s="48"/>
      <c r="BE188" s="48"/>
      <c r="BF188" s="134" t="s">
        <v>143</v>
      </c>
      <c r="BG188" s="131">
        <f>+BG108</f>
        <v>12604</v>
      </c>
      <c r="BH188" s="48">
        <v>13598</v>
      </c>
      <c r="BI188" s="48">
        <v>13237</v>
      </c>
      <c r="BJ188" s="48"/>
      <c r="BK188" s="48"/>
      <c r="BL188" s="48"/>
      <c r="BM188" s="48"/>
      <c r="BN188" s="134" t="s">
        <v>143</v>
      </c>
      <c r="BO188" s="131">
        <f>+BO108</f>
        <v>21816</v>
      </c>
      <c r="BP188" s="48">
        <v>20262</v>
      </c>
      <c r="BQ188" s="48">
        <v>22185</v>
      </c>
      <c r="BR188" s="48">
        <v>21642</v>
      </c>
      <c r="BS188" s="48">
        <v>12372</v>
      </c>
      <c r="BT188" s="48">
        <v>26285</v>
      </c>
      <c r="BV188" s="134" t="s">
        <v>143</v>
      </c>
      <c r="BW188" s="131">
        <f>+BW108</f>
        <v>13437</v>
      </c>
      <c r="BX188" s="48">
        <v>12786</v>
      </c>
      <c r="BY188" s="48">
        <v>14237</v>
      </c>
      <c r="BZ188" s="48">
        <v>13286</v>
      </c>
      <c r="CA188" s="48">
        <v>9279</v>
      </c>
      <c r="CB188" s="48">
        <v>15105</v>
      </c>
      <c r="CC188" s="48"/>
      <c r="CD188" s="134" t="s">
        <v>143</v>
      </c>
      <c r="CE188" s="131">
        <f>+CE108</f>
        <v>20186</v>
      </c>
      <c r="CF188" s="48">
        <v>21787</v>
      </c>
      <c r="CG188" s="48">
        <v>20900</v>
      </c>
      <c r="CH188" s="48">
        <v>21777</v>
      </c>
      <c r="CI188" s="48">
        <v>9514</v>
      </c>
      <c r="CJ188" s="48">
        <v>24395</v>
      </c>
      <c r="CL188" s="134" t="s">
        <v>143</v>
      </c>
      <c r="CM188" s="131">
        <f>+CM108</f>
        <v>21593</v>
      </c>
      <c r="CN188" s="48">
        <v>18689</v>
      </c>
      <c r="CO188" s="48">
        <v>27302</v>
      </c>
      <c r="CP188" s="48">
        <v>25568</v>
      </c>
      <c r="CQ188" s="48">
        <v>15767</v>
      </c>
      <c r="CR188" s="48">
        <v>29700</v>
      </c>
      <c r="CT188" s="134" t="s">
        <v>143</v>
      </c>
      <c r="CU188" s="131">
        <f>+CU108</f>
        <v>28852</v>
      </c>
      <c r="CV188" s="48">
        <v>25677</v>
      </c>
      <c r="CW188" s="48">
        <v>0</v>
      </c>
      <c r="CX188" s="48"/>
      <c r="CY188" s="48"/>
      <c r="CZ188" s="48"/>
      <c r="DB188" s="134" t="s">
        <v>143</v>
      </c>
      <c r="DC188" s="131">
        <f>+DC108</f>
        <v>28506</v>
      </c>
      <c r="DD188" s="48">
        <v>27166</v>
      </c>
      <c r="DE188" s="48">
        <v>0</v>
      </c>
      <c r="DF188" s="48"/>
      <c r="DG188" s="48"/>
      <c r="DH188" s="48"/>
      <c r="DI188" s="48"/>
      <c r="DJ188" s="134" t="s">
        <v>143</v>
      </c>
      <c r="DK188" s="131">
        <f>+DK108</f>
        <v>12917</v>
      </c>
      <c r="DL188" s="48">
        <v>15290</v>
      </c>
      <c r="DM188" s="48">
        <v>0</v>
      </c>
      <c r="DN188" s="48"/>
      <c r="DO188" s="48"/>
      <c r="DP188" s="48"/>
      <c r="DR188" s="134" t="s">
        <v>143</v>
      </c>
      <c r="DS188" s="131">
        <f>+DS108</f>
        <v>19144</v>
      </c>
      <c r="DT188" s="48">
        <v>18933</v>
      </c>
      <c r="DU188" s="48">
        <v>0</v>
      </c>
      <c r="DV188" s="48"/>
      <c r="DW188" s="48"/>
      <c r="DX188" s="48"/>
      <c r="DZ188" s="134" t="s">
        <v>143</v>
      </c>
      <c r="EA188" s="131">
        <f>EA108</f>
        <v>11403</v>
      </c>
      <c r="EB188" s="48"/>
      <c r="EC188" s="48">
        <v>0</v>
      </c>
      <c r="ED188" s="48"/>
      <c r="EE188" s="48"/>
      <c r="EF188" s="48"/>
    </row>
    <row r="189" spans="1:136" x14ac:dyDescent="0.2">
      <c r="A189" s="292"/>
      <c r="B189" s="134" t="s">
        <v>5</v>
      </c>
      <c r="C18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8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398605</v>
      </c>
      <c r="E18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445660</v>
      </c>
      <c r="F18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408829</v>
      </c>
      <c r="G18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233453</v>
      </c>
      <c r="H18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377440</v>
      </c>
      <c r="I189" s="48"/>
      <c r="J189" s="134" t="s">
        <v>5</v>
      </c>
      <c r="K189" s="131">
        <f t="shared" ref="K189:K194" si="178">K188+K109</f>
        <v>24859</v>
      </c>
      <c r="L189" s="48">
        <v>46175</v>
      </c>
      <c r="M189" s="48">
        <v>55316</v>
      </c>
      <c r="N189" s="48">
        <v>54719</v>
      </c>
      <c r="O189" s="48">
        <v>32604</v>
      </c>
      <c r="P189" s="48">
        <v>64829</v>
      </c>
      <c r="R189" s="134" t="s">
        <v>5</v>
      </c>
      <c r="S189" s="131">
        <f t="shared" ref="S189:S194" si="179">S188+S109</f>
        <v>12710</v>
      </c>
      <c r="T189" s="48">
        <v>24244</v>
      </c>
      <c r="U189" s="48">
        <v>28785</v>
      </c>
      <c r="V189" s="48">
        <v>29969</v>
      </c>
      <c r="W189" s="48">
        <v>20258</v>
      </c>
      <c r="X189" s="48">
        <v>34210</v>
      </c>
      <c r="Z189" s="134" t="s">
        <v>5</v>
      </c>
      <c r="AA189" s="131">
        <f t="shared" ref="AA189:AA194" si="180">AA188+AA109</f>
        <v>16773</v>
      </c>
      <c r="AB189" s="48">
        <v>33208</v>
      </c>
      <c r="AC189" s="48">
        <v>39777</v>
      </c>
      <c r="AD189" s="48">
        <v>37029</v>
      </c>
      <c r="AE189" s="48">
        <v>23026</v>
      </c>
      <c r="AF189" s="48">
        <v>42339</v>
      </c>
      <c r="AH189" s="134" t="s">
        <v>5</v>
      </c>
      <c r="AI189" s="131">
        <f t="shared" ref="AI189:AI199" si="181">AI188+AI109</f>
        <v>0</v>
      </c>
      <c r="AJ189" s="48">
        <v>41938</v>
      </c>
      <c r="AK189" s="48">
        <v>44037</v>
      </c>
      <c r="AL189" s="48">
        <v>43173</v>
      </c>
      <c r="AM189" s="48">
        <v>27283</v>
      </c>
      <c r="AN189" s="48">
        <v>47115</v>
      </c>
      <c r="AP189" s="134" t="s">
        <v>5</v>
      </c>
      <c r="AQ189" s="131">
        <f t="shared" ref="AQ189:AQ199" si="182">AQ188+AQ109</f>
        <v>27135</v>
      </c>
      <c r="AR189" s="48">
        <v>53741</v>
      </c>
      <c r="AS189" s="48">
        <v>57356</v>
      </c>
      <c r="AT189" s="48">
        <v>53868</v>
      </c>
      <c r="AU189" s="48">
        <v>35974</v>
      </c>
      <c r="AV189" s="48">
        <v>0</v>
      </c>
      <c r="AX189" s="134" t="s">
        <v>5</v>
      </c>
      <c r="AY189" s="131">
        <f>AY188+AY109</f>
        <v>0</v>
      </c>
      <c r="AZ189" s="48">
        <v>24729</v>
      </c>
      <c r="BA189" s="48">
        <v>26372</v>
      </c>
      <c r="BB189" s="48">
        <v>24864</v>
      </c>
      <c r="BC189" s="48"/>
      <c r="BD189" s="48"/>
      <c r="BE189" s="48"/>
      <c r="BF189" s="134" t="s">
        <v>5</v>
      </c>
      <c r="BG189" s="131">
        <f t="shared" ref="BG189:BG199" si="183">BG188+BG109</f>
        <v>12604</v>
      </c>
      <c r="BH189" s="48">
        <v>26936</v>
      </c>
      <c r="BI189" s="48">
        <v>26664</v>
      </c>
      <c r="BJ189" s="48"/>
      <c r="BK189" s="48"/>
      <c r="BL189" s="48"/>
      <c r="BM189" s="48"/>
      <c r="BN189" s="134" t="s">
        <v>5</v>
      </c>
      <c r="BO189" s="131">
        <f t="shared" ref="BO189:BO199" si="184">BO188+BO109</f>
        <v>21816</v>
      </c>
      <c r="BP189" s="48">
        <v>40131</v>
      </c>
      <c r="BQ189" s="48">
        <v>42536</v>
      </c>
      <c r="BR189" s="48">
        <v>41931</v>
      </c>
      <c r="BS189" s="48">
        <v>24475</v>
      </c>
      <c r="BT189" s="48">
        <v>49293</v>
      </c>
      <c r="BV189" s="134" t="s">
        <v>5</v>
      </c>
      <c r="BW189" s="131">
        <f t="shared" ref="BW189:BW199" si="185">BW188+BW109</f>
        <v>13437</v>
      </c>
      <c r="BX189" s="48">
        <v>25741</v>
      </c>
      <c r="BY189" s="48">
        <v>28630</v>
      </c>
      <c r="BZ189" s="48">
        <v>27879</v>
      </c>
      <c r="CA189" s="48">
        <v>18247</v>
      </c>
      <c r="CB189" s="48">
        <v>30465</v>
      </c>
      <c r="CC189" s="48"/>
      <c r="CD189" s="134" t="s">
        <v>5</v>
      </c>
      <c r="CE189" s="131">
        <f t="shared" ref="CE189:CE199" si="186">CE188+CE109</f>
        <v>20186</v>
      </c>
      <c r="CF189" s="48">
        <v>43624</v>
      </c>
      <c r="CG189" s="48">
        <v>42343</v>
      </c>
      <c r="CH189" s="48">
        <v>43860</v>
      </c>
      <c r="CI189" s="48">
        <v>21245</v>
      </c>
      <c r="CJ189" s="48">
        <v>50247</v>
      </c>
      <c r="CL189" s="134" t="s">
        <v>5</v>
      </c>
      <c r="CM189" s="131">
        <f t="shared" ref="CM189:CM199" si="187">CM188+CM109</f>
        <v>21593</v>
      </c>
      <c r="CN189" s="48">
        <v>38138</v>
      </c>
      <c r="CO189" s="48">
        <v>53844</v>
      </c>
      <c r="CP189" s="48">
        <v>51537</v>
      </c>
      <c r="CQ189" s="48">
        <v>30341</v>
      </c>
      <c r="CR189" s="48">
        <v>58942</v>
      </c>
      <c r="CT189" s="134" t="s">
        <v>5</v>
      </c>
      <c r="CU189" s="131">
        <f t="shared" ref="CU189:CU199" si="188">CU188+CU109</f>
        <v>28852</v>
      </c>
      <c r="CV189" s="48">
        <v>50791</v>
      </c>
      <c r="CW189" s="48">
        <v>0</v>
      </c>
      <c r="CX189" s="48"/>
      <c r="CY189" s="48"/>
      <c r="CZ189" s="48"/>
      <c r="DB189" s="134" t="s">
        <v>5</v>
      </c>
      <c r="DC189" s="131">
        <f>DC188+DC109</f>
        <v>28506</v>
      </c>
      <c r="DD189" s="48">
        <v>52660</v>
      </c>
      <c r="DE189" s="48">
        <v>0</v>
      </c>
      <c r="DF189" s="48"/>
      <c r="DG189" s="48"/>
      <c r="DH189" s="48"/>
      <c r="DI189" s="48"/>
      <c r="DJ189" s="134" t="s">
        <v>5</v>
      </c>
      <c r="DK189" s="131">
        <f t="shared" ref="DK189:DK199" si="189">DK188+DK109</f>
        <v>12917</v>
      </c>
      <c r="DL189" s="48">
        <v>30146</v>
      </c>
      <c r="DM189" s="48">
        <v>0</v>
      </c>
      <c r="DN189" s="48"/>
      <c r="DO189" s="48"/>
      <c r="DP189" s="48"/>
      <c r="DR189" s="134" t="s">
        <v>5</v>
      </c>
      <c r="DS189" s="131">
        <f t="shared" ref="DS189:DS199" si="190">DS188+DS109</f>
        <v>19144</v>
      </c>
      <c r="DT189" s="48">
        <v>37388</v>
      </c>
      <c r="DU189" s="48">
        <v>0</v>
      </c>
      <c r="DV189" s="48"/>
      <c r="DW189" s="48"/>
      <c r="DX189" s="48"/>
      <c r="DZ189" s="134" t="s">
        <v>5</v>
      </c>
      <c r="EA189" s="131">
        <f t="shared" ref="EA189:EA195" si="191">+EA188+EA109</f>
        <v>11403</v>
      </c>
      <c r="EB189" s="48"/>
      <c r="EC189" s="48">
        <v>0</v>
      </c>
      <c r="ED189" s="48"/>
      <c r="EE189" s="48"/>
      <c r="EF189" s="48"/>
    </row>
    <row r="190" spans="1:136" x14ac:dyDescent="0.2">
      <c r="A190" s="292"/>
      <c r="B190" s="134" t="s">
        <v>7</v>
      </c>
      <c r="C190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0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617730</v>
      </c>
      <c r="E190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667473</v>
      </c>
      <c r="F190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622708</v>
      </c>
      <c r="G190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357354</v>
      </c>
      <c r="H190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457899</v>
      </c>
      <c r="I190" s="48"/>
      <c r="J190" s="134" t="s">
        <v>7</v>
      </c>
      <c r="K190" s="131">
        <f t="shared" si="178"/>
        <v>24859</v>
      </c>
      <c r="L190" s="48">
        <v>71491</v>
      </c>
      <c r="M190" s="48">
        <v>82429</v>
      </c>
      <c r="N190" s="48">
        <v>83766</v>
      </c>
      <c r="O190" s="48">
        <v>50397</v>
      </c>
      <c r="P190" s="48">
        <v>79872</v>
      </c>
      <c r="R190" s="134" t="s">
        <v>7</v>
      </c>
      <c r="S190" s="131">
        <f t="shared" si="179"/>
        <v>12710</v>
      </c>
      <c r="T190" s="48">
        <v>37617</v>
      </c>
      <c r="U190" s="48">
        <v>42952</v>
      </c>
      <c r="V190" s="48">
        <v>45290</v>
      </c>
      <c r="W190" s="48">
        <v>30660</v>
      </c>
      <c r="X190" s="48">
        <v>42338</v>
      </c>
      <c r="Z190" s="134" t="s">
        <v>7</v>
      </c>
      <c r="AA190" s="131">
        <f t="shared" si="180"/>
        <v>16773</v>
      </c>
      <c r="AB190" s="48">
        <v>52897</v>
      </c>
      <c r="AC190" s="48">
        <v>60328</v>
      </c>
      <c r="AD190" s="48">
        <v>58101</v>
      </c>
      <c r="AE190" s="48">
        <v>35039</v>
      </c>
      <c r="AF190" s="48">
        <v>52890</v>
      </c>
      <c r="AH190" s="134" t="s">
        <v>7</v>
      </c>
      <c r="AI190" s="131">
        <f t="shared" si="181"/>
        <v>0</v>
      </c>
      <c r="AJ190" s="48">
        <v>64382</v>
      </c>
      <c r="AK190" s="48">
        <v>66364</v>
      </c>
      <c r="AL190" s="48">
        <v>64962</v>
      </c>
      <c r="AM190" s="48">
        <v>41423</v>
      </c>
      <c r="AN190" s="48">
        <v>50060</v>
      </c>
      <c r="AP190" s="134" t="s">
        <v>7</v>
      </c>
      <c r="AQ190" s="131">
        <f t="shared" si="182"/>
        <v>27135</v>
      </c>
      <c r="AR190" s="48">
        <v>82161</v>
      </c>
      <c r="AS190" s="48">
        <v>85453</v>
      </c>
      <c r="AT190" s="48">
        <v>81334</v>
      </c>
      <c r="AU190" s="48">
        <v>53554</v>
      </c>
      <c r="AV190" s="48">
        <v>0</v>
      </c>
      <c r="AX190" s="134" t="s">
        <v>7</v>
      </c>
      <c r="AY190" s="131">
        <f>AY189+AY110</f>
        <v>0</v>
      </c>
      <c r="AZ190" s="48">
        <v>38297</v>
      </c>
      <c r="BA190" s="48">
        <v>39943</v>
      </c>
      <c r="BB190" s="48">
        <v>37718</v>
      </c>
      <c r="BC190" s="48"/>
      <c r="BD190" s="48"/>
      <c r="BE190" s="48"/>
      <c r="BF190" s="134" t="s">
        <v>7</v>
      </c>
      <c r="BG190" s="131">
        <f t="shared" si="183"/>
        <v>12604</v>
      </c>
      <c r="BH190" s="48">
        <v>41074</v>
      </c>
      <c r="BI190" s="48">
        <v>39066</v>
      </c>
      <c r="BJ190" s="48"/>
      <c r="BK190" s="48"/>
      <c r="BL190" s="48"/>
      <c r="BM190" s="48"/>
      <c r="BN190" s="134" t="s">
        <v>7</v>
      </c>
      <c r="BO190" s="131">
        <f t="shared" si="184"/>
        <v>21816</v>
      </c>
      <c r="BP190" s="48">
        <v>61714</v>
      </c>
      <c r="BQ190" s="48">
        <v>64131</v>
      </c>
      <c r="BR190" s="48">
        <v>64304</v>
      </c>
      <c r="BS190" s="48">
        <v>37193</v>
      </c>
      <c r="BT190" s="48">
        <v>61239</v>
      </c>
      <c r="BV190" s="134" t="s">
        <v>7</v>
      </c>
      <c r="BW190" s="131">
        <f t="shared" si="185"/>
        <v>13437</v>
      </c>
      <c r="BX190" s="48">
        <v>40625</v>
      </c>
      <c r="BY190" s="48">
        <v>42886</v>
      </c>
      <c r="BZ190" s="48">
        <v>42458</v>
      </c>
      <c r="CA190" s="48">
        <v>27778</v>
      </c>
      <c r="CB190" s="48">
        <v>37105</v>
      </c>
      <c r="CC190" s="48"/>
      <c r="CD190" s="134" t="s">
        <v>7</v>
      </c>
      <c r="CE190" s="131">
        <f t="shared" si="186"/>
        <v>20186</v>
      </c>
      <c r="CF190" s="48">
        <v>66797</v>
      </c>
      <c r="CG190" s="48">
        <v>63535</v>
      </c>
      <c r="CH190" s="48">
        <v>66870</v>
      </c>
      <c r="CI190" s="48">
        <v>34433</v>
      </c>
      <c r="CJ190" s="48">
        <v>61633</v>
      </c>
      <c r="CL190" s="134" t="s">
        <v>7</v>
      </c>
      <c r="CM190" s="131">
        <f t="shared" si="187"/>
        <v>21593</v>
      </c>
      <c r="CN190" s="48">
        <v>60675</v>
      </c>
      <c r="CO190" s="48">
        <v>80386</v>
      </c>
      <c r="CP190" s="48">
        <v>77905</v>
      </c>
      <c r="CQ190" s="48">
        <v>46877</v>
      </c>
      <c r="CR190" s="48">
        <v>72762</v>
      </c>
      <c r="CT190" s="134" t="s">
        <v>7</v>
      </c>
      <c r="CU190" s="131">
        <f t="shared" si="188"/>
        <v>28852</v>
      </c>
      <c r="CV190" s="48">
        <v>78578</v>
      </c>
      <c r="CW190" s="48">
        <v>0</v>
      </c>
      <c r="CX190" s="48"/>
      <c r="CY190" s="48"/>
      <c r="CZ190" s="48"/>
      <c r="DB190" s="134" t="s">
        <v>7</v>
      </c>
      <c r="DC190" s="131">
        <f>DC189+DC110</f>
        <v>28506</v>
      </c>
      <c r="DD190" s="48">
        <v>82050</v>
      </c>
      <c r="DE190" s="48">
        <v>0</v>
      </c>
      <c r="DF190" s="48"/>
      <c r="DG190" s="48"/>
      <c r="DH190" s="48"/>
      <c r="DI190" s="48"/>
      <c r="DJ190" s="134" t="s">
        <v>7</v>
      </c>
      <c r="DK190" s="131">
        <f t="shared" si="189"/>
        <v>12917</v>
      </c>
      <c r="DL190" s="48">
        <v>44759</v>
      </c>
      <c r="DM190" s="48">
        <v>0</v>
      </c>
      <c r="DN190" s="48"/>
      <c r="DO190" s="48"/>
      <c r="DP190" s="48"/>
      <c r="DR190" s="134" t="s">
        <v>7</v>
      </c>
      <c r="DS190" s="131">
        <f t="shared" si="190"/>
        <v>19144</v>
      </c>
      <c r="DT190" s="48">
        <v>57322</v>
      </c>
      <c r="DU190" s="48">
        <v>0</v>
      </c>
      <c r="DV190" s="48"/>
      <c r="DW190" s="48"/>
      <c r="DX190" s="48"/>
      <c r="DZ190" s="134" t="s">
        <v>7</v>
      </c>
      <c r="EA190" s="131">
        <f t="shared" si="191"/>
        <v>11403</v>
      </c>
      <c r="EB190" s="48"/>
      <c r="EC190" s="48">
        <v>0</v>
      </c>
      <c r="ED190" s="48"/>
      <c r="EE190" s="48"/>
      <c r="EF190" s="48"/>
    </row>
    <row r="191" spans="1:136" x14ac:dyDescent="0.2">
      <c r="A191" s="292"/>
      <c r="B191" s="134" t="s">
        <v>9</v>
      </c>
      <c r="C191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1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844074</v>
      </c>
      <c r="E191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904208</v>
      </c>
      <c r="F191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840497</v>
      </c>
      <c r="G191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482669</v>
      </c>
      <c r="H191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457900.00003001001</v>
      </c>
      <c r="I191" s="48"/>
      <c r="J191" s="134" t="s">
        <v>9</v>
      </c>
      <c r="K191" s="131">
        <f t="shared" si="178"/>
        <v>24859</v>
      </c>
      <c r="L191" s="48">
        <v>96620</v>
      </c>
      <c r="M191" s="48">
        <v>110801</v>
      </c>
      <c r="N191" s="48">
        <v>111849</v>
      </c>
      <c r="O191" s="48">
        <v>68684</v>
      </c>
      <c r="P191" s="48">
        <v>79872.000030009993</v>
      </c>
      <c r="R191" s="134" t="s">
        <v>9</v>
      </c>
      <c r="S191" s="131">
        <f t="shared" si="179"/>
        <v>12710</v>
      </c>
      <c r="T191" s="48">
        <v>51564</v>
      </c>
      <c r="U191" s="48">
        <v>57398</v>
      </c>
      <c r="V191" s="48">
        <v>60539</v>
      </c>
      <c r="W191" s="48">
        <v>41355</v>
      </c>
      <c r="X191" s="48">
        <v>42338</v>
      </c>
      <c r="Z191" s="134" t="s">
        <v>9</v>
      </c>
      <c r="AA191" s="131">
        <f t="shared" si="180"/>
        <v>16773</v>
      </c>
      <c r="AB191" s="48">
        <v>72373</v>
      </c>
      <c r="AC191" s="48">
        <v>79775</v>
      </c>
      <c r="AD191" s="48">
        <v>77095</v>
      </c>
      <c r="AE191" s="48">
        <v>47792</v>
      </c>
      <c r="AF191" s="48">
        <v>52890</v>
      </c>
      <c r="AH191" s="134" t="s">
        <v>9</v>
      </c>
      <c r="AI191" s="131">
        <f t="shared" si="181"/>
        <v>0</v>
      </c>
      <c r="AJ191" s="48">
        <v>87938</v>
      </c>
      <c r="AK191" s="48">
        <v>90051</v>
      </c>
      <c r="AL191" s="48">
        <v>87146</v>
      </c>
      <c r="AM191" s="48">
        <v>56487</v>
      </c>
      <c r="AN191" s="48">
        <v>50060</v>
      </c>
      <c r="AP191" s="134" t="s">
        <v>9</v>
      </c>
      <c r="AQ191" s="131">
        <f t="shared" si="182"/>
        <v>27135</v>
      </c>
      <c r="AR191" s="48">
        <v>111895</v>
      </c>
      <c r="AS191" s="48">
        <v>116359</v>
      </c>
      <c r="AT191" s="48">
        <v>109950</v>
      </c>
      <c r="AU191" s="48">
        <v>70008</v>
      </c>
      <c r="AV191" s="48">
        <v>0</v>
      </c>
      <c r="AX191" s="134" t="s">
        <v>9</v>
      </c>
      <c r="AY191" s="131">
        <f>AY190+AY111</f>
        <v>0</v>
      </c>
      <c r="AZ191" s="48">
        <v>52326</v>
      </c>
      <c r="BA191" s="48">
        <v>54655</v>
      </c>
      <c r="BB191" s="48">
        <v>51404</v>
      </c>
      <c r="BC191" s="48"/>
      <c r="BD191" s="48"/>
      <c r="BE191" s="48"/>
      <c r="BF191" s="134" t="s">
        <v>9</v>
      </c>
      <c r="BG191" s="131">
        <f t="shared" si="183"/>
        <v>12604</v>
      </c>
      <c r="BH191" s="48">
        <v>56529</v>
      </c>
      <c r="BI191" s="48">
        <v>54861</v>
      </c>
      <c r="BJ191" s="48"/>
      <c r="BK191" s="48"/>
      <c r="BL191" s="48"/>
      <c r="BM191" s="48"/>
      <c r="BN191" s="134" t="s">
        <v>9</v>
      </c>
      <c r="BO191" s="131">
        <f t="shared" si="184"/>
        <v>21816</v>
      </c>
      <c r="BP191" s="48">
        <v>83075</v>
      </c>
      <c r="BQ191" s="48">
        <v>84868</v>
      </c>
      <c r="BR191" s="48">
        <v>86500</v>
      </c>
      <c r="BS191" s="48">
        <v>50123</v>
      </c>
      <c r="BT191" s="48">
        <v>61239</v>
      </c>
      <c r="BV191" s="134" t="s">
        <v>9</v>
      </c>
      <c r="BW191" s="131">
        <f t="shared" si="185"/>
        <v>13437</v>
      </c>
      <c r="BX191" s="48">
        <v>56764</v>
      </c>
      <c r="BY191" s="48">
        <v>58790</v>
      </c>
      <c r="BZ191" s="48">
        <v>59012</v>
      </c>
      <c r="CA191" s="48">
        <v>37346</v>
      </c>
      <c r="CB191" s="48">
        <v>37105</v>
      </c>
      <c r="CC191" s="48"/>
      <c r="CD191" s="134" t="s">
        <v>9</v>
      </c>
      <c r="CE191" s="131">
        <f t="shared" si="186"/>
        <v>20186</v>
      </c>
      <c r="CF191" s="48">
        <v>92064</v>
      </c>
      <c r="CG191" s="48">
        <v>87405</v>
      </c>
      <c r="CH191" s="48">
        <v>90714</v>
      </c>
      <c r="CI191" s="48">
        <v>47725</v>
      </c>
      <c r="CJ191" s="48">
        <v>61634</v>
      </c>
      <c r="CL191" s="134" t="s">
        <v>9</v>
      </c>
      <c r="CM191" s="131">
        <f t="shared" si="187"/>
        <v>21593</v>
      </c>
      <c r="CN191" s="48">
        <v>82926</v>
      </c>
      <c r="CO191" s="48">
        <v>109245</v>
      </c>
      <c r="CP191" s="48">
        <v>106288</v>
      </c>
      <c r="CQ191" s="48">
        <v>63149</v>
      </c>
      <c r="CR191" s="48">
        <v>72762</v>
      </c>
      <c r="CT191" s="134" t="s">
        <v>9</v>
      </c>
      <c r="CU191" s="131">
        <f t="shared" si="188"/>
        <v>28852</v>
      </c>
      <c r="CV191" s="48">
        <v>106003</v>
      </c>
      <c r="CW191" s="48">
        <v>0</v>
      </c>
      <c r="CX191" s="48"/>
      <c r="CY191" s="48"/>
      <c r="CZ191" s="48"/>
      <c r="DB191" s="134" t="s">
        <v>9</v>
      </c>
      <c r="DC191" s="131">
        <f>DC190+DC111</f>
        <v>28506</v>
      </c>
      <c r="DD191" s="48">
        <v>110570</v>
      </c>
      <c r="DE191" s="48">
        <v>0</v>
      </c>
      <c r="DF191" s="48"/>
      <c r="DG191" s="48"/>
      <c r="DH191" s="48"/>
      <c r="DI191" s="48"/>
      <c r="DJ191" s="134" t="s">
        <v>9</v>
      </c>
      <c r="DK191" s="131">
        <f t="shared" si="189"/>
        <v>12917</v>
      </c>
      <c r="DL191" s="48">
        <v>59727</v>
      </c>
      <c r="DM191" s="48">
        <v>0</v>
      </c>
      <c r="DN191" s="48"/>
      <c r="DO191" s="48"/>
      <c r="DP191" s="48"/>
      <c r="DR191" s="134" t="s">
        <v>9</v>
      </c>
      <c r="DS191" s="131">
        <f t="shared" si="190"/>
        <v>19144</v>
      </c>
      <c r="DT191" s="48">
        <v>77195</v>
      </c>
      <c r="DU191" s="48">
        <v>0</v>
      </c>
      <c r="DV191" s="48"/>
      <c r="DW191" s="48"/>
      <c r="DX191" s="48"/>
      <c r="DZ191" s="134" t="s">
        <v>9</v>
      </c>
      <c r="EA191" s="131">
        <f t="shared" si="191"/>
        <v>11403</v>
      </c>
      <c r="EB191" s="48"/>
      <c r="EC191" s="48">
        <v>0</v>
      </c>
      <c r="ED191" s="48"/>
      <c r="EE191" s="48"/>
      <c r="EF191" s="48"/>
    </row>
    <row r="192" spans="1:136" x14ac:dyDescent="0.2">
      <c r="A192" s="292"/>
      <c r="B192" s="134" t="s">
        <v>11</v>
      </c>
      <c r="C192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2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1075547</v>
      </c>
      <c r="E192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1151619</v>
      </c>
      <c r="F192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1074975</v>
      </c>
      <c r="G192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651382</v>
      </c>
      <c r="H192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526665.00004010997</v>
      </c>
      <c r="I192" s="48"/>
      <c r="J192" s="134" t="s">
        <v>11</v>
      </c>
      <c r="K192" s="131">
        <f t="shared" si="178"/>
        <v>24859</v>
      </c>
      <c r="L192" s="48">
        <v>122856</v>
      </c>
      <c r="M192" s="48">
        <v>139624</v>
      </c>
      <c r="N192" s="48">
        <v>141672</v>
      </c>
      <c r="O192" s="48">
        <v>91900</v>
      </c>
      <c r="P192" s="48">
        <v>92167.000040109997</v>
      </c>
      <c r="R192" s="134" t="s">
        <v>11</v>
      </c>
      <c r="S192" s="131">
        <f t="shared" si="179"/>
        <v>12710</v>
      </c>
      <c r="T192" s="48">
        <v>65619</v>
      </c>
      <c r="U192" s="48">
        <v>72248</v>
      </c>
      <c r="V192" s="48">
        <v>76213</v>
      </c>
      <c r="W192" s="48">
        <v>54704</v>
      </c>
      <c r="X192" s="48">
        <v>46306</v>
      </c>
      <c r="Z192" s="134" t="s">
        <v>11</v>
      </c>
      <c r="AA192" s="131">
        <f t="shared" si="180"/>
        <v>16773</v>
      </c>
      <c r="AB192" s="48">
        <v>88145</v>
      </c>
      <c r="AC192" s="48">
        <v>98897</v>
      </c>
      <c r="AD192" s="48">
        <v>98530</v>
      </c>
      <c r="AE192" s="48">
        <v>63570</v>
      </c>
      <c r="AF192" s="48">
        <v>59672</v>
      </c>
      <c r="AH192" s="134" t="s">
        <v>11</v>
      </c>
      <c r="AI192" s="131">
        <f t="shared" si="181"/>
        <v>0</v>
      </c>
      <c r="AJ192" s="48">
        <v>111047</v>
      </c>
      <c r="AK192" s="48">
        <v>114527</v>
      </c>
      <c r="AL192" s="48">
        <v>111007</v>
      </c>
      <c r="AM192" s="48">
        <v>75640</v>
      </c>
      <c r="AN192" s="48">
        <v>60960</v>
      </c>
      <c r="AP192" s="134" t="s">
        <v>11</v>
      </c>
      <c r="AQ192" s="131">
        <f t="shared" si="182"/>
        <v>27135</v>
      </c>
      <c r="AR192" s="48">
        <v>141517</v>
      </c>
      <c r="AS192" s="48">
        <v>147657</v>
      </c>
      <c r="AT192" s="48">
        <v>140329</v>
      </c>
      <c r="AU192" s="48">
        <v>94024</v>
      </c>
      <c r="AV192" s="48">
        <v>0</v>
      </c>
      <c r="AX192" s="134" t="s">
        <v>11</v>
      </c>
      <c r="AY192" s="131">
        <f>AY191+AY112</f>
        <v>0</v>
      </c>
      <c r="AZ192" s="48">
        <v>67261</v>
      </c>
      <c r="BA192" s="48">
        <v>69853</v>
      </c>
      <c r="BB192" s="48">
        <v>65894</v>
      </c>
      <c r="BC192" s="48"/>
      <c r="BD192" s="48"/>
      <c r="BE192" s="48"/>
      <c r="BF192" s="134" t="s">
        <v>11</v>
      </c>
      <c r="BG192" s="131">
        <f t="shared" si="183"/>
        <v>12604</v>
      </c>
      <c r="BH192" s="48">
        <v>72805</v>
      </c>
      <c r="BI192" s="48">
        <v>71215</v>
      </c>
      <c r="BJ192" s="48"/>
      <c r="BK192" s="48"/>
      <c r="BL192" s="48"/>
      <c r="BM192" s="48"/>
      <c r="BN192" s="134" t="s">
        <v>11</v>
      </c>
      <c r="BO192" s="131">
        <f t="shared" si="184"/>
        <v>21816</v>
      </c>
      <c r="BP192" s="48">
        <v>105846</v>
      </c>
      <c r="BQ192" s="48">
        <v>107166</v>
      </c>
      <c r="BR192" s="48">
        <v>110842</v>
      </c>
      <c r="BS192" s="48">
        <v>67292</v>
      </c>
      <c r="BT192" s="48">
        <v>68312</v>
      </c>
      <c r="BV192" s="134" t="s">
        <v>11</v>
      </c>
      <c r="BW192" s="131">
        <f t="shared" si="185"/>
        <v>13437</v>
      </c>
      <c r="BX192" s="48">
        <v>74002</v>
      </c>
      <c r="BY192" s="48">
        <v>76551</v>
      </c>
      <c r="BZ192" s="48">
        <v>76680</v>
      </c>
      <c r="CA192" s="48">
        <v>51280</v>
      </c>
      <c r="CB192" s="48">
        <v>41485</v>
      </c>
      <c r="CC192" s="48"/>
      <c r="CD192" s="134" t="s">
        <v>11</v>
      </c>
      <c r="CE192" s="131">
        <f t="shared" si="186"/>
        <v>20186</v>
      </c>
      <c r="CF192" s="48">
        <v>120115</v>
      </c>
      <c r="CG192" s="48">
        <v>114841</v>
      </c>
      <c r="CH192" s="48">
        <v>118017</v>
      </c>
      <c r="CI192" s="48">
        <v>68027</v>
      </c>
      <c r="CJ192" s="48">
        <v>73786</v>
      </c>
      <c r="CL192" s="134" t="s">
        <v>11</v>
      </c>
      <c r="CM192" s="131">
        <f t="shared" si="187"/>
        <v>21593</v>
      </c>
      <c r="CN192" s="48">
        <v>106334</v>
      </c>
      <c r="CO192" s="48">
        <v>139040</v>
      </c>
      <c r="CP192" s="48">
        <v>135791</v>
      </c>
      <c r="CQ192" s="48">
        <v>84945</v>
      </c>
      <c r="CR192" s="48">
        <v>83977</v>
      </c>
      <c r="CT192" s="134" t="s">
        <v>11</v>
      </c>
      <c r="CU192" s="131">
        <f t="shared" si="188"/>
        <v>28852</v>
      </c>
      <c r="CV192" s="48">
        <v>134393</v>
      </c>
      <c r="CW192" s="48">
        <v>0</v>
      </c>
      <c r="CX192" s="48"/>
      <c r="CY192" s="48"/>
      <c r="CZ192" s="48"/>
      <c r="DB192" s="134" t="s">
        <v>11</v>
      </c>
      <c r="DC192" s="131">
        <f>DC191+DC112</f>
        <v>28506</v>
      </c>
      <c r="DD192" s="48">
        <v>140018</v>
      </c>
      <c r="DE192" s="48">
        <v>0</v>
      </c>
      <c r="DF192" s="48"/>
      <c r="DG192" s="48"/>
      <c r="DH192" s="48"/>
      <c r="DI192" s="48"/>
      <c r="DJ192" s="134" t="s">
        <v>11</v>
      </c>
      <c r="DK192" s="131">
        <f t="shared" si="189"/>
        <v>12917</v>
      </c>
      <c r="DL192" s="48">
        <v>75018</v>
      </c>
      <c r="DM192" s="48">
        <v>0</v>
      </c>
      <c r="DN192" s="48"/>
      <c r="DO192" s="48"/>
      <c r="DP192" s="48"/>
      <c r="DR192" s="134" t="s">
        <v>11</v>
      </c>
      <c r="DS192" s="131">
        <f t="shared" si="190"/>
        <v>19144</v>
      </c>
      <c r="DT192" s="48">
        <v>97560</v>
      </c>
      <c r="DU192" s="48">
        <v>0</v>
      </c>
      <c r="DV192" s="48"/>
      <c r="DW192" s="48"/>
      <c r="DX192" s="48"/>
      <c r="DZ192" s="134" t="s">
        <v>11</v>
      </c>
      <c r="EA192" s="131">
        <f t="shared" si="191"/>
        <v>11403</v>
      </c>
      <c r="EB192" s="48"/>
      <c r="EC192" s="48">
        <v>0</v>
      </c>
      <c r="ED192" s="48"/>
      <c r="EE192" s="48"/>
      <c r="EF192" s="48"/>
    </row>
    <row r="193" spans="1:136" x14ac:dyDescent="0.2">
      <c r="A193" s="292"/>
      <c r="B193" s="134" t="s">
        <v>0</v>
      </c>
      <c r="C193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3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1302277</v>
      </c>
      <c r="E193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1387272</v>
      </c>
      <c r="F193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1304710</v>
      </c>
      <c r="G193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842200</v>
      </c>
      <c r="H193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680114.00004010997</v>
      </c>
      <c r="I193" s="48"/>
      <c r="J193" s="134" t="s">
        <v>0</v>
      </c>
      <c r="K193" s="131">
        <f t="shared" si="178"/>
        <v>24859</v>
      </c>
      <c r="L193" s="48">
        <v>147485</v>
      </c>
      <c r="M193" s="48">
        <v>168024</v>
      </c>
      <c r="N193" s="48">
        <v>170419</v>
      </c>
      <c r="O193" s="48">
        <v>120899</v>
      </c>
      <c r="P193" s="48">
        <v>116322.00004011</v>
      </c>
      <c r="R193" s="134" t="s">
        <v>0</v>
      </c>
      <c r="S193" s="131">
        <f t="shared" si="179"/>
        <v>12710</v>
      </c>
      <c r="T193" s="48">
        <v>79734</v>
      </c>
      <c r="U193" s="48">
        <v>86919</v>
      </c>
      <c r="V193" s="48">
        <v>91491</v>
      </c>
      <c r="W193" s="48">
        <v>71474</v>
      </c>
      <c r="X193" s="48">
        <v>59047</v>
      </c>
      <c r="Z193" s="134" t="s">
        <v>0</v>
      </c>
      <c r="AA193" s="131">
        <f t="shared" si="180"/>
        <v>16773</v>
      </c>
      <c r="AB193" s="48">
        <v>105125</v>
      </c>
      <c r="AC193" s="48">
        <v>117731</v>
      </c>
      <c r="AD193" s="48">
        <v>117758</v>
      </c>
      <c r="AE193" s="48">
        <v>81379</v>
      </c>
      <c r="AF193" s="48">
        <v>73879</v>
      </c>
      <c r="AH193" s="134" t="s">
        <v>0</v>
      </c>
      <c r="AI193" s="131">
        <f t="shared" si="181"/>
        <v>0</v>
      </c>
      <c r="AJ193" s="48">
        <v>134895</v>
      </c>
      <c r="AK193" s="48">
        <v>138249</v>
      </c>
      <c r="AL193" s="48">
        <v>134547</v>
      </c>
      <c r="AM193" s="48">
        <v>99391</v>
      </c>
      <c r="AN193" s="48">
        <v>82094</v>
      </c>
      <c r="AP193" s="134" t="s">
        <v>0</v>
      </c>
      <c r="AQ193" s="131">
        <f t="shared" si="182"/>
        <v>27135</v>
      </c>
      <c r="AR193" s="48">
        <v>170411</v>
      </c>
      <c r="AS193" s="48">
        <v>177696</v>
      </c>
      <c r="AT193" s="48">
        <v>172028</v>
      </c>
      <c r="AU193" s="48">
        <v>107179</v>
      </c>
      <c r="AV193" s="48">
        <v>0</v>
      </c>
      <c r="AX193" s="134" t="s">
        <v>0</v>
      </c>
      <c r="AY193" s="131">
        <f>AY192+AY113</f>
        <v>0</v>
      </c>
      <c r="AZ193" s="48">
        <v>82236</v>
      </c>
      <c r="BA193" s="48">
        <v>84581</v>
      </c>
      <c r="BB193" s="48">
        <v>80778</v>
      </c>
      <c r="BC193" s="48"/>
      <c r="BD193" s="48"/>
      <c r="BE193" s="48"/>
      <c r="BF193" s="134" t="s">
        <v>0</v>
      </c>
      <c r="BG193" s="131">
        <f t="shared" si="183"/>
        <v>12604</v>
      </c>
      <c r="BH193" s="48">
        <v>88402</v>
      </c>
      <c r="BI193" s="48">
        <v>86780</v>
      </c>
      <c r="BJ193" s="48"/>
      <c r="BK193" s="48"/>
      <c r="BL193" s="48"/>
      <c r="BM193" s="48"/>
      <c r="BN193" s="134" t="s">
        <v>0</v>
      </c>
      <c r="BO193" s="131">
        <f t="shared" si="184"/>
        <v>21816</v>
      </c>
      <c r="BP193" s="48">
        <v>127482</v>
      </c>
      <c r="BQ193" s="48">
        <v>127560</v>
      </c>
      <c r="BR193" s="48">
        <v>133457</v>
      </c>
      <c r="BS193" s="48">
        <v>88418</v>
      </c>
      <c r="BT193" s="48">
        <v>85477</v>
      </c>
      <c r="BV193" s="134" t="s">
        <v>0</v>
      </c>
      <c r="BW193" s="131">
        <f t="shared" si="185"/>
        <v>13437</v>
      </c>
      <c r="BX193" s="48">
        <v>90191</v>
      </c>
      <c r="BY193" s="48">
        <v>92422</v>
      </c>
      <c r="BZ193" s="48">
        <v>94262</v>
      </c>
      <c r="CA193" s="48">
        <v>67771</v>
      </c>
      <c r="CB193" s="48">
        <v>56315</v>
      </c>
      <c r="CC193" s="48"/>
      <c r="CD193" s="134" t="s">
        <v>0</v>
      </c>
      <c r="CE193" s="131">
        <f t="shared" si="186"/>
        <v>20186</v>
      </c>
      <c r="CF193" s="48">
        <v>147299</v>
      </c>
      <c r="CG193" s="48">
        <v>140499</v>
      </c>
      <c r="CH193" s="48">
        <v>144441</v>
      </c>
      <c r="CI193" s="48">
        <v>94225</v>
      </c>
      <c r="CJ193" s="48">
        <v>99947</v>
      </c>
      <c r="CL193" s="134" t="s">
        <v>0</v>
      </c>
      <c r="CM193" s="131">
        <f t="shared" si="187"/>
        <v>21593</v>
      </c>
      <c r="CN193" s="48">
        <v>129017</v>
      </c>
      <c r="CO193" s="48">
        <v>166811</v>
      </c>
      <c r="CP193" s="48">
        <v>165529</v>
      </c>
      <c r="CQ193" s="48">
        <v>111464</v>
      </c>
      <c r="CR193" s="48">
        <v>107033</v>
      </c>
      <c r="CT193" s="134" t="s">
        <v>0</v>
      </c>
      <c r="CU193" s="131">
        <f t="shared" si="188"/>
        <v>28852</v>
      </c>
      <c r="CV193" s="48">
        <v>161840</v>
      </c>
      <c r="CW193" s="48">
        <v>0</v>
      </c>
      <c r="CX193" s="48"/>
      <c r="CY193" s="48"/>
      <c r="CZ193" s="48"/>
      <c r="DB193" s="134" t="s">
        <v>0</v>
      </c>
      <c r="DC193" s="131">
        <f>DC192+DC113</f>
        <v>28506</v>
      </c>
      <c r="DD193" s="48">
        <v>169257</v>
      </c>
      <c r="DE193" s="48">
        <v>0</v>
      </c>
      <c r="DF193" s="48"/>
      <c r="DG193" s="48"/>
      <c r="DH193" s="48"/>
      <c r="DI193" s="48"/>
      <c r="DJ193" s="134" t="s">
        <v>0</v>
      </c>
      <c r="DK193" s="131">
        <f t="shared" si="189"/>
        <v>12917</v>
      </c>
      <c r="DL193" s="48">
        <v>90337</v>
      </c>
      <c r="DM193" s="48">
        <v>0</v>
      </c>
      <c r="DN193" s="48"/>
      <c r="DO193" s="48"/>
      <c r="DP193" s="48"/>
      <c r="DR193" s="134" t="s">
        <v>0</v>
      </c>
      <c r="DS193" s="131">
        <f t="shared" si="190"/>
        <v>19144</v>
      </c>
      <c r="DT193" s="48">
        <v>117634</v>
      </c>
      <c r="DU193" s="48">
        <v>0</v>
      </c>
      <c r="DV193" s="48"/>
      <c r="DW193" s="48"/>
      <c r="DX193" s="48"/>
      <c r="DZ193" s="134" t="s">
        <v>0</v>
      </c>
      <c r="EA193" s="131">
        <f t="shared" si="191"/>
        <v>11403</v>
      </c>
      <c r="EB193" s="48"/>
      <c r="EC193" s="48">
        <v>0</v>
      </c>
      <c r="ED193" s="48"/>
      <c r="EE193" s="48"/>
      <c r="EF193" s="48"/>
    </row>
    <row r="194" spans="1:136" x14ac:dyDescent="0.2">
      <c r="A194" s="292"/>
      <c r="B194" s="134" t="s">
        <v>1</v>
      </c>
      <c r="C194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4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1543866</v>
      </c>
      <c r="E194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1651796</v>
      </c>
      <c r="F194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1555580</v>
      </c>
      <c r="G194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1069126</v>
      </c>
      <c r="H194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872672.00004010997</v>
      </c>
      <c r="I194" s="48"/>
      <c r="J194" s="134" t="s">
        <v>1</v>
      </c>
      <c r="K194" s="131">
        <f t="shared" si="178"/>
        <v>24859</v>
      </c>
      <c r="L194" s="48">
        <v>173348</v>
      </c>
      <c r="M194" s="48">
        <v>197771</v>
      </c>
      <c r="N194" s="48">
        <v>200204</v>
      </c>
      <c r="O194" s="48">
        <v>154396</v>
      </c>
      <c r="P194" s="48">
        <v>144070.00004011</v>
      </c>
      <c r="R194" s="134" t="s">
        <v>1</v>
      </c>
      <c r="S194" s="131">
        <f t="shared" si="179"/>
        <v>12710</v>
      </c>
      <c r="T194" s="48">
        <v>93733</v>
      </c>
      <c r="U194" s="48">
        <v>101349</v>
      </c>
      <c r="V194" s="48">
        <v>106085</v>
      </c>
      <c r="W194" s="48">
        <v>89731</v>
      </c>
      <c r="X194" s="48">
        <v>75183</v>
      </c>
      <c r="Z194" s="134" t="s">
        <v>1</v>
      </c>
      <c r="AA194" s="131">
        <f t="shared" si="180"/>
        <v>16773</v>
      </c>
      <c r="AB194" s="48">
        <v>120237</v>
      </c>
      <c r="AC194" s="48">
        <v>134629</v>
      </c>
      <c r="AD194" s="48">
        <v>135513</v>
      </c>
      <c r="AE194" s="48">
        <v>99486</v>
      </c>
      <c r="AF194" s="48">
        <v>89464</v>
      </c>
      <c r="AH194" s="134" t="s">
        <v>1</v>
      </c>
      <c r="AI194" s="131">
        <f t="shared" si="181"/>
        <v>0</v>
      </c>
      <c r="AJ194" s="48">
        <v>158264</v>
      </c>
      <c r="AK194" s="48">
        <v>163107</v>
      </c>
      <c r="AL194" s="48">
        <v>158731</v>
      </c>
      <c r="AM194" s="48">
        <v>123724</v>
      </c>
      <c r="AN194" s="48">
        <v>105707</v>
      </c>
      <c r="AP194" s="134" t="s">
        <v>1</v>
      </c>
      <c r="AQ194" s="131">
        <f t="shared" si="182"/>
        <v>27135</v>
      </c>
      <c r="AR194" s="48">
        <v>200713</v>
      </c>
      <c r="AS194" s="48">
        <v>210736</v>
      </c>
      <c r="AT194" s="48">
        <v>205349</v>
      </c>
      <c r="AU194" s="48">
        <v>127278</v>
      </c>
      <c r="AV194" s="48">
        <v>0</v>
      </c>
      <c r="AX194" s="134" t="s">
        <v>1</v>
      </c>
      <c r="AY194" s="131">
        <f t="shared" ref="AY194:AY199" si="192">AY193+AY114</f>
        <v>0</v>
      </c>
      <c r="AZ194" s="48">
        <v>97270</v>
      </c>
      <c r="BA194" s="48">
        <v>100867</v>
      </c>
      <c r="BB194" s="48">
        <v>96606</v>
      </c>
      <c r="BC194" s="48">
        <v>3528</v>
      </c>
      <c r="BD194" s="48"/>
      <c r="BE194" s="48"/>
      <c r="BF194" s="134" t="s">
        <v>1</v>
      </c>
      <c r="BG194" s="131">
        <f t="shared" si="183"/>
        <v>12604</v>
      </c>
      <c r="BH194" s="48">
        <v>106890</v>
      </c>
      <c r="BI194" s="48">
        <v>106759</v>
      </c>
      <c r="BJ194" s="48"/>
      <c r="BK194" s="48"/>
      <c r="BL194" s="48"/>
      <c r="BM194" s="48"/>
      <c r="BN194" s="134" t="s">
        <v>1</v>
      </c>
      <c r="BO194" s="131">
        <f t="shared" si="184"/>
        <v>21816</v>
      </c>
      <c r="BP194" s="48">
        <v>147791</v>
      </c>
      <c r="BQ194" s="48">
        <v>148967</v>
      </c>
      <c r="BR194" s="48">
        <v>155815</v>
      </c>
      <c r="BS194" s="48">
        <v>111219</v>
      </c>
      <c r="BT194" s="48">
        <v>105889</v>
      </c>
      <c r="BV194" s="134" t="s">
        <v>1</v>
      </c>
      <c r="BW194" s="131">
        <f t="shared" si="185"/>
        <v>13437</v>
      </c>
      <c r="BX194" s="48">
        <v>111924</v>
      </c>
      <c r="BY194" s="48">
        <v>114453</v>
      </c>
      <c r="BZ194" s="48">
        <v>118724</v>
      </c>
      <c r="CA194" s="48">
        <v>89645</v>
      </c>
      <c r="CB194" s="48">
        <v>78190</v>
      </c>
      <c r="CC194" s="48"/>
      <c r="CD194" s="134" t="s">
        <v>1</v>
      </c>
      <c r="CE194" s="131">
        <f t="shared" si="186"/>
        <v>20186</v>
      </c>
      <c r="CF194" s="48">
        <v>179932</v>
      </c>
      <c r="CG194" s="48">
        <v>174202</v>
      </c>
      <c r="CH194" s="48">
        <v>179937</v>
      </c>
      <c r="CI194" s="48">
        <v>128319</v>
      </c>
      <c r="CJ194" s="48">
        <v>137242</v>
      </c>
      <c r="CL194" s="134" t="s">
        <v>1</v>
      </c>
      <c r="CM194" s="131">
        <f t="shared" si="187"/>
        <v>21593</v>
      </c>
      <c r="CN194" s="48">
        <v>153764</v>
      </c>
      <c r="CO194" s="48">
        <v>198956</v>
      </c>
      <c r="CP194" s="48">
        <v>198616</v>
      </c>
      <c r="CQ194" s="48">
        <v>141800</v>
      </c>
      <c r="CR194" s="48">
        <v>136927</v>
      </c>
      <c r="CT194" s="134" t="s">
        <v>1</v>
      </c>
      <c r="CU194" s="131">
        <f t="shared" si="188"/>
        <v>28852</v>
      </c>
      <c r="CV194" s="48">
        <v>189571</v>
      </c>
      <c r="CW194" s="48">
        <v>0</v>
      </c>
      <c r="CX194" s="48"/>
      <c r="CY194" s="48"/>
      <c r="CZ194" s="48"/>
      <c r="DB194" s="134" t="s">
        <v>1</v>
      </c>
      <c r="DC194" s="131">
        <f t="shared" ref="DC194:DC199" si="193">DC193+DC114</f>
        <v>28506</v>
      </c>
      <c r="DD194" s="48">
        <v>198181</v>
      </c>
      <c r="DE194" s="48">
        <v>0</v>
      </c>
      <c r="DF194" s="48"/>
      <c r="DG194" s="48"/>
      <c r="DH194" s="48"/>
      <c r="DI194" s="48"/>
      <c r="DJ194" s="134" t="s">
        <v>1</v>
      </c>
      <c r="DK194" s="131">
        <f t="shared" si="189"/>
        <v>12917</v>
      </c>
      <c r="DL194" s="48">
        <v>105462</v>
      </c>
      <c r="DM194" s="48">
        <v>0</v>
      </c>
      <c r="DN194" s="48"/>
      <c r="DO194" s="48"/>
      <c r="DP194" s="48"/>
      <c r="DR194" s="134" t="s">
        <v>1</v>
      </c>
      <c r="DS194" s="131">
        <f t="shared" si="190"/>
        <v>19144</v>
      </c>
      <c r="DT194" s="48">
        <v>136632</v>
      </c>
      <c r="DU194" s="48">
        <v>0</v>
      </c>
      <c r="DV194" s="48"/>
      <c r="DW194" s="48"/>
      <c r="DX194" s="48"/>
      <c r="DZ194" s="134" t="s">
        <v>1</v>
      </c>
      <c r="EA194" s="131">
        <f t="shared" si="191"/>
        <v>11403</v>
      </c>
      <c r="EB194" s="48"/>
      <c r="EC194" s="48">
        <v>0</v>
      </c>
      <c r="ED194" s="48"/>
      <c r="EE194" s="48"/>
      <c r="EF194" s="48"/>
    </row>
    <row r="195" spans="1:136" x14ac:dyDescent="0.2">
      <c r="A195" s="292"/>
      <c r="B195" s="134" t="s">
        <v>3</v>
      </c>
      <c r="C195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5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1798337</v>
      </c>
      <c r="E195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1919160</v>
      </c>
      <c r="F195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1804533</v>
      </c>
      <c r="G195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1314058</v>
      </c>
      <c r="H195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1080961.00004011</v>
      </c>
      <c r="I195" s="48"/>
      <c r="J195" s="134" t="s">
        <v>3</v>
      </c>
      <c r="K195" s="131">
        <f>K194+K115</f>
        <v>24859</v>
      </c>
      <c r="L195" s="48">
        <v>199156</v>
      </c>
      <c r="M195" s="48">
        <v>226394</v>
      </c>
      <c r="N195" s="48">
        <v>227786</v>
      </c>
      <c r="O195" s="48">
        <v>182670</v>
      </c>
      <c r="P195" s="48">
        <v>173732.00004011</v>
      </c>
      <c r="R195" s="134" t="s">
        <v>3</v>
      </c>
      <c r="S195" s="131">
        <f>S194+S115</f>
        <v>12710</v>
      </c>
      <c r="T195" s="48">
        <v>107806</v>
      </c>
      <c r="U195" s="48">
        <v>115889</v>
      </c>
      <c r="V195" s="48">
        <v>120507</v>
      </c>
      <c r="W195" s="48">
        <v>107028</v>
      </c>
      <c r="X195" s="48">
        <v>92147</v>
      </c>
      <c r="Z195" s="134" t="s">
        <v>3</v>
      </c>
      <c r="AA195" s="131">
        <f>AA194+AA115</f>
        <v>16773</v>
      </c>
      <c r="AB195" s="48">
        <v>135213</v>
      </c>
      <c r="AC195" s="48">
        <v>150985</v>
      </c>
      <c r="AD195" s="48">
        <v>152640</v>
      </c>
      <c r="AE195" s="48">
        <v>116245</v>
      </c>
      <c r="AF195" s="48">
        <v>105340</v>
      </c>
      <c r="AH195" s="134" t="s">
        <v>3</v>
      </c>
      <c r="AI195" s="131">
        <f t="shared" si="181"/>
        <v>0</v>
      </c>
      <c r="AJ195" s="48">
        <v>181282</v>
      </c>
      <c r="AK195" s="48">
        <v>186989</v>
      </c>
      <c r="AL195" s="48">
        <v>182019</v>
      </c>
      <c r="AM195" s="48">
        <v>146683</v>
      </c>
      <c r="AN195" s="48">
        <v>130073</v>
      </c>
      <c r="AP195" s="134" t="s">
        <v>3</v>
      </c>
      <c r="AQ195" s="131">
        <f t="shared" si="182"/>
        <v>27135</v>
      </c>
      <c r="AR195" s="48">
        <v>231958</v>
      </c>
      <c r="AS195" s="48">
        <v>243703</v>
      </c>
      <c r="AT195" s="48">
        <v>239370</v>
      </c>
      <c r="AU195" s="48">
        <v>156789</v>
      </c>
      <c r="AV195" s="48">
        <v>0</v>
      </c>
      <c r="AX195" s="134" t="s">
        <v>3</v>
      </c>
      <c r="AY195" s="131">
        <f t="shared" si="192"/>
        <v>0</v>
      </c>
      <c r="AZ195" s="48">
        <v>112890</v>
      </c>
      <c r="BA195" s="48">
        <v>116739</v>
      </c>
      <c r="BB195" s="48">
        <v>112641</v>
      </c>
      <c r="BC195" s="48">
        <v>19811</v>
      </c>
      <c r="BD195" s="48"/>
      <c r="BE195" s="48"/>
      <c r="BF195" s="134" t="s">
        <v>3</v>
      </c>
      <c r="BG195" s="131">
        <f t="shared" si="183"/>
        <v>12604</v>
      </c>
      <c r="BH195" s="48">
        <v>127317</v>
      </c>
      <c r="BI195" s="48">
        <v>127208</v>
      </c>
      <c r="BJ195" s="48"/>
      <c r="BK195" s="48"/>
      <c r="BL195" s="48"/>
      <c r="BM195" s="48"/>
      <c r="BN195" s="134" t="s">
        <v>3</v>
      </c>
      <c r="BO195" s="131">
        <f t="shared" si="184"/>
        <v>21816</v>
      </c>
      <c r="BP195" s="48">
        <v>168223</v>
      </c>
      <c r="BQ195" s="48">
        <v>169270</v>
      </c>
      <c r="BR195" s="48">
        <v>176434</v>
      </c>
      <c r="BS195" s="48">
        <v>132073</v>
      </c>
      <c r="BT195" s="48">
        <v>128360</v>
      </c>
      <c r="BV195" s="134" t="s">
        <v>3</v>
      </c>
      <c r="BW195" s="131">
        <f t="shared" si="185"/>
        <v>13437</v>
      </c>
      <c r="BX195" s="48">
        <v>135240</v>
      </c>
      <c r="BY195" s="48">
        <v>137232</v>
      </c>
      <c r="BZ195" s="48">
        <v>144815</v>
      </c>
      <c r="CA195" s="48">
        <v>113583</v>
      </c>
      <c r="CB195" s="48">
        <v>102888</v>
      </c>
      <c r="CC195" s="48"/>
      <c r="CD195" s="134" t="s">
        <v>3</v>
      </c>
      <c r="CE195" s="131">
        <f t="shared" si="186"/>
        <v>20186</v>
      </c>
      <c r="CF195" s="48">
        <v>218931</v>
      </c>
      <c r="CG195" s="48">
        <v>211728</v>
      </c>
      <c r="CH195" s="48">
        <v>215014</v>
      </c>
      <c r="CI195" s="48">
        <v>165993</v>
      </c>
      <c r="CJ195" s="48">
        <v>177694</v>
      </c>
      <c r="CL195" s="134" t="s">
        <v>3</v>
      </c>
      <c r="CM195" s="131">
        <f t="shared" si="187"/>
        <v>21593</v>
      </c>
      <c r="CN195" s="48">
        <v>180321</v>
      </c>
      <c r="CO195" s="48">
        <v>233023</v>
      </c>
      <c r="CP195" s="48">
        <v>233307</v>
      </c>
      <c r="CQ195" s="48">
        <v>173183</v>
      </c>
      <c r="CR195" s="48">
        <v>170727</v>
      </c>
      <c r="CT195" s="134" t="s">
        <v>3</v>
      </c>
      <c r="CU195" s="131">
        <f t="shared" si="188"/>
        <v>28852</v>
      </c>
      <c r="CV195" s="48">
        <v>221240</v>
      </c>
      <c r="CW195" s="48">
        <v>0</v>
      </c>
      <c r="CX195" s="48"/>
      <c r="CY195" s="48"/>
      <c r="CZ195" s="48"/>
      <c r="DB195" s="134" t="s">
        <v>3</v>
      </c>
      <c r="DC195" s="131">
        <f t="shared" si="193"/>
        <v>28506</v>
      </c>
      <c r="DD195" s="48">
        <v>228664</v>
      </c>
      <c r="DE195" s="48">
        <v>0</v>
      </c>
      <c r="DF195" s="48"/>
      <c r="DG195" s="48"/>
      <c r="DH195" s="48"/>
      <c r="DI195" s="48"/>
      <c r="DJ195" s="134" t="s">
        <v>3</v>
      </c>
      <c r="DK195" s="131">
        <f t="shared" si="189"/>
        <v>12917</v>
      </c>
      <c r="DL195" s="48">
        <v>121277</v>
      </c>
      <c r="DM195" s="48">
        <v>0</v>
      </c>
      <c r="DN195" s="48"/>
      <c r="DO195" s="48"/>
      <c r="DP195" s="48"/>
      <c r="DR195" s="134" t="s">
        <v>3</v>
      </c>
      <c r="DS195" s="131">
        <f t="shared" si="190"/>
        <v>19144</v>
      </c>
      <c r="DT195" s="48">
        <v>156103</v>
      </c>
      <c r="DU195" s="48">
        <v>0</v>
      </c>
      <c r="DV195" s="48"/>
      <c r="DW195" s="48"/>
      <c r="DX195" s="48"/>
      <c r="DZ195" s="134" t="s">
        <v>3</v>
      </c>
      <c r="EA195" s="131">
        <f t="shared" si="191"/>
        <v>11403</v>
      </c>
      <c r="EB195" s="48">
        <v>18513</v>
      </c>
      <c r="EC195" s="48">
        <v>0</v>
      </c>
      <c r="ED195" s="48"/>
      <c r="EE195" s="48"/>
      <c r="EF195" s="48"/>
    </row>
    <row r="196" spans="1:136" x14ac:dyDescent="0.2">
      <c r="A196" s="292"/>
      <c r="B196" s="134" t="s">
        <v>71</v>
      </c>
      <c r="C196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6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1999480</v>
      </c>
      <c r="E196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2148045</v>
      </c>
      <c r="F196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2013754</v>
      </c>
      <c r="G196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1518753</v>
      </c>
      <c r="H196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1262030.00004011</v>
      </c>
      <c r="I196" s="48"/>
      <c r="J196" s="134" t="s">
        <v>71</v>
      </c>
      <c r="K196" s="131">
        <f t="shared" ref="K196:K199" si="194">K195+K116</f>
        <v>24859</v>
      </c>
      <c r="L196" s="48">
        <v>221929</v>
      </c>
      <c r="M196" s="48">
        <v>253222</v>
      </c>
      <c r="N196" s="48">
        <v>254139</v>
      </c>
      <c r="O196" s="48">
        <v>209428</v>
      </c>
      <c r="P196" s="48">
        <v>202045.00004011</v>
      </c>
      <c r="R196" s="134" t="s">
        <v>71</v>
      </c>
      <c r="S196" s="131">
        <f t="shared" ref="S196:S199" si="195">S195+S116</f>
        <v>12710</v>
      </c>
      <c r="T196" s="48">
        <v>120446</v>
      </c>
      <c r="U196" s="48">
        <v>129274</v>
      </c>
      <c r="V196" s="48">
        <v>134556</v>
      </c>
      <c r="W196" s="48">
        <v>122660</v>
      </c>
      <c r="X196" s="48">
        <v>107657</v>
      </c>
      <c r="Z196" s="134" t="s">
        <v>71</v>
      </c>
      <c r="AA196" s="131">
        <f t="shared" ref="AA196:AA199" si="196">AA195+AA116</f>
        <v>16773</v>
      </c>
      <c r="AB196" s="48">
        <v>150862</v>
      </c>
      <c r="AC196" s="48">
        <v>170423</v>
      </c>
      <c r="AD196" s="48">
        <v>172421</v>
      </c>
      <c r="AE196" s="48">
        <v>135007</v>
      </c>
      <c r="AF196" s="48">
        <v>124308</v>
      </c>
      <c r="AH196" s="134" t="s">
        <v>71</v>
      </c>
      <c r="AI196" s="131">
        <f t="shared" si="181"/>
        <v>0</v>
      </c>
      <c r="AJ196" s="48">
        <v>202072</v>
      </c>
      <c r="AK196" s="48">
        <v>210046</v>
      </c>
      <c r="AL196" s="48">
        <v>203766</v>
      </c>
      <c r="AM196" s="48">
        <v>166919</v>
      </c>
      <c r="AN196" s="48">
        <v>154248</v>
      </c>
      <c r="AP196" s="134" t="s">
        <v>71</v>
      </c>
      <c r="AQ196" s="131">
        <f t="shared" si="182"/>
        <v>27135</v>
      </c>
      <c r="AR196" s="48">
        <v>257504</v>
      </c>
      <c r="AS196" s="48">
        <v>274082</v>
      </c>
      <c r="AT196" s="48">
        <v>267866</v>
      </c>
      <c r="AU196" s="48">
        <v>181767</v>
      </c>
      <c r="AV196" s="48">
        <v>0</v>
      </c>
      <c r="AX196" s="134" t="s">
        <v>71</v>
      </c>
      <c r="AY196" s="131">
        <f t="shared" si="192"/>
        <v>0</v>
      </c>
      <c r="AZ196" s="48">
        <v>125146</v>
      </c>
      <c r="BA196" s="48">
        <v>129768</v>
      </c>
      <c r="BB196" s="48">
        <v>126127</v>
      </c>
      <c r="BC196" s="48">
        <v>32446</v>
      </c>
      <c r="BD196" s="48"/>
      <c r="BE196" s="48"/>
      <c r="BF196" s="134" t="s">
        <v>71</v>
      </c>
      <c r="BG196" s="131">
        <f t="shared" si="183"/>
        <v>12604</v>
      </c>
      <c r="BH196" s="48">
        <v>140267</v>
      </c>
      <c r="BI196" s="48">
        <v>141682</v>
      </c>
      <c r="BJ196" s="48"/>
      <c r="BK196" s="48"/>
      <c r="BL196" s="48"/>
      <c r="BM196" s="48"/>
      <c r="BN196" s="134" t="s">
        <v>71</v>
      </c>
      <c r="BO196" s="131">
        <f t="shared" si="184"/>
        <v>21816</v>
      </c>
      <c r="BP196" s="48">
        <v>189255</v>
      </c>
      <c r="BQ196" s="48">
        <v>190898</v>
      </c>
      <c r="BR196" s="48">
        <v>198445</v>
      </c>
      <c r="BS196" s="48">
        <v>153871</v>
      </c>
      <c r="BT196" s="48">
        <v>153421</v>
      </c>
      <c r="BV196" s="134" t="s">
        <v>71</v>
      </c>
      <c r="BW196" s="131">
        <f t="shared" si="185"/>
        <v>13437</v>
      </c>
      <c r="BX196" s="48">
        <v>149420</v>
      </c>
      <c r="BY196" s="48">
        <v>152208</v>
      </c>
      <c r="BZ196" s="48">
        <v>160501</v>
      </c>
      <c r="CA196" s="48">
        <v>128441</v>
      </c>
      <c r="CB196" s="48">
        <v>118962</v>
      </c>
      <c r="CC196" s="48"/>
      <c r="CD196" s="134" t="s">
        <v>71</v>
      </c>
      <c r="CE196" s="131">
        <f t="shared" si="186"/>
        <v>20186</v>
      </c>
      <c r="CF196" s="48">
        <v>240871</v>
      </c>
      <c r="CG196" s="48">
        <v>236215</v>
      </c>
      <c r="CH196" s="48">
        <v>236256</v>
      </c>
      <c r="CI196" s="48">
        <v>189169</v>
      </c>
      <c r="CJ196" s="48">
        <v>203392</v>
      </c>
      <c r="CL196" s="134" t="s">
        <v>71</v>
      </c>
      <c r="CM196" s="131">
        <f t="shared" si="187"/>
        <v>21593</v>
      </c>
      <c r="CN196" s="48">
        <v>201708</v>
      </c>
      <c r="CO196" s="48">
        <v>260227</v>
      </c>
      <c r="CP196" s="48">
        <v>259677</v>
      </c>
      <c r="CQ196" s="48">
        <v>199045</v>
      </c>
      <c r="CR196" s="48">
        <v>197997</v>
      </c>
      <c r="CT196" s="134" t="s">
        <v>71</v>
      </c>
      <c r="CU196" s="131">
        <f t="shared" si="188"/>
        <v>28852</v>
      </c>
      <c r="CV196" s="48">
        <v>249918</v>
      </c>
      <c r="CW196" s="48">
        <v>0</v>
      </c>
      <c r="CX196" s="48"/>
      <c r="CY196" s="48"/>
      <c r="CZ196" s="48"/>
      <c r="DB196" s="134" t="s">
        <v>71</v>
      </c>
      <c r="DC196" s="131">
        <f t="shared" si="193"/>
        <v>28506</v>
      </c>
      <c r="DD196" s="48">
        <v>255469</v>
      </c>
      <c r="DE196" s="48">
        <v>0</v>
      </c>
      <c r="DF196" s="48"/>
      <c r="DG196" s="48"/>
      <c r="DH196" s="48"/>
      <c r="DI196" s="48"/>
      <c r="DJ196" s="134" t="s">
        <v>71</v>
      </c>
      <c r="DK196" s="131">
        <f t="shared" si="189"/>
        <v>12917</v>
      </c>
      <c r="DL196" s="48">
        <v>137206</v>
      </c>
      <c r="DM196" s="48">
        <v>0</v>
      </c>
      <c r="DN196" s="48"/>
      <c r="DO196" s="48"/>
      <c r="DP196" s="48"/>
      <c r="DR196" s="134" t="s">
        <v>71</v>
      </c>
      <c r="DS196" s="131">
        <f t="shared" si="190"/>
        <v>19144</v>
      </c>
      <c r="DT196" s="48">
        <v>175200</v>
      </c>
      <c r="DU196" s="48">
        <v>0</v>
      </c>
      <c r="DV196" s="48"/>
      <c r="DW196" s="48"/>
      <c r="DX196" s="48"/>
      <c r="DZ196" s="134" t="s">
        <v>71</v>
      </c>
      <c r="EA196" s="131">
        <f>+EA195+EA116</f>
        <v>11403</v>
      </c>
      <c r="EB196" s="48">
        <v>30344</v>
      </c>
      <c r="EC196" s="48">
        <v>0</v>
      </c>
      <c r="ED196" s="48"/>
      <c r="EE196" s="48"/>
      <c r="EF196" s="48"/>
    </row>
    <row r="197" spans="1:136" x14ac:dyDescent="0.2">
      <c r="A197" s="292"/>
      <c r="B197" s="134" t="s">
        <v>12</v>
      </c>
      <c r="C197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7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2214657</v>
      </c>
      <c r="E197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2373463</v>
      </c>
      <c r="F197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2239504</v>
      </c>
      <c r="G197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1744555</v>
      </c>
      <c r="H197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1443977.00004011</v>
      </c>
      <c r="I197" s="48"/>
      <c r="J197" s="134" t="s">
        <v>12</v>
      </c>
      <c r="K197" s="131">
        <f t="shared" si="194"/>
        <v>24859</v>
      </c>
      <c r="L197" s="48">
        <v>247652</v>
      </c>
      <c r="M197" s="48">
        <v>279154</v>
      </c>
      <c r="N197" s="48">
        <v>284233</v>
      </c>
      <c r="O197" s="48">
        <v>239316</v>
      </c>
      <c r="P197" s="48">
        <v>230788.00004011</v>
      </c>
      <c r="R197" s="134" t="s">
        <v>12</v>
      </c>
      <c r="S197" s="131">
        <f t="shared" si="195"/>
        <v>12710</v>
      </c>
      <c r="T197" s="48">
        <v>133956</v>
      </c>
      <c r="U197" s="48">
        <v>142572</v>
      </c>
      <c r="V197" s="48">
        <v>150003</v>
      </c>
      <c r="W197" s="48">
        <v>139939</v>
      </c>
      <c r="X197" s="48">
        <v>124537</v>
      </c>
      <c r="Z197" s="134" t="s">
        <v>12</v>
      </c>
      <c r="AA197" s="131">
        <f t="shared" si="196"/>
        <v>16773</v>
      </c>
      <c r="AB197" s="48">
        <v>167543</v>
      </c>
      <c r="AC197" s="48">
        <v>188340</v>
      </c>
      <c r="AD197" s="48">
        <v>195086</v>
      </c>
      <c r="AE197" s="48">
        <v>156171</v>
      </c>
      <c r="AF197" s="48">
        <v>142994</v>
      </c>
      <c r="AH197" s="134" t="s">
        <v>12</v>
      </c>
      <c r="AI197" s="131">
        <f t="shared" si="181"/>
        <v>0</v>
      </c>
      <c r="AJ197" s="48">
        <v>224321</v>
      </c>
      <c r="AK197" s="48">
        <v>233711</v>
      </c>
      <c r="AL197" s="48">
        <v>228179</v>
      </c>
      <c r="AM197" s="48">
        <v>189712</v>
      </c>
      <c r="AN197" s="48">
        <v>179815</v>
      </c>
      <c r="AP197" s="134" t="s">
        <v>12</v>
      </c>
      <c r="AQ197" s="131">
        <f t="shared" si="182"/>
        <v>27135</v>
      </c>
      <c r="AR197" s="48">
        <v>286348</v>
      </c>
      <c r="AS197" s="48">
        <v>303051</v>
      </c>
      <c r="AT197" s="48">
        <v>299749</v>
      </c>
      <c r="AU197" s="48">
        <v>210069</v>
      </c>
      <c r="AV197" s="48">
        <v>0</v>
      </c>
      <c r="AX197" s="134" t="s">
        <v>12</v>
      </c>
      <c r="AY197" s="131">
        <f t="shared" si="192"/>
        <v>0</v>
      </c>
      <c r="AZ197" s="48">
        <v>137961</v>
      </c>
      <c r="BA197" s="48">
        <v>143099</v>
      </c>
      <c r="BB197" s="48">
        <v>140820</v>
      </c>
      <c r="BC197" s="48">
        <v>46784</v>
      </c>
      <c r="BD197" s="48"/>
      <c r="BE197" s="48"/>
      <c r="BF197" s="134" t="s">
        <v>12</v>
      </c>
      <c r="BG197" s="131">
        <f t="shared" si="183"/>
        <v>12604</v>
      </c>
      <c r="BH197" s="48">
        <v>154176</v>
      </c>
      <c r="BI197" s="48">
        <v>156274</v>
      </c>
      <c r="BJ197" s="48"/>
      <c r="BK197" s="48"/>
      <c r="BL197" s="48"/>
      <c r="BM197" s="48"/>
      <c r="BN197" s="134" t="s">
        <v>12</v>
      </c>
      <c r="BO197" s="131">
        <f t="shared" si="184"/>
        <v>21816</v>
      </c>
      <c r="BP197" s="48">
        <v>209963</v>
      </c>
      <c r="BQ197" s="48">
        <v>211630</v>
      </c>
      <c r="BR197" s="48">
        <v>221483</v>
      </c>
      <c r="BS197" s="48">
        <v>177239</v>
      </c>
      <c r="BT197" s="48">
        <v>177119</v>
      </c>
      <c r="BV197" s="134" t="s">
        <v>12</v>
      </c>
      <c r="BW197" s="131">
        <f t="shared" si="185"/>
        <v>13437</v>
      </c>
      <c r="BX197" s="48">
        <v>164717</v>
      </c>
      <c r="BY197" s="48">
        <v>167295</v>
      </c>
      <c r="BZ197" s="48">
        <v>177077</v>
      </c>
      <c r="CA197" s="48">
        <v>144775</v>
      </c>
      <c r="CB197" s="48">
        <v>135328</v>
      </c>
      <c r="CC197" s="48"/>
      <c r="CD197" s="134" t="s">
        <v>12</v>
      </c>
      <c r="CE197" s="131">
        <f t="shared" si="186"/>
        <v>20186</v>
      </c>
      <c r="CF197" s="48">
        <v>264027</v>
      </c>
      <c r="CG197" s="48">
        <v>260484</v>
      </c>
      <c r="CH197" s="48">
        <v>258620</v>
      </c>
      <c r="CI197" s="48">
        <v>213314</v>
      </c>
      <c r="CJ197" s="48">
        <v>227699</v>
      </c>
      <c r="CL197" s="134" t="s">
        <v>12</v>
      </c>
      <c r="CM197" s="131">
        <f t="shared" si="187"/>
        <v>21593</v>
      </c>
      <c r="CN197" s="48">
        <v>223993</v>
      </c>
      <c r="CO197" s="48">
        <v>287853</v>
      </c>
      <c r="CP197" s="48">
        <v>284254</v>
      </c>
      <c r="CQ197" s="48">
        <v>227236</v>
      </c>
      <c r="CR197" s="48">
        <v>225697</v>
      </c>
      <c r="CT197" s="134" t="s">
        <v>12</v>
      </c>
      <c r="CU197" s="131">
        <f t="shared" si="188"/>
        <v>28852</v>
      </c>
      <c r="CV197" s="48">
        <v>279943</v>
      </c>
      <c r="CW197" s="48">
        <v>0</v>
      </c>
      <c r="CX197" s="48"/>
      <c r="CY197" s="48"/>
      <c r="CZ197" s="48"/>
      <c r="DB197" s="134" t="s">
        <v>12</v>
      </c>
      <c r="DC197" s="131">
        <f t="shared" si="193"/>
        <v>28506</v>
      </c>
      <c r="DD197" s="48">
        <v>284119</v>
      </c>
      <c r="DE197" s="48">
        <v>0</v>
      </c>
      <c r="DF197" s="48"/>
      <c r="DG197" s="48"/>
      <c r="DH197" s="48"/>
      <c r="DI197" s="48"/>
      <c r="DJ197" s="134" t="s">
        <v>12</v>
      </c>
      <c r="DK197" s="131">
        <f t="shared" si="189"/>
        <v>12917</v>
      </c>
      <c r="DL197" s="48">
        <v>153407</v>
      </c>
      <c r="DM197" s="48">
        <v>0</v>
      </c>
      <c r="DN197" s="48"/>
      <c r="DO197" s="48"/>
      <c r="DP197" s="48"/>
      <c r="DR197" s="134" t="s">
        <v>12</v>
      </c>
      <c r="DS197" s="131">
        <f t="shared" si="190"/>
        <v>19144</v>
      </c>
      <c r="DT197" s="48">
        <v>195157</v>
      </c>
      <c r="DU197" s="48">
        <v>0</v>
      </c>
      <c r="DV197" s="48"/>
      <c r="DW197" s="48"/>
      <c r="DX197" s="48"/>
      <c r="DZ197" s="134" t="s">
        <v>12</v>
      </c>
      <c r="EA197" s="131">
        <f t="shared" ref="EA197:EA199" si="197">+EA196+EA117</f>
        <v>11403</v>
      </c>
      <c r="EB197" s="48">
        <v>43100</v>
      </c>
      <c r="EC197" s="48">
        <v>0</v>
      </c>
      <c r="ED197" s="48"/>
      <c r="EE197" s="48"/>
      <c r="EF197" s="48"/>
    </row>
    <row r="198" spans="1:136" x14ac:dyDescent="0.2">
      <c r="A198" s="292"/>
      <c r="B198" s="134" t="s">
        <v>13</v>
      </c>
      <c r="C19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2425670</v>
      </c>
      <c r="E19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2592178</v>
      </c>
      <c r="F19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2453397</v>
      </c>
      <c r="G19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1965466</v>
      </c>
      <c r="H19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1543813.00004011</v>
      </c>
      <c r="I198" s="48"/>
      <c r="J198" s="134" t="s">
        <v>13</v>
      </c>
      <c r="K198" s="131">
        <f t="shared" si="194"/>
        <v>24859</v>
      </c>
      <c r="L198" s="48">
        <v>273906</v>
      </c>
      <c r="M198" s="48">
        <v>304248</v>
      </c>
      <c r="N198" s="48">
        <v>312696</v>
      </c>
      <c r="O198" s="48">
        <v>268711</v>
      </c>
      <c r="P198" s="48">
        <v>247860.00004011</v>
      </c>
      <c r="R198" s="134" t="s">
        <v>13</v>
      </c>
      <c r="S198" s="131">
        <f t="shared" si="195"/>
        <v>12710</v>
      </c>
      <c r="T198" s="48">
        <v>146854</v>
      </c>
      <c r="U198" s="48">
        <v>155738</v>
      </c>
      <c r="V198" s="48">
        <v>164536</v>
      </c>
      <c r="W198" s="48">
        <v>156469</v>
      </c>
      <c r="X198" s="48">
        <v>134959</v>
      </c>
      <c r="Z198" s="134" t="s">
        <v>13</v>
      </c>
      <c r="AA198" s="131">
        <f t="shared" si="196"/>
        <v>16773</v>
      </c>
      <c r="AB198" s="48">
        <v>185238</v>
      </c>
      <c r="AC198" s="48">
        <v>208093</v>
      </c>
      <c r="AD198" s="48">
        <v>216786</v>
      </c>
      <c r="AE198" s="48">
        <v>176577</v>
      </c>
      <c r="AF198" s="48">
        <v>154428</v>
      </c>
      <c r="AH198" s="134" t="s">
        <v>13</v>
      </c>
      <c r="AI198" s="131">
        <f t="shared" si="181"/>
        <v>0</v>
      </c>
      <c r="AJ198" s="48">
        <v>246096</v>
      </c>
      <c r="AK198" s="48">
        <v>255790</v>
      </c>
      <c r="AL198" s="48">
        <v>250757</v>
      </c>
      <c r="AM198" s="48">
        <v>212746</v>
      </c>
      <c r="AN198" s="48">
        <v>194081</v>
      </c>
      <c r="AP198" s="134" t="s">
        <v>13</v>
      </c>
      <c r="AQ198" s="131">
        <f t="shared" si="182"/>
        <v>27135</v>
      </c>
      <c r="AR198" s="48">
        <v>314882</v>
      </c>
      <c r="AS198" s="48">
        <v>330788</v>
      </c>
      <c r="AT198" s="48">
        <v>329243</v>
      </c>
      <c r="AU198" s="48">
        <v>238842</v>
      </c>
      <c r="AV198" s="48">
        <v>0</v>
      </c>
      <c r="AX198" s="134" t="s">
        <v>13</v>
      </c>
      <c r="AY198" s="131">
        <f t="shared" si="192"/>
        <v>0</v>
      </c>
      <c r="AZ198" s="48">
        <v>150187</v>
      </c>
      <c r="BA198" s="48">
        <v>155778</v>
      </c>
      <c r="BB198" s="48">
        <v>154543</v>
      </c>
      <c r="BC198" s="48">
        <v>60582</v>
      </c>
      <c r="BD198" s="48"/>
      <c r="BE198" s="48"/>
      <c r="BF198" s="134" t="s">
        <v>13</v>
      </c>
      <c r="BG198" s="131">
        <f t="shared" si="183"/>
        <v>12604</v>
      </c>
      <c r="BH198" s="48">
        <v>167114</v>
      </c>
      <c r="BI198" s="48">
        <v>169999</v>
      </c>
      <c r="BJ198" s="48"/>
      <c r="BK198" s="48"/>
      <c r="BL198" s="48"/>
      <c r="BM198" s="48"/>
      <c r="BN198" s="134" t="s">
        <v>13</v>
      </c>
      <c r="BO198" s="131">
        <f t="shared" si="184"/>
        <v>21816</v>
      </c>
      <c r="BP198" s="48">
        <v>230759</v>
      </c>
      <c r="BQ198" s="48">
        <v>232918</v>
      </c>
      <c r="BR198" s="48">
        <v>242084</v>
      </c>
      <c r="BS198" s="48">
        <v>201134</v>
      </c>
      <c r="BT198" s="48">
        <v>188459</v>
      </c>
      <c r="BV198" s="134" t="s">
        <v>13</v>
      </c>
      <c r="BW198" s="131">
        <f t="shared" si="185"/>
        <v>13437</v>
      </c>
      <c r="BX198" s="48">
        <v>178437</v>
      </c>
      <c r="BY198" s="48">
        <v>180840</v>
      </c>
      <c r="BZ198" s="48">
        <v>191749</v>
      </c>
      <c r="CA198" s="48">
        <v>160151</v>
      </c>
      <c r="CB198" s="48">
        <v>143643</v>
      </c>
      <c r="CC198" s="48"/>
      <c r="CD198" s="134" t="s">
        <v>13</v>
      </c>
      <c r="CE198" s="131">
        <f t="shared" si="186"/>
        <v>20186</v>
      </c>
      <c r="CF198" s="48">
        <v>286023</v>
      </c>
      <c r="CG198" s="48">
        <v>282508</v>
      </c>
      <c r="CH198" s="48">
        <v>280006</v>
      </c>
      <c r="CI198" s="48">
        <v>235210</v>
      </c>
      <c r="CJ198" s="48">
        <v>239294</v>
      </c>
      <c r="CL198" s="134" t="s">
        <v>13</v>
      </c>
      <c r="CM198" s="131">
        <f t="shared" si="187"/>
        <v>21593</v>
      </c>
      <c r="CN198" s="48">
        <v>246174</v>
      </c>
      <c r="CO198" s="48">
        <v>315478</v>
      </c>
      <c r="CP198" s="48">
        <v>310997</v>
      </c>
      <c r="CQ198" s="48">
        <v>255044</v>
      </c>
      <c r="CR198" s="48">
        <v>241089</v>
      </c>
      <c r="CT198" s="134" t="s">
        <v>13</v>
      </c>
      <c r="CU198" s="131">
        <f t="shared" si="188"/>
        <v>28852</v>
      </c>
      <c r="CV198" s="48">
        <v>309825</v>
      </c>
      <c r="CW198" s="48">
        <v>0</v>
      </c>
      <c r="CX198" s="48"/>
      <c r="CY198" s="48"/>
      <c r="CZ198" s="48"/>
      <c r="DB198" s="134" t="s">
        <v>13</v>
      </c>
      <c r="DC198" s="131">
        <f t="shared" si="193"/>
        <v>28506</v>
      </c>
      <c r="DD198" s="48">
        <v>313037</v>
      </c>
      <c r="DE198" s="48">
        <v>0</v>
      </c>
      <c r="DF198" s="48"/>
      <c r="DG198" s="48"/>
      <c r="DH198" s="48"/>
      <c r="DI198" s="48"/>
      <c r="DJ198" s="134" t="s">
        <v>13</v>
      </c>
      <c r="DK198" s="131">
        <f t="shared" si="189"/>
        <v>12917</v>
      </c>
      <c r="DL198" s="48">
        <v>169797</v>
      </c>
      <c r="DM198" s="48">
        <v>0</v>
      </c>
      <c r="DN198" s="48"/>
      <c r="DO198" s="48"/>
      <c r="DP198" s="48"/>
      <c r="DR198" s="134" t="s">
        <v>13</v>
      </c>
      <c r="DS198" s="131">
        <f t="shared" si="190"/>
        <v>19144</v>
      </c>
      <c r="DT198" s="48">
        <v>214845</v>
      </c>
      <c r="DU198" s="48">
        <v>0</v>
      </c>
      <c r="DV198" s="48"/>
      <c r="DW198" s="48"/>
      <c r="DX198" s="48"/>
      <c r="DZ198" s="134" t="s">
        <v>13</v>
      </c>
      <c r="EA198" s="131">
        <f t="shared" si="197"/>
        <v>11403</v>
      </c>
      <c r="EB198" s="48">
        <v>55376</v>
      </c>
      <c r="EC198" s="48">
        <v>0</v>
      </c>
      <c r="ED198" s="48"/>
      <c r="EE198" s="48"/>
      <c r="EF198" s="48"/>
    </row>
    <row r="199" spans="1:136" x14ac:dyDescent="0.2">
      <c r="A199" s="292"/>
      <c r="B199" s="134" t="s">
        <v>15</v>
      </c>
      <c r="C19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>271935</v>
      </c>
      <c r="D19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>2636429</v>
      </c>
      <c r="E19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>2803652</v>
      </c>
      <c r="F19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>2667805</v>
      </c>
      <c r="G19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>2180211</v>
      </c>
      <c r="H19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>1659705.00004011</v>
      </c>
      <c r="I199" s="48"/>
      <c r="J199" s="134" t="s">
        <v>15</v>
      </c>
      <c r="K199" s="131">
        <f t="shared" si="194"/>
        <v>24859</v>
      </c>
      <c r="L199" s="48">
        <v>299754</v>
      </c>
      <c r="M199" s="48">
        <v>328828</v>
      </c>
      <c r="N199" s="48">
        <v>341572</v>
      </c>
      <c r="O199" s="48">
        <v>298354</v>
      </c>
      <c r="P199" s="48">
        <v>266955.00004010997</v>
      </c>
      <c r="R199" s="134" t="s">
        <v>15</v>
      </c>
      <c r="S199" s="131">
        <f t="shared" si="195"/>
        <v>12710</v>
      </c>
      <c r="T199" s="48">
        <v>159927</v>
      </c>
      <c r="U199" s="48">
        <v>168670</v>
      </c>
      <c r="V199" s="48">
        <v>179426</v>
      </c>
      <c r="W199" s="48">
        <v>172623</v>
      </c>
      <c r="X199" s="48">
        <v>147144</v>
      </c>
      <c r="Z199" s="134" t="s">
        <v>15</v>
      </c>
      <c r="AA199" s="131">
        <f t="shared" si="196"/>
        <v>16773</v>
      </c>
      <c r="AB199" s="48">
        <v>201292</v>
      </c>
      <c r="AC199" s="48">
        <v>224239</v>
      </c>
      <c r="AD199" s="48">
        <v>235680</v>
      </c>
      <c r="AE199" s="48">
        <v>194759</v>
      </c>
      <c r="AF199" s="48">
        <v>166624</v>
      </c>
      <c r="AH199" s="134" t="s">
        <v>15</v>
      </c>
      <c r="AI199" s="131">
        <f t="shared" si="181"/>
        <v>0</v>
      </c>
      <c r="AJ199" s="48">
        <v>267193</v>
      </c>
      <c r="AK199" s="48">
        <v>277602</v>
      </c>
      <c r="AL199" s="48">
        <v>273073</v>
      </c>
      <c r="AM199" s="48">
        <v>234912</v>
      </c>
      <c r="AN199" s="48">
        <v>210227</v>
      </c>
      <c r="AP199" s="134" t="s">
        <v>15</v>
      </c>
      <c r="AQ199" s="131">
        <f t="shared" si="182"/>
        <v>27135</v>
      </c>
      <c r="AR199" s="48">
        <v>345677</v>
      </c>
      <c r="AS199" s="48">
        <v>361032</v>
      </c>
      <c r="AT199" s="48">
        <v>361853</v>
      </c>
      <c r="AU199" s="48">
        <v>268477</v>
      </c>
      <c r="AV199" s="48">
        <v>0</v>
      </c>
      <c r="AX199" s="134" t="s">
        <v>15</v>
      </c>
      <c r="AY199" s="131">
        <f t="shared" si="192"/>
        <v>0</v>
      </c>
      <c r="AZ199" s="48">
        <v>162548</v>
      </c>
      <c r="BA199" s="48">
        <v>168848</v>
      </c>
      <c r="BB199" s="48">
        <v>168401</v>
      </c>
      <c r="BC199" s="48">
        <v>73803</v>
      </c>
      <c r="BD199" s="48"/>
      <c r="BE199" s="48"/>
      <c r="BF199" s="134" t="s">
        <v>15</v>
      </c>
      <c r="BG199" s="131">
        <f t="shared" si="183"/>
        <v>12604</v>
      </c>
      <c r="BH199" s="48">
        <v>180000</v>
      </c>
      <c r="BI199" s="48">
        <v>183414</v>
      </c>
      <c r="BJ199" s="48"/>
      <c r="BK199" s="48"/>
      <c r="BL199" s="48"/>
      <c r="BM199" s="48"/>
      <c r="BN199" s="134" t="s">
        <v>15</v>
      </c>
      <c r="BO199" s="131">
        <f t="shared" si="184"/>
        <v>21816</v>
      </c>
      <c r="BP199" s="48">
        <v>252208</v>
      </c>
      <c r="BQ199" s="48">
        <v>253554</v>
      </c>
      <c r="BR199" s="48">
        <v>262950</v>
      </c>
      <c r="BS199" s="48">
        <v>223289</v>
      </c>
      <c r="BT199" s="48">
        <v>201585</v>
      </c>
      <c r="BV199" s="134" t="s">
        <v>15</v>
      </c>
      <c r="BW199" s="131">
        <f t="shared" si="185"/>
        <v>13437</v>
      </c>
      <c r="BX199" s="48">
        <v>192085</v>
      </c>
      <c r="BY199" s="48">
        <v>194023</v>
      </c>
      <c r="BZ199" s="48">
        <v>205565</v>
      </c>
      <c r="CA199" s="48">
        <v>174310</v>
      </c>
      <c r="CB199" s="48">
        <v>153876</v>
      </c>
      <c r="CC199" s="48"/>
      <c r="CD199" s="134" t="s">
        <v>15</v>
      </c>
      <c r="CE199" s="131">
        <f t="shared" si="186"/>
        <v>20186</v>
      </c>
      <c r="CF199" s="48">
        <v>306604</v>
      </c>
      <c r="CG199" s="48">
        <v>304306</v>
      </c>
      <c r="CH199" s="48">
        <v>300370</v>
      </c>
      <c r="CI199" s="48">
        <v>256859</v>
      </c>
      <c r="CJ199" s="48">
        <v>253566</v>
      </c>
      <c r="CL199" s="134" t="s">
        <v>15</v>
      </c>
      <c r="CM199" s="131">
        <f t="shared" si="187"/>
        <v>21593</v>
      </c>
      <c r="CN199" s="48">
        <v>269141</v>
      </c>
      <c r="CO199" s="48">
        <v>339136</v>
      </c>
      <c r="CP199" s="48">
        <v>338915</v>
      </c>
      <c r="CQ199" s="48">
        <v>282825</v>
      </c>
      <c r="CR199" s="48">
        <v>259728</v>
      </c>
      <c r="CT199" s="134" t="s">
        <v>15</v>
      </c>
      <c r="CU199" s="131">
        <f t="shared" si="188"/>
        <v>28852</v>
      </c>
      <c r="CV199" s="48">
        <v>338129</v>
      </c>
      <c r="CW199" s="48">
        <v>0</v>
      </c>
      <c r="CX199" s="48"/>
      <c r="CY199" s="48"/>
      <c r="CZ199" s="48"/>
      <c r="DB199" s="134" t="s">
        <v>15</v>
      </c>
      <c r="DC199" s="131">
        <f t="shared" si="193"/>
        <v>28506</v>
      </c>
      <c r="DD199" s="48">
        <v>343915</v>
      </c>
      <c r="DE199" s="48">
        <v>0</v>
      </c>
      <c r="DF199" s="48"/>
      <c r="DG199" s="48"/>
      <c r="DH199" s="48"/>
      <c r="DI199" s="48"/>
      <c r="DJ199" s="134" t="s">
        <v>15</v>
      </c>
      <c r="DK199" s="131">
        <f t="shared" si="189"/>
        <v>12917</v>
      </c>
      <c r="DL199" s="48">
        <v>187440</v>
      </c>
      <c r="DM199" s="48">
        <v>0</v>
      </c>
      <c r="DN199" s="48"/>
      <c r="DO199" s="48"/>
      <c r="DP199" s="48"/>
      <c r="DR199" s="134" t="s">
        <v>15</v>
      </c>
      <c r="DS199" s="131">
        <f t="shared" si="190"/>
        <v>19144</v>
      </c>
      <c r="DT199" s="48">
        <v>234846</v>
      </c>
      <c r="DU199" s="48">
        <v>0</v>
      </c>
      <c r="DV199" s="48"/>
      <c r="DW199" s="48"/>
      <c r="DX199" s="48"/>
      <c r="DZ199" s="134" t="s">
        <v>15</v>
      </c>
      <c r="EA199" s="131">
        <f t="shared" si="197"/>
        <v>11403</v>
      </c>
      <c r="EB199" s="48">
        <v>67281</v>
      </c>
      <c r="EC199" s="48">
        <v>0</v>
      </c>
      <c r="ED199" s="48"/>
      <c r="EE199" s="48"/>
      <c r="EF199" s="48"/>
    </row>
    <row r="200" spans="1:136" x14ac:dyDescent="0.2">
      <c r="CV200" s="279"/>
    </row>
    <row r="201" spans="1:136" ht="15.75" x14ac:dyDescent="0.2">
      <c r="B201" s="45" t="s">
        <v>131</v>
      </c>
      <c r="J201" s="45" t="s">
        <v>2999</v>
      </c>
      <c r="R201" s="45" t="s">
        <v>3001</v>
      </c>
      <c r="Z201" s="45" t="s">
        <v>210</v>
      </c>
      <c r="AH201" s="45" t="s">
        <v>3003</v>
      </c>
      <c r="AP201" s="45" t="s">
        <v>2156</v>
      </c>
      <c r="AX201" s="45" t="s">
        <v>3000</v>
      </c>
      <c r="BF201" s="45" t="s">
        <v>3002</v>
      </c>
      <c r="BN201" s="45" t="s">
        <v>297</v>
      </c>
      <c r="BV201" s="45" t="s">
        <v>296</v>
      </c>
      <c r="CD201" s="45" t="s">
        <v>292</v>
      </c>
      <c r="CL201" s="45" t="s">
        <v>294</v>
      </c>
      <c r="CT201" s="45" t="s">
        <v>6963</v>
      </c>
      <c r="CV201" s="279"/>
      <c r="DB201" s="45" t="s">
        <v>6964</v>
      </c>
      <c r="DJ201" s="45" t="s">
        <v>6966</v>
      </c>
      <c r="DR201" s="45" t="s">
        <v>6965</v>
      </c>
      <c r="DZ201" s="45" t="s">
        <v>7094</v>
      </c>
    </row>
    <row r="203" spans="1:136" s="188" customFormat="1" ht="18.600000000000001" customHeight="1" x14ac:dyDescent="0.2">
      <c r="A203" s="292" t="s">
        <v>188</v>
      </c>
      <c r="B203" s="186" t="s">
        <v>106</v>
      </c>
      <c r="C203" s="187" t="s">
        <v>6962</v>
      </c>
      <c r="D203" s="187" t="s">
        <v>2169</v>
      </c>
      <c r="E203" s="187" t="s">
        <v>1553</v>
      </c>
      <c r="F203" s="187" t="s">
        <v>1522</v>
      </c>
      <c r="G203" s="187" t="s">
        <v>1304</v>
      </c>
      <c r="H203" s="187" t="s">
        <v>209</v>
      </c>
      <c r="I203" s="187"/>
      <c r="J203" s="186" t="s">
        <v>106</v>
      </c>
      <c r="K203" s="186" t="s">
        <v>7114</v>
      </c>
      <c r="L203" s="186" t="s">
        <v>6962</v>
      </c>
      <c r="M203" s="186" t="s">
        <v>2169</v>
      </c>
      <c r="N203" s="186" t="s">
        <v>1553</v>
      </c>
      <c r="O203" s="186" t="s">
        <v>1522</v>
      </c>
      <c r="P203" s="186" t="s">
        <v>1304</v>
      </c>
      <c r="R203" s="186" t="s">
        <v>106</v>
      </c>
      <c r="S203" s="186" t="s">
        <v>7114</v>
      </c>
      <c r="T203" s="186" t="s">
        <v>6962</v>
      </c>
      <c r="U203" s="186" t="s">
        <v>2169</v>
      </c>
      <c r="V203" s="186" t="s">
        <v>1553</v>
      </c>
      <c r="W203" s="186" t="s">
        <v>1522</v>
      </c>
      <c r="X203" s="186" t="s">
        <v>1304</v>
      </c>
      <c r="Z203" s="186" t="s">
        <v>106</v>
      </c>
      <c r="AA203" s="186" t="s">
        <v>7114</v>
      </c>
      <c r="AB203" s="186" t="s">
        <v>6962</v>
      </c>
      <c r="AC203" s="186" t="s">
        <v>2169</v>
      </c>
      <c r="AD203" s="186" t="s">
        <v>1553</v>
      </c>
      <c r="AE203" s="186" t="s">
        <v>1522</v>
      </c>
      <c r="AF203" s="186" t="s">
        <v>1304</v>
      </c>
      <c r="AH203" s="186" t="s">
        <v>106</v>
      </c>
      <c r="AI203" s="186" t="s">
        <v>7114</v>
      </c>
      <c r="AJ203" s="186" t="s">
        <v>6962</v>
      </c>
      <c r="AK203" s="186" t="s">
        <v>2169</v>
      </c>
      <c r="AL203" s="186" t="s">
        <v>1553</v>
      </c>
      <c r="AM203" s="186" t="s">
        <v>1522</v>
      </c>
      <c r="AN203" s="186" t="s">
        <v>1304</v>
      </c>
      <c r="AP203" s="186" t="s">
        <v>106</v>
      </c>
      <c r="AQ203" s="186" t="s">
        <v>7114</v>
      </c>
      <c r="AR203" s="186" t="s">
        <v>6962</v>
      </c>
      <c r="AS203" s="186" t="s">
        <v>2169</v>
      </c>
      <c r="AT203" s="186" t="s">
        <v>1553</v>
      </c>
      <c r="AU203" s="186" t="s">
        <v>1522</v>
      </c>
      <c r="AV203" s="186" t="s">
        <v>1304</v>
      </c>
      <c r="AX203" s="186" t="s">
        <v>106</v>
      </c>
      <c r="AY203" s="186" t="s">
        <v>7114</v>
      </c>
      <c r="AZ203" s="186" t="s">
        <v>6962</v>
      </c>
      <c r="BA203" s="186" t="s">
        <v>2169</v>
      </c>
      <c r="BB203" s="186" t="s">
        <v>1553</v>
      </c>
      <c r="BC203" s="186" t="s">
        <v>1522</v>
      </c>
      <c r="BD203" s="186" t="s">
        <v>1304</v>
      </c>
      <c r="BE203" s="187"/>
      <c r="BF203" s="186" t="s">
        <v>106</v>
      </c>
      <c r="BG203" s="186" t="s">
        <v>7114</v>
      </c>
      <c r="BH203" s="186" t="s">
        <v>6962</v>
      </c>
      <c r="BI203" s="186" t="s">
        <v>2169</v>
      </c>
      <c r="BJ203" s="186" t="s">
        <v>1553</v>
      </c>
      <c r="BK203" s="186" t="s">
        <v>1522</v>
      </c>
      <c r="BL203" s="186" t="s">
        <v>1304</v>
      </c>
      <c r="BM203" s="186"/>
      <c r="BN203" s="186" t="s">
        <v>106</v>
      </c>
      <c r="BO203" s="187" t="s">
        <v>7114</v>
      </c>
      <c r="BP203" s="187" t="s">
        <v>6962</v>
      </c>
      <c r="BQ203" s="187" t="s">
        <v>2169</v>
      </c>
      <c r="BR203" s="187" t="s">
        <v>1553</v>
      </c>
      <c r="BS203" s="187" t="s">
        <v>1522</v>
      </c>
      <c r="BT203" s="187" t="s">
        <v>1304</v>
      </c>
      <c r="BV203" s="186" t="s">
        <v>106</v>
      </c>
      <c r="BW203" s="187" t="s">
        <v>7114</v>
      </c>
      <c r="BX203" s="187" t="s">
        <v>6962</v>
      </c>
      <c r="BY203" s="187" t="s">
        <v>2169</v>
      </c>
      <c r="BZ203" s="187" t="s">
        <v>1553</v>
      </c>
      <c r="CA203" s="187" t="s">
        <v>1522</v>
      </c>
      <c r="CB203" s="187" t="s">
        <v>1304</v>
      </c>
      <c r="CC203" s="187"/>
      <c r="CD203" s="186" t="s">
        <v>106</v>
      </c>
      <c r="CE203" s="187" t="s">
        <v>7114</v>
      </c>
      <c r="CF203" s="187" t="s">
        <v>6962</v>
      </c>
      <c r="CG203" s="187" t="s">
        <v>2169</v>
      </c>
      <c r="CH203" s="187" t="s">
        <v>1553</v>
      </c>
      <c r="CI203" s="187" t="s">
        <v>1522</v>
      </c>
      <c r="CJ203" s="187" t="s">
        <v>1304</v>
      </c>
      <c r="CL203" s="186" t="s">
        <v>106</v>
      </c>
      <c r="CM203" s="187" t="s">
        <v>7114</v>
      </c>
      <c r="CN203" s="187" t="s">
        <v>6962</v>
      </c>
      <c r="CO203" s="187" t="s">
        <v>2169</v>
      </c>
      <c r="CP203" s="187" t="s">
        <v>1553</v>
      </c>
      <c r="CQ203" s="187" t="s">
        <v>1522</v>
      </c>
      <c r="CR203" s="187" t="s">
        <v>1304</v>
      </c>
      <c r="CT203" s="186" t="s">
        <v>106</v>
      </c>
      <c r="CU203" s="187" t="s">
        <v>7114</v>
      </c>
      <c r="CV203" s="187" t="s">
        <v>6962</v>
      </c>
      <c r="CW203" s="187" t="s">
        <v>2169</v>
      </c>
      <c r="CX203" s="187" t="s">
        <v>1553</v>
      </c>
      <c r="CY203" s="187" t="s">
        <v>1522</v>
      </c>
      <c r="CZ203" s="187" t="s">
        <v>1304</v>
      </c>
      <c r="DB203" s="186" t="s">
        <v>106</v>
      </c>
      <c r="DC203" s="187" t="s">
        <v>7114</v>
      </c>
      <c r="DD203" s="187" t="s">
        <v>6962</v>
      </c>
      <c r="DE203" s="187" t="s">
        <v>2169</v>
      </c>
      <c r="DF203" s="187" t="s">
        <v>1553</v>
      </c>
      <c r="DG203" s="187" t="s">
        <v>1522</v>
      </c>
      <c r="DH203" s="187" t="s">
        <v>1304</v>
      </c>
      <c r="DI203" s="187"/>
      <c r="DJ203" s="186" t="s">
        <v>106</v>
      </c>
      <c r="DK203" s="187" t="s">
        <v>7114</v>
      </c>
      <c r="DL203" s="187" t="s">
        <v>6962</v>
      </c>
      <c r="DM203" s="187" t="s">
        <v>2169</v>
      </c>
      <c r="DN203" s="187" t="s">
        <v>1553</v>
      </c>
      <c r="DO203" s="187" t="s">
        <v>1522</v>
      </c>
      <c r="DP203" s="187" t="s">
        <v>1304</v>
      </c>
      <c r="DR203" s="186" t="s">
        <v>106</v>
      </c>
      <c r="DS203" s="187" t="s">
        <v>7114</v>
      </c>
      <c r="DT203" s="187" t="s">
        <v>6962</v>
      </c>
      <c r="DU203" s="187" t="s">
        <v>2169</v>
      </c>
      <c r="DV203" s="187" t="s">
        <v>1553</v>
      </c>
      <c r="DW203" s="187" t="s">
        <v>1522</v>
      </c>
      <c r="DX203" s="187" t="s">
        <v>1304</v>
      </c>
      <c r="DZ203" s="186" t="s">
        <v>106</v>
      </c>
      <c r="EA203" s="187" t="s">
        <v>7114</v>
      </c>
      <c r="EB203" s="187" t="s">
        <v>6962</v>
      </c>
      <c r="EC203" s="187" t="s">
        <v>2169</v>
      </c>
      <c r="ED203" s="187" t="s">
        <v>1553</v>
      </c>
      <c r="EE203" s="187" t="s">
        <v>1522</v>
      </c>
      <c r="EF203" s="187" t="s">
        <v>1304</v>
      </c>
    </row>
    <row r="204" spans="1:136" s="90" customFormat="1" x14ac:dyDescent="0.2">
      <c r="A204" s="292"/>
      <c r="B204" s="134" t="s">
        <v>143</v>
      </c>
      <c r="C204" s="132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>13.487142857142855</v>
      </c>
      <c r="D204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17.018999999999998</v>
      </c>
      <c r="E204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16.512</v>
      </c>
      <c r="F204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17.232499999999998</v>
      </c>
      <c r="G204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5.9174999999999995</v>
      </c>
      <c r="H204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11.94875</v>
      </c>
      <c r="I204" s="91"/>
      <c r="J204" s="134" t="s">
        <v>143</v>
      </c>
      <c r="K204" s="132">
        <v>15.88</v>
      </c>
      <c r="L204" s="91">
        <v>15.44</v>
      </c>
      <c r="M204" s="91">
        <v>15.4</v>
      </c>
      <c r="N204" s="91">
        <v>13.83</v>
      </c>
      <c r="O204" s="91">
        <v>6.54</v>
      </c>
      <c r="P204" s="91">
        <v>12.76</v>
      </c>
      <c r="R204" s="134" t="s">
        <v>143</v>
      </c>
      <c r="S204" s="132">
        <v>15.34</v>
      </c>
      <c r="T204" s="91">
        <v>15.79</v>
      </c>
      <c r="U204" s="91">
        <v>14.09</v>
      </c>
      <c r="V204" s="91">
        <v>14.14</v>
      </c>
      <c r="W204" s="91">
        <v>6.75</v>
      </c>
      <c r="X204" s="91">
        <v>12.45</v>
      </c>
      <c r="Z204" s="134" t="s">
        <v>143</v>
      </c>
      <c r="AA204" s="132">
        <v>13.27</v>
      </c>
      <c r="AB204" s="91">
        <v>13.77</v>
      </c>
      <c r="AC204" s="91">
        <v>12.66</v>
      </c>
      <c r="AD204" s="91">
        <v>11.75</v>
      </c>
      <c r="AE204" s="91">
        <v>6.01</v>
      </c>
      <c r="AF204" s="91">
        <v>11.41</v>
      </c>
      <c r="AH204" s="134" t="s">
        <v>143</v>
      </c>
      <c r="AI204" s="132"/>
      <c r="AJ204" s="132">
        <v>16.190000000000001</v>
      </c>
      <c r="AK204" s="91">
        <v>15.57</v>
      </c>
      <c r="AL204" s="91">
        <v>14.09</v>
      </c>
      <c r="AM204" s="91">
        <v>3.41</v>
      </c>
      <c r="AN204" s="91">
        <v>12.33</v>
      </c>
      <c r="AP204" s="134" t="s">
        <v>143</v>
      </c>
      <c r="AQ204" s="132">
        <v>16.440000000000001</v>
      </c>
      <c r="AR204" s="132">
        <v>16.11</v>
      </c>
      <c r="AS204" s="91">
        <v>15.55</v>
      </c>
      <c r="AT204" s="91">
        <v>14.66</v>
      </c>
      <c r="AU204" s="91">
        <v>9.1</v>
      </c>
      <c r="AV204" s="91"/>
      <c r="AX204" s="134" t="s">
        <v>143</v>
      </c>
      <c r="AY204" s="132"/>
      <c r="AZ204" s="132">
        <v>18.010000000000002</v>
      </c>
      <c r="BA204" s="91">
        <v>16.739999999999998</v>
      </c>
      <c r="BB204" s="91">
        <v>15.3</v>
      </c>
      <c r="BC204" s="91"/>
      <c r="BD204" s="91"/>
      <c r="BE204" s="91"/>
      <c r="BF204" s="134" t="s">
        <v>143</v>
      </c>
      <c r="BG204" s="132">
        <v>15.93</v>
      </c>
      <c r="BH204" s="91">
        <v>16.329999999999998</v>
      </c>
      <c r="BI204" s="91">
        <v>16.46</v>
      </c>
      <c r="BJ204" s="91"/>
      <c r="BK204" s="91"/>
      <c r="BL204" s="91"/>
      <c r="BM204" s="91"/>
      <c r="BN204" s="134" t="s">
        <v>143</v>
      </c>
      <c r="BO204" s="132">
        <v>12.74</v>
      </c>
      <c r="BP204" s="91">
        <v>13.48</v>
      </c>
      <c r="BQ204" s="91">
        <v>12.93</v>
      </c>
      <c r="BR204" s="91">
        <v>11.37</v>
      </c>
      <c r="BS204" s="91">
        <v>7.11</v>
      </c>
      <c r="BT204" s="91">
        <v>10.1</v>
      </c>
      <c r="BV204" s="134" t="s">
        <v>143</v>
      </c>
      <c r="BW204" s="132">
        <v>14.71</v>
      </c>
      <c r="BX204" s="91">
        <v>15.36</v>
      </c>
      <c r="BY204" s="91">
        <v>15.38</v>
      </c>
      <c r="BZ204" s="91">
        <v>14.43</v>
      </c>
      <c r="CA204" s="91">
        <v>2.67</v>
      </c>
      <c r="CB204" s="91">
        <v>12.52</v>
      </c>
      <c r="CC204" s="91"/>
      <c r="CD204" s="134" t="s">
        <v>143</v>
      </c>
      <c r="CE204" s="132">
        <v>13.1</v>
      </c>
      <c r="CF204" s="91">
        <v>14.14</v>
      </c>
      <c r="CG204" s="91">
        <v>13.71</v>
      </c>
      <c r="CH204" s="91">
        <v>12.81</v>
      </c>
      <c r="CI204" s="91">
        <v>0.36</v>
      </c>
      <c r="CJ204" s="91">
        <v>10.71</v>
      </c>
      <c r="CL204" s="134" t="s">
        <v>143</v>
      </c>
      <c r="CM204" s="132">
        <v>15.93</v>
      </c>
      <c r="CN204" s="91">
        <v>15.57</v>
      </c>
      <c r="CO204" s="91">
        <v>16.63</v>
      </c>
      <c r="CP204" s="91">
        <v>15.48</v>
      </c>
      <c r="CQ204" s="91">
        <v>5.39</v>
      </c>
      <c r="CR204" s="91">
        <v>13.31</v>
      </c>
      <c r="CT204" s="134" t="s">
        <v>143</v>
      </c>
      <c r="CU204" s="132">
        <v>13.76</v>
      </c>
      <c r="CV204" s="132">
        <v>13.37</v>
      </c>
      <c r="CW204" s="91"/>
      <c r="CX204" s="91"/>
      <c r="CY204" s="91"/>
      <c r="CZ204" s="91"/>
      <c r="DB204" s="134" t="s">
        <v>143</v>
      </c>
      <c r="DC204" s="132">
        <v>16.71</v>
      </c>
      <c r="DD204" s="91">
        <v>16.79</v>
      </c>
      <c r="DE204" s="91"/>
      <c r="DF204" s="91"/>
      <c r="DG204" s="91"/>
      <c r="DH204" s="91"/>
      <c r="DI204" s="91"/>
      <c r="DJ204" s="134" t="s">
        <v>143</v>
      </c>
      <c r="DK204" s="132">
        <v>10.25</v>
      </c>
      <c r="DL204" s="91">
        <v>10.57</v>
      </c>
      <c r="DM204" s="91"/>
      <c r="DN204" s="91"/>
      <c r="DO204" s="91"/>
      <c r="DP204" s="91"/>
      <c r="DR204" s="134" t="s">
        <v>143</v>
      </c>
      <c r="DS204" s="132">
        <v>14.76</v>
      </c>
      <c r="DT204" s="91">
        <v>14.77</v>
      </c>
      <c r="DU204" s="91"/>
      <c r="DV204" s="91"/>
      <c r="DW204" s="91"/>
      <c r="DX204" s="91"/>
      <c r="DZ204" s="134" t="s">
        <v>143</v>
      </c>
      <c r="EA204" s="132">
        <v>16.22</v>
      </c>
      <c r="EB204" s="91"/>
      <c r="EC204" s="91"/>
      <c r="ED204" s="91"/>
      <c r="EE204" s="91"/>
      <c r="EF204" s="91"/>
    </row>
    <row r="205" spans="1:136" s="90" customFormat="1" x14ac:dyDescent="0.2">
      <c r="A205" s="292"/>
      <c r="B205" s="134" t="s">
        <v>5</v>
      </c>
      <c r="C205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5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16.884999999999998</v>
      </c>
      <c r="E205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17.834</v>
      </c>
      <c r="F205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18.131250000000001</v>
      </c>
      <c r="G205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10.2225</v>
      </c>
      <c r="H205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12.9</v>
      </c>
      <c r="I205" s="91"/>
      <c r="J205" s="134" t="s">
        <v>5</v>
      </c>
      <c r="K205" s="132"/>
      <c r="L205" s="91">
        <v>15.37</v>
      </c>
      <c r="M205" s="91">
        <v>15.99</v>
      </c>
      <c r="N205" s="91">
        <v>14.52</v>
      </c>
      <c r="O205" s="91">
        <v>5.41</v>
      </c>
      <c r="P205" s="91">
        <v>14.12</v>
      </c>
      <c r="R205" s="134" t="s">
        <v>5</v>
      </c>
      <c r="S205" s="132"/>
      <c r="T205" s="91">
        <v>14.81</v>
      </c>
      <c r="U205" s="91">
        <v>15.25</v>
      </c>
      <c r="V205" s="91">
        <v>14.46</v>
      </c>
      <c r="W205" s="91">
        <v>7.85</v>
      </c>
      <c r="X205" s="91">
        <v>12.98</v>
      </c>
      <c r="Z205" s="134" t="s">
        <v>5</v>
      </c>
      <c r="AA205" s="132"/>
      <c r="AB205" s="91">
        <v>13.93</v>
      </c>
      <c r="AC205" s="91">
        <v>14.35</v>
      </c>
      <c r="AD205" s="91">
        <v>12.1</v>
      </c>
      <c r="AE205" s="91">
        <v>5.59</v>
      </c>
      <c r="AF205" s="91">
        <v>12.44</v>
      </c>
      <c r="AH205" s="134" t="s">
        <v>5</v>
      </c>
      <c r="AI205" s="132"/>
      <c r="AJ205" s="132">
        <v>16.260000000000002</v>
      </c>
      <c r="AK205" s="91">
        <v>16.309999999999999</v>
      </c>
      <c r="AL205" s="91">
        <v>14.27</v>
      </c>
      <c r="AM205" s="91">
        <v>5.33</v>
      </c>
      <c r="AN205" s="91">
        <v>12.32</v>
      </c>
      <c r="AP205" s="134" t="s">
        <v>5</v>
      </c>
      <c r="AQ205" s="132"/>
      <c r="AR205" s="132">
        <v>15.56</v>
      </c>
      <c r="AS205" s="91">
        <v>16.36</v>
      </c>
      <c r="AT205" s="91">
        <v>14.55</v>
      </c>
      <c r="AU205" s="91">
        <v>8.06</v>
      </c>
      <c r="AV205" s="91"/>
      <c r="AX205" s="134" t="s">
        <v>5</v>
      </c>
      <c r="AY205" s="132"/>
      <c r="AZ205" s="132">
        <v>17.559999999999999</v>
      </c>
      <c r="BA205" s="91">
        <v>17.79</v>
      </c>
      <c r="BB205" s="91">
        <v>16.14</v>
      </c>
      <c r="BC205" s="91"/>
      <c r="BD205" s="91"/>
      <c r="BE205" s="91"/>
      <c r="BF205" s="134" t="s">
        <v>5</v>
      </c>
      <c r="BG205" s="132"/>
      <c r="BH205" s="91">
        <v>16.079999999999998</v>
      </c>
      <c r="BI205" s="91">
        <v>17.93</v>
      </c>
      <c r="BJ205" s="91"/>
      <c r="BK205" s="91"/>
      <c r="BL205" s="91"/>
      <c r="BM205" s="91"/>
      <c r="BN205" s="134" t="s">
        <v>5</v>
      </c>
      <c r="BO205" s="132"/>
      <c r="BP205" s="91">
        <v>13.67</v>
      </c>
      <c r="BQ205" s="91">
        <v>15.1</v>
      </c>
      <c r="BR205" s="91">
        <v>12.68</v>
      </c>
      <c r="BS205" s="91">
        <v>9.14</v>
      </c>
      <c r="BT205" s="91">
        <v>11.96</v>
      </c>
      <c r="BV205" s="134" t="s">
        <v>5</v>
      </c>
      <c r="BW205" s="132"/>
      <c r="BX205" s="91">
        <v>15.97</v>
      </c>
      <c r="BY205" s="91">
        <v>17.059999999999999</v>
      </c>
      <c r="BZ205" s="91">
        <v>15.97</v>
      </c>
      <c r="CA205" s="91">
        <v>18.87</v>
      </c>
      <c r="CB205" s="91">
        <v>13.66</v>
      </c>
      <c r="CC205" s="91"/>
      <c r="CD205" s="134" t="s">
        <v>5</v>
      </c>
      <c r="CE205" s="132"/>
      <c r="CF205" s="91">
        <v>14.47</v>
      </c>
      <c r="CG205" s="91">
        <v>15.07</v>
      </c>
      <c r="CH205" s="91">
        <v>14.31</v>
      </c>
      <c r="CI205" s="91">
        <v>13.9</v>
      </c>
      <c r="CJ205" s="91">
        <v>11.66</v>
      </c>
      <c r="CL205" s="134" t="s">
        <v>5</v>
      </c>
      <c r="CM205" s="132"/>
      <c r="CN205" s="91">
        <v>15.17</v>
      </c>
      <c r="CO205" s="91">
        <v>17.13</v>
      </c>
      <c r="CP205" s="91">
        <v>16.05</v>
      </c>
      <c r="CQ205" s="91">
        <v>7.63</v>
      </c>
      <c r="CR205" s="91">
        <v>14.06</v>
      </c>
      <c r="CT205" s="134" t="s">
        <v>5</v>
      </c>
      <c r="CU205" s="132"/>
      <c r="CV205" s="132">
        <v>13.41</v>
      </c>
      <c r="CW205" s="91"/>
      <c r="CX205" s="91"/>
      <c r="CY205" s="91"/>
      <c r="CZ205" s="91"/>
      <c r="DB205" s="134" t="s">
        <v>5</v>
      </c>
      <c r="DC205" s="132"/>
      <c r="DD205" s="91">
        <v>16.52</v>
      </c>
      <c r="DE205" s="91"/>
      <c r="DF205" s="91"/>
      <c r="DG205" s="91"/>
      <c r="DH205" s="91"/>
      <c r="DI205" s="91"/>
      <c r="DJ205" s="134" t="s">
        <v>5</v>
      </c>
      <c r="DK205" s="132"/>
      <c r="DL205" s="91">
        <v>10.33</v>
      </c>
      <c r="DM205" s="91"/>
      <c r="DN205" s="91"/>
      <c r="DO205" s="91"/>
      <c r="DP205" s="91"/>
      <c r="DR205" s="134" t="s">
        <v>5</v>
      </c>
      <c r="DS205" s="132"/>
      <c r="DT205" s="91">
        <v>14.78</v>
      </c>
      <c r="DU205" s="91"/>
      <c r="DV205" s="91"/>
      <c r="DW205" s="91"/>
      <c r="DX205" s="91"/>
      <c r="DZ205" s="134" t="s">
        <v>5</v>
      </c>
      <c r="EA205" s="132"/>
      <c r="EB205" s="91"/>
      <c r="EC205" s="91"/>
      <c r="ED205" s="91"/>
      <c r="EE205" s="91"/>
      <c r="EF205" s="91"/>
    </row>
    <row r="206" spans="1:136" s="90" customFormat="1" x14ac:dyDescent="0.2">
      <c r="A206" s="292"/>
      <c r="B206" s="134" t="s">
        <v>7</v>
      </c>
      <c r="C206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6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17.323</v>
      </c>
      <c r="E206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17.106999999999999</v>
      </c>
      <c r="F206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17.44125</v>
      </c>
      <c r="G206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8.682500000000001</v>
      </c>
      <c r="H206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11.936249999999999</v>
      </c>
      <c r="I206" s="91"/>
      <c r="J206" s="134" t="s">
        <v>7</v>
      </c>
      <c r="K206" s="132"/>
      <c r="L206" s="91">
        <v>15.59</v>
      </c>
      <c r="M206" s="91">
        <v>15.69</v>
      </c>
      <c r="N206" s="91">
        <v>13.9</v>
      </c>
      <c r="O206" s="91">
        <v>6.92</v>
      </c>
      <c r="P206" s="91">
        <v>12.79</v>
      </c>
      <c r="R206" s="134" t="s">
        <v>7</v>
      </c>
      <c r="S206" s="132"/>
      <c r="T206" s="91">
        <v>15.7</v>
      </c>
      <c r="U206" s="91">
        <v>14.83</v>
      </c>
      <c r="V206" s="91">
        <v>13.6</v>
      </c>
      <c r="W206" s="91">
        <v>8.57</v>
      </c>
      <c r="X206" s="91">
        <v>12.48</v>
      </c>
      <c r="Z206" s="134" t="s">
        <v>7</v>
      </c>
      <c r="AA206" s="132"/>
      <c r="AB206" s="91">
        <v>14.44</v>
      </c>
      <c r="AC206" s="91">
        <v>13.67</v>
      </c>
      <c r="AD206" s="91">
        <v>12.12</v>
      </c>
      <c r="AE206" s="91">
        <v>6.43</v>
      </c>
      <c r="AF206" s="91">
        <v>10.99</v>
      </c>
      <c r="AH206" s="134" t="s">
        <v>7</v>
      </c>
      <c r="AI206" s="132"/>
      <c r="AJ206" s="132">
        <v>16.52</v>
      </c>
      <c r="AK206" s="91">
        <v>16.3</v>
      </c>
      <c r="AL206" s="91">
        <v>14.91</v>
      </c>
      <c r="AM206" s="91">
        <v>3.98</v>
      </c>
      <c r="AN206" s="91">
        <v>13.08</v>
      </c>
      <c r="AP206" s="134" t="s">
        <v>7</v>
      </c>
      <c r="AQ206" s="132"/>
      <c r="AR206" s="132">
        <v>16.34</v>
      </c>
      <c r="AS206" s="91">
        <v>15.69</v>
      </c>
      <c r="AT206" s="91">
        <v>13.97</v>
      </c>
      <c r="AU206" s="91">
        <v>6.51</v>
      </c>
      <c r="AV206" s="91"/>
      <c r="AX206" s="134" t="s">
        <v>7</v>
      </c>
      <c r="AY206" s="132"/>
      <c r="AZ206" s="132">
        <v>18.23</v>
      </c>
      <c r="BA206" s="91">
        <v>17.61</v>
      </c>
      <c r="BB206" s="91">
        <v>15.33</v>
      </c>
      <c r="BC206" s="91"/>
      <c r="BD206" s="91"/>
      <c r="BE206" s="91"/>
      <c r="BF206" s="134" t="s">
        <v>7</v>
      </c>
      <c r="BG206" s="132"/>
      <c r="BH206" s="91">
        <v>16.690000000000001</v>
      </c>
      <c r="BI206" s="91">
        <v>16.68</v>
      </c>
      <c r="BJ206" s="91"/>
      <c r="BK206" s="91"/>
      <c r="BL206" s="91"/>
      <c r="BM206" s="91"/>
      <c r="BN206" s="134" t="s">
        <v>7</v>
      </c>
      <c r="BO206" s="132"/>
      <c r="BP206" s="91">
        <v>14.08</v>
      </c>
      <c r="BQ206" s="91">
        <v>13.45</v>
      </c>
      <c r="BR206" s="91">
        <v>11.76</v>
      </c>
      <c r="BS206" s="91">
        <v>8.17</v>
      </c>
      <c r="BT206" s="91">
        <v>10.09</v>
      </c>
      <c r="BV206" s="134" t="s">
        <v>7</v>
      </c>
      <c r="BW206" s="132"/>
      <c r="BX206" s="91">
        <v>15.62</v>
      </c>
      <c r="BY206" s="91">
        <v>15.95</v>
      </c>
      <c r="BZ206" s="91">
        <v>15.15</v>
      </c>
      <c r="CA206" s="91">
        <v>10.039999999999999</v>
      </c>
      <c r="CB206" s="91">
        <v>12.32</v>
      </c>
      <c r="CC206" s="91"/>
      <c r="CD206" s="134" t="s">
        <v>7</v>
      </c>
      <c r="CE206" s="132"/>
      <c r="CF206" s="91">
        <v>14.15</v>
      </c>
      <c r="CG206" s="91">
        <v>14.22</v>
      </c>
      <c r="CH206" s="91">
        <v>13.3</v>
      </c>
      <c r="CI206" s="91">
        <v>11.24</v>
      </c>
      <c r="CJ206" s="91">
        <v>10.52</v>
      </c>
      <c r="CL206" s="134" t="s">
        <v>7</v>
      </c>
      <c r="CM206" s="132"/>
      <c r="CN206" s="91">
        <v>15.87</v>
      </c>
      <c r="CO206" s="91">
        <v>16.98</v>
      </c>
      <c r="CP206" s="91">
        <v>15.49</v>
      </c>
      <c r="CQ206" s="91">
        <v>7.6</v>
      </c>
      <c r="CR206" s="91">
        <v>13.22</v>
      </c>
      <c r="CT206" s="134" t="s">
        <v>7</v>
      </c>
      <c r="CU206" s="132"/>
      <c r="CV206" s="132">
        <v>14</v>
      </c>
      <c r="CW206" s="91"/>
      <c r="CX206" s="91"/>
      <c r="CY206" s="91"/>
      <c r="CZ206" s="91"/>
      <c r="DB206" s="134" t="s">
        <v>7</v>
      </c>
      <c r="DC206" s="132"/>
      <c r="DD206" s="91">
        <v>16.829999999999998</v>
      </c>
      <c r="DE206" s="91"/>
      <c r="DF206" s="91"/>
      <c r="DG206" s="91"/>
      <c r="DH206" s="91"/>
      <c r="DI206" s="91"/>
      <c r="DJ206" s="134" t="s">
        <v>7</v>
      </c>
      <c r="DK206" s="132"/>
      <c r="DL206" s="91">
        <v>10.83</v>
      </c>
      <c r="DM206" s="91"/>
      <c r="DN206" s="91"/>
      <c r="DO206" s="91"/>
      <c r="DP206" s="91"/>
      <c r="DR206" s="134" t="s">
        <v>7</v>
      </c>
      <c r="DS206" s="132"/>
      <c r="DT206" s="91">
        <v>15.43</v>
      </c>
      <c r="DU206" s="91"/>
      <c r="DV206" s="91"/>
      <c r="DW206" s="91"/>
      <c r="DX206" s="91"/>
      <c r="DZ206" s="134" t="s">
        <v>7</v>
      </c>
      <c r="EA206" s="132"/>
      <c r="EB206" s="91"/>
      <c r="EC206" s="91"/>
      <c r="ED206" s="91"/>
      <c r="EE206" s="91"/>
      <c r="EF206" s="91"/>
    </row>
    <row r="207" spans="1:136" s="90" customFormat="1" x14ac:dyDescent="0.2">
      <c r="A207" s="292"/>
      <c r="B207" s="134" t="s">
        <v>9</v>
      </c>
      <c r="C207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7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17.408000000000001</v>
      </c>
      <c r="E207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18.936</v>
      </c>
      <c r="F207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19.37</v>
      </c>
      <c r="G207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7.4725000000000001</v>
      </c>
      <c r="H207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0.11375012500000001</v>
      </c>
      <c r="I207" s="91"/>
      <c r="J207" s="134" t="s">
        <v>9</v>
      </c>
      <c r="K207" s="132"/>
      <c r="L207" s="91">
        <v>15.15</v>
      </c>
      <c r="M207" s="91">
        <v>16.96</v>
      </c>
      <c r="N207" s="91">
        <v>15.46</v>
      </c>
      <c r="O207" s="91">
        <v>4.66</v>
      </c>
      <c r="P207" s="91">
        <v>9.9999999999999995E-7</v>
      </c>
      <c r="R207" s="134" t="s">
        <v>9</v>
      </c>
      <c r="S207" s="132"/>
      <c r="T207" s="91">
        <v>16.02</v>
      </c>
      <c r="U207" s="91">
        <v>16.739999999999998</v>
      </c>
      <c r="V207" s="91">
        <v>15.66</v>
      </c>
      <c r="W207" s="91">
        <v>7</v>
      </c>
      <c r="X207" s="91">
        <v>0</v>
      </c>
      <c r="Z207" s="134" t="s">
        <v>9</v>
      </c>
      <c r="AA207" s="132"/>
      <c r="AB207" s="91">
        <v>14.03</v>
      </c>
      <c r="AC207" s="91">
        <v>15.4</v>
      </c>
      <c r="AD207" s="91">
        <v>13.61</v>
      </c>
      <c r="AE207" s="91">
        <v>5</v>
      </c>
      <c r="AF207" s="91">
        <v>0</v>
      </c>
      <c r="AH207" s="134" t="s">
        <v>9</v>
      </c>
      <c r="AI207" s="132"/>
      <c r="AJ207" s="132">
        <v>16.43</v>
      </c>
      <c r="AK207" s="91">
        <v>17.25</v>
      </c>
      <c r="AL207" s="91">
        <v>15.95</v>
      </c>
      <c r="AM207" s="91">
        <v>3.94</v>
      </c>
      <c r="AN207" s="91">
        <v>0</v>
      </c>
      <c r="AP207" s="134" t="s">
        <v>9</v>
      </c>
      <c r="AQ207" s="132"/>
      <c r="AR207" s="132">
        <v>15.76</v>
      </c>
      <c r="AS207" s="91">
        <v>16.66</v>
      </c>
      <c r="AT207" s="91">
        <v>15.47</v>
      </c>
      <c r="AU207" s="91">
        <v>7.34</v>
      </c>
      <c r="AV207" s="91"/>
      <c r="AX207" s="134" t="s">
        <v>9</v>
      </c>
      <c r="AY207" s="132"/>
      <c r="AZ207" s="132">
        <v>18.71</v>
      </c>
      <c r="BA207" s="91">
        <v>19.239999999999998</v>
      </c>
      <c r="BB207" s="91">
        <v>16.649999999999999</v>
      </c>
      <c r="BC207" s="91"/>
      <c r="BD207" s="91"/>
      <c r="BE207" s="91"/>
      <c r="BF207" s="134" t="s">
        <v>9</v>
      </c>
      <c r="BG207" s="132"/>
      <c r="BH207" s="91">
        <v>16.86</v>
      </c>
      <c r="BI207" s="91">
        <v>19.329999999999998</v>
      </c>
      <c r="BJ207" s="91"/>
      <c r="BK207" s="91"/>
      <c r="BL207" s="91"/>
      <c r="BM207" s="91"/>
      <c r="BN207" s="134" t="s">
        <v>9</v>
      </c>
      <c r="BO207" s="132"/>
      <c r="BP207" s="91">
        <v>13.91</v>
      </c>
      <c r="BQ207" s="91">
        <v>16.09</v>
      </c>
      <c r="BR207" s="91">
        <v>13.6</v>
      </c>
      <c r="BS207" s="91">
        <v>8.4600000000000009</v>
      </c>
      <c r="BT207" s="91">
        <v>0</v>
      </c>
      <c r="BV207" s="134" t="s">
        <v>9</v>
      </c>
      <c r="BW207" s="132"/>
      <c r="BX207" s="91">
        <v>16.57</v>
      </c>
      <c r="BY207" s="91">
        <v>18.32</v>
      </c>
      <c r="BZ207" s="91">
        <v>17.399999999999999</v>
      </c>
      <c r="CA207" s="91">
        <v>10.42</v>
      </c>
      <c r="CB207" s="91">
        <v>0</v>
      </c>
      <c r="CC207" s="91"/>
      <c r="CD207" s="134" t="s">
        <v>9</v>
      </c>
      <c r="CE207" s="132"/>
      <c r="CF207" s="91">
        <v>14.93</v>
      </c>
      <c r="CG207" s="91">
        <v>15.74</v>
      </c>
      <c r="CH207" s="91">
        <v>14.51</v>
      </c>
      <c r="CI207" s="91">
        <v>5.91</v>
      </c>
      <c r="CJ207" s="91">
        <v>0.91</v>
      </c>
      <c r="CL207" s="134" t="s">
        <v>9</v>
      </c>
      <c r="CM207" s="132"/>
      <c r="CN207" s="91">
        <v>15.71</v>
      </c>
      <c r="CO207" s="91">
        <v>17.63</v>
      </c>
      <c r="CP207" s="91">
        <v>16.649999999999999</v>
      </c>
      <c r="CQ207" s="91">
        <v>7.05</v>
      </c>
      <c r="CR207" s="91">
        <v>0</v>
      </c>
      <c r="CT207" s="134" t="s">
        <v>9</v>
      </c>
      <c r="CU207" s="132"/>
      <c r="CV207" s="132">
        <v>13.42</v>
      </c>
      <c r="CW207" s="91"/>
      <c r="CX207" s="91"/>
      <c r="CY207" s="91"/>
      <c r="CZ207" s="91"/>
      <c r="DB207" s="134" t="s">
        <v>9</v>
      </c>
      <c r="DC207" s="132"/>
      <c r="DD207" s="91">
        <v>16.57</v>
      </c>
      <c r="DE207" s="91"/>
      <c r="DF207" s="91"/>
      <c r="DG207" s="91"/>
      <c r="DH207" s="91"/>
      <c r="DI207" s="91"/>
      <c r="DJ207" s="134" t="s">
        <v>9</v>
      </c>
      <c r="DK207" s="132"/>
      <c r="DL207" s="91">
        <v>10.42</v>
      </c>
      <c r="DM207" s="91"/>
      <c r="DN207" s="91"/>
      <c r="DO207" s="91"/>
      <c r="DP207" s="91"/>
      <c r="DR207" s="134" t="s">
        <v>9</v>
      </c>
      <c r="DS207" s="132"/>
      <c r="DT207" s="91">
        <v>14.65</v>
      </c>
      <c r="DU207" s="91"/>
      <c r="DV207" s="91"/>
      <c r="DW207" s="91"/>
      <c r="DX207" s="91"/>
      <c r="DZ207" s="134" t="s">
        <v>9</v>
      </c>
      <c r="EA207" s="132"/>
      <c r="EB207" s="91"/>
      <c r="EC207" s="91"/>
      <c r="ED207" s="91"/>
      <c r="EE207" s="91"/>
      <c r="EF207" s="91"/>
    </row>
    <row r="208" spans="1:136" s="90" customFormat="1" x14ac:dyDescent="0.2">
      <c r="A208" s="292"/>
      <c r="B208" s="134" t="s">
        <v>11</v>
      </c>
      <c r="C208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8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17.504000000000001</v>
      </c>
      <c r="E208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18.344999999999995</v>
      </c>
      <c r="F208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18.678750000000001</v>
      </c>
      <c r="G208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15.69125</v>
      </c>
      <c r="H208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0.171250125</v>
      </c>
      <c r="I208" s="91"/>
      <c r="J208" s="134" t="s">
        <v>11</v>
      </c>
      <c r="K208" s="132"/>
      <c r="L208" s="91">
        <v>15.77</v>
      </c>
      <c r="M208" s="91">
        <v>16.149999999999999</v>
      </c>
      <c r="N208" s="91">
        <v>14.63</v>
      </c>
      <c r="O208" s="91">
        <v>12.9</v>
      </c>
      <c r="P208" s="91">
        <v>9.9999999999999995E-7</v>
      </c>
      <c r="R208" s="134" t="s">
        <v>11</v>
      </c>
      <c r="S208" s="132"/>
      <c r="T208" s="91">
        <v>16.3</v>
      </c>
      <c r="U208" s="91">
        <v>16.21</v>
      </c>
      <c r="V208" s="91">
        <v>14.56</v>
      </c>
      <c r="W208" s="91">
        <v>14.02</v>
      </c>
      <c r="X208" s="91">
        <v>0</v>
      </c>
      <c r="Z208" s="134" t="s">
        <v>11</v>
      </c>
      <c r="AA208" s="132"/>
      <c r="AB208" s="91">
        <v>13.44</v>
      </c>
      <c r="AC208" s="91">
        <v>13.56</v>
      </c>
      <c r="AD208" s="91">
        <v>12.54</v>
      </c>
      <c r="AE208" s="91">
        <v>10.37</v>
      </c>
      <c r="AF208" s="91">
        <v>0</v>
      </c>
      <c r="AH208" s="134" t="s">
        <v>11</v>
      </c>
      <c r="AI208" s="132"/>
      <c r="AJ208" s="132">
        <v>16.809999999999999</v>
      </c>
      <c r="AK208" s="91">
        <v>16.55</v>
      </c>
      <c r="AL208" s="91">
        <v>15.04</v>
      </c>
      <c r="AM208" s="91">
        <v>12.82</v>
      </c>
      <c r="AN208" s="91">
        <v>0</v>
      </c>
      <c r="AP208" s="134" t="s">
        <v>11</v>
      </c>
      <c r="AQ208" s="132"/>
      <c r="AR208" s="132">
        <v>15.87</v>
      </c>
      <c r="AS208" s="91">
        <v>16.36</v>
      </c>
      <c r="AT208" s="91">
        <v>14.85</v>
      </c>
      <c r="AU208" s="91">
        <v>14.05</v>
      </c>
      <c r="AV208" s="91"/>
      <c r="AX208" s="134" t="s">
        <v>11</v>
      </c>
      <c r="AY208" s="132"/>
      <c r="AZ208" s="132">
        <v>18.13</v>
      </c>
      <c r="BA208" s="91">
        <v>19.36</v>
      </c>
      <c r="BB208" s="91">
        <v>17.2</v>
      </c>
      <c r="BC208" s="91"/>
      <c r="BD208" s="91"/>
      <c r="BE208" s="91"/>
      <c r="BF208" s="134" t="s">
        <v>11</v>
      </c>
      <c r="BG208" s="132"/>
      <c r="BH208" s="91">
        <v>17.38</v>
      </c>
      <c r="BI208" s="91">
        <v>18.63</v>
      </c>
      <c r="BJ208" s="91"/>
      <c r="BK208" s="91"/>
      <c r="BL208" s="91"/>
      <c r="BM208" s="91"/>
      <c r="BN208" s="134" t="s">
        <v>11</v>
      </c>
      <c r="BO208" s="132"/>
      <c r="BP208" s="91">
        <v>13.93</v>
      </c>
      <c r="BQ208" s="91">
        <v>14.69</v>
      </c>
      <c r="BR208" s="91">
        <v>13</v>
      </c>
      <c r="BS208" s="91">
        <v>13.4</v>
      </c>
      <c r="BT208" s="91">
        <v>0</v>
      </c>
      <c r="BV208" s="134" t="s">
        <v>11</v>
      </c>
      <c r="BW208" s="132"/>
      <c r="BX208" s="91">
        <v>16.86</v>
      </c>
      <c r="BY208" s="91">
        <v>18.32</v>
      </c>
      <c r="BZ208" s="91">
        <v>17.09</v>
      </c>
      <c r="CA208" s="91">
        <v>17.11</v>
      </c>
      <c r="CB208" s="91">
        <v>0.68</v>
      </c>
      <c r="CC208" s="91"/>
      <c r="CD208" s="134" t="s">
        <v>11</v>
      </c>
      <c r="CE208" s="132"/>
      <c r="CF208" s="91">
        <v>14.81</v>
      </c>
      <c r="CG208" s="91">
        <v>16.14</v>
      </c>
      <c r="CH208" s="91">
        <v>14.36</v>
      </c>
      <c r="CI208" s="91">
        <v>15.26</v>
      </c>
      <c r="CJ208" s="91">
        <v>0.69</v>
      </c>
      <c r="CL208" s="134" t="s">
        <v>11</v>
      </c>
      <c r="CM208" s="132"/>
      <c r="CN208" s="91">
        <v>15.74</v>
      </c>
      <c r="CO208" s="91">
        <v>17.48</v>
      </c>
      <c r="CP208" s="91">
        <v>16.16</v>
      </c>
      <c r="CQ208" s="91">
        <v>15.6</v>
      </c>
      <c r="CR208" s="91">
        <v>0</v>
      </c>
      <c r="CT208" s="134" t="s">
        <v>11</v>
      </c>
      <c r="CU208" s="132"/>
      <c r="CV208" s="132">
        <v>13.64</v>
      </c>
      <c r="CW208" s="91"/>
      <c r="CX208" s="91"/>
      <c r="CY208" s="91"/>
      <c r="CZ208" s="91"/>
      <c r="DB208" s="134" t="s">
        <v>11</v>
      </c>
      <c r="DC208" s="132"/>
      <c r="DD208" s="91">
        <v>16.72</v>
      </c>
      <c r="DE208" s="91"/>
      <c r="DF208" s="91"/>
      <c r="DG208" s="91"/>
      <c r="DH208" s="91"/>
      <c r="DI208" s="91"/>
      <c r="DJ208" s="134" t="s">
        <v>11</v>
      </c>
      <c r="DK208" s="132"/>
      <c r="DL208" s="91">
        <v>10.44</v>
      </c>
      <c r="DM208" s="91"/>
      <c r="DN208" s="91"/>
      <c r="DO208" s="91"/>
      <c r="DP208" s="91"/>
      <c r="DR208" s="134" t="s">
        <v>11</v>
      </c>
      <c r="DS208" s="132"/>
      <c r="DT208" s="91">
        <v>14.77</v>
      </c>
      <c r="DU208" s="91"/>
      <c r="DV208" s="91"/>
      <c r="DW208" s="91"/>
      <c r="DX208" s="91"/>
      <c r="DZ208" s="134" t="s">
        <v>11</v>
      </c>
      <c r="EA208" s="132"/>
      <c r="EB208" s="91"/>
      <c r="EC208" s="91"/>
      <c r="ED208" s="91"/>
      <c r="EE208" s="91"/>
      <c r="EF208" s="91"/>
    </row>
    <row r="209" spans="1:136" s="90" customFormat="1" x14ac:dyDescent="0.2">
      <c r="A209" s="292"/>
      <c r="B209" s="134" t="s">
        <v>0</v>
      </c>
      <c r="C209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9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17.097000000000001</v>
      </c>
      <c r="E209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17.610999999999997</v>
      </c>
      <c r="F209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18.5075</v>
      </c>
      <c r="G209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15.9</v>
      </c>
      <c r="H209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13.106250000000001</v>
      </c>
      <c r="I209" s="91"/>
      <c r="J209" s="134" t="s">
        <v>0</v>
      </c>
      <c r="K209" s="132"/>
      <c r="L209" s="91">
        <v>15.63</v>
      </c>
      <c r="M209" s="91">
        <v>15.59</v>
      </c>
      <c r="N209" s="91">
        <v>14.7</v>
      </c>
      <c r="O209" s="91">
        <v>13.48</v>
      </c>
      <c r="P209" s="91">
        <v>12.94</v>
      </c>
      <c r="R209" s="134" t="s">
        <v>0</v>
      </c>
      <c r="S209" s="132"/>
      <c r="T209" s="91">
        <v>15.27</v>
      </c>
      <c r="U209" s="91">
        <v>15.71</v>
      </c>
      <c r="V209" s="91">
        <v>14.59</v>
      </c>
      <c r="W209" s="91">
        <v>13.85</v>
      </c>
      <c r="X209" s="91">
        <v>13.22</v>
      </c>
      <c r="Z209" s="134" t="s">
        <v>0</v>
      </c>
      <c r="AA209" s="132"/>
      <c r="AB209" s="91">
        <v>13.6</v>
      </c>
      <c r="AC209" s="91">
        <v>14.08</v>
      </c>
      <c r="AD209" s="91">
        <v>12.41</v>
      </c>
      <c r="AE209" s="91">
        <v>12</v>
      </c>
      <c r="AF209" s="91">
        <v>11.26</v>
      </c>
      <c r="AH209" s="134" t="s">
        <v>0</v>
      </c>
      <c r="AI209" s="132"/>
      <c r="AJ209" s="132">
        <v>16.13</v>
      </c>
      <c r="AK209" s="91">
        <v>15.99</v>
      </c>
      <c r="AL209" s="91">
        <v>14.96</v>
      </c>
      <c r="AM209" s="91">
        <v>13.99</v>
      </c>
      <c r="AN209" s="91">
        <v>13.12</v>
      </c>
      <c r="AP209" s="134" t="s">
        <v>0</v>
      </c>
      <c r="AQ209" s="132"/>
      <c r="AR209" s="132">
        <v>15.91</v>
      </c>
      <c r="AS209" s="91">
        <v>15.64</v>
      </c>
      <c r="AT209" s="91">
        <v>14.52</v>
      </c>
      <c r="AU209" s="91">
        <v>14.57</v>
      </c>
      <c r="AV209" s="91"/>
      <c r="AX209" s="134" t="s">
        <v>0</v>
      </c>
      <c r="AY209" s="132"/>
      <c r="AZ209" s="132">
        <v>17.559999999999999</v>
      </c>
      <c r="BA209" s="91">
        <v>18.059999999999999</v>
      </c>
      <c r="BB209" s="91">
        <v>16.809999999999999</v>
      </c>
      <c r="BC209" s="91"/>
      <c r="BD209" s="91"/>
      <c r="BE209" s="91"/>
      <c r="BF209" s="134" t="s">
        <v>0</v>
      </c>
      <c r="BG209" s="132"/>
      <c r="BH209" s="91">
        <v>16.329999999999998</v>
      </c>
      <c r="BI209" s="91">
        <v>17.13</v>
      </c>
      <c r="BJ209" s="91"/>
      <c r="BK209" s="91"/>
      <c r="BL209" s="91"/>
      <c r="BM209" s="91"/>
      <c r="BN209" s="134" t="s">
        <v>0</v>
      </c>
      <c r="BO209" s="132"/>
      <c r="BP209" s="91">
        <v>14.49</v>
      </c>
      <c r="BQ209" s="91">
        <v>14.95</v>
      </c>
      <c r="BR209" s="91">
        <v>14.04</v>
      </c>
      <c r="BS209" s="91">
        <v>14.19</v>
      </c>
      <c r="BT209" s="91">
        <v>13.21</v>
      </c>
      <c r="BV209" s="134" t="s">
        <v>0</v>
      </c>
      <c r="BW209" s="132"/>
      <c r="BX209" s="91">
        <v>15.72</v>
      </c>
      <c r="BY209" s="91">
        <v>16.88</v>
      </c>
      <c r="BZ209" s="91">
        <v>16.13</v>
      </c>
      <c r="CA209" s="91">
        <v>15.83</v>
      </c>
      <c r="CB209" s="91">
        <v>13.96</v>
      </c>
      <c r="CC209" s="91"/>
      <c r="CD209" s="134" t="s">
        <v>0</v>
      </c>
      <c r="CE209" s="132"/>
      <c r="CF209" s="91">
        <v>14.37</v>
      </c>
      <c r="CG209" s="91">
        <v>14.92</v>
      </c>
      <c r="CH209" s="91">
        <v>13.9</v>
      </c>
      <c r="CI209" s="91">
        <v>13.95</v>
      </c>
      <c r="CJ209" s="91">
        <v>12.78</v>
      </c>
      <c r="CL209" s="134" t="s">
        <v>0</v>
      </c>
      <c r="CM209" s="132"/>
      <c r="CN209" s="91">
        <v>15.96</v>
      </c>
      <c r="CO209" s="91">
        <v>17.16</v>
      </c>
      <c r="CP209" s="91">
        <v>16</v>
      </c>
      <c r="CQ209" s="91">
        <v>15.34</v>
      </c>
      <c r="CR209" s="91">
        <v>14.36</v>
      </c>
      <c r="CT209" s="134" t="s">
        <v>0</v>
      </c>
      <c r="CU209" s="132"/>
      <c r="CV209" s="132">
        <v>13.72</v>
      </c>
      <c r="CW209" s="91"/>
      <c r="CX209" s="91"/>
      <c r="CY209" s="91"/>
      <c r="CZ209" s="91"/>
      <c r="DB209" s="134" t="s">
        <v>0</v>
      </c>
      <c r="DC209" s="132"/>
      <c r="DD209" s="91">
        <v>16.48</v>
      </c>
      <c r="DE209" s="91"/>
      <c r="DF209" s="91"/>
      <c r="DG209" s="91"/>
      <c r="DH209" s="91"/>
      <c r="DI209" s="91"/>
      <c r="DJ209" s="134" t="s">
        <v>0</v>
      </c>
      <c r="DK209" s="132"/>
      <c r="DL209" s="91">
        <v>10.53</v>
      </c>
      <c r="DM209" s="91"/>
      <c r="DN209" s="91"/>
      <c r="DO209" s="91"/>
      <c r="DP209" s="91"/>
      <c r="DR209" s="134" t="s">
        <v>0</v>
      </c>
      <c r="DS209" s="132"/>
      <c r="DT209" s="91">
        <v>14.68</v>
      </c>
      <c r="DU209" s="91"/>
      <c r="DV209" s="91"/>
      <c r="DW209" s="91"/>
      <c r="DX209" s="91"/>
      <c r="DZ209" s="134" t="s">
        <v>0</v>
      </c>
      <c r="EA209" s="132"/>
      <c r="EB209" s="91"/>
      <c r="EC209" s="91"/>
      <c r="ED209" s="91"/>
      <c r="EE209" s="91"/>
      <c r="EF209" s="91"/>
    </row>
    <row r="210" spans="1:136" s="90" customFormat="1" x14ac:dyDescent="0.2">
      <c r="A210" s="292"/>
      <c r="B210" s="134" t="s">
        <v>1</v>
      </c>
      <c r="C210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0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18.746999999999996</v>
      </c>
      <c r="E210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19.904000000000003</v>
      </c>
      <c r="F210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20.37125</v>
      </c>
      <c r="G210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19.984999999999999</v>
      </c>
      <c r="H210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14.643749999999999</v>
      </c>
      <c r="I210" s="91"/>
      <c r="J210" s="134" t="s">
        <v>1</v>
      </c>
      <c r="K210" s="132"/>
      <c r="L210" s="91">
        <v>16.38</v>
      </c>
      <c r="M210" s="91">
        <v>16.77</v>
      </c>
      <c r="N210" s="91">
        <v>15.65</v>
      </c>
      <c r="O210" s="91">
        <v>15.27</v>
      </c>
      <c r="P210" s="91">
        <v>14.06</v>
      </c>
      <c r="R210" s="134" t="s">
        <v>1</v>
      </c>
      <c r="S210" s="132"/>
      <c r="T210" s="91">
        <v>16.57</v>
      </c>
      <c r="U210" s="91">
        <v>17.850000000000001</v>
      </c>
      <c r="V210" s="91">
        <v>15.66</v>
      </c>
      <c r="W210" s="91">
        <v>16.16</v>
      </c>
      <c r="X210" s="91">
        <v>14.89</v>
      </c>
      <c r="Z210" s="134" t="s">
        <v>1</v>
      </c>
      <c r="AA210" s="132"/>
      <c r="AB210" s="91">
        <v>14.85</v>
      </c>
      <c r="AC210" s="91">
        <v>15.22</v>
      </c>
      <c r="AD210" s="91">
        <v>14</v>
      </c>
      <c r="AE210" s="91">
        <v>12.82</v>
      </c>
      <c r="AF210" s="91">
        <v>12.26</v>
      </c>
      <c r="AH210" s="134" t="s">
        <v>1</v>
      </c>
      <c r="AI210" s="132"/>
      <c r="AJ210" s="132">
        <v>17.03</v>
      </c>
      <c r="AK210" s="91">
        <v>17.579999999999998</v>
      </c>
      <c r="AL210" s="91">
        <v>15.7</v>
      </c>
      <c r="AM210" s="91">
        <v>15.13</v>
      </c>
      <c r="AN210" s="91">
        <v>13.33</v>
      </c>
      <c r="AP210" s="134" t="s">
        <v>1</v>
      </c>
      <c r="AQ210" s="132"/>
      <c r="AR210" s="132">
        <v>17.079999999999998</v>
      </c>
      <c r="AS210" s="91">
        <v>17.54</v>
      </c>
      <c r="AT210" s="91">
        <v>15.47</v>
      </c>
      <c r="AU210" s="91">
        <v>15.93</v>
      </c>
      <c r="AV210" s="91"/>
      <c r="AX210" s="134" t="s">
        <v>1</v>
      </c>
      <c r="AY210" s="132"/>
      <c r="AZ210" s="132">
        <v>19.239999999999998</v>
      </c>
      <c r="BA210" s="91">
        <v>20.12</v>
      </c>
      <c r="BB210" s="91">
        <v>18.079999999999998</v>
      </c>
      <c r="BC210" s="91">
        <v>18.190000000000001</v>
      </c>
      <c r="BD210" s="91"/>
      <c r="BE210" s="91"/>
      <c r="BF210" s="134" t="s">
        <v>1</v>
      </c>
      <c r="BG210" s="132"/>
      <c r="BH210" s="91">
        <v>18.52</v>
      </c>
      <c r="BI210" s="91">
        <v>20.12</v>
      </c>
      <c r="BJ210" s="91"/>
      <c r="BK210" s="91"/>
      <c r="BL210" s="91"/>
      <c r="BM210" s="91"/>
      <c r="BN210" s="134" t="s">
        <v>1</v>
      </c>
      <c r="BO210" s="132"/>
      <c r="BP210" s="91">
        <v>16.670000000000002</v>
      </c>
      <c r="BQ210" s="91">
        <v>17.3</v>
      </c>
      <c r="BR210" s="91">
        <v>16.04</v>
      </c>
      <c r="BS210" s="91">
        <v>16.149999999999999</v>
      </c>
      <c r="BT210" s="91">
        <v>15.16</v>
      </c>
      <c r="BV210" s="134" t="s">
        <v>1</v>
      </c>
      <c r="BW210" s="132"/>
      <c r="BX210" s="91">
        <v>18.61</v>
      </c>
      <c r="BY210" s="91">
        <v>20.12</v>
      </c>
      <c r="BZ210" s="91">
        <v>18.72</v>
      </c>
      <c r="CA210" s="91">
        <v>17.68</v>
      </c>
      <c r="CB210" s="91">
        <v>17.02</v>
      </c>
      <c r="CC210" s="91"/>
      <c r="CD210" s="134" t="s">
        <v>1</v>
      </c>
      <c r="CE210" s="132"/>
      <c r="CF210" s="91">
        <v>16.010000000000002</v>
      </c>
      <c r="CG210" s="91">
        <v>17.41</v>
      </c>
      <c r="CH210" s="91">
        <v>16.41</v>
      </c>
      <c r="CI210" s="91">
        <v>15.32</v>
      </c>
      <c r="CJ210" s="91">
        <v>14.44</v>
      </c>
      <c r="CL210" s="134" t="s">
        <v>1</v>
      </c>
      <c r="CM210" s="132"/>
      <c r="CN210" s="91">
        <v>16.510000000000002</v>
      </c>
      <c r="CO210" s="91">
        <v>19.010000000000002</v>
      </c>
      <c r="CP210" s="91">
        <v>17.239999999999998</v>
      </c>
      <c r="CQ210" s="91">
        <v>17.23</v>
      </c>
      <c r="CR210" s="91">
        <v>15.99</v>
      </c>
      <c r="CT210" s="134" t="s">
        <v>1</v>
      </c>
      <c r="CU210" s="132"/>
      <c r="CV210" s="132">
        <v>14.49</v>
      </c>
      <c r="CW210" s="91"/>
      <c r="CX210" s="91"/>
      <c r="CY210" s="91"/>
      <c r="CZ210" s="91"/>
      <c r="DB210" s="134" t="s">
        <v>1</v>
      </c>
      <c r="DC210" s="132"/>
      <c r="DD210" s="91">
        <v>16.899999999999999</v>
      </c>
      <c r="DE210" s="91"/>
      <c r="DF210" s="91"/>
      <c r="DG210" s="91"/>
      <c r="DH210" s="91"/>
      <c r="DI210" s="91"/>
      <c r="DJ210" s="134" t="s">
        <v>1</v>
      </c>
      <c r="DK210" s="132"/>
      <c r="DL210" s="91">
        <v>11.37</v>
      </c>
      <c r="DM210" s="91"/>
      <c r="DN210" s="91"/>
      <c r="DO210" s="91"/>
      <c r="DP210" s="91"/>
      <c r="DR210" s="134" t="s">
        <v>1</v>
      </c>
      <c r="DS210" s="132"/>
      <c r="DT210" s="91">
        <v>15.55</v>
      </c>
      <c r="DU210" s="91"/>
      <c r="DV210" s="91"/>
      <c r="DW210" s="91"/>
      <c r="DX210" s="91"/>
      <c r="DZ210" s="134" t="s">
        <v>1</v>
      </c>
      <c r="EA210" s="132"/>
      <c r="EB210" s="91"/>
      <c r="EC210" s="91"/>
      <c r="ED210" s="91"/>
      <c r="EE210" s="91"/>
      <c r="EF210" s="91"/>
    </row>
    <row r="211" spans="1:136" s="90" customFormat="1" x14ac:dyDescent="0.2">
      <c r="A211" s="292"/>
      <c r="B211" s="134" t="s">
        <v>3</v>
      </c>
      <c r="C211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1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19.850000000000001</v>
      </c>
      <c r="E211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20.506999999999998</v>
      </c>
      <c r="F211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21.05875</v>
      </c>
      <c r="G211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20.733749999999997</v>
      </c>
      <c r="H211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15.5975</v>
      </c>
      <c r="I211" s="91"/>
      <c r="J211" s="134" t="s">
        <v>3</v>
      </c>
      <c r="K211" s="132"/>
      <c r="L211" s="91">
        <v>17.3</v>
      </c>
      <c r="M211" s="91">
        <v>17.41</v>
      </c>
      <c r="N211" s="91">
        <v>15.92</v>
      </c>
      <c r="O211" s="91">
        <v>15.81</v>
      </c>
      <c r="P211" s="91">
        <v>14.84</v>
      </c>
      <c r="R211" s="134" t="s">
        <v>3</v>
      </c>
      <c r="S211" s="132"/>
      <c r="T211" s="91">
        <v>14.96</v>
      </c>
      <c r="U211" s="91">
        <v>18.73</v>
      </c>
      <c r="V211" s="91">
        <v>16.57</v>
      </c>
      <c r="W211" s="91">
        <v>17.239999999999998</v>
      </c>
      <c r="X211" s="91">
        <v>15.95</v>
      </c>
      <c r="Z211" s="134" t="s">
        <v>3</v>
      </c>
      <c r="AA211" s="132"/>
      <c r="AB211" s="91">
        <v>15.66</v>
      </c>
      <c r="AC211" s="91">
        <v>15.15</v>
      </c>
      <c r="AD211" s="91">
        <v>14.21</v>
      </c>
      <c r="AE211" s="91">
        <v>13.38</v>
      </c>
      <c r="AF211" s="91">
        <v>13.46</v>
      </c>
      <c r="AH211" s="134" t="s">
        <v>3</v>
      </c>
      <c r="AI211" s="132"/>
      <c r="AJ211" s="132">
        <v>17.98</v>
      </c>
      <c r="AK211" s="91">
        <v>17.989999999999998</v>
      </c>
      <c r="AL211" s="91">
        <v>16.37</v>
      </c>
      <c r="AM211" s="91">
        <v>15.75</v>
      </c>
      <c r="AN211" s="91">
        <v>14.27</v>
      </c>
      <c r="AP211" s="134" t="s">
        <v>3</v>
      </c>
      <c r="AQ211" s="132"/>
      <c r="AR211" s="132">
        <v>18.3</v>
      </c>
      <c r="AS211" s="91">
        <v>17.75</v>
      </c>
      <c r="AT211" s="91">
        <v>16.489999999999998</v>
      </c>
      <c r="AU211" s="91">
        <v>16.649999999999999</v>
      </c>
      <c r="AV211" s="91"/>
      <c r="AX211" s="134" t="s">
        <v>3</v>
      </c>
      <c r="AY211" s="132"/>
      <c r="AZ211" s="132">
        <v>20.32</v>
      </c>
      <c r="BA211" s="91">
        <v>20.5</v>
      </c>
      <c r="BB211" s="91">
        <v>18.16</v>
      </c>
      <c r="BC211" s="91">
        <v>17.84</v>
      </c>
      <c r="BD211" s="91"/>
      <c r="BE211" s="91"/>
      <c r="BF211" s="134" t="s">
        <v>3</v>
      </c>
      <c r="BG211" s="132"/>
      <c r="BH211" s="91">
        <v>20.12</v>
      </c>
      <c r="BI211" s="91">
        <v>20.72</v>
      </c>
      <c r="BJ211" s="91"/>
      <c r="BK211" s="91"/>
      <c r="BL211" s="91"/>
      <c r="BM211" s="91"/>
      <c r="BN211" s="134" t="s">
        <v>3</v>
      </c>
      <c r="BO211" s="132"/>
      <c r="BP211" s="91">
        <v>17.63</v>
      </c>
      <c r="BQ211" s="91">
        <v>17.86</v>
      </c>
      <c r="BR211" s="91">
        <v>16.21</v>
      </c>
      <c r="BS211" s="91">
        <v>16.329999999999998</v>
      </c>
      <c r="BT211" s="91">
        <v>15.8</v>
      </c>
      <c r="BV211" s="134" t="s">
        <v>3</v>
      </c>
      <c r="BW211" s="132"/>
      <c r="BX211" s="91">
        <v>20.65</v>
      </c>
      <c r="BY211" s="91">
        <v>21.23</v>
      </c>
      <c r="BZ211" s="91">
        <v>19.23</v>
      </c>
      <c r="CA211" s="91">
        <v>18.829999999999998</v>
      </c>
      <c r="CB211" s="91">
        <v>17.71</v>
      </c>
      <c r="CC211" s="91"/>
      <c r="CD211" s="134" t="s">
        <v>3</v>
      </c>
      <c r="CE211" s="132"/>
      <c r="CF211" s="91">
        <v>17.559999999999999</v>
      </c>
      <c r="CG211" s="91">
        <v>18.399999999999999</v>
      </c>
      <c r="CH211" s="91">
        <v>17.34</v>
      </c>
      <c r="CI211" s="91">
        <v>16.079999999999998</v>
      </c>
      <c r="CJ211" s="91">
        <v>15.61</v>
      </c>
      <c r="CL211" s="134" t="s">
        <v>3</v>
      </c>
      <c r="CM211" s="132"/>
      <c r="CN211" s="91">
        <v>18.02</v>
      </c>
      <c r="CO211" s="91">
        <v>19.329999999999998</v>
      </c>
      <c r="CP211" s="91">
        <v>17.97</v>
      </c>
      <c r="CQ211" s="91">
        <v>17.96</v>
      </c>
      <c r="CR211" s="91">
        <v>17.14</v>
      </c>
      <c r="CT211" s="134" t="s">
        <v>3</v>
      </c>
      <c r="CU211" s="132"/>
      <c r="CV211" s="132">
        <v>15.45</v>
      </c>
      <c r="CW211" s="91"/>
      <c r="CX211" s="91"/>
      <c r="CY211" s="91"/>
      <c r="CZ211" s="91"/>
      <c r="DB211" s="134" t="s">
        <v>3</v>
      </c>
      <c r="DC211" s="132"/>
      <c r="DD211" s="91">
        <v>17.829999999999998</v>
      </c>
      <c r="DE211" s="91"/>
      <c r="DF211" s="91"/>
      <c r="DG211" s="91"/>
      <c r="DH211" s="91"/>
      <c r="DI211" s="91"/>
      <c r="DJ211" s="134" t="s">
        <v>3</v>
      </c>
      <c r="DK211" s="132"/>
      <c r="DL211" s="91">
        <v>11.92</v>
      </c>
      <c r="DM211" s="91"/>
      <c r="DN211" s="91"/>
      <c r="DO211" s="91"/>
      <c r="DP211" s="91"/>
      <c r="DR211" s="134" t="s">
        <v>3</v>
      </c>
      <c r="DS211" s="132"/>
      <c r="DT211" s="91">
        <v>16.5</v>
      </c>
      <c r="DU211" s="91"/>
      <c r="DV211" s="91"/>
      <c r="DW211" s="91"/>
      <c r="DX211" s="91"/>
      <c r="DZ211" s="134" t="s">
        <v>3</v>
      </c>
      <c r="EA211" s="132"/>
      <c r="EB211" s="91">
        <v>19.41</v>
      </c>
      <c r="EC211" s="91"/>
      <c r="ED211" s="91"/>
      <c r="EE211" s="91"/>
      <c r="EF211" s="91"/>
    </row>
    <row r="212" spans="1:136" s="90" customFormat="1" x14ac:dyDescent="0.2">
      <c r="A212" s="292"/>
      <c r="B212" s="134" t="s">
        <v>71</v>
      </c>
      <c r="C212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2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16.779</v>
      </c>
      <c r="E212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17.684000000000001</v>
      </c>
      <c r="F212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17.884999999999998</v>
      </c>
      <c r="G212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17.423750000000002</v>
      </c>
      <c r="H212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12.47875</v>
      </c>
      <c r="I212" s="91"/>
      <c r="J212" s="134" t="s">
        <v>71</v>
      </c>
      <c r="K212" s="132"/>
      <c r="L212" s="91">
        <v>15.4</v>
      </c>
      <c r="M212" s="91">
        <v>15.65</v>
      </c>
      <c r="N212" s="91">
        <v>13.8</v>
      </c>
      <c r="O212" s="91">
        <v>13.71</v>
      </c>
      <c r="P212" s="91">
        <v>12.7</v>
      </c>
      <c r="R212" s="134" t="s">
        <v>71</v>
      </c>
      <c r="S212" s="132"/>
      <c r="T212" s="91">
        <v>14.96</v>
      </c>
      <c r="U212" s="91">
        <v>15.44</v>
      </c>
      <c r="V212" s="91">
        <v>14.17</v>
      </c>
      <c r="W212" s="91">
        <v>14.28</v>
      </c>
      <c r="X212" s="91">
        <v>12.88</v>
      </c>
      <c r="Z212" s="134" t="s">
        <v>71</v>
      </c>
      <c r="AA212" s="132"/>
      <c r="AB212" s="91">
        <v>13.26</v>
      </c>
      <c r="AC212" s="91">
        <v>13.64</v>
      </c>
      <c r="AD212" s="91">
        <v>12.32</v>
      </c>
      <c r="AE212" s="91">
        <v>12.17</v>
      </c>
      <c r="AF212" s="91">
        <v>11.41</v>
      </c>
      <c r="AH212" s="134" t="s">
        <v>71</v>
      </c>
      <c r="AI212" s="132"/>
      <c r="AJ212" s="132">
        <v>15.95</v>
      </c>
      <c r="AK212" s="91">
        <v>16.25</v>
      </c>
      <c r="AL212" s="91">
        <v>14.72</v>
      </c>
      <c r="AM212" s="91">
        <v>14.33</v>
      </c>
      <c r="AN212" s="91">
        <v>12.26</v>
      </c>
      <c r="AP212" s="134" t="s">
        <v>71</v>
      </c>
      <c r="AQ212" s="132"/>
      <c r="AR212" s="132">
        <v>16.329999999999998</v>
      </c>
      <c r="AS212" s="91">
        <v>16.09</v>
      </c>
      <c r="AT212" s="91">
        <v>14.95</v>
      </c>
      <c r="AU212" s="91">
        <v>14.55</v>
      </c>
      <c r="AV212" s="91"/>
      <c r="AX212" s="134" t="s">
        <v>71</v>
      </c>
      <c r="AY212" s="132"/>
      <c r="AZ212" s="132">
        <v>17.52</v>
      </c>
      <c r="BA212" s="91">
        <v>18.899999999999999</v>
      </c>
      <c r="BB212" s="91">
        <v>16.39</v>
      </c>
      <c r="BC212" s="91">
        <v>15.67</v>
      </c>
      <c r="BD212" s="91"/>
      <c r="BE212" s="91"/>
      <c r="BF212" s="134" t="s">
        <v>71</v>
      </c>
      <c r="BG212" s="132"/>
      <c r="BH212" s="91">
        <v>15.92</v>
      </c>
      <c r="BI212" s="91">
        <v>17.309999999999999</v>
      </c>
      <c r="BJ212" s="91"/>
      <c r="BK212" s="91"/>
      <c r="BL212" s="91"/>
      <c r="BM212" s="91"/>
      <c r="BN212" s="134" t="s">
        <v>71</v>
      </c>
      <c r="BO212" s="132"/>
      <c r="BP212" s="91">
        <v>13.1</v>
      </c>
      <c r="BQ212" s="91">
        <v>13.37</v>
      </c>
      <c r="BR212" s="91">
        <v>11.87</v>
      </c>
      <c r="BS212" s="91">
        <v>11.34</v>
      </c>
      <c r="BT212" s="91">
        <v>10.63</v>
      </c>
      <c r="BV212" s="134" t="s">
        <v>71</v>
      </c>
      <c r="BW212" s="132"/>
      <c r="BX212" s="91">
        <v>15.86</v>
      </c>
      <c r="BY212" s="91">
        <v>17.05</v>
      </c>
      <c r="BZ212" s="91">
        <v>15.29</v>
      </c>
      <c r="CA212" s="91">
        <v>14.87</v>
      </c>
      <c r="CB212" s="91">
        <v>13.71</v>
      </c>
      <c r="CC212" s="91"/>
      <c r="CD212" s="134" t="s">
        <v>71</v>
      </c>
      <c r="CE212" s="132"/>
      <c r="CF212" s="91">
        <v>13.4</v>
      </c>
      <c r="CG212" s="91">
        <v>15.41</v>
      </c>
      <c r="CH212" s="91">
        <v>13.73</v>
      </c>
      <c r="CI212" s="91">
        <v>13.07</v>
      </c>
      <c r="CJ212" s="91">
        <v>12.14</v>
      </c>
      <c r="CL212" s="134" t="s">
        <v>71</v>
      </c>
      <c r="CM212" s="132"/>
      <c r="CN212" s="91">
        <v>16.09</v>
      </c>
      <c r="CO212" s="91">
        <v>17.73</v>
      </c>
      <c r="CP212" s="91">
        <v>15.84</v>
      </c>
      <c r="CQ212" s="91">
        <v>15.4</v>
      </c>
      <c r="CR212" s="91">
        <v>14.1</v>
      </c>
      <c r="CT212" s="134" t="s">
        <v>71</v>
      </c>
      <c r="CU212" s="132"/>
      <c r="CV212" s="132">
        <v>13.43</v>
      </c>
      <c r="CW212" s="91"/>
      <c r="CX212" s="91"/>
      <c r="CY212" s="91"/>
      <c r="CZ212" s="91"/>
      <c r="DB212" s="134" t="s">
        <v>71</v>
      </c>
      <c r="DC212" s="132"/>
      <c r="DD212" s="91">
        <v>16.350000000000001</v>
      </c>
      <c r="DE212" s="91"/>
      <c r="DF212" s="91"/>
      <c r="DG212" s="91"/>
      <c r="DH212" s="91"/>
      <c r="DI212" s="91"/>
      <c r="DJ212" s="134" t="s">
        <v>71</v>
      </c>
      <c r="DK212" s="132"/>
      <c r="DL212" s="91">
        <v>10.199999999999999</v>
      </c>
      <c r="DM212" s="91"/>
      <c r="DN212" s="91"/>
      <c r="DO212" s="91"/>
      <c r="DP212" s="91"/>
      <c r="DR212" s="134" t="s">
        <v>71</v>
      </c>
      <c r="DS212" s="132"/>
      <c r="DT212" s="91">
        <v>14.33</v>
      </c>
      <c r="DU212" s="91"/>
      <c r="DV212" s="91"/>
      <c r="DW212" s="91"/>
      <c r="DX212" s="91"/>
      <c r="DZ212" s="134" t="s">
        <v>71</v>
      </c>
      <c r="EA212" s="132"/>
      <c r="EB212" s="91">
        <v>16.829999999999998</v>
      </c>
      <c r="EC212" s="91"/>
      <c r="ED212" s="91"/>
      <c r="EE212" s="91"/>
      <c r="EF212" s="91"/>
    </row>
    <row r="213" spans="1:136" s="90" customFormat="1" x14ac:dyDescent="0.2">
      <c r="A213" s="292"/>
      <c r="B213" s="134" t="s">
        <v>12</v>
      </c>
      <c r="C213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3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17.015000000000001</v>
      </c>
      <c r="E213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18.082000000000001</v>
      </c>
      <c r="F213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19.04</v>
      </c>
      <c r="G213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17.911249999999999</v>
      </c>
      <c r="H213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12.077499999999999</v>
      </c>
      <c r="I213" s="91"/>
      <c r="J213" s="134" t="s">
        <v>12</v>
      </c>
      <c r="K213" s="132"/>
      <c r="L213" s="91">
        <v>15.35</v>
      </c>
      <c r="M213" s="91">
        <v>16.170000000000002</v>
      </c>
      <c r="N213" s="91">
        <v>14.86</v>
      </c>
      <c r="O213" s="91">
        <v>14.53</v>
      </c>
      <c r="P213" s="91">
        <v>12.14</v>
      </c>
      <c r="R213" s="134" t="s">
        <v>12</v>
      </c>
      <c r="S213" s="132"/>
      <c r="T213" s="91">
        <v>15.41</v>
      </c>
      <c r="U213" s="91">
        <v>15.89</v>
      </c>
      <c r="V213" s="91">
        <v>14.62</v>
      </c>
      <c r="W213" s="91">
        <v>13.99</v>
      </c>
      <c r="X213" s="91">
        <v>12.18</v>
      </c>
      <c r="Z213" s="134" t="s">
        <v>12</v>
      </c>
      <c r="AA213" s="132"/>
      <c r="AB213" s="91">
        <v>13.45</v>
      </c>
      <c r="AC213" s="91">
        <v>13.63</v>
      </c>
      <c r="AD213" s="91">
        <v>13.18</v>
      </c>
      <c r="AE213" s="91">
        <v>12.69</v>
      </c>
      <c r="AF213" s="91">
        <v>10.85</v>
      </c>
      <c r="AH213" s="134" t="s">
        <v>12</v>
      </c>
      <c r="AI213" s="132"/>
      <c r="AJ213" s="132">
        <v>15.97</v>
      </c>
      <c r="AK213" s="91">
        <v>16.559999999999999</v>
      </c>
      <c r="AL213" s="91">
        <v>15.65</v>
      </c>
      <c r="AM213" s="91">
        <v>14.4</v>
      </c>
      <c r="AN213" s="91">
        <v>11.81</v>
      </c>
      <c r="AP213" s="134" t="s">
        <v>12</v>
      </c>
      <c r="AQ213" s="132"/>
      <c r="AR213" s="132">
        <v>16.100000000000001</v>
      </c>
      <c r="AS213" s="91">
        <v>16.47</v>
      </c>
      <c r="AT213" s="91">
        <v>15.47</v>
      </c>
      <c r="AU213" s="91">
        <v>14.93</v>
      </c>
      <c r="AV213" s="91"/>
      <c r="AX213" s="134" t="s">
        <v>12</v>
      </c>
      <c r="AY213" s="132"/>
      <c r="AZ213" s="132">
        <v>17.600000000000001</v>
      </c>
      <c r="BA213" s="91">
        <v>18.75</v>
      </c>
      <c r="BB213" s="91">
        <v>17.21</v>
      </c>
      <c r="BC213" s="91">
        <v>15.74</v>
      </c>
      <c r="BD213" s="91"/>
      <c r="BE213" s="91"/>
      <c r="BF213" s="134" t="s">
        <v>12</v>
      </c>
      <c r="BG213" s="132"/>
      <c r="BH213" s="91">
        <v>16.100000000000001</v>
      </c>
      <c r="BI213" s="91">
        <v>17.79</v>
      </c>
      <c r="BJ213" s="91"/>
      <c r="BK213" s="91"/>
      <c r="BL213" s="91"/>
      <c r="BM213" s="91"/>
      <c r="BN213" s="134" t="s">
        <v>12</v>
      </c>
      <c r="BO213" s="132"/>
      <c r="BP213" s="91">
        <v>14.38</v>
      </c>
      <c r="BQ213" s="91">
        <v>14.78</v>
      </c>
      <c r="BR213" s="91">
        <v>13.7</v>
      </c>
      <c r="BS213" s="91">
        <v>12.07</v>
      </c>
      <c r="BT213" s="91">
        <v>11.58</v>
      </c>
      <c r="BV213" s="134" t="s">
        <v>12</v>
      </c>
      <c r="BW213" s="132"/>
      <c r="BX213" s="91">
        <v>16.02</v>
      </c>
      <c r="BY213" s="91">
        <v>17.27</v>
      </c>
      <c r="BZ213" s="91">
        <v>16.18</v>
      </c>
      <c r="CA213" s="91">
        <v>15.64</v>
      </c>
      <c r="CB213" s="91">
        <v>13.07</v>
      </c>
      <c r="CC213" s="91"/>
      <c r="CD213" s="134" t="s">
        <v>12</v>
      </c>
      <c r="CE213" s="132"/>
      <c r="CF213" s="91">
        <v>13.65</v>
      </c>
      <c r="CG213" s="91">
        <v>15.42</v>
      </c>
      <c r="CH213" s="91">
        <v>14.73</v>
      </c>
      <c r="CI213" s="91">
        <v>13.66</v>
      </c>
      <c r="CJ213" s="91">
        <v>11.27</v>
      </c>
      <c r="CL213" s="134" t="s">
        <v>12</v>
      </c>
      <c r="CM213" s="132"/>
      <c r="CN213" s="91">
        <v>16.12</v>
      </c>
      <c r="CO213" s="91">
        <v>18.09</v>
      </c>
      <c r="CP213" s="91">
        <v>16.72</v>
      </c>
      <c r="CQ213" s="91">
        <v>15.64</v>
      </c>
      <c r="CR213" s="91">
        <v>13.72</v>
      </c>
      <c r="CT213" s="134" t="s">
        <v>12</v>
      </c>
      <c r="CU213" s="132"/>
      <c r="CV213" s="132">
        <v>13.67</v>
      </c>
      <c r="CW213" s="91"/>
      <c r="CX213" s="91"/>
      <c r="CY213" s="91"/>
      <c r="CZ213" s="91"/>
      <c r="DB213" s="134" t="s">
        <v>12</v>
      </c>
      <c r="DC213" s="132"/>
      <c r="DD213" s="91">
        <v>16</v>
      </c>
      <c r="DE213" s="91"/>
      <c r="DF213" s="91"/>
      <c r="DG213" s="91"/>
      <c r="DH213" s="91"/>
      <c r="DI213" s="91"/>
      <c r="DJ213" s="134" t="s">
        <v>12</v>
      </c>
      <c r="DK213" s="132"/>
      <c r="DL213" s="91">
        <v>10.4</v>
      </c>
      <c r="DM213" s="91"/>
      <c r="DN213" s="91"/>
      <c r="DO213" s="91"/>
      <c r="DP213" s="91"/>
      <c r="DR213" s="134" t="s">
        <v>12</v>
      </c>
      <c r="DS213" s="132"/>
      <c r="DT213" s="91">
        <v>14.7</v>
      </c>
      <c r="DU213" s="91"/>
      <c r="DV213" s="91"/>
      <c r="DW213" s="91"/>
      <c r="DX213" s="91"/>
      <c r="DZ213" s="134" t="s">
        <v>12</v>
      </c>
      <c r="EA213" s="132"/>
      <c r="EB213" s="91">
        <v>16.559999999999999</v>
      </c>
      <c r="EC213" s="91"/>
      <c r="ED213" s="91"/>
      <c r="EE213" s="91"/>
      <c r="EF213" s="91"/>
    </row>
    <row r="214" spans="1:136" s="90" customFormat="1" x14ac:dyDescent="0.2">
      <c r="A214" s="292"/>
      <c r="B214" s="134" t="s">
        <v>13</v>
      </c>
      <c r="C214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4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17.82</v>
      </c>
      <c r="E214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17.542000000000002</v>
      </c>
      <c r="F214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18.608750000000001</v>
      </c>
      <c r="G214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16.756249999999998</v>
      </c>
      <c r="H214" s="259" t="str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4" s="91"/>
      <c r="J214" s="134" t="s">
        <v>13</v>
      </c>
      <c r="K214" s="132"/>
      <c r="L214" s="91">
        <v>16.23</v>
      </c>
      <c r="M214" s="91">
        <v>15.67</v>
      </c>
      <c r="N214" s="91">
        <v>15.08</v>
      </c>
      <c r="O214" s="91">
        <v>13.55</v>
      </c>
      <c r="P214" s="91">
        <v>0</v>
      </c>
      <c r="R214" s="134" t="s">
        <v>13</v>
      </c>
      <c r="S214" s="132"/>
      <c r="T214" s="91">
        <v>16.149999999999999</v>
      </c>
      <c r="U214" s="91">
        <v>15.56</v>
      </c>
      <c r="V214" s="91">
        <v>14.44</v>
      </c>
      <c r="W214" s="91">
        <v>13.41</v>
      </c>
      <c r="X214" s="91">
        <v>4.49</v>
      </c>
      <c r="Z214" s="134" t="s">
        <v>13</v>
      </c>
      <c r="AA214" s="132"/>
      <c r="AB214" s="91">
        <v>14.61</v>
      </c>
      <c r="AC214" s="91">
        <v>14.34</v>
      </c>
      <c r="AD214" s="91">
        <v>12.9</v>
      </c>
      <c r="AE214" s="91">
        <v>11.93</v>
      </c>
      <c r="AF214" s="91">
        <v>0</v>
      </c>
      <c r="AH214" s="134" t="s">
        <v>13</v>
      </c>
      <c r="AI214" s="132"/>
      <c r="AJ214" s="132">
        <v>17.04</v>
      </c>
      <c r="AK214" s="91">
        <v>16.55</v>
      </c>
      <c r="AL214" s="91">
        <v>15.26</v>
      </c>
      <c r="AM214" s="91">
        <v>13.58</v>
      </c>
      <c r="AN214" s="91">
        <v>2.12</v>
      </c>
      <c r="AP214" s="134" t="s">
        <v>13</v>
      </c>
      <c r="AQ214" s="132"/>
      <c r="AR214" s="132">
        <v>16.95</v>
      </c>
      <c r="AS214" s="91">
        <v>16.47</v>
      </c>
      <c r="AT214" s="91">
        <v>15.18</v>
      </c>
      <c r="AU214" s="91">
        <v>14.11</v>
      </c>
      <c r="AV214" s="91"/>
      <c r="AX214" s="134" t="s">
        <v>13</v>
      </c>
      <c r="AY214" s="132"/>
      <c r="AZ214" s="132">
        <v>18.88</v>
      </c>
      <c r="BA214" s="91">
        <v>18.64</v>
      </c>
      <c r="BB214" s="91">
        <v>16.8</v>
      </c>
      <c r="BC214" s="91">
        <v>14.69</v>
      </c>
      <c r="BD214" s="91"/>
      <c r="BE214" s="91"/>
      <c r="BF214" s="134" t="s">
        <v>13</v>
      </c>
      <c r="BG214" s="132"/>
      <c r="BH214" s="91">
        <v>16.95</v>
      </c>
      <c r="BI214" s="91">
        <v>16.86</v>
      </c>
      <c r="BJ214" s="91"/>
      <c r="BK214" s="91"/>
      <c r="BL214" s="91"/>
      <c r="BM214" s="91"/>
      <c r="BN214" s="134" t="s">
        <v>13</v>
      </c>
      <c r="BO214" s="132"/>
      <c r="BP214" s="91">
        <v>14.17</v>
      </c>
      <c r="BQ214" s="91">
        <v>13.29</v>
      </c>
      <c r="BR214" s="91">
        <v>13.18</v>
      </c>
      <c r="BS214" s="91">
        <v>10.48</v>
      </c>
      <c r="BT214" s="91">
        <v>1.67</v>
      </c>
      <c r="BV214" s="134" t="s">
        <v>13</v>
      </c>
      <c r="BW214" s="132"/>
      <c r="BX214" s="91">
        <v>16.23</v>
      </c>
      <c r="BY214" s="91">
        <v>16.05</v>
      </c>
      <c r="BZ214" s="91">
        <v>15.52</v>
      </c>
      <c r="CA214" s="91">
        <v>14.41</v>
      </c>
      <c r="CB214" s="91">
        <v>10.51</v>
      </c>
      <c r="CC214" s="91"/>
      <c r="CD214" s="134" t="s">
        <v>13</v>
      </c>
      <c r="CE214" s="132"/>
      <c r="CF214" s="91">
        <v>13.94</v>
      </c>
      <c r="CG214" s="91">
        <v>14.63</v>
      </c>
      <c r="CH214" s="91">
        <v>14.29</v>
      </c>
      <c r="CI214" s="91">
        <v>12.83</v>
      </c>
      <c r="CJ214" s="91">
        <v>0.9</v>
      </c>
      <c r="CL214" s="134" t="s">
        <v>13</v>
      </c>
      <c r="CM214" s="132"/>
      <c r="CN214" s="91">
        <v>17.05</v>
      </c>
      <c r="CO214" s="91">
        <v>17.36</v>
      </c>
      <c r="CP214" s="91">
        <v>16.22</v>
      </c>
      <c r="CQ214" s="91">
        <v>15.06</v>
      </c>
      <c r="CR214" s="91">
        <v>3.79</v>
      </c>
      <c r="CT214" s="134" t="s">
        <v>13</v>
      </c>
      <c r="CU214" s="132"/>
      <c r="CV214" s="132">
        <v>14.1</v>
      </c>
      <c r="CW214" s="91"/>
      <c r="CX214" s="91"/>
      <c r="CY214" s="91"/>
      <c r="CZ214" s="91"/>
      <c r="DB214" s="134" t="s">
        <v>13</v>
      </c>
      <c r="DC214" s="132"/>
      <c r="DD214" s="91">
        <v>17.02</v>
      </c>
      <c r="DE214" s="91"/>
      <c r="DF214" s="91"/>
      <c r="DG214" s="91"/>
      <c r="DH214" s="91"/>
      <c r="DI214" s="91"/>
      <c r="DJ214" s="134" t="s">
        <v>13</v>
      </c>
      <c r="DK214" s="132"/>
      <c r="DL214" s="91">
        <v>10.54</v>
      </c>
      <c r="DM214" s="91"/>
      <c r="DN214" s="91"/>
      <c r="DO214" s="91"/>
      <c r="DP214" s="91"/>
      <c r="DR214" s="134" t="s">
        <v>13</v>
      </c>
      <c r="DS214" s="132"/>
      <c r="DT214" s="91">
        <v>15.18</v>
      </c>
      <c r="DU214" s="91"/>
      <c r="DV214" s="91"/>
      <c r="DW214" s="91"/>
      <c r="DX214" s="91"/>
      <c r="DZ214" s="134" t="s">
        <v>13</v>
      </c>
      <c r="EA214" s="132"/>
      <c r="EB214" s="91">
        <v>16.690000000000001</v>
      </c>
      <c r="EC214" s="91"/>
      <c r="ED214" s="91"/>
      <c r="EE214" s="91"/>
      <c r="EF214" s="91"/>
    </row>
    <row r="215" spans="1:136" s="90" customFormat="1" x14ac:dyDescent="0.2">
      <c r="A215" s="292"/>
      <c r="B215" s="134" t="s">
        <v>15</v>
      </c>
      <c r="C215" s="132" t="str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5" s="259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>17.952999999999996</v>
      </c>
      <c r="E215" s="259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>18.288999999999998</v>
      </c>
      <c r="F215" s="259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>20.056249999999999</v>
      </c>
      <c r="G215" s="259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>18.008749999999999</v>
      </c>
      <c r="H215" s="259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>3.7825000000000006</v>
      </c>
      <c r="I215" s="91"/>
      <c r="J215" s="134" t="s">
        <v>15</v>
      </c>
      <c r="K215" s="132"/>
      <c r="L215" s="91">
        <v>16.7</v>
      </c>
      <c r="M215" s="91">
        <v>16.73</v>
      </c>
      <c r="N215" s="91">
        <v>16.47</v>
      </c>
      <c r="O215" s="91">
        <v>14.8</v>
      </c>
      <c r="P215" s="91">
        <v>5.24</v>
      </c>
      <c r="R215" s="134" t="s">
        <v>15</v>
      </c>
      <c r="S215" s="132"/>
      <c r="T215" s="91">
        <v>16.239999999999998</v>
      </c>
      <c r="U215" s="91">
        <v>16.850000000000001</v>
      </c>
      <c r="V215" s="91">
        <v>15.47</v>
      </c>
      <c r="W215" s="91">
        <v>14.54</v>
      </c>
      <c r="X215" s="91">
        <v>7.79</v>
      </c>
      <c r="Z215" s="134" t="s">
        <v>15</v>
      </c>
      <c r="AA215" s="132"/>
      <c r="AB215" s="91">
        <v>14.38</v>
      </c>
      <c r="AC215" s="91">
        <v>14.62</v>
      </c>
      <c r="AD215" s="91">
        <v>13.8</v>
      </c>
      <c r="AE215" s="91">
        <v>12.96</v>
      </c>
      <c r="AF215" s="91">
        <v>3.17</v>
      </c>
      <c r="AH215" s="134" t="s">
        <v>15</v>
      </c>
      <c r="AI215" s="132"/>
      <c r="AJ215" s="132">
        <v>17.79</v>
      </c>
      <c r="AK215" s="91">
        <v>17.170000000000002</v>
      </c>
      <c r="AL215" s="91">
        <v>16.32</v>
      </c>
      <c r="AM215" s="91">
        <v>14.83</v>
      </c>
      <c r="AN215" s="91">
        <v>2.68</v>
      </c>
      <c r="AP215" s="134" t="s">
        <v>15</v>
      </c>
      <c r="AQ215" s="132"/>
      <c r="AR215" s="132">
        <v>17.010000000000002</v>
      </c>
      <c r="AS215" s="91">
        <v>17.100000000000001</v>
      </c>
      <c r="AT215" s="91">
        <v>16.399999999999999</v>
      </c>
      <c r="AU215" s="91">
        <v>15.06</v>
      </c>
      <c r="AV215" s="91"/>
      <c r="AX215" s="134" t="s">
        <v>15</v>
      </c>
      <c r="AY215" s="132"/>
      <c r="AZ215" s="132">
        <v>19.329999999999998</v>
      </c>
      <c r="BA215" s="91">
        <v>19.21</v>
      </c>
      <c r="BB215" s="91">
        <v>18.25</v>
      </c>
      <c r="BC215" s="91">
        <v>15.23</v>
      </c>
      <c r="BD215" s="91"/>
      <c r="BE215" s="91"/>
      <c r="BF215" s="134" t="s">
        <v>15</v>
      </c>
      <c r="BG215" s="132"/>
      <c r="BH215" s="91">
        <v>16.89</v>
      </c>
      <c r="BI215" s="91">
        <v>17.829999999999998</v>
      </c>
      <c r="BJ215" s="91"/>
      <c r="BK215" s="91"/>
      <c r="BL215" s="91"/>
      <c r="BM215" s="91"/>
      <c r="BN215" s="134" t="s">
        <v>15</v>
      </c>
      <c r="BO215" s="132"/>
      <c r="BP215" s="91">
        <v>14.26</v>
      </c>
      <c r="BQ215" s="91">
        <v>14.65</v>
      </c>
      <c r="BR215" s="91">
        <v>14.83</v>
      </c>
      <c r="BS215" s="91">
        <v>12.54</v>
      </c>
      <c r="BT215" s="91">
        <v>2.12</v>
      </c>
      <c r="BV215" s="134" t="s">
        <v>15</v>
      </c>
      <c r="BW215" s="132"/>
      <c r="BX215" s="91">
        <v>16.100000000000001</v>
      </c>
      <c r="BY215" s="91">
        <v>16.54</v>
      </c>
      <c r="BZ215" s="91">
        <v>16.260000000000002</v>
      </c>
      <c r="CA215" s="91">
        <v>14.86</v>
      </c>
      <c r="CB215" s="91">
        <v>2</v>
      </c>
      <c r="CC215" s="91"/>
      <c r="CD215" s="134" t="s">
        <v>15</v>
      </c>
      <c r="CE215" s="132"/>
      <c r="CF215" s="91">
        <v>13.92</v>
      </c>
      <c r="CG215" s="91">
        <v>14.85</v>
      </c>
      <c r="CH215" s="91">
        <v>14.76</v>
      </c>
      <c r="CI215" s="91">
        <v>13.3</v>
      </c>
      <c r="CJ215" s="91">
        <v>2.41</v>
      </c>
      <c r="CL215" s="134" t="s">
        <v>15</v>
      </c>
      <c r="CM215" s="132"/>
      <c r="CN215" s="91">
        <v>16.91</v>
      </c>
      <c r="CO215" s="91">
        <v>17.34</v>
      </c>
      <c r="CP215" s="91">
        <v>17.89</v>
      </c>
      <c r="CQ215" s="91">
        <v>15.95</v>
      </c>
      <c r="CR215" s="91">
        <v>4.8499999999999996</v>
      </c>
      <c r="CT215" s="134" t="s">
        <v>15</v>
      </c>
      <c r="CU215" s="132"/>
      <c r="CV215" s="132">
        <v>13.9</v>
      </c>
      <c r="CW215" s="91"/>
      <c r="CX215" s="91"/>
      <c r="CY215" s="91"/>
      <c r="CZ215" s="91"/>
      <c r="DB215" s="134" t="s">
        <v>15</v>
      </c>
      <c r="DC215" s="132"/>
      <c r="DD215" s="91">
        <v>17.03</v>
      </c>
      <c r="DE215" s="91"/>
      <c r="DF215" s="91"/>
      <c r="DG215" s="91"/>
      <c r="DH215" s="91"/>
      <c r="DI215" s="91"/>
      <c r="DJ215" s="134" t="s">
        <v>15</v>
      </c>
      <c r="DK215" s="132"/>
      <c r="DL215" s="91">
        <v>11.21</v>
      </c>
      <c r="DM215" s="91"/>
      <c r="DN215" s="91"/>
      <c r="DO215" s="91"/>
      <c r="DP215" s="91"/>
      <c r="DR215" s="134" t="s">
        <v>15</v>
      </c>
      <c r="DS215" s="132"/>
      <c r="DT215" s="91">
        <v>14.96</v>
      </c>
      <c r="DU215" s="91"/>
      <c r="DV215" s="91"/>
      <c r="DW215" s="91"/>
      <c r="DX215" s="91"/>
      <c r="DZ215" s="134" t="s">
        <v>15</v>
      </c>
      <c r="EA215" s="132"/>
      <c r="EB215" s="91">
        <v>16.829999999999998</v>
      </c>
      <c r="EC215" s="91"/>
      <c r="ED215" s="91"/>
      <c r="EE215" s="91"/>
      <c r="EF215" s="91"/>
    </row>
    <row r="217" spans="1:136" ht="15.75" x14ac:dyDescent="0.2">
      <c r="B217" s="45" t="s">
        <v>131</v>
      </c>
      <c r="J217" s="45" t="s">
        <v>2999</v>
      </c>
      <c r="R217" s="45" t="s">
        <v>3001</v>
      </c>
      <c r="Z217" s="45" t="s">
        <v>210</v>
      </c>
      <c r="AH217" s="45" t="s">
        <v>3003</v>
      </c>
      <c r="AP217" s="45" t="s">
        <v>2156</v>
      </c>
      <c r="AX217" s="45" t="s">
        <v>3000</v>
      </c>
      <c r="BF217" s="45" t="s">
        <v>3002</v>
      </c>
      <c r="BN217" s="45" t="s">
        <v>297</v>
      </c>
      <c r="BV217" s="45" t="s">
        <v>296</v>
      </c>
      <c r="CD217" s="45" t="s">
        <v>292</v>
      </c>
      <c r="CL217" s="45" t="s">
        <v>294</v>
      </c>
      <c r="CT217" s="45" t="s">
        <v>6963</v>
      </c>
      <c r="DB217" s="45" t="s">
        <v>6964</v>
      </c>
      <c r="DJ217" s="45" t="s">
        <v>6966</v>
      </c>
      <c r="DR217" s="45" t="s">
        <v>6965</v>
      </c>
      <c r="DZ217" s="45" t="s">
        <v>7094</v>
      </c>
    </row>
    <row r="219" spans="1:136" s="188" customFormat="1" ht="18.600000000000001" customHeight="1" x14ac:dyDescent="0.2">
      <c r="A219" s="292" t="s">
        <v>189</v>
      </c>
      <c r="B219" s="186" t="s">
        <v>106</v>
      </c>
      <c r="C219" s="187" t="s">
        <v>6962</v>
      </c>
      <c r="D219" s="187" t="s">
        <v>2169</v>
      </c>
      <c r="E219" s="187" t="s">
        <v>1553</v>
      </c>
      <c r="F219" s="187" t="s">
        <v>1522</v>
      </c>
      <c r="G219" s="187" t="s">
        <v>1304</v>
      </c>
      <c r="H219" s="187" t="s">
        <v>209</v>
      </c>
      <c r="I219" s="187"/>
      <c r="J219" s="186" t="s">
        <v>106</v>
      </c>
      <c r="K219" s="186" t="s">
        <v>7114</v>
      </c>
      <c r="L219" s="186" t="s">
        <v>6962</v>
      </c>
      <c r="M219" s="186" t="s">
        <v>2169</v>
      </c>
      <c r="N219" s="186" t="s">
        <v>1553</v>
      </c>
      <c r="O219" s="186" t="s">
        <v>1522</v>
      </c>
      <c r="P219" s="186" t="s">
        <v>1304</v>
      </c>
      <c r="R219" s="186" t="s">
        <v>106</v>
      </c>
      <c r="S219" s="186" t="s">
        <v>7114</v>
      </c>
      <c r="T219" s="186" t="s">
        <v>6962</v>
      </c>
      <c r="U219" s="186" t="s">
        <v>2169</v>
      </c>
      <c r="V219" s="186" t="s">
        <v>1553</v>
      </c>
      <c r="W219" s="186" t="s">
        <v>1522</v>
      </c>
      <c r="X219" s="186" t="s">
        <v>1304</v>
      </c>
      <c r="Z219" s="186" t="s">
        <v>106</v>
      </c>
      <c r="AA219" s="186" t="s">
        <v>7114</v>
      </c>
      <c r="AB219" s="186" t="s">
        <v>6962</v>
      </c>
      <c r="AC219" s="186" t="s">
        <v>2169</v>
      </c>
      <c r="AD219" s="186" t="s">
        <v>1553</v>
      </c>
      <c r="AE219" s="186" t="s">
        <v>1522</v>
      </c>
      <c r="AF219" s="186" t="s">
        <v>1304</v>
      </c>
      <c r="AH219" s="186" t="s">
        <v>106</v>
      </c>
      <c r="AI219" s="186" t="s">
        <v>7114</v>
      </c>
      <c r="AJ219" s="186" t="s">
        <v>6962</v>
      </c>
      <c r="AK219" s="186" t="s">
        <v>2169</v>
      </c>
      <c r="AL219" s="186" t="s">
        <v>1553</v>
      </c>
      <c r="AM219" s="186" t="s">
        <v>1522</v>
      </c>
      <c r="AN219" s="186" t="s">
        <v>1304</v>
      </c>
      <c r="AP219" s="186" t="s">
        <v>106</v>
      </c>
      <c r="AQ219" s="186" t="s">
        <v>7114</v>
      </c>
      <c r="AR219" s="186" t="s">
        <v>6962</v>
      </c>
      <c r="AS219" s="186" t="s">
        <v>2169</v>
      </c>
      <c r="AT219" s="186" t="s">
        <v>1553</v>
      </c>
      <c r="AU219" s="186" t="s">
        <v>1522</v>
      </c>
      <c r="AV219" s="186" t="s">
        <v>1304</v>
      </c>
      <c r="AX219" s="186" t="s">
        <v>106</v>
      </c>
      <c r="AY219" s="186" t="s">
        <v>7114</v>
      </c>
      <c r="AZ219" s="186" t="s">
        <v>6962</v>
      </c>
      <c r="BA219" s="186" t="s">
        <v>2169</v>
      </c>
      <c r="BB219" s="186" t="s">
        <v>1553</v>
      </c>
      <c r="BC219" s="186" t="s">
        <v>1522</v>
      </c>
      <c r="BD219" s="186" t="s">
        <v>1304</v>
      </c>
      <c r="BE219" s="187"/>
      <c r="BF219" s="186" t="s">
        <v>106</v>
      </c>
      <c r="BG219" s="186" t="s">
        <v>7114</v>
      </c>
      <c r="BH219" s="186" t="s">
        <v>6962</v>
      </c>
      <c r="BI219" s="186" t="s">
        <v>2169</v>
      </c>
      <c r="BJ219" s="186" t="s">
        <v>1553</v>
      </c>
      <c r="BK219" s="186" t="s">
        <v>1522</v>
      </c>
      <c r="BL219" s="186" t="s">
        <v>1304</v>
      </c>
      <c r="BM219" s="186"/>
      <c r="BN219" s="186" t="s">
        <v>106</v>
      </c>
      <c r="BO219" s="187" t="s">
        <v>7114</v>
      </c>
      <c r="BP219" s="187" t="s">
        <v>6962</v>
      </c>
      <c r="BQ219" s="187" t="s">
        <v>2169</v>
      </c>
      <c r="BR219" s="187" t="s">
        <v>1553</v>
      </c>
      <c r="BS219" s="187" t="s">
        <v>1522</v>
      </c>
      <c r="BT219" s="187" t="s">
        <v>1304</v>
      </c>
      <c r="BV219" s="186" t="s">
        <v>106</v>
      </c>
      <c r="BW219" s="187" t="s">
        <v>7114</v>
      </c>
      <c r="BX219" s="187" t="s">
        <v>6962</v>
      </c>
      <c r="BY219" s="187" t="s">
        <v>2169</v>
      </c>
      <c r="BZ219" s="187" t="s">
        <v>1553</v>
      </c>
      <c r="CA219" s="187" t="s">
        <v>1522</v>
      </c>
      <c r="CB219" s="187" t="s">
        <v>1304</v>
      </c>
      <c r="CC219" s="187"/>
      <c r="CD219" s="186" t="s">
        <v>106</v>
      </c>
      <c r="CE219" s="187" t="s">
        <v>7114</v>
      </c>
      <c r="CF219" s="187" t="s">
        <v>6962</v>
      </c>
      <c r="CG219" s="187" t="s">
        <v>2169</v>
      </c>
      <c r="CH219" s="187" t="s">
        <v>1553</v>
      </c>
      <c r="CI219" s="187" t="s">
        <v>1522</v>
      </c>
      <c r="CJ219" s="187" t="s">
        <v>1304</v>
      </c>
      <c r="CL219" s="186" t="s">
        <v>106</v>
      </c>
      <c r="CM219" s="187" t="s">
        <v>7114</v>
      </c>
      <c r="CN219" s="187" t="s">
        <v>6962</v>
      </c>
      <c r="CO219" s="187" t="s">
        <v>2169</v>
      </c>
      <c r="CP219" s="187" t="s">
        <v>1553</v>
      </c>
      <c r="CQ219" s="187" t="s">
        <v>1522</v>
      </c>
      <c r="CR219" s="187" t="s">
        <v>1304</v>
      </c>
      <c r="CT219" s="186" t="s">
        <v>106</v>
      </c>
      <c r="CU219" s="187" t="s">
        <v>7114</v>
      </c>
      <c r="CV219" s="187" t="s">
        <v>6962</v>
      </c>
      <c r="CW219" s="187" t="s">
        <v>2169</v>
      </c>
      <c r="CX219" s="187" t="s">
        <v>1553</v>
      </c>
      <c r="CY219" s="187" t="s">
        <v>1522</v>
      </c>
      <c r="CZ219" s="187" t="s">
        <v>1304</v>
      </c>
      <c r="DB219" s="186" t="s">
        <v>106</v>
      </c>
      <c r="DC219" s="187" t="s">
        <v>7114</v>
      </c>
      <c r="DD219" s="187" t="s">
        <v>6962</v>
      </c>
      <c r="DE219" s="187" t="s">
        <v>2169</v>
      </c>
      <c r="DF219" s="187" t="s">
        <v>1553</v>
      </c>
      <c r="DG219" s="187" t="s">
        <v>1522</v>
      </c>
      <c r="DH219" s="187" t="s">
        <v>1304</v>
      </c>
      <c r="DI219" s="187"/>
      <c r="DJ219" s="186" t="s">
        <v>106</v>
      </c>
      <c r="DK219" s="187" t="s">
        <v>7114</v>
      </c>
      <c r="DL219" s="187" t="s">
        <v>6962</v>
      </c>
      <c r="DM219" s="187" t="s">
        <v>2169</v>
      </c>
      <c r="DN219" s="187" t="s">
        <v>1553</v>
      </c>
      <c r="DO219" s="187" t="s">
        <v>1522</v>
      </c>
      <c r="DP219" s="187" t="s">
        <v>1304</v>
      </c>
      <c r="DR219" s="186" t="s">
        <v>106</v>
      </c>
      <c r="DS219" s="187" t="s">
        <v>7114</v>
      </c>
      <c r="DT219" s="187" t="s">
        <v>6962</v>
      </c>
      <c r="DU219" s="187" t="s">
        <v>2169</v>
      </c>
      <c r="DV219" s="187" t="s">
        <v>1553</v>
      </c>
      <c r="DW219" s="187" t="s">
        <v>1522</v>
      </c>
      <c r="DX219" s="187" t="s">
        <v>1304</v>
      </c>
      <c r="DZ219" s="186" t="s">
        <v>106</v>
      </c>
      <c r="EA219" s="187" t="s">
        <v>7114</v>
      </c>
      <c r="EB219" s="187" t="s">
        <v>6962</v>
      </c>
      <c r="EC219" s="187" t="s">
        <v>2169</v>
      </c>
      <c r="ED219" s="187" t="s">
        <v>1553</v>
      </c>
      <c r="EE219" s="187" t="s">
        <v>1522</v>
      </c>
      <c r="EF219" s="187" t="s">
        <v>1304</v>
      </c>
    </row>
    <row r="220" spans="1:136" s="90" customFormat="1" x14ac:dyDescent="0.2">
      <c r="A220" s="292"/>
      <c r="B220" s="134" t="s">
        <v>143</v>
      </c>
      <c r="C220" s="132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>19.098571428571429</v>
      </c>
      <c r="D220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22.052</v>
      </c>
      <c r="E220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21.761999999999997</v>
      </c>
      <c r="F220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23.83</v>
      </c>
      <c r="G220" s="259">
        <f>IF(PMGLR5AE[[#This Row],[2021]]=0,"",(PMGLR5AE[[#This Row],[2021]]+PMHTR8AE[[#This Row],[2021]]+PMTIRRAE[[#This Row],[2021]]+PMVR7AE[[#This Row],[2021]]+PMTURVAE[[#This Row],[2021]]+PMHARTAE[[#This Row],[2021]]+PMVICTAE[[#This Row],[2021]]+PMTH4AE[[#This Row],[2021]]+PMDIVESAE[[#This Row],[2021]]+PMR314AE[[#This Row],[2021]]+PMLYSEAE[[#This Row],[2021]])/8)</f>
        <v>21.79</v>
      </c>
      <c r="H220" s="259">
        <f>IF(PMGLR5AE[[#This Row],[2020]]=0,"",(PMGLR5AE[[#This Row],[2020]]+PMHTR8AE[[#This Row],[2020]]+PMTIRRAE[[#This Row],[2020]]+PMVR7AE[[#This Row],[2020]]+PMTURVAE[[#This Row],[2020]]+PMHARTAE[[#This Row],[2020]]+PMVICTAE[[#This Row],[2020]]+PMTH4AE[[#This Row],[2020]]+PMDIVESAE[[#This Row],[2020]]+PMR314AE[[#This Row],[2020]]+PMLYSEAE[[#This Row],[2020]])/8)</f>
        <v>16.71125</v>
      </c>
      <c r="I220" s="91"/>
      <c r="J220" s="134" t="s">
        <v>143</v>
      </c>
      <c r="K220" s="132">
        <v>20.09</v>
      </c>
      <c r="L220" s="91">
        <v>18.059999999999999</v>
      </c>
      <c r="M220" s="91">
        <v>17.809999999999999</v>
      </c>
      <c r="N220" s="91">
        <v>17.22</v>
      </c>
      <c r="O220" s="91">
        <v>18.61</v>
      </c>
      <c r="P220" s="91">
        <v>16.45</v>
      </c>
      <c r="R220" s="134" t="s">
        <v>143</v>
      </c>
      <c r="S220" s="132">
        <v>18.59</v>
      </c>
      <c r="T220" s="91">
        <v>17.329999999999998</v>
      </c>
      <c r="U220" s="91">
        <v>18.149999999999999</v>
      </c>
      <c r="V220" s="91">
        <v>17.27</v>
      </c>
      <c r="W220" s="91">
        <v>17.91</v>
      </c>
      <c r="X220" s="91">
        <v>14.85</v>
      </c>
      <c r="Z220" s="134" t="s">
        <v>143</v>
      </c>
      <c r="AA220" s="132">
        <v>19.920000000000002</v>
      </c>
      <c r="AB220" s="91">
        <v>19.72</v>
      </c>
      <c r="AC220" s="91">
        <v>18.489999999999998</v>
      </c>
      <c r="AD220" s="91">
        <v>18.18</v>
      </c>
      <c r="AE220" s="91">
        <v>19.920000000000002</v>
      </c>
      <c r="AF220" s="91">
        <v>17.21</v>
      </c>
      <c r="AH220" s="134" t="s">
        <v>143</v>
      </c>
      <c r="AI220" s="132"/>
      <c r="AJ220" s="132">
        <v>21.43</v>
      </c>
      <c r="AK220" s="91">
        <v>21.3</v>
      </c>
      <c r="AL220" s="91">
        <v>20.23</v>
      </c>
      <c r="AM220" s="91">
        <v>17.95</v>
      </c>
      <c r="AN220" s="91">
        <v>18.059999999999999</v>
      </c>
      <c r="AP220" s="134" t="s">
        <v>143</v>
      </c>
      <c r="AQ220" s="132">
        <v>20.2</v>
      </c>
      <c r="AR220" s="132">
        <v>19.03</v>
      </c>
      <c r="AS220" s="91">
        <v>18.97</v>
      </c>
      <c r="AT220" s="91">
        <v>17.940000000000001</v>
      </c>
      <c r="AU220" s="91">
        <v>16.18</v>
      </c>
      <c r="AV220" s="91"/>
      <c r="AX220" s="134" t="s">
        <v>143</v>
      </c>
      <c r="AY220" s="132"/>
      <c r="AZ220" s="132">
        <v>22.33</v>
      </c>
      <c r="BA220" s="91">
        <v>20.71</v>
      </c>
      <c r="BB220" s="91">
        <v>21.04</v>
      </c>
      <c r="BC220" s="91"/>
      <c r="BD220" s="91"/>
      <c r="BE220" s="91"/>
      <c r="BF220" s="134" t="s">
        <v>143</v>
      </c>
      <c r="BG220" s="132">
        <v>20.56</v>
      </c>
      <c r="BH220" s="91">
        <v>20.11</v>
      </c>
      <c r="BI220" s="91">
        <v>20.03</v>
      </c>
      <c r="BJ220" s="91"/>
      <c r="BK220" s="91"/>
      <c r="BL220" s="91"/>
      <c r="BM220" s="91"/>
      <c r="BN220" s="134" t="s">
        <v>143</v>
      </c>
      <c r="BO220" s="132">
        <v>21.04</v>
      </c>
      <c r="BP220" s="91">
        <v>20.67</v>
      </c>
      <c r="BQ220" s="91">
        <v>19.829999999999998</v>
      </c>
      <c r="BR220" s="91">
        <v>19.18</v>
      </c>
      <c r="BS220" s="91">
        <v>17.079999999999998</v>
      </c>
      <c r="BT220" s="91">
        <v>16.48</v>
      </c>
      <c r="BV220" s="134" t="s">
        <v>143</v>
      </c>
      <c r="BW220" s="132">
        <v>22.31</v>
      </c>
      <c r="BX220" s="91">
        <v>21.63</v>
      </c>
      <c r="BY220" s="91">
        <v>21.4</v>
      </c>
      <c r="BZ220" s="91">
        <v>20.100000000000001</v>
      </c>
      <c r="CA220" s="91">
        <v>22.03</v>
      </c>
      <c r="CB220" s="91">
        <v>17.75</v>
      </c>
      <c r="CC220" s="91"/>
      <c r="CD220" s="134" t="s">
        <v>143</v>
      </c>
      <c r="CE220" s="132">
        <v>20.6</v>
      </c>
      <c r="CF220" s="91">
        <v>19.95</v>
      </c>
      <c r="CG220" s="91">
        <v>19.649999999999999</v>
      </c>
      <c r="CH220" s="91">
        <v>19.03</v>
      </c>
      <c r="CI220" s="91">
        <v>25.25</v>
      </c>
      <c r="CJ220" s="91">
        <v>15.74</v>
      </c>
      <c r="CL220" s="134" t="s">
        <v>143</v>
      </c>
      <c r="CM220" s="132">
        <v>21.34</v>
      </c>
      <c r="CN220" s="91">
        <v>20.260000000000002</v>
      </c>
      <c r="CO220" s="91">
        <v>21.28</v>
      </c>
      <c r="CP220" s="91">
        <v>20.45</v>
      </c>
      <c r="CQ220" s="91">
        <v>19.39</v>
      </c>
      <c r="CR220" s="91">
        <v>17.149999999999999</v>
      </c>
      <c r="CT220" s="134" t="s">
        <v>143</v>
      </c>
      <c r="CU220" s="132">
        <v>20.100000000000001</v>
      </c>
      <c r="CV220" s="132">
        <v>20.149999999999999</v>
      </c>
      <c r="CW220" s="91"/>
      <c r="CX220" s="91"/>
      <c r="CY220" s="91"/>
      <c r="CZ220" s="91"/>
      <c r="DB220" s="134" t="s">
        <v>143</v>
      </c>
      <c r="DC220" s="132">
        <v>23.2</v>
      </c>
      <c r="DD220" s="91">
        <v>22.13</v>
      </c>
      <c r="DE220" s="91"/>
      <c r="DF220" s="91"/>
      <c r="DG220" s="91"/>
      <c r="DH220" s="91"/>
      <c r="DI220" s="91"/>
      <c r="DJ220" s="134" t="s">
        <v>143</v>
      </c>
      <c r="DK220" s="132">
        <v>16.89</v>
      </c>
      <c r="DL220" s="91">
        <v>17.04</v>
      </c>
      <c r="DM220" s="91"/>
      <c r="DN220" s="91"/>
      <c r="DO220" s="91"/>
      <c r="DP220" s="91"/>
      <c r="DR220" s="134" t="s">
        <v>143</v>
      </c>
      <c r="DS220" s="132">
        <v>22.54</v>
      </c>
      <c r="DT220" s="91">
        <v>21.98</v>
      </c>
      <c r="DU220" s="91"/>
      <c r="DV220" s="91"/>
      <c r="DW220" s="91"/>
      <c r="DX220" s="91"/>
      <c r="DZ220" s="134" t="s">
        <v>143</v>
      </c>
      <c r="EA220" s="132">
        <v>22.21</v>
      </c>
      <c r="EB220" s="91"/>
      <c r="EC220" s="91"/>
      <c r="ED220" s="91"/>
      <c r="EE220" s="91"/>
      <c r="EF220" s="91"/>
    </row>
    <row r="221" spans="1:136" s="90" customFormat="1" x14ac:dyDescent="0.2">
      <c r="A221" s="292"/>
      <c r="B221" s="134" t="s">
        <v>5</v>
      </c>
      <c r="C221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1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21.294999999999998</v>
      </c>
      <c r="E221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21.724</v>
      </c>
      <c r="F221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22.705000000000002</v>
      </c>
      <c r="G221" s="259">
        <v>16.872500000000002</v>
      </c>
      <c r="H221" s="259">
        <v>16.793333333333333</v>
      </c>
      <c r="I221" s="91"/>
      <c r="J221" s="134" t="s">
        <v>5</v>
      </c>
      <c r="K221" s="132"/>
      <c r="L221" s="91">
        <v>17.920000000000002</v>
      </c>
      <c r="M221" s="91">
        <v>18.170000000000002</v>
      </c>
      <c r="N221" s="91">
        <v>16.46</v>
      </c>
      <c r="O221" s="91">
        <v>17.57</v>
      </c>
      <c r="P221" s="91">
        <v>16.260000000000002</v>
      </c>
      <c r="R221" s="134" t="s">
        <v>5</v>
      </c>
      <c r="S221" s="132"/>
      <c r="T221" s="91">
        <v>16.89</v>
      </c>
      <c r="U221" s="91">
        <v>17.95</v>
      </c>
      <c r="V221" s="91">
        <v>16.75</v>
      </c>
      <c r="W221" s="91">
        <v>16.46</v>
      </c>
      <c r="X221" s="91">
        <v>15.54</v>
      </c>
      <c r="Z221" s="134" t="s">
        <v>5</v>
      </c>
      <c r="AA221" s="132"/>
      <c r="AB221" s="91">
        <v>18.489999999999998</v>
      </c>
      <c r="AC221" s="91">
        <v>18.05</v>
      </c>
      <c r="AD221" s="91">
        <v>16.600000000000001</v>
      </c>
      <c r="AE221" s="91">
        <v>19.37</v>
      </c>
      <c r="AF221" s="91">
        <v>16.739999999999998</v>
      </c>
      <c r="AH221" s="134" t="s">
        <v>5</v>
      </c>
      <c r="AI221" s="132"/>
      <c r="AJ221" s="132">
        <v>20.87</v>
      </c>
      <c r="AK221" s="91">
        <v>21.51</v>
      </c>
      <c r="AL221" s="91">
        <v>19.11</v>
      </c>
      <c r="AM221" s="91">
        <v>16.96</v>
      </c>
      <c r="AN221" s="91">
        <v>17.600000000000001</v>
      </c>
      <c r="AP221" s="134" t="s">
        <v>5</v>
      </c>
      <c r="AQ221" s="132"/>
      <c r="AR221" s="132">
        <v>18.68</v>
      </c>
      <c r="AS221" s="91">
        <v>18.52</v>
      </c>
      <c r="AT221" s="91">
        <v>16.64</v>
      </c>
      <c r="AU221" s="91">
        <v>15.84</v>
      </c>
      <c r="AV221" s="91"/>
      <c r="AX221" s="134" t="s">
        <v>5</v>
      </c>
      <c r="AY221" s="132"/>
      <c r="AZ221" s="132">
        <v>21.26</v>
      </c>
      <c r="BA221" s="91">
        <v>20.65</v>
      </c>
      <c r="BB221" s="91">
        <v>19.649999999999999</v>
      </c>
      <c r="BC221" s="91"/>
      <c r="BD221" s="91"/>
      <c r="BE221" s="91"/>
      <c r="BF221" s="134" t="s">
        <v>5</v>
      </c>
      <c r="BG221" s="132"/>
      <c r="BH221" s="91">
        <v>19.09</v>
      </c>
      <c r="BI221" s="91">
        <v>19.43</v>
      </c>
      <c r="BJ221" s="91"/>
      <c r="BK221" s="91"/>
      <c r="BL221" s="91"/>
      <c r="BM221" s="91"/>
      <c r="BN221" s="134" t="s">
        <v>5</v>
      </c>
      <c r="BO221" s="132"/>
      <c r="BP221" s="91">
        <v>20.18</v>
      </c>
      <c r="BQ221" s="91">
        <v>20.149999999999999</v>
      </c>
      <c r="BR221" s="91">
        <v>19.190000000000001</v>
      </c>
      <c r="BS221" s="91">
        <v>15.55</v>
      </c>
      <c r="BT221" s="91">
        <v>17.18</v>
      </c>
      <c r="BV221" s="134" t="s">
        <v>5</v>
      </c>
      <c r="BW221" s="132"/>
      <c r="BX221" s="91">
        <v>20.94</v>
      </c>
      <c r="BY221" s="91">
        <v>21.72</v>
      </c>
      <c r="BZ221" s="91">
        <v>19.34</v>
      </c>
      <c r="CA221" s="91">
        <v>20.7</v>
      </c>
      <c r="CB221" s="91">
        <v>18.02</v>
      </c>
      <c r="CC221" s="91"/>
      <c r="CD221" s="134" t="s">
        <v>5</v>
      </c>
      <c r="CE221" s="132"/>
      <c r="CF221" s="91">
        <v>19.079999999999998</v>
      </c>
      <c r="CG221" s="91">
        <v>19.82</v>
      </c>
      <c r="CH221" s="91">
        <v>18.3</v>
      </c>
      <c r="CI221" s="91">
        <v>21.42</v>
      </c>
      <c r="CJ221" s="91">
        <v>15.27</v>
      </c>
      <c r="CL221" s="134" t="s">
        <v>5</v>
      </c>
      <c r="CM221" s="132"/>
      <c r="CN221" s="91">
        <v>19.55</v>
      </c>
      <c r="CO221" s="91">
        <v>21.27</v>
      </c>
      <c r="CP221" s="91">
        <v>19.600000000000001</v>
      </c>
      <c r="CQ221" s="91">
        <v>18.34</v>
      </c>
      <c r="CR221" s="91">
        <v>17.34</v>
      </c>
      <c r="CT221" s="134" t="s">
        <v>5</v>
      </c>
      <c r="CU221" s="132"/>
      <c r="CV221" s="132">
        <v>19.489999999999998</v>
      </c>
      <c r="CW221" s="91"/>
      <c r="CX221" s="91"/>
      <c r="CY221" s="91"/>
      <c r="CZ221" s="91"/>
      <c r="DB221" s="134" t="s">
        <v>5</v>
      </c>
      <c r="DC221" s="132"/>
      <c r="DD221" s="91">
        <v>21.06</v>
      </c>
      <c r="DE221" s="91"/>
      <c r="DF221" s="91"/>
      <c r="DG221" s="91"/>
      <c r="DH221" s="91"/>
      <c r="DI221" s="91"/>
      <c r="DJ221" s="134" t="s">
        <v>5</v>
      </c>
      <c r="DK221" s="132"/>
      <c r="DL221" s="91">
        <v>16.350000000000001</v>
      </c>
      <c r="DM221" s="91"/>
      <c r="DN221" s="91"/>
      <c r="DO221" s="91"/>
      <c r="DP221" s="91"/>
      <c r="DR221" s="134" t="s">
        <v>5</v>
      </c>
      <c r="DS221" s="132"/>
      <c r="DT221" s="91">
        <v>21.7</v>
      </c>
      <c r="DU221" s="91"/>
      <c r="DV221" s="91"/>
      <c r="DW221" s="91"/>
      <c r="DX221" s="91"/>
      <c r="DZ221" s="134" t="s">
        <v>5</v>
      </c>
      <c r="EA221" s="132"/>
      <c r="EB221" s="91"/>
      <c r="EC221" s="91"/>
      <c r="ED221" s="91"/>
      <c r="EE221" s="91"/>
      <c r="EF221" s="91"/>
    </row>
    <row r="222" spans="1:136" s="90" customFormat="1" x14ac:dyDescent="0.2">
      <c r="A222" s="292"/>
      <c r="B222" s="134" t="s">
        <v>7</v>
      </c>
      <c r="C222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2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21.834999999999997</v>
      </c>
      <c r="E222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22.261000000000003</v>
      </c>
      <c r="F222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22.630000000000003</v>
      </c>
      <c r="G222" s="259">
        <v>16.752500000000001</v>
      </c>
      <c r="H222" s="259">
        <v>16.483333333333334</v>
      </c>
      <c r="I222" s="91"/>
      <c r="J222" s="134" t="s">
        <v>7</v>
      </c>
      <c r="K222" s="132"/>
      <c r="L222" s="91">
        <v>18.63</v>
      </c>
      <c r="M222" s="91">
        <v>18.57</v>
      </c>
      <c r="N222" s="91">
        <v>16.62</v>
      </c>
      <c r="O222" s="91">
        <v>17.170000000000002</v>
      </c>
      <c r="P222" s="91">
        <v>16.18</v>
      </c>
      <c r="R222" s="134" t="s">
        <v>7</v>
      </c>
      <c r="S222" s="132"/>
      <c r="T222" s="91">
        <v>18.260000000000002</v>
      </c>
      <c r="U222" s="91">
        <v>19.16</v>
      </c>
      <c r="V222" s="91">
        <v>16.91</v>
      </c>
      <c r="W222" s="91">
        <v>15.53</v>
      </c>
      <c r="X222" s="91">
        <v>15.78</v>
      </c>
      <c r="Z222" s="134" t="s">
        <v>7</v>
      </c>
      <c r="AA222" s="132"/>
      <c r="AB222" s="91">
        <v>18.579999999999998</v>
      </c>
      <c r="AC222" s="91">
        <v>18.45</v>
      </c>
      <c r="AD222" s="91">
        <v>17.3</v>
      </c>
      <c r="AE222" s="91">
        <v>18.329999999999998</v>
      </c>
      <c r="AF222" s="91">
        <v>17.07</v>
      </c>
      <c r="AH222" s="134" t="s">
        <v>7</v>
      </c>
      <c r="AI222" s="132"/>
      <c r="AJ222" s="132">
        <v>20.93</v>
      </c>
      <c r="AK222" s="91">
        <v>21.67</v>
      </c>
      <c r="AL222" s="91">
        <v>18.420000000000002</v>
      </c>
      <c r="AM222" s="91">
        <v>16.760000000000002</v>
      </c>
      <c r="AN222" s="91">
        <v>21.66</v>
      </c>
      <c r="AP222" s="134" t="s">
        <v>7</v>
      </c>
      <c r="AQ222" s="132"/>
      <c r="AR222" s="132">
        <v>19.37</v>
      </c>
      <c r="AS222" s="91">
        <v>19.11</v>
      </c>
      <c r="AT222" s="91">
        <v>16.77</v>
      </c>
      <c r="AU222" s="91">
        <v>16.16</v>
      </c>
      <c r="AV222" s="91"/>
      <c r="AX222" s="134" t="s">
        <v>7</v>
      </c>
      <c r="AY222" s="132"/>
      <c r="AZ222" s="132">
        <v>22.34</v>
      </c>
      <c r="BA222" s="91">
        <v>21.47</v>
      </c>
      <c r="BB222" s="91">
        <v>19.47</v>
      </c>
      <c r="BC222" s="91"/>
      <c r="BD222" s="91"/>
      <c r="BE222" s="91"/>
      <c r="BF222" s="134" t="s">
        <v>7</v>
      </c>
      <c r="BG222" s="132"/>
      <c r="BH222" s="91">
        <v>18.600000000000001</v>
      </c>
      <c r="BI222" s="91">
        <v>19.809999999999999</v>
      </c>
      <c r="BJ222" s="91"/>
      <c r="BK222" s="91"/>
      <c r="BL222" s="91"/>
      <c r="BM222" s="91"/>
      <c r="BN222" s="134" t="s">
        <v>7</v>
      </c>
      <c r="BO222" s="132"/>
      <c r="BP222" s="91">
        <v>20.7</v>
      </c>
      <c r="BQ222" s="91">
        <v>20.49</v>
      </c>
      <c r="BR222" s="91">
        <v>17.98</v>
      </c>
      <c r="BS222" s="91">
        <v>14.82</v>
      </c>
      <c r="BT222" s="91">
        <v>16.670000000000002</v>
      </c>
      <c r="BV222" s="134" t="s">
        <v>7</v>
      </c>
      <c r="BW222" s="132"/>
      <c r="BX222" s="91">
        <v>20.85</v>
      </c>
      <c r="BY222" s="91">
        <v>22.09</v>
      </c>
      <c r="BZ222" s="91">
        <v>19.93</v>
      </c>
      <c r="CA222" s="91">
        <v>18.23</v>
      </c>
      <c r="CB222" s="91">
        <v>18.489999999999998</v>
      </c>
      <c r="CC222" s="91"/>
      <c r="CD222" s="134" t="s">
        <v>7</v>
      </c>
      <c r="CE222" s="132"/>
      <c r="CF222" s="91">
        <v>18.95</v>
      </c>
      <c r="CG222" s="91">
        <v>19.89</v>
      </c>
      <c r="CH222" s="91">
        <v>17.77</v>
      </c>
      <c r="CI222" s="91">
        <v>17.22</v>
      </c>
      <c r="CJ222" s="91">
        <v>15.62</v>
      </c>
      <c r="CL222" s="134" t="s">
        <v>7</v>
      </c>
      <c r="CM222" s="132"/>
      <c r="CN222" s="91">
        <v>21.14</v>
      </c>
      <c r="CO222" s="91">
        <v>21.9</v>
      </c>
      <c r="CP222" s="91">
        <v>19.87</v>
      </c>
      <c r="CQ222" s="91">
        <v>17.95</v>
      </c>
      <c r="CR222" s="91">
        <v>17.43</v>
      </c>
      <c r="CT222" s="134" t="s">
        <v>7</v>
      </c>
      <c r="CU222" s="132"/>
      <c r="CV222" s="132">
        <v>19.149999999999999</v>
      </c>
      <c r="CW222" s="91"/>
      <c r="CX222" s="91"/>
      <c r="CY222" s="91"/>
      <c r="CZ222" s="91"/>
      <c r="DB222" s="134" t="s">
        <v>7</v>
      </c>
      <c r="DC222" s="132"/>
      <c r="DD222" s="91">
        <v>21.71</v>
      </c>
      <c r="DE222" s="91"/>
      <c r="DF222" s="91"/>
      <c r="DG222" s="91"/>
      <c r="DH222" s="91"/>
      <c r="DI222" s="91"/>
      <c r="DJ222" s="134" t="s">
        <v>7</v>
      </c>
      <c r="DK222" s="132"/>
      <c r="DL222" s="91">
        <v>16.61</v>
      </c>
      <c r="DM222" s="91"/>
      <c r="DN222" s="91"/>
      <c r="DO222" s="91"/>
      <c r="DP222" s="91"/>
      <c r="DR222" s="134" t="s">
        <v>7</v>
      </c>
      <c r="DS222" s="132"/>
      <c r="DT222" s="91">
        <v>22.02</v>
      </c>
      <c r="DU222" s="91"/>
      <c r="DV222" s="91"/>
      <c r="DW222" s="91"/>
      <c r="DX222" s="91"/>
      <c r="DZ222" s="134" t="s">
        <v>7</v>
      </c>
      <c r="EA222" s="132"/>
      <c r="EB222" s="91"/>
      <c r="EC222" s="91"/>
      <c r="ED222" s="91"/>
      <c r="EE222" s="91"/>
      <c r="EF222" s="91"/>
    </row>
    <row r="223" spans="1:136" s="90" customFormat="1" x14ac:dyDescent="0.2">
      <c r="A223" s="292"/>
      <c r="B223" s="134" t="s">
        <v>9</v>
      </c>
      <c r="C223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3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21.249000000000002</v>
      </c>
      <c r="E223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22.305</v>
      </c>
      <c r="F223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23.504999999999995</v>
      </c>
      <c r="G223" s="259">
        <v>16.232500000000002</v>
      </c>
      <c r="H223" s="259">
        <v>21.496666666666666</v>
      </c>
      <c r="I223" s="91"/>
      <c r="J223" s="134" t="s">
        <v>9</v>
      </c>
      <c r="K223" s="132"/>
      <c r="L223" s="91">
        <v>18.18</v>
      </c>
      <c r="M223" s="91">
        <v>19.059999999999999</v>
      </c>
      <c r="N223" s="91">
        <v>17.420000000000002</v>
      </c>
      <c r="O223" s="91">
        <v>17.63</v>
      </c>
      <c r="P223" s="91">
        <v>9.9999999999999995E-7</v>
      </c>
      <c r="R223" s="134" t="s">
        <v>9</v>
      </c>
      <c r="S223" s="132"/>
      <c r="T223" s="91">
        <v>17.670000000000002</v>
      </c>
      <c r="U223" s="91">
        <v>18.68</v>
      </c>
      <c r="V223" s="91">
        <v>17.13</v>
      </c>
      <c r="W223" s="91">
        <v>15.82</v>
      </c>
      <c r="X223" s="91">
        <v>0</v>
      </c>
      <c r="Z223" s="134" t="s">
        <v>9</v>
      </c>
      <c r="AA223" s="132"/>
      <c r="AB223" s="91">
        <v>18.420000000000002</v>
      </c>
      <c r="AC223" s="91">
        <v>19.079999999999998</v>
      </c>
      <c r="AD223" s="91">
        <v>17.850000000000001</v>
      </c>
      <c r="AE223" s="91">
        <v>18.149999999999999</v>
      </c>
      <c r="AF223" s="91">
        <v>0</v>
      </c>
      <c r="AH223" s="134" t="s">
        <v>9</v>
      </c>
      <c r="AI223" s="132"/>
      <c r="AJ223" s="132">
        <v>20.77</v>
      </c>
      <c r="AK223" s="91">
        <v>21.15</v>
      </c>
      <c r="AL223" s="91">
        <v>19.46</v>
      </c>
      <c r="AM223" s="91">
        <v>17.850000000000001</v>
      </c>
      <c r="AN223" s="91">
        <v>0</v>
      </c>
      <c r="AP223" s="134" t="s">
        <v>9</v>
      </c>
      <c r="AQ223" s="132"/>
      <c r="AR223" s="132">
        <v>18.12</v>
      </c>
      <c r="AS223" s="91">
        <v>19.059999999999999</v>
      </c>
      <c r="AT223" s="91">
        <v>17.62</v>
      </c>
      <c r="AU223" s="91">
        <v>18.420000000000002</v>
      </c>
      <c r="AV223" s="91"/>
      <c r="AX223" s="134" t="s">
        <v>9</v>
      </c>
      <c r="AY223" s="132"/>
      <c r="AZ223" s="132">
        <v>21</v>
      </c>
      <c r="BA223" s="91">
        <v>21.54</v>
      </c>
      <c r="BB223" s="91">
        <v>19.97</v>
      </c>
      <c r="BC223" s="91"/>
      <c r="BD223" s="91"/>
      <c r="BE223" s="91"/>
      <c r="BF223" s="134" t="s">
        <v>9</v>
      </c>
      <c r="BG223" s="132"/>
      <c r="BH223" s="91">
        <v>18.559999999999999</v>
      </c>
      <c r="BI223" s="91">
        <v>19.579999999999998</v>
      </c>
      <c r="BJ223" s="91"/>
      <c r="BK223" s="91"/>
      <c r="BL223" s="91"/>
      <c r="BM223" s="91"/>
      <c r="BN223" s="134" t="s">
        <v>9</v>
      </c>
      <c r="BO223" s="132"/>
      <c r="BP223" s="91">
        <v>19.96</v>
      </c>
      <c r="BQ223" s="91">
        <v>21.11</v>
      </c>
      <c r="BR223" s="91">
        <v>19.89</v>
      </c>
      <c r="BS223" s="91">
        <v>17.23</v>
      </c>
      <c r="BT223" s="91">
        <v>0</v>
      </c>
      <c r="BV223" s="134" t="s">
        <v>9</v>
      </c>
      <c r="BW223" s="132"/>
      <c r="BX223" s="91">
        <v>20.71</v>
      </c>
      <c r="BY223" s="91">
        <v>22.15</v>
      </c>
      <c r="BZ223" s="91">
        <v>20.420000000000002</v>
      </c>
      <c r="CA223" s="91">
        <v>17.41</v>
      </c>
      <c r="CB223" s="91">
        <v>0</v>
      </c>
      <c r="CC223" s="91"/>
      <c r="CD223" s="134" t="s">
        <v>9</v>
      </c>
      <c r="CE223" s="132"/>
      <c r="CF223" s="91">
        <v>18.61</v>
      </c>
      <c r="CG223" s="91">
        <v>19.86</v>
      </c>
      <c r="CH223" s="91">
        <v>18.079999999999998</v>
      </c>
      <c r="CI223" s="91">
        <v>16.82</v>
      </c>
      <c r="CJ223" s="91">
        <v>9.9999999999999995E-8</v>
      </c>
      <c r="CL223" s="134" t="s">
        <v>9</v>
      </c>
      <c r="CM223" s="132"/>
      <c r="CN223" s="91">
        <v>20.49</v>
      </c>
      <c r="CO223" s="91">
        <v>21.78</v>
      </c>
      <c r="CP223" s="91">
        <v>20.2</v>
      </c>
      <c r="CQ223" s="91">
        <v>18.489999999999998</v>
      </c>
      <c r="CR223" s="91">
        <v>0</v>
      </c>
      <c r="CT223" s="134" t="s">
        <v>9</v>
      </c>
      <c r="CU223" s="132"/>
      <c r="CV223" s="132">
        <v>18.649999999999999</v>
      </c>
      <c r="CW223" s="91"/>
      <c r="CX223" s="91"/>
      <c r="CY223" s="91"/>
      <c r="CZ223" s="91"/>
      <c r="DB223" s="134" t="s">
        <v>9</v>
      </c>
      <c r="DC223" s="132"/>
      <c r="DD223" s="91">
        <v>21.3</v>
      </c>
      <c r="DE223" s="91"/>
      <c r="DF223" s="91"/>
      <c r="DG223" s="91"/>
      <c r="DH223" s="91"/>
      <c r="DI223" s="91"/>
      <c r="DJ223" s="134" t="s">
        <v>9</v>
      </c>
      <c r="DK223" s="132"/>
      <c r="DL223" s="91">
        <v>16.11</v>
      </c>
      <c r="DM223" s="91"/>
      <c r="DN223" s="91"/>
      <c r="DO223" s="91"/>
      <c r="DP223" s="91"/>
      <c r="DR223" s="134" t="s">
        <v>9</v>
      </c>
      <c r="DS223" s="132"/>
      <c r="DT223" s="91">
        <v>20.3</v>
      </c>
      <c r="DU223" s="91"/>
      <c r="DV223" s="91"/>
      <c r="DW223" s="91"/>
      <c r="DX223" s="91"/>
      <c r="DZ223" s="134" t="s">
        <v>9</v>
      </c>
      <c r="EA223" s="132"/>
      <c r="EB223" s="91"/>
      <c r="EC223" s="91"/>
      <c r="ED223" s="91"/>
      <c r="EE223" s="91"/>
      <c r="EF223" s="91"/>
    </row>
    <row r="224" spans="1:136" s="90" customFormat="1" x14ac:dyDescent="0.2">
      <c r="A224" s="292"/>
      <c r="B224" s="134" t="s">
        <v>11</v>
      </c>
      <c r="C224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4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21.350999999999999</v>
      </c>
      <c r="E224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21.525000000000002</v>
      </c>
      <c r="F224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22.84375</v>
      </c>
      <c r="G224" s="259">
        <v>16.427500000000002</v>
      </c>
      <c r="H224" s="259">
        <v>21.39</v>
      </c>
      <c r="I224" s="91"/>
      <c r="J224" s="134" t="s">
        <v>11</v>
      </c>
      <c r="K224" s="132"/>
      <c r="L224" s="91">
        <v>18.420000000000002</v>
      </c>
      <c r="M224" s="91">
        <v>18.010000000000002</v>
      </c>
      <c r="N224" s="91">
        <v>16.920000000000002</v>
      </c>
      <c r="O224" s="91">
        <v>17.91</v>
      </c>
      <c r="P224" s="91">
        <v>22.08</v>
      </c>
      <c r="R224" s="134" t="s">
        <v>11</v>
      </c>
      <c r="S224" s="132"/>
      <c r="T224" s="91">
        <v>17.47</v>
      </c>
      <c r="U224" s="91">
        <v>18.059999999999999</v>
      </c>
      <c r="V224" s="91">
        <v>16.29</v>
      </c>
      <c r="W224" s="91">
        <v>17.22</v>
      </c>
      <c r="X224" s="91">
        <v>21.11</v>
      </c>
      <c r="Z224" s="134" t="s">
        <v>11</v>
      </c>
      <c r="AA224" s="132"/>
      <c r="AB224" s="91">
        <v>19.13</v>
      </c>
      <c r="AC224" s="91">
        <v>17.809999999999999</v>
      </c>
      <c r="AD224" s="91">
        <v>16.8</v>
      </c>
      <c r="AE224" s="91">
        <v>16.8</v>
      </c>
      <c r="AF224" s="91">
        <v>23.830000000000002</v>
      </c>
      <c r="AH224" s="134" t="s">
        <v>11</v>
      </c>
      <c r="AI224" s="132"/>
      <c r="AJ224" s="132">
        <v>21.3</v>
      </c>
      <c r="AK224" s="91">
        <v>21.01</v>
      </c>
      <c r="AL224" s="91">
        <v>19.010000000000002</v>
      </c>
      <c r="AM224" s="91">
        <v>19.52</v>
      </c>
      <c r="AN224" s="91">
        <v>23.59</v>
      </c>
      <c r="AP224" s="134" t="s">
        <v>11</v>
      </c>
      <c r="AQ224" s="132"/>
      <c r="AR224" s="132">
        <v>18.29</v>
      </c>
      <c r="AS224" s="91">
        <v>18.64</v>
      </c>
      <c r="AT224" s="91">
        <v>17.239999999999998</v>
      </c>
      <c r="AU224" s="91">
        <v>16.670000000000002</v>
      </c>
      <c r="AV224" s="91"/>
      <c r="AX224" s="134" t="s">
        <v>11</v>
      </c>
      <c r="AY224" s="132"/>
      <c r="AZ224" s="132">
        <v>20.52</v>
      </c>
      <c r="BA224" s="91">
        <v>20.85</v>
      </c>
      <c r="BB224" s="91">
        <v>19.73</v>
      </c>
      <c r="BC224" s="91"/>
      <c r="BD224" s="91"/>
      <c r="BE224" s="91"/>
      <c r="BF224" s="134" t="s">
        <v>11</v>
      </c>
      <c r="BG224" s="132"/>
      <c r="BH224" s="91">
        <v>18.850000000000001</v>
      </c>
      <c r="BI224" s="91">
        <v>18.95</v>
      </c>
      <c r="BJ224" s="91"/>
      <c r="BK224" s="91"/>
      <c r="BL224" s="91"/>
      <c r="BM224" s="91"/>
      <c r="BN224" s="134" t="s">
        <v>11</v>
      </c>
      <c r="BO224" s="132"/>
      <c r="BP224" s="91">
        <v>20.329999999999998</v>
      </c>
      <c r="BQ224" s="91">
        <v>20.27</v>
      </c>
      <c r="BR224" s="91">
        <v>19.149999999999999</v>
      </c>
      <c r="BS224" s="91">
        <v>16.940000000000001</v>
      </c>
      <c r="BT224" s="91">
        <v>0</v>
      </c>
      <c r="BV224" s="134" t="s">
        <v>11</v>
      </c>
      <c r="BW224" s="132"/>
      <c r="BX224" s="91">
        <v>20.39</v>
      </c>
      <c r="BY224" s="91">
        <v>21.49</v>
      </c>
      <c r="BZ224" s="91">
        <v>19.920000000000002</v>
      </c>
      <c r="CA224" s="91">
        <v>19.57</v>
      </c>
      <c r="CB224" s="91">
        <v>24.61</v>
      </c>
      <c r="CC224" s="91"/>
      <c r="CD224" s="134" t="s">
        <v>11</v>
      </c>
      <c r="CE224" s="132"/>
      <c r="CF224" s="91">
        <v>18.82</v>
      </c>
      <c r="CG224" s="91">
        <v>19.14</v>
      </c>
      <c r="CH224" s="91">
        <v>17.79</v>
      </c>
      <c r="CI224" s="91">
        <v>18.940000000000001</v>
      </c>
      <c r="CJ224" s="91">
        <v>6.25</v>
      </c>
      <c r="CL224" s="134" t="s">
        <v>11</v>
      </c>
      <c r="CM224" s="132"/>
      <c r="CN224" s="91">
        <v>19.989999999999998</v>
      </c>
      <c r="CO224" s="91">
        <v>21.02</v>
      </c>
      <c r="CP224" s="91">
        <v>19.899999999999999</v>
      </c>
      <c r="CQ224" s="91">
        <v>19.66</v>
      </c>
      <c r="CR224" s="91">
        <v>22.72</v>
      </c>
      <c r="CT224" s="134" t="s">
        <v>11</v>
      </c>
      <c r="CU224" s="132"/>
      <c r="CV224" s="132">
        <v>18.670000000000002</v>
      </c>
      <c r="CW224" s="91"/>
      <c r="CX224" s="91"/>
      <c r="CY224" s="91"/>
      <c r="CZ224" s="91"/>
      <c r="DB224" s="134" t="s">
        <v>11</v>
      </c>
      <c r="DC224" s="132"/>
      <c r="DD224" s="91">
        <v>21.04</v>
      </c>
      <c r="DE224" s="91"/>
      <c r="DF224" s="91"/>
      <c r="DG224" s="91"/>
      <c r="DH224" s="91"/>
      <c r="DI224" s="91"/>
      <c r="DJ224" s="134" t="s">
        <v>11</v>
      </c>
      <c r="DK224" s="132"/>
      <c r="DL224" s="91">
        <v>15.96</v>
      </c>
      <c r="DM224" s="91"/>
      <c r="DN224" s="91"/>
      <c r="DO224" s="91"/>
      <c r="DP224" s="91"/>
      <c r="DR224" s="134" t="s">
        <v>11</v>
      </c>
      <c r="DS224" s="132"/>
      <c r="DT224" s="91">
        <v>20.91</v>
      </c>
      <c r="DU224" s="91"/>
      <c r="DV224" s="91"/>
      <c r="DW224" s="91"/>
      <c r="DX224" s="91"/>
      <c r="DZ224" s="134" t="s">
        <v>11</v>
      </c>
      <c r="EA224" s="132"/>
      <c r="EB224" s="91"/>
      <c r="EC224" s="91"/>
      <c r="ED224" s="91"/>
      <c r="EE224" s="91"/>
      <c r="EF224" s="91"/>
    </row>
    <row r="225" spans="1:136" s="90" customFormat="1" x14ac:dyDescent="0.2">
      <c r="A225" s="292"/>
      <c r="B225" s="134" t="s">
        <v>0</v>
      </c>
      <c r="C225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5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21.439999999999998</v>
      </c>
      <c r="E225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21.12</v>
      </c>
      <c r="F225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23.12875</v>
      </c>
      <c r="G225" s="259">
        <v>16.145</v>
      </c>
      <c r="H225" s="259">
        <v>21.119999999999997</v>
      </c>
      <c r="I225" s="91"/>
      <c r="J225" s="134" t="s">
        <v>0</v>
      </c>
      <c r="K225" s="132"/>
      <c r="L225" s="91">
        <v>18.27</v>
      </c>
      <c r="M225" s="91">
        <v>18.010000000000002</v>
      </c>
      <c r="N225" s="91">
        <v>17.32</v>
      </c>
      <c r="O225" s="91">
        <v>16.78</v>
      </c>
      <c r="P225" s="91">
        <v>18.239999999999998</v>
      </c>
      <c r="R225" s="134" t="s">
        <v>0</v>
      </c>
      <c r="S225" s="132"/>
      <c r="T225" s="91">
        <v>17.329999999999998</v>
      </c>
      <c r="U225" s="91">
        <v>17.829999999999998</v>
      </c>
      <c r="V225" s="91">
        <v>16.71</v>
      </c>
      <c r="W225" s="91">
        <v>16.059999999999999</v>
      </c>
      <c r="X225" s="91">
        <v>16.62</v>
      </c>
      <c r="Z225" s="134" t="s">
        <v>0</v>
      </c>
      <c r="AA225" s="132"/>
      <c r="AB225" s="91">
        <v>18.68</v>
      </c>
      <c r="AC225" s="91">
        <v>17.760000000000002</v>
      </c>
      <c r="AD225" s="91">
        <v>17.91</v>
      </c>
      <c r="AE225" s="91">
        <v>16.59</v>
      </c>
      <c r="AF225" s="91">
        <v>18.14</v>
      </c>
      <c r="AH225" s="134" t="s">
        <v>0</v>
      </c>
      <c r="AI225" s="132"/>
      <c r="AJ225" s="132">
        <v>21.84</v>
      </c>
      <c r="AK225" s="91">
        <v>20.76</v>
      </c>
      <c r="AL225" s="91">
        <v>19.59</v>
      </c>
      <c r="AM225" s="91">
        <v>18.77</v>
      </c>
      <c r="AN225" s="91">
        <v>19.489999999999998</v>
      </c>
      <c r="AP225" s="134" t="s">
        <v>0</v>
      </c>
      <c r="AQ225" s="132"/>
      <c r="AR225" s="132">
        <v>18.45</v>
      </c>
      <c r="AS225" s="91">
        <v>18.420000000000002</v>
      </c>
      <c r="AT225" s="91">
        <v>16.77</v>
      </c>
      <c r="AU225" s="91">
        <v>14.74</v>
      </c>
      <c r="AV225" s="91"/>
      <c r="AX225" s="134" t="s">
        <v>0</v>
      </c>
      <c r="AY225" s="132"/>
      <c r="AZ225" s="132">
        <v>20.62</v>
      </c>
      <c r="BA225" s="91">
        <v>20.62</v>
      </c>
      <c r="BB225" s="91">
        <v>19.66</v>
      </c>
      <c r="BC225" s="91"/>
      <c r="BD225" s="91"/>
      <c r="BE225" s="91"/>
      <c r="BF225" s="134" t="s">
        <v>0</v>
      </c>
      <c r="BG225" s="132"/>
      <c r="BH225" s="91">
        <v>18.940000000000001</v>
      </c>
      <c r="BI225" s="91">
        <v>17.88</v>
      </c>
      <c r="BJ225" s="91"/>
      <c r="BK225" s="91"/>
      <c r="BL225" s="91"/>
      <c r="BM225" s="91"/>
      <c r="BN225" s="134" t="s">
        <v>0</v>
      </c>
      <c r="BO225" s="132"/>
      <c r="BP225" s="91">
        <v>20.63</v>
      </c>
      <c r="BQ225" s="91">
        <v>20.23</v>
      </c>
      <c r="BR225" s="91">
        <v>19.309999999999999</v>
      </c>
      <c r="BS225" s="91">
        <v>17.52</v>
      </c>
      <c r="BT225" s="91">
        <v>18.95</v>
      </c>
      <c r="BV225" s="134" t="s">
        <v>0</v>
      </c>
      <c r="BW225" s="132"/>
      <c r="BX225" s="91">
        <v>20.72</v>
      </c>
      <c r="BY225" s="91">
        <v>20.66</v>
      </c>
      <c r="BZ225" s="91">
        <v>20.05</v>
      </c>
      <c r="CA225" s="91">
        <v>19.18</v>
      </c>
      <c r="CB225" s="91">
        <v>19.27</v>
      </c>
      <c r="CC225" s="91"/>
      <c r="CD225" s="134" t="s">
        <v>0</v>
      </c>
      <c r="CE225" s="132"/>
      <c r="CF225" s="91">
        <v>18.5</v>
      </c>
      <c r="CG225" s="91">
        <v>18.23</v>
      </c>
      <c r="CH225" s="91">
        <v>17.84</v>
      </c>
      <c r="CI225" s="91">
        <v>17.12</v>
      </c>
      <c r="CJ225" s="91">
        <v>15.95</v>
      </c>
      <c r="CL225" s="134" t="s">
        <v>0</v>
      </c>
      <c r="CM225" s="132"/>
      <c r="CN225" s="91">
        <v>20.420000000000002</v>
      </c>
      <c r="CO225" s="91">
        <v>20.8</v>
      </c>
      <c r="CP225" s="91">
        <v>19.87</v>
      </c>
      <c r="CQ225" s="91">
        <v>19.13</v>
      </c>
      <c r="CR225" s="91">
        <v>19.34</v>
      </c>
      <c r="CT225" s="134" t="s">
        <v>0</v>
      </c>
      <c r="CU225" s="132"/>
      <c r="CV225" s="132">
        <v>18.45</v>
      </c>
      <c r="CW225" s="91"/>
      <c r="CX225" s="91"/>
      <c r="CY225" s="91"/>
      <c r="CZ225" s="91"/>
      <c r="DB225" s="134" t="s">
        <v>0</v>
      </c>
      <c r="DC225" s="132"/>
      <c r="DD225" s="91">
        <v>21.61</v>
      </c>
      <c r="DE225" s="91"/>
      <c r="DF225" s="91"/>
      <c r="DG225" s="91"/>
      <c r="DH225" s="91"/>
      <c r="DI225" s="91"/>
      <c r="DJ225" s="134" t="s">
        <v>0</v>
      </c>
      <c r="DK225" s="132"/>
      <c r="DL225" s="91">
        <v>16.329999999999998</v>
      </c>
      <c r="DM225" s="91"/>
      <c r="DN225" s="91"/>
      <c r="DO225" s="91"/>
      <c r="DP225" s="91"/>
      <c r="DR225" s="134" t="s">
        <v>0</v>
      </c>
      <c r="DS225" s="132"/>
      <c r="DT225" s="91">
        <v>20.89</v>
      </c>
      <c r="DU225" s="91"/>
      <c r="DV225" s="91"/>
      <c r="DW225" s="91"/>
      <c r="DX225" s="91"/>
      <c r="DZ225" s="134" t="s">
        <v>0</v>
      </c>
      <c r="EA225" s="132"/>
      <c r="EB225" s="91"/>
      <c r="EC225" s="91"/>
      <c r="ED225" s="91"/>
      <c r="EE225" s="91"/>
      <c r="EF225" s="91"/>
    </row>
    <row r="226" spans="1:136" s="90" customFormat="1" x14ac:dyDescent="0.2">
      <c r="A226" s="292"/>
      <c r="B226" s="134" t="s">
        <v>1</v>
      </c>
      <c r="C226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6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21.73</v>
      </c>
      <c r="E226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22.082000000000001</v>
      </c>
      <c r="F226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23.397500000000001</v>
      </c>
      <c r="G226" s="259">
        <v>16.364999999999998</v>
      </c>
      <c r="H226" s="259">
        <v>16.247499999999999</v>
      </c>
      <c r="I226" s="91"/>
      <c r="J226" s="134" t="s">
        <v>1</v>
      </c>
      <c r="K226" s="132"/>
      <c r="L226" s="91">
        <v>18.68</v>
      </c>
      <c r="M226" s="91">
        <v>18.53</v>
      </c>
      <c r="N226" s="91">
        <v>17.23</v>
      </c>
      <c r="O226" s="91">
        <v>17.73</v>
      </c>
      <c r="P226" s="91">
        <v>17.149999999999999</v>
      </c>
      <c r="R226" s="134" t="s">
        <v>1</v>
      </c>
      <c r="S226" s="132"/>
      <c r="T226" s="91">
        <v>17.61</v>
      </c>
      <c r="U226" s="91">
        <v>17.96</v>
      </c>
      <c r="V226" s="91">
        <v>17.54</v>
      </c>
      <c r="W226" s="91">
        <v>16.91</v>
      </c>
      <c r="X226" s="91">
        <v>16.329999999999998</v>
      </c>
      <c r="Z226" s="134" t="s">
        <v>1</v>
      </c>
      <c r="AA226" s="132"/>
      <c r="AB226" s="91">
        <v>19.010000000000002</v>
      </c>
      <c r="AC226" s="91">
        <v>18.38</v>
      </c>
      <c r="AD226" s="91">
        <v>18.18</v>
      </c>
      <c r="AE226" s="91">
        <v>17.149999999999999</v>
      </c>
      <c r="AF226" s="91">
        <v>17.510000000000002</v>
      </c>
      <c r="AH226" s="134" t="s">
        <v>1</v>
      </c>
      <c r="AI226" s="132"/>
      <c r="AJ226" s="132">
        <v>21.56</v>
      </c>
      <c r="AK226" s="91">
        <v>22.04</v>
      </c>
      <c r="AL226" s="91">
        <v>19.940000000000001</v>
      </c>
      <c r="AM226" s="91">
        <v>19.760000000000002</v>
      </c>
      <c r="AN226" s="91">
        <v>18.93</v>
      </c>
      <c r="AP226" s="134" t="s">
        <v>1</v>
      </c>
      <c r="AQ226" s="132"/>
      <c r="AR226" s="132">
        <v>19.48</v>
      </c>
      <c r="AS226" s="91">
        <v>18.739999999999998</v>
      </c>
      <c r="AT226" s="91">
        <v>17.36</v>
      </c>
      <c r="AU226" s="91">
        <v>16.93</v>
      </c>
      <c r="AV226" s="91"/>
      <c r="AX226" s="134" t="s">
        <v>1</v>
      </c>
      <c r="AY226" s="132"/>
      <c r="AZ226" s="132">
        <v>20.87</v>
      </c>
      <c r="BA226" s="91">
        <v>21.42</v>
      </c>
      <c r="BB226" s="91">
        <v>19.71</v>
      </c>
      <c r="BC226" s="91">
        <v>23.09</v>
      </c>
      <c r="BD226" s="91"/>
      <c r="BE226" s="91"/>
      <c r="BF226" s="134" t="s">
        <v>1</v>
      </c>
      <c r="BG226" s="132"/>
      <c r="BH226" s="91">
        <v>18.91</v>
      </c>
      <c r="BI226" s="91">
        <v>18.78</v>
      </c>
      <c r="BJ226" s="91"/>
      <c r="BK226" s="91"/>
      <c r="BL226" s="91"/>
      <c r="BM226" s="91"/>
      <c r="BN226" s="134" t="s">
        <v>1</v>
      </c>
      <c r="BO226" s="132"/>
      <c r="BP226" s="91">
        <v>21.22</v>
      </c>
      <c r="BQ226" s="91">
        <v>21.36</v>
      </c>
      <c r="BR226" s="91">
        <v>19.760000000000002</v>
      </c>
      <c r="BS226" s="91">
        <v>19.79</v>
      </c>
      <c r="BT226" s="91">
        <v>19.46</v>
      </c>
      <c r="BV226" s="134" t="s">
        <v>1</v>
      </c>
      <c r="BW226" s="132"/>
      <c r="BX226" s="91">
        <v>20.81</v>
      </c>
      <c r="BY226" s="91">
        <v>22.5</v>
      </c>
      <c r="BZ226" s="91">
        <v>20.14</v>
      </c>
      <c r="CA226" s="91">
        <v>19.7</v>
      </c>
      <c r="CB226" s="91">
        <v>19.54</v>
      </c>
      <c r="CC226" s="91"/>
      <c r="CD226" s="134" t="s">
        <v>1</v>
      </c>
      <c r="CE226" s="132"/>
      <c r="CF226" s="91">
        <v>18.809999999999999</v>
      </c>
      <c r="CG226" s="91">
        <v>19.09</v>
      </c>
      <c r="CH226" s="91">
        <v>17.71</v>
      </c>
      <c r="CI226" s="91">
        <v>17.55</v>
      </c>
      <c r="CJ226" s="91">
        <v>15.63</v>
      </c>
      <c r="CL226" s="134" t="s">
        <v>1</v>
      </c>
      <c r="CM226" s="132"/>
      <c r="CN226" s="91">
        <v>20.34</v>
      </c>
      <c r="CO226" s="91">
        <v>22.02</v>
      </c>
      <c r="CP226" s="91">
        <v>19.61</v>
      </c>
      <c r="CQ226" s="91">
        <v>19.09</v>
      </c>
      <c r="CR226" s="91">
        <v>18.27</v>
      </c>
      <c r="CT226" s="134" t="s">
        <v>1</v>
      </c>
      <c r="CU226" s="132"/>
      <c r="CV226" s="132">
        <v>18.62</v>
      </c>
      <c r="CW226" s="91"/>
      <c r="CX226" s="91"/>
      <c r="CY226" s="91"/>
      <c r="CZ226" s="91"/>
      <c r="DB226" s="134" t="s">
        <v>1</v>
      </c>
      <c r="DC226" s="132"/>
      <c r="DD226" s="91">
        <v>22.42</v>
      </c>
      <c r="DE226" s="91"/>
      <c r="DF226" s="91"/>
      <c r="DG226" s="91"/>
      <c r="DH226" s="91"/>
      <c r="DI226" s="91"/>
      <c r="DJ226" s="134" t="s">
        <v>1</v>
      </c>
      <c r="DK226" s="132"/>
      <c r="DL226" s="91">
        <v>16.71</v>
      </c>
      <c r="DM226" s="91"/>
      <c r="DN226" s="91"/>
      <c r="DO226" s="91"/>
      <c r="DP226" s="91"/>
      <c r="DR226" s="134" t="s">
        <v>1</v>
      </c>
      <c r="DS226" s="132"/>
      <c r="DT226" s="91">
        <v>21.29</v>
      </c>
      <c r="DU226" s="91"/>
      <c r="DV226" s="91"/>
      <c r="DW226" s="91"/>
      <c r="DX226" s="91"/>
      <c r="DZ226" s="134" t="s">
        <v>1</v>
      </c>
      <c r="EA226" s="132"/>
      <c r="EB226" s="91"/>
      <c r="EC226" s="91"/>
      <c r="ED226" s="91"/>
      <c r="EE226" s="91"/>
      <c r="EF226" s="91"/>
    </row>
    <row r="227" spans="1:136" s="90" customFormat="1" x14ac:dyDescent="0.2">
      <c r="A227" s="292"/>
      <c r="B227" s="134" t="s">
        <v>3</v>
      </c>
      <c r="C227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7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22.613</v>
      </c>
      <c r="E227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22.314</v>
      </c>
      <c r="F227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23.612500000000001</v>
      </c>
      <c r="G227" s="259">
        <v>17.142499999999998</v>
      </c>
      <c r="H227" s="259">
        <v>16.922499999999999</v>
      </c>
      <c r="I227" s="91"/>
      <c r="J227" s="134" t="s">
        <v>3</v>
      </c>
      <c r="K227" s="132"/>
      <c r="L227" s="91">
        <v>19.420000000000002</v>
      </c>
      <c r="M227" s="91">
        <v>19.03</v>
      </c>
      <c r="N227" s="91">
        <v>17.46</v>
      </c>
      <c r="O227" s="91">
        <v>17.850000000000001</v>
      </c>
      <c r="P227" s="91">
        <v>17.23</v>
      </c>
      <c r="R227" s="134" t="s">
        <v>3</v>
      </c>
      <c r="S227" s="132"/>
      <c r="T227" s="91">
        <v>18.82</v>
      </c>
      <c r="U227" s="91">
        <v>18.329999999999998</v>
      </c>
      <c r="V227" s="91">
        <v>17.12</v>
      </c>
      <c r="W227" s="91">
        <v>17.14</v>
      </c>
      <c r="X227" s="91">
        <v>17.2</v>
      </c>
      <c r="Z227" s="134" t="s">
        <v>3</v>
      </c>
      <c r="AA227" s="132"/>
      <c r="AB227" s="91">
        <v>19.34</v>
      </c>
      <c r="AC227" s="91">
        <v>18.71</v>
      </c>
      <c r="AD227" s="91">
        <v>18.440000000000001</v>
      </c>
      <c r="AE227" s="91">
        <v>17.88</v>
      </c>
      <c r="AF227" s="91">
        <v>18.63</v>
      </c>
      <c r="AH227" s="134" t="s">
        <v>3</v>
      </c>
      <c r="AI227" s="132"/>
      <c r="AJ227" s="132">
        <v>22.32</v>
      </c>
      <c r="AK227" s="91">
        <v>21.84</v>
      </c>
      <c r="AL227" s="91">
        <v>19.690000000000001</v>
      </c>
      <c r="AM227" s="91">
        <v>20.57</v>
      </c>
      <c r="AN227" s="91">
        <v>19.45</v>
      </c>
      <c r="AP227" s="134" t="s">
        <v>3</v>
      </c>
      <c r="AQ227" s="132"/>
      <c r="AR227" s="132">
        <v>20.13</v>
      </c>
      <c r="AS227" s="91">
        <v>18.940000000000001</v>
      </c>
      <c r="AT227" s="91">
        <v>17.59</v>
      </c>
      <c r="AU227" s="91">
        <v>16.78</v>
      </c>
      <c r="AV227" s="91"/>
      <c r="AX227" s="134" t="s">
        <v>3</v>
      </c>
      <c r="AY227" s="132"/>
      <c r="AZ227" s="132">
        <v>21.31</v>
      </c>
      <c r="BA227" s="91">
        <v>21.84</v>
      </c>
      <c r="BB227" s="91">
        <v>19.8</v>
      </c>
      <c r="BC227" s="91">
        <v>21.2</v>
      </c>
      <c r="BD227" s="91"/>
      <c r="BE227" s="91"/>
      <c r="BF227" s="134" t="s">
        <v>3</v>
      </c>
      <c r="BG227" s="132"/>
      <c r="BH227" s="91">
        <v>19.829999999999998</v>
      </c>
      <c r="BI227" s="91">
        <v>18.809999999999999</v>
      </c>
      <c r="BJ227" s="91"/>
      <c r="BK227" s="91"/>
      <c r="BL227" s="91"/>
      <c r="BM227" s="91"/>
      <c r="BN227" s="134" t="s">
        <v>3</v>
      </c>
      <c r="BO227" s="132"/>
      <c r="BP227" s="91">
        <v>22.28</v>
      </c>
      <c r="BQ227" s="91">
        <v>21.75</v>
      </c>
      <c r="BR227" s="91">
        <v>19.59</v>
      </c>
      <c r="BS227" s="91">
        <v>20.45</v>
      </c>
      <c r="BT227" s="91">
        <v>20.61</v>
      </c>
      <c r="BV227" s="134" t="s">
        <v>3</v>
      </c>
      <c r="BW227" s="132"/>
      <c r="BX227" s="91">
        <v>22.12</v>
      </c>
      <c r="BY227" s="91">
        <v>22.56</v>
      </c>
      <c r="BZ227" s="91">
        <v>20.28</v>
      </c>
      <c r="CA227" s="91">
        <v>20.57</v>
      </c>
      <c r="CB227" s="91">
        <v>20.309999999999999</v>
      </c>
      <c r="CC227" s="91"/>
      <c r="CD227" s="134" t="s">
        <v>3</v>
      </c>
      <c r="CE227" s="132"/>
      <c r="CF227" s="91">
        <v>19.420000000000002</v>
      </c>
      <c r="CG227" s="91">
        <v>19.77</v>
      </c>
      <c r="CH227" s="91">
        <v>18.96</v>
      </c>
      <c r="CI227" s="91">
        <v>18.32</v>
      </c>
      <c r="CJ227" s="91">
        <v>17.87</v>
      </c>
      <c r="CL227" s="134" t="s">
        <v>3</v>
      </c>
      <c r="CM227" s="132"/>
      <c r="CN227" s="91">
        <v>21.14</v>
      </c>
      <c r="CO227" s="91">
        <v>21.56</v>
      </c>
      <c r="CP227" s="91">
        <v>19.97</v>
      </c>
      <c r="CQ227" s="91">
        <v>19.940000000000001</v>
      </c>
      <c r="CR227" s="91">
        <v>19.010000000000002</v>
      </c>
      <c r="CT227" s="134" t="s">
        <v>3</v>
      </c>
      <c r="CU227" s="132"/>
      <c r="CV227" s="132">
        <v>18.98</v>
      </c>
      <c r="CW227" s="91"/>
      <c r="CX227" s="91"/>
      <c r="CY227" s="91"/>
      <c r="CZ227" s="91"/>
      <c r="DB227" s="134" t="s">
        <v>3</v>
      </c>
      <c r="DC227" s="132"/>
      <c r="DD227" s="91">
        <v>22.83</v>
      </c>
      <c r="DE227" s="91"/>
      <c r="DF227" s="91"/>
      <c r="DG227" s="91"/>
      <c r="DH227" s="91"/>
      <c r="DI227" s="91"/>
      <c r="DJ227" s="134" t="s">
        <v>3</v>
      </c>
      <c r="DK227" s="132"/>
      <c r="DL227" s="91">
        <v>17.100000000000001</v>
      </c>
      <c r="DM227" s="91"/>
      <c r="DN227" s="91"/>
      <c r="DO227" s="91"/>
      <c r="DP227" s="91"/>
      <c r="DR227" s="134" t="s">
        <v>3</v>
      </c>
      <c r="DS227" s="132"/>
      <c r="DT227" s="91">
        <v>21.78</v>
      </c>
      <c r="DU227" s="91"/>
      <c r="DV227" s="91"/>
      <c r="DW227" s="91"/>
      <c r="DX227" s="91"/>
      <c r="DZ227" s="134" t="s">
        <v>3</v>
      </c>
      <c r="EA227" s="132"/>
      <c r="EB227" s="91">
        <v>21.37</v>
      </c>
      <c r="EC227" s="91"/>
      <c r="ED227" s="91"/>
      <c r="EE227" s="91"/>
      <c r="EF227" s="91"/>
    </row>
    <row r="228" spans="1:136" s="90" customFormat="1" x14ac:dyDescent="0.2">
      <c r="A228" s="292"/>
      <c r="B228" s="134" t="s">
        <v>71</v>
      </c>
      <c r="C228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8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21.904</v>
      </c>
      <c r="E228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21.651</v>
      </c>
      <c r="F228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22.928750000000001</v>
      </c>
      <c r="G228" s="259">
        <v>16.315000000000001</v>
      </c>
      <c r="H228" s="259">
        <v>16.02</v>
      </c>
      <c r="I228" s="91"/>
      <c r="J228" s="134" t="s">
        <v>71</v>
      </c>
      <c r="K228" s="132"/>
      <c r="L228" s="91">
        <v>18.27</v>
      </c>
      <c r="M228" s="91">
        <v>17.77</v>
      </c>
      <c r="N228" s="91">
        <v>16.52</v>
      </c>
      <c r="O228" s="91">
        <v>16.71</v>
      </c>
      <c r="P228" s="91">
        <v>15.82</v>
      </c>
      <c r="R228" s="134" t="s">
        <v>71</v>
      </c>
      <c r="S228" s="132"/>
      <c r="T228" s="91">
        <v>17.98</v>
      </c>
      <c r="U228" s="91">
        <v>18.57</v>
      </c>
      <c r="V228" s="91">
        <v>17.09</v>
      </c>
      <c r="W228" s="91">
        <v>16.18</v>
      </c>
      <c r="X228" s="91">
        <v>15.98</v>
      </c>
      <c r="Z228" s="134" t="s">
        <v>71</v>
      </c>
      <c r="AA228" s="132"/>
      <c r="AB228" s="91">
        <v>19.14</v>
      </c>
      <c r="AC228" s="91">
        <v>18.02</v>
      </c>
      <c r="AD228" s="91">
        <v>16.7</v>
      </c>
      <c r="AE228" s="91">
        <v>16.77</v>
      </c>
      <c r="AF228" s="91">
        <v>17.52</v>
      </c>
      <c r="AH228" s="134" t="s">
        <v>71</v>
      </c>
      <c r="AI228" s="132"/>
      <c r="AJ228" s="132">
        <v>21.77</v>
      </c>
      <c r="AK228" s="91">
        <v>21.02</v>
      </c>
      <c r="AL228" s="91">
        <v>19.38</v>
      </c>
      <c r="AM228" s="91">
        <v>18.350000000000001</v>
      </c>
      <c r="AN228" s="91">
        <v>17.940000000000001</v>
      </c>
      <c r="AP228" s="134" t="s">
        <v>71</v>
      </c>
      <c r="AQ228" s="132"/>
      <c r="AR228" s="132">
        <v>19.36</v>
      </c>
      <c r="AS228" s="91">
        <v>18.63</v>
      </c>
      <c r="AT228" s="91">
        <v>17.7</v>
      </c>
      <c r="AU228" s="91">
        <v>16.97</v>
      </c>
      <c r="AV228" s="91"/>
      <c r="AX228" s="134" t="s">
        <v>71</v>
      </c>
      <c r="AY228" s="132"/>
      <c r="AZ228" s="132">
        <v>20.96</v>
      </c>
      <c r="BA228" s="91">
        <v>21.88</v>
      </c>
      <c r="BB228" s="91">
        <v>19.5</v>
      </c>
      <c r="BC228" s="91">
        <v>20.43</v>
      </c>
      <c r="BD228" s="91"/>
      <c r="BE228" s="91"/>
      <c r="BF228" s="134" t="s">
        <v>71</v>
      </c>
      <c r="BG228" s="132"/>
      <c r="BH228" s="91">
        <v>19.68</v>
      </c>
      <c r="BI228" s="91">
        <v>18.54</v>
      </c>
      <c r="BJ228" s="91"/>
      <c r="BK228" s="91"/>
      <c r="BL228" s="91"/>
      <c r="BM228" s="91"/>
      <c r="BN228" s="134" t="s">
        <v>71</v>
      </c>
      <c r="BO228" s="132"/>
      <c r="BP228" s="91">
        <v>20.41</v>
      </c>
      <c r="BQ228" s="91">
        <v>19.59</v>
      </c>
      <c r="BR228" s="91">
        <v>18.329999999999998</v>
      </c>
      <c r="BS228" s="91">
        <v>16.760000000000002</v>
      </c>
      <c r="BT228" s="91">
        <v>16.07</v>
      </c>
      <c r="BV228" s="134" t="s">
        <v>71</v>
      </c>
      <c r="BW228" s="132"/>
      <c r="BX228" s="91">
        <v>21.35</v>
      </c>
      <c r="BY228" s="91">
        <v>21.71</v>
      </c>
      <c r="BZ228" s="91">
        <v>20.329999999999998</v>
      </c>
      <c r="CA228" s="91">
        <v>18.66</v>
      </c>
      <c r="CB228" s="91">
        <v>18.149999999999999</v>
      </c>
      <c r="CC228" s="91"/>
      <c r="CD228" s="134" t="s">
        <v>71</v>
      </c>
      <c r="CE228" s="132"/>
      <c r="CF228" s="91">
        <v>19.07</v>
      </c>
      <c r="CG228" s="91">
        <v>19.34</v>
      </c>
      <c r="CH228" s="91">
        <v>18.600000000000001</v>
      </c>
      <c r="CI228" s="91">
        <v>17.47</v>
      </c>
      <c r="CJ228" s="91">
        <v>15.48</v>
      </c>
      <c r="CL228" s="134" t="s">
        <v>71</v>
      </c>
      <c r="CM228" s="132"/>
      <c r="CN228" s="91">
        <v>21.05</v>
      </c>
      <c r="CO228" s="91">
        <v>21.44</v>
      </c>
      <c r="CP228" s="91">
        <v>19.28</v>
      </c>
      <c r="CQ228" s="91">
        <v>18.82</v>
      </c>
      <c r="CR228" s="91">
        <v>17.440000000000001</v>
      </c>
      <c r="CT228" s="134" t="s">
        <v>71</v>
      </c>
      <c r="CU228" s="132"/>
      <c r="CV228" s="132">
        <v>18.329999999999998</v>
      </c>
      <c r="CW228" s="91"/>
      <c r="CX228" s="91"/>
      <c r="CY228" s="91"/>
      <c r="CZ228" s="91"/>
      <c r="DB228" s="134" t="s">
        <v>71</v>
      </c>
      <c r="DC228" s="132"/>
      <c r="DD228" s="91">
        <v>22.6</v>
      </c>
      <c r="DE228" s="91"/>
      <c r="DF228" s="91"/>
      <c r="DG228" s="91"/>
      <c r="DH228" s="91"/>
      <c r="DI228" s="91"/>
      <c r="DJ228" s="134" t="s">
        <v>71</v>
      </c>
      <c r="DK228" s="132"/>
      <c r="DL228" s="91">
        <v>16.41</v>
      </c>
      <c r="DM228" s="91"/>
      <c r="DN228" s="91"/>
      <c r="DO228" s="91"/>
      <c r="DP228" s="91"/>
      <c r="DR228" s="134" t="s">
        <v>71</v>
      </c>
      <c r="DS228" s="132"/>
      <c r="DT228" s="91">
        <v>21.44</v>
      </c>
      <c r="DU228" s="91"/>
      <c r="DV228" s="91"/>
      <c r="DW228" s="91"/>
      <c r="DX228" s="91"/>
      <c r="DZ228" s="134" t="s">
        <v>71</v>
      </c>
      <c r="EA228" s="132"/>
      <c r="EB228" s="91">
        <v>21.51</v>
      </c>
      <c r="EC228" s="91"/>
      <c r="ED228" s="91"/>
      <c r="EE228" s="91"/>
      <c r="EF228" s="91"/>
    </row>
    <row r="229" spans="1:136" s="90" customFormat="1" x14ac:dyDescent="0.2">
      <c r="A229" s="292"/>
      <c r="B229" s="134" t="s">
        <v>12</v>
      </c>
      <c r="C229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9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21.324999999999999</v>
      </c>
      <c r="E229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21.955000000000002</v>
      </c>
      <c r="F229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23.71</v>
      </c>
      <c r="G229" s="259">
        <v>16.445</v>
      </c>
      <c r="H229" s="259">
        <v>16.282499999999999</v>
      </c>
      <c r="I229" s="91"/>
      <c r="J229" s="134" t="s">
        <v>12</v>
      </c>
      <c r="K229" s="132"/>
      <c r="L229" s="91">
        <v>18.649999999999999</v>
      </c>
      <c r="M229" s="91">
        <v>18.600000000000001</v>
      </c>
      <c r="N229" s="91">
        <v>17.34</v>
      </c>
      <c r="O229" s="91">
        <v>16.3</v>
      </c>
      <c r="P229" s="91">
        <v>17.27</v>
      </c>
      <c r="R229" s="134" t="s">
        <v>12</v>
      </c>
      <c r="S229" s="132"/>
      <c r="T229" s="91">
        <v>17.239999999999998</v>
      </c>
      <c r="U229" s="91">
        <v>17.7</v>
      </c>
      <c r="V229" s="91">
        <v>17.309999999999999</v>
      </c>
      <c r="W229" s="91">
        <v>15.78</v>
      </c>
      <c r="X229" s="91">
        <v>16.48</v>
      </c>
      <c r="Z229" s="134" t="s">
        <v>12</v>
      </c>
      <c r="AA229" s="132"/>
      <c r="AB229" s="91">
        <v>18.170000000000002</v>
      </c>
      <c r="AC229" s="91">
        <v>18.600000000000001</v>
      </c>
      <c r="AD229" s="91">
        <v>17.2</v>
      </c>
      <c r="AE229" s="91">
        <v>15.45</v>
      </c>
      <c r="AF229" s="91">
        <v>17.98</v>
      </c>
      <c r="AH229" s="134" t="s">
        <v>12</v>
      </c>
      <c r="AI229" s="132"/>
      <c r="AJ229" s="132">
        <v>20.69</v>
      </c>
      <c r="AK229" s="91">
        <v>20.62</v>
      </c>
      <c r="AL229" s="91">
        <v>20.149999999999999</v>
      </c>
      <c r="AM229" s="91">
        <v>18.350000000000001</v>
      </c>
      <c r="AN229" s="91">
        <v>17.989999999999998</v>
      </c>
      <c r="AP229" s="134" t="s">
        <v>12</v>
      </c>
      <c r="AQ229" s="132"/>
      <c r="AR229" s="132">
        <v>18.97</v>
      </c>
      <c r="AS229" s="91">
        <v>18.61</v>
      </c>
      <c r="AT229" s="91">
        <v>17.98</v>
      </c>
      <c r="AU229" s="91">
        <v>16.22</v>
      </c>
      <c r="AV229" s="91"/>
      <c r="AX229" s="134" t="s">
        <v>12</v>
      </c>
      <c r="AY229" s="132"/>
      <c r="AZ229" s="132">
        <v>20.55</v>
      </c>
      <c r="BA229" s="91">
        <v>21.97</v>
      </c>
      <c r="BB229" s="91">
        <v>20.2</v>
      </c>
      <c r="BC229" s="91">
        <v>19.149999999999999</v>
      </c>
      <c r="BD229" s="91"/>
      <c r="BE229" s="91"/>
      <c r="BF229" s="134" t="s">
        <v>12</v>
      </c>
      <c r="BG229" s="132"/>
      <c r="BH229" s="91">
        <v>19.18</v>
      </c>
      <c r="BI229" s="91">
        <v>19.48</v>
      </c>
      <c r="BJ229" s="91"/>
      <c r="BK229" s="91"/>
      <c r="BL229" s="91"/>
      <c r="BM229" s="91"/>
      <c r="BN229" s="134" t="s">
        <v>12</v>
      </c>
      <c r="BO229" s="132"/>
      <c r="BP229" s="91">
        <v>20.12</v>
      </c>
      <c r="BQ229" s="91">
        <v>20.47</v>
      </c>
      <c r="BR229" s="91">
        <v>19.690000000000001</v>
      </c>
      <c r="BS229" s="91">
        <v>17.48</v>
      </c>
      <c r="BT229" s="91">
        <v>17.91</v>
      </c>
      <c r="BV229" s="134" t="s">
        <v>12</v>
      </c>
      <c r="BW229" s="132"/>
      <c r="BX229" s="91">
        <v>20.11</v>
      </c>
      <c r="BY229" s="91">
        <v>21.64</v>
      </c>
      <c r="BZ229" s="91">
        <v>21</v>
      </c>
      <c r="CA229" s="91">
        <v>18.440000000000001</v>
      </c>
      <c r="CB229" s="91">
        <v>19.73</v>
      </c>
      <c r="CC229" s="91"/>
      <c r="CD229" s="134" t="s">
        <v>12</v>
      </c>
      <c r="CE229" s="132"/>
      <c r="CF229" s="91">
        <v>19.25</v>
      </c>
      <c r="CG229" s="91">
        <v>19.37</v>
      </c>
      <c r="CH229" s="91">
        <v>19.190000000000001</v>
      </c>
      <c r="CI229" s="91">
        <v>17.36</v>
      </c>
      <c r="CJ229" s="91">
        <v>16.14</v>
      </c>
      <c r="CL229" s="134" t="s">
        <v>12</v>
      </c>
      <c r="CM229" s="132"/>
      <c r="CN229" s="91">
        <v>20.32</v>
      </c>
      <c r="CO229" s="91">
        <v>22.49</v>
      </c>
      <c r="CP229" s="91">
        <v>19.62</v>
      </c>
      <c r="CQ229" s="91">
        <v>18.89</v>
      </c>
      <c r="CR229" s="91">
        <v>18.489999999999998</v>
      </c>
      <c r="CT229" s="134" t="s">
        <v>12</v>
      </c>
      <c r="CU229" s="132"/>
      <c r="CV229" s="132">
        <v>17.75</v>
      </c>
      <c r="CW229" s="91"/>
      <c r="CX229" s="91"/>
      <c r="CY229" s="91"/>
      <c r="CZ229" s="91"/>
      <c r="DB229" s="134" t="s">
        <v>12</v>
      </c>
      <c r="DC229" s="132"/>
      <c r="DD229" s="91">
        <v>21.57</v>
      </c>
      <c r="DE229" s="91"/>
      <c r="DF229" s="91"/>
      <c r="DG229" s="91"/>
      <c r="DH229" s="91"/>
      <c r="DI229" s="91"/>
      <c r="DJ229" s="134" t="s">
        <v>12</v>
      </c>
      <c r="DK229" s="132"/>
      <c r="DL229" s="91">
        <v>16.23</v>
      </c>
      <c r="DM229" s="91"/>
      <c r="DN229" s="91"/>
      <c r="DO229" s="91"/>
      <c r="DP229" s="91"/>
      <c r="DR229" s="134" t="s">
        <v>12</v>
      </c>
      <c r="DS229" s="132"/>
      <c r="DT229" s="91">
        <v>20.83</v>
      </c>
      <c r="DU229" s="91"/>
      <c r="DV229" s="91"/>
      <c r="DW229" s="91"/>
      <c r="DX229" s="91"/>
      <c r="DZ229" s="134" t="s">
        <v>12</v>
      </c>
      <c r="EA229" s="132"/>
      <c r="EB229" s="91">
        <v>20.03</v>
      </c>
      <c r="EC229" s="91"/>
      <c r="ED229" s="91"/>
      <c r="EE229" s="91"/>
      <c r="EF229" s="91"/>
    </row>
    <row r="230" spans="1:136" s="90" customFormat="1" x14ac:dyDescent="0.2">
      <c r="A230" s="292"/>
      <c r="B230" s="134" t="s">
        <v>13</v>
      </c>
      <c r="C230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0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23.145000000000003</v>
      </c>
      <c r="E230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21.782999999999998</v>
      </c>
      <c r="F230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23.86375</v>
      </c>
      <c r="G230" s="259">
        <v>16.237500000000001</v>
      </c>
      <c r="H230" s="259">
        <v>16.202500000000001</v>
      </c>
      <c r="I230" s="91"/>
      <c r="J230" s="134" t="s">
        <v>13</v>
      </c>
      <c r="K230" s="132"/>
      <c r="L230" s="91">
        <v>19.84</v>
      </c>
      <c r="M230" s="91">
        <v>17.809999999999999</v>
      </c>
      <c r="N230" s="91">
        <v>17.3</v>
      </c>
      <c r="O230" s="91">
        <v>14.83</v>
      </c>
      <c r="P230" s="91">
        <v>21.97</v>
      </c>
      <c r="R230" s="134" t="s">
        <v>13</v>
      </c>
      <c r="S230" s="132"/>
      <c r="T230" s="91">
        <v>18.84</v>
      </c>
      <c r="U230" s="91">
        <v>17.71</v>
      </c>
      <c r="V230" s="91">
        <v>17.62</v>
      </c>
      <c r="W230" s="91">
        <v>15.11</v>
      </c>
      <c r="X230" s="91">
        <v>20.399999999999999</v>
      </c>
      <c r="Z230" s="134" t="s">
        <v>13</v>
      </c>
      <c r="AA230" s="132"/>
      <c r="AB230" s="91">
        <v>20.079999999999998</v>
      </c>
      <c r="AC230" s="91">
        <v>18.27</v>
      </c>
      <c r="AD230" s="91">
        <v>17.22</v>
      </c>
      <c r="AE230" s="91">
        <v>15.39</v>
      </c>
      <c r="AF230" s="91">
        <v>22.25</v>
      </c>
      <c r="AH230" s="134" t="s">
        <v>13</v>
      </c>
      <c r="AI230" s="132"/>
      <c r="AJ230" s="132">
        <v>23.05</v>
      </c>
      <c r="AK230" s="91">
        <v>21.21</v>
      </c>
      <c r="AL230" s="91">
        <v>20.58</v>
      </c>
      <c r="AM230" s="91">
        <v>17.22</v>
      </c>
      <c r="AN230" s="91">
        <v>12.06</v>
      </c>
      <c r="AP230" s="134" t="s">
        <v>13</v>
      </c>
      <c r="AQ230" s="132"/>
      <c r="AR230" s="132">
        <v>20.170000000000002</v>
      </c>
      <c r="AS230" s="91">
        <v>18.28</v>
      </c>
      <c r="AT230" s="91">
        <v>18.260000000000002</v>
      </c>
      <c r="AU230" s="91">
        <v>14.31</v>
      </c>
      <c r="AV230" s="91"/>
      <c r="AX230" s="134" t="s">
        <v>13</v>
      </c>
      <c r="AY230" s="132"/>
      <c r="AZ230" s="132">
        <v>22.37</v>
      </c>
      <c r="BA230" s="91">
        <v>21.78</v>
      </c>
      <c r="BB230" s="91">
        <v>20.6</v>
      </c>
      <c r="BC230" s="91">
        <v>16.16</v>
      </c>
      <c r="BD230" s="91"/>
      <c r="BE230" s="91"/>
      <c r="BF230" s="134" t="s">
        <v>13</v>
      </c>
      <c r="BG230" s="132"/>
      <c r="BH230" s="91">
        <v>21.07</v>
      </c>
      <c r="BI230" s="91">
        <v>19.760000000000002</v>
      </c>
      <c r="BJ230" s="91"/>
      <c r="BK230" s="91"/>
      <c r="BL230" s="91"/>
      <c r="BM230" s="91"/>
      <c r="BN230" s="134" t="s">
        <v>13</v>
      </c>
      <c r="BO230" s="132"/>
      <c r="BP230" s="91">
        <v>21.66</v>
      </c>
      <c r="BQ230" s="91">
        <v>20.25</v>
      </c>
      <c r="BR230" s="91">
        <v>19.63</v>
      </c>
      <c r="BS230" s="91">
        <v>15.77</v>
      </c>
      <c r="BT230" s="91">
        <v>14.49</v>
      </c>
      <c r="BV230" s="134" t="s">
        <v>13</v>
      </c>
      <c r="BW230" s="132"/>
      <c r="BX230" s="91">
        <v>21.96</v>
      </c>
      <c r="BY230" s="91">
        <v>21.25</v>
      </c>
      <c r="BZ230" s="91">
        <v>20.54</v>
      </c>
      <c r="CA230" s="91">
        <v>17.309999999999999</v>
      </c>
      <c r="CB230" s="91">
        <v>24.06</v>
      </c>
      <c r="CC230" s="91"/>
      <c r="CD230" s="134" t="s">
        <v>13</v>
      </c>
      <c r="CE230" s="132"/>
      <c r="CF230" s="91">
        <v>20.32</v>
      </c>
      <c r="CG230" s="91">
        <v>19.940000000000001</v>
      </c>
      <c r="CH230" s="91">
        <v>19.260000000000002</v>
      </c>
      <c r="CI230" s="91">
        <v>17.09</v>
      </c>
      <c r="CJ230" s="91">
        <v>14.11</v>
      </c>
      <c r="CL230" s="134" t="s">
        <v>13</v>
      </c>
      <c r="CM230" s="132"/>
      <c r="CN230" s="91">
        <v>22.09</v>
      </c>
      <c r="CO230" s="91">
        <v>21.57</v>
      </c>
      <c r="CP230" s="91">
        <v>19.899999999999999</v>
      </c>
      <c r="CQ230" s="91">
        <v>17.21</v>
      </c>
      <c r="CR230" s="91">
        <v>19.260000000000002</v>
      </c>
      <c r="CT230" s="134" t="s">
        <v>13</v>
      </c>
      <c r="CU230" s="132"/>
      <c r="CV230" s="132">
        <v>19.38</v>
      </c>
      <c r="CW230" s="91"/>
      <c r="CX230" s="91"/>
      <c r="CY230" s="91"/>
      <c r="CZ230" s="91"/>
      <c r="DB230" s="134" t="s">
        <v>13</v>
      </c>
      <c r="DC230" s="132"/>
      <c r="DD230" s="91">
        <v>23.28</v>
      </c>
      <c r="DE230" s="91"/>
      <c r="DF230" s="91"/>
      <c r="DG230" s="91"/>
      <c r="DH230" s="91"/>
      <c r="DI230" s="91"/>
      <c r="DJ230" s="134" t="s">
        <v>13</v>
      </c>
      <c r="DK230" s="132"/>
      <c r="DL230" s="91">
        <v>16.93</v>
      </c>
      <c r="DM230" s="91"/>
      <c r="DN230" s="91"/>
      <c r="DO230" s="91"/>
      <c r="DP230" s="91"/>
      <c r="DR230" s="134" t="s">
        <v>13</v>
      </c>
      <c r="DS230" s="132"/>
      <c r="DT230" s="91">
        <v>22.3</v>
      </c>
      <c r="DU230" s="91"/>
      <c r="DV230" s="91"/>
      <c r="DW230" s="91"/>
      <c r="DX230" s="91"/>
      <c r="DZ230" s="134" t="s">
        <v>13</v>
      </c>
      <c r="EA230" s="132"/>
      <c r="EB230" s="91">
        <v>22.09</v>
      </c>
      <c r="EC230" s="91"/>
      <c r="ED230" s="91"/>
      <c r="EE230" s="91"/>
      <c r="EF230" s="91"/>
    </row>
    <row r="231" spans="1:136" s="90" customFormat="1" x14ac:dyDescent="0.2">
      <c r="A231" s="292"/>
      <c r="B231" s="134" t="s">
        <v>15</v>
      </c>
      <c r="C231" s="132" t="str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1" s="259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>22.805</v>
      </c>
      <c r="E231" s="259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>22.424999999999997</v>
      </c>
      <c r="F231" s="259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>25.306249999999999</v>
      </c>
      <c r="G231" s="259">
        <v>17.229999999999997</v>
      </c>
      <c r="H231" s="259">
        <v>16.927500000000002</v>
      </c>
      <c r="I231" s="91"/>
      <c r="J231" s="134" t="s">
        <v>15</v>
      </c>
      <c r="K231" s="132"/>
      <c r="L231" s="91">
        <v>19.899999999999999</v>
      </c>
      <c r="M231" s="91">
        <v>18.62</v>
      </c>
      <c r="N231" s="91">
        <v>18.510000000000002</v>
      </c>
      <c r="O231" s="91">
        <v>16.55</v>
      </c>
      <c r="P231" s="91">
        <v>20.41</v>
      </c>
      <c r="R231" s="134" t="s">
        <v>15</v>
      </c>
      <c r="S231" s="132"/>
      <c r="T231" s="91">
        <v>18.8</v>
      </c>
      <c r="U231" s="91">
        <v>18.649999999999999</v>
      </c>
      <c r="V231" s="91">
        <v>18.190000000000001</v>
      </c>
      <c r="W231" s="91">
        <v>16.55</v>
      </c>
      <c r="X231" s="91">
        <v>19.91</v>
      </c>
      <c r="Z231" s="134" t="s">
        <v>15</v>
      </c>
      <c r="AA231" s="132"/>
      <c r="AB231" s="91">
        <v>20.149999999999999</v>
      </c>
      <c r="AC231" s="91">
        <v>19.79</v>
      </c>
      <c r="AD231" s="91">
        <v>18.96</v>
      </c>
      <c r="AE231" s="91">
        <v>17.670000000000002</v>
      </c>
      <c r="AF231" s="91">
        <v>22.48</v>
      </c>
      <c r="AH231" s="134" t="s">
        <v>15</v>
      </c>
      <c r="AI231" s="132"/>
      <c r="AJ231" s="132">
        <v>22.93</v>
      </c>
      <c r="AK231" s="91">
        <v>21.87</v>
      </c>
      <c r="AL231" s="91">
        <v>21.78</v>
      </c>
      <c r="AM231" s="91">
        <v>19.13</v>
      </c>
      <c r="AN231" s="91">
        <v>21.82</v>
      </c>
      <c r="AP231" s="134" t="s">
        <v>15</v>
      </c>
      <c r="AQ231" s="132"/>
      <c r="AR231" s="132">
        <v>19.7</v>
      </c>
      <c r="AS231" s="91">
        <v>19.329999999999998</v>
      </c>
      <c r="AT231" s="91">
        <v>19.149999999999999</v>
      </c>
      <c r="AU231" s="91">
        <v>16.62</v>
      </c>
      <c r="AV231" s="91"/>
      <c r="AX231" s="134" t="s">
        <v>15</v>
      </c>
      <c r="AY231" s="132"/>
      <c r="AZ231" s="132">
        <v>23.21</v>
      </c>
      <c r="BA231" s="91">
        <v>22.72</v>
      </c>
      <c r="BB231" s="91">
        <v>21.91</v>
      </c>
      <c r="BC231" s="91">
        <v>19.03</v>
      </c>
      <c r="BD231" s="91"/>
      <c r="BE231" s="91"/>
      <c r="BF231" s="134" t="s">
        <v>15</v>
      </c>
      <c r="BG231" s="132"/>
      <c r="BH231" s="91">
        <v>20.329999999999998</v>
      </c>
      <c r="BI231" s="91">
        <v>20.66</v>
      </c>
      <c r="BJ231" s="91"/>
      <c r="BK231" s="91"/>
      <c r="BL231" s="91"/>
      <c r="BM231" s="91"/>
      <c r="BN231" s="134" t="s">
        <v>15</v>
      </c>
      <c r="BO231" s="132"/>
      <c r="BP231" s="91">
        <v>20.56</v>
      </c>
      <c r="BQ231" s="91">
        <v>20.43</v>
      </c>
      <c r="BR231" s="91">
        <v>20.58</v>
      </c>
      <c r="BS231" s="91">
        <v>18.59</v>
      </c>
      <c r="BT231" s="91">
        <v>23.86</v>
      </c>
      <c r="BV231" s="134" t="s">
        <v>15</v>
      </c>
      <c r="BW231" s="132"/>
      <c r="BX231" s="91">
        <v>22.02</v>
      </c>
      <c r="BY231" s="91">
        <v>21.45</v>
      </c>
      <c r="BZ231" s="91">
        <v>22.03</v>
      </c>
      <c r="CA231" s="91">
        <v>19.350000000000001</v>
      </c>
      <c r="CB231" s="91">
        <v>22.73</v>
      </c>
      <c r="CC231" s="91"/>
      <c r="CD231" s="134" t="s">
        <v>15</v>
      </c>
      <c r="CE231" s="132"/>
      <c r="CF231" s="91">
        <v>19.59</v>
      </c>
      <c r="CG231" s="91">
        <v>19.89</v>
      </c>
      <c r="CH231" s="91">
        <v>19.78</v>
      </c>
      <c r="CI231" s="91">
        <v>18.22</v>
      </c>
      <c r="CJ231" s="91">
        <v>18.95</v>
      </c>
      <c r="CL231" s="134" t="s">
        <v>15</v>
      </c>
      <c r="CM231" s="132"/>
      <c r="CN231" s="91">
        <v>20.86</v>
      </c>
      <c r="CO231" s="91">
        <v>20.84</v>
      </c>
      <c r="CP231" s="91">
        <v>21.56</v>
      </c>
      <c r="CQ231" s="91">
        <v>18.75</v>
      </c>
      <c r="CR231" s="91">
        <v>21.41</v>
      </c>
      <c r="CT231" s="134" t="s">
        <v>15</v>
      </c>
      <c r="CU231" s="132"/>
      <c r="CV231" s="132">
        <v>19.559999999999999</v>
      </c>
      <c r="CW231" s="91"/>
      <c r="CX231" s="91"/>
      <c r="CY231" s="91"/>
      <c r="CZ231" s="91"/>
      <c r="DB231" s="134" t="s">
        <v>15</v>
      </c>
      <c r="DC231" s="132"/>
      <c r="DD231" s="91">
        <v>22.76</v>
      </c>
      <c r="DE231" s="91"/>
      <c r="DF231" s="91"/>
      <c r="DG231" s="91"/>
      <c r="DH231" s="91"/>
      <c r="DI231" s="91"/>
      <c r="DJ231" s="134" t="s">
        <v>15</v>
      </c>
      <c r="DK231" s="132"/>
      <c r="DL231" s="91">
        <v>16.54</v>
      </c>
      <c r="DM231" s="91"/>
      <c r="DN231" s="91"/>
      <c r="DO231" s="91"/>
      <c r="DP231" s="91"/>
      <c r="DR231" s="134" t="s">
        <v>15</v>
      </c>
      <c r="DS231" s="132"/>
      <c r="DT231" s="91">
        <v>22.01</v>
      </c>
      <c r="DU231" s="91"/>
      <c r="DV231" s="91"/>
      <c r="DW231" s="91"/>
      <c r="DX231" s="91"/>
      <c r="DZ231" s="134" t="s">
        <v>15</v>
      </c>
      <c r="EA231" s="132"/>
      <c r="EB231" s="91">
        <v>22.21</v>
      </c>
      <c r="EC231" s="91"/>
      <c r="ED231" s="91"/>
      <c r="EE231" s="91"/>
      <c r="EF231" s="91"/>
    </row>
    <row r="233" spans="1:136" ht="15.75" x14ac:dyDescent="0.2">
      <c r="B233" s="45" t="s">
        <v>131</v>
      </c>
      <c r="J233" s="45" t="s">
        <v>2999</v>
      </c>
      <c r="R233" s="45" t="s">
        <v>3001</v>
      </c>
      <c r="Z233" s="45" t="s">
        <v>210</v>
      </c>
      <c r="AH233" s="45" t="s">
        <v>3003</v>
      </c>
      <c r="AP233" s="45" t="s">
        <v>2156</v>
      </c>
      <c r="AX233" s="45" t="s">
        <v>3000</v>
      </c>
      <c r="BF233" s="45" t="s">
        <v>3002</v>
      </c>
      <c r="BN233" s="45" t="s">
        <v>297</v>
      </c>
      <c r="BV233" s="45" t="s">
        <v>296</v>
      </c>
      <c r="CD233" s="45" t="s">
        <v>292</v>
      </c>
      <c r="CL233" s="45" t="s">
        <v>294</v>
      </c>
      <c r="CT233" s="45" t="s">
        <v>6963</v>
      </c>
      <c r="DB233" s="45" t="s">
        <v>6964</v>
      </c>
      <c r="DJ233" s="45" t="s">
        <v>6966</v>
      </c>
      <c r="DR233" s="45" t="s">
        <v>6965</v>
      </c>
      <c r="DZ233" s="45" t="s">
        <v>7094</v>
      </c>
    </row>
    <row r="235" spans="1:136" s="188" customFormat="1" ht="18.600000000000001" customHeight="1" x14ac:dyDescent="0.2">
      <c r="A235" s="292" t="s">
        <v>190</v>
      </c>
      <c r="B235" s="186" t="s">
        <v>106</v>
      </c>
      <c r="C235" s="187" t="s">
        <v>6962</v>
      </c>
      <c r="D235" s="187" t="s">
        <v>2169</v>
      </c>
      <c r="E235" s="187" t="s">
        <v>1553</v>
      </c>
      <c r="F235" s="187" t="s">
        <v>1522</v>
      </c>
      <c r="G235" s="187" t="s">
        <v>1304</v>
      </c>
      <c r="H235" s="187" t="s">
        <v>209</v>
      </c>
      <c r="I235" s="187"/>
      <c r="J235" s="186" t="s">
        <v>106</v>
      </c>
      <c r="K235" s="186" t="s">
        <v>7114</v>
      </c>
      <c r="L235" s="186" t="s">
        <v>6962</v>
      </c>
      <c r="M235" s="186" t="s">
        <v>2169</v>
      </c>
      <c r="N235" s="186" t="s">
        <v>1553</v>
      </c>
      <c r="O235" s="186" t="s">
        <v>1522</v>
      </c>
      <c r="P235" s="186" t="s">
        <v>1304</v>
      </c>
      <c r="R235" s="186" t="s">
        <v>106</v>
      </c>
      <c r="S235" s="186" t="s">
        <v>7114</v>
      </c>
      <c r="T235" s="186" t="s">
        <v>6962</v>
      </c>
      <c r="U235" s="186" t="s">
        <v>2169</v>
      </c>
      <c r="V235" s="186" t="s">
        <v>1553</v>
      </c>
      <c r="W235" s="186" t="s">
        <v>1522</v>
      </c>
      <c r="X235" s="186" t="s">
        <v>1304</v>
      </c>
      <c r="Z235" s="186" t="s">
        <v>106</v>
      </c>
      <c r="AA235" s="186" t="s">
        <v>7114</v>
      </c>
      <c r="AB235" s="186" t="s">
        <v>6962</v>
      </c>
      <c r="AC235" s="186" t="s">
        <v>2169</v>
      </c>
      <c r="AD235" s="186" t="s">
        <v>1553</v>
      </c>
      <c r="AE235" s="186" t="s">
        <v>1522</v>
      </c>
      <c r="AF235" s="186" t="s">
        <v>1304</v>
      </c>
      <c r="AH235" s="186" t="s">
        <v>106</v>
      </c>
      <c r="AI235" s="186" t="s">
        <v>7114</v>
      </c>
      <c r="AJ235" s="186" t="s">
        <v>6962</v>
      </c>
      <c r="AK235" s="186" t="s">
        <v>2169</v>
      </c>
      <c r="AL235" s="186" t="s">
        <v>1553</v>
      </c>
      <c r="AM235" s="186" t="s">
        <v>1522</v>
      </c>
      <c r="AN235" s="186" t="s">
        <v>1304</v>
      </c>
      <c r="AP235" s="186" t="s">
        <v>106</v>
      </c>
      <c r="AQ235" s="186" t="s">
        <v>7114</v>
      </c>
      <c r="AR235" s="186" t="s">
        <v>6962</v>
      </c>
      <c r="AS235" s="186" t="s">
        <v>2169</v>
      </c>
      <c r="AT235" s="186" t="s">
        <v>1553</v>
      </c>
      <c r="AU235" s="186" t="s">
        <v>1522</v>
      </c>
      <c r="AV235" s="186" t="s">
        <v>1304</v>
      </c>
      <c r="AX235" s="186" t="s">
        <v>106</v>
      </c>
      <c r="AY235" s="186" t="s">
        <v>7114</v>
      </c>
      <c r="AZ235" s="186" t="s">
        <v>6962</v>
      </c>
      <c r="BA235" s="186" t="s">
        <v>2169</v>
      </c>
      <c r="BB235" s="186" t="s">
        <v>1553</v>
      </c>
      <c r="BC235" s="186" t="s">
        <v>1522</v>
      </c>
      <c r="BD235" s="186" t="s">
        <v>1304</v>
      </c>
      <c r="BE235" s="187"/>
      <c r="BF235" s="186" t="s">
        <v>106</v>
      </c>
      <c r="BG235" s="186" t="s">
        <v>7114</v>
      </c>
      <c r="BH235" s="186" t="s">
        <v>6962</v>
      </c>
      <c r="BI235" s="186" t="s">
        <v>2169</v>
      </c>
      <c r="BJ235" s="186" t="s">
        <v>1553</v>
      </c>
      <c r="BK235" s="186" t="s">
        <v>1522</v>
      </c>
      <c r="BL235" s="186" t="s">
        <v>1304</v>
      </c>
      <c r="BM235" s="186"/>
      <c r="BN235" s="186" t="s">
        <v>106</v>
      </c>
      <c r="BO235" s="187" t="s">
        <v>7114</v>
      </c>
      <c r="BP235" s="187" t="s">
        <v>6962</v>
      </c>
      <c r="BQ235" s="187" t="s">
        <v>2169</v>
      </c>
      <c r="BR235" s="187" t="s">
        <v>1553</v>
      </c>
      <c r="BS235" s="187" t="s">
        <v>1522</v>
      </c>
      <c r="BT235" s="187" t="s">
        <v>1304</v>
      </c>
      <c r="BV235" s="186" t="s">
        <v>106</v>
      </c>
      <c r="BW235" s="187" t="s">
        <v>7114</v>
      </c>
      <c r="BX235" s="187" t="s">
        <v>6962</v>
      </c>
      <c r="BY235" s="187" t="s">
        <v>2169</v>
      </c>
      <c r="BZ235" s="187" t="s">
        <v>1553</v>
      </c>
      <c r="CA235" s="187" t="s">
        <v>1522</v>
      </c>
      <c r="CB235" s="187" t="s">
        <v>1304</v>
      </c>
      <c r="CC235" s="187"/>
      <c r="CD235" s="186" t="s">
        <v>106</v>
      </c>
      <c r="CE235" s="187" t="s">
        <v>7114</v>
      </c>
      <c r="CF235" s="187" t="s">
        <v>6962</v>
      </c>
      <c r="CG235" s="187" t="s">
        <v>2169</v>
      </c>
      <c r="CH235" s="187" t="s">
        <v>1553</v>
      </c>
      <c r="CI235" s="187" t="s">
        <v>1522</v>
      </c>
      <c r="CJ235" s="187" t="s">
        <v>1304</v>
      </c>
      <c r="CL235" s="186" t="s">
        <v>106</v>
      </c>
      <c r="CM235" s="187" t="s">
        <v>7114</v>
      </c>
      <c r="CN235" s="187" t="s">
        <v>6962</v>
      </c>
      <c r="CO235" s="187" t="s">
        <v>2169</v>
      </c>
      <c r="CP235" s="187" t="s">
        <v>1553</v>
      </c>
      <c r="CQ235" s="187" t="s">
        <v>1522</v>
      </c>
      <c r="CR235" s="187" t="s">
        <v>1304</v>
      </c>
      <c r="CT235" s="186" t="s">
        <v>106</v>
      </c>
      <c r="CU235" s="187" t="s">
        <v>7114</v>
      </c>
      <c r="CV235" s="187" t="s">
        <v>6962</v>
      </c>
      <c r="CW235" s="187" t="s">
        <v>2169</v>
      </c>
      <c r="CX235" s="187" t="s">
        <v>1553</v>
      </c>
      <c r="CY235" s="187" t="s">
        <v>1522</v>
      </c>
      <c r="CZ235" s="187" t="s">
        <v>1304</v>
      </c>
      <c r="DB235" s="186" t="s">
        <v>106</v>
      </c>
      <c r="DC235" s="187" t="s">
        <v>7114</v>
      </c>
      <c r="DD235" s="187" t="s">
        <v>6962</v>
      </c>
      <c r="DE235" s="187" t="s">
        <v>2169</v>
      </c>
      <c r="DF235" s="187" t="s">
        <v>1553</v>
      </c>
      <c r="DG235" s="187" t="s">
        <v>1522</v>
      </c>
      <c r="DH235" s="187" t="s">
        <v>1304</v>
      </c>
      <c r="DI235" s="187"/>
      <c r="DJ235" s="186" t="s">
        <v>106</v>
      </c>
      <c r="DK235" s="187" t="s">
        <v>7114</v>
      </c>
      <c r="DL235" s="187" t="s">
        <v>6962</v>
      </c>
      <c r="DM235" s="187" t="s">
        <v>2169</v>
      </c>
      <c r="DN235" s="187" t="s">
        <v>1553</v>
      </c>
      <c r="DO235" s="187" t="s">
        <v>1522</v>
      </c>
      <c r="DP235" s="187" t="s">
        <v>1304</v>
      </c>
      <c r="DR235" s="186" t="s">
        <v>106</v>
      </c>
      <c r="DS235" s="187" t="s">
        <v>7114</v>
      </c>
      <c r="DT235" s="187" t="s">
        <v>6962</v>
      </c>
      <c r="DU235" s="187" t="s">
        <v>2169</v>
      </c>
      <c r="DV235" s="187" t="s">
        <v>1553</v>
      </c>
      <c r="DW235" s="187" t="s">
        <v>1522</v>
      </c>
      <c r="DX235" s="187" t="s">
        <v>1304</v>
      </c>
      <c r="DZ235" s="186" t="s">
        <v>106</v>
      </c>
      <c r="EA235" s="187" t="s">
        <v>7114</v>
      </c>
      <c r="EB235" s="187" t="s">
        <v>6962</v>
      </c>
      <c r="EC235" s="187" t="s">
        <v>2169</v>
      </c>
      <c r="ED235" s="187" t="s">
        <v>1553</v>
      </c>
      <c r="EE235" s="187" t="s">
        <v>1522</v>
      </c>
      <c r="EF235" s="187" t="s">
        <v>1304</v>
      </c>
    </row>
    <row r="236" spans="1:136" s="90" customFormat="1" x14ac:dyDescent="0.2">
      <c r="A236" s="292"/>
      <c r="B236" s="134" t="s">
        <v>143</v>
      </c>
      <c r="C236" s="132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>15.830714285714285</v>
      </c>
      <c r="D236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17.440000000000001</v>
      </c>
      <c r="E236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18.974</v>
      </c>
      <c r="F236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20.705000000000005</v>
      </c>
      <c r="G236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19.6525</v>
      </c>
      <c r="H236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13.827499999999999</v>
      </c>
      <c r="I236" s="91"/>
      <c r="J236" s="134" t="s">
        <v>143</v>
      </c>
      <c r="K236" s="132">
        <v>17.13</v>
      </c>
      <c r="L236" s="91">
        <v>16.05</v>
      </c>
      <c r="M236" s="91">
        <v>16.239999999999998</v>
      </c>
      <c r="N236" s="91">
        <v>15.34</v>
      </c>
      <c r="O236" s="91">
        <v>16.3</v>
      </c>
      <c r="P236" s="91">
        <v>13.9</v>
      </c>
      <c r="R236" s="134" t="s">
        <v>143</v>
      </c>
      <c r="S236" s="132">
        <v>16.55</v>
      </c>
      <c r="T236" s="91">
        <v>16.23</v>
      </c>
      <c r="U236" s="91">
        <v>15.96</v>
      </c>
      <c r="V236" s="91">
        <v>15.72</v>
      </c>
      <c r="W236" s="91">
        <v>16.3</v>
      </c>
      <c r="X236" s="91">
        <v>13.62</v>
      </c>
      <c r="Z236" s="134" t="s">
        <v>143</v>
      </c>
      <c r="AA236" s="132">
        <v>15.91</v>
      </c>
      <c r="AB236" s="91">
        <v>16.260000000000002</v>
      </c>
      <c r="AC236" s="91">
        <v>15.37</v>
      </c>
      <c r="AD236" s="91">
        <v>15.22</v>
      </c>
      <c r="AE236" s="91">
        <v>17.04</v>
      </c>
      <c r="AF236" s="91">
        <v>13.51</v>
      </c>
      <c r="AH236" s="134" t="s">
        <v>143</v>
      </c>
      <c r="AI236" s="132"/>
      <c r="AJ236" s="132">
        <v>18.23</v>
      </c>
      <c r="AK236" s="91">
        <v>18.079999999999998</v>
      </c>
      <c r="AL236" s="91">
        <v>17.45</v>
      </c>
      <c r="AM236" s="91">
        <v>17.36</v>
      </c>
      <c r="AN236" s="91">
        <v>14.42</v>
      </c>
      <c r="AP236" s="134" t="s">
        <v>143</v>
      </c>
      <c r="AQ236" s="132">
        <v>17.190000000000001</v>
      </c>
      <c r="AR236" s="132">
        <v>16.809999999999999</v>
      </c>
      <c r="AS236" s="91">
        <v>16.37</v>
      </c>
      <c r="AT236" s="91">
        <v>15.76</v>
      </c>
      <c r="AU236" s="91">
        <v>16.36</v>
      </c>
      <c r="AV236" s="91"/>
      <c r="AX236" s="134" t="s">
        <v>143</v>
      </c>
      <c r="AY236" s="132"/>
      <c r="AZ236" s="132">
        <v>19.8</v>
      </c>
      <c r="BA236" s="91">
        <v>19.61</v>
      </c>
      <c r="BB236" s="91">
        <v>18.329999999999998</v>
      </c>
      <c r="BC236" s="91"/>
      <c r="BD236" s="91"/>
      <c r="BE236" s="91"/>
      <c r="BF236" s="134" t="s">
        <v>143</v>
      </c>
      <c r="BG236" s="132">
        <v>18.100000000000001</v>
      </c>
      <c r="BH236" s="91">
        <v>18.32</v>
      </c>
      <c r="BI236" s="91">
        <v>18.57</v>
      </c>
      <c r="BJ236" s="91"/>
      <c r="BK236" s="91"/>
      <c r="BL236" s="91"/>
      <c r="BM236" s="91"/>
      <c r="BN236" s="134" t="s">
        <v>143</v>
      </c>
      <c r="BO236" s="132">
        <v>16.36</v>
      </c>
      <c r="BP236" s="91">
        <v>16.739999999999998</v>
      </c>
      <c r="BQ236" s="91">
        <v>16.239999999999998</v>
      </c>
      <c r="BR236" s="91">
        <v>15.82</v>
      </c>
      <c r="BS236" s="91">
        <v>17.920000000000002</v>
      </c>
      <c r="BT236" s="91">
        <v>12.92</v>
      </c>
      <c r="BV236" s="134" t="s">
        <v>143</v>
      </c>
      <c r="BW236" s="132">
        <v>18.260000000000002</v>
      </c>
      <c r="BX236" s="91">
        <v>18.32</v>
      </c>
      <c r="BY236" s="91">
        <v>18.170000000000002</v>
      </c>
      <c r="BZ236" s="91">
        <v>17.989999999999998</v>
      </c>
      <c r="CA236" s="91">
        <v>18.850000000000001</v>
      </c>
      <c r="CB236" s="91">
        <v>14.79</v>
      </c>
      <c r="CC236" s="91"/>
      <c r="CD236" s="134" t="s">
        <v>143</v>
      </c>
      <c r="CE236" s="132">
        <v>16.05</v>
      </c>
      <c r="CF236" s="91">
        <v>17.95</v>
      </c>
      <c r="CG236" s="91">
        <v>16.53</v>
      </c>
      <c r="CH236" s="91">
        <v>16.18</v>
      </c>
      <c r="CI236" s="91">
        <v>18.940000000000001</v>
      </c>
      <c r="CJ236" s="91">
        <v>12.86</v>
      </c>
      <c r="CL236" s="134" t="s">
        <v>143</v>
      </c>
      <c r="CM236" s="132">
        <v>17.899999999999999</v>
      </c>
      <c r="CN236" s="91">
        <v>17.13</v>
      </c>
      <c r="CO236" s="91">
        <v>18.600000000000001</v>
      </c>
      <c r="CP236" s="91">
        <v>17.829999999999998</v>
      </c>
      <c r="CQ236" s="91">
        <v>18.149999999999999</v>
      </c>
      <c r="CR236" s="91">
        <v>14.6</v>
      </c>
      <c r="CT236" s="134" t="s">
        <v>143</v>
      </c>
      <c r="CU236" s="132">
        <v>16.260000000000002</v>
      </c>
      <c r="CV236" s="91">
        <v>16.399999999999999</v>
      </c>
      <c r="CW236" s="91"/>
      <c r="CX236" s="91"/>
      <c r="CY236" s="91"/>
      <c r="CZ236" s="91"/>
      <c r="DB236" s="134" t="s">
        <v>143</v>
      </c>
      <c r="DC236" s="132">
        <v>19.350000000000001</v>
      </c>
      <c r="DD236" s="91">
        <v>19</v>
      </c>
      <c r="DE236" s="91"/>
      <c r="DF236" s="91"/>
      <c r="DG236" s="91"/>
      <c r="DH236" s="91"/>
      <c r="DI236" s="91"/>
      <c r="DJ236" s="134" t="s">
        <v>143</v>
      </c>
      <c r="DK236" s="132">
        <v>13.91</v>
      </c>
      <c r="DL236" s="91">
        <v>14.05</v>
      </c>
      <c r="DM236" s="91"/>
      <c r="DN236" s="91"/>
      <c r="DO236" s="91"/>
      <c r="DP236" s="91"/>
      <c r="DR236" s="134" t="s">
        <v>143</v>
      </c>
      <c r="DS236" s="132">
        <v>18.66</v>
      </c>
      <c r="DT236" s="91">
        <v>18.739999999999998</v>
      </c>
      <c r="DU236" s="91"/>
      <c r="DV236" s="91"/>
      <c r="DW236" s="91"/>
      <c r="DX236" s="91"/>
      <c r="DZ236" s="134" t="s">
        <v>143</v>
      </c>
      <c r="EA236" s="132">
        <v>18.489999999999998</v>
      </c>
      <c r="EB236" s="91"/>
      <c r="EC236" s="91"/>
      <c r="ED236" s="91"/>
      <c r="EE236" s="91"/>
      <c r="EF236" s="91"/>
    </row>
    <row r="237" spans="1:136" s="90" customFormat="1" x14ac:dyDescent="0.2">
      <c r="A237" s="292"/>
      <c r="B237" s="134" t="s">
        <v>5</v>
      </c>
      <c r="C237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7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16.871818181818181</v>
      </c>
      <c r="E237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19.437000000000001</v>
      </c>
      <c r="F237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20.298749999999998</v>
      </c>
      <c r="G237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19.212500000000002</v>
      </c>
      <c r="H237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14.30875</v>
      </c>
      <c r="I237" s="91"/>
      <c r="J237" s="134" t="s">
        <v>5</v>
      </c>
      <c r="K237" s="132"/>
      <c r="L237" s="91">
        <v>15.92</v>
      </c>
      <c r="M237" s="91">
        <v>16.61</v>
      </c>
      <c r="N237" s="91">
        <v>15.15</v>
      </c>
      <c r="O237" s="91">
        <v>15.72</v>
      </c>
      <c r="P237" s="91">
        <v>14.4</v>
      </c>
      <c r="R237" s="134" t="s">
        <v>5</v>
      </c>
      <c r="S237" s="132"/>
      <c r="T237" s="91">
        <v>15.73</v>
      </c>
      <c r="U237" s="91">
        <v>16.420000000000002</v>
      </c>
      <c r="V237" s="91">
        <v>15.55</v>
      </c>
      <c r="W237" s="91">
        <v>15.61</v>
      </c>
      <c r="X237" s="91">
        <v>14.02</v>
      </c>
      <c r="Z237" s="134" t="s">
        <v>5</v>
      </c>
      <c r="AA237" s="132"/>
      <c r="AB237" s="91">
        <v>15.74</v>
      </c>
      <c r="AC237" s="91">
        <v>15.89</v>
      </c>
      <c r="AD237" s="91">
        <v>14.58</v>
      </c>
      <c r="AE237" s="91">
        <v>16.72</v>
      </c>
      <c r="AF237" s="91">
        <v>13.92</v>
      </c>
      <c r="AH237" s="134" t="s">
        <v>5</v>
      </c>
      <c r="AI237" s="132"/>
      <c r="AJ237" s="132">
        <v>17.8</v>
      </c>
      <c r="AK237" s="91">
        <v>18.39</v>
      </c>
      <c r="AL237" s="91">
        <v>16.66</v>
      </c>
      <c r="AM237" s="91">
        <v>16.82</v>
      </c>
      <c r="AN237" s="91">
        <v>14.37</v>
      </c>
      <c r="AP237" s="134" t="s">
        <v>5</v>
      </c>
      <c r="AQ237" s="132"/>
      <c r="AR237" s="132">
        <v>16.3</v>
      </c>
      <c r="AS237" s="91">
        <v>16.739999999999998</v>
      </c>
      <c r="AT237" s="91">
        <v>15.04</v>
      </c>
      <c r="AU237" s="91">
        <v>15.92</v>
      </c>
      <c r="AV237" s="91"/>
      <c r="AX237" s="134" t="s">
        <v>5</v>
      </c>
      <c r="AY237" s="132"/>
      <c r="AZ237" s="132">
        <v>19.05</v>
      </c>
      <c r="BA237" s="91">
        <v>19.22</v>
      </c>
      <c r="BB237" s="91">
        <v>17.97</v>
      </c>
      <c r="BC237" s="91"/>
      <c r="BD237" s="91"/>
      <c r="BE237" s="91"/>
      <c r="BF237" s="134" t="s">
        <v>5</v>
      </c>
      <c r="BG237" s="132"/>
      <c r="BH237" s="91">
        <v>17.75</v>
      </c>
      <c r="BI237" s="91">
        <v>18.940000000000001</v>
      </c>
      <c r="BJ237" s="91"/>
      <c r="BK237" s="91"/>
      <c r="BL237" s="91"/>
      <c r="BM237" s="91"/>
      <c r="BN237" s="134" t="s">
        <v>5</v>
      </c>
      <c r="BO237" s="132"/>
      <c r="BP237" s="91">
        <v>16.59</v>
      </c>
      <c r="BQ237" s="91">
        <v>17.39</v>
      </c>
      <c r="BR237" s="91">
        <v>16.07</v>
      </c>
      <c r="BS237" s="91">
        <v>17.03</v>
      </c>
      <c r="BT237" s="91">
        <v>14.26</v>
      </c>
      <c r="BV237" s="134" t="s">
        <v>5</v>
      </c>
      <c r="BW237" s="132"/>
      <c r="BX237" s="91">
        <v>18.03</v>
      </c>
      <c r="BY237" s="91">
        <v>19.05</v>
      </c>
      <c r="BZ237" s="91">
        <v>17.670000000000002</v>
      </c>
      <c r="CA237" s="91">
        <v>19.28</v>
      </c>
      <c r="CB237" s="91">
        <v>15.3</v>
      </c>
      <c r="CC237" s="91"/>
      <c r="CD237" s="134" t="s">
        <v>5</v>
      </c>
      <c r="CE237" s="132"/>
      <c r="CF237" s="91">
        <v>16.41</v>
      </c>
      <c r="CG237" s="91">
        <v>17.100000000000001</v>
      </c>
      <c r="CH237" s="91">
        <v>16.329999999999998</v>
      </c>
      <c r="CI237" s="91">
        <v>19.190000000000001</v>
      </c>
      <c r="CJ237" s="91">
        <v>13.19</v>
      </c>
      <c r="CL237" s="134" t="s">
        <v>5</v>
      </c>
      <c r="CM237" s="132"/>
      <c r="CN237" s="91">
        <v>16.27</v>
      </c>
      <c r="CO237" s="91">
        <v>18.62</v>
      </c>
      <c r="CP237" s="91">
        <v>17.37</v>
      </c>
      <c r="CQ237" s="91">
        <v>17.41</v>
      </c>
      <c r="CR237" s="91">
        <v>15.01</v>
      </c>
      <c r="CT237" s="134" t="s">
        <v>5</v>
      </c>
      <c r="CU237" s="132"/>
      <c r="CV237" s="91">
        <v>15.92</v>
      </c>
      <c r="CW237" s="91"/>
      <c r="CX237" s="91"/>
      <c r="CY237" s="91"/>
      <c r="CZ237" s="91"/>
      <c r="DB237" s="134" t="s">
        <v>5</v>
      </c>
      <c r="DC237" s="132"/>
      <c r="DD237" s="91">
        <v>18.309999999999999</v>
      </c>
      <c r="DE237" s="91"/>
      <c r="DF237" s="91"/>
      <c r="DG237" s="91"/>
      <c r="DH237" s="91"/>
      <c r="DI237" s="91"/>
      <c r="DJ237" s="134" t="s">
        <v>5</v>
      </c>
      <c r="DK237" s="132"/>
      <c r="DL237" s="91">
        <v>13.6</v>
      </c>
      <c r="DM237" s="91"/>
      <c r="DN237" s="91"/>
      <c r="DO237" s="91"/>
      <c r="DP237" s="91"/>
      <c r="DR237" s="134" t="s">
        <v>5</v>
      </c>
      <c r="DS237" s="132"/>
      <c r="DT237" s="91">
        <v>18.2</v>
      </c>
      <c r="DU237" s="91"/>
      <c r="DV237" s="91"/>
      <c r="DW237" s="91"/>
      <c r="DX237" s="91"/>
      <c r="DZ237" s="134" t="s">
        <v>5</v>
      </c>
      <c r="EA237" s="132"/>
      <c r="EB237" s="91"/>
      <c r="EC237" s="91"/>
      <c r="ED237" s="91"/>
      <c r="EE237" s="91"/>
      <c r="EF237" s="91"/>
    </row>
    <row r="238" spans="1:136" s="90" customFormat="1" x14ac:dyDescent="0.2">
      <c r="A238" s="292"/>
      <c r="B238" s="134" t="s">
        <v>7</v>
      </c>
      <c r="C238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8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17.311818181818182</v>
      </c>
      <c r="E238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19.356000000000002</v>
      </c>
      <c r="F238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19.918749999999999</v>
      </c>
      <c r="G238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18.39875</v>
      </c>
      <c r="H238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14.38</v>
      </c>
      <c r="I238" s="91"/>
      <c r="J238" s="134" t="s">
        <v>7</v>
      </c>
      <c r="K238" s="132"/>
      <c r="L238" s="91">
        <v>16.27</v>
      </c>
      <c r="M238" s="91">
        <v>16.649999999999999</v>
      </c>
      <c r="N238" s="91">
        <v>14.94</v>
      </c>
      <c r="O238" s="91">
        <v>15.46</v>
      </c>
      <c r="P238" s="91">
        <v>14.05</v>
      </c>
      <c r="R238" s="134" t="s">
        <v>7</v>
      </c>
      <c r="S238" s="132"/>
      <c r="T238" s="91">
        <v>16.579999999999998</v>
      </c>
      <c r="U238" s="91">
        <v>16.77</v>
      </c>
      <c r="V238" s="91">
        <v>15.26</v>
      </c>
      <c r="W238" s="91">
        <v>15.32</v>
      </c>
      <c r="X238" s="91">
        <v>14.09</v>
      </c>
      <c r="Z238" s="134" t="s">
        <v>7</v>
      </c>
      <c r="AA238" s="132"/>
      <c r="AB238" s="91">
        <v>16.100000000000001</v>
      </c>
      <c r="AC238" s="91">
        <v>15.9</v>
      </c>
      <c r="AD238" s="91">
        <v>14.6</v>
      </c>
      <c r="AE238" s="91">
        <v>16.059999999999999</v>
      </c>
      <c r="AF238" s="91">
        <v>13.57</v>
      </c>
      <c r="AH238" s="134" t="s">
        <v>7</v>
      </c>
      <c r="AI238" s="132"/>
      <c r="AJ238" s="132">
        <v>18</v>
      </c>
      <c r="AK238" s="91">
        <v>18.37</v>
      </c>
      <c r="AL238" s="91">
        <v>16.7</v>
      </c>
      <c r="AM238" s="91">
        <v>16.46</v>
      </c>
      <c r="AN238" s="91">
        <v>16.89</v>
      </c>
      <c r="AP238" s="134" t="s">
        <v>7</v>
      </c>
      <c r="AQ238" s="132"/>
      <c r="AR238" s="132">
        <v>16.98</v>
      </c>
      <c r="AS238" s="91">
        <v>16.71</v>
      </c>
      <c r="AT238" s="91">
        <v>14.83</v>
      </c>
      <c r="AU238" s="91">
        <v>15.46</v>
      </c>
      <c r="AV238" s="91"/>
      <c r="AX238" s="134" t="s">
        <v>7</v>
      </c>
      <c r="AY238" s="132"/>
      <c r="AZ238" s="132">
        <v>19.690000000000001</v>
      </c>
      <c r="BA238" s="91">
        <v>19.399999999999999</v>
      </c>
      <c r="BB238" s="91">
        <v>17.5</v>
      </c>
      <c r="BC238" s="91"/>
      <c r="BD238" s="91"/>
      <c r="BE238" s="91"/>
      <c r="BF238" s="134" t="s">
        <v>7</v>
      </c>
      <c r="BG238" s="132"/>
      <c r="BH238" s="91">
        <v>18.05</v>
      </c>
      <c r="BI238" s="91">
        <v>18.77</v>
      </c>
      <c r="BJ238" s="91"/>
      <c r="BK238" s="91"/>
      <c r="BL238" s="91"/>
      <c r="BM238" s="91"/>
      <c r="BN238" s="134" t="s">
        <v>7</v>
      </c>
      <c r="BO238" s="132"/>
      <c r="BP238" s="91">
        <v>16.920000000000002</v>
      </c>
      <c r="BQ238" s="91">
        <v>16.59</v>
      </c>
      <c r="BR238" s="91">
        <v>15.21</v>
      </c>
      <c r="BS238" s="91">
        <v>16.54</v>
      </c>
      <c r="BT238" s="91">
        <v>13.65</v>
      </c>
      <c r="BV238" s="134" t="s">
        <v>7</v>
      </c>
      <c r="BW238" s="132"/>
      <c r="BX238" s="91">
        <v>18.02</v>
      </c>
      <c r="BY238" s="91">
        <v>18.7</v>
      </c>
      <c r="BZ238" s="91">
        <v>17.440000000000001</v>
      </c>
      <c r="CA238" s="91">
        <v>17.57</v>
      </c>
      <c r="CB238" s="91">
        <v>15.03</v>
      </c>
      <c r="CC238" s="91"/>
      <c r="CD238" s="134" t="s">
        <v>7</v>
      </c>
      <c r="CE238" s="132"/>
      <c r="CF238" s="91">
        <v>16.21</v>
      </c>
      <c r="CG238" s="91">
        <v>16.809999999999999</v>
      </c>
      <c r="CH238" s="91">
        <v>15.66</v>
      </c>
      <c r="CI238" s="91">
        <v>17.13</v>
      </c>
      <c r="CJ238" s="91">
        <v>12.96</v>
      </c>
      <c r="CL238" s="134" t="s">
        <v>7</v>
      </c>
      <c r="CM238" s="132"/>
      <c r="CN238" s="91">
        <v>17.61</v>
      </c>
      <c r="CO238" s="91">
        <v>18.89</v>
      </c>
      <c r="CP238" s="91">
        <v>17.21</v>
      </c>
      <c r="CQ238" s="91">
        <v>17.190000000000001</v>
      </c>
      <c r="CR238" s="91">
        <v>14.8</v>
      </c>
      <c r="CT238" s="134" t="s">
        <v>7</v>
      </c>
      <c r="CU238" s="132"/>
      <c r="CV238" s="91">
        <v>16.329999999999998</v>
      </c>
      <c r="CW238" s="91"/>
      <c r="CX238" s="91"/>
      <c r="CY238" s="91"/>
      <c r="CZ238" s="91"/>
      <c r="DB238" s="134" t="s">
        <v>7</v>
      </c>
      <c r="DC238" s="132"/>
      <c r="DD238" s="91">
        <v>18.78</v>
      </c>
      <c r="DE238" s="91"/>
      <c r="DF238" s="91"/>
      <c r="DG238" s="91"/>
      <c r="DH238" s="91"/>
      <c r="DI238" s="91"/>
      <c r="DJ238" s="134" t="s">
        <v>7</v>
      </c>
      <c r="DK238" s="132"/>
      <c r="DL238" s="91">
        <v>14.15</v>
      </c>
      <c r="DM238" s="91"/>
      <c r="DN238" s="91"/>
      <c r="DO238" s="91"/>
      <c r="DP238" s="91"/>
      <c r="DR238" s="134" t="s">
        <v>7</v>
      </c>
      <c r="DS238" s="132"/>
      <c r="DT238" s="91">
        <v>18.71</v>
      </c>
      <c r="DU238" s="91"/>
      <c r="DV238" s="91"/>
      <c r="DW238" s="91"/>
      <c r="DX238" s="91"/>
      <c r="DZ238" s="134" t="s">
        <v>7</v>
      </c>
      <c r="EA238" s="132"/>
      <c r="EB238" s="91"/>
      <c r="EC238" s="91"/>
      <c r="ED238" s="91"/>
      <c r="EE238" s="91"/>
      <c r="EF238" s="91"/>
    </row>
    <row r="239" spans="1:136" s="90" customFormat="1" x14ac:dyDescent="0.2">
      <c r="A239" s="292"/>
      <c r="B239" s="134" t="s">
        <v>9</v>
      </c>
      <c r="C239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9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17.169090909090912</v>
      </c>
      <c r="E239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20.391000000000002</v>
      </c>
      <c r="F239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20.831250000000004</v>
      </c>
      <c r="G239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19.258749999999996</v>
      </c>
      <c r="H239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0.11375125</v>
      </c>
      <c r="I239" s="91"/>
      <c r="J239" s="134" t="s">
        <v>9</v>
      </c>
      <c r="K239" s="132"/>
      <c r="L239" s="91">
        <v>15.99</v>
      </c>
      <c r="M239" s="91">
        <v>17.260000000000002</v>
      </c>
      <c r="N239" s="91">
        <v>15.57</v>
      </c>
      <c r="O239" s="91">
        <v>15.95</v>
      </c>
      <c r="P239" s="91">
        <v>1.0000000000000001E-5</v>
      </c>
      <c r="R239" s="134" t="s">
        <v>9</v>
      </c>
      <c r="S239" s="132"/>
      <c r="T239" s="91">
        <v>16.48</v>
      </c>
      <c r="U239" s="91">
        <v>17.39</v>
      </c>
      <c r="V239" s="91">
        <v>15.94</v>
      </c>
      <c r="W239" s="91">
        <v>15.79</v>
      </c>
      <c r="X239" s="91">
        <v>0</v>
      </c>
      <c r="Z239" s="134" t="s">
        <v>9</v>
      </c>
      <c r="AA239" s="132"/>
      <c r="AB239" s="91">
        <v>15.82</v>
      </c>
      <c r="AC239" s="91">
        <v>16.920000000000002</v>
      </c>
      <c r="AD239" s="91">
        <v>15.35</v>
      </c>
      <c r="AE239" s="91">
        <v>16.45</v>
      </c>
      <c r="AF239" s="91">
        <v>0</v>
      </c>
      <c r="AH239" s="134" t="s">
        <v>9</v>
      </c>
      <c r="AI239" s="132"/>
      <c r="AJ239" s="132">
        <v>17.989999999999998</v>
      </c>
      <c r="AK239" s="91">
        <v>18.760000000000002</v>
      </c>
      <c r="AL239" s="91">
        <v>17.32</v>
      </c>
      <c r="AM239" s="91">
        <v>17.27</v>
      </c>
      <c r="AN239" s="91">
        <v>0</v>
      </c>
      <c r="AP239" s="134" t="s">
        <v>9</v>
      </c>
      <c r="AQ239" s="132"/>
      <c r="AR239" s="132">
        <v>16.25</v>
      </c>
      <c r="AS239" s="91">
        <v>17.13</v>
      </c>
      <c r="AT239" s="91">
        <v>15.65</v>
      </c>
      <c r="AU239" s="91">
        <v>16.91</v>
      </c>
      <c r="AV239" s="91"/>
      <c r="AX239" s="134" t="s">
        <v>9</v>
      </c>
      <c r="AY239" s="132"/>
      <c r="AZ239" s="132">
        <v>19.41</v>
      </c>
      <c r="BA239" s="91">
        <v>20.260000000000002</v>
      </c>
      <c r="BB239" s="91">
        <v>18.12</v>
      </c>
      <c r="BC239" s="91"/>
      <c r="BD239" s="91"/>
      <c r="BE239" s="91"/>
      <c r="BF239" s="134" t="s">
        <v>9</v>
      </c>
      <c r="BG239" s="132"/>
      <c r="BH239" s="91">
        <v>17.98</v>
      </c>
      <c r="BI239" s="91">
        <v>19.86</v>
      </c>
      <c r="BJ239" s="91"/>
      <c r="BK239" s="91"/>
      <c r="BL239" s="91"/>
      <c r="BM239" s="91"/>
      <c r="BN239" s="134" t="s">
        <v>9</v>
      </c>
      <c r="BO239" s="132"/>
      <c r="BP239" s="91">
        <v>16.79</v>
      </c>
      <c r="BQ239" s="91">
        <v>19.59</v>
      </c>
      <c r="BR239" s="91">
        <v>16.329999999999998</v>
      </c>
      <c r="BS239" s="91">
        <v>18.079999999999998</v>
      </c>
      <c r="BT239" s="91">
        <v>0</v>
      </c>
      <c r="BV239" s="134" t="s">
        <v>9</v>
      </c>
      <c r="BW239" s="132"/>
      <c r="BX239" s="91">
        <v>18.27</v>
      </c>
      <c r="BY239" s="91">
        <v>19.87</v>
      </c>
      <c r="BZ239" s="91">
        <v>18.5</v>
      </c>
      <c r="CA239" s="91">
        <v>18.239999999999998</v>
      </c>
      <c r="CB239" s="91">
        <v>0</v>
      </c>
      <c r="CC239" s="91"/>
      <c r="CD239" s="134" t="s">
        <v>9</v>
      </c>
      <c r="CE239" s="132"/>
      <c r="CF239" s="91">
        <v>16.489999999999998</v>
      </c>
      <c r="CG239" s="91">
        <v>17.59</v>
      </c>
      <c r="CH239" s="91">
        <v>16.170000000000002</v>
      </c>
      <c r="CI239" s="91">
        <v>17.43</v>
      </c>
      <c r="CJ239" s="91">
        <v>0.91</v>
      </c>
      <c r="CL239" s="134" t="s">
        <v>9</v>
      </c>
      <c r="CM239" s="132"/>
      <c r="CN239" s="91">
        <v>17.39</v>
      </c>
      <c r="CO239" s="91">
        <v>19.28</v>
      </c>
      <c r="CP239" s="91">
        <v>17.7</v>
      </c>
      <c r="CQ239" s="91">
        <v>17.95</v>
      </c>
      <c r="CR239" s="91">
        <v>0</v>
      </c>
      <c r="CT239" s="134" t="s">
        <v>9</v>
      </c>
      <c r="CU239" s="132"/>
      <c r="CV239" s="91">
        <v>15.69</v>
      </c>
      <c r="CW239" s="91"/>
      <c r="CX239" s="91"/>
      <c r="CY239" s="91"/>
      <c r="CZ239" s="91"/>
      <c r="DB239" s="134" t="s">
        <v>9</v>
      </c>
      <c r="DC239" s="132"/>
      <c r="DD239" s="91">
        <v>18.350000000000001</v>
      </c>
      <c r="DE239" s="91"/>
      <c r="DF239" s="91"/>
      <c r="DG239" s="91"/>
      <c r="DH239" s="91"/>
      <c r="DI239" s="91"/>
      <c r="DJ239" s="134" t="s">
        <v>9</v>
      </c>
      <c r="DK239" s="132"/>
      <c r="DL239" s="91">
        <v>13.56</v>
      </c>
      <c r="DM239" s="91"/>
      <c r="DN239" s="91"/>
      <c r="DO239" s="91"/>
      <c r="DP239" s="91"/>
      <c r="DR239" s="134" t="s">
        <v>9</v>
      </c>
      <c r="DS239" s="132"/>
      <c r="DT239" s="91">
        <v>17.600000000000001</v>
      </c>
      <c r="DU239" s="91"/>
      <c r="DV239" s="91"/>
      <c r="DW239" s="91"/>
      <c r="DX239" s="91"/>
      <c r="DZ239" s="134" t="s">
        <v>9</v>
      </c>
      <c r="EA239" s="132"/>
      <c r="EB239" s="91"/>
      <c r="EC239" s="91"/>
      <c r="ED239" s="91"/>
      <c r="EE239" s="91"/>
      <c r="EF239" s="91"/>
    </row>
    <row r="240" spans="1:136" s="90" customFormat="1" x14ac:dyDescent="0.2">
      <c r="A240" s="292"/>
      <c r="B240" s="134" t="s">
        <v>11</v>
      </c>
      <c r="C240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0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17.238181818181815</v>
      </c>
      <c r="E240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19.763999999999999</v>
      </c>
      <c r="F240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20.509999999999994</v>
      </c>
      <c r="G240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19.6175</v>
      </c>
      <c r="H240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19.702500000000001</v>
      </c>
      <c r="I240" s="91"/>
      <c r="J240" s="134" t="s">
        <v>11</v>
      </c>
      <c r="K240" s="132"/>
      <c r="L240" s="91">
        <v>16.29</v>
      </c>
      <c r="M240" s="91">
        <v>16.64</v>
      </c>
      <c r="N240" s="91">
        <v>15.36</v>
      </c>
      <c r="O240" s="91">
        <v>16.25</v>
      </c>
      <c r="P240" s="91">
        <v>17.98</v>
      </c>
      <c r="R240" s="134" t="s">
        <v>11</v>
      </c>
      <c r="S240" s="132"/>
      <c r="T240" s="91">
        <v>16.489999999999998</v>
      </c>
      <c r="U240" s="91">
        <v>16.920000000000002</v>
      </c>
      <c r="V240" s="91">
        <v>15.4</v>
      </c>
      <c r="W240" s="91">
        <v>16.559999999999999</v>
      </c>
      <c r="X240" s="91">
        <v>17.89</v>
      </c>
      <c r="Z240" s="134" t="s">
        <v>11</v>
      </c>
      <c r="AA240" s="132"/>
      <c r="AB240" s="91">
        <v>15.75</v>
      </c>
      <c r="AC240" s="91">
        <v>15.69</v>
      </c>
      <c r="AD240" s="91">
        <v>14.72</v>
      </c>
      <c r="AE240" s="91">
        <v>15.97</v>
      </c>
      <c r="AF240" s="91">
        <v>19.62</v>
      </c>
      <c r="AH240" s="134" t="s">
        <v>11</v>
      </c>
      <c r="AI240" s="132"/>
      <c r="AJ240" s="132">
        <v>18.46</v>
      </c>
      <c r="AK240" s="91">
        <v>18.46</v>
      </c>
      <c r="AL240" s="91">
        <v>16.91</v>
      </c>
      <c r="AM240" s="91">
        <v>18.04</v>
      </c>
      <c r="AN240" s="91">
        <v>19.97</v>
      </c>
      <c r="AP240" s="134" t="s">
        <v>11</v>
      </c>
      <c r="AQ240" s="132"/>
      <c r="AR240" s="132">
        <v>16.27</v>
      </c>
      <c r="AS240" s="91">
        <v>16.850000000000001</v>
      </c>
      <c r="AT240" s="91">
        <v>15.47</v>
      </c>
      <c r="AU240" s="91">
        <v>16.27</v>
      </c>
      <c r="AV240" s="91"/>
      <c r="AX240" s="134" t="s">
        <v>11</v>
      </c>
      <c r="AY240" s="132"/>
      <c r="AZ240" s="132">
        <v>19.16</v>
      </c>
      <c r="BA240" s="91">
        <v>20.100000000000001</v>
      </c>
      <c r="BB240" s="91">
        <v>18.45</v>
      </c>
      <c r="BC240" s="91"/>
      <c r="BD240" s="91"/>
      <c r="BE240" s="91"/>
      <c r="BF240" s="134" t="s">
        <v>11</v>
      </c>
      <c r="BG240" s="132"/>
      <c r="BH240" s="91">
        <v>18.18</v>
      </c>
      <c r="BI240" s="91">
        <v>19.23</v>
      </c>
      <c r="BJ240" s="91"/>
      <c r="BK240" s="91"/>
      <c r="BL240" s="91"/>
      <c r="BM240" s="91"/>
      <c r="BN240" s="134" t="s">
        <v>11</v>
      </c>
      <c r="BO240" s="132"/>
      <c r="BP240" s="91">
        <v>16.79</v>
      </c>
      <c r="BQ240" s="91">
        <v>17.489999999999998</v>
      </c>
      <c r="BR240" s="91">
        <v>15.85</v>
      </c>
      <c r="BS240" s="91">
        <v>18.12</v>
      </c>
      <c r="BT240" s="91">
        <v>21.27</v>
      </c>
      <c r="BV240" s="134" t="s">
        <v>11</v>
      </c>
      <c r="BW240" s="132"/>
      <c r="BX240" s="91">
        <v>18.39</v>
      </c>
      <c r="BY240" s="91">
        <v>19.62</v>
      </c>
      <c r="BZ240" s="91">
        <v>18.36</v>
      </c>
      <c r="CA240" s="91">
        <v>19.18</v>
      </c>
      <c r="CB240" s="91">
        <v>21.21</v>
      </c>
      <c r="CC240" s="91"/>
      <c r="CD240" s="134" t="s">
        <v>11</v>
      </c>
      <c r="CE240" s="132"/>
      <c r="CF240" s="91">
        <v>16.559999999999999</v>
      </c>
      <c r="CG240" s="91">
        <v>17.75</v>
      </c>
      <c r="CH240" s="91">
        <v>16.079999999999998</v>
      </c>
      <c r="CI240" s="91">
        <v>18.059999999999999</v>
      </c>
      <c r="CJ240" s="91">
        <v>20.18</v>
      </c>
      <c r="CL240" s="134" t="s">
        <v>11</v>
      </c>
      <c r="CM240" s="132"/>
      <c r="CN240" s="91">
        <v>17.28</v>
      </c>
      <c r="CO240" s="91">
        <v>18.89</v>
      </c>
      <c r="CP240" s="91">
        <v>17.48</v>
      </c>
      <c r="CQ240" s="91">
        <v>18.489999999999998</v>
      </c>
      <c r="CR240" s="91">
        <v>19.5</v>
      </c>
      <c r="CT240" s="134" t="s">
        <v>11</v>
      </c>
      <c r="CU240" s="132"/>
      <c r="CV240" s="91">
        <v>15.82</v>
      </c>
      <c r="CW240" s="91"/>
      <c r="CX240" s="91"/>
      <c r="CY240" s="91"/>
      <c r="CZ240" s="91"/>
      <c r="DB240" s="134" t="s">
        <v>11</v>
      </c>
      <c r="DC240" s="132"/>
      <c r="DD240" s="91">
        <v>18.41</v>
      </c>
      <c r="DE240" s="91"/>
      <c r="DF240" s="91"/>
      <c r="DG240" s="91"/>
      <c r="DH240" s="91"/>
      <c r="DI240" s="91"/>
      <c r="DJ240" s="134" t="s">
        <v>11</v>
      </c>
      <c r="DK240" s="132"/>
      <c r="DL240" s="91">
        <v>13.59</v>
      </c>
      <c r="DM240" s="91"/>
      <c r="DN240" s="91"/>
      <c r="DO240" s="91"/>
      <c r="DP240" s="91"/>
      <c r="DR240" s="134" t="s">
        <v>11</v>
      </c>
      <c r="DS240" s="132"/>
      <c r="DT240" s="91">
        <v>17.940000000000001</v>
      </c>
      <c r="DU240" s="91"/>
      <c r="DV240" s="91"/>
      <c r="DW240" s="91"/>
      <c r="DX240" s="91"/>
      <c r="DZ240" s="134" t="s">
        <v>11</v>
      </c>
      <c r="EA240" s="132"/>
      <c r="EB240" s="91"/>
      <c r="EC240" s="91"/>
      <c r="ED240" s="91"/>
      <c r="EE240" s="91"/>
      <c r="EF240" s="91"/>
    </row>
    <row r="241" spans="1:136" s="90" customFormat="1" x14ac:dyDescent="0.2">
      <c r="A241" s="292"/>
      <c r="B241" s="134" t="s">
        <v>0</v>
      </c>
      <c r="C241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1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17.069999999999997</v>
      </c>
      <c r="E241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19.221999999999998</v>
      </c>
      <c r="F241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20.506250000000001</v>
      </c>
      <c r="G241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18.240000000000002</v>
      </c>
      <c r="H241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16.36</v>
      </c>
      <c r="I241" s="91"/>
      <c r="J241" s="134" t="s">
        <v>0</v>
      </c>
      <c r="K241" s="132"/>
      <c r="L241" s="91">
        <v>16.22</v>
      </c>
      <c r="M241" s="91">
        <v>16.28</v>
      </c>
      <c r="N241" s="91">
        <v>15.36</v>
      </c>
      <c r="O241" s="91">
        <v>15.09</v>
      </c>
      <c r="P241" s="91">
        <v>15.4</v>
      </c>
      <c r="R241" s="134" t="s">
        <v>0</v>
      </c>
      <c r="S241" s="132"/>
      <c r="T241" s="91">
        <v>16.05</v>
      </c>
      <c r="U241" s="91">
        <v>16.690000000000001</v>
      </c>
      <c r="V241" s="91">
        <v>15.58</v>
      </c>
      <c r="W241" s="91">
        <v>15.36</v>
      </c>
      <c r="X241" s="91">
        <v>15.66</v>
      </c>
      <c r="Z241" s="134" t="s">
        <v>0</v>
      </c>
      <c r="AA241" s="132"/>
      <c r="AB241" s="91">
        <v>15.69</v>
      </c>
      <c r="AC241" s="91">
        <v>15.85</v>
      </c>
      <c r="AD241" s="91">
        <v>15.04</v>
      </c>
      <c r="AE241" s="91">
        <v>15.1</v>
      </c>
      <c r="AF241" s="91">
        <v>15.54</v>
      </c>
      <c r="AH241" s="134" t="s">
        <v>0</v>
      </c>
      <c r="AI241" s="132"/>
      <c r="AJ241" s="132">
        <v>18.329999999999998</v>
      </c>
      <c r="AK241" s="91">
        <v>17.84</v>
      </c>
      <c r="AL241" s="91">
        <v>16.91</v>
      </c>
      <c r="AM241" s="91">
        <v>16.940000000000001</v>
      </c>
      <c r="AN241" s="91">
        <v>16.7</v>
      </c>
      <c r="AP241" s="134" t="s">
        <v>0</v>
      </c>
      <c r="AQ241" s="132"/>
      <c r="AR241" s="132">
        <v>16.39</v>
      </c>
      <c r="AS241" s="91">
        <v>16.329999999999998</v>
      </c>
      <c r="AT241" s="91">
        <v>15.16</v>
      </c>
      <c r="AU241" s="91">
        <v>15.29</v>
      </c>
      <c r="AV241" s="91"/>
      <c r="AX241" s="134" t="s">
        <v>0</v>
      </c>
      <c r="AY241" s="132"/>
      <c r="AZ241" s="132">
        <v>18.8</v>
      </c>
      <c r="BA241" s="91">
        <v>19.309999999999999</v>
      </c>
      <c r="BB241" s="91">
        <v>18.239999999999998</v>
      </c>
      <c r="BC241" s="91"/>
      <c r="BD241" s="91"/>
      <c r="BE241" s="91"/>
      <c r="BF241" s="134" t="s">
        <v>0</v>
      </c>
      <c r="BG241" s="132"/>
      <c r="BH241" s="91">
        <v>17.57</v>
      </c>
      <c r="BI241" s="91">
        <v>18.329999999999998</v>
      </c>
      <c r="BJ241" s="91"/>
      <c r="BK241" s="91"/>
      <c r="BL241" s="91"/>
      <c r="BM241" s="91"/>
      <c r="BN241" s="134" t="s">
        <v>0</v>
      </c>
      <c r="BO241" s="132"/>
      <c r="BP241" s="91">
        <v>17.22</v>
      </c>
      <c r="BQ241" s="91">
        <v>17.5</v>
      </c>
      <c r="BR241" s="91">
        <v>16.510000000000002</v>
      </c>
      <c r="BS241" s="91">
        <v>17.03</v>
      </c>
      <c r="BT241" s="91">
        <v>17.39</v>
      </c>
      <c r="BV241" s="134" t="s">
        <v>0</v>
      </c>
      <c r="BW241" s="132"/>
      <c r="BX241" s="91">
        <v>17.82</v>
      </c>
      <c r="BY241" s="91">
        <v>18.760000000000002</v>
      </c>
      <c r="BZ241" s="91">
        <v>17.940000000000001</v>
      </c>
      <c r="CA241" s="91">
        <v>17.66</v>
      </c>
      <c r="CB241" s="91">
        <v>17.489999999999998</v>
      </c>
      <c r="CC241" s="91"/>
      <c r="CD241" s="134" t="s">
        <v>0</v>
      </c>
      <c r="CE241" s="132"/>
      <c r="CF241" s="91">
        <v>16.309999999999999</v>
      </c>
      <c r="CG241" s="91">
        <v>16.82</v>
      </c>
      <c r="CH241" s="91">
        <v>15.83</v>
      </c>
      <c r="CI241" s="91">
        <v>16.12</v>
      </c>
      <c r="CJ241" s="91">
        <v>15.64</v>
      </c>
      <c r="CL241" s="134" t="s">
        <v>0</v>
      </c>
      <c r="CM241" s="132"/>
      <c r="CN241" s="91">
        <v>17.37</v>
      </c>
      <c r="CO241" s="91">
        <v>18.510000000000002</v>
      </c>
      <c r="CP241" s="91">
        <v>17.48</v>
      </c>
      <c r="CQ241" s="91">
        <v>17.329999999999998</v>
      </c>
      <c r="CR241" s="91">
        <v>17.059999999999999</v>
      </c>
      <c r="CT241" s="134" t="s">
        <v>0</v>
      </c>
      <c r="CU241" s="132"/>
      <c r="CV241" s="91">
        <v>15.88</v>
      </c>
      <c r="CW241" s="91"/>
      <c r="CX241" s="91"/>
      <c r="CY241" s="91"/>
      <c r="CZ241" s="91"/>
      <c r="DB241" s="134" t="s">
        <v>0</v>
      </c>
      <c r="DC241" s="132"/>
      <c r="DD241" s="91">
        <v>18.53</v>
      </c>
      <c r="DE241" s="91"/>
      <c r="DF241" s="91"/>
      <c r="DG241" s="91"/>
      <c r="DH241" s="91"/>
      <c r="DI241" s="91"/>
      <c r="DJ241" s="134" t="s">
        <v>0</v>
      </c>
      <c r="DK241" s="132"/>
      <c r="DL241" s="91">
        <v>13.87</v>
      </c>
      <c r="DM241" s="91"/>
      <c r="DN241" s="91"/>
      <c r="DO241" s="91"/>
      <c r="DP241" s="91"/>
      <c r="DR241" s="134" t="s">
        <v>0</v>
      </c>
      <c r="DS241" s="132"/>
      <c r="DT241" s="91">
        <v>17.88</v>
      </c>
      <c r="DU241" s="91"/>
      <c r="DV241" s="91"/>
      <c r="DW241" s="91"/>
      <c r="DX241" s="91"/>
      <c r="DZ241" s="134" t="s">
        <v>0</v>
      </c>
      <c r="EA241" s="132"/>
      <c r="EB241" s="91"/>
      <c r="EC241" s="91"/>
      <c r="ED241" s="91"/>
      <c r="EE241" s="91"/>
      <c r="EF241" s="91"/>
    </row>
    <row r="242" spans="1:136" s="90" customFormat="1" x14ac:dyDescent="0.2">
      <c r="A242" s="292"/>
      <c r="B242" s="134" t="s">
        <v>1</v>
      </c>
      <c r="C242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2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17.701818181818183</v>
      </c>
      <c r="E242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20.709999999999997</v>
      </c>
      <c r="F242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21.542499999999997</v>
      </c>
      <c r="G242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21.536250000000003</v>
      </c>
      <c r="H242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16.252500000000001</v>
      </c>
      <c r="I242" s="91"/>
      <c r="J242" s="134" t="s">
        <v>1</v>
      </c>
      <c r="K242" s="132"/>
      <c r="L242" s="91">
        <v>16.670000000000002</v>
      </c>
      <c r="M242" s="91">
        <v>17.05</v>
      </c>
      <c r="N242" s="91">
        <v>15.87</v>
      </c>
      <c r="O242" s="91">
        <v>15.72</v>
      </c>
      <c r="P242" s="91">
        <v>15.03</v>
      </c>
      <c r="R242" s="134" t="s">
        <v>1</v>
      </c>
      <c r="S242" s="132"/>
      <c r="T242" s="91">
        <v>16.739999999999998</v>
      </c>
      <c r="U242" s="91">
        <v>17.649999999999999</v>
      </c>
      <c r="V242" s="91">
        <v>16.32</v>
      </c>
      <c r="W242" s="91">
        <v>16.22</v>
      </c>
      <c r="X242" s="91">
        <v>15.54</v>
      </c>
      <c r="Z242" s="134" t="s">
        <v>1</v>
      </c>
      <c r="AA242" s="132"/>
      <c r="AB242" s="91">
        <v>16.55</v>
      </c>
      <c r="AC242" s="91">
        <v>16.78</v>
      </c>
      <c r="AD242" s="91">
        <v>15.91</v>
      </c>
      <c r="AE242" s="91">
        <v>15.14</v>
      </c>
      <c r="AF242" s="91">
        <v>14.96</v>
      </c>
      <c r="AH242" s="134" t="s">
        <v>1</v>
      </c>
      <c r="AI242" s="132"/>
      <c r="AJ242" s="132">
        <v>17.86</v>
      </c>
      <c r="AK242" s="91">
        <v>19.18</v>
      </c>
      <c r="AL242" s="91">
        <v>17.690000000000001</v>
      </c>
      <c r="AM242" s="91">
        <v>17.23</v>
      </c>
      <c r="AN242" s="91">
        <v>15.96</v>
      </c>
      <c r="AP242" s="134" t="s">
        <v>1</v>
      </c>
      <c r="AQ242" s="132"/>
      <c r="AR242" s="132">
        <v>17.21</v>
      </c>
      <c r="AS242" s="91">
        <v>17.54</v>
      </c>
      <c r="AT242" s="91">
        <v>15.81</v>
      </c>
      <c r="AU242" s="91">
        <v>16.48</v>
      </c>
      <c r="AV242" s="91"/>
      <c r="AX242" s="134" t="s">
        <v>1</v>
      </c>
      <c r="AY242" s="132"/>
      <c r="AZ242" s="132">
        <v>19.760000000000002</v>
      </c>
      <c r="BA242" s="91">
        <v>20.63</v>
      </c>
      <c r="BB242" s="91">
        <v>18.850000000000001</v>
      </c>
      <c r="BC242" s="91">
        <v>20.69</v>
      </c>
      <c r="BD242" s="91"/>
      <c r="BE242" s="91"/>
      <c r="BF242" s="134" t="s">
        <v>1</v>
      </c>
      <c r="BG242" s="132"/>
      <c r="BH242" s="91">
        <v>18.57</v>
      </c>
      <c r="BI242" s="91">
        <v>20.079999999999998</v>
      </c>
      <c r="BJ242" s="91"/>
      <c r="BK242" s="91"/>
      <c r="BL242" s="91"/>
      <c r="BM242" s="91"/>
      <c r="BN242" s="134" t="s">
        <v>1</v>
      </c>
      <c r="BO242" s="132"/>
      <c r="BP242" s="91">
        <v>18.45</v>
      </c>
      <c r="BQ242" s="91">
        <v>18.97</v>
      </c>
      <c r="BR242" s="91">
        <v>17.63</v>
      </c>
      <c r="BS242" s="91">
        <v>17.87</v>
      </c>
      <c r="BT242" s="91">
        <v>17.53</v>
      </c>
      <c r="BV242" s="134" t="s">
        <v>1</v>
      </c>
      <c r="BW242" s="132"/>
      <c r="BX242" s="91">
        <v>19.38</v>
      </c>
      <c r="BY242" s="91">
        <v>20.8</v>
      </c>
      <c r="BZ242" s="91">
        <v>19.100000000000001</v>
      </c>
      <c r="CA242" s="91">
        <v>18.579999999999998</v>
      </c>
      <c r="CB242" s="91">
        <v>18.23</v>
      </c>
      <c r="CC242" s="91"/>
      <c r="CD242" s="134" t="s">
        <v>1</v>
      </c>
      <c r="CE242" s="132"/>
      <c r="CF242" s="91">
        <v>17.04</v>
      </c>
      <c r="CG242" s="91">
        <v>18.48</v>
      </c>
      <c r="CH242" s="91">
        <v>17.23</v>
      </c>
      <c r="CI242" s="91">
        <v>16.62</v>
      </c>
      <c r="CJ242" s="91">
        <v>15.79</v>
      </c>
      <c r="CL242" s="134" t="s">
        <v>1</v>
      </c>
      <c r="CM242" s="132"/>
      <c r="CN242" s="91">
        <v>16.489999999999998</v>
      </c>
      <c r="CO242" s="91">
        <v>19.940000000000001</v>
      </c>
      <c r="CP242" s="91">
        <v>17.93</v>
      </c>
      <c r="CQ242" s="91">
        <v>17.739999999999998</v>
      </c>
      <c r="CR242" s="91">
        <v>16.98</v>
      </c>
      <c r="CT242" s="134" t="s">
        <v>1</v>
      </c>
      <c r="CU242" s="132"/>
      <c r="CV242" s="91">
        <v>16.100000000000001</v>
      </c>
      <c r="CW242" s="91"/>
      <c r="CX242" s="91"/>
      <c r="CY242" s="91"/>
      <c r="CZ242" s="91"/>
      <c r="DB242" s="134" t="s">
        <v>1</v>
      </c>
      <c r="DC242" s="132"/>
      <c r="DD242" s="91">
        <v>18.97</v>
      </c>
      <c r="DE242" s="91"/>
      <c r="DF242" s="91"/>
      <c r="DG242" s="91"/>
      <c r="DH242" s="91"/>
      <c r="DI242" s="91"/>
      <c r="DJ242" s="134" t="s">
        <v>1</v>
      </c>
      <c r="DK242" s="132"/>
      <c r="DL242" s="91">
        <v>14.31</v>
      </c>
      <c r="DM242" s="91"/>
      <c r="DN242" s="91"/>
      <c r="DO242" s="91"/>
      <c r="DP242" s="91"/>
      <c r="DR242" s="134" t="s">
        <v>1</v>
      </c>
      <c r="DS242" s="132"/>
      <c r="DT242" s="91">
        <v>18.170000000000002</v>
      </c>
      <c r="DU242" s="91"/>
      <c r="DV242" s="91"/>
      <c r="DW242" s="91"/>
      <c r="DX242" s="91"/>
      <c r="DZ242" s="134" t="s">
        <v>1</v>
      </c>
      <c r="EA242" s="132"/>
      <c r="EB242" s="91"/>
      <c r="EC242" s="91"/>
      <c r="ED242" s="91"/>
      <c r="EE242" s="91"/>
      <c r="EF242" s="91"/>
    </row>
    <row r="243" spans="1:136" s="90" customFormat="1" x14ac:dyDescent="0.2">
      <c r="A243" s="292"/>
      <c r="B243" s="134" t="s">
        <v>3</v>
      </c>
      <c r="C243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3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18.879999999999995</v>
      </c>
      <c r="E243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21.058</v>
      </c>
      <c r="F243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21.88625</v>
      </c>
      <c r="G243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22.401250000000001</v>
      </c>
      <c r="H243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17.026250000000001</v>
      </c>
      <c r="I243" s="91"/>
      <c r="J243" s="134" t="s">
        <v>3</v>
      </c>
      <c r="K243" s="132"/>
      <c r="L243" s="91">
        <v>17.420000000000002</v>
      </c>
      <c r="M243" s="91">
        <v>17.350000000000001</v>
      </c>
      <c r="N243" s="91">
        <v>16.04</v>
      </c>
      <c r="O243" s="91">
        <v>16.3</v>
      </c>
      <c r="P243" s="91">
        <v>15.53</v>
      </c>
      <c r="R243" s="134" t="s">
        <v>3</v>
      </c>
      <c r="S243" s="132"/>
      <c r="T243" s="91">
        <v>17.91</v>
      </c>
      <c r="U243" s="91">
        <v>18.059999999999999</v>
      </c>
      <c r="V243" s="91">
        <v>16.41</v>
      </c>
      <c r="W243" s="91">
        <v>16.82</v>
      </c>
      <c r="X243" s="91">
        <v>16.260000000000002</v>
      </c>
      <c r="Z243" s="134" t="s">
        <v>3</v>
      </c>
      <c r="AA243" s="132"/>
      <c r="AB243" s="91">
        <v>17.170000000000002</v>
      </c>
      <c r="AC243" s="91">
        <v>16.760000000000002</v>
      </c>
      <c r="AD243" s="91">
        <v>15.97</v>
      </c>
      <c r="AE243" s="91">
        <v>15.83</v>
      </c>
      <c r="AF243" s="91">
        <v>15.88</v>
      </c>
      <c r="AH243" s="134" t="s">
        <v>3</v>
      </c>
      <c r="AI243" s="132"/>
      <c r="AJ243" s="132">
        <v>19.36</v>
      </c>
      <c r="AK243" s="91">
        <v>19.27</v>
      </c>
      <c r="AL243" s="91">
        <v>17.68</v>
      </c>
      <c r="AM243" s="91">
        <v>18.23</v>
      </c>
      <c r="AN243" s="91">
        <v>16.57</v>
      </c>
      <c r="AP243" s="134" t="s">
        <v>3</v>
      </c>
      <c r="AQ243" s="132"/>
      <c r="AR243" s="132">
        <v>18.25</v>
      </c>
      <c r="AS243" s="91">
        <v>17.77</v>
      </c>
      <c r="AT243" s="91">
        <v>16.420000000000002</v>
      </c>
      <c r="AU243" s="91">
        <v>16.82</v>
      </c>
      <c r="AV243" s="91"/>
      <c r="AX243" s="134" t="s">
        <v>3</v>
      </c>
      <c r="AY243" s="132"/>
      <c r="AZ243" s="132">
        <v>20.65</v>
      </c>
      <c r="BA243" s="91">
        <v>21.06</v>
      </c>
      <c r="BB243" s="91">
        <v>19.010000000000002</v>
      </c>
      <c r="BC243" s="91">
        <v>20.23</v>
      </c>
      <c r="BD243" s="91"/>
      <c r="BE243" s="91"/>
      <c r="BF243" s="134" t="s">
        <v>3</v>
      </c>
      <c r="BG243" s="132"/>
      <c r="BH243" s="91">
        <v>19.760000000000002</v>
      </c>
      <c r="BI243" s="91">
        <v>20.3</v>
      </c>
      <c r="BJ243" s="91"/>
      <c r="BK243" s="91"/>
      <c r="BL243" s="91"/>
      <c r="BM243" s="91"/>
      <c r="BN243" s="134" t="s">
        <v>3</v>
      </c>
      <c r="BO243" s="132"/>
      <c r="BP243" s="91">
        <v>19.329999999999998</v>
      </c>
      <c r="BQ243" s="91">
        <v>19.38</v>
      </c>
      <c r="BR243" s="91">
        <v>17.62</v>
      </c>
      <c r="BS243" s="91">
        <v>18.739999999999998</v>
      </c>
      <c r="BT243" s="91">
        <v>18.11</v>
      </c>
      <c r="BV243" s="134" t="s">
        <v>3</v>
      </c>
      <c r="BW243" s="132"/>
      <c r="BX243" s="91">
        <v>21.01</v>
      </c>
      <c r="BY243" s="91">
        <v>21.5</v>
      </c>
      <c r="BZ243" s="91">
        <v>19.48</v>
      </c>
      <c r="CA243" s="91">
        <v>19.829999999999998</v>
      </c>
      <c r="CB243" s="91">
        <v>18.95</v>
      </c>
      <c r="CC243" s="91"/>
      <c r="CD243" s="134" t="s">
        <v>3</v>
      </c>
      <c r="CE243" s="132"/>
      <c r="CF243" s="91">
        <v>18.21</v>
      </c>
      <c r="CG243" s="91">
        <v>19.14</v>
      </c>
      <c r="CH243" s="91">
        <v>18</v>
      </c>
      <c r="CI243" s="91">
        <v>17.66</v>
      </c>
      <c r="CJ243" s="91">
        <v>17.13</v>
      </c>
      <c r="CL243" s="134" t="s">
        <v>3</v>
      </c>
      <c r="CM243" s="132"/>
      <c r="CN243" s="91">
        <v>18.61</v>
      </c>
      <c r="CO243" s="91">
        <v>19.989999999999998</v>
      </c>
      <c r="CP243" s="91">
        <v>18.46</v>
      </c>
      <c r="CQ243" s="91">
        <v>18.75</v>
      </c>
      <c r="CR243" s="91">
        <v>17.78</v>
      </c>
      <c r="CT243" s="134" t="s">
        <v>3</v>
      </c>
      <c r="CU243" s="132"/>
      <c r="CV243" s="91">
        <v>16.7</v>
      </c>
      <c r="CW243" s="91"/>
      <c r="CX243" s="91"/>
      <c r="CY243" s="91"/>
      <c r="CZ243" s="91"/>
      <c r="DB243" s="134" t="s">
        <v>3</v>
      </c>
      <c r="DC243" s="132"/>
      <c r="DD243" s="91">
        <v>19.559999999999999</v>
      </c>
      <c r="DE243" s="91"/>
      <c r="DF243" s="91"/>
      <c r="DG243" s="91"/>
      <c r="DH243" s="91"/>
      <c r="DI243" s="91"/>
      <c r="DJ243" s="134" t="s">
        <v>3</v>
      </c>
      <c r="DK243" s="132"/>
      <c r="DL243" s="91">
        <v>14.76</v>
      </c>
      <c r="DM243" s="91"/>
      <c r="DN243" s="91"/>
      <c r="DO243" s="91"/>
      <c r="DP243" s="91"/>
      <c r="DR243" s="134" t="s">
        <v>3</v>
      </c>
      <c r="DS243" s="132"/>
      <c r="DT243" s="91">
        <v>18.86</v>
      </c>
      <c r="DU243" s="91"/>
      <c r="DV243" s="91"/>
      <c r="DW243" s="91"/>
      <c r="DX243" s="91"/>
      <c r="DZ243" s="134" t="s">
        <v>3</v>
      </c>
      <c r="EA243" s="132"/>
      <c r="EB243" s="91">
        <v>19.940000000000001</v>
      </c>
      <c r="EC243" s="91"/>
      <c r="ED243" s="91"/>
      <c r="EE243" s="91"/>
      <c r="EF243" s="91"/>
    </row>
    <row r="244" spans="1:136" s="90" customFormat="1" x14ac:dyDescent="0.2">
      <c r="A244" s="292"/>
      <c r="B244" s="134" t="s">
        <v>71</v>
      </c>
      <c r="C244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4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17.148181818181822</v>
      </c>
      <c r="E244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19.405999999999999</v>
      </c>
      <c r="F244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20.221250000000001</v>
      </c>
      <c r="G244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20.03875</v>
      </c>
      <c r="H244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14.696249999999999</v>
      </c>
      <c r="I244" s="91"/>
      <c r="J244" s="134" t="s">
        <v>71</v>
      </c>
      <c r="K244" s="132"/>
      <c r="L244" s="91">
        <v>16.21</v>
      </c>
      <c r="M244" s="91">
        <v>16.29</v>
      </c>
      <c r="N244" s="91">
        <v>15.02</v>
      </c>
      <c r="O244" s="91">
        <v>14.85</v>
      </c>
      <c r="P244" s="91">
        <v>14.02</v>
      </c>
      <c r="R244" s="134" t="s">
        <v>71</v>
      </c>
      <c r="S244" s="132"/>
      <c r="T244" s="91">
        <v>16.170000000000002</v>
      </c>
      <c r="U244" s="91">
        <v>16.64</v>
      </c>
      <c r="V244" s="91">
        <v>15.5</v>
      </c>
      <c r="W244" s="91">
        <v>15.19</v>
      </c>
      <c r="X244" s="91">
        <v>14.35</v>
      </c>
      <c r="Z244" s="134" t="s">
        <v>71</v>
      </c>
      <c r="AA244" s="132"/>
      <c r="AB244" s="91">
        <v>16.23</v>
      </c>
      <c r="AC244" s="91">
        <v>15.66</v>
      </c>
      <c r="AD244" s="91">
        <v>14.59</v>
      </c>
      <c r="AE244" s="91">
        <v>14.68</v>
      </c>
      <c r="AF244" s="91">
        <v>14.12</v>
      </c>
      <c r="AH244" s="134" t="s">
        <v>71</v>
      </c>
      <c r="AI244" s="288"/>
      <c r="AJ244" s="132">
        <v>18.29</v>
      </c>
      <c r="AK244" s="91">
        <v>18.2</v>
      </c>
      <c r="AL244" s="91">
        <v>17.18</v>
      </c>
      <c r="AM244" s="91">
        <v>16.829999999999998</v>
      </c>
      <c r="AN244" s="91">
        <v>15.02</v>
      </c>
      <c r="AP244" s="134" t="s">
        <v>71</v>
      </c>
      <c r="AQ244" s="132"/>
      <c r="AR244" s="132">
        <v>16.920000000000002</v>
      </c>
      <c r="AS244" s="91">
        <v>16.649999999999999</v>
      </c>
      <c r="AT244" s="91">
        <v>15.59</v>
      </c>
      <c r="AU244" s="91">
        <v>15.41</v>
      </c>
      <c r="AV244" s="91"/>
      <c r="AX244" s="134" t="s">
        <v>71</v>
      </c>
      <c r="AY244" s="132"/>
      <c r="AZ244" s="132">
        <v>19</v>
      </c>
      <c r="BA244" s="91">
        <v>19.82</v>
      </c>
      <c r="BB244" s="91">
        <v>17.71</v>
      </c>
      <c r="BC244" s="91">
        <v>18.28</v>
      </c>
      <c r="BD244" s="91"/>
      <c r="BE244" s="91"/>
      <c r="BF244" s="134" t="s">
        <v>71</v>
      </c>
      <c r="BG244" s="132"/>
      <c r="BH244" s="91">
        <v>17.64</v>
      </c>
      <c r="BI244" s="91">
        <v>18.36</v>
      </c>
      <c r="BJ244" s="91"/>
      <c r="BK244" s="91"/>
      <c r="BL244" s="91"/>
      <c r="BM244" s="91"/>
      <c r="BN244" s="134" t="s">
        <v>71</v>
      </c>
      <c r="BO244" s="132"/>
      <c r="BP244" s="91">
        <v>16.34</v>
      </c>
      <c r="BQ244" s="91">
        <v>16.54</v>
      </c>
      <c r="BR244" s="91">
        <v>14.97</v>
      </c>
      <c r="BS244" s="91">
        <v>15.29</v>
      </c>
      <c r="BT244" s="91">
        <v>14.07</v>
      </c>
      <c r="BV244" s="134" t="s">
        <v>71</v>
      </c>
      <c r="BW244" s="132"/>
      <c r="BX244" s="91">
        <v>18.37</v>
      </c>
      <c r="BY244" s="91">
        <v>19.25</v>
      </c>
      <c r="BZ244" s="91">
        <v>17.61</v>
      </c>
      <c r="CA244" s="91">
        <v>17.170000000000002</v>
      </c>
      <c r="CB244" s="91">
        <v>16.09</v>
      </c>
      <c r="CC244" s="91"/>
      <c r="CD244" s="134" t="s">
        <v>71</v>
      </c>
      <c r="CE244" s="132"/>
      <c r="CF244" s="91">
        <v>15.78</v>
      </c>
      <c r="CG244" s="91">
        <v>17.440000000000001</v>
      </c>
      <c r="CH244" s="91">
        <v>16.010000000000002</v>
      </c>
      <c r="CI244" s="91">
        <v>15.69</v>
      </c>
      <c r="CJ244" s="91">
        <v>14.28</v>
      </c>
      <c r="CL244" s="134" t="s">
        <v>71</v>
      </c>
      <c r="CM244" s="132"/>
      <c r="CN244" s="91">
        <v>17.68</v>
      </c>
      <c r="CO244" s="91">
        <v>19.21</v>
      </c>
      <c r="CP244" s="91">
        <v>17.59</v>
      </c>
      <c r="CQ244" s="91">
        <v>16.920000000000002</v>
      </c>
      <c r="CR244" s="91">
        <v>15.62</v>
      </c>
      <c r="CT244" s="134" t="s">
        <v>71</v>
      </c>
      <c r="CU244" s="132"/>
      <c r="CV244" s="91">
        <v>16.02</v>
      </c>
      <c r="CW244" s="91"/>
      <c r="CX244" s="91"/>
      <c r="CY244" s="91"/>
      <c r="CZ244" s="91"/>
      <c r="DB244" s="134" t="s">
        <v>71</v>
      </c>
      <c r="DC244" s="132"/>
      <c r="DD244" s="91">
        <v>18.75</v>
      </c>
      <c r="DE244" s="91"/>
      <c r="DF244" s="91"/>
      <c r="DG244" s="91"/>
      <c r="DH244" s="91"/>
      <c r="DI244" s="91"/>
      <c r="DJ244" s="134" t="s">
        <v>71</v>
      </c>
      <c r="DK244" s="132"/>
      <c r="DL244" s="91">
        <v>13.68</v>
      </c>
      <c r="DM244" s="91"/>
      <c r="DN244" s="91"/>
      <c r="DO244" s="91"/>
      <c r="DP244" s="91"/>
      <c r="DR244" s="134" t="s">
        <v>71</v>
      </c>
      <c r="DS244" s="132"/>
      <c r="DT244" s="91">
        <v>17.87</v>
      </c>
      <c r="DU244" s="91"/>
      <c r="DV244" s="91"/>
      <c r="DW244" s="91"/>
      <c r="DX244" s="91"/>
      <c r="DZ244" s="134" t="s">
        <v>71</v>
      </c>
      <c r="EA244" s="132"/>
      <c r="EB244" s="91">
        <v>18.649999999999999</v>
      </c>
      <c r="EC244" s="91"/>
      <c r="ED244" s="91"/>
      <c r="EE244" s="91"/>
      <c r="EF244" s="91"/>
    </row>
    <row r="245" spans="1:136" s="90" customFormat="1" x14ac:dyDescent="0.2">
      <c r="A245" s="292"/>
      <c r="B245" s="134" t="s">
        <v>12</v>
      </c>
      <c r="C245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5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16.796363636363637</v>
      </c>
      <c r="E245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19.731000000000002</v>
      </c>
      <c r="F245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21.061249999999998</v>
      </c>
      <c r="G245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20.133750000000006</v>
      </c>
      <c r="H245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15.237500000000001</v>
      </c>
      <c r="I245" s="91"/>
      <c r="J245" s="134" t="s">
        <v>12</v>
      </c>
      <c r="K245" s="132"/>
      <c r="L245" s="91">
        <v>15.37</v>
      </c>
      <c r="M245" s="91">
        <v>16.75</v>
      </c>
      <c r="N245" s="91">
        <v>15.7</v>
      </c>
      <c r="O245" s="91">
        <v>15.11</v>
      </c>
      <c r="P245" s="91">
        <v>14.54</v>
      </c>
      <c r="R245" s="134" t="s">
        <v>12</v>
      </c>
      <c r="S245" s="132"/>
      <c r="T245" s="91">
        <v>15.91</v>
      </c>
      <c r="U245" s="91">
        <v>16.670000000000002</v>
      </c>
      <c r="V245" s="91">
        <v>15.86</v>
      </c>
      <c r="W245" s="91">
        <v>15.09</v>
      </c>
      <c r="X245" s="91">
        <v>14.64</v>
      </c>
      <c r="Z245" s="134" t="s">
        <v>12</v>
      </c>
      <c r="AA245" s="132"/>
      <c r="AB245" s="91">
        <v>16.03</v>
      </c>
      <c r="AC245" s="91">
        <v>15.71</v>
      </c>
      <c r="AD245" s="91">
        <v>15.12</v>
      </c>
      <c r="AE245" s="91">
        <v>14.58</v>
      </c>
      <c r="AF245" s="91">
        <v>14.6</v>
      </c>
      <c r="AH245" s="134" t="s">
        <v>12</v>
      </c>
      <c r="AI245" s="132"/>
      <c r="AJ245" s="132">
        <v>17.78</v>
      </c>
      <c r="AK245" s="91">
        <v>18.21</v>
      </c>
      <c r="AL245" s="91">
        <v>17.45</v>
      </c>
      <c r="AM245" s="91">
        <v>16.78</v>
      </c>
      <c r="AN245" s="91">
        <v>15.35</v>
      </c>
      <c r="AP245" s="134" t="s">
        <v>12</v>
      </c>
      <c r="AQ245" s="132"/>
      <c r="AR245" s="132">
        <v>15.73</v>
      </c>
      <c r="AS245" s="91">
        <v>16.95</v>
      </c>
      <c r="AT245" s="91">
        <v>15.95</v>
      </c>
      <c r="AU245" s="91">
        <v>15.48</v>
      </c>
      <c r="AV245" s="91"/>
      <c r="AX245" s="134" t="s">
        <v>12</v>
      </c>
      <c r="AY245" s="132"/>
      <c r="AZ245" s="132">
        <v>18.670000000000002</v>
      </c>
      <c r="BA245" s="91">
        <v>20.02</v>
      </c>
      <c r="BB245" s="91">
        <v>18.55</v>
      </c>
      <c r="BC245" s="91">
        <v>17.98</v>
      </c>
      <c r="BD245" s="91"/>
      <c r="BE245" s="91"/>
      <c r="BF245" s="134" t="s">
        <v>12</v>
      </c>
      <c r="BG245" s="132"/>
      <c r="BH245" s="91">
        <v>17.48</v>
      </c>
      <c r="BI245" s="91">
        <v>18.829999999999998</v>
      </c>
      <c r="BJ245" s="91"/>
      <c r="BK245" s="91"/>
      <c r="BL245" s="91"/>
      <c r="BM245" s="91"/>
      <c r="BN245" s="134" t="s">
        <v>12</v>
      </c>
      <c r="BO245" s="132"/>
      <c r="BP245" s="91">
        <v>16.97</v>
      </c>
      <c r="BQ245" s="91">
        <v>17.61</v>
      </c>
      <c r="BR245" s="91">
        <v>16.3</v>
      </c>
      <c r="BS245" s="91">
        <v>15.65</v>
      </c>
      <c r="BT245" s="91">
        <v>15.53</v>
      </c>
      <c r="BV245" s="134" t="s">
        <v>12</v>
      </c>
      <c r="BW245" s="132"/>
      <c r="BX245" s="91">
        <v>17.64</v>
      </c>
      <c r="BY245" s="91">
        <v>19.36</v>
      </c>
      <c r="BZ245" s="91">
        <v>18.34</v>
      </c>
      <c r="CA245" s="91">
        <v>17.399999999999999</v>
      </c>
      <c r="CB245" s="91">
        <v>16.64</v>
      </c>
      <c r="CC245" s="91"/>
      <c r="CD245" s="134" t="s">
        <v>12</v>
      </c>
      <c r="CE245" s="132"/>
      <c r="CF245" s="91">
        <v>15.82</v>
      </c>
      <c r="CG245" s="91">
        <v>17.510000000000002</v>
      </c>
      <c r="CH245" s="91">
        <v>16.899999999999999</v>
      </c>
      <c r="CI245" s="91">
        <v>15.89</v>
      </c>
      <c r="CJ245" s="91">
        <v>14.5</v>
      </c>
      <c r="CL245" s="134" t="s">
        <v>12</v>
      </c>
      <c r="CM245" s="132"/>
      <c r="CN245" s="91">
        <v>17.36</v>
      </c>
      <c r="CO245" s="91">
        <v>19.690000000000001</v>
      </c>
      <c r="CP245" s="91">
        <v>18.32</v>
      </c>
      <c r="CQ245" s="91">
        <v>17.11</v>
      </c>
      <c r="CR245" s="91">
        <v>16.100000000000001</v>
      </c>
      <c r="CT245" s="134" t="s">
        <v>12</v>
      </c>
      <c r="CU245" s="132"/>
      <c r="CV245" s="91">
        <v>15.28</v>
      </c>
      <c r="CW245" s="91"/>
      <c r="CX245" s="91"/>
      <c r="CY245" s="91"/>
      <c r="CZ245" s="91"/>
      <c r="DB245" s="134" t="s">
        <v>12</v>
      </c>
      <c r="DC245" s="132"/>
      <c r="DD245" s="91">
        <v>18.059999999999999</v>
      </c>
      <c r="DE245" s="91"/>
      <c r="DF245" s="91"/>
      <c r="DG245" s="91"/>
      <c r="DH245" s="91"/>
      <c r="DI245" s="91"/>
      <c r="DJ245" s="134" t="s">
        <v>12</v>
      </c>
      <c r="DK245" s="132"/>
      <c r="DL245" s="91">
        <v>13.57</v>
      </c>
      <c r="DM245" s="91"/>
      <c r="DN245" s="91"/>
      <c r="DO245" s="91"/>
      <c r="DP245" s="91"/>
      <c r="DR245" s="134" t="s">
        <v>12</v>
      </c>
      <c r="DS245" s="132"/>
      <c r="DT245" s="91">
        <v>17.71</v>
      </c>
      <c r="DU245" s="91"/>
      <c r="DV245" s="91"/>
      <c r="DW245" s="91"/>
      <c r="DX245" s="91"/>
      <c r="DZ245" s="134" t="s">
        <v>12</v>
      </c>
      <c r="EA245" s="132"/>
      <c r="EB245" s="91">
        <v>17.98</v>
      </c>
      <c r="EC245" s="91"/>
      <c r="ED245" s="91"/>
      <c r="EE245" s="91"/>
      <c r="EF245" s="91"/>
    </row>
    <row r="246" spans="1:136" s="90" customFormat="1" x14ac:dyDescent="0.2">
      <c r="A246" s="292"/>
      <c r="B246" s="134" t="s">
        <v>13</v>
      </c>
      <c r="C246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6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18.008181818181814</v>
      </c>
      <c r="E246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19.462</v>
      </c>
      <c r="F246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20.772500000000001</v>
      </c>
      <c r="G246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19.154999999999998</v>
      </c>
      <c r="H246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17.931250000000002</v>
      </c>
      <c r="I246" s="91"/>
      <c r="J246" s="134" t="s">
        <v>13</v>
      </c>
      <c r="K246" s="132"/>
      <c r="L246" s="91">
        <v>17.22</v>
      </c>
      <c r="M246" s="91">
        <v>16.48</v>
      </c>
      <c r="N246" s="91">
        <v>15.78</v>
      </c>
      <c r="O246" s="91">
        <v>14.36</v>
      </c>
      <c r="P246" s="91">
        <v>16.68</v>
      </c>
      <c r="R246" s="134" t="s">
        <v>13</v>
      </c>
      <c r="S246" s="132"/>
      <c r="T246" s="91">
        <v>17.010000000000002</v>
      </c>
      <c r="U246" s="91">
        <v>16.489999999999998</v>
      </c>
      <c r="V246" s="91">
        <v>15.76</v>
      </c>
      <c r="W246" s="91">
        <v>14.55</v>
      </c>
      <c r="X246" s="91">
        <v>16.45</v>
      </c>
      <c r="Z246" s="134" t="s">
        <v>13</v>
      </c>
      <c r="AA246" s="132"/>
      <c r="AB246" s="91">
        <v>16.77</v>
      </c>
      <c r="AC246" s="91">
        <v>16.05</v>
      </c>
      <c r="AD246" s="91">
        <v>14.9</v>
      </c>
      <c r="AE246" s="91">
        <v>14.06</v>
      </c>
      <c r="AF246" s="91">
        <v>17.41</v>
      </c>
      <c r="AH246" s="134" t="s">
        <v>13</v>
      </c>
      <c r="AI246" s="132"/>
      <c r="AJ246" s="132">
        <v>19.43</v>
      </c>
      <c r="AK246" s="91">
        <v>18.559999999999999</v>
      </c>
      <c r="AL246" s="91">
        <v>17.41</v>
      </c>
      <c r="AM246" s="91">
        <v>15.92</v>
      </c>
      <c r="AN246" s="91">
        <v>17.93</v>
      </c>
      <c r="AP246" s="134" t="s">
        <v>13</v>
      </c>
      <c r="AQ246" s="132"/>
      <c r="AR246" s="132">
        <v>17.440000000000001</v>
      </c>
      <c r="AS246" s="91">
        <v>16.87</v>
      </c>
      <c r="AT246" s="91">
        <v>15.87</v>
      </c>
      <c r="AU246" s="91">
        <v>14.85</v>
      </c>
      <c r="AV246" s="91"/>
      <c r="AX246" s="134" t="s">
        <v>13</v>
      </c>
      <c r="AY246" s="132"/>
      <c r="AZ246" s="132">
        <v>20.41</v>
      </c>
      <c r="BA246" s="91">
        <v>19.96</v>
      </c>
      <c r="BB246" s="91">
        <v>18.309999999999999</v>
      </c>
      <c r="BC246" s="91">
        <v>16.59</v>
      </c>
      <c r="BD246" s="91"/>
      <c r="BE246" s="91"/>
      <c r="BF246" s="134" t="s">
        <v>13</v>
      </c>
      <c r="BG246" s="132"/>
      <c r="BH246" s="91">
        <v>18.54</v>
      </c>
      <c r="BI246" s="91">
        <v>18.5</v>
      </c>
      <c r="BJ246" s="91"/>
      <c r="BK246" s="91"/>
      <c r="BL246" s="91"/>
      <c r="BM246" s="91"/>
      <c r="BN246" s="134" t="s">
        <v>13</v>
      </c>
      <c r="BO246" s="132"/>
      <c r="BP246" s="91">
        <v>17.48</v>
      </c>
      <c r="BQ246" s="91">
        <v>16.75</v>
      </c>
      <c r="BR246" s="91">
        <v>16.05</v>
      </c>
      <c r="BS246" s="91">
        <v>14.28</v>
      </c>
      <c r="BT246" s="91">
        <v>18.690000000000001</v>
      </c>
      <c r="BV246" s="134" t="s">
        <v>13</v>
      </c>
      <c r="BW246" s="132"/>
      <c r="BX246" s="91">
        <v>18.73</v>
      </c>
      <c r="BY246" s="91">
        <v>18.579999999999998</v>
      </c>
      <c r="BZ246" s="91">
        <v>17.82</v>
      </c>
      <c r="CA246" s="91">
        <v>16.55</v>
      </c>
      <c r="CB246" s="91">
        <v>19.760000000000002</v>
      </c>
      <c r="CC246" s="91"/>
      <c r="CD246" s="134" t="s">
        <v>13</v>
      </c>
      <c r="CE246" s="132"/>
      <c r="CF246" s="91">
        <v>16.39</v>
      </c>
      <c r="CG246" s="91">
        <v>17.22</v>
      </c>
      <c r="CH246" s="91">
        <v>16.48</v>
      </c>
      <c r="CI246" s="91">
        <v>15.67</v>
      </c>
      <c r="CJ246" s="91">
        <v>18.010000000000002</v>
      </c>
      <c r="CL246" s="134" t="s">
        <v>13</v>
      </c>
      <c r="CM246" s="132"/>
      <c r="CN246" s="91">
        <v>18.670000000000002</v>
      </c>
      <c r="CO246" s="91">
        <v>19.16</v>
      </c>
      <c r="CP246" s="91">
        <v>17.8</v>
      </c>
      <c r="CQ246" s="91">
        <v>16.41</v>
      </c>
      <c r="CR246" s="91">
        <v>18.52</v>
      </c>
      <c r="CT246" s="134" t="s">
        <v>13</v>
      </c>
      <c r="CU246" s="132"/>
      <c r="CV246" s="91">
        <v>16.350000000000001</v>
      </c>
      <c r="CW246" s="91"/>
      <c r="CX246" s="91"/>
      <c r="CY246" s="91"/>
      <c r="CZ246" s="91"/>
      <c r="DB246" s="134" t="s">
        <v>13</v>
      </c>
      <c r="DC246" s="132"/>
      <c r="DD246" s="91">
        <v>19.54</v>
      </c>
      <c r="DE246" s="91"/>
      <c r="DF246" s="91"/>
      <c r="DG246" s="91"/>
      <c r="DH246" s="91"/>
      <c r="DI246" s="91"/>
      <c r="DJ246" s="134" t="s">
        <v>13</v>
      </c>
      <c r="DK246" s="132"/>
      <c r="DL246" s="91">
        <v>14.14</v>
      </c>
      <c r="DM246" s="91"/>
      <c r="DN246" s="91"/>
      <c r="DO246" s="91"/>
      <c r="DP246" s="91"/>
      <c r="DR246" s="134" t="s">
        <v>13</v>
      </c>
      <c r="DS246" s="132"/>
      <c r="DT246" s="91">
        <v>18.760000000000002</v>
      </c>
      <c r="DU246" s="91"/>
      <c r="DV246" s="91"/>
      <c r="DW246" s="91"/>
      <c r="DX246" s="91"/>
      <c r="DZ246" s="134" t="s">
        <v>13</v>
      </c>
      <c r="EA246" s="132"/>
      <c r="EB246" s="91">
        <v>18.829999999999998</v>
      </c>
      <c r="EC246" s="91"/>
      <c r="ED246" s="91"/>
      <c r="EE246" s="91"/>
      <c r="EF246" s="91"/>
    </row>
    <row r="247" spans="1:136" s="90" customFormat="1" x14ac:dyDescent="0.2">
      <c r="A247" s="292"/>
      <c r="B247" s="134" t="s">
        <v>15</v>
      </c>
      <c r="C247" s="132" t="str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7" s="259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>17.999090909090906</v>
      </c>
      <c r="E247" s="259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>19.937999999999999</v>
      </c>
      <c r="F247" s="259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>22.19875</v>
      </c>
      <c r="G247" s="259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>20.537500000000001</v>
      </c>
      <c r="H247" s="259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>18.344999999999999</v>
      </c>
      <c r="I247" s="91"/>
      <c r="J247" s="134" t="s">
        <v>15</v>
      </c>
      <c r="K247" s="132"/>
      <c r="L247" s="91">
        <v>17.309999999999999</v>
      </c>
      <c r="M247" s="91">
        <v>17.07</v>
      </c>
      <c r="N247" s="91">
        <v>16.940000000000001</v>
      </c>
      <c r="O247" s="91">
        <v>15.36</v>
      </c>
      <c r="P247" s="91">
        <v>16.71</v>
      </c>
      <c r="R247" s="134" t="s">
        <v>15</v>
      </c>
      <c r="S247" s="132"/>
      <c r="T247" s="91">
        <v>17.07</v>
      </c>
      <c r="U247" s="91">
        <v>17.32</v>
      </c>
      <c r="V247" s="91">
        <v>16.48</v>
      </c>
      <c r="W247" s="91">
        <v>15.57</v>
      </c>
      <c r="X247" s="91">
        <v>17.100000000000001</v>
      </c>
      <c r="Z247" s="134" t="s">
        <v>15</v>
      </c>
      <c r="AA247" s="132"/>
      <c r="AB247" s="91">
        <v>16.72</v>
      </c>
      <c r="AC247" s="91">
        <v>16.79</v>
      </c>
      <c r="AD247" s="91">
        <v>16.25</v>
      </c>
      <c r="AE247" s="91">
        <v>15.33</v>
      </c>
      <c r="AF247" s="91">
        <v>17.8</v>
      </c>
      <c r="AH247" s="134" t="s">
        <v>15</v>
      </c>
      <c r="AI247" s="132"/>
      <c r="AJ247" s="132">
        <v>20</v>
      </c>
      <c r="AK247" s="91">
        <v>18.989999999999998</v>
      </c>
      <c r="AL247" s="91">
        <v>18.600000000000001</v>
      </c>
      <c r="AM247" s="91">
        <v>17.16</v>
      </c>
      <c r="AN247" s="91">
        <v>18.25</v>
      </c>
      <c r="AP247" s="134" t="s">
        <v>15</v>
      </c>
      <c r="AQ247" s="132"/>
      <c r="AR247" s="132">
        <v>17.309999999999999</v>
      </c>
      <c r="AS247" s="91">
        <v>17.46</v>
      </c>
      <c r="AT247" s="91">
        <v>16.91</v>
      </c>
      <c r="AU247" s="91">
        <v>15.78</v>
      </c>
      <c r="AV247" s="91"/>
      <c r="AX247" s="134" t="s">
        <v>15</v>
      </c>
      <c r="AY247" s="132"/>
      <c r="AZ247" s="132">
        <v>20.97</v>
      </c>
      <c r="BA247" s="91">
        <v>20.56</v>
      </c>
      <c r="BB247" s="91">
        <v>19.690000000000001</v>
      </c>
      <c r="BC247" s="91">
        <v>17.72</v>
      </c>
      <c r="BD247" s="91"/>
      <c r="BE247" s="91"/>
      <c r="BF247" s="134" t="s">
        <v>15</v>
      </c>
      <c r="BG247" s="132"/>
      <c r="BH247" s="91">
        <v>18.399999999999999</v>
      </c>
      <c r="BI247" s="91">
        <v>19.22</v>
      </c>
      <c r="BJ247" s="91"/>
      <c r="BK247" s="91"/>
      <c r="BL247" s="91"/>
      <c r="BM247" s="91"/>
      <c r="BN247" s="134" t="s">
        <v>15</v>
      </c>
      <c r="BO247" s="132"/>
      <c r="BP247" s="91">
        <v>17.11</v>
      </c>
      <c r="BQ247" s="91">
        <v>17.48</v>
      </c>
      <c r="BR247" s="91">
        <v>17.5</v>
      </c>
      <c r="BS247" s="91">
        <v>16.2</v>
      </c>
      <c r="BT247" s="91">
        <v>19.54</v>
      </c>
      <c r="BV247" s="134" t="s">
        <v>15</v>
      </c>
      <c r="BW247" s="132"/>
      <c r="BX247" s="91">
        <v>18.73</v>
      </c>
      <c r="BY247" s="91">
        <v>18.79</v>
      </c>
      <c r="BZ247" s="91">
        <v>18.86</v>
      </c>
      <c r="CA247" s="91">
        <v>17.63</v>
      </c>
      <c r="CB247" s="91">
        <v>19.829999999999998</v>
      </c>
      <c r="CC247" s="91"/>
      <c r="CD247" s="134" t="s">
        <v>15</v>
      </c>
      <c r="CE247" s="132"/>
      <c r="CF247" s="91">
        <v>16.18</v>
      </c>
      <c r="CG247" s="91">
        <v>17.309999999999999</v>
      </c>
      <c r="CH247" s="91">
        <v>17.16</v>
      </c>
      <c r="CI247" s="91">
        <v>16.13</v>
      </c>
      <c r="CJ247" s="91">
        <v>18.420000000000002</v>
      </c>
      <c r="CL247" s="134" t="s">
        <v>15</v>
      </c>
      <c r="CM247" s="132"/>
      <c r="CN247" s="91">
        <v>18.190000000000001</v>
      </c>
      <c r="CO247" s="91">
        <v>18.39</v>
      </c>
      <c r="CP247" s="91">
        <v>19.2</v>
      </c>
      <c r="CQ247" s="91">
        <v>17.420000000000002</v>
      </c>
      <c r="CR247" s="91">
        <v>19.11</v>
      </c>
      <c r="CT247" s="134" t="s">
        <v>15</v>
      </c>
      <c r="CU247" s="132"/>
      <c r="CV247" s="91">
        <v>16.22</v>
      </c>
      <c r="CW247" s="91"/>
      <c r="CX247" s="91"/>
      <c r="CY247" s="91"/>
      <c r="CZ247" s="91"/>
      <c r="DB247" s="134" t="s">
        <v>15</v>
      </c>
      <c r="DC247" s="132"/>
      <c r="DD247" s="91">
        <v>19.239999999999998</v>
      </c>
      <c r="DE247" s="91"/>
      <c r="DF247" s="91"/>
      <c r="DG247" s="91"/>
      <c r="DH247" s="91"/>
      <c r="DI247" s="91"/>
      <c r="DJ247" s="134" t="s">
        <v>15</v>
      </c>
      <c r="DK247" s="132"/>
      <c r="DL247" s="91">
        <v>14.09</v>
      </c>
      <c r="DM247" s="91"/>
      <c r="DN247" s="91"/>
      <c r="DO247" s="91"/>
      <c r="DP247" s="91"/>
      <c r="DR247" s="134" t="s">
        <v>15</v>
      </c>
      <c r="DS247" s="132"/>
      <c r="DT247" s="91">
        <v>18.77</v>
      </c>
      <c r="DU247" s="91"/>
      <c r="DV247" s="91"/>
      <c r="DW247" s="91"/>
      <c r="DX247" s="91"/>
      <c r="DZ247" s="134" t="s">
        <v>15</v>
      </c>
      <c r="EA247" s="132"/>
      <c r="EB247" s="91">
        <v>18.940000000000001</v>
      </c>
      <c r="EC247" s="91"/>
      <c r="ED247" s="91"/>
      <c r="EE247" s="91"/>
      <c r="EF247" s="91"/>
    </row>
    <row r="249" spans="1:136" ht="15.75" x14ac:dyDescent="0.2">
      <c r="B249" s="45" t="s">
        <v>131</v>
      </c>
      <c r="J249" s="45" t="s">
        <v>2999</v>
      </c>
      <c r="R249" s="45" t="s">
        <v>3001</v>
      </c>
      <c r="Z249" s="45" t="s">
        <v>210</v>
      </c>
      <c r="AH249" s="45" t="s">
        <v>3003</v>
      </c>
      <c r="AP249" s="45" t="s">
        <v>2156</v>
      </c>
      <c r="AX249" s="45" t="s">
        <v>3000</v>
      </c>
      <c r="BF249" s="45" t="s">
        <v>3002</v>
      </c>
      <c r="BN249" s="45" t="s">
        <v>297</v>
      </c>
      <c r="BV249" s="45" t="s">
        <v>296</v>
      </c>
      <c r="CD249" s="45" t="s">
        <v>292</v>
      </c>
      <c r="CL249" s="45" t="s">
        <v>294</v>
      </c>
      <c r="CT249" s="45" t="s">
        <v>6963</v>
      </c>
      <c r="DB249" s="45" t="s">
        <v>6964</v>
      </c>
      <c r="DJ249" s="45" t="s">
        <v>6966</v>
      </c>
      <c r="DR249" s="45" t="s">
        <v>6965</v>
      </c>
      <c r="DZ249" s="45" t="s">
        <v>7094</v>
      </c>
    </row>
    <row r="251" spans="1:136" s="188" customFormat="1" ht="18.600000000000001" customHeight="1" x14ac:dyDescent="0.2">
      <c r="A251" s="292" t="s">
        <v>191</v>
      </c>
      <c r="B251" s="186" t="s">
        <v>106</v>
      </c>
      <c r="C251" s="187" t="s">
        <v>6962</v>
      </c>
      <c r="D251" s="187" t="s">
        <v>2169</v>
      </c>
      <c r="E251" s="187" t="s">
        <v>1553</v>
      </c>
      <c r="F251" s="187" t="s">
        <v>1522</v>
      </c>
      <c r="G251" s="187" t="s">
        <v>1304</v>
      </c>
      <c r="H251" s="187" t="s">
        <v>209</v>
      </c>
      <c r="I251" s="187"/>
      <c r="J251" s="186" t="s">
        <v>106</v>
      </c>
      <c r="K251" s="186" t="s">
        <v>7114</v>
      </c>
      <c r="L251" s="186" t="s">
        <v>6962</v>
      </c>
      <c r="M251" s="186" t="s">
        <v>2169</v>
      </c>
      <c r="N251" s="186" t="s">
        <v>1553</v>
      </c>
      <c r="O251" s="186" t="s">
        <v>1522</v>
      </c>
      <c r="P251" s="186" t="s">
        <v>1304</v>
      </c>
      <c r="R251" s="186" t="s">
        <v>106</v>
      </c>
      <c r="S251" s="186" t="s">
        <v>7114</v>
      </c>
      <c r="T251" s="186" t="s">
        <v>6962</v>
      </c>
      <c r="U251" s="186" t="s">
        <v>2169</v>
      </c>
      <c r="V251" s="186" t="s">
        <v>1553</v>
      </c>
      <c r="W251" s="186" t="s">
        <v>1522</v>
      </c>
      <c r="X251" s="186" t="s">
        <v>1304</v>
      </c>
      <c r="Z251" s="186" t="s">
        <v>106</v>
      </c>
      <c r="AA251" s="186" t="s">
        <v>7114</v>
      </c>
      <c r="AB251" s="186" t="s">
        <v>6962</v>
      </c>
      <c r="AC251" s="186" t="s">
        <v>2169</v>
      </c>
      <c r="AD251" s="186" t="s">
        <v>1553</v>
      </c>
      <c r="AE251" s="186" t="s">
        <v>1522</v>
      </c>
      <c r="AF251" s="186" t="s">
        <v>1304</v>
      </c>
      <c r="AH251" s="186" t="s">
        <v>106</v>
      </c>
      <c r="AI251" s="186" t="s">
        <v>7114</v>
      </c>
      <c r="AJ251" s="186" t="s">
        <v>6962</v>
      </c>
      <c r="AK251" s="186" t="s">
        <v>2169</v>
      </c>
      <c r="AL251" s="186" t="s">
        <v>1553</v>
      </c>
      <c r="AM251" s="186" t="s">
        <v>1522</v>
      </c>
      <c r="AN251" s="186" t="s">
        <v>1304</v>
      </c>
      <c r="AP251" s="186" t="s">
        <v>106</v>
      </c>
      <c r="AQ251" s="186" t="s">
        <v>7114</v>
      </c>
      <c r="AR251" s="186" t="s">
        <v>6962</v>
      </c>
      <c r="AS251" s="186" t="s">
        <v>2169</v>
      </c>
      <c r="AT251" s="186" t="s">
        <v>1553</v>
      </c>
      <c r="AU251" s="186" t="s">
        <v>1522</v>
      </c>
      <c r="AV251" s="186" t="s">
        <v>1304</v>
      </c>
      <c r="AX251" s="186" t="s">
        <v>106</v>
      </c>
      <c r="AY251" s="186" t="s">
        <v>7114</v>
      </c>
      <c r="AZ251" s="186" t="s">
        <v>6962</v>
      </c>
      <c r="BA251" s="186" t="s">
        <v>2169</v>
      </c>
      <c r="BB251" s="186" t="s">
        <v>1553</v>
      </c>
      <c r="BC251" s="186" t="s">
        <v>1522</v>
      </c>
      <c r="BD251" s="186" t="s">
        <v>1304</v>
      </c>
      <c r="BE251" s="187"/>
      <c r="BF251" s="186" t="s">
        <v>106</v>
      </c>
      <c r="BG251" s="186" t="s">
        <v>7114</v>
      </c>
      <c r="BH251" s="186" t="s">
        <v>6962</v>
      </c>
      <c r="BI251" s="186" t="s">
        <v>2169</v>
      </c>
      <c r="BJ251" s="186" t="s">
        <v>1553</v>
      </c>
      <c r="BK251" s="186" t="s">
        <v>1522</v>
      </c>
      <c r="BL251" s="186" t="s">
        <v>1304</v>
      </c>
      <c r="BM251" s="186"/>
      <c r="BN251" s="186" t="s">
        <v>106</v>
      </c>
      <c r="BO251" s="187" t="s">
        <v>7114</v>
      </c>
      <c r="BP251" s="187" t="s">
        <v>6962</v>
      </c>
      <c r="BQ251" s="187" t="s">
        <v>2169</v>
      </c>
      <c r="BR251" s="187" t="s">
        <v>1553</v>
      </c>
      <c r="BS251" s="187" t="s">
        <v>1522</v>
      </c>
      <c r="BT251" s="187" t="s">
        <v>1304</v>
      </c>
      <c r="BV251" s="186" t="s">
        <v>106</v>
      </c>
      <c r="BW251" s="187" t="s">
        <v>7114</v>
      </c>
      <c r="BX251" s="187" t="s">
        <v>6962</v>
      </c>
      <c r="BY251" s="187" t="s">
        <v>2169</v>
      </c>
      <c r="BZ251" s="187" t="s">
        <v>1553</v>
      </c>
      <c r="CA251" s="187" t="s">
        <v>1522</v>
      </c>
      <c r="CB251" s="187" t="s">
        <v>1304</v>
      </c>
      <c r="CC251" s="187"/>
      <c r="CD251" s="186" t="s">
        <v>106</v>
      </c>
      <c r="CE251" s="187" t="s">
        <v>7114</v>
      </c>
      <c r="CF251" s="187" t="s">
        <v>6962</v>
      </c>
      <c r="CG251" s="187" t="s">
        <v>2169</v>
      </c>
      <c r="CH251" s="187" t="s">
        <v>1553</v>
      </c>
      <c r="CI251" s="187" t="s">
        <v>1522</v>
      </c>
      <c r="CJ251" s="187" t="s">
        <v>1304</v>
      </c>
      <c r="CL251" s="186" t="s">
        <v>106</v>
      </c>
      <c r="CM251" s="187" t="s">
        <v>7114</v>
      </c>
      <c r="CN251" s="187" t="s">
        <v>6962</v>
      </c>
      <c r="CO251" s="187" t="s">
        <v>2169</v>
      </c>
      <c r="CP251" s="187" t="s">
        <v>1553</v>
      </c>
      <c r="CQ251" s="187" t="s">
        <v>1522</v>
      </c>
      <c r="CR251" s="187" t="s">
        <v>1304</v>
      </c>
      <c r="CT251" s="186" t="s">
        <v>106</v>
      </c>
      <c r="CU251" s="187" t="s">
        <v>7114</v>
      </c>
      <c r="CV251" s="187" t="s">
        <v>6962</v>
      </c>
      <c r="CW251" s="187" t="s">
        <v>2169</v>
      </c>
      <c r="CX251" s="187" t="s">
        <v>1553</v>
      </c>
      <c r="CY251" s="187" t="s">
        <v>1522</v>
      </c>
      <c r="CZ251" s="187" t="s">
        <v>1304</v>
      </c>
      <c r="DB251" s="186" t="s">
        <v>106</v>
      </c>
      <c r="DC251" s="187" t="s">
        <v>7114</v>
      </c>
      <c r="DD251" s="187" t="s">
        <v>6962</v>
      </c>
      <c r="DE251" s="187" t="s">
        <v>2169</v>
      </c>
      <c r="DF251" s="187" t="s">
        <v>1553</v>
      </c>
      <c r="DG251" s="187" t="s">
        <v>1522</v>
      </c>
      <c r="DH251" s="187" t="s">
        <v>1304</v>
      </c>
      <c r="DI251" s="187"/>
      <c r="DJ251" s="186" t="s">
        <v>106</v>
      </c>
      <c r="DK251" s="187" t="s">
        <v>7114</v>
      </c>
      <c r="DL251" s="187" t="s">
        <v>6962</v>
      </c>
      <c r="DM251" s="187" t="s">
        <v>2169</v>
      </c>
      <c r="DN251" s="187" t="s">
        <v>1553</v>
      </c>
      <c r="DO251" s="187" t="s">
        <v>1522</v>
      </c>
      <c r="DP251" s="187" t="s">
        <v>1304</v>
      </c>
      <c r="DR251" s="186" t="s">
        <v>106</v>
      </c>
      <c r="DS251" s="187" t="s">
        <v>7114</v>
      </c>
      <c r="DT251" s="187" t="s">
        <v>6962</v>
      </c>
      <c r="DU251" s="187" t="s">
        <v>2169</v>
      </c>
      <c r="DV251" s="187" t="s">
        <v>1553</v>
      </c>
      <c r="DW251" s="187" t="s">
        <v>1522</v>
      </c>
      <c r="DX251" s="187" t="s">
        <v>1304</v>
      </c>
      <c r="DZ251" s="186" t="s">
        <v>106</v>
      </c>
      <c r="EA251" s="187" t="s">
        <v>7114</v>
      </c>
      <c r="EB251" s="187" t="s">
        <v>6962</v>
      </c>
      <c r="EC251" s="187" t="s">
        <v>2169</v>
      </c>
      <c r="ED251" s="187" t="s">
        <v>1553</v>
      </c>
      <c r="EE251" s="187" t="s">
        <v>1522</v>
      </c>
      <c r="EF251" s="187" t="s">
        <v>1304</v>
      </c>
    </row>
    <row r="252" spans="1:136" s="90" customFormat="1" x14ac:dyDescent="0.2">
      <c r="A252" s="292"/>
      <c r="B252" s="134" t="s">
        <v>143</v>
      </c>
      <c r="C252" s="91">
        <f>AVERAGE(C204:C$204)</f>
        <v>13.487142857142855</v>
      </c>
      <c r="D252" s="91">
        <f>AVERAGE(D204:D$204)</f>
        <v>17.018999999999998</v>
      </c>
      <c r="E252" s="91">
        <f>AVERAGE(E204:E$204)</f>
        <v>16.512</v>
      </c>
      <c r="F252" s="91">
        <f>AVERAGE(F204:F$204)</f>
        <v>17.232499999999998</v>
      </c>
      <c r="G252" s="91">
        <f>AVERAGE(G204:G$204)</f>
        <v>5.9174999999999995</v>
      </c>
      <c r="H252" s="91">
        <f>AVERAGE(H204:H$204)</f>
        <v>11.94875</v>
      </c>
      <c r="I252" s="91"/>
      <c r="J252" s="134" t="s">
        <v>143</v>
      </c>
      <c r="K252" s="91">
        <f>AVERAGE(K204:K$204)</f>
        <v>15.88</v>
      </c>
      <c r="L252" s="91">
        <v>15.44</v>
      </c>
      <c r="M252" s="91">
        <v>15.4</v>
      </c>
      <c r="N252" s="91">
        <v>13.83</v>
      </c>
      <c r="O252" s="91">
        <v>6.54</v>
      </c>
      <c r="P252" s="91">
        <v>12.76</v>
      </c>
      <c r="R252" s="134" t="s">
        <v>143</v>
      </c>
      <c r="S252" s="91">
        <f>AVERAGE(S204:S$204)</f>
        <v>15.34</v>
      </c>
      <c r="T252" s="91">
        <v>15.79</v>
      </c>
      <c r="U252" s="91">
        <v>14.09</v>
      </c>
      <c r="V252" s="91">
        <v>14.14</v>
      </c>
      <c r="W252" s="91">
        <v>6.75</v>
      </c>
      <c r="X252" s="91">
        <v>12.45</v>
      </c>
      <c r="Z252" s="134" t="s">
        <v>143</v>
      </c>
      <c r="AA252" s="91">
        <f>AVERAGE(AA204:AA$204)</f>
        <v>13.27</v>
      </c>
      <c r="AB252" s="91">
        <v>13.77</v>
      </c>
      <c r="AC252" s="91">
        <v>12.66</v>
      </c>
      <c r="AD252" s="91">
        <v>11.75</v>
      </c>
      <c r="AE252" s="91">
        <v>6.01</v>
      </c>
      <c r="AF252" s="91">
        <v>11.41</v>
      </c>
      <c r="AH252" s="134" t="s">
        <v>143</v>
      </c>
      <c r="AI252" s="91" t="e">
        <f>AVERAGE(AI204:AI$204)</f>
        <v>#DIV/0!</v>
      </c>
      <c r="AJ252" s="91">
        <v>16.190000000000001</v>
      </c>
      <c r="AK252" s="91">
        <v>15.57</v>
      </c>
      <c r="AL252" s="91">
        <v>14.09</v>
      </c>
      <c r="AM252" s="91">
        <v>3.41</v>
      </c>
      <c r="AN252" s="91">
        <v>12.33</v>
      </c>
      <c r="AP252" s="134" t="s">
        <v>143</v>
      </c>
      <c r="AQ252" s="91">
        <f>AVERAGE(AQ204:AQ$204)</f>
        <v>16.440000000000001</v>
      </c>
      <c r="AR252" s="91">
        <v>16.11</v>
      </c>
      <c r="AS252" s="91">
        <v>15.55</v>
      </c>
      <c r="AT252" s="91">
        <v>14.66</v>
      </c>
      <c r="AU252" s="91">
        <v>9.1</v>
      </c>
      <c r="AV252" s="91" t="e">
        <v>#DIV/0!</v>
      </c>
      <c r="AX252" s="134" t="s">
        <v>143</v>
      </c>
      <c r="AY252" s="91" t="e">
        <f>AVERAGE(AY204:AY$204)</f>
        <v>#DIV/0!</v>
      </c>
      <c r="AZ252" s="91">
        <v>18.010000000000002</v>
      </c>
      <c r="BA252" s="91">
        <v>16.739999999999998</v>
      </c>
      <c r="BB252" s="91">
        <v>15.3</v>
      </c>
      <c r="BC252" s="91"/>
      <c r="BD252" s="91"/>
      <c r="BE252" s="91"/>
      <c r="BF252" s="134" t="s">
        <v>143</v>
      </c>
      <c r="BG252" s="91">
        <f>AVERAGE(BG204:BG$204)</f>
        <v>15.93</v>
      </c>
      <c r="BH252" s="91">
        <v>16.329999999999998</v>
      </c>
      <c r="BI252" s="91">
        <v>16.46</v>
      </c>
      <c r="BJ252" s="91"/>
      <c r="BK252" s="91"/>
      <c r="BL252" s="91"/>
      <c r="BM252" s="91"/>
      <c r="BN252" s="134" t="s">
        <v>143</v>
      </c>
      <c r="BO252" s="91">
        <f>AVERAGE(BO204:BO$204)</f>
        <v>12.74</v>
      </c>
      <c r="BP252" s="91">
        <v>13.48</v>
      </c>
      <c r="BQ252" s="91">
        <v>12.93</v>
      </c>
      <c r="BR252" s="91">
        <v>11.37</v>
      </c>
      <c r="BS252" s="91">
        <v>7.11</v>
      </c>
      <c r="BT252" s="91">
        <v>10.1</v>
      </c>
      <c r="BV252" s="134" t="s">
        <v>143</v>
      </c>
      <c r="BW252" s="91">
        <f>AVERAGE(BW204:BW$204)</f>
        <v>14.71</v>
      </c>
      <c r="BX252" s="91">
        <v>15.36</v>
      </c>
      <c r="BY252" s="91">
        <v>15.38</v>
      </c>
      <c r="BZ252" s="91">
        <v>14.43</v>
      </c>
      <c r="CA252" s="91">
        <v>2.67</v>
      </c>
      <c r="CB252" s="91">
        <v>12.52</v>
      </c>
      <c r="CC252" s="91"/>
      <c r="CD252" s="134" t="s">
        <v>143</v>
      </c>
      <c r="CE252" s="91">
        <f>AVERAGE(CE204:CE$204)</f>
        <v>13.1</v>
      </c>
      <c r="CF252" s="91">
        <v>14.14</v>
      </c>
      <c r="CG252" s="91">
        <v>13.71</v>
      </c>
      <c r="CH252" s="91">
        <v>12.81</v>
      </c>
      <c r="CI252" s="91">
        <v>0.36</v>
      </c>
      <c r="CJ252" s="91">
        <v>10.71</v>
      </c>
      <c r="CL252" s="134" t="s">
        <v>143</v>
      </c>
      <c r="CM252" s="91">
        <f>AVERAGE(CM204:CM$204)</f>
        <v>15.93</v>
      </c>
      <c r="CN252" s="91">
        <v>15.57</v>
      </c>
      <c r="CO252" s="91">
        <v>16.63</v>
      </c>
      <c r="CP252" s="91">
        <v>15.48</v>
      </c>
      <c r="CQ252" s="91">
        <v>5.39</v>
      </c>
      <c r="CR252" s="91">
        <v>13.31</v>
      </c>
      <c r="CT252" s="134" t="s">
        <v>143</v>
      </c>
      <c r="CU252" s="91">
        <f>AVERAGE(CU204:CU$204)</f>
        <v>13.76</v>
      </c>
      <c r="CV252" s="91">
        <v>13.37</v>
      </c>
      <c r="CW252" s="91" t="e">
        <v>#DIV/0!</v>
      </c>
      <c r="CX252" s="91"/>
      <c r="CY252" s="91"/>
      <c r="CZ252" s="91"/>
      <c r="DB252" s="134" t="s">
        <v>143</v>
      </c>
      <c r="DC252" s="91">
        <f>AVERAGE(DC204:DC$204)</f>
        <v>16.71</v>
      </c>
      <c r="DD252" s="91">
        <v>16.79</v>
      </c>
      <c r="DE252" s="91" t="e">
        <v>#DIV/0!</v>
      </c>
      <c r="DF252" s="91"/>
      <c r="DG252" s="91"/>
      <c r="DH252" s="91"/>
      <c r="DI252" s="91"/>
      <c r="DJ252" s="134" t="s">
        <v>143</v>
      </c>
      <c r="DK252" s="91">
        <f>AVERAGE(DK204:DK$204)</f>
        <v>10.25</v>
      </c>
      <c r="DL252" s="91">
        <v>10.57</v>
      </c>
      <c r="DM252" s="91" t="e">
        <v>#DIV/0!</v>
      </c>
      <c r="DN252" s="91"/>
      <c r="DO252" s="91"/>
      <c r="DP252" s="91"/>
      <c r="DR252" s="134" t="s">
        <v>143</v>
      </c>
      <c r="DS252" s="91">
        <f>AVERAGE(DS204:DS$204)</f>
        <v>14.76</v>
      </c>
      <c r="DT252" s="91">
        <v>14.77</v>
      </c>
      <c r="DU252" s="91" t="e">
        <v>#DIV/0!</v>
      </c>
      <c r="DV252" s="91"/>
      <c r="DW252" s="91"/>
      <c r="DX252" s="91"/>
      <c r="DZ252" s="134" t="s">
        <v>143</v>
      </c>
      <c r="EA252" s="91">
        <f>AVERAGE(EA204:EA$204)</f>
        <v>16.22</v>
      </c>
      <c r="EB252" s="91" t="e">
        <v>#DIV/0!</v>
      </c>
      <c r="EC252" s="91" t="e">
        <v>#DIV/0!</v>
      </c>
      <c r="ED252" s="91"/>
      <c r="EE252" s="91"/>
      <c r="EF252" s="91"/>
    </row>
    <row r="253" spans="1:136" s="90" customFormat="1" x14ac:dyDescent="0.2">
      <c r="A253" s="292"/>
      <c r="B253" s="134" t="s">
        <v>5</v>
      </c>
      <c r="C253" s="91">
        <f>AVERAGE(C$204:C205)</f>
        <v>13.487142857142855</v>
      </c>
      <c r="D253" s="91">
        <f>AVERAGE(D$204:D205)</f>
        <v>16.951999999999998</v>
      </c>
      <c r="E253" s="91">
        <f>AVERAGE(E$204:E205)</f>
        <v>17.173000000000002</v>
      </c>
      <c r="F253" s="91">
        <f>AVERAGE(F$204:F205)</f>
        <v>17.681874999999998</v>
      </c>
      <c r="G253" s="91">
        <f>AVERAGE(G$204:G205)</f>
        <v>8.07</v>
      </c>
      <c r="H253" s="91">
        <f>AVERAGE(H$204:H205)</f>
        <v>12.424375000000001</v>
      </c>
      <c r="I253" s="91"/>
      <c r="J253" s="134" t="s">
        <v>5</v>
      </c>
      <c r="K253" s="91">
        <f>AVERAGE(K$204:K205)</f>
        <v>15.88</v>
      </c>
      <c r="L253" s="91">
        <v>15.404999999999999</v>
      </c>
      <c r="M253" s="91">
        <v>15.695</v>
      </c>
      <c r="N253" s="91">
        <v>14.175000000000001</v>
      </c>
      <c r="O253" s="91">
        <v>5.9749999999999996</v>
      </c>
      <c r="P253" s="91">
        <v>13.44</v>
      </c>
      <c r="R253" s="134" t="s">
        <v>5</v>
      </c>
      <c r="S253" s="91">
        <f>AVERAGE(S$204:S205)</f>
        <v>15.34</v>
      </c>
      <c r="T253" s="91">
        <v>15.3</v>
      </c>
      <c r="U253" s="91">
        <v>14.67</v>
      </c>
      <c r="V253" s="91">
        <v>14.3</v>
      </c>
      <c r="W253" s="91">
        <v>7.3</v>
      </c>
      <c r="X253" s="91">
        <v>12.715</v>
      </c>
      <c r="Z253" s="134" t="s">
        <v>5</v>
      </c>
      <c r="AA253" s="91">
        <f>AVERAGE(AA$204:AA205)</f>
        <v>13.27</v>
      </c>
      <c r="AB253" s="91">
        <v>13.85</v>
      </c>
      <c r="AC253" s="91">
        <v>13.504999999999999</v>
      </c>
      <c r="AD253" s="91">
        <v>11.925000000000001</v>
      </c>
      <c r="AE253" s="91">
        <v>5.8</v>
      </c>
      <c r="AF253" s="91">
        <v>11.925000000000001</v>
      </c>
      <c r="AH253" s="134" t="s">
        <v>5</v>
      </c>
      <c r="AI253" s="91" t="e">
        <f>AVERAGE(AI$204:AI205)</f>
        <v>#DIV/0!</v>
      </c>
      <c r="AJ253" s="91">
        <v>16.225000000000001</v>
      </c>
      <c r="AK253" s="91">
        <v>15.94</v>
      </c>
      <c r="AL253" s="91">
        <v>14.18</v>
      </c>
      <c r="AM253" s="91">
        <v>4.37</v>
      </c>
      <c r="AN253" s="91">
        <v>12.324999999999999</v>
      </c>
      <c r="AP253" s="134" t="s">
        <v>5</v>
      </c>
      <c r="AQ253" s="91">
        <f>AVERAGE(AQ$204:AQ205)</f>
        <v>16.440000000000001</v>
      </c>
      <c r="AR253" s="91">
        <v>15.835000000000001</v>
      </c>
      <c r="AS253" s="91">
        <v>15.955</v>
      </c>
      <c r="AT253" s="91">
        <v>14.605</v>
      </c>
      <c r="AU253" s="91">
        <v>8.58</v>
      </c>
      <c r="AV253" s="91" t="e">
        <v>#DIV/0!</v>
      </c>
      <c r="AX253" s="134" t="s">
        <v>5</v>
      </c>
      <c r="AY253" s="91" t="e">
        <f>AVERAGE(AY$204:AY205)</f>
        <v>#DIV/0!</v>
      </c>
      <c r="AZ253" s="91">
        <v>17.785</v>
      </c>
      <c r="BA253" s="91">
        <v>17.265000000000001</v>
      </c>
      <c r="BB253" s="91">
        <v>15.72</v>
      </c>
      <c r="BC253" s="91"/>
      <c r="BD253" s="91"/>
      <c r="BE253" s="91"/>
      <c r="BF253" s="134" t="s">
        <v>5</v>
      </c>
      <c r="BG253" s="91">
        <f>AVERAGE(BG$204:BG205)</f>
        <v>15.93</v>
      </c>
      <c r="BH253" s="91">
        <v>16.204999999999998</v>
      </c>
      <c r="BI253" s="91">
        <v>17.195</v>
      </c>
      <c r="BJ253" s="91"/>
      <c r="BK253" s="91"/>
      <c r="BL253" s="91"/>
      <c r="BM253" s="91"/>
      <c r="BN253" s="134" t="s">
        <v>5</v>
      </c>
      <c r="BO253" s="91">
        <f>AVERAGE(BO$204:BO205)</f>
        <v>12.74</v>
      </c>
      <c r="BP253" s="91">
        <v>13.574999999999999</v>
      </c>
      <c r="BQ253" s="91">
        <v>14.015000000000001</v>
      </c>
      <c r="BR253" s="91">
        <v>12.024999999999999</v>
      </c>
      <c r="BS253" s="91">
        <v>8.125</v>
      </c>
      <c r="BT253" s="91">
        <v>11.030000000000001</v>
      </c>
      <c r="BV253" s="134" t="s">
        <v>5</v>
      </c>
      <c r="BW253" s="91">
        <f>AVERAGE(BW$204:BW205)</f>
        <v>14.71</v>
      </c>
      <c r="BX253" s="91">
        <v>15.664999999999999</v>
      </c>
      <c r="BY253" s="91">
        <v>16.22</v>
      </c>
      <c r="BZ253" s="91">
        <v>15.2</v>
      </c>
      <c r="CA253" s="91">
        <v>10.77</v>
      </c>
      <c r="CB253" s="91">
        <v>13.09</v>
      </c>
      <c r="CC253" s="91"/>
      <c r="CD253" s="134" t="s">
        <v>5</v>
      </c>
      <c r="CE253" s="91">
        <f>AVERAGE(CE$204:CE205)</f>
        <v>13.1</v>
      </c>
      <c r="CF253" s="91">
        <v>14.305</v>
      </c>
      <c r="CG253" s="91">
        <v>14.39</v>
      </c>
      <c r="CH253" s="91">
        <v>13.56</v>
      </c>
      <c r="CI253" s="91">
        <v>7.13</v>
      </c>
      <c r="CJ253" s="91">
        <v>11.185</v>
      </c>
      <c r="CL253" s="134" t="s">
        <v>5</v>
      </c>
      <c r="CM253" s="91">
        <f>AVERAGE(CM$204:CM205)</f>
        <v>15.93</v>
      </c>
      <c r="CN253" s="91">
        <v>15.370000000000001</v>
      </c>
      <c r="CO253" s="91">
        <v>16.88</v>
      </c>
      <c r="CP253" s="91">
        <v>15.765000000000001</v>
      </c>
      <c r="CQ253" s="91">
        <v>6.51</v>
      </c>
      <c r="CR253" s="91">
        <v>13.685</v>
      </c>
      <c r="CT253" s="134" t="s">
        <v>5</v>
      </c>
      <c r="CU253" s="91">
        <f>AVERAGE(CU$204:CU205)</f>
        <v>13.76</v>
      </c>
      <c r="CV253" s="91">
        <v>13.39</v>
      </c>
      <c r="CW253" s="91" t="e">
        <v>#DIV/0!</v>
      </c>
      <c r="CX253" s="91"/>
      <c r="CY253" s="91"/>
      <c r="CZ253" s="91"/>
      <c r="DB253" s="134" t="s">
        <v>5</v>
      </c>
      <c r="DC253" s="91">
        <f>AVERAGE(DC$204:DC205)</f>
        <v>16.71</v>
      </c>
      <c r="DD253" s="91">
        <v>16.655000000000001</v>
      </c>
      <c r="DE253" s="91" t="e">
        <v>#DIV/0!</v>
      </c>
      <c r="DF253" s="91"/>
      <c r="DG253" s="91"/>
      <c r="DH253" s="91"/>
      <c r="DI253" s="91"/>
      <c r="DJ253" s="134" t="s">
        <v>5</v>
      </c>
      <c r="DK253" s="91">
        <f>AVERAGE(DK$204:DK205)</f>
        <v>10.25</v>
      </c>
      <c r="DL253" s="91">
        <v>10.45</v>
      </c>
      <c r="DM253" s="91" t="e">
        <v>#DIV/0!</v>
      </c>
      <c r="DN253" s="91"/>
      <c r="DO253" s="91"/>
      <c r="DP253" s="91"/>
      <c r="DR253" s="134" t="s">
        <v>5</v>
      </c>
      <c r="DS253" s="91">
        <f>AVERAGE(DS$204:DS205)</f>
        <v>14.76</v>
      </c>
      <c r="DT253" s="91">
        <v>14.774999999999999</v>
      </c>
      <c r="DU253" s="91" t="e">
        <v>#DIV/0!</v>
      </c>
      <c r="DV253" s="91"/>
      <c r="DW253" s="91"/>
      <c r="DX253" s="91"/>
      <c r="DZ253" s="134" t="s">
        <v>5</v>
      </c>
      <c r="EA253" s="91">
        <f>AVERAGE(EA$204:EA205)</f>
        <v>16.22</v>
      </c>
      <c r="EB253" s="91" t="e">
        <v>#DIV/0!</v>
      </c>
      <c r="EC253" s="91" t="e">
        <v>#DIV/0!</v>
      </c>
      <c r="ED253" s="91"/>
      <c r="EE253" s="91"/>
      <c r="EF253" s="91"/>
    </row>
    <row r="254" spans="1:136" s="90" customFormat="1" x14ac:dyDescent="0.2">
      <c r="A254" s="292"/>
      <c r="B254" s="134" t="s">
        <v>7</v>
      </c>
      <c r="C254" s="91">
        <f>AVERAGE(C$204:C206)</f>
        <v>13.487142857142855</v>
      </c>
      <c r="D254" s="91">
        <f>AVERAGE(D$204:D206)</f>
        <v>17.075666666666667</v>
      </c>
      <c r="E254" s="91">
        <f>AVERAGE(E$204:E206)</f>
        <v>17.151</v>
      </c>
      <c r="F254" s="91">
        <f>AVERAGE(F$204:F206)</f>
        <v>17.601666666666663</v>
      </c>
      <c r="G254" s="91">
        <f>AVERAGE(G$204:G206)</f>
        <v>8.2741666666666678</v>
      </c>
      <c r="H254" s="91">
        <f>AVERAGE(H$204:H206)</f>
        <v>12.261666666666668</v>
      </c>
      <c r="I254" s="91"/>
      <c r="J254" s="134" t="s">
        <v>7</v>
      </c>
      <c r="K254" s="91">
        <f>AVERAGE(K$204:K206)</f>
        <v>15.88</v>
      </c>
      <c r="L254" s="91">
        <v>15.466666666666667</v>
      </c>
      <c r="M254" s="91">
        <v>15.693333333333333</v>
      </c>
      <c r="N254" s="91">
        <v>14.083333333333334</v>
      </c>
      <c r="O254" s="91">
        <v>6.2899999999999991</v>
      </c>
      <c r="P254" s="91">
        <v>13.223333333333334</v>
      </c>
      <c r="R254" s="134" t="s">
        <v>7</v>
      </c>
      <c r="S254" s="91">
        <f>AVERAGE(S$204:S206)</f>
        <v>15.34</v>
      </c>
      <c r="T254" s="91">
        <v>15.433333333333332</v>
      </c>
      <c r="U254" s="91">
        <v>14.723333333333334</v>
      </c>
      <c r="V254" s="91">
        <v>14.066666666666668</v>
      </c>
      <c r="W254" s="91">
        <v>7.7233333333333336</v>
      </c>
      <c r="X254" s="91">
        <v>12.636666666666665</v>
      </c>
      <c r="Z254" s="134" t="s">
        <v>7</v>
      </c>
      <c r="AA254" s="91">
        <f>AVERAGE(AA$204:AA206)</f>
        <v>13.27</v>
      </c>
      <c r="AB254" s="91">
        <v>14.046666666666667</v>
      </c>
      <c r="AC254" s="91">
        <v>13.56</v>
      </c>
      <c r="AD254" s="91">
        <v>11.99</v>
      </c>
      <c r="AE254" s="91">
        <v>6.0100000000000007</v>
      </c>
      <c r="AF254" s="91">
        <v>11.613333333333335</v>
      </c>
      <c r="AH254" s="134" t="s">
        <v>7</v>
      </c>
      <c r="AI254" s="91" t="e">
        <f>AVERAGE(AI$204:AI206)</f>
        <v>#DIV/0!</v>
      </c>
      <c r="AJ254" s="91">
        <v>16.323333333333334</v>
      </c>
      <c r="AK254" s="91">
        <v>16.059999999999999</v>
      </c>
      <c r="AL254" s="91">
        <v>14.423333333333332</v>
      </c>
      <c r="AM254" s="91">
        <v>4.24</v>
      </c>
      <c r="AN254" s="91">
        <v>12.576666666666666</v>
      </c>
      <c r="AP254" s="134" t="s">
        <v>7</v>
      </c>
      <c r="AQ254" s="91">
        <f>AVERAGE(AQ$204:AQ206)</f>
        <v>16.440000000000001</v>
      </c>
      <c r="AR254" s="91">
        <v>16.003333333333334</v>
      </c>
      <c r="AS254" s="91">
        <v>15.866666666666667</v>
      </c>
      <c r="AT254" s="91">
        <v>14.393333333333333</v>
      </c>
      <c r="AU254" s="91">
        <v>7.8900000000000006</v>
      </c>
      <c r="AV254" s="91" t="e">
        <v>#DIV/0!</v>
      </c>
      <c r="AX254" s="134" t="s">
        <v>7</v>
      </c>
      <c r="AY254" s="91" t="e">
        <f>AVERAGE(AY$204:AY206)</f>
        <v>#DIV/0!</v>
      </c>
      <c r="AZ254" s="91">
        <v>17.933333333333334</v>
      </c>
      <c r="BA254" s="91">
        <v>17.38</v>
      </c>
      <c r="BB254" s="91">
        <v>15.590000000000002</v>
      </c>
      <c r="BC254" s="91"/>
      <c r="BD254" s="91"/>
      <c r="BE254" s="91"/>
      <c r="BF254" s="134" t="s">
        <v>7</v>
      </c>
      <c r="BG254" s="91">
        <f>AVERAGE(BG$204:BG206)</f>
        <v>15.93</v>
      </c>
      <c r="BH254" s="91">
        <v>16.366666666666664</v>
      </c>
      <c r="BI254" s="91">
        <v>17.023333333333333</v>
      </c>
      <c r="BJ254" s="91"/>
      <c r="BK254" s="91"/>
      <c r="BL254" s="91"/>
      <c r="BM254" s="91"/>
      <c r="BN254" s="134" t="s">
        <v>7</v>
      </c>
      <c r="BO254" s="91">
        <f>AVERAGE(BO$204:BO206)</f>
        <v>12.74</v>
      </c>
      <c r="BP254" s="91">
        <v>13.743333333333332</v>
      </c>
      <c r="BQ254" s="91">
        <v>13.826666666666668</v>
      </c>
      <c r="BR254" s="91">
        <v>11.936666666666666</v>
      </c>
      <c r="BS254" s="91">
        <v>8.14</v>
      </c>
      <c r="BT254" s="91">
        <v>10.716666666666669</v>
      </c>
      <c r="BV254" s="134" t="s">
        <v>7</v>
      </c>
      <c r="BW254" s="91">
        <f>AVERAGE(BW$204:BW206)</f>
        <v>14.71</v>
      </c>
      <c r="BX254" s="91">
        <v>15.649999999999999</v>
      </c>
      <c r="BY254" s="91">
        <v>16.13</v>
      </c>
      <c r="BZ254" s="91">
        <v>15.183333333333332</v>
      </c>
      <c r="CA254" s="91">
        <v>10.526666666666666</v>
      </c>
      <c r="CB254" s="91">
        <v>12.833333333333334</v>
      </c>
      <c r="CC254" s="91"/>
      <c r="CD254" s="134" t="s">
        <v>7</v>
      </c>
      <c r="CE254" s="91">
        <f>AVERAGE(CE$204:CE206)</f>
        <v>13.1</v>
      </c>
      <c r="CF254" s="91">
        <v>14.253333333333332</v>
      </c>
      <c r="CG254" s="91">
        <v>14.333333333333334</v>
      </c>
      <c r="CH254" s="91">
        <v>13.473333333333334</v>
      </c>
      <c r="CI254" s="91">
        <v>8.5</v>
      </c>
      <c r="CJ254" s="91">
        <v>10.963333333333333</v>
      </c>
      <c r="CL254" s="134" t="s">
        <v>7</v>
      </c>
      <c r="CM254" s="91">
        <f>AVERAGE(CM$204:CM206)</f>
        <v>15.93</v>
      </c>
      <c r="CN254" s="91">
        <v>15.536666666666667</v>
      </c>
      <c r="CO254" s="91">
        <v>16.91333333333333</v>
      </c>
      <c r="CP254" s="91">
        <v>15.673333333333334</v>
      </c>
      <c r="CQ254" s="91">
        <v>6.8733333333333322</v>
      </c>
      <c r="CR254" s="91">
        <v>13.530000000000001</v>
      </c>
      <c r="CT254" s="134" t="s">
        <v>7</v>
      </c>
      <c r="CU254" s="91">
        <f>AVERAGE(CU$204:CU206)</f>
        <v>13.76</v>
      </c>
      <c r="CV254" s="91">
        <v>13.593333333333334</v>
      </c>
      <c r="CW254" s="91" t="e">
        <v>#DIV/0!</v>
      </c>
      <c r="CX254" s="91"/>
      <c r="CY254" s="91"/>
      <c r="CZ254" s="91"/>
      <c r="DB254" s="134" t="s">
        <v>7</v>
      </c>
      <c r="DC254" s="91">
        <f>AVERAGE(DC$204:DC206)</f>
        <v>16.71</v>
      </c>
      <c r="DD254" s="91">
        <v>16.713333333333335</v>
      </c>
      <c r="DE254" s="91" t="e">
        <v>#DIV/0!</v>
      </c>
      <c r="DF254" s="91"/>
      <c r="DG254" s="91"/>
      <c r="DH254" s="91"/>
      <c r="DI254" s="91"/>
      <c r="DJ254" s="134" t="s">
        <v>7</v>
      </c>
      <c r="DK254" s="91">
        <f>AVERAGE(DK$204:DK206)</f>
        <v>10.25</v>
      </c>
      <c r="DL254" s="91">
        <v>10.576666666666666</v>
      </c>
      <c r="DM254" s="91" t="e">
        <v>#DIV/0!</v>
      </c>
      <c r="DN254" s="91"/>
      <c r="DO254" s="91"/>
      <c r="DP254" s="91"/>
      <c r="DR254" s="134" t="s">
        <v>7</v>
      </c>
      <c r="DS254" s="91">
        <f>AVERAGE(DS$204:DS206)</f>
        <v>14.76</v>
      </c>
      <c r="DT254" s="91">
        <v>14.993333333333332</v>
      </c>
      <c r="DU254" s="91" t="e">
        <v>#DIV/0!</v>
      </c>
      <c r="DV254" s="91"/>
      <c r="DW254" s="91"/>
      <c r="DX254" s="91"/>
      <c r="DZ254" s="134" t="s">
        <v>7</v>
      </c>
      <c r="EA254" s="91">
        <f>AVERAGE(EA$204:EA206)</f>
        <v>16.22</v>
      </c>
      <c r="EB254" s="91" t="e">
        <v>#DIV/0!</v>
      </c>
      <c r="EC254" s="91" t="e">
        <v>#DIV/0!</v>
      </c>
      <c r="ED254" s="91"/>
      <c r="EE254" s="91"/>
      <c r="EF254" s="91"/>
    </row>
    <row r="255" spans="1:136" s="90" customFormat="1" x14ac:dyDescent="0.2">
      <c r="A255" s="292"/>
      <c r="B255" s="134" t="s">
        <v>9</v>
      </c>
      <c r="C255" s="91">
        <f>AVERAGE(C$204:C207)</f>
        <v>13.487142857142855</v>
      </c>
      <c r="D255" s="91">
        <f>AVERAGE(D$204:D207)</f>
        <v>17.158749999999998</v>
      </c>
      <c r="E255" s="91">
        <f>AVERAGE(E$204:E207)</f>
        <v>17.597250000000003</v>
      </c>
      <c r="F255" s="91">
        <f>AVERAGE(F$204:F207)</f>
        <v>18.043749999999999</v>
      </c>
      <c r="G255" s="91">
        <f>AVERAGE(G$204:G207)</f>
        <v>8.0737500000000004</v>
      </c>
      <c r="H255" s="91">
        <f>AVERAGE(H$204:H207)</f>
        <v>9.2246875312500016</v>
      </c>
      <c r="I255" s="91"/>
      <c r="J255" s="134" t="s">
        <v>9</v>
      </c>
      <c r="K255" s="91">
        <f>AVERAGE(K$204:K207)</f>
        <v>15.88</v>
      </c>
      <c r="L255" s="91">
        <v>15.387499999999999</v>
      </c>
      <c r="M255" s="91">
        <v>16.009999999999998</v>
      </c>
      <c r="N255" s="91">
        <v>14.4275</v>
      </c>
      <c r="O255" s="91">
        <v>5.8824999999999994</v>
      </c>
      <c r="P255" s="91">
        <v>9.9175002499999998</v>
      </c>
      <c r="R255" s="134" t="s">
        <v>9</v>
      </c>
      <c r="S255" s="91">
        <f>AVERAGE(S$204:S207)</f>
        <v>15.34</v>
      </c>
      <c r="T255" s="91">
        <v>15.579999999999998</v>
      </c>
      <c r="U255" s="91">
        <v>15.227499999999999</v>
      </c>
      <c r="V255" s="91">
        <v>14.465</v>
      </c>
      <c r="W255" s="91">
        <v>7.5425000000000004</v>
      </c>
      <c r="X255" s="91">
        <v>9.4774999999999991</v>
      </c>
      <c r="Z255" s="134" t="s">
        <v>9</v>
      </c>
      <c r="AA255" s="91">
        <f>AVERAGE(AA$204:AA207)</f>
        <v>13.27</v>
      </c>
      <c r="AB255" s="91">
        <v>14.0425</v>
      </c>
      <c r="AC255" s="91">
        <v>14.02</v>
      </c>
      <c r="AD255" s="91">
        <v>12.395</v>
      </c>
      <c r="AE255" s="91">
        <v>5.7575000000000003</v>
      </c>
      <c r="AF255" s="91">
        <v>8.7100000000000009</v>
      </c>
      <c r="AH255" s="134" t="s">
        <v>9</v>
      </c>
      <c r="AI255" s="91" t="e">
        <f>AVERAGE(AI$204:AI207)</f>
        <v>#DIV/0!</v>
      </c>
      <c r="AJ255" s="91">
        <v>16.350000000000001</v>
      </c>
      <c r="AK255" s="91">
        <v>16.357500000000002</v>
      </c>
      <c r="AL255" s="91">
        <v>14.805</v>
      </c>
      <c r="AM255" s="91">
        <v>4.165</v>
      </c>
      <c r="AN255" s="91">
        <v>9.4324999999999992</v>
      </c>
      <c r="AP255" s="134" t="s">
        <v>9</v>
      </c>
      <c r="AQ255" s="91">
        <f>AVERAGE(AQ$204:AQ207)</f>
        <v>16.440000000000001</v>
      </c>
      <c r="AR255" s="91">
        <v>15.942500000000001</v>
      </c>
      <c r="AS255" s="91">
        <v>16.065000000000001</v>
      </c>
      <c r="AT255" s="91">
        <v>14.6625</v>
      </c>
      <c r="AU255" s="91">
        <v>7.7525000000000004</v>
      </c>
      <c r="AV255" s="91" t="e">
        <v>#DIV/0!</v>
      </c>
      <c r="AX255" s="134" t="s">
        <v>9</v>
      </c>
      <c r="AY255" s="91" t="e">
        <f>AVERAGE(AY$204:AY207)</f>
        <v>#DIV/0!</v>
      </c>
      <c r="AZ255" s="91">
        <v>18.127499999999998</v>
      </c>
      <c r="BA255" s="91">
        <v>17.844999999999999</v>
      </c>
      <c r="BB255" s="91">
        <v>15.855</v>
      </c>
      <c r="BC255" s="91"/>
      <c r="BD255" s="91"/>
      <c r="BE255" s="91"/>
      <c r="BF255" s="134" t="s">
        <v>9</v>
      </c>
      <c r="BG255" s="91">
        <f>AVERAGE(BG$204:BG207)</f>
        <v>15.93</v>
      </c>
      <c r="BH255" s="91">
        <v>16.489999999999998</v>
      </c>
      <c r="BI255" s="91">
        <v>17.600000000000001</v>
      </c>
      <c r="BJ255" s="91"/>
      <c r="BK255" s="91"/>
      <c r="BL255" s="91"/>
      <c r="BM255" s="91"/>
      <c r="BN255" s="134" t="s">
        <v>9</v>
      </c>
      <c r="BO255" s="91">
        <f>AVERAGE(BO$204:BO207)</f>
        <v>12.74</v>
      </c>
      <c r="BP255" s="91">
        <v>13.785</v>
      </c>
      <c r="BQ255" s="91">
        <v>14.392500000000002</v>
      </c>
      <c r="BR255" s="91">
        <v>12.352499999999999</v>
      </c>
      <c r="BS255" s="91">
        <v>8.2200000000000006</v>
      </c>
      <c r="BT255" s="91">
        <v>8.0375000000000014</v>
      </c>
      <c r="BV255" s="134" t="s">
        <v>9</v>
      </c>
      <c r="BW255" s="91">
        <f>AVERAGE(BW$204:BW207)</f>
        <v>14.71</v>
      </c>
      <c r="BX255" s="91">
        <v>15.879999999999999</v>
      </c>
      <c r="BY255" s="91">
        <v>16.677500000000002</v>
      </c>
      <c r="BZ255" s="91">
        <v>15.737499999999999</v>
      </c>
      <c r="CA255" s="91">
        <v>10.5</v>
      </c>
      <c r="CB255" s="91">
        <v>9.625</v>
      </c>
      <c r="CC255" s="91"/>
      <c r="CD255" s="134" t="s">
        <v>9</v>
      </c>
      <c r="CE255" s="91">
        <f>AVERAGE(CE$204:CE207)</f>
        <v>13.1</v>
      </c>
      <c r="CF255" s="91">
        <v>14.422499999999999</v>
      </c>
      <c r="CG255" s="91">
        <v>14.685</v>
      </c>
      <c r="CH255" s="91">
        <v>13.7325</v>
      </c>
      <c r="CI255" s="91">
        <v>7.8525</v>
      </c>
      <c r="CJ255" s="91">
        <v>8.4499999999999993</v>
      </c>
      <c r="CL255" s="134" t="s">
        <v>9</v>
      </c>
      <c r="CM255" s="91">
        <f>AVERAGE(CM$204:CM207)</f>
        <v>15.93</v>
      </c>
      <c r="CN255" s="91">
        <v>15.58</v>
      </c>
      <c r="CO255" s="91">
        <v>17.092499999999998</v>
      </c>
      <c r="CP255" s="91">
        <v>15.9175</v>
      </c>
      <c r="CQ255" s="91">
        <v>6.9174999999999995</v>
      </c>
      <c r="CR255" s="91">
        <v>10.147500000000001</v>
      </c>
      <c r="CT255" s="134" t="s">
        <v>9</v>
      </c>
      <c r="CU255" s="91">
        <f>AVERAGE(CU$204:CU207)</f>
        <v>13.76</v>
      </c>
      <c r="CV255" s="91">
        <v>13.55</v>
      </c>
      <c r="CW255" s="91" t="e">
        <v>#DIV/0!</v>
      </c>
      <c r="CX255" s="91"/>
      <c r="CY255" s="91"/>
      <c r="CZ255" s="91"/>
      <c r="DB255" s="134" t="s">
        <v>9</v>
      </c>
      <c r="DC255" s="91">
        <f>AVERAGE(DC$204:DC207)</f>
        <v>16.71</v>
      </c>
      <c r="DD255" s="91">
        <v>16.677500000000002</v>
      </c>
      <c r="DE255" s="91" t="e">
        <v>#DIV/0!</v>
      </c>
      <c r="DF255" s="91"/>
      <c r="DG255" s="91"/>
      <c r="DH255" s="91"/>
      <c r="DI255" s="91"/>
      <c r="DJ255" s="134" t="s">
        <v>9</v>
      </c>
      <c r="DK255" s="91">
        <f>AVERAGE(DK$204:DK207)</f>
        <v>10.25</v>
      </c>
      <c r="DL255" s="91">
        <v>10.5375</v>
      </c>
      <c r="DM255" s="91" t="e">
        <v>#DIV/0!</v>
      </c>
      <c r="DN255" s="91"/>
      <c r="DO255" s="91"/>
      <c r="DP255" s="91"/>
      <c r="DR255" s="134" t="s">
        <v>9</v>
      </c>
      <c r="DS255" s="91">
        <f>AVERAGE(DS$204:DS207)</f>
        <v>14.76</v>
      </c>
      <c r="DT255" s="91">
        <v>14.907499999999999</v>
      </c>
      <c r="DU255" s="91" t="e">
        <v>#DIV/0!</v>
      </c>
      <c r="DV255" s="91"/>
      <c r="DW255" s="91"/>
      <c r="DX255" s="91"/>
      <c r="DZ255" s="134" t="s">
        <v>9</v>
      </c>
      <c r="EA255" s="91">
        <f>AVERAGE(EA$204:EA207)</f>
        <v>16.22</v>
      </c>
      <c r="EB255" s="91" t="e">
        <v>#DIV/0!</v>
      </c>
      <c r="EC255" s="91" t="e">
        <v>#DIV/0!</v>
      </c>
      <c r="ED255" s="91"/>
      <c r="EE255" s="91"/>
      <c r="EF255" s="91"/>
    </row>
    <row r="256" spans="1:136" s="90" customFormat="1" x14ac:dyDescent="0.2">
      <c r="A256" s="292"/>
      <c r="B256" s="134" t="s">
        <v>11</v>
      </c>
      <c r="C256" s="91">
        <f>AVERAGE(C$204:C208)</f>
        <v>13.487142857142855</v>
      </c>
      <c r="D256" s="91">
        <f>AVERAGE(D$204:D208)</f>
        <v>17.227799999999998</v>
      </c>
      <c r="E256" s="91">
        <f>AVERAGE(E$204:E208)</f>
        <v>17.7468</v>
      </c>
      <c r="F256" s="91">
        <f>AVERAGE(F$204:F208)</f>
        <v>18.170749999999998</v>
      </c>
      <c r="G256" s="91">
        <f>AVERAGE(G$204:G208)</f>
        <v>9.5972499999999989</v>
      </c>
      <c r="H256" s="91">
        <f>AVERAGE(H$204:H208)</f>
        <v>7.4140000500000012</v>
      </c>
      <c r="I256" s="91"/>
      <c r="J256" s="134" t="s">
        <v>11</v>
      </c>
      <c r="K256" s="91">
        <f>AVERAGE(K$204:K208)</f>
        <v>15.88</v>
      </c>
      <c r="L256" s="91">
        <v>15.463999999999999</v>
      </c>
      <c r="M256" s="91">
        <v>16.038</v>
      </c>
      <c r="N256" s="91">
        <v>14.468</v>
      </c>
      <c r="O256" s="91">
        <v>7.2859999999999996</v>
      </c>
      <c r="P256" s="91">
        <v>7.9340003999999995</v>
      </c>
      <c r="R256" s="134" t="s">
        <v>11</v>
      </c>
      <c r="S256" s="91">
        <f>AVERAGE(S$204:S208)</f>
        <v>15.34</v>
      </c>
      <c r="T256" s="91">
        <v>15.723999999999998</v>
      </c>
      <c r="U256" s="91">
        <v>15.424000000000001</v>
      </c>
      <c r="V256" s="91">
        <v>14.484</v>
      </c>
      <c r="W256" s="91">
        <v>8.8379999999999992</v>
      </c>
      <c r="X256" s="91">
        <v>7.581999999999999</v>
      </c>
      <c r="Z256" s="134" t="s">
        <v>11</v>
      </c>
      <c r="AA256" s="91">
        <f>AVERAGE(AA$204:AA208)</f>
        <v>13.27</v>
      </c>
      <c r="AB256" s="91">
        <v>13.922000000000001</v>
      </c>
      <c r="AC256" s="91">
        <v>13.928000000000001</v>
      </c>
      <c r="AD256" s="91">
        <v>12.423999999999999</v>
      </c>
      <c r="AE256" s="91">
        <v>6.68</v>
      </c>
      <c r="AF256" s="91">
        <v>6.9680000000000009</v>
      </c>
      <c r="AH256" s="134" t="s">
        <v>11</v>
      </c>
      <c r="AI256" s="91" t="e">
        <f>AVERAGE(AI$204:AI208)</f>
        <v>#DIV/0!</v>
      </c>
      <c r="AJ256" s="91">
        <v>16.442</v>
      </c>
      <c r="AK256" s="91">
        <v>16.396000000000001</v>
      </c>
      <c r="AL256" s="91">
        <v>14.851999999999999</v>
      </c>
      <c r="AM256" s="91">
        <v>5.8959999999999999</v>
      </c>
      <c r="AN256" s="91">
        <v>7.5459999999999994</v>
      </c>
      <c r="AP256" s="134" t="s">
        <v>11</v>
      </c>
      <c r="AQ256" s="91">
        <f>AVERAGE(AQ$204:AQ208)</f>
        <v>16.440000000000001</v>
      </c>
      <c r="AR256" s="91">
        <v>15.928000000000001</v>
      </c>
      <c r="AS256" s="91">
        <v>16.124000000000002</v>
      </c>
      <c r="AT256" s="91">
        <v>14.7</v>
      </c>
      <c r="AU256" s="91">
        <v>9.0120000000000005</v>
      </c>
      <c r="AV256" s="91" t="e">
        <v>#DIV/0!</v>
      </c>
      <c r="AX256" s="134" t="s">
        <v>11</v>
      </c>
      <c r="AY256" s="91" t="e">
        <f>AVERAGE(AY$204:AY208)</f>
        <v>#DIV/0!</v>
      </c>
      <c r="AZ256" s="91">
        <v>18.127999999999997</v>
      </c>
      <c r="BA256" s="91">
        <v>18.148</v>
      </c>
      <c r="BB256" s="91">
        <v>16.124000000000002</v>
      </c>
      <c r="BC256" s="91"/>
      <c r="BD256" s="91"/>
      <c r="BE256" s="91"/>
      <c r="BF256" s="134" t="s">
        <v>11</v>
      </c>
      <c r="BG256" s="91">
        <f>AVERAGE(BG$204:BG208)</f>
        <v>15.93</v>
      </c>
      <c r="BH256" s="91">
        <v>16.667999999999999</v>
      </c>
      <c r="BI256" s="91">
        <v>17.806000000000001</v>
      </c>
      <c r="BJ256" s="91"/>
      <c r="BK256" s="91"/>
      <c r="BL256" s="91"/>
      <c r="BM256" s="91"/>
      <c r="BN256" s="134" t="s">
        <v>11</v>
      </c>
      <c r="BO256" s="91">
        <f>AVERAGE(BO$204:BO208)</f>
        <v>12.74</v>
      </c>
      <c r="BP256" s="91">
        <v>13.813999999999998</v>
      </c>
      <c r="BQ256" s="91">
        <v>14.452000000000002</v>
      </c>
      <c r="BR256" s="91">
        <v>12.481999999999999</v>
      </c>
      <c r="BS256" s="91">
        <v>9.2560000000000002</v>
      </c>
      <c r="BT256" s="91">
        <v>6.4300000000000015</v>
      </c>
      <c r="BV256" s="134" t="s">
        <v>11</v>
      </c>
      <c r="BW256" s="91">
        <f>AVERAGE(BW$204:BW208)</f>
        <v>14.71</v>
      </c>
      <c r="BX256" s="91">
        <v>16.076000000000001</v>
      </c>
      <c r="BY256" s="91">
        <v>17.006</v>
      </c>
      <c r="BZ256" s="91">
        <v>16.007999999999999</v>
      </c>
      <c r="CA256" s="91">
        <v>11.821999999999999</v>
      </c>
      <c r="CB256" s="91">
        <v>7.8360000000000003</v>
      </c>
      <c r="CC256" s="91"/>
      <c r="CD256" s="134" t="s">
        <v>11</v>
      </c>
      <c r="CE256" s="91">
        <f>AVERAGE(CE$204:CE208)</f>
        <v>13.1</v>
      </c>
      <c r="CF256" s="91">
        <v>14.5</v>
      </c>
      <c r="CG256" s="91">
        <v>14.975999999999999</v>
      </c>
      <c r="CH256" s="91">
        <v>13.857999999999999</v>
      </c>
      <c r="CI256" s="91">
        <v>9.3339999999999996</v>
      </c>
      <c r="CJ256" s="91">
        <v>6.8979999999999988</v>
      </c>
      <c r="CL256" s="134" t="s">
        <v>11</v>
      </c>
      <c r="CM256" s="91">
        <f>AVERAGE(CM$204:CM208)</f>
        <v>15.93</v>
      </c>
      <c r="CN256" s="91">
        <v>15.612</v>
      </c>
      <c r="CO256" s="91">
        <v>17.169999999999998</v>
      </c>
      <c r="CP256" s="91">
        <v>15.965999999999999</v>
      </c>
      <c r="CQ256" s="91">
        <v>8.6539999999999999</v>
      </c>
      <c r="CR256" s="91">
        <v>8.1180000000000003</v>
      </c>
      <c r="CT256" s="134" t="s">
        <v>11</v>
      </c>
      <c r="CU256" s="91">
        <f>AVERAGE(CU$204:CU208)</f>
        <v>13.76</v>
      </c>
      <c r="CV256" s="91">
        <v>13.568000000000001</v>
      </c>
      <c r="CW256" s="91" t="e">
        <v>#DIV/0!</v>
      </c>
      <c r="CX256" s="91"/>
      <c r="CY256" s="91"/>
      <c r="CZ256" s="91"/>
      <c r="DB256" s="134" t="s">
        <v>11</v>
      </c>
      <c r="DC256" s="91">
        <f>AVERAGE(DC$204:DC208)</f>
        <v>16.71</v>
      </c>
      <c r="DD256" s="91">
        <v>16.686</v>
      </c>
      <c r="DE256" s="91" t="e">
        <v>#DIV/0!</v>
      </c>
      <c r="DF256" s="91"/>
      <c r="DG256" s="91"/>
      <c r="DH256" s="91"/>
      <c r="DI256" s="91"/>
      <c r="DJ256" s="134" t="s">
        <v>11</v>
      </c>
      <c r="DK256" s="91">
        <f>AVERAGE(DK$204:DK208)</f>
        <v>10.25</v>
      </c>
      <c r="DL256" s="91">
        <v>10.517999999999999</v>
      </c>
      <c r="DM256" s="91" t="e">
        <v>#DIV/0!</v>
      </c>
      <c r="DN256" s="91"/>
      <c r="DO256" s="91"/>
      <c r="DP256" s="91"/>
      <c r="DR256" s="134" t="s">
        <v>11</v>
      </c>
      <c r="DS256" s="91">
        <f>AVERAGE(DS$204:DS208)</f>
        <v>14.76</v>
      </c>
      <c r="DT256" s="91">
        <v>14.879999999999999</v>
      </c>
      <c r="DU256" s="91" t="e">
        <v>#DIV/0!</v>
      </c>
      <c r="DV256" s="91"/>
      <c r="DW256" s="91"/>
      <c r="DX256" s="91"/>
      <c r="DZ256" s="134" t="s">
        <v>11</v>
      </c>
      <c r="EA256" s="91">
        <f>AVERAGE(EA$204:EA208)</f>
        <v>16.22</v>
      </c>
      <c r="EB256" s="91" t="e">
        <v>#DIV/0!</v>
      </c>
      <c r="EC256" s="91" t="e">
        <v>#DIV/0!</v>
      </c>
      <c r="ED256" s="91"/>
      <c r="EE256" s="91"/>
      <c r="EF256" s="91"/>
    </row>
    <row r="257" spans="1:136" s="90" customFormat="1" x14ac:dyDescent="0.2">
      <c r="A257" s="292"/>
      <c r="B257" s="134" t="s">
        <v>0</v>
      </c>
      <c r="C257" s="91">
        <f>AVERAGE(C$204:C209)</f>
        <v>13.487142857142855</v>
      </c>
      <c r="D257" s="91">
        <f>AVERAGE(D$204:D209)</f>
        <v>17.206</v>
      </c>
      <c r="E257" s="91">
        <f>AVERAGE(E$204:E209)</f>
        <v>17.724166666666665</v>
      </c>
      <c r="F257" s="91">
        <f>AVERAGE(F$204:F209)</f>
        <v>18.226874999999996</v>
      </c>
      <c r="G257" s="91">
        <f>AVERAGE(G$204:G209)</f>
        <v>10.647708333333332</v>
      </c>
      <c r="H257" s="91">
        <f>AVERAGE(H$204:H209)</f>
        <v>8.3627083750000022</v>
      </c>
      <c r="I257" s="91"/>
      <c r="J257" s="134" t="s">
        <v>0</v>
      </c>
      <c r="K257" s="91">
        <f>AVERAGE(K$204:K209)</f>
        <v>15.88</v>
      </c>
      <c r="L257" s="91">
        <v>15.491666666666665</v>
      </c>
      <c r="M257" s="91">
        <v>15.963333333333333</v>
      </c>
      <c r="N257" s="91">
        <v>14.506666666666668</v>
      </c>
      <c r="O257" s="91">
        <v>8.3183333333333334</v>
      </c>
      <c r="P257" s="91">
        <v>8.7683336666666651</v>
      </c>
      <c r="R257" s="134" t="s">
        <v>0</v>
      </c>
      <c r="S257" s="91">
        <f>AVERAGE(S$204:S209)</f>
        <v>15.34</v>
      </c>
      <c r="T257" s="91">
        <v>15.648333333333332</v>
      </c>
      <c r="U257" s="91">
        <v>15.471666666666669</v>
      </c>
      <c r="V257" s="91">
        <v>14.501666666666667</v>
      </c>
      <c r="W257" s="91">
        <v>9.6733333333333338</v>
      </c>
      <c r="X257" s="91">
        <v>8.5216666666666665</v>
      </c>
      <c r="Z257" s="134" t="s">
        <v>0</v>
      </c>
      <c r="AA257" s="91">
        <f>AVERAGE(AA$204:AA209)</f>
        <v>13.27</v>
      </c>
      <c r="AB257" s="91">
        <v>13.868333333333332</v>
      </c>
      <c r="AC257" s="91">
        <v>13.953333333333333</v>
      </c>
      <c r="AD257" s="91">
        <v>12.421666666666667</v>
      </c>
      <c r="AE257" s="91">
        <v>7.5666666666666664</v>
      </c>
      <c r="AF257" s="91">
        <v>7.6833333333333336</v>
      </c>
      <c r="AH257" s="134" t="s">
        <v>0</v>
      </c>
      <c r="AI257" s="91" t="e">
        <f>AVERAGE(AI$204:AI209)</f>
        <v>#DIV/0!</v>
      </c>
      <c r="AJ257" s="91">
        <v>16.39</v>
      </c>
      <c r="AK257" s="91">
        <v>16.328333333333333</v>
      </c>
      <c r="AL257" s="91">
        <v>14.87</v>
      </c>
      <c r="AM257" s="91">
        <v>7.2450000000000001</v>
      </c>
      <c r="AN257" s="91">
        <v>8.4749999999999996</v>
      </c>
      <c r="AP257" s="134" t="s">
        <v>0</v>
      </c>
      <c r="AQ257" s="91">
        <f>AVERAGE(AQ$204:AQ209)</f>
        <v>16.440000000000001</v>
      </c>
      <c r="AR257" s="91">
        <v>15.924999999999999</v>
      </c>
      <c r="AS257" s="91">
        <v>16.043333333333333</v>
      </c>
      <c r="AT257" s="91">
        <v>14.67</v>
      </c>
      <c r="AU257" s="91">
        <v>9.9383333333333344</v>
      </c>
      <c r="AV257" s="91" t="e">
        <v>#DIV/0!</v>
      </c>
      <c r="AX257" s="134" t="s">
        <v>0</v>
      </c>
      <c r="AY257" s="91" t="e">
        <f>AVERAGE(AY$204:AY209)</f>
        <v>#DIV/0!</v>
      </c>
      <c r="AZ257" s="91">
        <v>18.033333333333331</v>
      </c>
      <c r="BA257" s="91">
        <v>18.133333333333333</v>
      </c>
      <c r="BB257" s="91">
        <v>16.238333333333333</v>
      </c>
      <c r="BC257" s="91"/>
      <c r="BD257" s="91"/>
      <c r="BE257" s="91"/>
      <c r="BF257" s="134" t="s">
        <v>0</v>
      </c>
      <c r="BG257" s="91">
        <f>AVERAGE(BG$204:BG209)</f>
        <v>15.93</v>
      </c>
      <c r="BH257" s="91">
        <v>16.611666666666665</v>
      </c>
      <c r="BI257" s="91">
        <v>17.693333333333332</v>
      </c>
      <c r="BJ257" s="91"/>
      <c r="BK257" s="91"/>
      <c r="BL257" s="91"/>
      <c r="BM257" s="91"/>
      <c r="BN257" s="134" t="s">
        <v>0</v>
      </c>
      <c r="BO257" s="91">
        <f>AVERAGE(BO$204:BO209)</f>
        <v>12.74</v>
      </c>
      <c r="BP257" s="91">
        <v>13.926666666666664</v>
      </c>
      <c r="BQ257" s="91">
        <v>14.535000000000002</v>
      </c>
      <c r="BR257" s="91">
        <v>12.741666666666665</v>
      </c>
      <c r="BS257" s="91">
        <v>10.078333333333333</v>
      </c>
      <c r="BT257" s="91">
        <v>7.5600000000000014</v>
      </c>
      <c r="BV257" s="134" t="s">
        <v>0</v>
      </c>
      <c r="BW257" s="91">
        <f>AVERAGE(BW$204:BW209)</f>
        <v>14.71</v>
      </c>
      <c r="BX257" s="91">
        <v>16.016666666666666</v>
      </c>
      <c r="BY257" s="91">
        <v>16.984999999999999</v>
      </c>
      <c r="BZ257" s="91">
        <v>16.028333333333332</v>
      </c>
      <c r="CA257" s="91">
        <v>12.49</v>
      </c>
      <c r="CB257" s="91">
        <v>8.8566666666666674</v>
      </c>
      <c r="CC257" s="91"/>
      <c r="CD257" s="134" t="s">
        <v>0</v>
      </c>
      <c r="CE257" s="91">
        <f>AVERAGE(CE$204:CE209)</f>
        <v>13.1</v>
      </c>
      <c r="CF257" s="91">
        <v>14.478333333333333</v>
      </c>
      <c r="CG257" s="91">
        <v>14.966666666666667</v>
      </c>
      <c r="CH257" s="91">
        <v>13.865</v>
      </c>
      <c r="CI257" s="91">
        <v>10.103333333333333</v>
      </c>
      <c r="CJ257" s="91">
        <v>7.878333333333333</v>
      </c>
      <c r="CL257" s="134" t="s">
        <v>0</v>
      </c>
      <c r="CM257" s="91">
        <f>AVERAGE(CM$204:CM209)</f>
        <v>15.93</v>
      </c>
      <c r="CN257" s="91">
        <v>15.670000000000002</v>
      </c>
      <c r="CO257" s="91">
        <v>17.168333333333333</v>
      </c>
      <c r="CP257" s="91">
        <v>15.971666666666666</v>
      </c>
      <c r="CQ257" s="91">
        <v>9.7683333333333326</v>
      </c>
      <c r="CR257" s="91">
        <v>9.1583333333333332</v>
      </c>
      <c r="CT257" s="134" t="s">
        <v>0</v>
      </c>
      <c r="CU257" s="91">
        <f>AVERAGE(CU$204:CU209)</f>
        <v>13.76</v>
      </c>
      <c r="CV257" s="91">
        <v>13.593333333333334</v>
      </c>
      <c r="CW257" s="91" t="e">
        <v>#DIV/0!</v>
      </c>
      <c r="CX257" s="91"/>
      <c r="CY257" s="91"/>
      <c r="CZ257" s="91"/>
      <c r="DB257" s="134" t="s">
        <v>0</v>
      </c>
      <c r="DC257" s="91">
        <f>AVERAGE(DC$204:DC209)</f>
        <v>16.71</v>
      </c>
      <c r="DD257" s="91">
        <v>16.651666666666667</v>
      </c>
      <c r="DE257" s="91" t="e">
        <v>#DIV/0!</v>
      </c>
      <c r="DF257" s="91"/>
      <c r="DG257" s="91"/>
      <c r="DH257" s="91"/>
      <c r="DI257" s="91"/>
      <c r="DJ257" s="134" t="s">
        <v>0</v>
      </c>
      <c r="DK257" s="91">
        <f>AVERAGE(DK$204:DK209)</f>
        <v>10.25</v>
      </c>
      <c r="DL257" s="91">
        <v>10.52</v>
      </c>
      <c r="DM257" s="91" t="e">
        <v>#DIV/0!</v>
      </c>
      <c r="DN257" s="91"/>
      <c r="DO257" s="91"/>
      <c r="DP257" s="91"/>
      <c r="DR257" s="134" t="s">
        <v>0</v>
      </c>
      <c r="DS257" s="91">
        <f>AVERAGE(DS$204:DS209)</f>
        <v>14.76</v>
      </c>
      <c r="DT257" s="91">
        <v>14.846666666666664</v>
      </c>
      <c r="DU257" s="91" t="e">
        <v>#DIV/0!</v>
      </c>
      <c r="DV257" s="91"/>
      <c r="DW257" s="91"/>
      <c r="DX257" s="91"/>
      <c r="DZ257" s="134" t="s">
        <v>0</v>
      </c>
      <c r="EA257" s="91">
        <f>AVERAGE(EA$204:EA209)</f>
        <v>16.22</v>
      </c>
      <c r="EB257" s="91" t="e">
        <v>#DIV/0!</v>
      </c>
      <c r="EC257" s="91" t="e">
        <v>#DIV/0!</v>
      </c>
      <c r="ED257" s="91"/>
      <c r="EE257" s="91"/>
      <c r="EF257" s="91"/>
    </row>
    <row r="258" spans="1:136" s="90" customFormat="1" x14ac:dyDescent="0.2">
      <c r="A258" s="292"/>
      <c r="B258" s="134" t="s">
        <v>1</v>
      </c>
      <c r="C258" s="91">
        <f>AVERAGE(C$204:C210)</f>
        <v>13.487142857142855</v>
      </c>
      <c r="D258" s="91">
        <f>AVERAGE(D$204:D210)</f>
        <v>17.426142857142857</v>
      </c>
      <c r="E258" s="91">
        <f>AVERAGE(E$204:E210)</f>
        <v>18.035571428571426</v>
      </c>
      <c r="F258" s="91">
        <f>AVERAGE(F$204:F210)</f>
        <v>18.533214285714283</v>
      </c>
      <c r="G258" s="91">
        <f>AVERAGE(G$204:G210)</f>
        <v>11.981607142857143</v>
      </c>
      <c r="H258" s="91">
        <f>AVERAGE(H$204:H210)</f>
        <v>9.2600000357142864</v>
      </c>
      <c r="I258" s="91"/>
      <c r="J258" s="134" t="s">
        <v>1</v>
      </c>
      <c r="K258" s="91">
        <f>AVERAGE(K$204:K210)</f>
        <v>15.88</v>
      </c>
      <c r="L258" s="91">
        <v>15.618571428571427</v>
      </c>
      <c r="M258" s="91">
        <v>16.078571428571429</v>
      </c>
      <c r="N258" s="91">
        <v>14.670000000000002</v>
      </c>
      <c r="O258" s="91">
        <v>9.3114285714285696</v>
      </c>
      <c r="P258" s="91">
        <v>9.524286</v>
      </c>
      <c r="R258" s="134" t="s">
        <v>1</v>
      </c>
      <c r="S258" s="91">
        <f>AVERAGE(S$204:S210)</f>
        <v>15.34</v>
      </c>
      <c r="T258" s="91">
        <v>15.779999999999998</v>
      </c>
      <c r="U258" s="91">
        <v>15.811428571428573</v>
      </c>
      <c r="V258" s="91">
        <v>14.667142857142858</v>
      </c>
      <c r="W258" s="91">
        <v>10.6</v>
      </c>
      <c r="X258" s="91">
        <v>9.4314285714285706</v>
      </c>
      <c r="Z258" s="134" t="s">
        <v>1</v>
      </c>
      <c r="AA258" s="91">
        <f>AVERAGE(AA$204:AA210)</f>
        <v>13.27</v>
      </c>
      <c r="AB258" s="91">
        <v>14.008571428571427</v>
      </c>
      <c r="AC258" s="91">
        <v>14.134285714285713</v>
      </c>
      <c r="AD258" s="91">
        <v>12.647142857142857</v>
      </c>
      <c r="AE258" s="91">
        <v>8.3171428571428567</v>
      </c>
      <c r="AF258" s="91">
        <v>8.3371428571428563</v>
      </c>
      <c r="AH258" s="134" t="s">
        <v>1</v>
      </c>
      <c r="AI258" s="91" t="e">
        <f>AVERAGE(AI$204:AI210)</f>
        <v>#DIV/0!</v>
      </c>
      <c r="AJ258" s="91">
        <v>16.481428571428573</v>
      </c>
      <c r="AK258" s="91">
        <v>16.507142857142856</v>
      </c>
      <c r="AL258" s="91">
        <v>14.988571428571429</v>
      </c>
      <c r="AM258" s="91">
        <v>8.3714285714285719</v>
      </c>
      <c r="AN258" s="91">
        <v>9.1685714285714273</v>
      </c>
      <c r="AP258" s="134" t="s">
        <v>1</v>
      </c>
      <c r="AQ258" s="91">
        <f>AVERAGE(AQ$204:AQ210)</f>
        <v>16.440000000000001</v>
      </c>
      <c r="AR258" s="91">
        <v>16.09</v>
      </c>
      <c r="AS258" s="91">
        <v>16.25714285714286</v>
      </c>
      <c r="AT258" s="91">
        <v>14.784285714285714</v>
      </c>
      <c r="AU258" s="91">
        <v>10.794285714285715</v>
      </c>
      <c r="AV258" s="91" t="e">
        <v>#DIV/0!</v>
      </c>
      <c r="AX258" s="134" t="s">
        <v>1</v>
      </c>
      <c r="AY258" s="91" t="e">
        <f>AVERAGE(AY$204:AY210)</f>
        <v>#DIV/0!</v>
      </c>
      <c r="AZ258" s="91">
        <v>18.205714285714283</v>
      </c>
      <c r="BA258" s="91">
        <v>18.417142857142856</v>
      </c>
      <c r="BB258" s="91">
        <v>16.501428571428573</v>
      </c>
      <c r="BC258" s="91">
        <v>18.190000000000001</v>
      </c>
      <c r="BD258" s="91"/>
      <c r="BE258" s="91"/>
      <c r="BF258" s="134" t="s">
        <v>1</v>
      </c>
      <c r="BG258" s="91">
        <f>AVERAGE(BG$204:BG210)</f>
        <v>15.93</v>
      </c>
      <c r="BH258" s="91">
        <v>16.884285714285713</v>
      </c>
      <c r="BI258" s="91">
        <v>18.04</v>
      </c>
      <c r="BJ258" s="91"/>
      <c r="BK258" s="91"/>
      <c r="BL258" s="91"/>
      <c r="BM258" s="91"/>
      <c r="BN258" s="134" t="s">
        <v>1</v>
      </c>
      <c r="BO258" s="91">
        <f>AVERAGE(BO$204:BO210)</f>
        <v>12.74</v>
      </c>
      <c r="BP258" s="91">
        <v>14.318571428571428</v>
      </c>
      <c r="BQ258" s="91">
        <v>14.930000000000001</v>
      </c>
      <c r="BR258" s="91">
        <v>13.212857142857141</v>
      </c>
      <c r="BS258" s="91">
        <v>10.945714285714287</v>
      </c>
      <c r="BT258" s="91">
        <v>8.6457142857142877</v>
      </c>
      <c r="BV258" s="134" t="s">
        <v>1</v>
      </c>
      <c r="BW258" s="91">
        <f>AVERAGE(BW$204:BW210)</f>
        <v>14.71</v>
      </c>
      <c r="BX258" s="91">
        <v>16.387142857142855</v>
      </c>
      <c r="BY258" s="91">
        <v>17.432857142857141</v>
      </c>
      <c r="BZ258" s="91">
        <v>16.412857142857142</v>
      </c>
      <c r="CA258" s="91">
        <v>13.231428571428571</v>
      </c>
      <c r="CB258" s="91">
        <v>10.022857142857143</v>
      </c>
      <c r="CC258" s="91"/>
      <c r="CD258" s="134" t="s">
        <v>1</v>
      </c>
      <c r="CE258" s="91">
        <f>AVERAGE(CE$204:CE210)</f>
        <v>13.1</v>
      </c>
      <c r="CF258" s="91">
        <v>14.697142857142859</v>
      </c>
      <c r="CG258" s="91">
        <v>15.315714285714284</v>
      </c>
      <c r="CH258" s="91">
        <v>14.228571428571428</v>
      </c>
      <c r="CI258" s="91">
        <v>10.848571428571429</v>
      </c>
      <c r="CJ258" s="91">
        <v>8.8157142857142841</v>
      </c>
      <c r="CL258" s="134" t="s">
        <v>1</v>
      </c>
      <c r="CM258" s="91">
        <f>AVERAGE(CM$204:CM210)</f>
        <v>15.93</v>
      </c>
      <c r="CN258" s="91">
        <v>15.790000000000003</v>
      </c>
      <c r="CO258" s="91">
        <v>17.431428571428572</v>
      </c>
      <c r="CP258" s="91">
        <v>16.15285714285714</v>
      </c>
      <c r="CQ258" s="91">
        <v>10.834285714285715</v>
      </c>
      <c r="CR258" s="91">
        <v>10.134285714285713</v>
      </c>
      <c r="CT258" s="134" t="s">
        <v>1</v>
      </c>
      <c r="CU258" s="91">
        <f>AVERAGE(CU$204:CU210)</f>
        <v>13.76</v>
      </c>
      <c r="CV258" s="91">
        <v>13.721428571428572</v>
      </c>
      <c r="CW258" s="91" t="e">
        <v>#DIV/0!</v>
      </c>
      <c r="CX258" s="91"/>
      <c r="CY258" s="91"/>
      <c r="CZ258" s="91"/>
      <c r="DB258" s="134" t="s">
        <v>1</v>
      </c>
      <c r="DC258" s="91">
        <f>AVERAGE(DC$204:DC210)</f>
        <v>16.71</v>
      </c>
      <c r="DD258" s="91">
        <v>16.687142857142856</v>
      </c>
      <c r="DE258" s="91" t="e">
        <v>#DIV/0!</v>
      </c>
      <c r="DF258" s="91"/>
      <c r="DG258" s="91"/>
      <c r="DH258" s="91"/>
      <c r="DI258" s="91"/>
      <c r="DJ258" s="134" t="s">
        <v>1</v>
      </c>
      <c r="DK258" s="91">
        <f>AVERAGE(DK$204:DK210)</f>
        <v>10.25</v>
      </c>
      <c r="DL258" s="91">
        <v>10.641428571428571</v>
      </c>
      <c r="DM258" s="91" t="e">
        <v>#DIV/0!</v>
      </c>
      <c r="DN258" s="91"/>
      <c r="DO258" s="91"/>
      <c r="DP258" s="91"/>
      <c r="DR258" s="134" t="s">
        <v>1</v>
      </c>
      <c r="DS258" s="91">
        <f>AVERAGE(DS$204:DS210)</f>
        <v>14.76</v>
      </c>
      <c r="DT258" s="91">
        <v>14.947142857142854</v>
      </c>
      <c r="DU258" s="91" t="e">
        <v>#DIV/0!</v>
      </c>
      <c r="DV258" s="91"/>
      <c r="DW258" s="91"/>
      <c r="DX258" s="91"/>
      <c r="DZ258" s="134" t="s">
        <v>1</v>
      </c>
      <c r="EA258" s="91">
        <f>AVERAGE(EA$204:EA210)</f>
        <v>16.22</v>
      </c>
      <c r="EB258" s="91" t="e">
        <v>#DIV/0!</v>
      </c>
      <c r="EC258" s="91" t="e">
        <v>#DIV/0!</v>
      </c>
      <c r="ED258" s="91"/>
      <c r="EE258" s="91"/>
      <c r="EF258" s="91"/>
    </row>
    <row r="259" spans="1:136" s="90" customFormat="1" x14ac:dyDescent="0.2">
      <c r="A259" s="292"/>
      <c r="B259" s="134" t="s">
        <v>3</v>
      </c>
      <c r="C259" s="91">
        <f>AVERAGE(C$204:C211)</f>
        <v>13.487142857142855</v>
      </c>
      <c r="D259" s="91">
        <f>AVERAGE(D$204:D211)</f>
        <v>17.729125</v>
      </c>
      <c r="E259" s="91">
        <f>AVERAGE(E$204:E211)</f>
        <v>18.3445</v>
      </c>
      <c r="F259" s="91">
        <f>AVERAGE(F$204:F211)</f>
        <v>18.848906249999999</v>
      </c>
      <c r="G259" s="91">
        <f>AVERAGE(G$204:G211)</f>
        <v>13.075625</v>
      </c>
      <c r="H259" s="91">
        <f>AVERAGE(H$204:H211)</f>
        <v>10.05218753125</v>
      </c>
      <c r="I259" s="91"/>
      <c r="J259" s="134" t="s">
        <v>3</v>
      </c>
      <c r="K259" s="91">
        <f>AVERAGE(K$204:K211)</f>
        <v>15.88</v>
      </c>
      <c r="L259" s="91">
        <v>15.828749999999998</v>
      </c>
      <c r="M259" s="91">
        <v>16.245000000000001</v>
      </c>
      <c r="N259" s="91">
        <v>14.826250000000002</v>
      </c>
      <c r="O259" s="91">
        <v>10.123749999999999</v>
      </c>
      <c r="P259" s="91">
        <v>10.18875025</v>
      </c>
      <c r="R259" s="134" t="s">
        <v>3</v>
      </c>
      <c r="S259" s="91">
        <f>AVERAGE(S$204:S211)</f>
        <v>15.34</v>
      </c>
      <c r="T259" s="91">
        <v>15.677499999999998</v>
      </c>
      <c r="U259" s="91">
        <v>16.17625</v>
      </c>
      <c r="V259" s="91">
        <v>14.905000000000001</v>
      </c>
      <c r="W259" s="91">
        <v>11.43</v>
      </c>
      <c r="X259" s="91">
        <v>10.24625</v>
      </c>
      <c r="Z259" s="134" t="s">
        <v>3</v>
      </c>
      <c r="AA259" s="91">
        <f>AVERAGE(AA$204:AA211)</f>
        <v>13.27</v>
      </c>
      <c r="AB259" s="91">
        <v>14.214999999999998</v>
      </c>
      <c r="AC259" s="91">
        <v>14.26125</v>
      </c>
      <c r="AD259" s="91">
        <v>12.842500000000001</v>
      </c>
      <c r="AE259" s="91">
        <v>8.9499999999999993</v>
      </c>
      <c r="AF259" s="91">
        <v>8.9774999999999991</v>
      </c>
      <c r="AH259" s="134" t="s">
        <v>3</v>
      </c>
      <c r="AI259" s="91" t="e">
        <f>AVERAGE(AI$204:AI211)</f>
        <v>#DIV/0!</v>
      </c>
      <c r="AJ259" s="91">
        <v>16.668749999999999</v>
      </c>
      <c r="AK259" s="91">
        <v>16.692499999999999</v>
      </c>
      <c r="AL259" s="91">
        <v>15.161250000000001</v>
      </c>
      <c r="AM259" s="91">
        <v>9.2937499999999993</v>
      </c>
      <c r="AN259" s="91">
        <v>9.8062499999999986</v>
      </c>
      <c r="AP259" s="134" t="s">
        <v>3</v>
      </c>
      <c r="AQ259" s="91">
        <f>AVERAGE(AQ$204:AQ211)</f>
        <v>16.440000000000001</v>
      </c>
      <c r="AR259" s="91">
        <v>16.366250000000001</v>
      </c>
      <c r="AS259" s="91">
        <v>16.443750000000001</v>
      </c>
      <c r="AT259" s="91">
        <v>14.997499999999999</v>
      </c>
      <c r="AU259" s="91">
        <v>11.526250000000001</v>
      </c>
      <c r="AV259" s="91" t="e">
        <v>#DIV/0!</v>
      </c>
      <c r="AX259" s="134" t="s">
        <v>3</v>
      </c>
      <c r="AY259" s="91" t="e">
        <f>AVERAGE(AY$204:AY211)</f>
        <v>#DIV/0!</v>
      </c>
      <c r="AZ259" s="91">
        <v>18.47</v>
      </c>
      <c r="BA259" s="91">
        <v>18.677499999999998</v>
      </c>
      <c r="BB259" s="91">
        <v>16.708750000000002</v>
      </c>
      <c r="BC259" s="91">
        <v>18.015000000000001</v>
      </c>
      <c r="BD259" s="91"/>
      <c r="BE259" s="91"/>
      <c r="BF259" s="134" t="s">
        <v>3</v>
      </c>
      <c r="BG259" s="91">
        <f>AVERAGE(BG$204:BG211)</f>
        <v>15.93</v>
      </c>
      <c r="BH259" s="91">
        <v>17.288749999999997</v>
      </c>
      <c r="BI259" s="91">
        <v>18.375</v>
      </c>
      <c r="BJ259" s="91"/>
      <c r="BK259" s="91"/>
      <c r="BL259" s="91"/>
      <c r="BM259" s="91"/>
      <c r="BN259" s="134" t="s">
        <v>3</v>
      </c>
      <c r="BO259" s="91">
        <f>AVERAGE(BO$204:BO211)</f>
        <v>12.74</v>
      </c>
      <c r="BP259" s="91">
        <v>14.732499999999998</v>
      </c>
      <c r="BQ259" s="91">
        <v>15.296250000000001</v>
      </c>
      <c r="BR259" s="91">
        <v>13.587499999999999</v>
      </c>
      <c r="BS259" s="91">
        <v>11.61875</v>
      </c>
      <c r="BT259" s="91">
        <v>9.5400000000000009</v>
      </c>
      <c r="BV259" s="134" t="s">
        <v>3</v>
      </c>
      <c r="BW259" s="91">
        <f>AVERAGE(BW$204:BW211)</f>
        <v>14.71</v>
      </c>
      <c r="BX259" s="91">
        <v>16.919999999999998</v>
      </c>
      <c r="BY259" s="91">
        <v>17.907499999999999</v>
      </c>
      <c r="BZ259" s="91">
        <v>16.764999999999997</v>
      </c>
      <c r="CA259" s="91">
        <v>13.93125</v>
      </c>
      <c r="CB259" s="91">
        <v>10.983750000000001</v>
      </c>
      <c r="CC259" s="91"/>
      <c r="CD259" s="134" t="s">
        <v>3</v>
      </c>
      <c r="CE259" s="91">
        <f>AVERAGE(CE$204:CE211)</f>
        <v>13.1</v>
      </c>
      <c r="CF259" s="91">
        <v>15.055000000000001</v>
      </c>
      <c r="CG259" s="91">
        <v>15.701249999999998</v>
      </c>
      <c r="CH259" s="91">
        <v>14.6175</v>
      </c>
      <c r="CI259" s="91">
        <v>11.5025</v>
      </c>
      <c r="CJ259" s="91">
        <v>9.6649999999999991</v>
      </c>
      <c r="CL259" s="134" t="s">
        <v>3</v>
      </c>
      <c r="CM259" s="91">
        <f>AVERAGE(CM$204:CM211)</f>
        <v>15.93</v>
      </c>
      <c r="CN259" s="91">
        <v>16.068750000000001</v>
      </c>
      <c r="CO259" s="91">
        <v>17.668749999999999</v>
      </c>
      <c r="CP259" s="91">
        <v>16.38</v>
      </c>
      <c r="CQ259" s="91">
        <v>11.725000000000001</v>
      </c>
      <c r="CR259" s="91">
        <v>11.01</v>
      </c>
      <c r="CT259" s="134" t="s">
        <v>3</v>
      </c>
      <c r="CU259" s="91">
        <f>AVERAGE(CU$204:CU211)</f>
        <v>13.76</v>
      </c>
      <c r="CV259" s="91">
        <v>13.9375</v>
      </c>
      <c r="CW259" s="91" t="e">
        <v>#DIV/0!</v>
      </c>
      <c r="CX259" s="91"/>
      <c r="CY259" s="91"/>
      <c r="CZ259" s="91"/>
      <c r="DB259" s="134" t="s">
        <v>3</v>
      </c>
      <c r="DC259" s="91">
        <f>AVERAGE(DC$204:DC211)</f>
        <v>16.71</v>
      </c>
      <c r="DD259" s="91">
        <v>16.829999999999998</v>
      </c>
      <c r="DE259" s="91" t="e">
        <v>#DIV/0!</v>
      </c>
      <c r="DF259" s="91"/>
      <c r="DG259" s="91"/>
      <c r="DH259" s="91"/>
      <c r="DI259" s="91"/>
      <c r="DJ259" s="134" t="s">
        <v>3</v>
      </c>
      <c r="DK259" s="91">
        <f>AVERAGE(DK$204:DK211)</f>
        <v>10.25</v>
      </c>
      <c r="DL259" s="91">
        <v>10.80125</v>
      </c>
      <c r="DM259" s="91" t="e">
        <v>#DIV/0!</v>
      </c>
      <c r="DN259" s="91"/>
      <c r="DO259" s="91"/>
      <c r="DP259" s="91"/>
      <c r="DR259" s="134" t="s">
        <v>3</v>
      </c>
      <c r="DS259" s="91">
        <f>AVERAGE(DS$204:DS211)</f>
        <v>14.76</v>
      </c>
      <c r="DT259" s="91">
        <v>15.141249999999998</v>
      </c>
      <c r="DU259" s="91" t="e">
        <v>#DIV/0!</v>
      </c>
      <c r="DV259" s="91"/>
      <c r="DW259" s="91"/>
      <c r="DX259" s="91"/>
      <c r="DZ259" s="134" t="s">
        <v>3</v>
      </c>
      <c r="EA259" s="91">
        <f>AVERAGE(EA$204:EA211)</f>
        <v>16.22</v>
      </c>
      <c r="EB259" s="91">
        <v>19.41</v>
      </c>
      <c r="EC259" s="91" t="e">
        <v>#DIV/0!</v>
      </c>
      <c r="ED259" s="91"/>
      <c r="EE259" s="91"/>
      <c r="EF259" s="91"/>
    </row>
    <row r="260" spans="1:136" s="90" customFormat="1" x14ac:dyDescent="0.2">
      <c r="A260" s="292"/>
      <c r="B260" s="134" t="s">
        <v>71</v>
      </c>
      <c r="C260" s="91">
        <f>AVERAGE(C$204:C212)</f>
        <v>13.487142857142855</v>
      </c>
      <c r="D260" s="91">
        <f>AVERAGE(D$204:D212)</f>
        <v>17.623555555555555</v>
      </c>
      <c r="E260" s="91">
        <f>AVERAGE(E$204:E212)</f>
        <v>18.271111111111111</v>
      </c>
      <c r="F260" s="91">
        <f>AVERAGE(F$204:F212)</f>
        <v>18.741805555555555</v>
      </c>
      <c r="G260" s="91">
        <f>AVERAGE(G$204:G212)</f>
        <v>13.55875</v>
      </c>
      <c r="H260" s="91">
        <f>AVERAGE(H$204:H212)</f>
        <v>10.321805583333335</v>
      </c>
      <c r="I260" s="91"/>
      <c r="J260" s="134" t="s">
        <v>71</v>
      </c>
      <c r="K260" s="91">
        <f>AVERAGE(K$204:K212)</f>
        <v>15.88</v>
      </c>
      <c r="L260" s="91">
        <v>15.781111111111109</v>
      </c>
      <c r="M260" s="91">
        <v>16.178888888888892</v>
      </c>
      <c r="N260" s="91">
        <v>14.712222222222225</v>
      </c>
      <c r="O260" s="91">
        <v>10.52222222222222</v>
      </c>
      <c r="P260" s="91">
        <v>10.467778000000001</v>
      </c>
      <c r="R260" s="134" t="s">
        <v>71</v>
      </c>
      <c r="S260" s="91">
        <f>AVERAGE(S$204:S212)</f>
        <v>15.34</v>
      </c>
      <c r="T260" s="91">
        <v>15.597777777777777</v>
      </c>
      <c r="U260" s="91">
        <v>16.094444444444445</v>
      </c>
      <c r="V260" s="91">
        <v>14.823333333333332</v>
      </c>
      <c r="W260" s="91">
        <v>11.746666666666666</v>
      </c>
      <c r="X260" s="91">
        <v>10.538888888888888</v>
      </c>
      <c r="Z260" s="134" t="s">
        <v>71</v>
      </c>
      <c r="AA260" s="91">
        <f>AVERAGE(AA$204:AA212)</f>
        <v>13.27</v>
      </c>
      <c r="AB260" s="91">
        <v>14.108888888888888</v>
      </c>
      <c r="AC260" s="91">
        <v>14.192222222222222</v>
      </c>
      <c r="AD260" s="91">
        <v>12.784444444444444</v>
      </c>
      <c r="AE260" s="91">
        <v>9.3077777777777779</v>
      </c>
      <c r="AF260" s="91">
        <v>9.2477777777777774</v>
      </c>
      <c r="AH260" s="134" t="s">
        <v>71</v>
      </c>
      <c r="AI260" s="91" t="e">
        <f>AVERAGE(AI$204:AI212)</f>
        <v>#DIV/0!</v>
      </c>
      <c r="AJ260" s="91">
        <v>16.588888888888889</v>
      </c>
      <c r="AK260" s="91">
        <v>16.643333333333331</v>
      </c>
      <c r="AL260" s="91">
        <v>15.112222222222224</v>
      </c>
      <c r="AM260" s="91">
        <v>9.8533333333333317</v>
      </c>
      <c r="AN260" s="91">
        <v>10.078888888888889</v>
      </c>
      <c r="AP260" s="134" t="s">
        <v>71</v>
      </c>
      <c r="AQ260" s="91">
        <f>AVERAGE(AQ$204:AQ212)</f>
        <v>16.440000000000001</v>
      </c>
      <c r="AR260" s="91">
        <v>16.362222222222222</v>
      </c>
      <c r="AS260" s="91">
        <v>16.404444444444447</v>
      </c>
      <c r="AT260" s="91">
        <v>14.992222222222219</v>
      </c>
      <c r="AU260" s="91">
        <v>11.862222222222222</v>
      </c>
      <c r="AV260" s="91" t="e">
        <v>#DIV/0!</v>
      </c>
      <c r="AX260" s="134" t="s">
        <v>71</v>
      </c>
      <c r="AY260" s="91" t="e">
        <f>AVERAGE(AY$204:AY212)</f>
        <v>#DIV/0!</v>
      </c>
      <c r="AZ260" s="91">
        <v>18.364444444444445</v>
      </c>
      <c r="BA260" s="91">
        <v>18.702222222222222</v>
      </c>
      <c r="BB260" s="91">
        <v>16.673333333333332</v>
      </c>
      <c r="BC260" s="91">
        <v>17.233333333333334</v>
      </c>
      <c r="BD260" s="91"/>
      <c r="BE260" s="91"/>
      <c r="BF260" s="134" t="s">
        <v>71</v>
      </c>
      <c r="BG260" s="91">
        <f>AVERAGE(BG$204:BG212)</f>
        <v>15.93</v>
      </c>
      <c r="BH260" s="91">
        <v>17.136666666666663</v>
      </c>
      <c r="BI260" s="91">
        <v>18.256666666666668</v>
      </c>
      <c r="BJ260" s="91"/>
      <c r="BK260" s="91"/>
      <c r="BL260" s="91"/>
      <c r="BM260" s="91"/>
      <c r="BN260" s="134" t="s">
        <v>71</v>
      </c>
      <c r="BO260" s="91">
        <f>AVERAGE(BO$204:BO211)</f>
        <v>12.74</v>
      </c>
      <c r="BP260" s="91">
        <v>14.732499999999998</v>
      </c>
      <c r="BQ260" s="91">
        <v>15.296250000000001</v>
      </c>
      <c r="BR260" s="91">
        <v>13.587499999999999</v>
      </c>
      <c r="BS260" s="91">
        <v>11.587777777777779</v>
      </c>
      <c r="BT260" s="91">
        <v>9.6611111111111114</v>
      </c>
      <c r="BV260" s="134" t="s">
        <v>71</v>
      </c>
      <c r="BW260" s="91">
        <f>AVERAGE(BW$204:BW212)</f>
        <v>14.71</v>
      </c>
      <c r="BX260" s="91">
        <v>16.80222222222222</v>
      </c>
      <c r="BY260" s="91">
        <v>17.812222222222221</v>
      </c>
      <c r="BZ260" s="91">
        <v>16.601111111111109</v>
      </c>
      <c r="CA260" s="91">
        <v>14.035555555555556</v>
      </c>
      <c r="CB260" s="91">
        <v>11.286666666666669</v>
      </c>
      <c r="CC260" s="91"/>
      <c r="CD260" s="134" t="s">
        <v>71</v>
      </c>
      <c r="CE260" s="91">
        <f>AVERAGE(CE$204:CE212)</f>
        <v>13.1</v>
      </c>
      <c r="CF260" s="91">
        <v>14.871111111111112</v>
      </c>
      <c r="CG260" s="91">
        <v>15.668888888888887</v>
      </c>
      <c r="CH260" s="91">
        <v>14.518888888888888</v>
      </c>
      <c r="CI260" s="91">
        <v>11.676666666666668</v>
      </c>
      <c r="CJ260" s="91">
        <v>9.94</v>
      </c>
      <c r="CL260" s="134" t="s">
        <v>71</v>
      </c>
      <c r="CM260" s="91">
        <f>AVERAGE(CM$204:CM212)</f>
        <v>15.93</v>
      </c>
      <c r="CN260" s="91">
        <v>16.071111111111112</v>
      </c>
      <c r="CO260" s="91">
        <v>17.675555555555555</v>
      </c>
      <c r="CP260" s="91">
        <v>16.32</v>
      </c>
      <c r="CQ260" s="91">
        <v>12.133333333333335</v>
      </c>
      <c r="CR260" s="91">
        <v>11.353333333333332</v>
      </c>
      <c r="CT260" s="134" t="s">
        <v>71</v>
      </c>
      <c r="CU260" s="91">
        <f>AVERAGE(CU$204:CU211)</f>
        <v>13.76</v>
      </c>
      <c r="CV260" s="91">
        <v>13.9375</v>
      </c>
      <c r="CW260" s="91" t="e">
        <v>#DIV/0!</v>
      </c>
      <c r="CX260" s="91"/>
      <c r="CY260" s="91"/>
      <c r="CZ260" s="91"/>
      <c r="DB260" s="134" t="s">
        <v>71</v>
      </c>
      <c r="DC260" s="91">
        <f>AVERAGE(DC$204:DC212)</f>
        <v>16.71</v>
      </c>
      <c r="DD260" s="91">
        <v>16.776666666666664</v>
      </c>
      <c r="DE260" s="91" t="e">
        <v>#DIV/0!</v>
      </c>
      <c r="DF260" s="91"/>
      <c r="DG260" s="91"/>
      <c r="DH260" s="91"/>
      <c r="DI260" s="91"/>
      <c r="DJ260" s="134" t="s">
        <v>71</v>
      </c>
      <c r="DK260" s="91">
        <f>AVERAGE(DK$204:DK212)</f>
        <v>10.25</v>
      </c>
      <c r="DL260" s="91">
        <v>10.734444444444444</v>
      </c>
      <c r="DM260" s="91" t="e">
        <v>#DIV/0!</v>
      </c>
      <c r="DN260" s="91"/>
      <c r="DO260" s="91"/>
      <c r="DP260" s="91"/>
      <c r="DR260" s="134" t="s">
        <v>71</v>
      </c>
      <c r="DS260" s="91">
        <f>AVERAGE(DS$204:DS212)</f>
        <v>14.76</v>
      </c>
      <c r="DT260" s="91">
        <v>15.051111111111108</v>
      </c>
      <c r="DU260" s="91" t="e">
        <v>#DIV/0!</v>
      </c>
      <c r="DV260" s="91"/>
      <c r="DW260" s="91"/>
      <c r="DX260" s="91"/>
      <c r="DZ260" s="134" t="s">
        <v>71</v>
      </c>
      <c r="EA260" s="91">
        <f>AVERAGE(EA$204:EA212)</f>
        <v>16.22</v>
      </c>
      <c r="EB260" s="91">
        <v>18.119999999999997</v>
      </c>
      <c r="EC260" s="91" t="e">
        <v>#DIV/0!</v>
      </c>
      <c r="ED260" s="91"/>
      <c r="EE260" s="91"/>
      <c r="EF260" s="91"/>
    </row>
    <row r="261" spans="1:136" s="90" customFormat="1" x14ac:dyDescent="0.2">
      <c r="A261" s="292"/>
      <c r="B261" s="134" t="s">
        <v>12</v>
      </c>
      <c r="C261" s="91">
        <f>AVERAGE(C$204:C213)</f>
        <v>13.487142857142855</v>
      </c>
      <c r="D261" s="91">
        <f>AVERAGE(D$204:D213)</f>
        <v>17.5627</v>
      </c>
      <c r="E261" s="91">
        <f>AVERAGE(E$204:E213)</f>
        <v>18.252199999999998</v>
      </c>
      <c r="F261" s="91">
        <f>AVERAGE(F$204:F213)</f>
        <v>18.771624999999997</v>
      </c>
      <c r="G261" s="91">
        <f>AVERAGE(G$204:G213)</f>
        <v>13.994</v>
      </c>
      <c r="H261" s="91">
        <f>AVERAGE(H$204:H213)</f>
        <v>10.497375025</v>
      </c>
      <c r="I261" s="91"/>
      <c r="J261" s="134" t="s">
        <v>12</v>
      </c>
      <c r="K261" s="91">
        <f>AVERAGE(K$204:K213)</f>
        <v>15.88</v>
      </c>
      <c r="L261" s="91">
        <v>15.737999999999996</v>
      </c>
      <c r="M261" s="91">
        <v>16.178000000000004</v>
      </c>
      <c r="N261" s="91">
        <v>14.727000000000004</v>
      </c>
      <c r="O261" s="91">
        <v>10.922999999999998</v>
      </c>
      <c r="P261" s="91">
        <v>10.6350002</v>
      </c>
      <c r="R261" s="134" t="s">
        <v>12</v>
      </c>
      <c r="S261" s="91">
        <f>AVERAGE(S$204:S213)</f>
        <v>15.34</v>
      </c>
      <c r="T261" s="91">
        <v>15.578999999999999</v>
      </c>
      <c r="U261" s="91">
        <v>16.074000000000002</v>
      </c>
      <c r="V261" s="91">
        <v>14.803000000000001</v>
      </c>
      <c r="W261" s="91">
        <v>11.971</v>
      </c>
      <c r="X261" s="91">
        <v>10.702999999999999</v>
      </c>
      <c r="Z261" s="134" t="s">
        <v>12</v>
      </c>
      <c r="AA261" s="91">
        <f>AVERAGE(AA$204:AA213)</f>
        <v>13.27</v>
      </c>
      <c r="AB261" s="91">
        <v>14.042999999999997</v>
      </c>
      <c r="AC261" s="91">
        <v>14.136000000000001</v>
      </c>
      <c r="AD261" s="91">
        <v>12.824000000000002</v>
      </c>
      <c r="AE261" s="91">
        <v>9.645999999999999</v>
      </c>
      <c r="AF261" s="91">
        <v>9.4079999999999977</v>
      </c>
      <c r="AH261" s="134" t="s">
        <v>12</v>
      </c>
      <c r="AI261" s="91" t="e">
        <f>AVERAGE(AI$204:AI213)</f>
        <v>#DIV/0!</v>
      </c>
      <c r="AJ261" s="91">
        <v>16.526999999999997</v>
      </c>
      <c r="AK261" s="91">
        <v>16.634999999999998</v>
      </c>
      <c r="AL261" s="91">
        <v>15.166000000000002</v>
      </c>
      <c r="AM261" s="91">
        <v>10.308</v>
      </c>
      <c r="AN261" s="91">
        <v>10.251999999999999</v>
      </c>
      <c r="AP261" s="134" t="s">
        <v>12</v>
      </c>
      <c r="AQ261" s="91">
        <f>AVERAGE(AQ$204:AQ213)</f>
        <v>16.440000000000001</v>
      </c>
      <c r="AR261" s="91">
        <v>16.335999999999999</v>
      </c>
      <c r="AS261" s="91">
        <v>16.411000000000001</v>
      </c>
      <c r="AT261" s="91">
        <v>15.039999999999997</v>
      </c>
      <c r="AU261" s="91">
        <v>12.169</v>
      </c>
      <c r="AV261" s="91" t="e">
        <v>#DIV/0!</v>
      </c>
      <c r="AX261" s="134" t="s">
        <v>12</v>
      </c>
      <c r="AY261" s="91" t="e">
        <f>AVERAGE(AY$204:AY213)</f>
        <v>#DIV/0!</v>
      </c>
      <c r="AZ261" s="91">
        <v>18.288</v>
      </c>
      <c r="BA261" s="91">
        <v>18.707000000000001</v>
      </c>
      <c r="BB261" s="91">
        <v>16.727</v>
      </c>
      <c r="BC261" s="91">
        <v>16.86</v>
      </c>
      <c r="BD261" s="91"/>
      <c r="BE261" s="91"/>
      <c r="BF261" s="134" t="s">
        <v>12</v>
      </c>
      <c r="BG261" s="91">
        <f>AVERAGE(BG$204:BG213)</f>
        <v>15.93</v>
      </c>
      <c r="BH261" s="91">
        <v>17.032999999999994</v>
      </c>
      <c r="BI261" s="91">
        <v>18.21</v>
      </c>
      <c r="BJ261" s="91"/>
      <c r="BK261" s="91"/>
      <c r="BL261" s="91"/>
      <c r="BM261" s="91"/>
      <c r="BN261" s="134" t="s">
        <v>12</v>
      </c>
      <c r="BO261" s="91">
        <f>AVERAGE(BO$204:BO213)</f>
        <v>12.74</v>
      </c>
      <c r="BP261" s="91">
        <v>14.533999999999997</v>
      </c>
      <c r="BQ261" s="91">
        <v>15.052000000000001</v>
      </c>
      <c r="BR261" s="91">
        <v>13.426999999999998</v>
      </c>
      <c r="BS261" s="91">
        <v>11.636000000000001</v>
      </c>
      <c r="BT261" s="91">
        <v>9.8529999999999998</v>
      </c>
      <c r="BV261" s="134" t="s">
        <v>12</v>
      </c>
      <c r="BW261" s="91">
        <f>AVERAGE(BW$204:BW213)</f>
        <v>14.71</v>
      </c>
      <c r="BX261" s="91">
        <v>16.723999999999997</v>
      </c>
      <c r="BY261" s="91">
        <v>17.758000000000003</v>
      </c>
      <c r="BZ261" s="91">
        <v>16.558999999999997</v>
      </c>
      <c r="CA261" s="91">
        <v>14.196000000000002</v>
      </c>
      <c r="CB261" s="91">
        <v>11.465</v>
      </c>
      <c r="CC261" s="91"/>
      <c r="CD261" s="134" t="s">
        <v>12</v>
      </c>
      <c r="CE261" s="91">
        <f>AVERAGE(CE$204:CE213)</f>
        <v>13.1</v>
      </c>
      <c r="CF261" s="91">
        <v>14.749000000000001</v>
      </c>
      <c r="CG261" s="91">
        <v>15.643999999999997</v>
      </c>
      <c r="CH261" s="91">
        <v>14.539999999999997</v>
      </c>
      <c r="CI261" s="91">
        <v>11.875</v>
      </c>
      <c r="CJ261" s="91">
        <v>10.072999999999999</v>
      </c>
      <c r="CL261" s="134" t="s">
        <v>12</v>
      </c>
      <c r="CM261" s="91">
        <f>AVERAGE(CM$204:CM213)</f>
        <v>15.93</v>
      </c>
      <c r="CN261" s="91">
        <v>16.076000000000001</v>
      </c>
      <c r="CO261" s="91">
        <v>17.716999999999999</v>
      </c>
      <c r="CP261" s="91">
        <v>16.36</v>
      </c>
      <c r="CQ261" s="91">
        <v>12.484000000000002</v>
      </c>
      <c r="CR261" s="91">
        <v>11.59</v>
      </c>
      <c r="CT261" s="134" t="s">
        <v>12</v>
      </c>
      <c r="CU261" s="91">
        <f>AVERAGE(CU$204:CU213)</f>
        <v>13.76</v>
      </c>
      <c r="CV261" s="91">
        <v>13.86</v>
      </c>
      <c r="CW261" s="91" t="e">
        <v>#DIV/0!</v>
      </c>
      <c r="CX261" s="91"/>
      <c r="CY261" s="91"/>
      <c r="CZ261" s="91"/>
      <c r="DB261" s="134" t="s">
        <v>12</v>
      </c>
      <c r="DC261" s="91">
        <f>AVERAGE(DC$204:DC213)</f>
        <v>16.71</v>
      </c>
      <c r="DD261" s="91">
        <v>16.698999999999998</v>
      </c>
      <c r="DE261" s="91" t="e">
        <v>#DIV/0!</v>
      </c>
      <c r="DF261" s="91"/>
      <c r="DG261" s="91"/>
      <c r="DH261" s="91"/>
      <c r="DI261" s="91"/>
      <c r="DJ261" s="134" t="s">
        <v>12</v>
      </c>
      <c r="DK261" s="91">
        <f>AVERAGE(DK$204:DK213)</f>
        <v>10.25</v>
      </c>
      <c r="DL261" s="91">
        <v>10.701000000000001</v>
      </c>
      <c r="DM261" s="91" t="e">
        <v>#DIV/0!</v>
      </c>
      <c r="DN261" s="91"/>
      <c r="DO261" s="91"/>
      <c r="DP261" s="91"/>
      <c r="DR261" s="134" t="s">
        <v>12</v>
      </c>
      <c r="DS261" s="91">
        <f>AVERAGE(DS$204:DS213)</f>
        <v>14.76</v>
      </c>
      <c r="DT261" s="91">
        <v>15.015999999999996</v>
      </c>
      <c r="DU261" s="91" t="e">
        <v>#DIV/0!</v>
      </c>
      <c r="DV261" s="91"/>
      <c r="DW261" s="91"/>
      <c r="DX261" s="91"/>
      <c r="DZ261" s="134" t="s">
        <v>12</v>
      </c>
      <c r="EA261" s="91">
        <f>AVERAGE(EA$204:EA213)</f>
        <v>16.22</v>
      </c>
      <c r="EB261" s="91">
        <v>17.599999999999998</v>
      </c>
      <c r="EC261" s="91" t="e">
        <v>#DIV/0!</v>
      </c>
      <c r="ED261" s="91"/>
      <c r="EE261" s="91"/>
      <c r="EF261" s="91"/>
    </row>
    <row r="262" spans="1:136" s="90" customFormat="1" x14ac:dyDescent="0.2">
      <c r="A262" s="292"/>
      <c r="B262" s="134" t="s">
        <v>13</v>
      </c>
      <c r="C262" s="91">
        <f>AVERAGE(C$204:C214)</f>
        <v>13.487142857142855</v>
      </c>
      <c r="D262" s="91">
        <f>AVERAGE(D$204:D214)</f>
        <v>17.58609090909091</v>
      </c>
      <c r="E262" s="91">
        <f>AVERAGE(E$204:E214)</f>
        <v>18.187636363636361</v>
      </c>
      <c r="F262" s="91">
        <f>AVERAGE(F$204:F214)</f>
        <v>18.756818181818179</v>
      </c>
      <c r="G262" s="91">
        <f>AVERAGE(G$204:G214)</f>
        <v>14.245113636363635</v>
      </c>
      <c r="H262" s="91">
        <f>AVERAGE(H$204:H214)</f>
        <v>10.497375025</v>
      </c>
      <c r="I262" s="91"/>
      <c r="J262" s="134" t="s">
        <v>13</v>
      </c>
      <c r="K262" s="91">
        <f>AVERAGE(K$204:K214)</f>
        <v>15.88</v>
      </c>
      <c r="L262" s="91">
        <v>15.78272727272727</v>
      </c>
      <c r="M262" s="91">
        <v>16.131818181818183</v>
      </c>
      <c r="N262" s="91">
        <v>14.759090909090913</v>
      </c>
      <c r="O262" s="91">
        <v>11.16181818181818</v>
      </c>
      <c r="P262" s="91">
        <v>9.6681819999999998</v>
      </c>
      <c r="R262" s="134" t="s">
        <v>13</v>
      </c>
      <c r="S262" s="91">
        <f>AVERAGE(S$204:S214)</f>
        <v>15.34</v>
      </c>
      <c r="T262" s="91">
        <v>15.630909090909091</v>
      </c>
      <c r="U262" s="91">
        <v>16.027272727272727</v>
      </c>
      <c r="V262" s="91">
        <v>14.77</v>
      </c>
      <c r="W262" s="91">
        <v>12.101818181818182</v>
      </c>
      <c r="X262" s="91">
        <v>10.138181818181819</v>
      </c>
      <c r="Z262" s="134" t="s">
        <v>13</v>
      </c>
      <c r="AA262" s="91">
        <f>AVERAGE(AA$204:AA214)</f>
        <v>13.27</v>
      </c>
      <c r="AB262" s="91">
        <v>14.094545454545452</v>
      </c>
      <c r="AC262" s="91">
        <v>14.154545454545456</v>
      </c>
      <c r="AD262" s="91">
        <v>12.830909090909092</v>
      </c>
      <c r="AE262" s="91">
        <v>9.8536363636363618</v>
      </c>
      <c r="AF262" s="91">
        <v>8.552727272727271</v>
      </c>
      <c r="AH262" s="134" t="s">
        <v>13</v>
      </c>
      <c r="AI262" s="91" t="e">
        <f>AVERAGE(AI$204:AI214)</f>
        <v>#DIV/0!</v>
      </c>
      <c r="AJ262" s="91">
        <v>16.573636363636361</v>
      </c>
      <c r="AK262" s="91">
        <v>16.627272727272729</v>
      </c>
      <c r="AL262" s="91">
        <v>15.174545454545456</v>
      </c>
      <c r="AM262" s="91">
        <v>10.605454545454545</v>
      </c>
      <c r="AN262" s="91">
        <v>9.5127272727272736</v>
      </c>
      <c r="AP262" s="134" t="s">
        <v>13</v>
      </c>
      <c r="AQ262" s="91">
        <f>AVERAGE(AQ$204:AQ214)</f>
        <v>16.440000000000001</v>
      </c>
      <c r="AR262" s="91">
        <v>16.391818181818181</v>
      </c>
      <c r="AS262" s="91">
        <v>16.416363636363638</v>
      </c>
      <c r="AT262" s="91">
        <v>15.052727272727271</v>
      </c>
      <c r="AU262" s="91">
        <v>12.345454545454546</v>
      </c>
      <c r="AV262" s="91" t="e">
        <v>#DIV/0!</v>
      </c>
      <c r="AX262" s="134" t="s">
        <v>13</v>
      </c>
      <c r="AY262" s="91" t="e">
        <f>AVERAGE(AY$204:AY214)</f>
        <v>#DIV/0!</v>
      </c>
      <c r="AZ262" s="91">
        <v>18.34181818181818</v>
      </c>
      <c r="BA262" s="91">
        <v>18.700909090909089</v>
      </c>
      <c r="BB262" s="91">
        <v>16.733636363636364</v>
      </c>
      <c r="BC262" s="91">
        <v>16.425999999999998</v>
      </c>
      <c r="BD262" s="91"/>
      <c r="BE262" s="91"/>
      <c r="BF262" s="134" t="s">
        <v>13</v>
      </c>
      <c r="BG262" s="91">
        <f>AVERAGE(BG$204:BG214)</f>
        <v>15.93</v>
      </c>
      <c r="BH262" s="91">
        <v>17.02545454545454</v>
      </c>
      <c r="BI262" s="91">
        <v>18.087272727272726</v>
      </c>
      <c r="BJ262" s="91"/>
      <c r="BK262" s="91"/>
      <c r="BL262" s="91"/>
      <c r="BM262" s="91"/>
      <c r="BN262" s="134" t="s">
        <v>13</v>
      </c>
      <c r="BO262" s="91">
        <f>AVERAGE(BO$204:BO214)</f>
        <v>12.74</v>
      </c>
      <c r="BP262" s="91">
        <v>14.500909090909088</v>
      </c>
      <c r="BQ262" s="91">
        <v>14.891818181818183</v>
      </c>
      <c r="BR262" s="91">
        <v>13.404545454545454</v>
      </c>
      <c r="BS262" s="91">
        <v>11.530909090909093</v>
      </c>
      <c r="BT262" s="91">
        <v>9.1090909090909093</v>
      </c>
      <c r="BV262" s="134" t="s">
        <v>13</v>
      </c>
      <c r="BW262" s="91">
        <f>AVERAGE(BW$204:BW214)</f>
        <v>14.71</v>
      </c>
      <c r="BX262" s="91">
        <v>16.679090909090906</v>
      </c>
      <c r="BY262" s="91">
        <v>17.602727272727275</v>
      </c>
      <c r="BZ262" s="91">
        <v>16.464545454545455</v>
      </c>
      <c r="CA262" s="91">
        <v>14.215454545454547</v>
      </c>
      <c r="CB262" s="91">
        <v>11.378181818181819</v>
      </c>
      <c r="CC262" s="91"/>
      <c r="CD262" s="134" t="s">
        <v>13</v>
      </c>
      <c r="CE262" s="91">
        <f>AVERAGE(CE$204:CE214)</f>
        <v>13.1</v>
      </c>
      <c r="CF262" s="91">
        <v>14.675454545454546</v>
      </c>
      <c r="CG262" s="91">
        <v>15.551818181818179</v>
      </c>
      <c r="CH262" s="91">
        <v>14.517272727272724</v>
      </c>
      <c r="CI262" s="91">
        <v>11.961818181818183</v>
      </c>
      <c r="CJ262" s="91">
        <v>9.2390909090909084</v>
      </c>
      <c r="CL262" s="134" t="s">
        <v>13</v>
      </c>
      <c r="CM262" s="91">
        <f>AVERAGE(CM$204:CM214)</f>
        <v>15.93</v>
      </c>
      <c r="CN262" s="91">
        <v>16.164545454545458</v>
      </c>
      <c r="CO262" s="91">
        <v>17.684545454545454</v>
      </c>
      <c r="CP262" s="91">
        <v>16.347272727272728</v>
      </c>
      <c r="CQ262" s="91">
        <v>12.718181818181819</v>
      </c>
      <c r="CR262" s="91">
        <v>10.880909090909091</v>
      </c>
      <c r="CT262" s="134" t="s">
        <v>13</v>
      </c>
      <c r="CU262" s="91">
        <f>AVERAGE(CU$204:CU214)</f>
        <v>13.76</v>
      </c>
      <c r="CV262" s="91">
        <v>13.881818181818181</v>
      </c>
      <c r="CW262" s="91" t="e">
        <v>#DIV/0!</v>
      </c>
      <c r="CX262" s="91"/>
      <c r="CY262" s="91"/>
      <c r="CZ262" s="91"/>
      <c r="DB262" s="134" t="s">
        <v>13</v>
      </c>
      <c r="DC262" s="91">
        <f>AVERAGE(DC$204:DC214)</f>
        <v>16.71</v>
      </c>
      <c r="DD262" s="91">
        <v>16.728181818181817</v>
      </c>
      <c r="DE262" s="91" t="e">
        <v>#DIV/0!</v>
      </c>
      <c r="DF262" s="91"/>
      <c r="DG262" s="91"/>
      <c r="DH262" s="91"/>
      <c r="DI262" s="91"/>
      <c r="DJ262" s="134" t="s">
        <v>13</v>
      </c>
      <c r="DK262" s="91">
        <f>AVERAGE(DK$204:DK214)</f>
        <v>10.25</v>
      </c>
      <c r="DL262" s="91">
        <v>10.686363636363637</v>
      </c>
      <c r="DM262" s="91" t="e">
        <v>#DIV/0!</v>
      </c>
      <c r="DN262" s="91"/>
      <c r="DO262" s="91"/>
      <c r="DP262" s="91"/>
      <c r="DR262" s="134" t="s">
        <v>13</v>
      </c>
      <c r="DS262" s="91">
        <f>AVERAGE(DS$204:DS214)</f>
        <v>14.76</v>
      </c>
      <c r="DT262" s="91">
        <v>15.030909090909089</v>
      </c>
      <c r="DU262" s="91" t="e">
        <v>#DIV/0!</v>
      </c>
      <c r="DV262" s="91"/>
      <c r="DW262" s="91"/>
      <c r="DX262" s="91"/>
      <c r="DZ262" s="134" t="s">
        <v>13</v>
      </c>
      <c r="EA262" s="91">
        <f>AVERAGE(EA$204:EA214)</f>
        <v>16.22</v>
      </c>
      <c r="EB262" s="91">
        <v>17.372499999999999</v>
      </c>
      <c r="EC262" s="91" t="e">
        <v>#DIV/0!</v>
      </c>
      <c r="ED262" s="91"/>
      <c r="EE262" s="91"/>
      <c r="EF262" s="91"/>
    </row>
    <row r="263" spans="1:136" s="90" customFormat="1" x14ac:dyDescent="0.2">
      <c r="A263" s="292"/>
      <c r="B263" s="134" t="s">
        <v>15</v>
      </c>
      <c r="C263" s="91">
        <f>AVERAGE(C$204:C215)</f>
        <v>13.487142857142855</v>
      </c>
      <c r="D263" s="91">
        <f>AVERAGE(D$204:D215)</f>
        <v>17.616666666666667</v>
      </c>
      <c r="E263" s="91">
        <f>AVERAGE(E$204:E215)</f>
        <v>18.196083333333331</v>
      </c>
      <c r="F263" s="91">
        <f>AVERAGE(F$204:F215)</f>
        <v>18.865104166666665</v>
      </c>
      <c r="G263" s="91">
        <f>AVERAGE(G$204:G215)</f>
        <v>14.558749999999998</v>
      </c>
      <c r="H263" s="91">
        <f>AVERAGE(H$204:H215)</f>
        <v>9.8869318409090923</v>
      </c>
      <c r="I263" s="91"/>
      <c r="J263" s="134" t="s">
        <v>15</v>
      </c>
      <c r="K263" s="91">
        <f>AVERAGE(K$204:K215)</f>
        <v>15.88</v>
      </c>
      <c r="L263" s="91">
        <v>15.859166666666662</v>
      </c>
      <c r="M263" s="91">
        <v>16.181666666666668</v>
      </c>
      <c r="N263" s="91">
        <v>14.901666666666671</v>
      </c>
      <c r="O263" s="91">
        <v>11.464999999999998</v>
      </c>
      <c r="P263" s="91">
        <v>9.2991668333333326</v>
      </c>
      <c r="R263" s="134" t="s">
        <v>15</v>
      </c>
      <c r="S263" s="91">
        <f>AVERAGE(S$204:S215)</f>
        <v>15.34</v>
      </c>
      <c r="T263" s="91">
        <v>15.681666666666667</v>
      </c>
      <c r="U263" s="91">
        <v>16.095833333333335</v>
      </c>
      <c r="V263" s="91">
        <v>14.828333333333333</v>
      </c>
      <c r="W263" s="91">
        <v>12.305</v>
      </c>
      <c r="X263" s="91">
        <v>9.9425000000000008</v>
      </c>
      <c r="Z263" s="134" t="s">
        <v>15</v>
      </c>
      <c r="AA263" s="91">
        <f>AVERAGE(AA$204:AA215)</f>
        <v>13.27</v>
      </c>
      <c r="AB263" s="91">
        <v>14.118333333333331</v>
      </c>
      <c r="AC263" s="91">
        <v>14.193333333333335</v>
      </c>
      <c r="AD263" s="91">
        <v>12.911666666666669</v>
      </c>
      <c r="AE263" s="91">
        <v>10.112499999999999</v>
      </c>
      <c r="AF263" s="91">
        <v>8.1041666666666661</v>
      </c>
      <c r="AH263" s="134" t="s">
        <v>15</v>
      </c>
      <c r="AI263" s="91" t="e">
        <f>AVERAGE(AI$204:AI215)</f>
        <v>#DIV/0!</v>
      </c>
      <c r="AJ263" s="91">
        <v>16.674999999999997</v>
      </c>
      <c r="AK263" s="91">
        <v>16.672499999999999</v>
      </c>
      <c r="AL263" s="91">
        <v>15.270000000000001</v>
      </c>
      <c r="AM263" s="91">
        <v>10.957500000000001</v>
      </c>
      <c r="AN263" s="91">
        <v>8.9433333333333334</v>
      </c>
      <c r="AP263" s="134" t="s">
        <v>15</v>
      </c>
      <c r="AQ263" s="91">
        <f>AVERAGE(AQ$204:AQ215)</f>
        <v>16.440000000000001</v>
      </c>
      <c r="AR263" s="91">
        <v>16.443333333333332</v>
      </c>
      <c r="AS263" s="91">
        <v>16.473333333333333</v>
      </c>
      <c r="AT263" s="91">
        <v>15.164999999999999</v>
      </c>
      <c r="AU263" s="91">
        <v>12.571666666666667</v>
      </c>
      <c r="AV263" s="91" t="e">
        <v>#DIV/0!</v>
      </c>
      <c r="AX263" s="134" t="s">
        <v>15</v>
      </c>
      <c r="AY263" s="91" t="e">
        <f>AVERAGE(AY$204:AY215)</f>
        <v>#DIV/0!</v>
      </c>
      <c r="AZ263" s="91">
        <v>18.424166666666665</v>
      </c>
      <c r="BA263" s="91">
        <v>18.743333333333332</v>
      </c>
      <c r="BB263" s="91">
        <v>16.860000000000003</v>
      </c>
      <c r="BC263" s="91">
        <v>16.226666666666667</v>
      </c>
      <c r="BD263" s="91"/>
      <c r="BE263" s="91"/>
      <c r="BF263" s="134" t="s">
        <v>15</v>
      </c>
      <c r="BG263" s="91">
        <f>AVERAGE(BG$204:BG215)</f>
        <v>15.93</v>
      </c>
      <c r="BH263" s="91">
        <v>17.014166666666664</v>
      </c>
      <c r="BI263" s="91">
        <v>18.06583333333333</v>
      </c>
      <c r="BJ263" s="91"/>
      <c r="BK263" s="91"/>
      <c r="BL263" s="91"/>
      <c r="BM263" s="91"/>
      <c r="BN263" s="134" t="s">
        <v>15</v>
      </c>
      <c r="BO263" s="91">
        <f>AVERAGE(BO$204:BO215)</f>
        <v>12.74</v>
      </c>
      <c r="BP263" s="91">
        <v>14.480833333333329</v>
      </c>
      <c r="BQ263" s="91">
        <v>14.871666666666668</v>
      </c>
      <c r="BR263" s="91">
        <v>13.523333333333333</v>
      </c>
      <c r="BS263" s="91">
        <v>11.615000000000002</v>
      </c>
      <c r="BT263" s="91">
        <v>8.5266666666666673</v>
      </c>
      <c r="BV263" s="134" t="s">
        <v>15</v>
      </c>
      <c r="BW263" s="91">
        <f>AVERAGE(BW$204:BW215)</f>
        <v>14.71</v>
      </c>
      <c r="BX263" s="91">
        <v>16.630833333333332</v>
      </c>
      <c r="BY263" s="91">
        <v>17.514166666666668</v>
      </c>
      <c r="BZ263" s="91">
        <v>16.447499999999998</v>
      </c>
      <c r="CA263" s="91">
        <v>14.269166666666669</v>
      </c>
      <c r="CB263" s="91">
        <v>10.596666666666668</v>
      </c>
      <c r="CC263" s="91"/>
      <c r="CD263" s="134" t="s">
        <v>15</v>
      </c>
      <c r="CE263" s="91">
        <f>AVERAGE(CE$204:CE215)</f>
        <v>13.1</v>
      </c>
      <c r="CF263" s="91">
        <v>14.612499999999999</v>
      </c>
      <c r="CG263" s="91">
        <v>15.493333333333331</v>
      </c>
      <c r="CH263" s="91">
        <v>14.537499999999996</v>
      </c>
      <c r="CI263" s="91">
        <v>12.073333333333336</v>
      </c>
      <c r="CJ263" s="91">
        <v>8.67</v>
      </c>
      <c r="CL263" s="134" t="s">
        <v>15</v>
      </c>
      <c r="CM263" s="91">
        <f>AVERAGE(CM$204:CM215)</f>
        <v>15.93</v>
      </c>
      <c r="CN263" s="91">
        <v>16.22666666666667</v>
      </c>
      <c r="CO263" s="91">
        <v>17.65583333333333</v>
      </c>
      <c r="CP263" s="91">
        <v>16.47583333333333</v>
      </c>
      <c r="CQ263" s="91">
        <v>12.987499999999999</v>
      </c>
      <c r="CR263" s="91">
        <v>10.378333333333332</v>
      </c>
      <c r="CT263" s="134" t="s">
        <v>15</v>
      </c>
      <c r="CU263" s="91">
        <f>AVERAGE(CU$204:CU215)</f>
        <v>13.76</v>
      </c>
      <c r="CV263" s="91">
        <v>13.883333333333333</v>
      </c>
      <c r="CW263" s="91" t="e">
        <v>#DIV/0!</v>
      </c>
      <c r="CX263" s="91"/>
      <c r="CY263" s="91"/>
      <c r="CZ263" s="91"/>
      <c r="DB263" s="134" t="s">
        <v>15</v>
      </c>
      <c r="DC263" s="91">
        <f>AVERAGE(DC$204:DC215)</f>
        <v>16.71</v>
      </c>
      <c r="DD263" s="91">
        <v>16.753333333333334</v>
      </c>
      <c r="DE263" s="91" t="e">
        <v>#DIV/0!</v>
      </c>
      <c r="DF263" s="91"/>
      <c r="DG263" s="91"/>
      <c r="DH263" s="91"/>
      <c r="DI263" s="91"/>
      <c r="DJ263" s="134" t="s">
        <v>15</v>
      </c>
      <c r="DK263" s="91">
        <f>AVERAGE(DK$204:DK215)</f>
        <v>10.25</v>
      </c>
      <c r="DL263" s="91">
        <v>10.730000000000002</v>
      </c>
      <c r="DM263" s="91" t="e">
        <v>#DIV/0!</v>
      </c>
      <c r="DN263" s="91"/>
      <c r="DO263" s="91"/>
      <c r="DP263" s="91"/>
      <c r="DR263" s="134" t="s">
        <v>15</v>
      </c>
      <c r="DS263" s="91">
        <f>AVERAGE(DS$204:DS215)</f>
        <v>14.76</v>
      </c>
      <c r="DT263" s="91">
        <v>15.024999999999999</v>
      </c>
      <c r="DU263" s="91" t="e">
        <v>#DIV/0!</v>
      </c>
      <c r="DV263" s="91"/>
      <c r="DW263" s="91"/>
      <c r="DX263" s="91"/>
      <c r="DZ263" s="134" t="s">
        <v>15</v>
      </c>
      <c r="EA263" s="91">
        <f>AVERAGE(EA$204:EA215)</f>
        <v>16.22</v>
      </c>
      <c r="EB263" s="91">
        <v>17.263999999999999</v>
      </c>
      <c r="EC263" s="91" t="e">
        <v>#DIV/0!</v>
      </c>
      <c r="ED263" s="91"/>
      <c r="EE263" s="91"/>
      <c r="EF263" s="91"/>
    </row>
    <row r="265" spans="1:136" ht="15.75" x14ac:dyDescent="0.2">
      <c r="B265" s="45" t="s">
        <v>131</v>
      </c>
      <c r="J265" s="45" t="s">
        <v>2999</v>
      </c>
      <c r="R265" s="45" t="s">
        <v>3001</v>
      </c>
      <c r="Z265" s="45" t="s">
        <v>210</v>
      </c>
      <c r="AH265" s="45" t="s">
        <v>3003</v>
      </c>
      <c r="AP265" s="45" t="s">
        <v>2156</v>
      </c>
      <c r="AX265" s="45" t="s">
        <v>3000</v>
      </c>
      <c r="BF265" s="45" t="s">
        <v>3002</v>
      </c>
      <c r="BN265" s="45" t="s">
        <v>297</v>
      </c>
      <c r="BV265" s="45" t="s">
        <v>296</v>
      </c>
      <c r="CD265" s="45" t="s">
        <v>292</v>
      </c>
      <c r="CL265" s="45" t="s">
        <v>294</v>
      </c>
      <c r="CT265" s="45" t="s">
        <v>6963</v>
      </c>
      <c r="DB265" s="45" t="s">
        <v>6964</v>
      </c>
      <c r="DJ265" s="45" t="s">
        <v>6966</v>
      </c>
      <c r="DR265" s="45" t="s">
        <v>6965</v>
      </c>
      <c r="DZ265" s="45" t="s">
        <v>7094</v>
      </c>
    </row>
    <row r="267" spans="1:136" s="188" customFormat="1" ht="18.600000000000001" customHeight="1" x14ac:dyDescent="0.2">
      <c r="A267" s="292" t="s">
        <v>192</v>
      </c>
      <c r="B267" s="186" t="s">
        <v>106</v>
      </c>
      <c r="C267" s="187" t="s">
        <v>6962</v>
      </c>
      <c r="D267" s="187" t="s">
        <v>2169</v>
      </c>
      <c r="E267" s="187" t="s">
        <v>1553</v>
      </c>
      <c r="F267" s="187" t="s">
        <v>1522</v>
      </c>
      <c r="G267" s="187" t="s">
        <v>1304</v>
      </c>
      <c r="H267" s="187" t="s">
        <v>209</v>
      </c>
      <c r="I267" s="187"/>
      <c r="J267" s="186" t="s">
        <v>106</v>
      </c>
      <c r="K267" s="186" t="s">
        <v>7114</v>
      </c>
      <c r="L267" s="186" t="s">
        <v>6962</v>
      </c>
      <c r="M267" s="186" t="s">
        <v>2169</v>
      </c>
      <c r="N267" s="186" t="s">
        <v>1553</v>
      </c>
      <c r="O267" s="186" t="s">
        <v>1522</v>
      </c>
      <c r="P267" s="186" t="s">
        <v>1304</v>
      </c>
      <c r="R267" s="186" t="s">
        <v>106</v>
      </c>
      <c r="S267" s="186" t="s">
        <v>7114</v>
      </c>
      <c r="T267" s="186" t="s">
        <v>6962</v>
      </c>
      <c r="U267" s="186" t="s">
        <v>2169</v>
      </c>
      <c r="V267" s="186" t="s">
        <v>1553</v>
      </c>
      <c r="W267" s="186" t="s">
        <v>1522</v>
      </c>
      <c r="X267" s="186" t="s">
        <v>1304</v>
      </c>
      <c r="Z267" s="186" t="s">
        <v>106</v>
      </c>
      <c r="AA267" s="186" t="s">
        <v>7114</v>
      </c>
      <c r="AB267" s="186" t="s">
        <v>6962</v>
      </c>
      <c r="AC267" s="186" t="s">
        <v>2169</v>
      </c>
      <c r="AD267" s="186" t="s">
        <v>1553</v>
      </c>
      <c r="AE267" s="186" t="s">
        <v>1522</v>
      </c>
      <c r="AF267" s="186" t="s">
        <v>1304</v>
      </c>
      <c r="AH267" s="186" t="s">
        <v>106</v>
      </c>
      <c r="AI267" s="186" t="s">
        <v>7114</v>
      </c>
      <c r="AJ267" s="186" t="s">
        <v>6962</v>
      </c>
      <c r="AK267" s="186" t="s">
        <v>2169</v>
      </c>
      <c r="AL267" s="186" t="s">
        <v>1553</v>
      </c>
      <c r="AM267" s="186" t="s">
        <v>1522</v>
      </c>
      <c r="AN267" s="186" t="s">
        <v>1304</v>
      </c>
      <c r="AP267" s="186" t="s">
        <v>106</v>
      </c>
      <c r="AQ267" s="186" t="s">
        <v>7114</v>
      </c>
      <c r="AR267" s="186" t="s">
        <v>6962</v>
      </c>
      <c r="AS267" s="186" t="s">
        <v>2169</v>
      </c>
      <c r="AT267" s="186" t="s">
        <v>1553</v>
      </c>
      <c r="AU267" s="186" t="s">
        <v>1522</v>
      </c>
      <c r="AV267" s="186" t="s">
        <v>1304</v>
      </c>
      <c r="AX267" s="186" t="s">
        <v>106</v>
      </c>
      <c r="AY267" s="186" t="s">
        <v>7114</v>
      </c>
      <c r="AZ267" s="186" t="s">
        <v>6962</v>
      </c>
      <c r="BA267" s="186" t="s">
        <v>2169</v>
      </c>
      <c r="BB267" s="186" t="s">
        <v>1553</v>
      </c>
      <c r="BC267" s="186" t="s">
        <v>1522</v>
      </c>
      <c r="BD267" s="186" t="s">
        <v>1304</v>
      </c>
      <c r="BE267" s="187"/>
      <c r="BF267" s="186" t="s">
        <v>106</v>
      </c>
      <c r="BG267" s="186" t="s">
        <v>7114</v>
      </c>
      <c r="BH267" s="186" t="s">
        <v>6962</v>
      </c>
      <c r="BI267" s="186" t="s">
        <v>2169</v>
      </c>
      <c r="BJ267" s="186" t="s">
        <v>1553</v>
      </c>
      <c r="BK267" s="186" t="s">
        <v>1522</v>
      </c>
      <c r="BL267" s="186" t="s">
        <v>1304</v>
      </c>
      <c r="BM267" s="186"/>
      <c r="BN267" s="186" t="s">
        <v>106</v>
      </c>
      <c r="BO267" s="187" t="s">
        <v>7114</v>
      </c>
      <c r="BP267" s="187" t="s">
        <v>6962</v>
      </c>
      <c r="BQ267" s="187" t="s">
        <v>2169</v>
      </c>
      <c r="BR267" s="187" t="s">
        <v>1553</v>
      </c>
      <c r="BS267" s="187" t="s">
        <v>1522</v>
      </c>
      <c r="BT267" s="187" t="s">
        <v>1304</v>
      </c>
      <c r="BV267" s="186" t="s">
        <v>106</v>
      </c>
      <c r="BW267" s="187" t="s">
        <v>7114</v>
      </c>
      <c r="BX267" s="187" t="s">
        <v>6962</v>
      </c>
      <c r="BY267" s="187" t="s">
        <v>2169</v>
      </c>
      <c r="BZ267" s="187" t="s">
        <v>1553</v>
      </c>
      <c r="CA267" s="187" t="s">
        <v>1522</v>
      </c>
      <c r="CB267" s="187" t="s">
        <v>1304</v>
      </c>
      <c r="CC267" s="187"/>
      <c r="CD267" s="186" t="s">
        <v>106</v>
      </c>
      <c r="CE267" s="187" t="s">
        <v>7114</v>
      </c>
      <c r="CF267" s="187" t="s">
        <v>6962</v>
      </c>
      <c r="CG267" s="187" t="s">
        <v>2169</v>
      </c>
      <c r="CH267" s="187" t="s">
        <v>1553</v>
      </c>
      <c r="CI267" s="187" t="s">
        <v>1522</v>
      </c>
      <c r="CJ267" s="187" t="s">
        <v>1304</v>
      </c>
      <c r="CL267" s="186" t="s">
        <v>106</v>
      </c>
      <c r="CM267" s="187" t="s">
        <v>7114</v>
      </c>
      <c r="CN267" s="187" t="s">
        <v>6962</v>
      </c>
      <c r="CO267" s="187" t="s">
        <v>2169</v>
      </c>
      <c r="CP267" s="187" t="s">
        <v>1553</v>
      </c>
      <c r="CQ267" s="187" t="s">
        <v>1522</v>
      </c>
      <c r="CR267" s="187" t="s">
        <v>1304</v>
      </c>
      <c r="CT267" s="186" t="s">
        <v>106</v>
      </c>
      <c r="CU267" s="187" t="s">
        <v>7114</v>
      </c>
      <c r="CV267" s="187" t="s">
        <v>6962</v>
      </c>
      <c r="CW267" s="187" t="s">
        <v>2169</v>
      </c>
      <c r="CX267" s="187" t="s">
        <v>1553</v>
      </c>
      <c r="CY267" s="187" t="s">
        <v>1522</v>
      </c>
      <c r="CZ267" s="187" t="s">
        <v>1304</v>
      </c>
      <c r="DB267" s="186" t="s">
        <v>106</v>
      </c>
      <c r="DC267" s="187" t="s">
        <v>7114</v>
      </c>
      <c r="DD267" s="187" t="s">
        <v>6962</v>
      </c>
      <c r="DE267" s="187" t="s">
        <v>2169</v>
      </c>
      <c r="DF267" s="187" t="s">
        <v>1553</v>
      </c>
      <c r="DG267" s="187" t="s">
        <v>1522</v>
      </c>
      <c r="DH267" s="187" t="s">
        <v>1304</v>
      </c>
      <c r="DI267" s="187"/>
      <c r="DJ267" s="186" t="s">
        <v>106</v>
      </c>
      <c r="DK267" s="187" t="s">
        <v>7114</v>
      </c>
      <c r="DL267" s="187" t="s">
        <v>6962</v>
      </c>
      <c r="DM267" s="187" t="s">
        <v>2169</v>
      </c>
      <c r="DN267" s="187" t="s">
        <v>1553</v>
      </c>
      <c r="DO267" s="187" t="s">
        <v>1522</v>
      </c>
      <c r="DP267" s="187" t="s">
        <v>1304</v>
      </c>
      <c r="DR267" s="186" t="s">
        <v>106</v>
      </c>
      <c r="DS267" s="187" t="s">
        <v>7114</v>
      </c>
      <c r="DT267" s="187" t="s">
        <v>6962</v>
      </c>
      <c r="DU267" s="187" t="s">
        <v>2169</v>
      </c>
      <c r="DV267" s="187" t="s">
        <v>1553</v>
      </c>
      <c r="DW267" s="187" t="s">
        <v>1522</v>
      </c>
      <c r="DX267" s="187" t="s">
        <v>1304</v>
      </c>
      <c r="DZ267" s="186" t="s">
        <v>106</v>
      </c>
      <c r="EA267" s="187" t="s">
        <v>7114</v>
      </c>
      <c r="EB267" s="187" t="s">
        <v>6962</v>
      </c>
      <c r="EC267" s="187" t="s">
        <v>2169</v>
      </c>
      <c r="ED267" s="187" t="s">
        <v>1553</v>
      </c>
      <c r="EE267" s="187" t="s">
        <v>1522</v>
      </c>
      <c r="EF267" s="187" t="s">
        <v>1304</v>
      </c>
    </row>
    <row r="268" spans="1:136" s="90" customFormat="1" x14ac:dyDescent="0.2">
      <c r="A268" s="292"/>
      <c r="B268" s="134" t="s">
        <v>143</v>
      </c>
      <c r="C268" s="91">
        <f>AVERAGE(C220:C$220)</f>
        <v>19.098571428571429</v>
      </c>
      <c r="D268" s="91">
        <f>AVERAGE(D220:D$220)</f>
        <v>22.052</v>
      </c>
      <c r="E268" s="91">
        <f>AVERAGE(E220:E$220)</f>
        <v>21.761999999999997</v>
      </c>
      <c r="F268" s="91">
        <f>AVERAGE(F220:F$220)</f>
        <v>23.83</v>
      </c>
      <c r="G268" s="91">
        <f>AVERAGE(G220:G$220)</f>
        <v>21.79</v>
      </c>
      <c r="H268" s="91">
        <f>AVERAGE(H220:H$220)</f>
        <v>16.71125</v>
      </c>
      <c r="I268" s="91"/>
      <c r="J268" s="134" t="s">
        <v>143</v>
      </c>
      <c r="K268" s="91">
        <f>AVERAGE(K220:K$220)</f>
        <v>20.09</v>
      </c>
      <c r="L268" s="91">
        <v>18.059999999999999</v>
      </c>
      <c r="M268" s="91">
        <v>17.809999999999999</v>
      </c>
      <c r="N268" s="91">
        <v>17.22</v>
      </c>
      <c r="O268" s="91">
        <v>18.61</v>
      </c>
      <c r="P268" s="91">
        <v>16.45</v>
      </c>
      <c r="R268" s="134" t="s">
        <v>143</v>
      </c>
      <c r="S268" s="91">
        <f>AVERAGE(S220:S$220)</f>
        <v>18.59</v>
      </c>
      <c r="T268" s="91">
        <v>17.329999999999998</v>
      </c>
      <c r="U268" s="91">
        <v>18.149999999999999</v>
      </c>
      <c r="V268" s="91">
        <v>17.27</v>
      </c>
      <c r="W268" s="91">
        <v>17.91</v>
      </c>
      <c r="X268" s="91">
        <v>14.85</v>
      </c>
      <c r="Z268" s="134" t="s">
        <v>143</v>
      </c>
      <c r="AA268" s="91">
        <f>AVERAGE(AA220:AA$220)</f>
        <v>19.920000000000002</v>
      </c>
      <c r="AB268" s="91">
        <v>19.72</v>
      </c>
      <c r="AC268" s="91">
        <v>18.489999999999998</v>
      </c>
      <c r="AD268" s="91">
        <v>18.18</v>
      </c>
      <c r="AE268" s="91">
        <v>19.920000000000002</v>
      </c>
      <c r="AF268" s="91">
        <v>17.21</v>
      </c>
      <c r="AH268" s="134" t="s">
        <v>143</v>
      </c>
      <c r="AI268" s="91" t="e">
        <f>AVERAGE(AI220:AI$220)</f>
        <v>#DIV/0!</v>
      </c>
      <c r="AJ268" s="91">
        <v>21.43</v>
      </c>
      <c r="AK268" s="91">
        <v>21.3</v>
      </c>
      <c r="AL268" s="91">
        <v>20.23</v>
      </c>
      <c r="AM268" s="91">
        <v>17.95</v>
      </c>
      <c r="AN268" s="91">
        <v>18.059999999999999</v>
      </c>
      <c r="AP268" s="134" t="s">
        <v>143</v>
      </c>
      <c r="AQ268" s="91">
        <f>AVERAGE(AQ220:AQ$220)</f>
        <v>20.2</v>
      </c>
      <c r="AR268" s="91">
        <v>19.03</v>
      </c>
      <c r="AS268" s="91">
        <v>18.97</v>
      </c>
      <c r="AT268" s="91">
        <v>17.940000000000001</v>
      </c>
      <c r="AU268" s="91">
        <v>16.18</v>
      </c>
      <c r="AV268" s="91" t="e">
        <v>#DIV/0!</v>
      </c>
      <c r="AX268" s="134" t="s">
        <v>143</v>
      </c>
      <c r="AY268" s="91" t="e">
        <f>AVERAGE(AY220:AY$220)</f>
        <v>#DIV/0!</v>
      </c>
      <c r="AZ268" s="91">
        <v>22.33</v>
      </c>
      <c r="BA268" s="91">
        <v>20.71</v>
      </c>
      <c r="BB268" s="91">
        <v>21.04</v>
      </c>
      <c r="BC268" s="91"/>
      <c r="BD268" s="91"/>
      <c r="BE268" s="91"/>
      <c r="BF268" s="134" t="s">
        <v>143</v>
      </c>
      <c r="BG268" s="91">
        <f>AVERAGE(BG220:BG$220)</f>
        <v>20.56</v>
      </c>
      <c r="BH268" s="91">
        <v>20.11</v>
      </c>
      <c r="BI268" s="91">
        <v>20.03</v>
      </c>
      <c r="BJ268" s="91"/>
      <c r="BK268" s="91"/>
      <c r="BL268" s="91"/>
      <c r="BM268" s="91"/>
      <c r="BN268" s="134" t="s">
        <v>143</v>
      </c>
      <c r="BO268" s="91">
        <f>AVERAGE(BO220:BO$220)</f>
        <v>21.04</v>
      </c>
      <c r="BP268" s="91">
        <v>20.67</v>
      </c>
      <c r="BQ268" s="91">
        <v>19.829999999999998</v>
      </c>
      <c r="BR268" s="91">
        <v>19.18</v>
      </c>
      <c r="BS268" s="91">
        <v>17.079999999999998</v>
      </c>
      <c r="BT268" s="91">
        <v>16.48</v>
      </c>
      <c r="BV268" s="134" t="s">
        <v>143</v>
      </c>
      <c r="BW268" s="91">
        <f>AVERAGE(BW220:BW$220)</f>
        <v>22.31</v>
      </c>
      <c r="BX268" s="91">
        <v>21.63</v>
      </c>
      <c r="BY268" s="91">
        <v>21.4</v>
      </c>
      <c r="BZ268" s="91">
        <v>20.100000000000001</v>
      </c>
      <c r="CA268" s="91">
        <v>22.03</v>
      </c>
      <c r="CB268" s="91">
        <v>17.75</v>
      </c>
      <c r="CC268" s="91"/>
      <c r="CD268" s="134" t="s">
        <v>143</v>
      </c>
      <c r="CE268" s="91">
        <f>AVERAGE(CE220:CE$220)</f>
        <v>20.6</v>
      </c>
      <c r="CF268" s="91">
        <v>19.95</v>
      </c>
      <c r="CG268" s="91">
        <v>19.649999999999999</v>
      </c>
      <c r="CH268" s="91">
        <v>19.03</v>
      </c>
      <c r="CI268" s="91">
        <v>25.25</v>
      </c>
      <c r="CJ268" s="91">
        <v>15.74</v>
      </c>
      <c r="CL268" s="134" t="s">
        <v>143</v>
      </c>
      <c r="CM268" s="91">
        <f>AVERAGE(CM220:CM$220)</f>
        <v>21.34</v>
      </c>
      <c r="CN268" s="91">
        <v>20.260000000000002</v>
      </c>
      <c r="CO268" s="91">
        <v>21.28</v>
      </c>
      <c r="CP268" s="91">
        <v>20.45</v>
      </c>
      <c r="CQ268" s="91">
        <v>19.39</v>
      </c>
      <c r="CR268" s="91">
        <v>17.149999999999999</v>
      </c>
      <c r="CT268" s="134" t="s">
        <v>143</v>
      </c>
      <c r="CU268" s="91">
        <f>AVERAGE(CU220:CU$220)</f>
        <v>20.100000000000001</v>
      </c>
      <c r="CV268" s="91">
        <v>20.149999999999999</v>
      </c>
      <c r="CW268" s="91" t="e">
        <v>#DIV/0!</v>
      </c>
      <c r="CX268" s="91"/>
      <c r="CY268" s="91"/>
      <c r="CZ268" s="91"/>
      <c r="DB268" s="134" t="s">
        <v>143</v>
      </c>
      <c r="DC268" s="91">
        <f>AVERAGE(DC220:DC$220)</f>
        <v>23.2</v>
      </c>
      <c r="DD268" s="91">
        <v>22.13</v>
      </c>
      <c r="DE268" s="91" t="e">
        <v>#DIV/0!</v>
      </c>
      <c r="DF268" s="91"/>
      <c r="DG268" s="91"/>
      <c r="DH268" s="91"/>
      <c r="DI268" s="91"/>
      <c r="DJ268" s="134" t="s">
        <v>143</v>
      </c>
      <c r="DK268" s="91">
        <f>AVERAGE(DK220:DK$220)</f>
        <v>16.89</v>
      </c>
      <c r="DL268" s="91">
        <v>17.04</v>
      </c>
      <c r="DM268" s="91" t="e">
        <v>#DIV/0!</v>
      </c>
      <c r="DN268" s="91"/>
      <c r="DO268" s="91"/>
      <c r="DP268" s="91"/>
      <c r="DR268" s="134" t="s">
        <v>143</v>
      </c>
      <c r="DS268" s="91">
        <f>AVERAGE(DS220:DS$220)</f>
        <v>22.54</v>
      </c>
      <c r="DT268" s="91">
        <v>21.98</v>
      </c>
      <c r="DU268" s="91" t="e">
        <v>#DIV/0!</v>
      </c>
      <c r="DV268" s="91"/>
      <c r="DW268" s="91"/>
      <c r="DX268" s="91"/>
      <c r="DZ268" s="134" t="s">
        <v>143</v>
      </c>
      <c r="EA268" s="91">
        <f>AVERAGE(EA220:EA$220)</f>
        <v>22.21</v>
      </c>
      <c r="EB268" s="91" t="e">
        <v>#DIV/0!</v>
      </c>
      <c r="EC268" s="91" t="e">
        <v>#DIV/0!</v>
      </c>
      <c r="ED268" s="91"/>
      <c r="EE268" s="91"/>
      <c r="EF268" s="91"/>
    </row>
    <row r="269" spans="1:136" s="90" customFormat="1" x14ac:dyDescent="0.2">
      <c r="A269" s="292"/>
      <c r="B269" s="134" t="s">
        <v>5</v>
      </c>
      <c r="C269" s="91">
        <f>AVERAGE(C$220:C221)</f>
        <v>19.098571428571429</v>
      </c>
      <c r="D269" s="91">
        <f>AVERAGE(D$220:D221)</f>
        <v>21.673499999999997</v>
      </c>
      <c r="E269" s="91">
        <f>AVERAGE(E$220:E221)</f>
        <v>21.742999999999999</v>
      </c>
      <c r="F269" s="91">
        <f>AVERAGE(F$220:F221)</f>
        <v>23.267499999999998</v>
      </c>
      <c r="G269" s="91">
        <f>AVERAGE(G$220:G221)</f>
        <v>19.331250000000001</v>
      </c>
      <c r="H269" s="91">
        <f>AVERAGE(H$220:H221)</f>
        <v>16.752291666666665</v>
      </c>
      <c r="I269" s="91"/>
      <c r="J269" s="134" t="s">
        <v>5</v>
      </c>
      <c r="K269" s="91">
        <f>AVERAGE(K$220:K221)</f>
        <v>20.09</v>
      </c>
      <c r="L269" s="91">
        <v>17.990000000000002</v>
      </c>
      <c r="M269" s="91">
        <v>17.990000000000002</v>
      </c>
      <c r="N269" s="91">
        <v>16.84</v>
      </c>
      <c r="O269" s="91">
        <v>18.09</v>
      </c>
      <c r="P269" s="91">
        <v>16.355</v>
      </c>
      <c r="R269" s="134" t="s">
        <v>5</v>
      </c>
      <c r="S269" s="91">
        <f>AVERAGE(S$220:S221)</f>
        <v>18.59</v>
      </c>
      <c r="T269" s="91">
        <v>17.11</v>
      </c>
      <c r="U269" s="91">
        <v>18.049999999999997</v>
      </c>
      <c r="V269" s="91">
        <v>17.009999999999998</v>
      </c>
      <c r="W269" s="91">
        <v>17.185000000000002</v>
      </c>
      <c r="X269" s="91">
        <v>15.195</v>
      </c>
      <c r="Z269" s="134" t="s">
        <v>5</v>
      </c>
      <c r="AA269" s="91">
        <f>AVERAGE(AA$220:AA221)</f>
        <v>19.920000000000002</v>
      </c>
      <c r="AB269" s="91">
        <v>19.104999999999997</v>
      </c>
      <c r="AC269" s="91">
        <v>18.27</v>
      </c>
      <c r="AD269" s="91">
        <v>17.39</v>
      </c>
      <c r="AE269" s="91">
        <v>19.645000000000003</v>
      </c>
      <c r="AF269" s="91">
        <v>16.975000000000001</v>
      </c>
      <c r="AH269" s="134" t="s">
        <v>5</v>
      </c>
      <c r="AI269" s="91" t="e">
        <f>AVERAGE(AI$220:AI221)</f>
        <v>#DIV/0!</v>
      </c>
      <c r="AJ269" s="91">
        <v>21.15</v>
      </c>
      <c r="AK269" s="91">
        <v>21.405000000000001</v>
      </c>
      <c r="AL269" s="91">
        <v>19.670000000000002</v>
      </c>
      <c r="AM269" s="91">
        <v>17.454999999999998</v>
      </c>
      <c r="AN269" s="91">
        <v>17.829999999999998</v>
      </c>
      <c r="AP269" s="134" t="s">
        <v>5</v>
      </c>
      <c r="AQ269" s="91">
        <f>AVERAGE(AQ$220:AQ221)</f>
        <v>20.2</v>
      </c>
      <c r="AR269" s="91">
        <v>18.855</v>
      </c>
      <c r="AS269" s="91">
        <v>18.744999999999997</v>
      </c>
      <c r="AT269" s="91">
        <v>17.29</v>
      </c>
      <c r="AU269" s="91">
        <v>16.009999999999998</v>
      </c>
      <c r="AV269" s="91" t="e">
        <v>#DIV/0!</v>
      </c>
      <c r="AX269" s="134" t="s">
        <v>5</v>
      </c>
      <c r="AY269" s="91" t="e">
        <f>AVERAGE(AY$220:AY221)</f>
        <v>#DIV/0!</v>
      </c>
      <c r="AZ269" s="91">
        <v>21.795000000000002</v>
      </c>
      <c r="BA269" s="91">
        <v>20.68</v>
      </c>
      <c r="BB269" s="91">
        <v>20.344999999999999</v>
      </c>
      <c r="BC269" s="91"/>
      <c r="BD269" s="91"/>
      <c r="BE269" s="91"/>
      <c r="BF269" s="134" t="s">
        <v>5</v>
      </c>
      <c r="BG269" s="91">
        <f>AVERAGE(BG$220:BG221)</f>
        <v>20.56</v>
      </c>
      <c r="BH269" s="91">
        <v>19.600000000000001</v>
      </c>
      <c r="BI269" s="91">
        <v>19.73</v>
      </c>
      <c r="BJ269" s="91"/>
      <c r="BK269" s="91"/>
      <c r="BL269" s="91"/>
      <c r="BM269" s="91"/>
      <c r="BN269" s="134" t="s">
        <v>5</v>
      </c>
      <c r="BO269" s="91">
        <f>AVERAGE(BO$220:BO221)</f>
        <v>21.04</v>
      </c>
      <c r="BP269" s="91">
        <v>20.425000000000001</v>
      </c>
      <c r="BQ269" s="91">
        <v>19.989999999999998</v>
      </c>
      <c r="BR269" s="91">
        <v>19.185000000000002</v>
      </c>
      <c r="BS269" s="91">
        <v>16.314999999999998</v>
      </c>
      <c r="BT269" s="91">
        <v>16.829999999999998</v>
      </c>
      <c r="BV269" s="134" t="s">
        <v>5</v>
      </c>
      <c r="BW269" s="91">
        <f>AVERAGE(BW$220:BW221)</f>
        <v>22.31</v>
      </c>
      <c r="BX269" s="91">
        <v>21.285</v>
      </c>
      <c r="BY269" s="91">
        <v>21.56</v>
      </c>
      <c r="BZ269" s="91">
        <v>19.72</v>
      </c>
      <c r="CA269" s="91">
        <v>21.365000000000002</v>
      </c>
      <c r="CB269" s="91">
        <v>17.884999999999998</v>
      </c>
      <c r="CC269" s="91"/>
      <c r="CD269" s="134" t="s">
        <v>5</v>
      </c>
      <c r="CE269" s="91">
        <f>AVERAGE(CE$220:CE221)</f>
        <v>20.6</v>
      </c>
      <c r="CF269" s="91">
        <v>19.515000000000001</v>
      </c>
      <c r="CG269" s="91">
        <v>19.734999999999999</v>
      </c>
      <c r="CH269" s="91">
        <v>18.664999999999999</v>
      </c>
      <c r="CI269" s="91">
        <v>23.335000000000001</v>
      </c>
      <c r="CJ269" s="91">
        <v>15.504999999999999</v>
      </c>
      <c r="CL269" s="134" t="s">
        <v>5</v>
      </c>
      <c r="CM269" s="91">
        <f>AVERAGE(CM$220:CM221)</f>
        <v>21.34</v>
      </c>
      <c r="CN269" s="91">
        <v>19.905000000000001</v>
      </c>
      <c r="CO269" s="91">
        <v>21.274999999999999</v>
      </c>
      <c r="CP269" s="91">
        <v>20.024999999999999</v>
      </c>
      <c r="CQ269" s="91">
        <v>18.865000000000002</v>
      </c>
      <c r="CR269" s="91">
        <v>17.244999999999997</v>
      </c>
      <c r="CT269" s="134" t="s">
        <v>5</v>
      </c>
      <c r="CU269" s="91">
        <f>AVERAGE(CU$220:CU221)</f>
        <v>20.100000000000001</v>
      </c>
      <c r="CV269" s="91">
        <v>19.82</v>
      </c>
      <c r="CW269" s="91" t="e">
        <v>#DIV/0!</v>
      </c>
      <c r="CX269" s="91"/>
      <c r="CY269" s="91"/>
      <c r="CZ269" s="91"/>
      <c r="DB269" s="134" t="s">
        <v>5</v>
      </c>
      <c r="DC269" s="91">
        <f>AVERAGE(DC$220:DC221)</f>
        <v>23.2</v>
      </c>
      <c r="DD269" s="91">
        <v>21.594999999999999</v>
      </c>
      <c r="DE269" s="91" t="e">
        <v>#DIV/0!</v>
      </c>
      <c r="DF269" s="91"/>
      <c r="DG269" s="91"/>
      <c r="DH269" s="91"/>
      <c r="DI269" s="91"/>
      <c r="DJ269" s="134" t="s">
        <v>5</v>
      </c>
      <c r="DK269" s="91">
        <f>AVERAGE(DK$220:DK221)</f>
        <v>16.89</v>
      </c>
      <c r="DL269" s="91">
        <v>16.695</v>
      </c>
      <c r="DM269" s="91" t="e">
        <v>#DIV/0!</v>
      </c>
      <c r="DN269" s="91"/>
      <c r="DO269" s="91"/>
      <c r="DP269" s="91"/>
      <c r="DR269" s="134" t="s">
        <v>5</v>
      </c>
      <c r="DS269" s="91">
        <f>AVERAGE(DS$220:DS221)</f>
        <v>22.54</v>
      </c>
      <c r="DT269" s="91">
        <v>21.84</v>
      </c>
      <c r="DU269" s="91" t="e">
        <v>#DIV/0!</v>
      </c>
      <c r="DV269" s="91"/>
      <c r="DW269" s="91"/>
      <c r="DX269" s="91"/>
      <c r="DZ269" s="134" t="s">
        <v>5</v>
      </c>
      <c r="EA269" s="91">
        <f>AVERAGE(EA$220:EA221)</f>
        <v>22.21</v>
      </c>
      <c r="EB269" s="91" t="e">
        <v>#DIV/0!</v>
      </c>
      <c r="EC269" s="91" t="e">
        <v>#DIV/0!</v>
      </c>
      <c r="ED269" s="91"/>
      <c r="EE269" s="91"/>
      <c r="EF269" s="91"/>
    </row>
    <row r="270" spans="1:136" s="90" customFormat="1" x14ac:dyDescent="0.2">
      <c r="A270" s="292"/>
      <c r="B270" s="134" t="s">
        <v>7</v>
      </c>
      <c r="C270" s="91">
        <f>AVERAGE(C$220:C222)</f>
        <v>19.098571428571429</v>
      </c>
      <c r="D270" s="91">
        <f>AVERAGE(D$220:D222)</f>
        <v>21.727333333333331</v>
      </c>
      <c r="E270" s="91">
        <f>AVERAGE(E$220:E222)</f>
        <v>21.915666666666667</v>
      </c>
      <c r="F270" s="91">
        <f>AVERAGE(F$220:F222)</f>
        <v>23.054999999999996</v>
      </c>
      <c r="G270" s="91">
        <f>AVERAGE(G$220:G222)</f>
        <v>18.471666666666668</v>
      </c>
      <c r="H270" s="91">
        <f>AVERAGE(H$220:H222)</f>
        <v>16.662638888888889</v>
      </c>
      <c r="I270" s="91"/>
      <c r="J270" s="134" t="s">
        <v>7</v>
      </c>
      <c r="K270" s="91">
        <f>AVERAGE(K$220:K222)</f>
        <v>20.09</v>
      </c>
      <c r="L270" s="91">
        <v>18.203333333333333</v>
      </c>
      <c r="M270" s="91">
        <v>18.183333333333334</v>
      </c>
      <c r="N270" s="91">
        <v>16.766666666666666</v>
      </c>
      <c r="O270" s="91">
        <v>17.783333333333335</v>
      </c>
      <c r="P270" s="91">
        <v>16.296666666666667</v>
      </c>
      <c r="R270" s="134" t="s">
        <v>7</v>
      </c>
      <c r="S270" s="91">
        <f>AVERAGE(S$220:S222)</f>
        <v>18.59</v>
      </c>
      <c r="T270" s="91">
        <v>17.493333333333336</v>
      </c>
      <c r="U270" s="91">
        <v>18.419999999999998</v>
      </c>
      <c r="V270" s="91">
        <v>16.976666666666663</v>
      </c>
      <c r="W270" s="91">
        <v>16.633333333333336</v>
      </c>
      <c r="X270" s="91">
        <v>15.39</v>
      </c>
      <c r="Z270" s="134" t="s">
        <v>7</v>
      </c>
      <c r="AA270" s="91">
        <f>AVERAGE(AA$220:AA222)</f>
        <v>19.920000000000002</v>
      </c>
      <c r="AB270" s="91">
        <v>18.929999999999996</v>
      </c>
      <c r="AC270" s="91">
        <v>18.329999999999998</v>
      </c>
      <c r="AD270" s="91">
        <v>17.36</v>
      </c>
      <c r="AE270" s="91">
        <v>19.206666666666667</v>
      </c>
      <c r="AF270" s="91">
        <v>17.006666666666668</v>
      </c>
      <c r="AH270" s="134" t="s">
        <v>7</v>
      </c>
      <c r="AI270" s="91" t="e">
        <f>AVERAGE(AI$220:AI222)</f>
        <v>#DIV/0!</v>
      </c>
      <c r="AJ270" s="91">
        <v>21.076666666666664</v>
      </c>
      <c r="AK270" s="91">
        <v>21.493333333333336</v>
      </c>
      <c r="AL270" s="91">
        <v>19.253333333333334</v>
      </c>
      <c r="AM270" s="91">
        <v>17.223333333333333</v>
      </c>
      <c r="AN270" s="91">
        <v>19.106666666666666</v>
      </c>
      <c r="AP270" s="134" t="s">
        <v>7</v>
      </c>
      <c r="AQ270" s="91">
        <f>AVERAGE(AQ$220:AQ222)</f>
        <v>20.2</v>
      </c>
      <c r="AR270" s="91">
        <v>19.026666666666667</v>
      </c>
      <c r="AS270" s="91">
        <v>18.866666666666664</v>
      </c>
      <c r="AT270" s="91">
        <v>17.116666666666664</v>
      </c>
      <c r="AU270" s="91">
        <v>16.059999999999999</v>
      </c>
      <c r="AV270" s="91" t="e">
        <v>#DIV/0!</v>
      </c>
      <c r="AX270" s="134" t="s">
        <v>7</v>
      </c>
      <c r="AY270" s="91" t="e">
        <f>AVERAGE(AY$220:AY222)</f>
        <v>#DIV/0!</v>
      </c>
      <c r="AZ270" s="91">
        <v>21.97666666666667</v>
      </c>
      <c r="BA270" s="91">
        <v>20.943333333333332</v>
      </c>
      <c r="BB270" s="91">
        <v>20.053333333333331</v>
      </c>
      <c r="BC270" s="91"/>
      <c r="BD270" s="91"/>
      <c r="BE270" s="91"/>
      <c r="BF270" s="134" t="s">
        <v>7</v>
      </c>
      <c r="BG270" s="91">
        <f>AVERAGE(BG$220:BG222)</f>
        <v>20.56</v>
      </c>
      <c r="BH270" s="91">
        <v>19.266666666666669</v>
      </c>
      <c r="BI270" s="91">
        <v>19.756666666666664</v>
      </c>
      <c r="BJ270" s="91"/>
      <c r="BK270" s="91"/>
      <c r="BL270" s="91"/>
      <c r="BM270" s="91"/>
      <c r="BN270" s="134" t="s">
        <v>7</v>
      </c>
      <c r="BO270" s="91">
        <f>AVERAGE(BO$220:BO222)</f>
        <v>21.04</v>
      </c>
      <c r="BP270" s="91">
        <v>20.516666666666666</v>
      </c>
      <c r="BQ270" s="91">
        <v>20.156666666666666</v>
      </c>
      <c r="BR270" s="91">
        <v>18.783333333333335</v>
      </c>
      <c r="BS270" s="91">
        <v>15.816666666666665</v>
      </c>
      <c r="BT270" s="91">
        <v>16.776666666666667</v>
      </c>
      <c r="BV270" s="134" t="s">
        <v>7</v>
      </c>
      <c r="BW270" s="91">
        <f>AVERAGE(BW$220:BW222)</f>
        <v>22.31</v>
      </c>
      <c r="BX270" s="91">
        <v>21.14</v>
      </c>
      <c r="BY270" s="91">
        <v>21.736666666666665</v>
      </c>
      <c r="BZ270" s="91">
        <v>19.79</v>
      </c>
      <c r="CA270" s="91">
        <v>20.320000000000004</v>
      </c>
      <c r="CB270" s="91">
        <v>18.086666666666662</v>
      </c>
      <c r="CC270" s="91"/>
      <c r="CD270" s="134" t="s">
        <v>7</v>
      </c>
      <c r="CE270" s="91">
        <f>AVERAGE(CE$220:CE222)</f>
        <v>20.6</v>
      </c>
      <c r="CF270" s="91">
        <v>19.326666666666668</v>
      </c>
      <c r="CG270" s="91">
        <v>19.786666666666665</v>
      </c>
      <c r="CH270" s="91">
        <v>18.366666666666664</v>
      </c>
      <c r="CI270" s="91">
        <v>21.296666666666667</v>
      </c>
      <c r="CJ270" s="91">
        <v>15.543333333333331</v>
      </c>
      <c r="CL270" s="134" t="s">
        <v>7</v>
      </c>
      <c r="CM270" s="91">
        <f>AVERAGE(CM$220:CM222)</f>
        <v>21.34</v>
      </c>
      <c r="CN270" s="91">
        <v>20.316666666666666</v>
      </c>
      <c r="CO270" s="91">
        <v>21.483333333333331</v>
      </c>
      <c r="CP270" s="91">
        <v>19.973333333333333</v>
      </c>
      <c r="CQ270" s="91">
        <v>18.560000000000002</v>
      </c>
      <c r="CR270" s="91">
        <v>17.306666666666665</v>
      </c>
      <c r="CT270" s="134" t="s">
        <v>7</v>
      </c>
      <c r="CU270" s="91">
        <f>AVERAGE(CU$220:CU222)</f>
        <v>20.100000000000001</v>
      </c>
      <c r="CV270" s="91">
        <v>19.596666666666668</v>
      </c>
      <c r="CW270" s="91" t="e">
        <v>#DIV/0!</v>
      </c>
      <c r="CX270" s="91"/>
      <c r="CY270" s="91"/>
      <c r="CZ270" s="91"/>
      <c r="DB270" s="134" t="s">
        <v>7</v>
      </c>
      <c r="DC270" s="91">
        <f>AVERAGE(DC$220:DC222)</f>
        <v>23.2</v>
      </c>
      <c r="DD270" s="91">
        <v>21.633333333333336</v>
      </c>
      <c r="DE270" s="91" t="e">
        <v>#DIV/0!</v>
      </c>
      <c r="DF270" s="91"/>
      <c r="DG270" s="91"/>
      <c r="DH270" s="91"/>
      <c r="DI270" s="91"/>
      <c r="DJ270" s="134" t="s">
        <v>7</v>
      </c>
      <c r="DK270" s="91">
        <f>AVERAGE(DK$220:DK222)</f>
        <v>16.89</v>
      </c>
      <c r="DL270" s="91">
        <v>16.666666666666668</v>
      </c>
      <c r="DM270" s="91" t="e">
        <v>#DIV/0!</v>
      </c>
      <c r="DN270" s="91"/>
      <c r="DO270" s="91"/>
      <c r="DP270" s="91"/>
      <c r="DR270" s="134" t="s">
        <v>7</v>
      </c>
      <c r="DS270" s="91">
        <f>AVERAGE(DS$220:DS222)</f>
        <v>22.54</v>
      </c>
      <c r="DT270" s="91">
        <v>21.900000000000002</v>
      </c>
      <c r="DU270" s="91" t="e">
        <v>#DIV/0!</v>
      </c>
      <c r="DV270" s="91"/>
      <c r="DW270" s="91"/>
      <c r="DX270" s="91"/>
      <c r="DZ270" s="134" t="s">
        <v>7</v>
      </c>
      <c r="EA270" s="91">
        <f>AVERAGE(EA$220:EA222)</f>
        <v>22.21</v>
      </c>
      <c r="EB270" s="91" t="e">
        <v>#DIV/0!</v>
      </c>
      <c r="EC270" s="91" t="e">
        <v>#DIV/0!</v>
      </c>
      <c r="ED270" s="91"/>
      <c r="EE270" s="91"/>
      <c r="EF270" s="91"/>
    </row>
    <row r="271" spans="1:136" s="90" customFormat="1" x14ac:dyDescent="0.2">
      <c r="A271" s="292"/>
      <c r="B271" s="134" t="s">
        <v>9</v>
      </c>
      <c r="C271" s="91">
        <f>AVERAGE(C$220:C223)</f>
        <v>19.098571428571429</v>
      </c>
      <c r="D271" s="91">
        <f>AVERAGE(D$220:D223)</f>
        <v>21.607749999999996</v>
      </c>
      <c r="E271" s="91">
        <f>AVERAGE(E$220:E223)</f>
        <v>22.012999999999998</v>
      </c>
      <c r="F271" s="91">
        <f>AVERAGE(F$220:F223)</f>
        <v>23.167499999999997</v>
      </c>
      <c r="G271" s="91">
        <f>AVERAGE(G$220:G223)</f>
        <v>17.911875000000002</v>
      </c>
      <c r="H271" s="91">
        <f>AVERAGE(H$220:H223)</f>
        <v>17.871145833333333</v>
      </c>
      <c r="I271" s="91"/>
      <c r="J271" s="134" t="s">
        <v>9</v>
      </c>
      <c r="K271" s="91">
        <f>AVERAGE(K$220:K223)</f>
        <v>20.09</v>
      </c>
      <c r="L271" s="91">
        <v>18.197499999999998</v>
      </c>
      <c r="M271" s="91">
        <v>18.4025</v>
      </c>
      <c r="N271" s="91">
        <v>16.93</v>
      </c>
      <c r="O271" s="91">
        <v>17.745000000000001</v>
      </c>
      <c r="P271" s="91">
        <v>12.22250025</v>
      </c>
      <c r="R271" s="134" t="s">
        <v>9</v>
      </c>
      <c r="S271" s="91">
        <f>AVERAGE(S$220:S223)</f>
        <v>18.59</v>
      </c>
      <c r="T271" s="91">
        <v>17.537500000000001</v>
      </c>
      <c r="U271" s="91">
        <v>18.484999999999999</v>
      </c>
      <c r="V271" s="91">
        <v>17.014999999999997</v>
      </c>
      <c r="W271" s="91">
        <v>16.43</v>
      </c>
      <c r="X271" s="91">
        <v>11.5425</v>
      </c>
      <c r="Z271" s="134" t="s">
        <v>9</v>
      </c>
      <c r="AA271" s="91">
        <f>AVERAGE(AA$220:AA223)</f>
        <v>19.920000000000002</v>
      </c>
      <c r="AB271" s="91">
        <v>18.802499999999998</v>
      </c>
      <c r="AC271" s="91">
        <v>18.517499999999998</v>
      </c>
      <c r="AD271" s="91">
        <v>17.482500000000002</v>
      </c>
      <c r="AE271" s="91">
        <v>18.942500000000003</v>
      </c>
      <c r="AF271" s="91">
        <v>12.755000000000001</v>
      </c>
      <c r="AH271" s="134" t="s">
        <v>9</v>
      </c>
      <c r="AI271" s="91" t="e">
        <f>AVERAGE(AI$220:AI223)</f>
        <v>#DIV/0!</v>
      </c>
      <c r="AJ271" s="91">
        <v>21</v>
      </c>
      <c r="AK271" s="91">
        <v>21.407499999999999</v>
      </c>
      <c r="AL271" s="91">
        <v>19.305</v>
      </c>
      <c r="AM271" s="91">
        <v>17.380000000000003</v>
      </c>
      <c r="AN271" s="91">
        <v>14.329999999999998</v>
      </c>
      <c r="AP271" s="134" t="s">
        <v>9</v>
      </c>
      <c r="AQ271" s="91">
        <f>AVERAGE(AQ$220:AQ223)</f>
        <v>20.2</v>
      </c>
      <c r="AR271" s="91">
        <v>18.8</v>
      </c>
      <c r="AS271" s="91">
        <v>18.914999999999999</v>
      </c>
      <c r="AT271" s="91">
        <v>17.2425</v>
      </c>
      <c r="AU271" s="91">
        <v>16.649999999999999</v>
      </c>
      <c r="AV271" s="91" t="e">
        <v>#DIV/0!</v>
      </c>
      <c r="AX271" s="134" t="s">
        <v>9</v>
      </c>
      <c r="AY271" s="91" t="e">
        <f>AVERAGE(AY$220:AY223)</f>
        <v>#DIV/0!</v>
      </c>
      <c r="AZ271" s="91">
        <v>21.732500000000002</v>
      </c>
      <c r="BA271" s="91">
        <v>21.092500000000001</v>
      </c>
      <c r="BB271" s="91">
        <v>20.032499999999999</v>
      </c>
      <c r="BC271" s="91"/>
      <c r="BD271" s="91"/>
      <c r="BE271" s="91"/>
      <c r="BF271" s="134" t="s">
        <v>9</v>
      </c>
      <c r="BG271" s="91">
        <f>AVERAGE(BG$220:BG223)</f>
        <v>20.56</v>
      </c>
      <c r="BH271" s="91">
        <v>19.09</v>
      </c>
      <c r="BI271" s="91">
        <v>19.712499999999999</v>
      </c>
      <c r="BJ271" s="91"/>
      <c r="BK271" s="91"/>
      <c r="BL271" s="91"/>
      <c r="BM271" s="91"/>
      <c r="BN271" s="134" t="s">
        <v>9</v>
      </c>
      <c r="BO271" s="91">
        <f>AVERAGE(BO$220:BO223)</f>
        <v>21.04</v>
      </c>
      <c r="BP271" s="91">
        <v>20.377499999999998</v>
      </c>
      <c r="BQ271" s="91">
        <v>20.395</v>
      </c>
      <c r="BR271" s="91">
        <v>19.060000000000002</v>
      </c>
      <c r="BS271" s="91">
        <v>16.169999999999998</v>
      </c>
      <c r="BT271" s="91">
        <v>12.5825</v>
      </c>
      <c r="BV271" s="134" t="s">
        <v>9</v>
      </c>
      <c r="BW271" s="91">
        <f>AVERAGE(BW$220:BW223)</f>
        <v>22.31</v>
      </c>
      <c r="BX271" s="91">
        <v>21.032499999999999</v>
      </c>
      <c r="BY271" s="91">
        <v>21.839999999999996</v>
      </c>
      <c r="BZ271" s="91">
        <v>19.947499999999998</v>
      </c>
      <c r="CA271" s="91">
        <v>19.592500000000001</v>
      </c>
      <c r="CB271" s="91">
        <v>13.564999999999998</v>
      </c>
      <c r="CC271" s="91"/>
      <c r="CD271" s="134" t="s">
        <v>9</v>
      </c>
      <c r="CE271" s="91">
        <f>AVERAGE(CE$220:CE223)</f>
        <v>20.6</v>
      </c>
      <c r="CF271" s="91">
        <v>19.147500000000001</v>
      </c>
      <c r="CG271" s="91">
        <v>19.805</v>
      </c>
      <c r="CH271" s="91">
        <v>18.294999999999998</v>
      </c>
      <c r="CI271" s="91">
        <v>20.177500000000002</v>
      </c>
      <c r="CJ271" s="91">
        <v>11.657500024999999</v>
      </c>
      <c r="CL271" s="134" t="s">
        <v>9</v>
      </c>
      <c r="CM271" s="91">
        <f>AVERAGE(CM$220:CM223)</f>
        <v>21.34</v>
      </c>
      <c r="CN271" s="91">
        <v>20.36</v>
      </c>
      <c r="CO271" s="91">
        <v>21.557499999999997</v>
      </c>
      <c r="CP271" s="91">
        <v>20.03</v>
      </c>
      <c r="CQ271" s="91">
        <v>18.5425</v>
      </c>
      <c r="CR271" s="91">
        <v>12.979999999999999</v>
      </c>
      <c r="CT271" s="134" t="s">
        <v>9</v>
      </c>
      <c r="CU271" s="91">
        <f>AVERAGE(CU$220:CU223)</f>
        <v>20.100000000000001</v>
      </c>
      <c r="CV271" s="91">
        <v>19.36</v>
      </c>
      <c r="CW271" s="91" t="e">
        <v>#DIV/0!</v>
      </c>
      <c r="CX271" s="91"/>
      <c r="CY271" s="91"/>
      <c r="CZ271" s="91"/>
      <c r="DB271" s="134" t="s">
        <v>9</v>
      </c>
      <c r="DC271" s="91">
        <f>AVERAGE(DC$220:DC223)</f>
        <v>23.2</v>
      </c>
      <c r="DD271" s="91">
        <v>21.55</v>
      </c>
      <c r="DE271" s="91" t="e">
        <v>#DIV/0!</v>
      </c>
      <c r="DF271" s="91"/>
      <c r="DG271" s="91"/>
      <c r="DH271" s="91"/>
      <c r="DI271" s="91"/>
      <c r="DJ271" s="134" t="s">
        <v>9</v>
      </c>
      <c r="DK271" s="91">
        <f>AVERAGE(DK$220:DK223)</f>
        <v>16.89</v>
      </c>
      <c r="DL271" s="91">
        <v>16.5275</v>
      </c>
      <c r="DM271" s="91" t="e">
        <v>#DIV/0!</v>
      </c>
      <c r="DN271" s="91"/>
      <c r="DO271" s="91"/>
      <c r="DP271" s="91"/>
      <c r="DR271" s="134" t="s">
        <v>9</v>
      </c>
      <c r="DS271" s="91">
        <f>AVERAGE(DS$220:DS223)</f>
        <v>22.54</v>
      </c>
      <c r="DT271" s="91">
        <v>21.5</v>
      </c>
      <c r="DU271" s="91" t="e">
        <v>#DIV/0!</v>
      </c>
      <c r="DV271" s="91"/>
      <c r="DW271" s="91"/>
      <c r="DX271" s="91"/>
      <c r="DZ271" s="134" t="s">
        <v>9</v>
      </c>
      <c r="EA271" s="91">
        <f>AVERAGE(EA$220:EA223)</f>
        <v>22.21</v>
      </c>
      <c r="EB271" s="91" t="e">
        <v>#DIV/0!</v>
      </c>
      <c r="EC271" s="91" t="e">
        <v>#DIV/0!</v>
      </c>
      <c r="ED271" s="91"/>
      <c r="EE271" s="91"/>
      <c r="EF271" s="91"/>
    </row>
    <row r="272" spans="1:136" s="90" customFormat="1" x14ac:dyDescent="0.2">
      <c r="A272" s="292"/>
      <c r="B272" s="134" t="s">
        <v>11</v>
      </c>
      <c r="C272" s="91">
        <f>AVERAGE(C$220:C224)</f>
        <v>19.098571428571429</v>
      </c>
      <c r="D272" s="91">
        <f>AVERAGE(D$220:D224)</f>
        <v>21.556399999999996</v>
      </c>
      <c r="E272" s="91">
        <f>AVERAGE(E$220:E224)</f>
        <v>21.915399999999998</v>
      </c>
      <c r="F272" s="91">
        <f>AVERAGE(F$220:F224)</f>
        <v>23.102749999999997</v>
      </c>
      <c r="G272" s="91">
        <f>AVERAGE(G$220:G224)</f>
        <v>17.615000000000002</v>
      </c>
      <c r="H272" s="91">
        <f>AVERAGE(H$220:H224)</f>
        <v>18.574916666666667</v>
      </c>
      <c r="I272" s="91"/>
      <c r="J272" s="134" t="s">
        <v>11</v>
      </c>
      <c r="K272" s="91">
        <f>AVERAGE(K$220:K224)</f>
        <v>20.09</v>
      </c>
      <c r="L272" s="91">
        <v>18.241999999999997</v>
      </c>
      <c r="M272" s="91">
        <v>18.324000000000002</v>
      </c>
      <c r="N272" s="91">
        <v>16.928000000000001</v>
      </c>
      <c r="O272" s="91">
        <v>17.777999999999999</v>
      </c>
      <c r="P272" s="91">
        <v>14.1940002</v>
      </c>
      <c r="R272" s="134" t="s">
        <v>11</v>
      </c>
      <c r="S272" s="91">
        <f>AVERAGE(S$220:S224)</f>
        <v>18.59</v>
      </c>
      <c r="T272" s="91">
        <v>17.524000000000001</v>
      </c>
      <c r="U272" s="91">
        <v>18.399999999999999</v>
      </c>
      <c r="V272" s="91">
        <v>16.869999999999997</v>
      </c>
      <c r="W272" s="91">
        <v>16.588000000000001</v>
      </c>
      <c r="X272" s="91">
        <v>13.456</v>
      </c>
      <c r="Z272" s="134" t="s">
        <v>11</v>
      </c>
      <c r="AA272" s="91">
        <f>AVERAGE(AA$220:AA224)</f>
        <v>19.920000000000002</v>
      </c>
      <c r="AB272" s="91">
        <v>18.867999999999999</v>
      </c>
      <c r="AC272" s="91">
        <v>18.375999999999998</v>
      </c>
      <c r="AD272" s="91">
        <v>17.346</v>
      </c>
      <c r="AE272" s="91">
        <v>18.514000000000003</v>
      </c>
      <c r="AF272" s="91">
        <v>14.970000000000002</v>
      </c>
      <c r="AH272" s="134" t="s">
        <v>11</v>
      </c>
      <c r="AI272" s="91" t="e">
        <f>AVERAGE(AI$220:AI224)</f>
        <v>#DIV/0!</v>
      </c>
      <c r="AJ272" s="91">
        <v>21.06</v>
      </c>
      <c r="AK272" s="91">
        <v>21.327999999999999</v>
      </c>
      <c r="AL272" s="91">
        <v>19.246000000000002</v>
      </c>
      <c r="AM272" s="91">
        <v>17.808</v>
      </c>
      <c r="AN272" s="91">
        <v>16.181999999999999</v>
      </c>
      <c r="AP272" s="134" t="s">
        <v>11</v>
      </c>
      <c r="AQ272" s="91">
        <f>AVERAGE(AQ$220:AQ224)</f>
        <v>20.2</v>
      </c>
      <c r="AR272" s="91">
        <v>18.698</v>
      </c>
      <c r="AS272" s="91">
        <v>18.86</v>
      </c>
      <c r="AT272" s="91">
        <v>17.241999999999997</v>
      </c>
      <c r="AU272" s="91">
        <v>16.654</v>
      </c>
      <c r="AV272" s="91" t="e">
        <v>#DIV/0!</v>
      </c>
      <c r="AX272" s="134" t="s">
        <v>11</v>
      </c>
      <c r="AY272" s="91" t="e">
        <f>AVERAGE(AY$220:AY224)</f>
        <v>#DIV/0!</v>
      </c>
      <c r="AZ272" s="91">
        <v>21.490000000000002</v>
      </c>
      <c r="BA272" s="91">
        <v>21.044</v>
      </c>
      <c r="BB272" s="91">
        <v>19.972000000000001</v>
      </c>
      <c r="BC272" s="91"/>
      <c r="BD272" s="91"/>
      <c r="BE272" s="91"/>
      <c r="BF272" s="134" t="s">
        <v>11</v>
      </c>
      <c r="BG272" s="91">
        <f>AVERAGE(BG$220:BG224)</f>
        <v>20.56</v>
      </c>
      <c r="BH272" s="91">
        <v>19.042000000000002</v>
      </c>
      <c r="BI272" s="91">
        <v>19.559999999999999</v>
      </c>
      <c r="BJ272" s="91"/>
      <c r="BK272" s="91"/>
      <c r="BL272" s="91"/>
      <c r="BM272" s="91"/>
      <c r="BN272" s="134" t="s">
        <v>11</v>
      </c>
      <c r="BO272" s="91">
        <f>AVERAGE(BO$220:BO224)</f>
        <v>21.04</v>
      </c>
      <c r="BP272" s="91">
        <v>20.367999999999999</v>
      </c>
      <c r="BQ272" s="91">
        <v>20.369999999999997</v>
      </c>
      <c r="BR272" s="91">
        <v>19.078000000000003</v>
      </c>
      <c r="BS272" s="91">
        <v>16.323999999999998</v>
      </c>
      <c r="BT272" s="91">
        <v>10.065999999999999</v>
      </c>
      <c r="BV272" s="134" t="s">
        <v>11</v>
      </c>
      <c r="BW272" s="91">
        <f>AVERAGE(BW$220:BW224)</f>
        <v>22.31</v>
      </c>
      <c r="BX272" s="91">
        <v>20.904</v>
      </c>
      <c r="BY272" s="91">
        <v>21.769999999999996</v>
      </c>
      <c r="BZ272" s="91">
        <v>19.942</v>
      </c>
      <c r="CA272" s="91">
        <v>19.588000000000001</v>
      </c>
      <c r="CB272" s="91">
        <v>15.773999999999997</v>
      </c>
      <c r="CC272" s="91"/>
      <c r="CD272" s="134" t="s">
        <v>11</v>
      </c>
      <c r="CE272" s="91">
        <f>AVERAGE(CE$220:CE224)</f>
        <v>20.6</v>
      </c>
      <c r="CF272" s="91">
        <v>19.082000000000001</v>
      </c>
      <c r="CG272" s="91">
        <v>19.672000000000001</v>
      </c>
      <c r="CH272" s="91">
        <v>18.193999999999999</v>
      </c>
      <c r="CI272" s="91">
        <v>19.93</v>
      </c>
      <c r="CJ272" s="91">
        <v>10.576000019999999</v>
      </c>
      <c r="CL272" s="134" t="s">
        <v>11</v>
      </c>
      <c r="CM272" s="91">
        <f>AVERAGE(CM$220:CM224)</f>
        <v>21.34</v>
      </c>
      <c r="CN272" s="91">
        <v>20.285999999999998</v>
      </c>
      <c r="CO272" s="91">
        <v>21.449999999999996</v>
      </c>
      <c r="CP272" s="91">
        <v>20.004000000000001</v>
      </c>
      <c r="CQ272" s="91">
        <v>18.765999999999998</v>
      </c>
      <c r="CR272" s="91">
        <v>14.927999999999997</v>
      </c>
      <c r="CT272" s="134" t="s">
        <v>11</v>
      </c>
      <c r="CU272" s="91">
        <f>AVERAGE(CU$220:CU224)</f>
        <v>20.100000000000001</v>
      </c>
      <c r="CV272" s="91">
        <v>19.222000000000001</v>
      </c>
      <c r="CW272" s="91" t="e">
        <v>#DIV/0!</v>
      </c>
      <c r="CX272" s="91"/>
      <c r="CY272" s="91"/>
      <c r="CZ272" s="91"/>
      <c r="DB272" s="134" t="s">
        <v>11</v>
      </c>
      <c r="DC272" s="91">
        <f>AVERAGE(DC$220:DC224)</f>
        <v>23.2</v>
      </c>
      <c r="DD272" s="91">
        <v>21.448</v>
      </c>
      <c r="DE272" s="91" t="e">
        <v>#DIV/0!</v>
      </c>
      <c r="DF272" s="91"/>
      <c r="DG272" s="91"/>
      <c r="DH272" s="91"/>
      <c r="DI272" s="91"/>
      <c r="DJ272" s="134" t="s">
        <v>11</v>
      </c>
      <c r="DK272" s="91">
        <f>AVERAGE(DK$220:DK224)</f>
        <v>16.89</v>
      </c>
      <c r="DL272" s="91">
        <v>16.413999999999998</v>
      </c>
      <c r="DM272" s="91" t="e">
        <v>#DIV/0!</v>
      </c>
      <c r="DN272" s="91"/>
      <c r="DO272" s="91"/>
      <c r="DP272" s="91"/>
      <c r="DR272" s="134" t="s">
        <v>11</v>
      </c>
      <c r="DS272" s="91">
        <f>AVERAGE(DS$220:DS224)</f>
        <v>22.54</v>
      </c>
      <c r="DT272" s="91">
        <v>21.381999999999998</v>
      </c>
      <c r="DU272" s="91" t="e">
        <v>#DIV/0!</v>
      </c>
      <c r="DV272" s="91"/>
      <c r="DW272" s="91"/>
      <c r="DX272" s="91"/>
      <c r="DZ272" s="134" t="s">
        <v>11</v>
      </c>
      <c r="EA272" s="91">
        <f>AVERAGE(EA$220:EA224)</f>
        <v>22.21</v>
      </c>
      <c r="EB272" s="91" t="e">
        <v>#DIV/0!</v>
      </c>
      <c r="EC272" s="91" t="e">
        <v>#DIV/0!</v>
      </c>
      <c r="ED272" s="91"/>
      <c r="EE272" s="91"/>
      <c r="EF272" s="91"/>
    </row>
    <row r="273" spans="1:136" s="90" customFormat="1" x14ac:dyDescent="0.2">
      <c r="A273" s="292"/>
      <c r="B273" s="134" t="s">
        <v>0</v>
      </c>
      <c r="C273" s="91">
        <f>AVERAGE(C$220:C225)</f>
        <v>19.098571428571429</v>
      </c>
      <c r="D273" s="91">
        <f>AVERAGE(D$220:D225)</f>
        <v>21.536999999999995</v>
      </c>
      <c r="E273" s="91">
        <f>AVERAGE(E$220:E225)</f>
        <v>21.782833333333333</v>
      </c>
      <c r="F273" s="91">
        <f>AVERAGE(F$220:F225)</f>
        <v>23.107083333333332</v>
      </c>
      <c r="G273" s="91">
        <f>AVERAGE(G$220:G225)</f>
        <v>17.37</v>
      </c>
      <c r="H273" s="91">
        <f>AVERAGE(H$220:H225)</f>
        <v>18.999097222222222</v>
      </c>
      <c r="I273" s="91"/>
      <c r="J273" s="134" t="s">
        <v>0</v>
      </c>
      <c r="K273" s="91">
        <f>AVERAGE(K$220:K225)</f>
        <v>20.09</v>
      </c>
      <c r="L273" s="91">
        <v>18.246666666666666</v>
      </c>
      <c r="M273" s="91">
        <v>18.271666666666668</v>
      </c>
      <c r="N273" s="91">
        <v>16.993333333333336</v>
      </c>
      <c r="O273" s="91">
        <v>17.611666666666668</v>
      </c>
      <c r="P273" s="91">
        <v>14.868333499999999</v>
      </c>
      <c r="R273" s="134" t="s">
        <v>0</v>
      </c>
      <c r="S273" s="91">
        <f>AVERAGE(S$220:S225)</f>
        <v>18.59</v>
      </c>
      <c r="T273" s="91">
        <v>17.491666666666667</v>
      </c>
      <c r="U273" s="91">
        <v>18.305</v>
      </c>
      <c r="V273" s="91">
        <v>16.843333333333334</v>
      </c>
      <c r="W273" s="91">
        <v>16.5</v>
      </c>
      <c r="X273" s="91">
        <v>13.983333333333334</v>
      </c>
      <c r="Z273" s="134" t="s">
        <v>0</v>
      </c>
      <c r="AA273" s="91">
        <f>AVERAGE(AA$220:AA225)</f>
        <v>19.920000000000002</v>
      </c>
      <c r="AB273" s="91">
        <v>18.836666666666662</v>
      </c>
      <c r="AC273" s="91">
        <v>18.273333333333333</v>
      </c>
      <c r="AD273" s="91">
        <v>17.440000000000001</v>
      </c>
      <c r="AE273" s="91">
        <v>18.193333333333335</v>
      </c>
      <c r="AF273" s="91">
        <v>15.498333333333335</v>
      </c>
      <c r="AH273" s="134" t="s">
        <v>0</v>
      </c>
      <c r="AI273" s="91" t="e">
        <f>AVERAGE(AI$220:AI225)</f>
        <v>#DIV/0!</v>
      </c>
      <c r="AJ273" s="91">
        <v>21.19</v>
      </c>
      <c r="AK273" s="91">
        <v>21.233333333333334</v>
      </c>
      <c r="AL273" s="91">
        <v>19.303333333333335</v>
      </c>
      <c r="AM273" s="91">
        <v>17.968333333333334</v>
      </c>
      <c r="AN273" s="91">
        <v>16.733333333333331</v>
      </c>
      <c r="AP273" s="134" t="s">
        <v>0</v>
      </c>
      <c r="AQ273" s="91">
        <f>AVERAGE(AQ$220:AQ225)</f>
        <v>20.2</v>
      </c>
      <c r="AR273" s="91">
        <v>18.65666666666667</v>
      </c>
      <c r="AS273" s="91">
        <v>18.786666666666665</v>
      </c>
      <c r="AT273" s="91">
        <v>17.16333333333333</v>
      </c>
      <c r="AU273" s="91">
        <v>16.334999999999997</v>
      </c>
      <c r="AV273" s="91" t="e">
        <v>#DIV/0!</v>
      </c>
      <c r="AX273" s="134" t="s">
        <v>0</v>
      </c>
      <c r="AY273" s="91" t="e">
        <f>AVERAGE(AY$220:AY225)</f>
        <v>#DIV/0!</v>
      </c>
      <c r="AZ273" s="91">
        <v>21.344999999999999</v>
      </c>
      <c r="BA273" s="91">
        <v>20.973333333333333</v>
      </c>
      <c r="BB273" s="91">
        <v>19.919999999999998</v>
      </c>
      <c r="BC273" s="91"/>
      <c r="BD273" s="91"/>
      <c r="BE273" s="91"/>
      <c r="BF273" s="134" t="s">
        <v>0</v>
      </c>
      <c r="BG273" s="91">
        <f>AVERAGE(BG$220:BG225)</f>
        <v>20.56</v>
      </c>
      <c r="BH273" s="91">
        <v>19.025000000000002</v>
      </c>
      <c r="BI273" s="91">
        <v>19.279999999999998</v>
      </c>
      <c r="BJ273" s="91"/>
      <c r="BK273" s="91"/>
      <c r="BL273" s="91"/>
      <c r="BM273" s="91"/>
      <c r="BN273" s="134" t="s">
        <v>0</v>
      </c>
      <c r="BO273" s="91">
        <f>AVERAGE(BO$220:BO225)</f>
        <v>21.04</v>
      </c>
      <c r="BP273" s="91">
        <v>20.411666666666665</v>
      </c>
      <c r="BQ273" s="91">
        <v>20.346666666666668</v>
      </c>
      <c r="BR273" s="91">
        <v>19.116666666666671</v>
      </c>
      <c r="BS273" s="91">
        <v>16.52333333333333</v>
      </c>
      <c r="BT273" s="91">
        <v>11.546666666666667</v>
      </c>
      <c r="BV273" s="134" t="s">
        <v>0</v>
      </c>
      <c r="BW273" s="91">
        <f>AVERAGE(BW$220:BW225)</f>
        <v>22.31</v>
      </c>
      <c r="BX273" s="91">
        <v>20.873333333333331</v>
      </c>
      <c r="BY273" s="91">
        <v>21.584999999999997</v>
      </c>
      <c r="BZ273" s="91">
        <v>19.959999999999997</v>
      </c>
      <c r="CA273" s="91">
        <v>19.52</v>
      </c>
      <c r="CB273" s="91">
        <v>16.356666666666666</v>
      </c>
      <c r="CC273" s="91"/>
      <c r="CD273" s="134" t="s">
        <v>0</v>
      </c>
      <c r="CE273" s="91">
        <f>AVERAGE(CE$220:CE225)</f>
        <v>20.6</v>
      </c>
      <c r="CF273" s="91">
        <v>18.984999999999999</v>
      </c>
      <c r="CG273" s="91">
        <v>19.431666666666668</v>
      </c>
      <c r="CH273" s="91">
        <v>18.135000000000002</v>
      </c>
      <c r="CI273" s="91">
        <v>19.46166666666667</v>
      </c>
      <c r="CJ273" s="91">
        <v>11.471666683333332</v>
      </c>
      <c r="CL273" s="134" t="s">
        <v>0</v>
      </c>
      <c r="CM273" s="91">
        <f>AVERAGE(CM$220:CM225)</f>
        <v>21.34</v>
      </c>
      <c r="CN273" s="91">
        <v>20.308333333333334</v>
      </c>
      <c r="CO273" s="91">
        <v>21.341666666666665</v>
      </c>
      <c r="CP273" s="91">
        <v>19.981666666666669</v>
      </c>
      <c r="CQ273" s="91">
        <v>18.826666666666664</v>
      </c>
      <c r="CR273" s="91">
        <v>15.663333333333332</v>
      </c>
      <c r="CT273" s="134" t="s">
        <v>0</v>
      </c>
      <c r="CU273" s="91">
        <f>AVERAGE(CU$220:CU225)</f>
        <v>20.100000000000001</v>
      </c>
      <c r="CV273" s="91">
        <v>19.093333333333334</v>
      </c>
      <c r="CW273" s="91" t="e">
        <v>#DIV/0!</v>
      </c>
      <c r="CX273" s="91"/>
      <c r="CY273" s="91"/>
      <c r="CZ273" s="91"/>
      <c r="DB273" s="134" t="s">
        <v>0</v>
      </c>
      <c r="DC273" s="91">
        <f>AVERAGE(DC$220:DC225)</f>
        <v>23.2</v>
      </c>
      <c r="DD273" s="91">
        <v>21.475000000000005</v>
      </c>
      <c r="DE273" s="91" t="e">
        <v>#DIV/0!</v>
      </c>
      <c r="DF273" s="91"/>
      <c r="DG273" s="91"/>
      <c r="DH273" s="91"/>
      <c r="DI273" s="91"/>
      <c r="DJ273" s="134" t="s">
        <v>0</v>
      </c>
      <c r="DK273" s="91">
        <f>AVERAGE(DK$220:DK225)</f>
        <v>16.89</v>
      </c>
      <c r="DL273" s="91">
        <v>16.399999999999999</v>
      </c>
      <c r="DM273" s="91" t="e">
        <v>#DIV/0!</v>
      </c>
      <c r="DN273" s="91"/>
      <c r="DO273" s="91"/>
      <c r="DP273" s="91"/>
      <c r="DR273" s="134" t="s">
        <v>0</v>
      </c>
      <c r="DS273" s="91">
        <f>AVERAGE(DS$220:DS225)</f>
        <v>22.54</v>
      </c>
      <c r="DT273" s="91">
        <v>21.3</v>
      </c>
      <c r="DU273" s="91" t="e">
        <v>#DIV/0!</v>
      </c>
      <c r="DV273" s="91"/>
      <c r="DW273" s="91"/>
      <c r="DX273" s="91"/>
      <c r="DZ273" s="134" t="s">
        <v>0</v>
      </c>
      <c r="EA273" s="91">
        <f>AVERAGE(EA$220:EA225)</f>
        <v>22.21</v>
      </c>
      <c r="EB273" s="91" t="e">
        <v>#DIV/0!</v>
      </c>
      <c r="EC273" s="91" t="e">
        <v>#DIV/0!</v>
      </c>
      <c r="ED273" s="91"/>
      <c r="EE273" s="91"/>
      <c r="EF273" s="91"/>
    </row>
    <row r="274" spans="1:136" s="90" customFormat="1" x14ac:dyDescent="0.2">
      <c r="A274" s="292"/>
      <c r="B274" s="134" t="s">
        <v>1</v>
      </c>
      <c r="C274" s="91">
        <f>AVERAGE(C$220:C226)</f>
        <v>19.098571428571429</v>
      </c>
      <c r="D274" s="91">
        <f>AVERAGE(D$220:D226)</f>
        <v>21.564571428571423</v>
      </c>
      <c r="E274" s="91">
        <f>AVERAGE(E$220:E226)</f>
        <v>21.825571428571429</v>
      </c>
      <c r="F274" s="91">
        <f>AVERAGE(F$220:F226)</f>
        <v>23.148571428571426</v>
      </c>
      <c r="G274" s="91">
        <f>AVERAGE(G$220:G226)</f>
        <v>17.226428571428574</v>
      </c>
      <c r="H274" s="91">
        <f>AVERAGE(H$220:H226)</f>
        <v>18.606011904761907</v>
      </c>
      <c r="I274" s="91"/>
      <c r="J274" s="134" t="s">
        <v>1</v>
      </c>
      <c r="K274" s="91">
        <f>AVERAGE(K$220:K226)</f>
        <v>20.09</v>
      </c>
      <c r="L274" s="91">
        <v>18.30857142857143</v>
      </c>
      <c r="M274" s="91">
        <v>18.308571428571433</v>
      </c>
      <c r="N274" s="91">
        <v>17.027142857142859</v>
      </c>
      <c r="O274" s="91">
        <v>17.62857142857143</v>
      </c>
      <c r="P274" s="91">
        <v>15.194285857142855</v>
      </c>
      <c r="R274" s="134" t="s">
        <v>1</v>
      </c>
      <c r="S274" s="91">
        <f>AVERAGE(S$220:S226)</f>
        <v>18.59</v>
      </c>
      <c r="T274" s="91">
        <v>17.508571428571429</v>
      </c>
      <c r="U274" s="91">
        <v>18.255714285714284</v>
      </c>
      <c r="V274" s="91">
        <v>16.942857142857143</v>
      </c>
      <c r="W274" s="91">
        <v>16.55857142857143</v>
      </c>
      <c r="X274" s="91">
        <v>14.318571428571429</v>
      </c>
      <c r="Z274" s="134" t="s">
        <v>1</v>
      </c>
      <c r="AA274" s="91">
        <f>AVERAGE(AA$220:AA226)</f>
        <v>19.920000000000002</v>
      </c>
      <c r="AB274" s="91">
        <v>18.861428571428569</v>
      </c>
      <c r="AC274" s="91">
        <v>18.28857142857143</v>
      </c>
      <c r="AD274" s="91">
        <v>17.545714285714286</v>
      </c>
      <c r="AE274" s="91">
        <v>18.044285714285714</v>
      </c>
      <c r="AF274" s="91">
        <v>15.785714285714288</v>
      </c>
      <c r="AH274" s="134" t="s">
        <v>1</v>
      </c>
      <c r="AI274" s="91" t="e">
        <f>AVERAGE(AI$220:AI226)</f>
        <v>#DIV/0!</v>
      </c>
      <c r="AJ274" s="91">
        <v>21.24285714285714</v>
      </c>
      <c r="AK274" s="91">
        <v>21.348571428571429</v>
      </c>
      <c r="AL274" s="91">
        <v>19.394285714285719</v>
      </c>
      <c r="AM274" s="91">
        <v>18.224285714285717</v>
      </c>
      <c r="AN274" s="91">
        <v>17.047142857142855</v>
      </c>
      <c r="AP274" s="134" t="s">
        <v>1</v>
      </c>
      <c r="AQ274" s="91">
        <f>AVERAGE(AQ$220:AQ226)</f>
        <v>20.2</v>
      </c>
      <c r="AR274" s="91">
        <v>18.774285714285718</v>
      </c>
      <c r="AS274" s="91">
        <v>18.78</v>
      </c>
      <c r="AT274" s="91">
        <v>17.19142857142857</v>
      </c>
      <c r="AU274" s="91">
        <v>16.419999999999998</v>
      </c>
      <c r="AV274" s="91" t="e">
        <v>#DIV/0!</v>
      </c>
      <c r="AX274" s="134" t="s">
        <v>1</v>
      </c>
      <c r="AY274" s="91" t="e">
        <f>AVERAGE(AY$220:AY226)</f>
        <v>#DIV/0!</v>
      </c>
      <c r="AZ274" s="91">
        <v>21.277142857142856</v>
      </c>
      <c r="BA274" s="91">
        <v>21.037142857142857</v>
      </c>
      <c r="BB274" s="91">
        <v>19.889999999999997</v>
      </c>
      <c r="BC274" s="91">
        <v>23.09</v>
      </c>
      <c r="BD274" s="91"/>
      <c r="BE274" s="91"/>
      <c r="BF274" s="134" t="s">
        <v>1</v>
      </c>
      <c r="BG274" s="91">
        <f>AVERAGE(BG$220:BG226)</f>
        <v>20.56</v>
      </c>
      <c r="BH274" s="91">
        <v>19.008571428571429</v>
      </c>
      <c r="BI274" s="91">
        <v>19.208571428571425</v>
      </c>
      <c r="BJ274" s="91"/>
      <c r="BK274" s="91"/>
      <c r="BL274" s="91"/>
      <c r="BM274" s="91"/>
      <c r="BN274" s="134" t="s">
        <v>1</v>
      </c>
      <c r="BO274" s="91">
        <f>AVERAGE(BO$220:BO226)</f>
        <v>21.04</v>
      </c>
      <c r="BP274" s="91">
        <v>20.527142857142856</v>
      </c>
      <c r="BQ274" s="91">
        <v>20.491428571428571</v>
      </c>
      <c r="BR274" s="91">
        <v>19.208571428571428</v>
      </c>
      <c r="BS274" s="91">
        <v>16.989999999999998</v>
      </c>
      <c r="BT274" s="91">
        <v>12.677142857142858</v>
      </c>
      <c r="BV274" s="134" t="s">
        <v>1</v>
      </c>
      <c r="BW274" s="91">
        <f>AVERAGE(BW$220:BW226)</f>
        <v>22.31</v>
      </c>
      <c r="BX274" s="91">
        <v>20.86428571428571</v>
      </c>
      <c r="BY274" s="91">
        <v>21.715714285714284</v>
      </c>
      <c r="BZ274" s="91">
        <v>19.985714285714284</v>
      </c>
      <c r="CA274" s="91">
        <v>19.545714285714286</v>
      </c>
      <c r="CB274" s="91">
        <v>16.811428571428568</v>
      </c>
      <c r="CC274" s="91"/>
      <c r="CD274" s="134" t="s">
        <v>1</v>
      </c>
      <c r="CE274" s="91">
        <f>AVERAGE(CE$220:CE226)</f>
        <v>20.6</v>
      </c>
      <c r="CF274" s="91">
        <v>18.96</v>
      </c>
      <c r="CG274" s="91">
        <v>19.382857142857144</v>
      </c>
      <c r="CH274" s="91">
        <v>18.074285714285715</v>
      </c>
      <c r="CI274" s="91">
        <v>19.188571428571432</v>
      </c>
      <c r="CJ274" s="91">
        <v>12.065714299999998</v>
      </c>
      <c r="CL274" s="134" t="s">
        <v>1</v>
      </c>
      <c r="CM274" s="91">
        <f>AVERAGE(CM$220:CM226)</f>
        <v>21.34</v>
      </c>
      <c r="CN274" s="91">
        <v>20.312857142857144</v>
      </c>
      <c r="CO274" s="91">
        <v>21.438571428571429</v>
      </c>
      <c r="CP274" s="91">
        <v>19.928571428571427</v>
      </c>
      <c r="CQ274" s="91">
        <v>18.86428571428571</v>
      </c>
      <c r="CR274" s="91">
        <v>16.035714285714285</v>
      </c>
      <c r="CT274" s="134" t="s">
        <v>1</v>
      </c>
      <c r="CU274" s="91">
        <f>AVERAGE(CU$220:CU226)</f>
        <v>20.100000000000001</v>
      </c>
      <c r="CV274" s="91">
        <v>19.025714285714287</v>
      </c>
      <c r="CW274" s="91" t="e">
        <v>#DIV/0!</v>
      </c>
      <c r="CX274" s="91"/>
      <c r="CY274" s="91"/>
      <c r="CZ274" s="91"/>
      <c r="DB274" s="134" t="s">
        <v>1</v>
      </c>
      <c r="DC274" s="91">
        <f>AVERAGE(DC$220:DC226)</f>
        <v>23.2</v>
      </c>
      <c r="DD274" s="91">
        <v>21.610000000000007</v>
      </c>
      <c r="DE274" s="91" t="e">
        <v>#DIV/0!</v>
      </c>
      <c r="DF274" s="91"/>
      <c r="DG274" s="91"/>
      <c r="DH274" s="91"/>
      <c r="DI274" s="91"/>
      <c r="DJ274" s="134" t="s">
        <v>1</v>
      </c>
      <c r="DK274" s="91">
        <f>AVERAGE(DK$220:DK226)</f>
        <v>16.89</v>
      </c>
      <c r="DL274" s="91">
        <v>16.444285714285712</v>
      </c>
      <c r="DM274" s="91" t="e">
        <v>#DIV/0!</v>
      </c>
      <c r="DN274" s="91"/>
      <c r="DO274" s="91"/>
      <c r="DP274" s="91"/>
      <c r="DR274" s="134" t="s">
        <v>1</v>
      </c>
      <c r="DS274" s="91">
        <f>AVERAGE(DS$220:DS226)</f>
        <v>22.54</v>
      </c>
      <c r="DT274" s="91">
        <v>21.298571428571428</v>
      </c>
      <c r="DU274" s="91" t="e">
        <v>#DIV/0!</v>
      </c>
      <c r="DV274" s="91"/>
      <c r="DW274" s="91"/>
      <c r="DX274" s="91"/>
      <c r="DZ274" s="134" t="s">
        <v>1</v>
      </c>
      <c r="EA274" s="91">
        <f>AVERAGE(EA$220:EA226)</f>
        <v>22.21</v>
      </c>
      <c r="EB274" s="91" t="e">
        <v>#DIV/0!</v>
      </c>
      <c r="EC274" s="91" t="e">
        <v>#DIV/0!</v>
      </c>
      <c r="ED274" s="91"/>
      <c r="EE274" s="91"/>
      <c r="EF274" s="91"/>
    </row>
    <row r="275" spans="1:136" s="90" customFormat="1" x14ac:dyDescent="0.2">
      <c r="A275" s="292"/>
      <c r="B275" s="134" t="s">
        <v>3</v>
      </c>
      <c r="C275" s="91">
        <f>AVERAGE(C$220:C227)</f>
        <v>19.098571428571429</v>
      </c>
      <c r="D275" s="91">
        <f>AVERAGE(D$220:D227)</f>
        <v>21.695624999999996</v>
      </c>
      <c r="E275" s="91">
        <f>AVERAGE(E$220:E227)</f>
        <v>21.886624999999999</v>
      </c>
      <c r="F275" s="91">
        <f>AVERAGE(F$220:F227)</f>
        <v>23.2065625</v>
      </c>
      <c r="G275" s="91">
        <f>AVERAGE(G$220:G227)</f>
        <v>17.215937500000003</v>
      </c>
      <c r="H275" s="91">
        <f>AVERAGE(H$220:H227)</f>
        <v>18.395572916666666</v>
      </c>
      <c r="I275" s="91"/>
      <c r="J275" s="134" t="s">
        <v>3</v>
      </c>
      <c r="K275" s="91">
        <f>AVERAGE(K$220:K227)</f>
        <v>20.09</v>
      </c>
      <c r="L275" s="91">
        <v>18.447499999999998</v>
      </c>
      <c r="M275" s="91">
        <v>18.398750000000003</v>
      </c>
      <c r="N275" s="91">
        <v>17.081250000000001</v>
      </c>
      <c r="O275" s="91">
        <v>17.65625</v>
      </c>
      <c r="P275" s="91">
        <v>15.448750124999998</v>
      </c>
      <c r="R275" s="134" t="s">
        <v>3</v>
      </c>
      <c r="S275" s="91">
        <f>AVERAGE(S$220:S227)</f>
        <v>18.59</v>
      </c>
      <c r="T275" s="91">
        <v>17.672499999999999</v>
      </c>
      <c r="U275" s="91">
        <v>18.265000000000001</v>
      </c>
      <c r="V275" s="91">
        <v>16.965</v>
      </c>
      <c r="W275" s="91">
        <v>16.631250000000001</v>
      </c>
      <c r="X275" s="91">
        <v>14.678750000000001</v>
      </c>
      <c r="Z275" s="134" t="s">
        <v>3</v>
      </c>
      <c r="AA275" s="91">
        <f>AVERAGE(AA$220:AA227)</f>
        <v>19.920000000000002</v>
      </c>
      <c r="AB275" s="91">
        <v>18.921249999999997</v>
      </c>
      <c r="AC275" s="91">
        <v>18.341250000000002</v>
      </c>
      <c r="AD275" s="91">
        <v>17.657499999999999</v>
      </c>
      <c r="AE275" s="91">
        <v>18.02375</v>
      </c>
      <c r="AF275" s="91">
        <v>16.141250000000003</v>
      </c>
      <c r="AH275" s="134" t="s">
        <v>3</v>
      </c>
      <c r="AI275" s="91" t="e">
        <f>AVERAGE(AI$220:AI227)</f>
        <v>#DIV/0!</v>
      </c>
      <c r="AJ275" s="91">
        <v>21.377499999999998</v>
      </c>
      <c r="AK275" s="91">
        <v>21.41</v>
      </c>
      <c r="AL275" s="91">
        <v>19.431250000000002</v>
      </c>
      <c r="AM275" s="91">
        <v>18.517500000000002</v>
      </c>
      <c r="AN275" s="91">
        <v>17.347499999999997</v>
      </c>
      <c r="AP275" s="134" t="s">
        <v>3</v>
      </c>
      <c r="AQ275" s="91">
        <f>AVERAGE(AQ$220:AQ227)</f>
        <v>20.2</v>
      </c>
      <c r="AR275" s="91">
        <v>18.943750000000001</v>
      </c>
      <c r="AS275" s="91">
        <v>18.8</v>
      </c>
      <c r="AT275" s="91">
        <v>17.241249999999997</v>
      </c>
      <c r="AU275" s="91">
        <v>16.465</v>
      </c>
      <c r="AV275" s="91" t="e">
        <v>#DIV/0!</v>
      </c>
      <c r="AX275" s="134" t="s">
        <v>3</v>
      </c>
      <c r="AY275" s="91" t="e">
        <f>AVERAGE(AY$220:AY227)</f>
        <v>#DIV/0!</v>
      </c>
      <c r="AZ275" s="91">
        <v>21.28125</v>
      </c>
      <c r="BA275" s="91">
        <v>21.137499999999999</v>
      </c>
      <c r="BB275" s="91">
        <v>19.87875</v>
      </c>
      <c r="BC275" s="91">
        <v>22.145</v>
      </c>
      <c r="BD275" s="91"/>
      <c r="BE275" s="91"/>
      <c r="BF275" s="134" t="s">
        <v>3</v>
      </c>
      <c r="BG275" s="91">
        <f>AVERAGE(BG$220:BG227)</f>
        <v>20.56</v>
      </c>
      <c r="BH275" s="91">
        <v>19.111249999999998</v>
      </c>
      <c r="BI275" s="91">
        <v>19.158749999999998</v>
      </c>
      <c r="BJ275" s="91"/>
      <c r="BK275" s="91"/>
      <c r="BL275" s="91"/>
      <c r="BM275" s="91"/>
      <c r="BN275" s="134" t="s">
        <v>3</v>
      </c>
      <c r="BO275" s="91">
        <f>AVERAGE(BO$220:BO227)</f>
        <v>21.04</v>
      </c>
      <c r="BP275" s="91">
        <v>20.74625</v>
      </c>
      <c r="BQ275" s="91">
        <v>20.64875</v>
      </c>
      <c r="BR275" s="91">
        <v>19.256250000000001</v>
      </c>
      <c r="BS275" s="91">
        <v>17.422499999999996</v>
      </c>
      <c r="BT275" s="91">
        <v>13.668750000000001</v>
      </c>
      <c r="BV275" s="134" t="s">
        <v>3</v>
      </c>
      <c r="BW275" s="91">
        <f>AVERAGE(BW$220:BW227)</f>
        <v>22.31</v>
      </c>
      <c r="BX275" s="91">
        <v>21.021249999999998</v>
      </c>
      <c r="BY275" s="91">
        <v>21.821249999999999</v>
      </c>
      <c r="BZ275" s="91">
        <v>20.022499999999997</v>
      </c>
      <c r="CA275" s="91">
        <v>19.673749999999998</v>
      </c>
      <c r="CB275" s="91">
        <v>17.248749999999998</v>
      </c>
      <c r="CC275" s="91"/>
      <c r="CD275" s="134" t="s">
        <v>3</v>
      </c>
      <c r="CE275" s="91">
        <f>AVERAGE(CE$220:CE227)</f>
        <v>20.6</v>
      </c>
      <c r="CF275" s="91">
        <v>19.017499999999998</v>
      </c>
      <c r="CG275" s="91">
        <v>19.431250000000002</v>
      </c>
      <c r="CH275" s="91">
        <v>18.185000000000002</v>
      </c>
      <c r="CI275" s="91">
        <v>19.080000000000002</v>
      </c>
      <c r="CJ275" s="91">
        <v>12.791250012499999</v>
      </c>
      <c r="CL275" s="134" t="s">
        <v>3</v>
      </c>
      <c r="CM275" s="91">
        <f>AVERAGE(CM$220:CM227)</f>
        <v>21.34</v>
      </c>
      <c r="CN275" s="91">
        <v>20.416249999999998</v>
      </c>
      <c r="CO275" s="91">
        <v>21.453749999999999</v>
      </c>
      <c r="CP275" s="91">
        <v>19.93375</v>
      </c>
      <c r="CQ275" s="91">
        <v>18.998749999999998</v>
      </c>
      <c r="CR275" s="91">
        <v>16.407499999999999</v>
      </c>
      <c r="CT275" s="134" t="s">
        <v>3</v>
      </c>
      <c r="CU275" s="91">
        <f>AVERAGE(CU$220:CU227)</f>
        <v>20.100000000000001</v>
      </c>
      <c r="CV275" s="91">
        <v>19.02</v>
      </c>
      <c r="CW275" s="91" t="e">
        <v>#DIV/0!</v>
      </c>
      <c r="CX275" s="91"/>
      <c r="CY275" s="91"/>
      <c r="CZ275" s="91"/>
      <c r="DB275" s="134" t="s">
        <v>3</v>
      </c>
      <c r="DC275" s="91">
        <f>AVERAGE(DC$220:DC227)</f>
        <v>23.2</v>
      </c>
      <c r="DD275" s="91">
        <v>21.762500000000003</v>
      </c>
      <c r="DE275" s="91" t="e">
        <v>#DIV/0!</v>
      </c>
      <c r="DF275" s="91"/>
      <c r="DG275" s="91"/>
      <c r="DH275" s="91"/>
      <c r="DI275" s="91"/>
      <c r="DJ275" s="134" t="s">
        <v>3</v>
      </c>
      <c r="DK275" s="91">
        <f>AVERAGE(DK$220:DK227)</f>
        <v>16.89</v>
      </c>
      <c r="DL275" s="91">
        <v>16.526249999999997</v>
      </c>
      <c r="DM275" s="91" t="e">
        <v>#DIV/0!</v>
      </c>
      <c r="DN275" s="91"/>
      <c r="DO275" s="91"/>
      <c r="DP275" s="91"/>
      <c r="DR275" s="134" t="s">
        <v>3</v>
      </c>
      <c r="DS275" s="91">
        <f>AVERAGE(DS$220:DS227)</f>
        <v>22.54</v>
      </c>
      <c r="DT275" s="91">
        <v>21.358750000000001</v>
      </c>
      <c r="DU275" s="91" t="e">
        <v>#DIV/0!</v>
      </c>
      <c r="DV275" s="91"/>
      <c r="DW275" s="91"/>
      <c r="DX275" s="91"/>
      <c r="DZ275" s="134" t="s">
        <v>3</v>
      </c>
      <c r="EA275" s="91">
        <f>AVERAGE(EA$220:EA227)</f>
        <v>22.21</v>
      </c>
      <c r="EB275" s="91">
        <v>21.37</v>
      </c>
      <c r="EC275" s="91" t="e">
        <v>#DIV/0!</v>
      </c>
      <c r="ED275" s="91"/>
      <c r="EE275" s="91"/>
      <c r="EF275" s="91"/>
    </row>
    <row r="276" spans="1:136" s="90" customFormat="1" x14ac:dyDescent="0.2">
      <c r="A276" s="292"/>
      <c r="B276" s="134" t="s">
        <v>71</v>
      </c>
      <c r="C276" s="91">
        <f>AVERAGE(C$220:C228)</f>
        <v>19.098571428571429</v>
      </c>
      <c r="D276" s="91">
        <f>AVERAGE(D$220:D228)</f>
        <v>21.718777777777774</v>
      </c>
      <c r="E276" s="91">
        <f>AVERAGE(E$220:E228)</f>
        <v>21.860444444444443</v>
      </c>
      <c r="F276" s="91">
        <f>AVERAGE(F$220:F228)</f>
        <v>23.175694444444446</v>
      </c>
      <c r="G276" s="91">
        <f>AVERAGE(G$220:G228)</f>
        <v>17.115833333333335</v>
      </c>
      <c r="H276" s="91">
        <f>AVERAGE(H$220:H228)</f>
        <v>18.131620370370371</v>
      </c>
      <c r="I276" s="91"/>
      <c r="J276" s="134" t="s">
        <v>71</v>
      </c>
      <c r="K276" s="91">
        <f>AVERAGE(K$220:K228)</f>
        <v>20.09</v>
      </c>
      <c r="L276" s="91">
        <v>18.427777777777777</v>
      </c>
      <c r="M276" s="91">
        <v>18.328888888888894</v>
      </c>
      <c r="N276" s="91">
        <v>17.018888888888892</v>
      </c>
      <c r="O276" s="91">
        <v>17.551111111111112</v>
      </c>
      <c r="P276" s="91">
        <v>15.49000011111111</v>
      </c>
      <c r="R276" s="134" t="s">
        <v>71</v>
      </c>
      <c r="S276" s="91">
        <f>AVERAGE(S$220:S228)</f>
        <v>18.59</v>
      </c>
      <c r="T276" s="91">
        <v>17.706666666666663</v>
      </c>
      <c r="U276" s="91">
        <v>18.298888888888889</v>
      </c>
      <c r="V276" s="91">
        <v>16.978888888888889</v>
      </c>
      <c r="W276" s="91">
        <v>16.581111111111113</v>
      </c>
      <c r="X276" s="91">
        <v>14.823333333333332</v>
      </c>
      <c r="Z276" s="134" t="s">
        <v>71</v>
      </c>
      <c r="AA276" s="91">
        <f>AVERAGE(AA$220:AA228)</f>
        <v>19.920000000000002</v>
      </c>
      <c r="AB276" s="91">
        <v>18.945555555555554</v>
      </c>
      <c r="AC276" s="91">
        <v>18.305555555555557</v>
      </c>
      <c r="AD276" s="91">
        <v>17.551111111111108</v>
      </c>
      <c r="AE276" s="91">
        <v>17.884444444444444</v>
      </c>
      <c r="AF276" s="91">
        <v>16.294444444444448</v>
      </c>
      <c r="AH276" s="134" t="s">
        <v>71</v>
      </c>
      <c r="AI276" s="91" t="e">
        <f>AVERAGE(AI$220:AI228)</f>
        <v>#DIV/0!</v>
      </c>
      <c r="AJ276" s="91">
        <v>21.421111111111109</v>
      </c>
      <c r="AK276" s="91">
        <v>21.366666666666667</v>
      </c>
      <c r="AL276" s="91">
        <v>19.425555555555558</v>
      </c>
      <c r="AM276" s="91">
        <v>18.498888888888889</v>
      </c>
      <c r="AN276" s="91">
        <v>17.41333333333333</v>
      </c>
      <c r="AP276" s="134" t="s">
        <v>71</v>
      </c>
      <c r="AQ276" s="91">
        <f>AVERAGE(AQ$220:AQ228)</f>
        <v>20.2</v>
      </c>
      <c r="AR276" s="91">
        <v>18.990000000000002</v>
      </c>
      <c r="AS276" s="91">
        <v>18.781111111111112</v>
      </c>
      <c r="AT276" s="91">
        <v>17.292222222222218</v>
      </c>
      <c r="AU276" s="91">
        <v>16.521111111111111</v>
      </c>
      <c r="AV276" s="91" t="e">
        <v>#DIV/0!</v>
      </c>
      <c r="AX276" s="134" t="s">
        <v>71</v>
      </c>
      <c r="AY276" s="91" t="e">
        <f>AVERAGE(AY$220:AY228)</f>
        <v>#DIV/0!</v>
      </c>
      <c r="AZ276" s="91">
        <v>21.245555555555555</v>
      </c>
      <c r="BA276" s="91">
        <v>21.22</v>
      </c>
      <c r="BB276" s="91">
        <v>19.836666666666666</v>
      </c>
      <c r="BC276" s="91">
        <v>21.573333333333334</v>
      </c>
      <c r="BD276" s="91"/>
      <c r="BE276" s="91"/>
      <c r="BF276" s="134" t="s">
        <v>71</v>
      </c>
      <c r="BG276" s="91">
        <f>AVERAGE(BG$220:BG228)</f>
        <v>20.56</v>
      </c>
      <c r="BH276" s="91">
        <v>19.174444444444443</v>
      </c>
      <c r="BI276" s="91">
        <v>19.089999999999996</v>
      </c>
      <c r="BJ276" s="91"/>
      <c r="BK276" s="91"/>
      <c r="BL276" s="91"/>
      <c r="BM276" s="91"/>
      <c r="BN276" s="134" t="s">
        <v>71</v>
      </c>
      <c r="BO276" s="91">
        <f>AVERAGE(BO$220:BO228)</f>
        <v>21.04</v>
      </c>
      <c r="BP276" s="91">
        <v>20.70888888888889</v>
      </c>
      <c r="BQ276" s="91">
        <v>20.531111111111112</v>
      </c>
      <c r="BR276" s="91">
        <v>19.153333333333332</v>
      </c>
      <c r="BS276" s="91">
        <v>17.348888888888883</v>
      </c>
      <c r="BT276" s="91">
        <v>13.935555555555558</v>
      </c>
      <c r="BV276" s="134" t="s">
        <v>71</v>
      </c>
      <c r="BW276" s="91">
        <f>AVERAGE(BW$220:BW228)</f>
        <v>22.31</v>
      </c>
      <c r="BX276" s="91">
        <v>21.057777777777776</v>
      </c>
      <c r="BY276" s="91">
        <v>21.808888888888887</v>
      </c>
      <c r="BZ276" s="91">
        <v>20.056666666666665</v>
      </c>
      <c r="CA276" s="91">
        <v>19.56111111111111</v>
      </c>
      <c r="CB276" s="91">
        <v>17.348888888888887</v>
      </c>
      <c r="CC276" s="91"/>
      <c r="CD276" s="134" t="s">
        <v>71</v>
      </c>
      <c r="CE276" s="91">
        <f>AVERAGE(CE$220:CE228)</f>
        <v>20.6</v>
      </c>
      <c r="CF276" s="91">
        <v>19.02333333333333</v>
      </c>
      <c r="CG276" s="91">
        <v>19.421111111111113</v>
      </c>
      <c r="CH276" s="91">
        <v>18.231111111111112</v>
      </c>
      <c r="CI276" s="91">
        <v>18.901111111111113</v>
      </c>
      <c r="CJ276" s="91">
        <v>13.09000001111111</v>
      </c>
      <c r="CL276" s="134" t="s">
        <v>71</v>
      </c>
      <c r="CM276" s="91">
        <f>AVERAGE(CM$220:CM228)</f>
        <v>21.34</v>
      </c>
      <c r="CN276" s="91">
        <v>20.486666666666665</v>
      </c>
      <c r="CO276" s="91">
        <v>21.452222222222222</v>
      </c>
      <c r="CP276" s="91">
        <v>19.861111111111111</v>
      </c>
      <c r="CQ276" s="91">
        <v>18.978888888888886</v>
      </c>
      <c r="CR276" s="91">
        <v>16.522222222222222</v>
      </c>
      <c r="CT276" s="134" t="s">
        <v>71</v>
      </c>
      <c r="CU276" s="91">
        <f>AVERAGE(CU$220:CU228)</f>
        <v>20.100000000000001</v>
      </c>
      <c r="CV276" s="91">
        <v>18.943333333333335</v>
      </c>
      <c r="CW276" s="91" t="e">
        <v>#DIV/0!</v>
      </c>
      <c r="CX276" s="91"/>
      <c r="CY276" s="91"/>
      <c r="CZ276" s="91"/>
      <c r="DB276" s="134" t="s">
        <v>71</v>
      </c>
      <c r="DC276" s="91">
        <f>AVERAGE(DC$220:DC228)</f>
        <v>23.2</v>
      </c>
      <c r="DD276" s="91">
        <v>21.855555555555558</v>
      </c>
      <c r="DE276" s="91" t="e">
        <v>#DIV/0!</v>
      </c>
      <c r="DF276" s="91"/>
      <c r="DG276" s="91"/>
      <c r="DH276" s="91"/>
      <c r="DI276" s="91"/>
      <c r="DJ276" s="134" t="s">
        <v>71</v>
      </c>
      <c r="DK276" s="91">
        <f>AVERAGE(DK$220:DK228)</f>
        <v>16.89</v>
      </c>
      <c r="DL276" s="91">
        <v>16.513333333333332</v>
      </c>
      <c r="DM276" s="91" t="e">
        <v>#DIV/0!</v>
      </c>
      <c r="DN276" s="91"/>
      <c r="DO276" s="91"/>
      <c r="DP276" s="91"/>
      <c r="DR276" s="134" t="s">
        <v>71</v>
      </c>
      <c r="DS276" s="91">
        <f>AVERAGE(DS$220:DS228)</f>
        <v>22.54</v>
      </c>
      <c r="DT276" s="91">
        <v>21.367777777777778</v>
      </c>
      <c r="DU276" s="91" t="e">
        <v>#DIV/0!</v>
      </c>
      <c r="DV276" s="91"/>
      <c r="DW276" s="91"/>
      <c r="DX276" s="91"/>
      <c r="DZ276" s="134" t="s">
        <v>71</v>
      </c>
      <c r="EA276" s="91">
        <f>AVERAGE(EA$220:EA228)</f>
        <v>22.21</v>
      </c>
      <c r="EB276" s="91">
        <v>21.44</v>
      </c>
      <c r="EC276" s="91" t="e">
        <v>#DIV/0!</v>
      </c>
      <c r="ED276" s="91"/>
      <c r="EE276" s="91"/>
      <c r="EF276" s="91"/>
    </row>
    <row r="277" spans="1:136" s="90" customFormat="1" x14ac:dyDescent="0.2">
      <c r="A277" s="292"/>
      <c r="B277" s="134" t="s">
        <v>12</v>
      </c>
      <c r="C277" s="91">
        <f>AVERAGE(C$220:C229)</f>
        <v>19.098571428571429</v>
      </c>
      <c r="D277" s="91">
        <f>AVERAGE(D$220:D229)</f>
        <v>21.679399999999994</v>
      </c>
      <c r="E277" s="91">
        <f>AVERAGE(E$220:E229)</f>
        <v>21.869900000000001</v>
      </c>
      <c r="F277" s="91">
        <f>AVERAGE(F$220:F229)</f>
        <v>23.229125000000003</v>
      </c>
      <c r="G277" s="91">
        <f>AVERAGE(G$220:G229)</f>
        <v>17.048750000000002</v>
      </c>
      <c r="H277" s="91">
        <f>AVERAGE(H$220:H229)</f>
        <v>17.946708333333333</v>
      </c>
      <c r="I277" s="91"/>
      <c r="J277" s="134" t="s">
        <v>12</v>
      </c>
      <c r="K277" s="91">
        <f>AVERAGE(K$220:K229)</f>
        <v>20.09</v>
      </c>
      <c r="L277" s="91">
        <v>18.45</v>
      </c>
      <c r="M277" s="91">
        <v>18.356000000000002</v>
      </c>
      <c r="N277" s="91">
        <v>17.051000000000002</v>
      </c>
      <c r="O277" s="91">
        <v>17.426000000000002</v>
      </c>
      <c r="P277" s="91">
        <v>15.6680001</v>
      </c>
      <c r="R277" s="134" t="s">
        <v>12</v>
      </c>
      <c r="S277" s="91">
        <f>AVERAGE(S$220:S229)</f>
        <v>18.59</v>
      </c>
      <c r="T277" s="91">
        <v>17.66</v>
      </c>
      <c r="U277" s="91">
        <v>18.238999999999997</v>
      </c>
      <c r="V277" s="91">
        <v>17.012</v>
      </c>
      <c r="W277" s="91">
        <v>16.501000000000001</v>
      </c>
      <c r="X277" s="91">
        <v>14.988999999999999</v>
      </c>
      <c r="Z277" s="134" t="s">
        <v>12</v>
      </c>
      <c r="AA277" s="91">
        <f>AVERAGE(AA$220:AA229)</f>
        <v>19.920000000000002</v>
      </c>
      <c r="AB277" s="91">
        <v>18.868000000000002</v>
      </c>
      <c r="AC277" s="91">
        <v>18.335000000000001</v>
      </c>
      <c r="AD277" s="91">
        <v>17.515999999999998</v>
      </c>
      <c r="AE277" s="91">
        <v>17.640999999999998</v>
      </c>
      <c r="AF277" s="91">
        <v>16.463000000000001</v>
      </c>
      <c r="AH277" s="134" t="s">
        <v>12</v>
      </c>
      <c r="AI277" s="91" t="e">
        <f>AVERAGE(AI$220:AI229)</f>
        <v>#DIV/0!</v>
      </c>
      <c r="AJ277" s="91">
        <v>21.347999999999999</v>
      </c>
      <c r="AK277" s="91">
        <v>21.292000000000002</v>
      </c>
      <c r="AL277" s="91">
        <v>19.498000000000001</v>
      </c>
      <c r="AM277" s="91">
        <v>18.484000000000002</v>
      </c>
      <c r="AN277" s="91">
        <v>17.470999999999997</v>
      </c>
      <c r="AP277" s="134" t="s">
        <v>12</v>
      </c>
      <c r="AQ277" s="91">
        <f>AVERAGE(AQ$220:AQ229)</f>
        <v>20.2</v>
      </c>
      <c r="AR277" s="91">
        <v>18.988000000000003</v>
      </c>
      <c r="AS277" s="91">
        <v>18.763999999999999</v>
      </c>
      <c r="AT277" s="91">
        <v>17.360999999999997</v>
      </c>
      <c r="AU277" s="91">
        <v>16.491</v>
      </c>
      <c r="AV277" s="91" t="e">
        <v>#DIV/0!</v>
      </c>
      <c r="AX277" s="134" t="s">
        <v>12</v>
      </c>
      <c r="AY277" s="91" t="e">
        <f>AVERAGE(AY$220:AY229)</f>
        <v>#DIV/0!</v>
      </c>
      <c r="AZ277" s="91">
        <v>21.176000000000002</v>
      </c>
      <c r="BA277" s="91">
        <v>21.294999999999998</v>
      </c>
      <c r="BB277" s="91">
        <v>19.872999999999998</v>
      </c>
      <c r="BC277" s="91">
        <v>20.967500000000001</v>
      </c>
      <c r="BD277" s="91"/>
      <c r="BE277" s="91"/>
      <c r="BF277" s="134" t="s">
        <v>12</v>
      </c>
      <c r="BG277" s="91">
        <f>AVERAGE(BG$220:BG229)</f>
        <v>20.56</v>
      </c>
      <c r="BH277" s="91">
        <v>19.175000000000001</v>
      </c>
      <c r="BI277" s="91">
        <v>19.128999999999998</v>
      </c>
      <c r="BJ277" s="91"/>
      <c r="BK277" s="91"/>
      <c r="BL277" s="91"/>
      <c r="BM277" s="91"/>
      <c r="BN277" s="134" t="s">
        <v>12</v>
      </c>
      <c r="BO277" s="91">
        <f>AVERAGE(BO$220:BO229)</f>
        <v>21.04</v>
      </c>
      <c r="BP277" s="91">
        <v>20.65</v>
      </c>
      <c r="BQ277" s="91">
        <v>20.524999999999999</v>
      </c>
      <c r="BR277" s="91">
        <v>19.207000000000001</v>
      </c>
      <c r="BS277" s="91">
        <v>17.361999999999995</v>
      </c>
      <c r="BT277" s="91">
        <v>14.333000000000002</v>
      </c>
      <c r="BV277" s="134" t="s">
        <v>12</v>
      </c>
      <c r="BW277" s="91">
        <f>AVERAGE(BW$220:BW229)</f>
        <v>22.31</v>
      </c>
      <c r="BX277" s="91">
        <v>20.963000000000001</v>
      </c>
      <c r="BY277" s="91">
        <v>21.792000000000002</v>
      </c>
      <c r="BZ277" s="91">
        <v>20.151</v>
      </c>
      <c r="CA277" s="91">
        <v>19.448999999999998</v>
      </c>
      <c r="CB277" s="91">
        <v>17.586999999999996</v>
      </c>
      <c r="CC277" s="91"/>
      <c r="CD277" s="134" t="s">
        <v>12</v>
      </c>
      <c r="CE277" s="91">
        <f>AVERAGE(CE$220:CE229)</f>
        <v>20.6</v>
      </c>
      <c r="CF277" s="91">
        <v>19.045999999999999</v>
      </c>
      <c r="CG277" s="91">
        <v>19.416000000000004</v>
      </c>
      <c r="CH277" s="91">
        <v>18.327000000000002</v>
      </c>
      <c r="CI277" s="91">
        <v>18.747000000000003</v>
      </c>
      <c r="CJ277" s="91">
        <v>13.39500001</v>
      </c>
      <c r="CL277" s="134" t="s">
        <v>12</v>
      </c>
      <c r="CM277" s="91">
        <f>AVERAGE(CM$220:CM229)</f>
        <v>21.34</v>
      </c>
      <c r="CN277" s="91">
        <v>20.47</v>
      </c>
      <c r="CO277" s="91">
        <v>21.556000000000001</v>
      </c>
      <c r="CP277" s="91">
        <v>19.837</v>
      </c>
      <c r="CQ277" s="91">
        <v>18.97</v>
      </c>
      <c r="CR277" s="91">
        <v>16.719000000000001</v>
      </c>
      <c r="CT277" s="134" t="s">
        <v>12</v>
      </c>
      <c r="CU277" s="91">
        <f>AVERAGE(CU$220:CU229)</f>
        <v>20.100000000000001</v>
      </c>
      <c r="CV277" s="91">
        <v>18.824000000000002</v>
      </c>
      <c r="CW277" s="91" t="e">
        <v>#DIV/0!</v>
      </c>
      <c r="CX277" s="91"/>
      <c r="CY277" s="91"/>
      <c r="CZ277" s="91"/>
      <c r="DB277" s="134" t="s">
        <v>12</v>
      </c>
      <c r="DC277" s="91">
        <f>AVERAGE(DC$220:DC229)</f>
        <v>23.2</v>
      </c>
      <c r="DD277" s="91">
        <v>21.827000000000002</v>
      </c>
      <c r="DE277" s="91" t="e">
        <v>#DIV/0!</v>
      </c>
      <c r="DF277" s="91"/>
      <c r="DG277" s="91"/>
      <c r="DH277" s="91"/>
      <c r="DI277" s="91"/>
      <c r="DJ277" s="134" t="s">
        <v>12</v>
      </c>
      <c r="DK277" s="91">
        <f>AVERAGE(DK$220:DK229)</f>
        <v>16.89</v>
      </c>
      <c r="DL277" s="91">
        <v>16.484999999999996</v>
      </c>
      <c r="DM277" s="91" t="e">
        <v>#DIV/0!</v>
      </c>
      <c r="DN277" s="91"/>
      <c r="DO277" s="91"/>
      <c r="DP277" s="91"/>
      <c r="DR277" s="134" t="s">
        <v>12</v>
      </c>
      <c r="DS277" s="91">
        <f>AVERAGE(DS$220:DS229)</f>
        <v>22.54</v>
      </c>
      <c r="DT277" s="91">
        <v>21.314</v>
      </c>
      <c r="DU277" s="91" t="e">
        <v>#DIV/0!</v>
      </c>
      <c r="DV277" s="91"/>
      <c r="DW277" s="91"/>
      <c r="DX277" s="91"/>
      <c r="DZ277" s="134" t="s">
        <v>12</v>
      </c>
      <c r="EA277" s="91">
        <f>AVERAGE(EA$220:EA229)</f>
        <v>22.21</v>
      </c>
      <c r="EB277" s="91">
        <v>20.970000000000002</v>
      </c>
      <c r="EC277" s="91" t="e">
        <v>#DIV/0!</v>
      </c>
      <c r="ED277" s="91"/>
      <c r="EE277" s="91"/>
      <c r="EF277" s="91"/>
    </row>
    <row r="278" spans="1:136" s="90" customFormat="1" x14ac:dyDescent="0.2">
      <c r="A278" s="292"/>
      <c r="B278" s="134" t="s">
        <v>13</v>
      </c>
      <c r="C278" s="91">
        <f>AVERAGE(C$220:C230)</f>
        <v>19.098571428571429</v>
      </c>
      <c r="D278" s="91">
        <f>AVERAGE(D$220:D230)</f>
        <v>21.812636363636361</v>
      </c>
      <c r="E278" s="91">
        <f>AVERAGE(E$220:E230)</f>
        <v>21.861999999999998</v>
      </c>
      <c r="F278" s="91">
        <f>AVERAGE(F$220:F230)</f>
        <v>23.286818181818184</v>
      </c>
      <c r="G278" s="91">
        <f>AVERAGE(G$220:G230)</f>
        <v>16.975000000000001</v>
      </c>
      <c r="H278" s="91">
        <f>AVERAGE(H$220:H230)</f>
        <v>17.788143939393937</v>
      </c>
      <c r="I278" s="91"/>
      <c r="J278" s="134" t="s">
        <v>13</v>
      </c>
      <c r="K278" s="91">
        <f>AVERAGE(K$220:K230)</f>
        <v>20.09</v>
      </c>
      <c r="L278" s="91">
        <v>18.576363636363638</v>
      </c>
      <c r="M278" s="91">
        <v>18.306363636363638</v>
      </c>
      <c r="N278" s="91">
        <v>17.073636363636368</v>
      </c>
      <c r="O278" s="91">
        <v>17.190000000000001</v>
      </c>
      <c r="P278" s="91">
        <v>16.240909181818182</v>
      </c>
      <c r="R278" s="134" t="s">
        <v>13</v>
      </c>
      <c r="S278" s="91">
        <f>AVERAGE(S$220:S230)</f>
        <v>18.59</v>
      </c>
      <c r="T278" s="91">
        <v>17.767272727272726</v>
      </c>
      <c r="U278" s="91">
        <v>18.190909090909091</v>
      </c>
      <c r="V278" s="91">
        <v>17.067272727272726</v>
      </c>
      <c r="W278" s="91">
        <v>16.374545454545455</v>
      </c>
      <c r="X278" s="91">
        <v>15.480909090909091</v>
      </c>
      <c r="Z278" s="134" t="s">
        <v>13</v>
      </c>
      <c r="AA278" s="91">
        <f>AVERAGE(AA$220:AA230)</f>
        <v>19.920000000000002</v>
      </c>
      <c r="AB278" s="91">
        <v>18.978181818181817</v>
      </c>
      <c r="AC278" s="91">
        <v>18.329090909090912</v>
      </c>
      <c r="AD278" s="91">
        <v>17.489090909090905</v>
      </c>
      <c r="AE278" s="91">
        <v>17.436363636363637</v>
      </c>
      <c r="AF278" s="91">
        <v>16.989090909090912</v>
      </c>
      <c r="AH278" s="134" t="s">
        <v>13</v>
      </c>
      <c r="AI278" s="91" t="e">
        <f>AVERAGE(AI$220:AI230)</f>
        <v>#DIV/0!</v>
      </c>
      <c r="AJ278" s="91">
        <v>21.502727272727274</v>
      </c>
      <c r="AK278" s="91">
        <v>21.284545454545455</v>
      </c>
      <c r="AL278" s="91">
        <v>19.596363636363638</v>
      </c>
      <c r="AM278" s="91">
        <v>18.369090909090911</v>
      </c>
      <c r="AN278" s="91">
        <v>16.979090909090907</v>
      </c>
      <c r="AP278" s="134" t="s">
        <v>13</v>
      </c>
      <c r="AQ278" s="91">
        <f>AVERAGE(AQ$220:AQ230)</f>
        <v>20.2</v>
      </c>
      <c r="AR278" s="91">
        <v>19.095454545454547</v>
      </c>
      <c r="AS278" s="91">
        <v>18.72</v>
      </c>
      <c r="AT278" s="91">
        <v>17.442727272727268</v>
      </c>
      <c r="AU278" s="91">
        <v>16.292727272727273</v>
      </c>
      <c r="AV278" s="91" t="e">
        <v>#DIV/0!</v>
      </c>
      <c r="AX278" s="134" t="s">
        <v>13</v>
      </c>
      <c r="AY278" s="91" t="e">
        <f>AVERAGE(AY$220:AY230)</f>
        <v>#DIV/0!</v>
      </c>
      <c r="AZ278" s="91">
        <v>21.284545454545455</v>
      </c>
      <c r="BA278" s="91">
        <v>21.33909090909091</v>
      </c>
      <c r="BB278" s="91">
        <v>19.939090909090908</v>
      </c>
      <c r="BC278" s="91">
        <v>20.006</v>
      </c>
      <c r="BD278" s="91"/>
      <c r="BE278" s="91"/>
      <c r="BF278" s="134" t="s">
        <v>13</v>
      </c>
      <c r="BG278" s="91">
        <f>AVERAGE(BG$220:BG230)</f>
        <v>20.56</v>
      </c>
      <c r="BH278" s="91">
        <v>19.347272727272728</v>
      </c>
      <c r="BI278" s="91">
        <v>19.186363636363634</v>
      </c>
      <c r="BJ278" s="91"/>
      <c r="BK278" s="91"/>
      <c r="BL278" s="91"/>
      <c r="BM278" s="91"/>
      <c r="BN278" s="134" t="s">
        <v>13</v>
      </c>
      <c r="BO278" s="91">
        <f>AVERAGE(BO$220:BO230)</f>
        <v>21.04</v>
      </c>
      <c r="BP278" s="91">
        <v>20.741818181818182</v>
      </c>
      <c r="BQ278" s="91">
        <v>20.5</v>
      </c>
      <c r="BR278" s="91">
        <v>19.245454545454546</v>
      </c>
      <c r="BS278" s="91">
        <v>17.217272727272725</v>
      </c>
      <c r="BT278" s="91">
        <v>14.347272727272729</v>
      </c>
      <c r="BV278" s="134" t="s">
        <v>13</v>
      </c>
      <c r="BW278" s="91">
        <f>AVERAGE(BW$220:BW230)</f>
        <v>22.31</v>
      </c>
      <c r="BX278" s="91">
        <v>21.053636363636365</v>
      </c>
      <c r="BY278" s="91">
        <v>21.742727272727276</v>
      </c>
      <c r="BZ278" s="91">
        <v>20.186363636363634</v>
      </c>
      <c r="CA278" s="91">
        <v>19.254545454545454</v>
      </c>
      <c r="CB278" s="91">
        <v>18.175454545454542</v>
      </c>
      <c r="CC278" s="91"/>
      <c r="CD278" s="134" t="s">
        <v>13</v>
      </c>
      <c r="CE278" s="91">
        <f>AVERAGE(CE$220:CE230)</f>
        <v>20.6</v>
      </c>
      <c r="CF278" s="91">
        <v>19.16181818181818</v>
      </c>
      <c r="CG278" s="91">
        <v>19.463636363636365</v>
      </c>
      <c r="CH278" s="91">
        <v>18.41181818181818</v>
      </c>
      <c r="CI278" s="91">
        <v>18.596363636363638</v>
      </c>
      <c r="CJ278" s="91">
        <v>13.460000009090912</v>
      </c>
      <c r="CL278" s="134" t="s">
        <v>13</v>
      </c>
      <c r="CM278" s="91">
        <f>AVERAGE(CM$220:CM230)</f>
        <v>21.34</v>
      </c>
      <c r="CN278" s="91">
        <v>20.617272727272727</v>
      </c>
      <c r="CO278" s="91">
        <v>21.557272727272728</v>
      </c>
      <c r="CP278" s="91">
        <v>19.842727272727274</v>
      </c>
      <c r="CQ278" s="91">
        <v>18.809999999999999</v>
      </c>
      <c r="CR278" s="91">
        <v>16.95</v>
      </c>
      <c r="CT278" s="134" t="s">
        <v>13</v>
      </c>
      <c r="CU278" s="91">
        <f>AVERAGE(CU$220:CU230)</f>
        <v>20.100000000000001</v>
      </c>
      <c r="CV278" s="91">
        <v>18.874545454545455</v>
      </c>
      <c r="CW278" s="91" t="e">
        <v>#DIV/0!</v>
      </c>
      <c r="CX278" s="91"/>
      <c r="CY278" s="91"/>
      <c r="CZ278" s="91"/>
      <c r="DB278" s="134" t="s">
        <v>13</v>
      </c>
      <c r="DC278" s="91">
        <f>AVERAGE(DC$220:DC230)</f>
        <v>23.2</v>
      </c>
      <c r="DD278" s="91">
        <v>21.959090909090911</v>
      </c>
      <c r="DE278" s="91" t="e">
        <v>#DIV/0!</v>
      </c>
      <c r="DF278" s="91"/>
      <c r="DG278" s="91"/>
      <c r="DH278" s="91"/>
      <c r="DI278" s="91"/>
      <c r="DJ278" s="134" t="s">
        <v>13</v>
      </c>
      <c r="DK278" s="91">
        <f>AVERAGE(DK$220:DK230)</f>
        <v>16.89</v>
      </c>
      <c r="DL278" s="91">
        <v>16.525454545454544</v>
      </c>
      <c r="DM278" s="91" t="e">
        <v>#DIV/0!</v>
      </c>
      <c r="DN278" s="91"/>
      <c r="DO278" s="91"/>
      <c r="DP278" s="91"/>
      <c r="DR278" s="134" t="s">
        <v>13</v>
      </c>
      <c r="DS278" s="91">
        <f>AVERAGE(DS$220:DS230)</f>
        <v>22.54</v>
      </c>
      <c r="DT278" s="91">
        <v>21.403636363636362</v>
      </c>
      <c r="DU278" s="91" t="e">
        <v>#DIV/0!</v>
      </c>
      <c r="DV278" s="91"/>
      <c r="DW278" s="91"/>
      <c r="DX278" s="91"/>
      <c r="DZ278" s="134" t="s">
        <v>13</v>
      </c>
      <c r="EA278" s="91">
        <f>AVERAGE(EA$220:EA230)</f>
        <v>22.21</v>
      </c>
      <c r="EB278" s="91">
        <v>21.25</v>
      </c>
      <c r="EC278" s="91" t="e">
        <v>#DIV/0!</v>
      </c>
      <c r="ED278" s="91"/>
      <c r="EE278" s="91"/>
      <c r="EF278" s="91"/>
    </row>
    <row r="279" spans="1:136" s="90" customFormat="1" x14ac:dyDescent="0.2">
      <c r="A279" s="292"/>
      <c r="B279" s="134" t="s">
        <v>15</v>
      </c>
      <c r="C279" s="91">
        <f>AVERAGE(C$220:C231)</f>
        <v>19.098571428571429</v>
      </c>
      <c r="D279" s="91">
        <f>AVERAGE(D$220:D231)</f>
        <v>21.89533333333333</v>
      </c>
      <c r="E279" s="91">
        <f>AVERAGE(E$220:E231)</f>
        <v>21.908916666666666</v>
      </c>
      <c r="F279" s="91">
        <f>AVERAGE(F$220:F231)</f>
        <v>23.455104166666668</v>
      </c>
      <c r="G279" s="91">
        <f>AVERAGE(G$220:G231)</f>
        <v>16.99625</v>
      </c>
      <c r="H279" s="91">
        <f>AVERAGE(H$220:H231)</f>
        <v>17.716423611111111</v>
      </c>
      <c r="I279" s="91"/>
      <c r="J279" s="134" t="s">
        <v>15</v>
      </c>
      <c r="K279" s="91">
        <f>AVERAGE(K$220:K231)</f>
        <v>20.09</v>
      </c>
      <c r="L279" s="91">
        <v>18.686666666666667</v>
      </c>
      <c r="M279" s="91">
        <v>18.332500000000003</v>
      </c>
      <c r="N279" s="91">
        <v>17.193333333333335</v>
      </c>
      <c r="O279" s="91">
        <v>18.694545454545459</v>
      </c>
      <c r="P279" s="91">
        <v>16.588333416666668</v>
      </c>
      <c r="R279" s="134" t="s">
        <v>15</v>
      </c>
      <c r="S279" s="91">
        <f>AVERAGE(S$220:S231)</f>
        <v>18.59</v>
      </c>
      <c r="T279" s="91">
        <v>17.853333333333335</v>
      </c>
      <c r="U279" s="91">
        <v>18.229166666666668</v>
      </c>
      <c r="V279" s="91">
        <v>17.160833333333333</v>
      </c>
      <c r="W279" s="91">
        <v>16.389166666666668</v>
      </c>
      <c r="X279" s="91">
        <v>15.85</v>
      </c>
      <c r="Z279" s="134" t="s">
        <v>15</v>
      </c>
      <c r="AA279" s="91">
        <f>AVERAGE(AA$220:AA231)</f>
        <v>19.920000000000002</v>
      </c>
      <c r="AB279" s="91">
        <v>19.075833333333332</v>
      </c>
      <c r="AC279" s="91">
        <v>18.450833333333335</v>
      </c>
      <c r="AD279" s="91">
        <v>17.611666666666665</v>
      </c>
      <c r="AE279" s="91">
        <v>17.455833333333334</v>
      </c>
      <c r="AF279" s="91">
        <v>17.446666666666669</v>
      </c>
      <c r="AH279" s="134" t="s">
        <v>15</v>
      </c>
      <c r="AI279" s="91" t="e">
        <f>AVERAGE(AI$220:AI231)</f>
        <v>#DIV/0!</v>
      </c>
      <c r="AJ279" s="91">
        <v>21.621666666666666</v>
      </c>
      <c r="AK279" s="91">
        <v>21.333333333333332</v>
      </c>
      <c r="AL279" s="91">
        <v>19.778333333333332</v>
      </c>
      <c r="AM279" s="91">
        <v>18.432500000000001</v>
      </c>
      <c r="AN279" s="91">
        <v>17.382499999999997</v>
      </c>
      <c r="AP279" s="134" t="s">
        <v>15</v>
      </c>
      <c r="AQ279" s="91">
        <f>AVERAGE(AQ$220:AQ231)</f>
        <v>20.2</v>
      </c>
      <c r="AR279" s="91">
        <v>19.145833333333332</v>
      </c>
      <c r="AS279" s="91">
        <v>18.770833333333332</v>
      </c>
      <c r="AT279" s="91">
        <v>17.584999999999997</v>
      </c>
      <c r="AU279" s="91">
        <v>16.32</v>
      </c>
      <c r="AV279" s="91" t="e">
        <v>#DIV/0!</v>
      </c>
      <c r="AX279" s="134" t="s">
        <v>15</v>
      </c>
      <c r="AY279" s="91" t="e">
        <f>AVERAGE(AY$220:AY231)</f>
        <v>#DIV/0!</v>
      </c>
      <c r="AZ279" s="91">
        <v>21.445000000000004</v>
      </c>
      <c r="BA279" s="91">
        <v>21.454166666666666</v>
      </c>
      <c r="BB279" s="91">
        <v>20.103333333333332</v>
      </c>
      <c r="BC279" s="91">
        <v>19.843333333333334</v>
      </c>
      <c r="BD279" s="91"/>
      <c r="BE279" s="91"/>
      <c r="BF279" s="134" t="s">
        <v>15</v>
      </c>
      <c r="BG279" s="91">
        <f>AVERAGE(BG$220:BG231)</f>
        <v>20.56</v>
      </c>
      <c r="BH279" s="91">
        <v>19.429166666666664</v>
      </c>
      <c r="BI279" s="91">
        <v>19.309166666666663</v>
      </c>
      <c r="BJ279" s="91"/>
      <c r="BK279" s="91"/>
      <c r="BL279" s="91"/>
      <c r="BM279" s="91"/>
      <c r="BN279" s="134" t="s">
        <v>15</v>
      </c>
      <c r="BO279" s="91">
        <f>AVERAGE(BO$220:BO231)</f>
        <v>21.04</v>
      </c>
      <c r="BP279" s="91">
        <v>20.726666666666667</v>
      </c>
      <c r="BQ279" s="91">
        <v>20.494166666666668</v>
      </c>
      <c r="BR279" s="91">
        <v>19.356666666666666</v>
      </c>
      <c r="BS279" s="91">
        <v>17.331666666666663</v>
      </c>
      <c r="BT279" s="91">
        <v>15.14</v>
      </c>
      <c r="BV279" s="134" t="s">
        <v>15</v>
      </c>
      <c r="BW279" s="91">
        <f>AVERAGE(BW$220:BW231)</f>
        <v>22.31</v>
      </c>
      <c r="BX279" s="91">
        <v>21.134166666666669</v>
      </c>
      <c r="BY279" s="91">
        <v>21.718333333333334</v>
      </c>
      <c r="BZ279" s="91">
        <v>20.34</v>
      </c>
      <c r="CA279" s="91">
        <v>19.262499999999999</v>
      </c>
      <c r="CB279" s="91">
        <v>18.554999999999996</v>
      </c>
      <c r="CC279" s="91"/>
      <c r="CD279" s="134" t="s">
        <v>15</v>
      </c>
      <c r="CE279" s="91">
        <f>AVERAGE(CE$220:CE231)</f>
        <v>20.6</v>
      </c>
      <c r="CF279" s="91">
        <v>19.197499999999998</v>
      </c>
      <c r="CG279" s="91">
        <v>19.499166666666667</v>
      </c>
      <c r="CH279" s="91">
        <v>18.525833333333335</v>
      </c>
      <c r="CI279" s="91">
        <v>18.565000000000001</v>
      </c>
      <c r="CJ279" s="91">
        <v>13.917500008333334</v>
      </c>
      <c r="CL279" s="134" t="s">
        <v>15</v>
      </c>
      <c r="CM279" s="91">
        <f>AVERAGE(CM$220:CM231)</f>
        <v>21.34</v>
      </c>
      <c r="CN279" s="91">
        <v>20.637499999999999</v>
      </c>
      <c r="CO279" s="91">
        <v>21.497499999999999</v>
      </c>
      <c r="CP279" s="91">
        <v>19.985833333333336</v>
      </c>
      <c r="CQ279" s="91">
        <v>18.805</v>
      </c>
      <c r="CR279" s="91">
        <v>17.321666666666665</v>
      </c>
      <c r="CT279" s="134" t="s">
        <v>15</v>
      </c>
      <c r="CU279" s="91">
        <f>AVERAGE(CU$220:CU231)</f>
        <v>20.100000000000001</v>
      </c>
      <c r="CV279" s="91">
        <v>18.931666666666668</v>
      </c>
      <c r="CW279" s="91" t="e">
        <v>#DIV/0!</v>
      </c>
      <c r="CX279" s="91"/>
      <c r="CY279" s="91"/>
      <c r="CZ279" s="91"/>
      <c r="DB279" s="134" t="s">
        <v>15</v>
      </c>
      <c r="DC279" s="91">
        <f>AVERAGE(DC$220:DC231)</f>
        <v>23.2</v>
      </c>
      <c r="DD279" s="91">
        <v>22.025833333333335</v>
      </c>
      <c r="DE279" s="91" t="e">
        <v>#DIV/0!</v>
      </c>
      <c r="DF279" s="91"/>
      <c r="DG279" s="91"/>
      <c r="DH279" s="91"/>
      <c r="DI279" s="91"/>
      <c r="DJ279" s="134" t="s">
        <v>15</v>
      </c>
      <c r="DK279" s="91">
        <f>AVERAGE(DK$220:DK231)</f>
        <v>16.89</v>
      </c>
      <c r="DL279" s="91">
        <v>16.526666666666664</v>
      </c>
      <c r="DM279" s="91" t="e">
        <v>#DIV/0!</v>
      </c>
      <c r="DN279" s="91"/>
      <c r="DO279" s="91"/>
      <c r="DP279" s="91"/>
      <c r="DR279" s="134" t="s">
        <v>15</v>
      </c>
      <c r="DS279" s="91">
        <f>AVERAGE(DS$220:DS231)</f>
        <v>22.54</v>
      </c>
      <c r="DT279" s="91">
        <v>21.454166666666666</v>
      </c>
      <c r="DU279" s="91" t="e">
        <v>#DIV/0!</v>
      </c>
      <c r="DV279" s="91"/>
      <c r="DW279" s="91"/>
      <c r="DX279" s="91"/>
      <c r="DZ279" s="134" t="s">
        <v>15</v>
      </c>
      <c r="EA279" s="91">
        <f>AVERAGE(EA$220:EA231)</f>
        <v>22.21</v>
      </c>
      <c r="EB279" s="91">
        <v>21.442</v>
      </c>
      <c r="EC279" s="91" t="e">
        <v>#DIV/0!</v>
      </c>
      <c r="ED279" s="91"/>
      <c r="EE279" s="91"/>
      <c r="EF279" s="91"/>
    </row>
    <row r="281" spans="1:136" ht="15.75" x14ac:dyDescent="0.2">
      <c r="B281" s="45" t="s">
        <v>131</v>
      </c>
      <c r="J281" s="45" t="s">
        <v>2999</v>
      </c>
      <c r="R281" s="45" t="s">
        <v>3001</v>
      </c>
      <c r="Z281" s="45" t="s">
        <v>210</v>
      </c>
      <c r="AH281" s="45" t="s">
        <v>3003</v>
      </c>
      <c r="AP281" s="45" t="s">
        <v>2156</v>
      </c>
      <c r="AX281" s="45" t="s">
        <v>3000</v>
      </c>
      <c r="BF281" s="45" t="s">
        <v>3002</v>
      </c>
      <c r="BN281" s="45" t="s">
        <v>297</v>
      </c>
      <c r="BV281" s="45" t="s">
        <v>296</v>
      </c>
      <c r="CD281" s="45" t="s">
        <v>292</v>
      </c>
      <c r="CL281" s="45" t="s">
        <v>294</v>
      </c>
      <c r="CT281" s="45" t="s">
        <v>6963</v>
      </c>
      <c r="DB281" s="45" t="s">
        <v>6964</v>
      </c>
      <c r="DJ281" s="45" t="s">
        <v>6966</v>
      </c>
      <c r="DR281" s="45" t="s">
        <v>6965</v>
      </c>
      <c r="DZ281" s="45" t="s">
        <v>7094</v>
      </c>
    </row>
    <row r="283" spans="1:136" s="188" customFormat="1" ht="18.600000000000001" customHeight="1" x14ac:dyDescent="0.2">
      <c r="A283" s="292" t="s">
        <v>193</v>
      </c>
      <c r="B283" s="186" t="s">
        <v>106</v>
      </c>
      <c r="C283" s="187" t="s">
        <v>6962</v>
      </c>
      <c r="D283" s="187" t="s">
        <v>2169</v>
      </c>
      <c r="E283" s="187" t="s">
        <v>1553</v>
      </c>
      <c r="F283" s="187" t="s">
        <v>1522</v>
      </c>
      <c r="G283" s="187" t="s">
        <v>1304</v>
      </c>
      <c r="H283" s="187" t="s">
        <v>209</v>
      </c>
      <c r="I283" s="187"/>
      <c r="J283" s="186" t="s">
        <v>106</v>
      </c>
      <c r="K283" s="186" t="s">
        <v>7114</v>
      </c>
      <c r="L283" s="186" t="s">
        <v>6962</v>
      </c>
      <c r="M283" s="186" t="s">
        <v>2169</v>
      </c>
      <c r="N283" s="186" t="s">
        <v>1553</v>
      </c>
      <c r="O283" s="186" t="s">
        <v>1522</v>
      </c>
      <c r="P283" s="186" t="s">
        <v>1304</v>
      </c>
      <c r="R283" s="186" t="s">
        <v>106</v>
      </c>
      <c r="S283" s="186" t="s">
        <v>7114</v>
      </c>
      <c r="T283" s="186" t="s">
        <v>6962</v>
      </c>
      <c r="U283" s="186" t="s">
        <v>2169</v>
      </c>
      <c r="V283" s="186" t="s">
        <v>1553</v>
      </c>
      <c r="W283" s="186" t="s">
        <v>1522</v>
      </c>
      <c r="X283" s="186" t="s">
        <v>1304</v>
      </c>
      <c r="Z283" s="186" t="s">
        <v>106</v>
      </c>
      <c r="AA283" s="186" t="s">
        <v>7114</v>
      </c>
      <c r="AB283" s="186" t="s">
        <v>6962</v>
      </c>
      <c r="AC283" s="186" t="s">
        <v>2169</v>
      </c>
      <c r="AD283" s="186" t="s">
        <v>1553</v>
      </c>
      <c r="AE283" s="186" t="s">
        <v>1522</v>
      </c>
      <c r="AF283" s="186" t="s">
        <v>1304</v>
      </c>
      <c r="AH283" s="186" t="s">
        <v>106</v>
      </c>
      <c r="AI283" s="186" t="s">
        <v>7114</v>
      </c>
      <c r="AJ283" s="186" t="s">
        <v>6962</v>
      </c>
      <c r="AK283" s="186" t="s">
        <v>2169</v>
      </c>
      <c r="AL283" s="186" t="s">
        <v>1553</v>
      </c>
      <c r="AM283" s="186" t="s">
        <v>1522</v>
      </c>
      <c r="AN283" s="186" t="s">
        <v>1304</v>
      </c>
      <c r="AP283" s="186" t="s">
        <v>106</v>
      </c>
      <c r="AQ283" s="186" t="s">
        <v>7114</v>
      </c>
      <c r="AR283" s="186" t="s">
        <v>6962</v>
      </c>
      <c r="AS283" s="186" t="s">
        <v>2169</v>
      </c>
      <c r="AT283" s="186" t="s">
        <v>1553</v>
      </c>
      <c r="AU283" s="186" t="s">
        <v>1522</v>
      </c>
      <c r="AV283" s="186" t="s">
        <v>1304</v>
      </c>
      <c r="AX283" s="186" t="s">
        <v>106</v>
      </c>
      <c r="AY283" s="186" t="s">
        <v>7114</v>
      </c>
      <c r="AZ283" s="186" t="s">
        <v>6962</v>
      </c>
      <c r="BA283" s="186" t="s">
        <v>2169</v>
      </c>
      <c r="BB283" s="186" t="s">
        <v>1553</v>
      </c>
      <c r="BC283" s="186" t="s">
        <v>1522</v>
      </c>
      <c r="BD283" s="186" t="s">
        <v>1304</v>
      </c>
      <c r="BE283" s="187"/>
      <c r="BF283" s="186" t="s">
        <v>106</v>
      </c>
      <c r="BG283" s="186" t="s">
        <v>7114</v>
      </c>
      <c r="BH283" s="186" t="s">
        <v>6962</v>
      </c>
      <c r="BI283" s="186" t="s">
        <v>2169</v>
      </c>
      <c r="BJ283" s="186" t="s">
        <v>1553</v>
      </c>
      <c r="BK283" s="186" t="s">
        <v>1522</v>
      </c>
      <c r="BL283" s="186" t="s">
        <v>1304</v>
      </c>
      <c r="BM283" s="186"/>
      <c r="BN283" s="186" t="s">
        <v>106</v>
      </c>
      <c r="BO283" s="187" t="s">
        <v>7114</v>
      </c>
      <c r="BP283" s="187" t="s">
        <v>6962</v>
      </c>
      <c r="BQ283" s="187" t="s">
        <v>2169</v>
      </c>
      <c r="BR283" s="187" t="s">
        <v>1553</v>
      </c>
      <c r="BS283" s="187" t="s">
        <v>1522</v>
      </c>
      <c r="BT283" s="187" t="s">
        <v>1304</v>
      </c>
      <c r="BV283" s="186" t="s">
        <v>106</v>
      </c>
      <c r="BW283" s="187" t="s">
        <v>7114</v>
      </c>
      <c r="BX283" s="187" t="s">
        <v>6962</v>
      </c>
      <c r="BY283" s="187" t="s">
        <v>2169</v>
      </c>
      <c r="BZ283" s="187" t="s">
        <v>1553</v>
      </c>
      <c r="CA283" s="187" t="s">
        <v>1522</v>
      </c>
      <c r="CB283" s="187" t="s">
        <v>1304</v>
      </c>
      <c r="CC283" s="187"/>
      <c r="CD283" s="186" t="s">
        <v>106</v>
      </c>
      <c r="CE283" s="187" t="s">
        <v>7114</v>
      </c>
      <c r="CF283" s="187" t="s">
        <v>6962</v>
      </c>
      <c r="CG283" s="187" t="s">
        <v>2169</v>
      </c>
      <c r="CH283" s="187" t="s">
        <v>1553</v>
      </c>
      <c r="CI283" s="187" t="s">
        <v>1522</v>
      </c>
      <c r="CJ283" s="187" t="s">
        <v>1304</v>
      </c>
      <c r="CL283" s="186" t="s">
        <v>106</v>
      </c>
      <c r="CM283" s="187" t="s">
        <v>7114</v>
      </c>
      <c r="CN283" s="187" t="s">
        <v>6962</v>
      </c>
      <c r="CO283" s="187" t="s">
        <v>2169</v>
      </c>
      <c r="CP283" s="187" t="s">
        <v>1553</v>
      </c>
      <c r="CQ283" s="187" t="s">
        <v>1522</v>
      </c>
      <c r="CR283" s="187" t="s">
        <v>1304</v>
      </c>
      <c r="CT283" s="186" t="s">
        <v>106</v>
      </c>
      <c r="CU283" s="187" t="s">
        <v>7114</v>
      </c>
      <c r="CV283" s="187" t="s">
        <v>6962</v>
      </c>
      <c r="CW283" s="187" t="s">
        <v>2169</v>
      </c>
      <c r="CX283" s="187" t="s">
        <v>1553</v>
      </c>
      <c r="CY283" s="187" t="s">
        <v>1522</v>
      </c>
      <c r="CZ283" s="187" t="s">
        <v>1304</v>
      </c>
      <c r="DB283" s="186" t="s">
        <v>106</v>
      </c>
      <c r="DC283" s="187" t="s">
        <v>7114</v>
      </c>
      <c r="DD283" s="187" t="s">
        <v>6962</v>
      </c>
      <c r="DE283" s="187" t="s">
        <v>2169</v>
      </c>
      <c r="DF283" s="187" t="s">
        <v>1553</v>
      </c>
      <c r="DG283" s="187" t="s">
        <v>1522</v>
      </c>
      <c r="DH283" s="187" t="s">
        <v>1304</v>
      </c>
      <c r="DI283" s="187"/>
      <c r="DJ283" s="186" t="s">
        <v>106</v>
      </c>
      <c r="DK283" s="187" t="s">
        <v>7114</v>
      </c>
      <c r="DL283" s="187" t="s">
        <v>6962</v>
      </c>
      <c r="DM283" s="187" t="s">
        <v>2169</v>
      </c>
      <c r="DN283" s="187" t="s">
        <v>1553</v>
      </c>
      <c r="DO283" s="187" t="s">
        <v>1522</v>
      </c>
      <c r="DP283" s="187" t="s">
        <v>1304</v>
      </c>
      <c r="DR283" s="186" t="s">
        <v>106</v>
      </c>
      <c r="DS283" s="187" t="s">
        <v>7114</v>
      </c>
      <c r="DT283" s="187" t="s">
        <v>6962</v>
      </c>
      <c r="DU283" s="187" t="s">
        <v>2169</v>
      </c>
      <c r="DV283" s="187" t="s">
        <v>1553</v>
      </c>
      <c r="DW283" s="187" t="s">
        <v>1522</v>
      </c>
      <c r="DX283" s="187" t="s">
        <v>1304</v>
      </c>
      <c r="DZ283" s="186" t="s">
        <v>106</v>
      </c>
      <c r="EA283" s="187" t="s">
        <v>7114</v>
      </c>
      <c r="EB283" s="187" t="s">
        <v>6962</v>
      </c>
      <c r="EC283" s="187" t="s">
        <v>2169</v>
      </c>
      <c r="ED283" s="187" t="s">
        <v>1553</v>
      </c>
      <c r="EE283" s="187" t="s">
        <v>1522</v>
      </c>
      <c r="EF283" s="187" t="s">
        <v>1304</v>
      </c>
    </row>
    <row r="284" spans="1:136" s="90" customFormat="1" x14ac:dyDescent="0.2">
      <c r="A284" s="292"/>
      <c r="B284" s="134" t="s">
        <v>143</v>
      </c>
      <c r="C284" s="91">
        <f>AVERAGE(C$236:C236)</f>
        <v>15.830714285714285</v>
      </c>
      <c r="D284" s="91">
        <f>AVERAGE(D$236:D236)</f>
        <v>17.440000000000001</v>
      </c>
      <c r="E284" s="91">
        <f>AVERAGE(E$236:E236)</f>
        <v>18.974</v>
      </c>
      <c r="F284" s="91">
        <f>AVERAGE(F$236:F236)</f>
        <v>20.705000000000005</v>
      </c>
      <c r="G284" s="91">
        <f>AVERAGE(G$236:G236)</f>
        <v>19.6525</v>
      </c>
      <c r="H284" s="91">
        <f>AVERAGE(H$236:H236)</f>
        <v>13.827499999999999</v>
      </c>
      <c r="I284" s="91"/>
      <c r="J284" s="134" t="s">
        <v>143</v>
      </c>
      <c r="K284" s="91">
        <f>AVERAGE(K$236:K236)</f>
        <v>17.13</v>
      </c>
      <c r="L284" s="91">
        <v>16.05</v>
      </c>
      <c r="M284" s="91">
        <v>16.239999999999998</v>
      </c>
      <c r="N284" s="91">
        <v>15.34</v>
      </c>
      <c r="O284" s="91">
        <v>16.3</v>
      </c>
      <c r="P284" s="91">
        <v>13.9</v>
      </c>
      <c r="R284" s="134" t="s">
        <v>143</v>
      </c>
      <c r="S284" s="91">
        <f>AVERAGE(S$236:S236)</f>
        <v>16.55</v>
      </c>
      <c r="T284" s="91">
        <v>16.23</v>
      </c>
      <c r="U284" s="91">
        <v>15.96</v>
      </c>
      <c r="V284" s="91">
        <v>15.72</v>
      </c>
      <c r="W284" s="91">
        <v>16.3</v>
      </c>
      <c r="X284" s="91">
        <v>13.62</v>
      </c>
      <c r="Z284" s="134" t="s">
        <v>143</v>
      </c>
      <c r="AA284" s="91">
        <f>AVERAGE(AA$236:AA236)</f>
        <v>15.91</v>
      </c>
      <c r="AB284" s="91">
        <v>16.260000000000002</v>
      </c>
      <c r="AC284" s="91">
        <v>15.37</v>
      </c>
      <c r="AD284" s="91">
        <v>15.22</v>
      </c>
      <c r="AE284" s="91">
        <v>17.04</v>
      </c>
      <c r="AF284" s="91">
        <v>13.51</v>
      </c>
      <c r="AH284" s="134" t="s">
        <v>143</v>
      </c>
      <c r="AI284" s="91" t="e">
        <f>AVERAGE(AI$236:AI236)</f>
        <v>#DIV/0!</v>
      </c>
      <c r="AJ284" s="91">
        <v>18.23</v>
      </c>
      <c r="AK284" s="91">
        <v>18.079999999999998</v>
      </c>
      <c r="AL284" s="91">
        <v>17.45</v>
      </c>
      <c r="AM284" s="91">
        <v>17.36</v>
      </c>
      <c r="AN284" s="91">
        <v>14.42</v>
      </c>
      <c r="AP284" s="134" t="s">
        <v>143</v>
      </c>
      <c r="AQ284" s="91">
        <f>AVERAGE(AQ$236:AQ236)</f>
        <v>17.190000000000001</v>
      </c>
      <c r="AR284" s="91">
        <v>16.809999999999999</v>
      </c>
      <c r="AS284" s="91">
        <v>16.37</v>
      </c>
      <c r="AT284" s="91">
        <v>15.76</v>
      </c>
      <c r="AU284" s="91">
        <v>16.36</v>
      </c>
      <c r="AV284" s="91" t="e">
        <v>#DIV/0!</v>
      </c>
      <c r="AX284" s="134" t="s">
        <v>143</v>
      </c>
      <c r="AY284" s="91" t="e">
        <f>AVERAGE(AY$236:AY236)</f>
        <v>#DIV/0!</v>
      </c>
      <c r="AZ284" s="91">
        <v>19.8</v>
      </c>
      <c r="BA284" s="91">
        <v>19.61</v>
      </c>
      <c r="BB284" s="91">
        <v>18.329999999999998</v>
      </c>
      <c r="BC284" s="91"/>
      <c r="BD284" s="91"/>
      <c r="BE284" s="91"/>
      <c r="BF284" s="134" t="s">
        <v>143</v>
      </c>
      <c r="BG284" s="91">
        <f>AVERAGE(BG$236:BG236)</f>
        <v>18.100000000000001</v>
      </c>
      <c r="BH284" s="91">
        <v>18.32</v>
      </c>
      <c r="BI284" s="91">
        <v>18.57</v>
      </c>
      <c r="BJ284" s="91"/>
      <c r="BK284" s="91"/>
      <c r="BL284" s="91"/>
      <c r="BM284" s="91"/>
      <c r="BN284" s="134" t="s">
        <v>143</v>
      </c>
      <c r="BO284" s="91">
        <f>AVERAGE(BO$236:BO236)</f>
        <v>16.36</v>
      </c>
      <c r="BP284" s="91">
        <v>16.739999999999998</v>
      </c>
      <c r="BQ284" s="91">
        <v>16.239999999999998</v>
      </c>
      <c r="BR284" s="91">
        <v>15.82</v>
      </c>
      <c r="BS284" s="91">
        <v>17.920000000000002</v>
      </c>
      <c r="BT284" s="91">
        <v>12.92</v>
      </c>
      <c r="BV284" s="134" t="s">
        <v>143</v>
      </c>
      <c r="BW284" s="91">
        <f>AVERAGE(BW$236:BW236)</f>
        <v>18.260000000000002</v>
      </c>
      <c r="BX284" s="91">
        <v>18.32</v>
      </c>
      <c r="BY284" s="91">
        <v>18.170000000000002</v>
      </c>
      <c r="BZ284" s="91">
        <v>17.989999999999998</v>
      </c>
      <c r="CA284" s="91">
        <v>18.850000000000001</v>
      </c>
      <c r="CB284" s="91">
        <v>14.79</v>
      </c>
      <c r="CC284" s="91"/>
      <c r="CD284" s="134" t="s">
        <v>143</v>
      </c>
      <c r="CE284" s="91">
        <f>AVERAGE(CE$236:CE236)</f>
        <v>16.05</v>
      </c>
      <c r="CF284" s="91">
        <v>17.95</v>
      </c>
      <c r="CG284" s="91">
        <v>16.53</v>
      </c>
      <c r="CH284" s="91">
        <v>16.18</v>
      </c>
      <c r="CI284" s="91">
        <v>18.940000000000001</v>
      </c>
      <c r="CJ284" s="91">
        <v>12.86</v>
      </c>
      <c r="CL284" s="134" t="s">
        <v>143</v>
      </c>
      <c r="CM284" s="91">
        <f>AVERAGE(CM$236:CM236)</f>
        <v>17.899999999999999</v>
      </c>
      <c r="CN284" s="91">
        <v>17.13</v>
      </c>
      <c r="CO284" s="91">
        <v>18.600000000000001</v>
      </c>
      <c r="CP284" s="91">
        <v>17.829999999999998</v>
      </c>
      <c r="CQ284" s="91">
        <v>18.149999999999999</v>
      </c>
      <c r="CR284" s="91">
        <v>14.6</v>
      </c>
      <c r="CT284" s="134" t="s">
        <v>143</v>
      </c>
      <c r="CU284" s="91">
        <f>AVERAGE(CU$236:CU236)</f>
        <v>16.260000000000002</v>
      </c>
      <c r="CV284" s="91">
        <v>16.399999999999999</v>
      </c>
      <c r="CW284" s="91" t="e">
        <v>#DIV/0!</v>
      </c>
      <c r="CX284" s="91"/>
      <c r="CY284" s="91"/>
      <c r="CZ284" s="91"/>
      <c r="DB284" s="134" t="s">
        <v>143</v>
      </c>
      <c r="DC284" s="91">
        <f>AVERAGE(DC$236:DC236)</f>
        <v>19.350000000000001</v>
      </c>
      <c r="DD284" s="91">
        <v>19</v>
      </c>
      <c r="DE284" s="91" t="e">
        <v>#DIV/0!</v>
      </c>
      <c r="DF284" s="91"/>
      <c r="DG284" s="91"/>
      <c r="DH284" s="91"/>
      <c r="DI284" s="91"/>
      <c r="DJ284" s="134" t="s">
        <v>143</v>
      </c>
      <c r="DK284" s="91">
        <f>AVERAGE(DK$236:DK236)</f>
        <v>13.91</v>
      </c>
      <c r="DL284" s="91">
        <v>14.05</v>
      </c>
      <c r="DM284" s="91" t="e">
        <v>#DIV/0!</v>
      </c>
      <c r="DN284" s="91"/>
      <c r="DO284" s="91"/>
      <c r="DP284" s="91"/>
      <c r="DR284" s="134" t="s">
        <v>143</v>
      </c>
      <c r="DS284" s="91">
        <f>AVERAGE(DS$236:DS236)</f>
        <v>18.66</v>
      </c>
      <c r="DT284" s="91">
        <v>18.739999999999998</v>
      </c>
      <c r="DU284" s="91" t="e">
        <v>#DIV/0!</v>
      </c>
      <c r="DV284" s="91"/>
      <c r="DW284" s="91"/>
      <c r="DX284" s="91"/>
      <c r="DZ284" s="134" t="s">
        <v>143</v>
      </c>
      <c r="EA284" s="91">
        <f>AVERAGE(EA$236:EA236)</f>
        <v>18.489999999999998</v>
      </c>
      <c r="EB284" s="91" t="e">
        <v>#DIV/0!</v>
      </c>
      <c r="EC284" s="91" t="e">
        <v>#DIV/0!</v>
      </c>
      <c r="ED284" s="91"/>
      <c r="EE284" s="91"/>
      <c r="EF284" s="91"/>
    </row>
    <row r="285" spans="1:136" s="90" customFormat="1" x14ac:dyDescent="0.2">
      <c r="A285" s="292"/>
      <c r="B285" s="134" t="s">
        <v>5</v>
      </c>
      <c r="C285" s="91">
        <f>AVERAGE(C$236:C237)</f>
        <v>15.830714285714285</v>
      </c>
      <c r="D285" s="91">
        <f>AVERAGE(D$236:D237)</f>
        <v>17.155909090909091</v>
      </c>
      <c r="E285" s="91">
        <f>AVERAGE(E$236:E237)</f>
        <v>19.205500000000001</v>
      </c>
      <c r="F285" s="91">
        <f>AVERAGE(F$236:F237)</f>
        <v>20.501875000000002</v>
      </c>
      <c r="G285" s="91">
        <f>AVERAGE(G$236:G237)</f>
        <v>19.432500000000001</v>
      </c>
      <c r="H285" s="91">
        <f>AVERAGE(H$236:H237)</f>
        <v>14.068124999999998</v>
      </c>
      <c r="I285" s="91"/>
      <c r="J285" s="134" t="s">
        <v>5</v>
      </c>
      <c r="K285" s="91">
        <f>AVERAGE(K$236:K237)</f>
        <v>17.13</v>
      </c>
      <c r="L285" s="91">
        <v>15.984999999999999</v>
      </c>
      <c r="M285" s="91">
        <v>16.424999999999997</v>
      </c>
      <c r="N285" s="91">
        <v>15.245000000000001</v>
      </c>
      <c r="O285" s="91">
        <v>16.010000000000002</v>
      </c>
      <c r="P285" s="91">
        <v>14.15</v>
      </c>
      <c r="R285" s="134" t="s">
        <v>5</v>
      </c>
      <c r="S285" s="91">
        <f>AVERAGE(S$236:S237)</f>
        <v>16.55</v>
      </c>
      <c r="T285" s="91">
        <v>15.98</v>
      </c>
      <c r="U285" s="91">
        <v>16.190000000000001</v>
      </c>
      <c r="V285" s="91">
        <v>15.635000000000002</v>
      </c>
      <c r="W285" s="91">
        <v>15.955</v>
      </c>
      <c r="X285" s="91">
        <v>13.82</v>
      </c>
      <c r="Z285" s="134" t="s">
        <v>5</v>
      </c>
      <c r="AA285" s="91">
        <f>AVERAGE(AA$236:AA237)</f>
        <v>15.91</v>
      </c>
      <c r="AB285" s="91">
        <v>16</v>
      </c>
      <c r="AC285" s="91">
        <v>15.629999999999999</v>
      </c>
      <c r="AD285" s="91">
        <v>14.9</v>
      </c>
      <c r="AE285" s="91">
        <v>16.88</v>
      </c>
      <c r="AF285" s="91">
        <v>13.715</v>
      </c>
      <c r="AH285" s="134" t="s">
        <v>5</v>
      </c>
      <c r="AI285" s="91" t="e">
        <f>AVERAGE(AI$236:AI237)</f>
        <v>#DIV/0!</v>
      </c>
      <c r="AJ285" s="91">
        <v>18.015000000000001</v>
      </c>
      <c r="AK285" s="91">
        <v>18.234999999999999</v>
      </c>
      <c r="AL285" s="91">
        <v>17.055</v>
      </c>
      <c r="AM285" s="91">
        <v>17.09</v>
      </c>
      <c r="AN285" s="91">
        <v>14.395</v>
      </c>
      <c r="AP285" s="134" t="s">
        <v>5</v>
      </c>
      <c r="AQ285" s="91">
        <f>AVERAGE(AQ$236:AQ237)</f>
        <v>17.190000000000001</v>
      </c>
      <c r="AR285" s="91">
        <v>16.555</v>
      </c>
      <c r="AS285" s="91">
        <v>16.555</v>
      </c>
      <c r="AT285" s="91">
        <v>15.399999999999999</v>
      </c>
      <c r="AU285" s="91">
        <v>16.14</v>
      </c>
      <c r="AV285" s="91" t="e">
        <v>#DIV/0!</v>
      </c>
      <c r="AX285" s="134" t="s">
        <v>5</v>
      </c>
      <c r="AY285" s="91" t="e">
        <f>AVERAGE(AY$236:AY237)</f>
        <v>#DIV/0!</v>
      </c>
      <c r="AZ285" s="91">
        <v>19.425000000000001</v>
      </c>
      <c r="BA285" s="91">
        <v>19.414999999999999</v>
      </c>
      <c r="BB285" s="91">
        <v>18.149999999999999</v>
      </c>
      <c r="BC285" s="91"/>
      <c r="BD285" s="91"/>
      <c r="BE285" s="91"/>
      <c r="BF285" s="134" t="s">
        <v>5</v>
      </c>
      <c r="BG285" s="91">
        <f>AVERAGE(BG$236:BG237)</f>
        <v>18.100000000000001</v>
      </c>
      <c r="BH285" s="91">
        <v>18.035</v>
      </c>
      <c r="BI285" s="91">
        <v>18.755000000000003</v>
      </c>
      <c r="BJ285" s="91"/>
      <c r="BK285" s="91"/>
      <c r="BL285" s="91"/>
      <c r="BM285" s="91"/>
      <c r="BN285" s="134" t="s">
        <v>5</v>
      </c>
      <c r="BO285" s="91">
        <f>AVERAGE(BO$236:BO237)</f>
        <v>16.36</v>
      </c>
      <c r="BP285" s="91">
        <v>16.664999999999999</v>
      </c>
      <c r="BQ285" s="91">
        <v>16.814999999999998</v>
      </c>
      <c r="BR285" s="91">
        <v>15.945</v>
      </c>
      <c r="BS285" s="91">
        <v>17.475000000000001</v>
      </c>
      <c r="BT285" s="91">
        <v>13.59</v>
      </c>
      <c r="BV285" s="134" t="s">
        <v>5</v>
      </c>
      <c r="BW285" s="91">
        <f>AVERAGE(BW$236:BW237)</f>
        <v>18.260000000000002</v>
      </c>
      <c r="BX285" s="91">
        <v>18.175000000000001</v>
      </c>
      <c r="BY285" s="91">
        <v>18.61</v>
      </c>
      <c r="BZ285" s="91">
        <v>17.829999999999998</v>
      </c>
      <c r="CA285" s="91">
        <v>19.065000000000001</v>
      </c>
      <c r="CB285" s="91">
        <v>15.045</v>
      </c>
      <c r="CC285" s="91"/>
      <c r="CD285" s="134" t="s">
        <v>5</v>
      </c>
      <c r="CE285" s="91">
        <f>AVERAGE(CE$236:CE237)</f>
        <v>16.05</v>
      </c>
      <c r="CF285" s="91">
        <v>17.18</v>
      </c>
      <c r="CG285" s="91">
        <v>16.815000000000001</v>
      </c>
      <c r="CH285" s="91">
        <v>16.254999999999999</v>
      </c>
      <c r="CI285" s="91">
        <v>19.065000000000001</v>
      </c>
      <c r="CJ285" s="91">
        <v>13.024999999999999</v>
      </c>
      <c r="CL285" s="134" t="s">
        <v>5</v>
      </c>
      <c r="CM285" s="91">
        <f>AVERAGE(CM$236:CM237)</f>
        <v>17.899999999999999</v>
      </c>
      <c r="CN285" s="91">
        <v>16.7</v>
      </c>
      <c r="CO285" s="91">
        <v>18.61</v>
      </c>
      <c r="CP285" s="91">
        <v>17.600000000000001</v>
      </c>
      <c r="CQ285" s="91">
        <v>17.78</v>
      </c>
      <c r="CR285" s="91">
        <v>14.805</v>
      </c>
      <c r="CT285" s="134" t="s">
        <v>5</v>
      </c>
      <c r="CU285" s="91">
        <f>AVERAGE(CU$236:CU237)</f>
        <v>16.260000000000002</v>
      </c>
      <c r="CV285" s="91">
        <v>16.16</v>
      </c>
      <c r="CW285" s="91" t="e">
        <v>#DIV/0!</v>
      </c>
      <c r="CX285" s="91"/>
      <c r="CY285" s="91"/>
      <c r="CZ285" s="91"/>
      <c r="DB285" s="134" t="s">
        <v>5</v>
      </c>
      <c r="DC285" s="91">
        <f>AVERAGE(DC$236:DC237)</f>
        <v>19.350000000000001</v>
      </c>
      <c r="DD285" s="91">
        <v>18.655000000000001</v>
      </c>
      <c r="DE285" s="91" t="e">
        <v>#DIV/0!</v>
      </c>
      <c r="DF285" s="91"/>
      <c r="DG285" s="91"/>
      <c r="DH285" s="91"/>
      <c r="DI285" s="91"/>
      <c r="DJ285" s="134" t="s">
        <v>5</v>
      </c>
      <c r="DK285" s="91">
        <f>AVERAGE(DK$236:DK237)</f>
        <v>13.91</v>
      </c>
      <c r="DL285" s="91">
        <v>13.824999999999999</v>
      </c>
      <c r="DM285" s="91" t="e">
        <v>#DIV/0!</v>
      </c>
      <c r="DN285" s="91"/>
      <c r="DO285" s="91"/>
      <c r="DP285" s="91"/>
      <c r="DR285" s="134" t="s">
        <v>5</v>
      </c>
      <c r="DS285" s="91">
        <f>AVERAGE(DS$236:DS237)</f>
        <v>18.66</v>
      </c>
      <c r="DT285" s="91">
        <v>18.47</v>
      </c>
      <c r="DU285" s="91" t="e">
        <v>#DIV/0!</v>
      </c>
      <c r="DV285" s="91"/>
      <c r="DW285" s="91"/>
      <c r="DX285" s="91"/>
      <c r="DZ285" s="134" t="s">
        <v>5</v>
      </c>
      <c r="EA285" s="91">
        <f>AVERAGE(EA$236:EA237)</f>
        <v>18.489999999999998</v>
      </c>
      <c r="EB285" s="91" t="e">
        <v>#DIV/0!</v>
      </c>
      <c r="EC285" s="91" t="e">
        <v>#DIV/0!</v>
      </c>
      <c r="ED285" s="91"/>
      <c r="EE285" s="91"/>
      <c r="EF285" s="91"/>
    </row>
    <row r="286" spans="1:136" s="90" customFormat="1" x14ac:dyDescent="0.2">
      <c r="A286" s="292"/>
      <c r="B286" s="134" t="s">
        <v>7</v>
      </c>
      <c r="C286" s="91">
        <f>AVERAGE(C$236:C238)</f>
        <v>15.830714285714285</v>
      </c>
      <c r="D286" s="91">
        <f>AVERAGE(D$236:D238)</f>
        <v>17.207878787878787</v>
      </c>
      <c r="E286" s="91">
        <f>AVERAGE(E$236:E238)</f>
        <v>19.255666666666666</v>
      </c>
      <c r="F286" s="91">
        <f>AVERAGE(F$236:F238)</f>
        <v>20.307500000000001</v>
      </c>
      <c r="G286" s="91">
        <f>AVERAGE(G$236:G238)</f>
        <v>19.087916666666668</v>
      </c>
      <c r="H286" s="91">
        <f>AVERAGE(H$236:H238)</f>
        <v>14.172083333333333</v>
      </c>
      <c r="I286" s="91"/>
      <c r="J286" s="134" t="s">
        <v>7</v>
      </c>
      <c r="K286" s="91">
        <f>AVERAGE(K$236:K238)</f>
        <v>17.13</v>
      </c>
      <c r="L286" s="91">
        <v>16.079999999999998</v>
      </c>
      <c r="M286" s="91">
        <v>16.499999999999996</v>
      </c>
      <c r="N286" s="91">
        <v>15.143333333333333</v>
      </c>
      <c r="O286" s="91">
        <v>15.826666666666668</v>
      </c>
      <c r="P286" s="91">
        <v>14.116666666666667</v>
      </c>
      <c r="R286" s="134" t="s">
        <v>7</v>
      </c>
      <c r="S286" s="91">
        <f>AVERAGE(S$236:S238)</f>
        <v>16.55</v>
      </c>
      <c r="T286" s="91">
        <v>16.18</v>
      </c>
      <c r="U286" s="91">
        <v>16.383333333333336</v>
      </c>
      <c r="V286" s="91">
        <v>15.51</v>
      </c>
      <c r="W286" s="91">
        <v>15.743333333333334</v>
      </c>
      <c r="X286" s="91">
        <v>13.910000000000002</v>
      </c>
      <c r="Z286" s="134" t="s">
        <v>7</v>
      </c>
      <c r="AA286" s="91">
        <f>AVERAGE(AA$236:AA238)</f>
        <v>15.91</v>
      </c>
      <c r="AB286" s="91">
        <v>16.033333333333335</v>
      </c>
      <c r="AC286" s="91">
        <v>15.719999999999999</v>
      </c>
      <c r="AD286" s="91">
        <v>14.799999999999999</v>
      </c>
      <c r="AE286" s="91">
        <v>16.606666666666666</v>
      </c>
      <c r="AF286" s="91">
        <v>13.666666666666666</v>
      </c>
      <c r="AH286" s="134" t="s">
        <v>7</v>
      </c>
      <c r="AI286" s="91" t="e">
        <f>AVERAGE(AI$236:AI238)</f>
        <v>#DIV/0!</v>
      </c>
      <c r="AJ286" s="91">
        <v>18.010000000000002</v>
      </c>
      <c r="AK286" s="91">
        <v>18.28</v>
      </c>
      <c r="AL286" s="91">
        <v>16.936666666666667</v>
      </c>
      <c r="AM286" s="91">
        <v>16.88</v>
      </c>
      <c r="AN286" s="91">
        <v>15.226666666666667</v>
      </c>
      <c r="AP286" s="134" t="s">
        <v>7</v>
      </c>
      <c r="AQ286" s="91">
        <f>AVERAGE(AQ$236:AQ238)</f>
        <v>17.190000000000001</v>
      </c>
      <c r="AR286" s="91">
        <v>16.696666666666669</v>
      </c>
      <c r="AS286" s="91">
        <v>16.606666666666666</v>
      </c>
      <c r="AT286" s="91">
        <v>15.209999999999999</v>
      </c>
      <c r="AU286" s="91">
        <v>15.913333333333334</v>
      </c>
      <c r="AV286" s="91" t="e">
        <v>#DIV/0!</v>
      </c>
      <c r="AX286" s="134" t="s">
        <v>7</v>
      </c>
      <c r="AY286" s="91" t="e">
        <f>AVERAGE(AY$236:AY238)</f>
        <v>#DIV/0!</v>
      </c>
      <c r="AZ286" s="91">
        <v>19.513333333333335</v>
      </c>
      <c r="BA286" s="91">
        <v>19.41</v>
      </c>
      <c r="BB286" s="91">
        <v>17.933333333333334</v>
      </c>
      <c r="BC286" s="91"/>
      <c r="BD286" s="91"/>
      <c r="BE286" s="91"/>
      <c r="BF286" s="134" t="s">
        <v>7</v>
      </c>
      <c r="BG286" s="91">
        <f>AVERAGE(BG$236:BG238)</f>
        <v>18.100000000000001</v>
      </c>
      <c r="BH286" s="91">
        <v>18.040000000000003</v>
      </c>
      <c r="BI286" s="91">
        <v>18.760000000000002</v>
      </c>
      <c r="BJ286" s="91"/>
      <c r="BK286" s="91"/>
      <c r="BL286" s="91"/>
      <c r="BM286" s="91"/>
      <c r="BN286" s="134" t="s">
        <v>7</v>
      </c>
      <c r="BO286" s="91">
        <f>AVERAGE(BO$236:BO238)</f>
        <v>16.36</v>
      </c>
      <c r="BP286" s="91">
        <v>16.75</v>
      </c>
      <c r="BQ286" s="91">
        <v>16.739999999999998</v>
      </c>
      <c r="BR286" s="91">
        <v>15.700000000000001</v>
      </c>
      <c r="BS286" s="91">
        <v>17.163333333333334</v>
      </c>
      <c r="BT286" s="91">
        <v>13.61</v>
      </c>
      <c r="BV286" s="134" t="s">
        <v>7</v>
      </c>
      <c r="BW286" s="91">
        <f>AVERAGE(BW$236:BW238)</f>
        <v>18.260000000000002</v>
      </c>
      <c r="BX286" s="91">
        <v>18.123333333333335</v>
      </c>
      <c r="BY286" s="91">
        <v>18.64</v>
      </c>
      <c r="BZ286" s="91">
        <v>17.7</v>
      </c>
      <c r="CA286" s="91">
        <v>18.566666666666666</v>
      </c>
      <c r="CB286" s="91">
        <v>15.04</v>
      </c>
      <c r="CC286" s="91"/>
      <c r="CD286" s="134" t="s">
        <v>7</v>
      </c>
      <c r="CE286" s="91">
        <f>AVERAGE(CE$236:CE238)</f>
        <v>16.05</v>
      </c>
      <c r="CF286" s="91">
        <v>16.856666666666666</v>
      </c>
      <c r="CG286" s="91">
        <v>16.813333333333333</v>
      </c>
      <c r="CH286" s="91">
        <v>16.056666666666668</v>
      </c>
      <c r="CI286" s="91">
        <v>18.420000000000002</v>
      </c>
      <c r="CJ286" s="91">
        <v>13.003333333333332</v>
      </c>
      <c r="CL286" s="134" t="s">
        <v>7</v>
      </c>
      <c r="CM286" s="91">
        <f>AVERAGE(CM$236:CM238)</f>
        <v>17.899999999999999</v>
      </c>
      <c r="CN286" s="91">
        <v>17.003333333333334</v>
      </c>
      <c r="CO286" s="91">
        <v>18.703333333333333</v>
      </c>
      <c r="CP286" s="91">
        <v>17.470000000000002</v>
      </c>
      <c r="CQ286" s="91">
        <v>17.583333333333332</v>
      </c>
      <c r="CR286" s="91">
        <v>14.803333333333333</v>
      </c>
      <c r="CT286" s="134" t="s">
        <v>7</v>
      </c>
      <c r="CU286" s="91">
        <f>AVERAGE(CU$236:CU238)</f>
        <v>16.260000000000002</v>
      </c>
      <c r="CV286" s="91">
        <v>16.216666666666665</v>
      </c>
      <c r="CW286" s="91" t="e">
        <v>#DIV/0!</v>
      </c>
      <c r="CX286" s="91"/>
      <c r="CY286" s="91"/>
      <c r="CZ286" s="91"/>
      <c r="DB286" s="134" t="s">
        <v>7</v>
      </c>
      <c r="DC286" s="91">
        <f>AVERAGE(DC$236:DC238)</f>
        <v>19.350000000000001</v>
      </c>
      <c r="DD286" s="91">
        <v>18.696666666666669</v>
      </c>
      <c r="DE286" s="91" t="e">
        <v>#DIV/0!</v>
      </c>
      <c r="DF286" s="91"/>
      <c r="DG286" s="91"/>
      <c r="DH286" s="91"/>
      <c r="DI286" s="91"/>
      <c r="DJ286" s="134" t="s">
        <v>7</v>
      </c>
      <c r="DK286" s="91">
        <f>AVERAGE(DK$236:DK238)</f>
        <v>13.91</v>
      </c>
      <c r="DL286" s="91">
        <v>13.933333333333332</v>
      </c>
      <c r="DM286" s="91" t="e">
        <v>#DIV/0!</v>
      </c>
      <c r="DN286" s="91"/>
      <c r="DO286" s="91"/>
      <c r="DP286" s="91"/>
      <c r="DR286" s="134" t="s">
        <v>7</v>
      </c>
      <c r="DS286" s="91">
        <f>AVERAGE(DS$236:DS238)</f>
        <v>18.66</v>
      </c>
      <c r="DT286" s="91">
        <v>18.55</v>
      </c>
      <c r="DU286" s="91" t="e">
        <v>#DIV/0!</v>
      </c>
      <c r="DV286" s="91"/>
      <c r="DW286" s="91"/>
      <c r="DX286" s="91"/>
      <c r="DZ286" s="134" t="s">
        <v>7</v>
      </c>
      <c r="EA286" s="91">
        <f>AVERAGE(EA$236:EA238)</f>
        <v>18.489999999999998</v>
      </c>
      <c r="EB286" s="91" t="e">
        <v>#DIV/0!</v>
      </c>
      <c r="EC286" s="91" t="e">
        <v>#DIV/0!</v>
      </c>
      <c r="ED286" s="91"/>
      <c r="EE286" s="91"/>
      <c r="EF286" s="91"/>
    </row>
    <row r="287" spans="1:136" s="90" customFormat="1" x14ac:dyDescent="0.2">
      <c r="A287" s="292"/>
      <c r="B287" s="134" t="s">
        <v>9</v>
      </c>
      <c r="C287" s="91">
        <f>AVERAGE(C$236:C239)</f>
        <v>15.830714285714285</v>
      </c>
      <c r="D287" s="91">
        <f>AVERAGE(D$236:D239)</f>
        <v>17.198181818181819</v>
      </c>
      <c r="E287" s="91">
        <f>AVERAGE(E$236:E239)</f>
        <v>19.5395</v>
      </c>
      <c r="F287" s="91">
        <f>AVERAGE(F$236:F239)</f>
        <v>20.438437499999999</v>
      </c>
      <c r="G287" s="91">
        <f>AVERAGE(G$236:G239)</f>
        <v>19.130624999999998</v>
      </c>
      <c r="H287" s="91">
        <f>AVERAGE(H$236:H239)</f>
        <v>10.6575003125</v>
      </c>
      <c r="I287" s="91"/>
      <c r="J287" s="134" t="s">
        <v>9</v>
      </c>
      <c r="K287" s="91">
        <f>AVERAGE(K$236:K239)</f>
        <v>17.13</v>
      </c>
      <c r="L287" s="91">
        <v>16.057499999999997</v>
      </c>
      <c r="M287" s="91">
        <v>16.689999999999998</v>
      </c>
      <c r="N287" s="91">
        <v>15.25</v>
      </c>
      <c r="O287" s="91">
        <v>15.857500000000002</v>
      </c>
      <c r="P287" s="91">
        <v>10.587502500000001</v>
      </c>
      <c r="R287" s="134" t="s">
        <v>9</v>
      </c>
      <c r="S287" s="91">
        <f>AVERAGE(S$236:S239)</f>
        <v>16.55</v>
      </c>
      <c r="T287" s="91">
        <v>16.254999999999999</v>
      </c>
      <c r="U287" s="91">
        <v>16.635000000000002</v>
      </c>
      <c r="V287" s="91">
        <v>15.6175</v>
      </c>
      <c r="W287" s="91">
        <v>15.755000000000001</v>
      </c>
      <c r="X287" s="91">
        <v>10.432500000000001</v>
      </c>
      <c r="Z287" s="134" t="s">
        <v>9</v>
      </c>
      <c r="AA287" s="91">
        <f>AVERAGE(AA$236:AA239)</f>
        <v>15.91</v>
      </c>
      <c r="AB287" s="91">
        <v>15.98</v>
      </c>
      <c r="AC287" s="91">
        <v>16.02</v>
      </c>
      <c r="AD287" s="91">
        <v>14.9375</v>
      </c>
      <c r="AE287" s="91">
        <v>16.567499999999999</v>
      </c>
      <c r="AF287" s="91">
        <v>10.25</v>
      </c>
      <c r="AH287" s="134" t="s">
        <v>9</v>
      </c>
      <c r="AI287" s="91" t="e">
        <f>AVERAGE(AI$236:AI239)</f>
        <v>#DIV/0!</v>
      </c>
      <c r="AJ287" s="91">
        <v>18.004999999999999</v>
      </c>
      <c r="AK287" s="91">
        <v>18.400000000000002</v>
      </c>
      <c r="AL287" s="91">
        <v>17.032499999999999</v>
      </c>
      <c r="AM287" s="91">
        <v>16.977499999999999</v>
      </c>
      <c r="AN287" s="91">
        <v>11.42</v>
      </c>
      <c r="AP287" s="134" t="s">
        <v>9</v>
      </c>
      <c r="AQ287" s="91">
        <f>AVERAGE(AQ$236:AQ239)</f>
        <v>17.190000000000001</v>
      </c>
      <c r="AR287" s="91">
        <v>16.585000000000001</v>
      </c>
      <c r="AS287" s="91">
        <v>16.737500000000001</v>
      </c>
      <c r="AT287" s="91">
        <v>15.319999999999999</v>
      </c>
      <c r="AU287" s="91">
        <v>16.162500000000001</v>
      </c>
      <c r="AV287" s="91" t="e">
        <v>#DIV/0!</v>
      </c>
      <c r="AX287" s="134" t="s">
        <v>9</v>
      </c>
      <c r="AY287" s="91" t="e">
        <f>AVERAGE(AY$236:AY239)</f>
        <v>#DIV/0!</v>
      </c>
      <c r="AZ287" s="91">
        <v>19.487500000000001</v>
      </c>
      <c r="BA287" s="91">
        <v>19.622499999999999</v>
      </c>
      <c r="BB287" s="91">
        <v>17.98</v>
      </c>
      <c r="BC287" s="91"/>
      <c r="BD287" s="91"/>
      <c r="BE287" s="91"/>
      <c r="BF287" s="134" t="s">
        <v>9</v>
      </c>
      <c r="BG287" s="91">
        <f>AVERAGE(BG$236:BG239)</f>
        <v>18.100000000000001</v>
      </c>
      <c r="BH287" s="91">
        <v>18.025000000000002</v>
      </c>
      <c r="BI287" s="91">
        <v>19.035</v>
      </c>
      <c r="BJ287" s="91"/>
      <c r="BK287" s="91"/>
      <c r="BL287" s="91"/>
      <c r="BM287" s="91"/>
      <c r="BN287" s="134" t="s">
        <v>9</v>
      </c>
      <c r="BO287" s="91">
        <f>AVERAGE(BO$236:BO239)</f>
        <v>16.36</v>
      </c>
      <c r="BP287" s="91">
        <v>16.759999999999998</v>
      </c>
      <c r="BQ287" s="91">
        <v>17.452500000000001</v>
      </c>
      <c r="BR287" s="91">
        <v>15.8575</v>
      </c>
      <c r="BS287" s="91">
        <v>17.392499999999998</v>
      </c>
      <c r="BT287" s="91">
        <v>10.2075</v>
      </c>
      <c r="BV287" s="134" t="s">
        <v>9</v>
      </c>
      <c r="BW287" s="91">
        <f>AVERAGE(BW$236:BW239)</f>
        <v>18.260000000000002</v>
      </c>
      <c r="BX287" s="91">
        <v>18.16</v>
      </c>
      <c r="BY287" s="91">
        <v>18.947500000000002</v>
      </c>
      <c r="BZ287" s="91">
        <v>17.899999999999999</v>
      </c>
      <c r="CA287" s="91">
        <v>18.484999999999999</v>
      </c>
      <c r="CB287" s="91">
        <v>11.28</v>
      </c>
      <c r="CC287" s="91"/>
      <c r="CD287" s="134" t="s">
        <v>9</v>
      </c>
      <c r="CE287" s="91">
        <f>AVERAGE(CE$236:CE239)</f>
        <v>16.05</v>
      </c>
      <c r="CF287" s="91">
        <v>16.765000000000001</v>
      </c>
      <c r="CG287" s="91">
        <v>17.0075</v>
      </c>
      <c r="CH287" s="91">
        <v>16.085000000000001</v>
      </c>
      <c r="CI287" s="91">
        <v>18.172499999999999</v>
      </c>
      <c r="CJ287" s="91">
        <v>9.9799999999999986</v>
      </c>
      <c r="CL287" s="134" t="s">
        <v>9</v>
      </c>
      <c r="CM287" s="91">
        <f>AVERAGE(CM$236:CM239)</f>
        <v>17.899999999999999</v>
      </c>
      <c r="CN287" s="91">
        <v>17.100000000000001</v>
      </c>
      <c r="CO287" s="91">
        <v>18.8475</v>
      </c>
      <c r="CP287" s="91">
        <v>17.5275</v>
      </c>
      <c r="CQ287" s="91">
        <v>17.675000000000001</v>
      </c>
      <c r="CR287" s="91">
        <v>11.102499999999999</v>
      </c>
      <c r="CT287" s="134" t="s">
        <v>9</v>
      </c>
      <c r="CU287" s="91">
        <f>AVERAGE(CU$236:CU239)</f>
        <v>16.260000000000002</v>
      </c>
      <c r="CV287" s="91">
        <v>16.085000000000001</v>
      </c>
      <c r="CW287" s="91" t="e">
        <v>#DIV/0!</v>
      </c>
      <c r="CX287" s="91"/>
      <c r="CY287" s="91"/>
      <c r="CZ287" s="91"/>
      <c r="DB287" s="134" t="s">
        <v>9</v>
      </c>
      <c r="DC287" s="91">
        <f>AVERAGE(DC$236:DC239)</f>
        <v>19.350000000000001</v>
      </c>
      <c r="DD287" s="91">
        <v>18.61</v>
      </c>
      <c r="DE287" s="91" t="e">
        <v>#DIV/0!</v>
      </c>
      <c r="DF287" s="91"/>
      <c r="DG287" s="91"/>
      <c r="DH287" s="91"/>
      <c r="DI287" s="91"/>
      <c r="DJ287" s="134" t="s">
        <v>9</v>
      </c>
      <c r="DK287" s="91">
        <f>AVERAGE(DK$236:DK239)</f>
        <v>13.91</v>
      </c>
      <c r="DL287" s="91">
        <v>13.84</v>
      </c>
      <c r="DM287" s="91" t="e">
        <v>#DIV/0!</v>
      </c>
      <c r="DN287" s="91"/>
      <c r="DO287" s="91"/>
      <c r="DP287" s="91"/>
      <c r="DR287" s="134" t="s">
        <v>9</v>
      </c>
      <c r="DS287" s="91">
        <f>AVERAGE(DS$236:DS239)</f>
        <v>18.66</v>
      </c>
      <c r="DT287" s="91">
        <v>18.3125</v>
      </c>
      <c r="DU287" s="91" t="e">
        <v>#DIV/0!</v>
      </c>
      <c r="DV287" s="91"/>
      <c r="DW287" s="91"/>
      <c r="DX287" s="91"/>
      <c r="DZ287" s="134" t="s">
        <v>9</v>
      </c>
      <c r="EA287" s="91">
        <f>AVERAGE(EA$236:EA239)</f>
        <v>18.489999999999998</v>
      </c>
      <c r="EB287" s="91" t="e">
        <v>#DIV/0!</v>
      </c>
      <c r="EC287" s="91" t="e">
        <v>#DIV/0!</v>
      </c>
      <c r="ED287" s="91"/>
      <c r="EE287" s="91"/>
      <c r="EF287" s="91"/>
    </row>
    <row r="288" spans="1:136" s="90" customFormat="1" x14ac:dyDescent="0.2">
      <c r="A288" s="292"/>
      <c r="B288" s="134" t="s">
        <v>11</v>
      </c>
      <c r="C288" s="91">
        <f>AVERAGE(C$236:C240)</f>
        <v>15.830714285714285</v>
      </c>
      <c r="D288" s="91">
        <f>AVERAGE(D$236:D240)</f>
        <v>17.206181818181818</v>
      </c>
      <c r="E288" s="91">
        <f>AVERAGE(E$236:E240)</f>
        <v>19.584399999999999</v>
      </c>
      <c r="F288" s="91">
        <f>AVERAGE(F$236:F240)</f>
        <v>20.452749999999998</v>
      </c>
      <c r="G288" s="91">
        <f>AVERAGE(G$236:G240)</f>
        <v>19.227999999999998</v>
      </c>
      <c r="H288" s="91">
        <f>AVERAGE(H$236:H240)</f>
        <v>12.466500249999999</v>
      </c>
      <c r="I288" s="91"/>
      <c r="J288" s="134" t="s">
        <v>11</v>
      </c>
      <c r="K288" s="91">
        <f>AVERAGE(K$236:K240)</f>
        <v>17.13</v>
      </c>
      <c r="L288" s="91">
        <v>16.103999999999996</v>
      </c>
      <c r="M288" s="91">
        <v>16.68</v>
      </c>
      <c r="N288" s="91">
        <v>15.272</v>
      </c>
      <c r="O288" s="91">
        <v>15.936000000000002</v>
      </c>
      <c r="P288" s="91">
        <v>12.066002000000001</v>
      </c>
      <c r="R288" s="134" t="s">
        <v>11</v>
      </c>
      <c r="S288" s="91">
        <f>AVERAGE(S$236:S240)</f>
        <v>16.55</v>
      </c>
      <c r="T288" s="91">
        <v>16.302</v>
      </c>
      <c r="U288" s="91">
        <v>16.692</v>
      </c>
      <c r="V288" s="91">
        <v>15.574000000000002</v>
      </c>
      <c r="W288" s="91">
        <v>15.916</v>
      </c>
      <c r="X288" s="91">
        <v>11.924000000000001</v>
      </c>
      <c r="Z288" s="134" t="s">
        <v>11</v>
      </c>
      <c r="AA288" s="91">
        <f>AVERAGE(AA$236:AA240)</f>
        <v>15.91</v>
      </c>
      <c r="AB288" s="91">
        <v>15.934000000000001</v>
      </c>
      <c r="AC288" s="91">
        <v>15.953999999999999</v>
      </c>
      <c r="AD288" s="91">
        <v>14.894</v>
      </c>
      <c r="AE288" s="91">
        <v>16.448</v>
      </c>
      <c r="AF288" s="91">
        <v>12.124000000000001</v>
      </c>
      <c r="AH288" s="134" t="s">
        <v>11</v>
      </c>
      <c r="AI288" s="91" t="e">
        <f>AVERAGE(AI$236:AI240)</f>
        <v>#DIV/0!</v>
      </c>
      <c r="AJ288" s="91">
        <v>18.095999999999997</v>
      </c>
      <c r="AK288" s="91">
        <v>18.411999999999999</v>
      </c>
      <c r="AL288" s="91">
        <v>17.007999999999999</v>
      </c>
      <c r="AM288" s="91">
        <v>17.189999999999998</v>
      </c>
      <c r="AN288" s="91">
        <v>13.13</v>
      </c>
      <c r="AP288" s="134" t="s">
        <v>11</v>
      </c>
      <c r="AQ288" s="91">
        <f>AVERAGE(AQ$236:AQ240)</f>
        <v>17.190000000000001</v>
      </c>
      <c r="AR288" s="91">
        <v>16.521999999999998</v>
      </c>
      <c r="AS288" s="91">
        <v>16.760000000000002</v>
      </c>
      <c r="AT288" s="91">
        <v>15.35</v>
      </c>
      <c r="AU288" s="91">
        <v>16.184000000000001</v>
      </c>
      <c r="AV288" s="91" t="e">
        <v>#DIV/0!</v>
      </c>
      <c r="AX288" s="134" t="s">
        <v>11</v>
      </c>
      <c r="AY288" s="91" t="e">
        <f>AVERAGE(AY$236:AY240)</f>
        <v>#DIV/0!</v>
      </c>
      <c r="AZ288" s="91">
        <v>19.422000000000001</v>
      </c>
      <c r="BA288" s="91">
        <v>19.718</v>
      </c>
      <c r="BB288" s="91">
        <v>18.074000000000002</v>
      </c>
      <c r="BC288" s="91"/>
      <c r="BD288" s="91"/>
      <c r="BE288" s="91"/>
      <c r="BF288" s="134" t="s">
        <v>11</v>
      </c>
      <c r="BG288" s="91">
        <f>AVERAGE(BG$236:BG240)</f>
        <v>18.100000000000001</v>
      </c>
      <c r="BH288" s="91">
        <v>18.056000000000001</v>
      </c>
      <c r="BI288" s="91">
        <v>19.074000000000002</v>
      </c>
      <c r="BJ288" s="91"/>
      <c r="BK288" s="91"/>
      <c r="BL288" s="91"/>
      <c r="BM288" s="91"/>
      <c r="BN288" s="134" t="s">
        <v>11</v>
      </c>
      <c r="BO288" s="91">
        <f>AVERAGE(BO$236:BO240)</f>
        <v>16.36</v>
      </c>
      <c r="BP288" s="91">
        <v>16.765999999999998</v>
      </c>
      <c r="BQ288" s="91">
        <v>17.46</v>
      </c>
      <c r="BR288" s="91">
        <v>15.856</v>
      </c>
      <c r="BS288" s="91">
        <v>17.538</v>
      </c>
      <c r="BT288" s="91">
        <v>12.419999999999998</v>
      </c>
      <c r="BV288" s="134" t="s">
        <v>11</v>
      </c>
      <c r="BW288" s="91">
        <f>AVERAGE(BW$236:BW240)</f>
        <v>18.260000000000002</v>
      </c>
      <c r="BX288" s="91">
        <v>18.206</v>
      </c>
      <c r="BY288" s="91">
        <v>19.082000000000001</v>
      </c>
      <c r="BZ288" s="91">
        <v>17.991999999999997</v>
      </c>
      <c r="CA288" s="91">
        <v>18.624000000000002</v>
      </c>
      <c r="CB288" s="91">
        <v>13.266</v>
      </c>
      <c r="CC288" s="91"/>
      <c r="CD288" s="134" t="s">
        <v>11</v>
      </c>
      <c r="CE288" s="91">
        <f>AVERAGE(CE$236:CE240)</f>
        <v>16.05</v>
      </c>
      <c r="CF288" s="91">
        <v>16.724</v>
      </c>
      <c r="CG288" s="91">
        <v>17.155999999999999</v>
      </c>
      <c r="CH288" s="91">
        <v>16.084</v>
      </c>
      <c r="CI288" s="91">
        <v>18.149999999999999</v>
      </c>
      <c r="CJ288" s="91">
        <v>12.02</v>
      </c>
      <c r="CL288" s="134" t="s">
        <v>11</v>
      </c>
      <c r="CM288" s="91">
        <f>AVERAGE(CM$236:CM240)</f>
        <v>17.899999999999999</v>
      </c>
      <c r="CN288" s="91">
        <v>17.136000000000003</v>
      </c>
      <c r="CO288" s="91">
        <v>18.856000000000002</v>
      </c>
      <c r="CP288" s="91">
        <v>17.518000000000001</v>
      </c>
      <c r="CQ288" s="91">
        <v>17.838000000000001</v>
      </c>
      <c r="CR288" s="91">
        <v>12.782</v>
      </c>
      <c r="CT288" s="134" t="s">
        <v>11</v>
      </c>
      <c r="CU288" s="91">
        <f>AVERAGE(CU$236:CU240)</f>
        <v>16.260000000000002</v>
      </c>
      <c r="CV288" s="91">
        <v>16.032</v>
      </c>
      <c r="CW288" s="91" t="e">
        <v>#DIV/0!</v>
      </c>
      <c r="CX288" s="91"/>
      <c r="CY288" s="91"/>
      <c r="CZ288" s="91"/>
      <c r="DB288" s="134" t="s">
        <v>11</v>
      </c>
      <c r="DC288" s="91">
        <f>AVERAGE(DC$236:DC240)</f>
        <v>19.350000000000001</v>
      </c>
      <c r="DD288" s="91">
        <v>18.57</v>
      </c>
      <c r="DE288" s="91" t="e">
        <v>#DIV/0!</v>
      </c>
      <c r="DF288" s="91"/>
      <c r="DG288" s="91"/>
      <c r="DH288" s="91"/>
      <c r="DI288" s="91"/>
      <c r="DJ288" s="134" t="s">
        <v>11</v>
      </c>
      <c r="DK288" s="91">
        <f>AVERAGE(DK$236:DK240)</f>
        <v>13.91</v>
      </c>
      <c r="DL288" s="91">
        <v>13.790000000000001</v>
      </c>
      <c r="DM288" s="91" t="e">
        <v>#DIV/0!</v>
      </c>
      <c r="DN288" s="91"/>
      <c r="DO288" s="91"/>
      <c r="DP288" s="91"/>
      <c r="DR288" s="134" t="s">
        <v>11</v>
      </c>
      <c r="DS288" s="91">
        <f>AVERAGE(DS$236:DS240)</f>
        <v>18.66</v>
      </c>
      <c r="DT288" s="91">
        <v>18.238</v>
      </c>
      <c r="DU288" s="91" t="e">
        <v>#DIV/0!</v>
      </c>
      <c r="DV288" s="91"/>
      <c r="DW288" s="91"/>
      <c r="DX288" s="91"/>
      <c r="DZ288" s="134" t="s">
        <v>11</v>
      </c>
      <c r="EA288" s="91">
        <f>AVERAGE(EA$236:EA240)</f>
        <v>18.489999999999998</v>
      </c>
      <c r="EB288" s="91" t="e">
        <v>#DIV/0!</v>
      </c>
      <c r="EC288" s="91" t="e">
        <v>#DIV/0!</v>
      </c>
      <c r="ED288" s="91"/>
      <c r="EE288" s="91"/>
      <c r="EF288" s="91"/>
    </row>
    <row r="289" spans="1:136" s="90" customFormat="1" x14ac:dyDescent="0.2">
      <c r="A289" s="292"/>
      <c r="B289" s="134" t="s">
        <v>0</v>
      </c>
      <c r="C289" s="91">
        <f>AVERAGE(C$236:C241)</f>
        <v>15.830714285714285</v>
      </c>
      <c r="D289" s="91">
        <f>AVERAGE(D$236:D241)</f>
        <v>17.183484848484849</v>
      </c>
      <c r="E289" s="91">
        <f>AVERAGE(E$236:E241)</f>
        <v>19.523999999999997</v>
      </c>
      <c r="F289" s="91">
        <f>AVERAGE(F$236:F241)</f>
        <v>20.461666666666662</v>
      </c>
      <c r="G289" s="91">
        <f>AVERAGE(G$236:G241)</f>
        <v>19.063333333333333</v>
      </c>
      <c r="H289" s="91">
        <f>AVERAGE(H$236:H241)</f>
        <v>13.115416874999999</v>
      </c>
      <c r="I289" s="91"/>
      <c r="J289" s="134" t="s">
        <v>0</v>
      </c>
      <c r="K289" s="91">
        <f>AVERAGE(K$236:K241)</f>
        <v>17.13</v>
      </c>
      <c r="L289" s="91">
        <v>16.123333333333331</v>
      </c>
      <c r="M289" s="91">
        <v>16.613333333333333</v>
      </c>
      <c r="N289" s="91">
        <v>15.286666666666667</v>
      </c>
      <c r="O289" s="91">
        <v>15.795000000000002</v>
      </c>
      <c r="P289" s="91">
        <v>12.621668333333334</v>
      </c>
      <c r="R289" s="134" t="s">
        <v>0</v>
      </c>
      <c r="S289" s="91">
        <f>AVERAGE(S$236:S241)</f>
        <v>16.55</v>
      </c>
      <c r="T289" s="91">
        <v>16.259999999999998</v>
      </c>
      <c r="U289" s="91">
        <v>16.691666666666666</v>
      </c>
      <c r="V289" s="91">
        <v>15.575000000000001</v>
      </c>
      <c r="W289" s="91">
        <v>15.823333333333332</v>
      </c>
      <c r="X289" s="91">
        <v>12.546666666666667</v>
      </c>
      <c r="Z289" s="134" t="s">
        <v>0</v>
      </c>
      <c r="AA289" s="91">
        <f>AVERAGE(AA$236:AA241)</f>
        <v>15.91</v>
      </c>
      <c r="AB289" s="91">
        <v>15.893333333333333</v>
      </c>
      <c r="AC289" s="91">
        <v>15.936666666666666</v>
      </c>
      <c r="AD289" s="91">
        <v>14.918333333333331</v>
      </c>
      <c r="AE289" s="91">
        <v>16.223333333333333</v>
      </c>
      <c r="AF289" s="91">
        <v>12.693333333333333</v>
      </c>
      <c r="AH289" s="134" t="s">
        <v>0</v>
      </c>
      <c r="AI289" s="91" t="e">
        <f>AVERAGE(AI$236:AI241)</f>
        <v>#DIV/0!</v>
      </c>
      <c r="AJ289" s="91">
        <v>18.134999999999998</v>
      </c>
      <c r="AK289" s="91">
        <v>18.316666666666666</v>
      </c>
      <c r="AL289" s="91">
        <v>16.991666666666664</v>
      </c>
      <c r="AM289" s="91">
        <v>17.14833333333333</v>
      </c>
      <c r="AN289" s="91">
        <v>13.725000000000001</v>
      </c>
      <c r="AP289" s="134" t="s">
        <v>0</v>
      </c>
      <c r="AQ289" s="91">
        <f>AVERAGE(AQ$236:AQ241)</f>
        <v>17.190000000000001</v>
      </c>
      <c r="AR289" s="91">
        <v>16.5</v>
      </c>
      <c r="AS289" s="91">
        <v>16.688333333333336</v>
      </c>
      <c r="AT289" s="91">
        <v>15.318333333333333</v>
      </c>
      <c r="AU289" s="91">
        <v>16.035</v>
      </c>
      <c r="AV289" s="91" t="e">
        <v>#DIV/0!</v>
      </c>
      <c r="AX289" s="134" t="s">
        <v>0</v>
      </c>
      <c r="AY289" s="91" t="e">
        <f>AVERAGE(AY$236:AY241)</f>
        <v>#DIV/0!</v>
      </c>
      <c r="AZ289" s="91">
        <v>19.318333333333332</v>
      </c>
      <c r="BA289" s="91">
        <v>19.650000000000002</v>
      </c>
      <c r="BB289" s="91">
        <v>18.101666666666667</v>
      </c>
      <c r="BC289" s="91"/>
      <c r="BD289" s="91"/>
      <c r="BE289" s="91"/>
      <c r="BF289" s="134" t="s">
        <v>0</v>
      </c>
      <c r="BG289" s="91">
        <f>AVERAGE(BG$236:BG241)</f>
        <v>18.100000000000001</v>
      </c>
      <c r="BH289" s="91">
        <v>17.974999999999998</v>
      </c>
      <c r="BI289" s="91">
        <v>18.95</v>
      </c>
      <c r="BJ289" s="91"/>
      <c r="BK289" s="91"/>
      <c r="BL289" s="91"/>
      <c r="BM289" s="91"/>
      <c r="BN289" s="134" t="s">
        <v>0</v>
      </c>
      <c r="BO289" s="91">
        <f>AVERAGE(BO$236:BO241)</f>
        <v>16.36</v>
      </c>
      <c r="BP289" s="91">
        <v>16.841666666666665</v>
      </c>
      <c r="BQ289" s="91">
        <v>17.466666666666665</v>
      </c>
      <c r="BR289" s="91">
        <v>15.965000000000002</v>
      </c>
      <c r="BS289" s="91">
        <v>17.453333333333333</v>
      </c>
      <c r="BT289" s="91">
        <v>13.248333333333333</v>
      </c>
      <c r="BV289" s="134" t="s">
        <v>0</v>
      </c>
      <c r="BW289" s="91">
        <f>AVERAGE(BW$236:BW241)</f>
        <v>18.260000000000002</v>
      </c>
      <c r="BX289" s="91">
        <v>18.141666666666666</v>
      </c>
      <c r="BY289" s="91">
        <v>19.028333333333336</v>
      </c>
      <c r="BZ289" s="91">
        <v>17.983333333333331</v>
      </c>
      <c r="CA289" s="91">
        <v>18.463333333333335</v>
      </c>
      <c r="CB289" s="91">
        <v>13.969999999999999</v>
      </c>
      <c r="CC289" s="91"/>
      <c r="CD289" s="134" t="s">
        <v>0</v>
      </c>
      <c r="CE289" s="91">
        <f>AVERAGE(CE$236:CE241)</f>
        <v>16.05</v>
      </c>
      <c r="CF289" s="91">
        <v>16.655000000000001</v>
      </c>
      <c r="CG289" s="91">
        <v>17.099999999999998</v>
      </c>
      <c r="CH289" s="91">
        <v>16.041666666666668</v>
      </c>
      <c r="CI289" s="91">
        <v>17.811666666666667</v>
      </c>
      <c r="CJ289" s="91">
        <v>12.623333333333333</v>
      </c>
      <c r="CL289" s="134" t="s">
        <v>0</v>
      </c>
      <c r="CM289" s="91">
        <f>AVERAGE(CM$236:CM241)</f>
        <v>17.899999999999999</v>
      </c>
      <c r="CN289" s="91">
        <v>17.175000000000001</v>
      </c>
      <c r="CO289" s="91">
        <v>18.798333333333336</v>
      </c>
      <c r="CP289" s="91">
        <v>17.511666666666667</v>
      </c>
      <c r="CQ289" s="91">
        <v>17.753333333333334</v>
      </c>
      <c r="CR289" s="91">
        <v>13.494999999999999</v>
      </c>
      <c r="CT289" s="134" t="s">
        <v>0</v>
      </c>
      <c r="CU289" s="91">
        <f>AVERAGE(CU$236:CU241)</f>
        <v>16.260000000000002</v>
      </c>
      <c r="CV289" s="91">
        <v>16.006666666666664</v>
      </c>
      <c r="CW289" s="91" t="e">
        <v>#DIV/0!</v>
      </c>
      <c r="CX289" s="91"/>
      <c r="CY289" s="91"/>
      <c r="CZ289" s="91"/>
      <c r="DB289" s="134" t="s">
        <v>0</v>
      </c>
      <c r="DC289" s="91">
        <f>AVERAGE(DC$236:DC241)</f>
        <v>19.350000000000001</v>
      </c>
      <c r="DD289" s="91">
        <v>18.563333333333333</v>
      </c>
      <c r="DE289" s="91" t="e">
        <v>#DIV/0!</v>
      </c>
      <c r="DF289" s="91"/>
      <c r="DG289" s="91"/>
      <c r="DH289" s="91"/>
      <c r="DI289" s="91"/>
      <c r="DJ289" s="134" t="s">
        <v>0</v>
      </c>
      <c r="DK289" s="91">
        <f>AVERAGE(DK$236:DK241)</f>
        <v>13.91</v>
      </c>
      <c r="DL289" s="91">
        <v>13.803333333333335</v>
      </c>
      <c r="DM289" s="91" t="e">
        <v>#DIV/0!</v>
      </c>
      <c r="DN289" s="91"/>
      <c r="DO289" s="91"/>
      <c r="DP289" s="91"/>
      <c r="DR289" s="134" t="s">
        <v>0</v>
      </c>
      <c r="DS289" s="91">
        <f>AVERAGE(DS$236:DS241)</f>
        <v>18.66</v>
      </c>
      <c r="DT289" s="91">
        <v>18.178333333333331</v>
      </c>
      <c r="DU289" s="91" t="e">
        <v>#DIV/0!</v>
      </c>
      <c r="DV289" s="91"/>
      <c r="DW289" s="91"/>
      <c r="DX289" s="91"/>
      <c r="DZ289" s="134" t="s">
        <v>0</v>
      </c>
      <c r="EA289" s="91">
        <f>AVERAGE(EA$236:EA241)</f>
        <v>18.489999999999998</v>
      </c>
      <c r="EB289" s="91" t="e">
        <v>#DIV/0!</v>
      </c>
      <c r="EC289" s="91" t="e">
        <v>#DIV/0!</v>
      </c>
      <c r="ED289" s="91"/>
      <c r="EE289" s="91"/>
      <c r="EF289" s="91"/>
    </row>
    <row r="290" spans="1:136" s="90" customFormat="1" x14ac:dyDescent="0.2">
      <c r="A290" s="292"/>
      <c r="B290" s="134" t="s">
        <v>1</v>
      </c>
      <c r="C290" s="91">
        <f>AVERAGE(C$236:C242)</f>
        <v>15.830714285714285</v>
      </c>
      <c r="D290" s="91">
        <f>AVERAGE(D$236:D242)</f>
        <v>17.257532467532467</v>
      </c>
      <c r="E290" s="91">
        <f>AVERAGE(E$236:E242)</f>
        <v>19.693428571428569</v>
      </c>
      <c r="F290" s="91">
        <f>AVERAGE(F$236:F242)</f>
        <v>20.616071428571423</v>
      </c>
      <c r="G290" s="91">
        <f>AVERAGE(G$236:G242)</f>
        <v>19.416607142857142</v>
      </c>
      <c r="H290" s="91">
        <f>AVERAGE(H$236:H242)</f>
        <v>13.563571607142856</v>
      </c>
      <c r="I290" s="91"/>
      <c r="J290" s="134" t="s">
        <v>1</v>
      </c>
      <c r="K290" s="91">
        <f>AVERAGE(K$236:K242)</f>
        <v>17.13</v>
      </c>
      <c r="L290" s="91">
        <v>16.201428571428568</v>
      </c>
      <c r="M290" s="91">
        <v>16.675714285714285</v>
      </c>
      <c r="N290" s="91">
        <v>15.370000000000001</v>
      </c>
      <c r="O290" s="91">
        <v>15.784285714285716</v>
      </c>
      <c r="P290" s="91">
        <v>12.965715714285716</v>
      </c>
      <c r="R290" s="134" t="s">
        <v>1</v>
      </c>
      <c r="S290" s="91">
        <f>AVERAGE(S$236:S242)</f>
        <v>16.55</v>
      </c>
      <c r="T290" s="91">
        <v>16.328571428571426</v>
      </c>
      <c r="U290" s="91">
        <v>16.828571428571429</v>
      </c>
      <c r="V290" s="91">
        <v>15.681428571428572</v>
      </c>
      <c r="W290" s="91">
        <v>15.879999999999999</v>
      </c>
      <c r="X290" s="91">
        <v>12.974285714285713</v>
      </c>
      <c r="Z290" s="134" t="s">
        <v>1</v>
      </c>
      <c r="AA290" s="91">
        <f>AVERAGE(AA$236:AA242)</f>
        <v>15.91</v>
      </c>
      <c r="AB290" s="91">
        <v>15.987142857142857</v>
      </c>
      <c r="AC290" s="91">
        <v>16.057142857142857</v>
      </c>
      <c r="AD290" s="91">
        <v>15.059999999999999</v>
      </c>
      <c r="AE290" s="91">
        <v>16.068571428571428</v>
      </c>
      <c r="AF290" s="91">
        <v>13.017142857142858</v>
      </c>
      <c r="AH290" s="134" t="s">
        <v>1</v>
      </c>
      <c r="AI290" s="91" t="e">
        <f>AVERAGE(AI$236:AI242)</f>
        <v>#DIV/0!</v>
      </c>
      <c r="AJ290" s="91">
        <v>18.095714285714283</v>
      </c>
      <c r="AK290" s="91">
        <v>18.440000000000001</v>
      </c>
      <c r="AL290" s="91">
        <v>17.091428571428569</v>
      </c>
      <c r="AM290" s="91">
        <v>17.16</v>
      </c>
      <c r="AN290" s="91">
        <v>14.044285714285715</v>
      </c>
      <c r="AP290" s="134" t="s">
        <v>1</v>
      </c>
      <c r="AQ290" s="91">
        <f>AVERAGE(AQ$236:AQ242)</f>
        <v>17.190000000000001</v>
      </c>
      <c r="AR290" s="91">
        <v>16.601428571428574</v>
      </c>
      <c r="AS290" s="91">
        <v>16.810000000000002</v>
      </c>
      <c r="AT290" s="91">
        <v>15.388571428571428</v>
      </c>
      <c r="AU290" s="91">
        <v>16.098571428571429</v>
      </c>
      <c r="AV290" s="91" t="e">
        <v>#DIV/0!</v>
      </c>
      <c r="AX290" s="134" t="s">
        <v>1</v>
      </c>
      <c r="AY290" s="91" t="e">
        <f>AVERAGE(AY$236:AY242)</f>
        <v>#DIV/0!</v>
      </c>
      <c r="AZ290" s="91">
        <v>19.381428571428568</v>
      </c>
      <c r="BA290" s="91">
        <v>19.79</v>
      </c>
      <c r="BB290" s="91">
        <v>18.208571428571428</v>
      </c>
      <c r="BC290" s="91">
        <v>20.69</v>
      </c>
      <c r="BD290" s="91"/>
      <c r="BE290" s="91"/>
      <c r="BF290" s="134" t="s">
        <v>1</v>
      </c>
      <c r="BG290" s="91">
        <f>AVERAGE(BG$236:BG242)</f>
        <v>18.100000000000001</v>
      </c>
      <c r="BH290" s="91">
        <v>18.059999999999999</v>
      </c>
      <c r="BI290" s="91">
        <v>19.111428571428572</v>
      </c>
      <c r="BJ290" s="91"/>
      <c r="BK290" s="91"/>
      <c r="BL290" s="91"/>
      <c r="BM290" s="91"/>
      <c r="BN290" s="134" t="s">
        <v>1</v>
      </c>
      <c r="BO290" s="91">
        <f>AVERAGE(BO$236:BO242)</f>
        <v>16.36</v>
      </c>
      <c r="BP290" s="91">
        <v>17.071428571428569</v>
      </c>
      <c r="BQ290" s="91">
        <v>17.681428571428572</v>
      </c>
      <c r="BR290" s="91">
        <v>16.202857142857145</v>
      </c>
      <c r="BS290" s="91">
        <v>17.512857142857143</v>
      </c>
      <c r="BT290" s="91">
        <v>13.86</v>
      </c>
      <c r="BV290" s="134" t="s">
        <v>1</v>
      </c>
      <c r="BW290" s="91">
        <f>AVERAGE(BW$236:BW242)</f>
        <v>18.260000000000002</v>
      </c>
      <c r="BX290" s="91">
        <v>18.318571428571428</v>
      </c>
      <c r="BY290" s="91">
        <v>19.281428571428574</v>
      </c>
      <c r="BZ290" s="91">
        <v>18.142857142857142</v>
      </c>
      <c r="CA290" s="91">
        <v>18.48</v>
      </c>
      <c r="CB290" s="91">
        <v>14.578571428571427</v>
      </c>
      <c r="CC290" s="91"/>
      <c r="CD290" s="134" t="s">
        <v>1</v>
      </c>
      <c r="CE290" s="91">
        <f>AVERAGE(CE$236:CE242)</f>
        <v>16.05</v>
      </c>
      <c r="CF290" s="91">
        <v>16.71</v>
      </c>
      <c r="CG290" s="91">
        <v>17.297142857142855</v>
      </c>
      <c r="CH290" s="91">
        <v>16.211428571428574</v>
      </c>
      <c r="CI290" s="91">
        <v>17.641428571428573</v>
      </c>
      <c r="CJ290" s="91">
        <v>13.075714285714286</v>
      </c>
      <c r="CL290" s="134" t="s">
        <v>1</v>
      </c>
      <c r="CM290" s="91">
        <f>AVERAGE(CM$236:CM242)</f>
        <v>17.899999999999999</v>
      </c>
      <c r="CN290" s="91">
        <v>17.077142857142857</v>
      </c>
      <c r="CO290" s="91">
        <v>18.961428571428574</v>
      </c>
      <c r="CP290" s="91">
        <v>17.571428571428573</v>
      </c>
      <c r="CQ290" s="91">
        <v>17.751428571428569</v>
      </c>
      <c r="CR290" s="91">
        <v>13.992857142857144</v>
      </c>
      <c r="CT290" s="134" t="s">
        <v>1</v>
      </c>
      <c r="CU290" s="91">
        <f>AVERAGE(CU$236:CU242)</f>
        <v>16.260000000000002</v>
      </c>
      <c r="CV290" s="91">
        <v>16.02</v>
      </c>
      <c r="CW290" s="91" t="e">
        <v>#DIV/0!</v>
      </c>
      <c r="CX290" s="91"/>
      <c r="CY290" s="91"/>
      <c r="CZ290" s="91"/>
      <c r="DB290" s="134" t="s">
        <v>1</v>
      </c>
      <c r="DC290" s="91">
        <f>AVERAGE(DC$236:DC242)</f>
        <v>19.350000000000001</v>
      </c>
      <c r="DD290" s="91">
        <v>18.62142857142857</v>
      </c>
      <c r="DE290" s="91" t="e">
        <v>#DIV/0!</v>
      </c>
      <c r="DF290" s="91"/>
      <c r="DG290" s="91"/>
      <c r="DH290" s="91"/>
      <c r="DI290" s="91"/>
      <c r="DJ290" s="134" t="s">
        <v>1</v>
      </c>
      <c r="DK290" s="91">
        <f>AVERAGE(DK$236:DK242)</f>
        <v>13.91</v>
      </c>
      <c r="DL290" s="91">
        <v>13.875714285714286</v>
      </c>
      <c r="DM290" s="91" t="e">
        <v>#DIV/0!</v>
      </c>
      <c r="DN290" s="91"/>
      <c r="DO290" s="91"/>
      <c r="DP290" s="91"/>
      <c r="DR290" s="134" t="s">
        <v>1</v>
      </c>
      <c r="DS290" s="91">
        <f>AVERAGE(DS$236:DS242)</f>
        <v>18.66</v>
      </c>
      <c r="DT290" s="91">
        <v>18.177142857142858</v>
      </c>
      <c r="DU290" s="91" t="e">
        <v>#DIV/0!</v>
      </c>
      <c r="DV290" s="91"/>
      <c r="DW290" s="91"/>
      <c r="DX290" s="91"/>
      <c r="DZ290" s="134" t="s">
        <v>1</v>
      </c>
      <c r="EA290" s="91">
        <f>AVERAGE(EA$236:EA242)</f>
        <v>18.489999999999998</v>
      </c>
      <c r="EB290" s="91" t="e">
        <v>#DIV/0!</v>
      </c>
      <c r="EC290" s="91" t="e">
        <v>#DIV/0!</v>
      </c>
      <c r="ED290" s="91"/>
      <c r="EE290" s="91"/>
      <c r="EF290" s="91"/>
    </row>
    <row r="291" spans="1:136" s="90" customFormat="1" x14ac:dyDescent="0.2">
      <c r="A291" s="292"/>
      <c r="B291" s="134" t="s">
        <v>3</v>
      </c>
      <c r="C291" s="91">
        <f>AVERAGE(C$236:C243)</f>
        <v>15.830714285714285</v>
      </c>
      <c r="D291" s="91">
        <f>AVERAGE(D$236:D243)</f>
        <v>17.46034090909091</v>
      </c>
      <c r="E291" s="91">
        <f>AVERAGE(E$236:E243)</f>
        <v>19.863999999999997</v>
      </c>
      <c r="F291" s="91">
        <f>AVERAGE(F$236:F243)</f>
        <v>20.774843749999995</v>
      </c>
      <c r="G291" s="91">
        <f>AVERAGE(G$236:G243)</f>
        <v>19.789687499999999</v>
      </c>
      <c r="H291" s="91">
        <f>AVERAGE(H$236:H243)</f>
        <v>13.996406406249999</v>
      </c>
      <c r="I291" s="91"/>
      <c r="J291" s="134" t="s">
        <v>3</v>
      </c>
      <c r="K291" s="91">
        <f>AVERAGE(K$236:K243)</f>
        <v>17.13</v>
      </c>
      <c r="L291" s="91">
        <v>16.353749999999998</v>
      </c>
      <c r="M291" s="91">
        <v>16.759999999999998</v>
      </c>
      <c r="N291" s="91">
        <v>15.453749999999999</v>
      </c>
      <c r="O291" s="91">
        <v>15.848750000000001</v>
      </c>
      <c r="P291" s="91">
        <v>13.286251250000001</v>
      </c>
      <c r="R291" s="134" t="s">
        <v>3</v>
      </c>
      <c r="S291" s="91">
        <f>AVERAGE(S$236:S243)</f>
        <v>16.55</v>
      </c>
      <c r="T291" s="91">
        <v>16.526249999999997</v>
      </c>
      <c r="U291" s="91">
        <v>16.982500000000002</v>
      </c>
      <c r="V291" s="91">
        <v>15.772500000000001</v>
      </c>
      <c r="W291" s="91">
        <v>15.997499999999999</v>
      </c>
      <c r="X291" s="91">
        <v>13.385</v>
      </c>
      <c r="Z291" s="134" t="s">
        <v>3</v>
      </c>
      <c r="AA291" s="91">
        <f>AVERAGE(AA$236:AA243)</f>
        <v>15.91</v>
      </c>
      <c r="AB291" s="91">
        <v>16.134999999999998</v>
      </c>
      <c r="AC291" s="91">
        <v>16.145</v>
      </c>
      <c r="AD291" s="91">
        <v>15.173749999999998</v>
      </c>
      <c r="AE291" s="91">
        <v>16.03875</v>
      </c>
      <c r="AF291" s="91">
        <v>13.375</v>
      </c>
      <c r="AH291" s="134" t="s">
        <v>3</v>
      </c>
      <c r="AI291" s="91" t="e">
        <f>AVERAGE(AI$236:AI243)</f>
        <v>#DIV/0!</v>
      </c>
      <c r="AJ291" s="91">
        <v>18.253749999999997</v>
      </c>
      <c r="AK291" s="91">
        <v>18.543750000000003</v>
      </c>
      <c r="AL291" s="91">
        <v>17.164999999999999</v>
      </c>
      <c r="AM291" s="91">
        <v>17.293749999999999</v>
      </c>
      <c r="AN291" s="91">
        <v>14.36</v>
      </c>
      <c r="AP291" s="134" t="s">
        <v>3</v>
      </c>
      <c r="AQ291" s="91">
        <f>AVERAGE(AQ$236:AQ243)</f>
        <v>17.190000000000001</v>
      </c>
      <c r="AR291" s="91">
        <v>16.807500000000001</v>
      </c>
      <c r="AS291" s="91">
        <v>16.930000000000003</v>
      </c>
      <c r="AT291" s="91">
        <v>15.5175</v>
      </c>
      <c r="AU291" s="91">
        <v>16.188750000000002</v>
      </c>
      <c r="AV291" s="91" t="e">
        <v>#DIV/0!</v>
      </c>
      <c r="AX291" s="134" t="s">
        <v>3</v>
      </c>
      <c r="AY291" s="91" t="e">
        <f>AVERAGE(AY$236:AY243)</f>
        <v>#DIV/0!</v>
      </c>
      <c r="AZ291" s="91">
        <v>19.54</v>
      </c>
      <c r="BA291" s="91">
        <v>19.94875</v>
      </c>
      <c r="BB291" s="91">
        <v>18.30875</v>
      </c>
      <c r="BC291" s="91">
        <v>20.46</v>
      </c>
      <c r="BD291" s="91"/>
      <c r="BE291" s="91"/>
      <c r="BF291" s="134" t="s">
        <v>3</v>
      </c>
      <c r="BG291" s="91">
        <f>AVERAGE(BG$236:BG243)</f>
        <v>18.100000000000001</v>
      </c>
      <c r="BH291" s="91">
        <v>18.272499999999997</v>
      </c>
      <c r="BI291" s="91">
        <v>19.260000000000002</v>
      </c>
      <c r="BJ291" s="91"/>
      <c r="BK291" s="91"/>
      <c r="BL291" s="91"/>
      <c r="BM291" s="91"/>
      <c r="BN291" s="134" t="s">
        <v>3</v>
      </c>
      <c r="BO291" s="91">
        <f>AVERAGE(BO$236:BO243)</f>
        <v>16.36</v>
      </c>
      <c r="BP291" s="91">
        <v>17.353749999999998</v>
      </c>
      <c r="BQ291" s="91">
        <v>17.893750000000001</v>
      </c>
      <c r="BR291" s="91">
        <v>16.38</v>
      </c>
      <c r="BS291" s="91">
        <v>17.666250000000002</v>
      </c>
      <c r="BT291" s="91">
        <v>14.391249999999999</v>
      </c>
      <c r="BV291" s="134" t="s">
        <v>3</v>
      </c>
      <c r="BW291" s="91">
        <f>AVERAGE(BW$236:BW243)</f>
        <v>18.260000000000002</v>
      </c>
      <c r="BX291" s="91">
        <v>18.654999999999998</v>
      </c>
      <c r="BY291" s="91">
        <v>19.558750000000003</v>
      </c>
      <c r="BZ291" s="91">
        <v>18.309999999999999</v>
      </c>
      <c r="CA291" s="91">
        <v>18.64875</v>
      </c>
      <c r="CB291" s="91">
        <v>15.125</v>
      </c>
      <c r="CC291" s="91"/>
      <c r="CD291" s="134" t="s">
        <v>3</v>
      </c>
      <c r="CE291" s="91">
        <f>AVERAGE(CE$236:CE243)</f>
        <v>16.05</v>
      </c>
      <c r="CF291" s="91">
        <v>16.897500000000001</v>
      </c>
      <c r="CG291" s="91">
        <v>17.5275</v>
      </c>
      <c r="CH291" s="91">
        <v>16.435000000000002</v>
      </c>
      <c r="CI291" s="91">
        <v>17.643750000000001</v>
      </c>
      <c r="CJ291" s="91">
        <v>13.5825</v>
      </c>
      <c r="CL291" s="134" t="s">
        <v>3</v>
      </c>
      <c r="CM291" s="91">
        <f>AVERAGE(CM$236:CM243)</f>
        <v>17.899999999999999</v>
      </c>
      <c r="CN291" s="91">
        <v>17.268750000000001</v>
      </c>
      <c r="CO291" s="91">
        <v>19.090000000000003</v>
      </c>
      <c r="CP291" s="91">
        <v>17.682500000000001</v>
      </c>
      <c r="CQ291" s="91">
        <v>17.876249999999999</v>
      </c>
      <c r="CR291" s="91">
        <v>14.46625</v>
      </c>
      <c r="CT291" s="134" t="s">
        <v>3</v>
      </c>
      <c r="CU291" s="91">
        <f>AVERAGE(CU$236:CU243)</f>
        <v>16.260000000000002</v>
      </c>
      <c r="CV291" s="91">
        <v>16.104999999999997</v>
      </c>
      <c r="CW291" s="91" t="e">
        <v>#DIV/0!</v>
      </c>
      <c r="CX291" s="91"/>
      <c r="CY291" s="91"/>
      <c r="CZ291" s="91"/>
      <c r="DB291" s="134" t="s">
        <v>3</v>
      </c>
      <c r="DC291" s="91">
        <f>AVERAGE(DC$236:DC243)</f>
        <v>19.350000000000001</v>
      </c>
      <c r="DD291" s="91">
        <v>18.73875</v>
      </c>
      <c r="DE291" s="91" t="e">
        <v>#DIV/0!</v>
      </c>
      <c r="DF291" s="91"/>
      <c r="DG291" s="91"/>
      <c r="DH291" s="91"/>
      <c r="DI291" s="91"/>
      <c r="DJ291" s="134" t="s">
        <v>3</v>
      </c>
      <c r="DK291" s="91">
        <f>AVERAGE(DK$236:DK243)</f>
        <v>13.91</v>
      </c>
      <c r="DL291" s="91">
        <v>13.986250000000002</v>
      </c>
      <c r="DM291" s="91" t="e">
        <v>#DIV/0!</v>
      </c>
      <c r="DN291" s="91"/>
      <c r="DO291" s="91"/>
      <c r="DP291" s="91"/>
      <c r="DR291" s="134" t="s">
        <v>3</v>
      </c>
      <c r="DS291" s="91">
        <f>AVERAGE(DS$236:DS243)</f>
        <v>18.66</v>
      </c>
      <c r="DT291" s="91">
        <v>18.262499999999999</v>
      </c>
      <c r="DU291" s="91" t="e">
        <v>#DIV/0!</v>
      </c>
      <c r="DV291" s="91"/>
      <c r="DW291" s="91"/>
      <c r="DX291" s="91"/>
      <c r="DZ291" s="134" t="s">
        <v>3</v>
      </c>
      <c r="EA291" s="91">
        <f>AVERAGE(EA$236:EA243)</f>
        <v>18.489999999999998</v>
      </c>
      <c r="EB291" s="91">
        <v>19.940000000000001</v>
      </c>
      <c r="EC291" s="91" t="e">
        <v>#DIV/0!</v>
      </c>
      <c r="ED291" s="91"/>
      <c r="EE291" s="91"/>
      <c r="EF291" s="91"/>
    </row>
    <row r="292" spans="1:136" s="90" customFormat="1" x14ac:dyDescent="0.2">
      <c r="A292" s="292"/>
      <c r="B292" s="134" t="s">
        <v>71</v>
      </c>
      <c r="C292" s="91">
        <f>AVERAGE(C$236:C244)</f>
        <v>15.830714285714285</v>
      </c>
      <c r="D292" s="91">
        <f>AVERAGE(D$236:D244)</f>
        <v>17.425656565656567</v>
      </c>
      <c r="E292" s="91">
        <f>AVERAGE(E$236:E244)</f>
        <v>19.813111111111109</v>
      </c>
      <c r="F292" s="91">
        <f>AVERAGE(F$236:F244)</f>
        <v>20.713333333333328</v>
      </c>
      <c r="G292" s="91">
        <f>AVERAGE(G$236:G244)</f>
        <v>19.817361111111111</v>
      </c>
      <c r="H292" s="91">
        <f>AVERAGE(H$236:H244)</f>
        <v>14.074166805555555</v>
      </c>
      <c r="I292" s="91"/>
      <c r="J292" s="134" t="s">
        <v>71</v>
      </c>
      <c r="K292" s="91">
        <f>AVERAGE(K$236:K244)</f>
        <v>17.13</v>
      </c>
      <c r="L292" s="91">
        <v>16.337777777777777</v>
      </c>
      <c r="M292" s="91">
        <v>16.707777777777775</v>
      </c>
      <c r="N292" s="91">
        <v>15.405555555555557</v>
      </c>
      <c r="O292" s="91">
        <v>15.737777777777779</v>
      </c>
      <c r="P292" s="91">
        <v>13.367778888888889</v>
      </c>
      <c r="R292" s="134" t="s">
        <v>71</v>
      </c>
      <c r="S292" s="91">
        <f>AVERAGE(S$236:S244)</f>
        <v>16.55</v>
      </c>
      <c r="T292" s="91">
        <v>16.486666666666665</v>
      </c>
      <c r="U292" s="91">
        <v>16.944444444444443</v>
      </c>
      <c r="V292" s="91">
        <v>15.742222222222223</v>
      </c>
      <c r="W292" s="91">
        <v>15.907777777777776</v>
      </c>
      <c r="X292" s="91">
        <v>13.492222222222221</v>
      </c>
      <c r="Z292" s="134" t="s">
        <v>71</v>
      </c>
      <c r="AA292" s="91">
        <f>AVERAGE(AA$236:AA244)</f>
        <v>15.91</v>
      </c>
      <c r="AB292" s="91">
        <v>16.145555555555553</v>
      </c>
      <c r="AC292" s="91">
        <v>16.091111111111111</v>
      </c>
      <c r="AD292" s="91">
        <v>15.108888888888888</v>
      </c>
      <c r="AE292" s="91">
        <v>15.887777777777778</v>
      </c>
      <c r="AF292" s="91">
        <v>13.457777777777778</v>
      </c>
      <c r="AH292" s="134" t="s">
        <v>71</v>
      </c>
      <c r="AI292" s="91" t="e">
        <f>AVERAGE(AI$236:AI243)</f>
        <v>#DIV/0!</v>
      </c>
      <c r="AJ292" s="91">
        <v>18.253749999999997</v>
      </c>
      <c r="AK292" s="91">
        <v>18.505555555555556</v>
      </c>
      <c r="AL292" s="91">
        <v>17.166666666666668</v>
      </c>
      <c r="AM292" s="91">
        <v>17.242222222222225</v>
      </c>
      <c r="AN292" s="91">
        <v>14.433333333333334</v>
      </c>
      <c r="AP292" s="134" t="s">
        <v>71</v>
      </c>
      <c r="AQ292" s="91">
        <f>AVERAGE(AQ$236:AQ244)</f>
        <v>17.190000000000001</v>
      </c>
      <c r="AR292" s="91">
        <v>16.82</v>
      </c>
      <c r="AS292" s="91">
        <v>16.898888888888891</v>
      </c>
      <c r="AT292" s="91">
        <v>15.525555555555554</v>
      </c>
      <c r="AU292" s="91">
        <v>16.102222222222224</v>
      </c>
      <c r="AV292" s="91" t="e">
        <v>#DIV/0!</v>
      </c>
      <c r="AX292" s="134" t="s">
        <v>71</v>
      </c>
      <c r="AY292" s="91" t="e">
        <f>AVERAGE(AY$236:AY244)</f>
        <v>#DIV/0!</v>
      </c>
      <c r="AZ292" s="91">
        <v>19.48</v>
      </c>
      <c r="BA292" s="91">
        <v>19.934444444444445</v>
      </c>
      <c r="BB292" s="91">
        <v>18.242222222222225</v>
      </c>
      <c r="BC292" s="91">
        <v>19.733333333333334</v>
      </c>
      <c r="BD292" s="91"/>
      <c r="BE292" s="91"/>
      <c r="BF292" s="134" t="s">
        <v>71</v>
      </c>
      <c r="BG292" s="91">
        <f>AVERAGE(BG$236:BG244)</f>
        <v>18.100000000000001</v>
      </c>
      <c r="BH292" s="91">
        <v>18.202222222222222</v>
      </c>
      <c r="BI292" s="91">
        <v>19.16</v>
      </c>
      <c r="BJ292" s="91"/>
      <c r="BK292" s="91"/>
      <c r="BL292" s="91"/>
      <c r="BM292" s="91"/>
      <c r="BN292" s="134" t="s">
        <v>71</v>
      </c>
      <c r="BO292" s="91">
        <f>AVERAGE(BO$236:BO244)</f>
        <v>16.36</v>
      </c>
      <c r="BP292" s="91">
        <v>17.24111111111111</v>
      </c>
      <c r="BQ292" s="91">
        <v>17.743333333333332</v>
      </c>
      <c r="BR292" s="91">
        <v>16.223333333333333</v>
      </c>
      <c r="BS292" s="91">
        <v>17.402222222222221</v>
      </c>
      <c r="BT292" s="91">
        <v>14.355555555555554</v>
      </c>
      <c r="BV292" s="134" t="s">
        <v>71</v>
      </c>
      <c r="BW292" s="91">
        <f>AVERAGE(BW$236:BW244)</f>
        <v>18.260000000000002</v>
      </c>
      <c r="BX292" s="91">
        <v>18.623333333333331</v>
      </c>
      <c r="BY292" s="91">
        <v>19.524444444444448</v>
      </c>
      <c r="BZ292" s="91">
        <v>18.232222222222219</v>
      </c>
      <c r="CA292" s="91">
        <v>18.484444444444446</v>
      </c>
      <c r="CB292" s="91">
        <v>15.232222222222223</v>
      </c>
      <c r="CC292" s="91"/>
      <c r="CD292" s="134" t="s">
        <v>71</v>
      </c>
      <c r="CE292" s="91">
        <f>AVERAGE(CE$236:CE244)</f>
        <v>16.05</v>
      </c>
      <c r="CF292" s="91">
        <v>16.773333333333333</v>
      </c>
      <c r="CG292" s="91">
        <v>17.517777777777777</v>
      </c>
      <c r="CH292" s="91">
        <v>16.387777777777778</v>
      </c>
      <c r="CI292" s="91">
        <v>17.426666666666666</v>
      </c>
      <c r="CJ292" s="91">
        <v>13.66</v>
      </c>
      <c r="CL292" s="134" t="s">
        <v>71</v>
      </c>
      <c r="CM292" s="91">
        <f>AVERAGE(CM$236:CM244)</f>
        <v>17.899999999999999</v>
      </c>
      <c r="CN292" s="91">
        <v>17.314444444444447</v>
      </c>
      <c r="CO292" s="91">
        <v>19.103333333333339</v>
      </c>
      <c r="CP292" s="91">
        <v>17.672222222222224</v>
      </c>
      <c r="CQ292" s="91">
        <v>17.77</v>
      </c>
      <c r="CR292" s="91">
        <v>14.594444444444443</v>
      </c>
      <c r="CT292" s="134" t="s">
        <v>71</v>
      </c>
      <c r="CU292" s="91">
        <f>AVERAGE(CU$236:CU244)</f>
        <v>16.260000000000002</v>
      </c>
      <c r="CV292" s="91">
        <v>16.095555555555553</v>
      </c>
      <c r="CW292" s="91" t="e">
        <v>#DIV/0!</v>
      </c>
      <c r="CX292" s="91"/>
      <c r="CY292" s="91"/>
      <c r="CZ292" s="91"/>
      <c r="DB292" s="134" t="s">
        <v>71</v>
      </c>
      <c r="DC292" s="91">
        <f>AVERAGE(DC$236:DC244)</f>
        <v>19.350000000000001</v>
      </c>
      <c r="DD292" s="91">
        <v>18.739999999999998</v>
      </c>
      <c r="DE292" s="91" t="e">
        <v>#DIV/0!</v>
      </c>
      <c r="DF292" s="91"/>
      <c r="DG292" s="91"/>
      <c r="DH292" s="91"/>
      <c r="DI292" s="91"/>
      <c r="DJ292" s="134" t="s">
        <v>71</v>
      </c>
      <c r="DK292" s="91">
        <f>AVERAGE(DK$236:DK244)</f>
        <v>13.91</v>
      </c>
      <c r="DL292" s="91">
        <v>13.952222222222225</v>
      </c>
      <c r="DM292" s="91" t="e">
        <v>#DIV/0!</v>
      </c>
      <c r="DN292" s="91"/>
      <c r="DO292" s="91"/>
      <c r="DP292" s="91"/>
      <c r="DR292" s="134" t="s">
        <v>71</v>
      </c>
      <c r="DS292" s="91">
        <f>AVERAGE(DS$236:DS244)</f>
        <v>18.66</v>
      </c>
      <c r="DT292" s="91">
        <v>18.218888888888888</v>
      </c>
      <c r="DU292" s="91" t="e">
        <v>#DIV/0!</v>
      </c>
      <c r="DV292" s="91"/>
      <c r="DW292" s="91"/>
      <c r="DX292" s="91"/>
      <c r="DZ292" s="134" t="s">
        <v>71</v>
      </c>
      <c r="EA292" s="91">
        <f>AVERAGE(EA$236:EA244)</f>
        <v>18.489999999999998</v>
      </c>
      <c r="EB292" s="91">
        <v>19.295000000000002</v>
      </c>
      <c r="EC292" s="91" t="e">
        <v>#DIV/0!</v>
      </c>
      <c r="ED292" s="91"/>
      <c r="EE292" s="91"/>
      <c r="EF292" s="91"/>
    </row>
    <row r="293" spans="1:136" s="90" customFormat="1" x14ac:dyDescent="0.2">
      <c r="A293" s="292"/>
      <c r="B293" s="134" t="s">
        <v>12</v>
      </c>
      <c r="C293" s="91">
        <f>AVERAGE(C$236:C245)</f>
        <v>15.830714285714285</v>
      </c>
      <c r="D293" s="91">
        <f>AVERAGE(D$236:D245)</f>
        <v>17.362727272727273</v>
      </c>
      <c r="E293" s="91">
        <f>AVERAGE(E$236:E245)</f>
        <v>19.804899999999996</v>
      </c>
      <c r="F293" s="91">
        <f>AVERAGE(F$236:F245)</f>
        <v>20.748124999999995</v>
      </c>
      <c r="G293" s="91">
        <f>AVERAGE(G$236:G245)</f>
        <v>19.849</v>
      </c>
      <c r="H293" s="91">
        <f>AVERAGE(H$236:H245)</f>
        <v>14.190500125</v>
      </c>
      <c r="I293" s="91"/>
      <c r="J293" s="134" t="s">
        <v>12</v>
      </c>
      <c r="K293" s="91">
        <f>AVERAGE(K$236:K245)</f>
        <v>17.13</v>
      </c>
      <c r="L293" s="91">
        <v>16.241</v>
      </c>
      <c r="M293" s="91">
        <v>16.711999999999996</v>
      </c>
      <c r="N293" s="91">
        <v>15.434999999999999</v>
      </c>
      <c r="O293" s="91">
        <v>15.675000000000001</v>
      </c>
      <c r="P293" s="91">
        <v>13.485001</v>
      </c>
      <c r="R293" s="134" t="s">
        <v>12</v>
      </c>
      <c r="S293" s="91">
        <f>AVERAGE(S$236:S245)</f>
        <v>16.55</v>
      </c>
      <c r="T293" s="91">
        <v>16.428999999999998</v>
      </c>
      <c r="U293" s="91">
        <v>16.917000000000002</v>
      </c>
      <c r="V293" s="91">
        <v>15.754000000000001</v>
      </c>
      <c r="W293" s="91">
        <v>15.825999999999999</v>
      </c>
      <c r="X293" s="91">
        <v>13.606999999999999</v>
      </c>
      <c r="Z293" s="134" t="s">
        <v>12</v>
      </c>
      <c r="AA293" s="91">
        <f>AVERAGE(AA$236:AA245)</f>
        <v>15.91</v>
      </c>
      <c r="AB293" s="91">
        <v>16.133999999999997</v>
      </c>
      <c r="AC293" s="91">
        <v>16.053000000000001</v>
      </c>
      <c r="AD293" s="91">
        <v>15.11</v>
      </c>
      <c r="AE293" s="91">
        <v>15.757000000000001</v>
      </c>
      <c r="AF293" s="91">
        <v>13.571999999999999</v>
      </c>
      <c r="AH293" s="134" t="s">
        <v>12</v>
      </c>
      <c r="AI293" s="91" t="e">
        <f>AVERAGE(AI$236:AI245)</f>
        <v>#DIV/0!</v>
      </c>
      <c r="AJ293" s="91">
        <v>18.209999999999997</v>
      </c>
      <c r="AK293" s="91">
        <v>18.476000000000003</v>
      </c>
      <c r="AL293" s="91">
        <v>17.195</v>
      </c>
      <c r="AM293" s="91">
        <v>17.196000000000002</v>
      </c>
      <c r="AN293" s="91">
        <v>14.525</v>
      </c>
      <c r="AP293" s="134" t="s">
        <v>12</v>
      </c>
      <c r="AQ293" s="91">
        <f>AVERAGE(AQ$236:AQ245)</f>
        <v>17.190000000000001</v>
      </c>
      <c r="AR293" s="91">
        <v>16.710999999999999</v>
      </c>
      <c r="AS293" s="91">
        <v>16.904000000000003</v>
      </c>
      <c r="AT293" s="91">
        <v>15.567999999999998</v>
      </c>
      <c r="AU293" s="91">
        <v>16.04</v>
      </c>
      <c r="AV293" s="91" t="e">
        <v>#DIV/0!</v>
      </c>
      <c r="AX293" s="134" t="s">
        <v>12</v>
      </c>
      <c r="AY293" s="91" t="e">
        <f>AVERAGE(AY$236:AY245)</f>
        <v>#DIV/0!</v>
      </c>
      <c r="AZ293" s="91">
        <v>19.399000000000001</v>
      </c>
      <c r="BA293" s="91">
        <v>19.943000000000001</v>
      </c>
      <c r="BB293" s="91">
        <v>18.273000000000003</v>
      </c>
      <c r="BC293" s="91">
        <v>19.295000000000002</v>
      </c>
      <c r="BD293" s="91"/>
      <c r="BE293" s="91"/>
      <c r="BF293" s="134" t="s">
        <v>12</v>
      </c>
      <c r="BG293" s="91">
        <f>AVERAGE(BG$236:BG245)</f>
        <v>18.100000000000001</v>
      </c>
      <c r="BH293" s="91">
        <v>18.13</v>
      </c>
      <c r="BI293" s="91">
        <v>19.126999999999999</v>
      </c>
      <c r="BJ293" s="91"/>
      <c r="BK293" s="91"/>
      <c r="BL293" s="91"/>
      <c r="BM293" s="91"/>
      <c r="BN293" s="134" t="s">
        <v>12</v>
      </c>
      <c r="BO293" s="91">
        <f>AVERAGE(BO$236:BO245)</f>
        <v>16.36</v>
      </c>
      <c r="BP293" s="91">
        <v>17.213999999999999</v>
      </c>
      <c r="BQ293" s="91">
        <v>17.73</v>
      </c>
      <c r="BR293" s="91">
        <v>16.231000000000002</v>
      </c>
      <c r="BS293" s="91">
        <v>17.227</v>
      </c>
      <c r="BT293" s="91">
        <v>14.472999999999999</v>
      </c>
      <c r="BV293" s="134" t="s">
        <v>12</v>
      </c>
      <c r="BW293" s="91">
        <f>AVERAGE(BW$236:BW245)</f>
        <v>18.260000000000002</v>
      </c>
      <c r="BX293" s="91">
        <v>18.524999999999999</v>
      </c>
      <c r="BY293" s="91">
        <v>19.508000000000003</v>
      </c>
      <c r="BZ293" s="91">
        <v>18.242999999999999</v>
      </c>
      <c r="CA293" s="91">
        <v>18.376000000000001</v>
      </c>
      <c r="CB293" s="91">
        <v>15.373000000000001</v>
      </c>
      <c r="CC293" s="91"/>
      <c r="CD293" s="134" t="s">
        <v>12</v>
      </c>
      <c r="CE293" s="91">
        <f>AVERAGE(CE$236:CE245)</f>
        <v>16.05</v>
      </c>
      <c r="CF293" s="91">
        <v>16.678000000000001</v>
      </c>
      <c r="CG293" s="91">
        <v>17.516999999999999</v>
      </c>
      <c r="CH293" s="91">
        <v>16.439</v>
      </c>
      <c r="CI293" s="91">
        <v>17.273000000000003</v>
      </c>
      <c r="CJ293" s="91">
        <v>13.744</v>
      </c>
      <c r="CL293" s="134" t="s">
        <v>12</v>
      </c>
      <c r="CM293" s="91">
        <f>AVERAGE(CM$236:CM245)</f>
        <v>17.899999999999999</v>
      </c>
      <c r="CN293" s="91">
        <v>17.318999999999999</v>
      </c>
      <c r="CO293" s="91">
        <v>19.162000000000003</v>
      </c>
      <c r="CP293" s="91">
        <v>17.737000000000002</v>
      </c>
      <c r="CQ293" s="91">
        <v>17.704000000000001</v>
      </c>
      <c r="CR293" s="91">
        <v>14.744999999999999</v>
      </c>
      <c r="CT293" s="134" t="s">
        <v>12</v>
      </c>
      <c r="CU293" s="91">
        <f>AVERAGE(CU$236:CU245)</f>
        <v>16.260000000000002</v>
      </c>
      <c r="CV293" s="91">
        <v>16.013999999999999</v>
      </c>
      <c r="CW293" s="91" t="e">
        <v>#DIV/0!</v>
      </c>
      <c r="CX293" s="91"/>
      <c r="CY293" s="91"/>
      <c r="CZ293" s="91"/>
      <c r="DB293" s="134" t="s">
        <v>12</v>
      </c>
      <c r="DC293" s="91">
        <f>AVERAGE(DC$236:DC245)</f>
        <v>19.350000000000001</v>
      </c>
      <c r="DD293" s="91">
        <v>18.672000000000001</v>
      </c>
      <c r="DE293" s="91" t="e">
        <v>#DIV/0!</v>
      </c>
      <c r="DF293" s="91"/>
      <c r="DG293" s="91"/>
      <c r="DH293" s="91"/>
      <c r="DI293" s="91"/>
      <c r="DJ293" s="134" t="s">
        <v>12</v>
      </c>
      <c r="DK293" s="91">
        <f>AVERAGE(DK$236:DK245)</f>
        <v>13.91</v>
      </c>
      <c r="DL293" s="91">
        <v>13.914000000000001</v>
      </c>
      <c r="DM293" s="91" t="e">
        <v>#DIV/0!</v>
      </c>
      <c r="DN293" s="91"/>
      <c r="DO293" s="91"/>
      <c r="DP293" s="91"/>
      <c r="DR293" s="134" t="s">
        <v>12</v>
      </c>
      <c r="DS293" s="91">
        <f>AVERAGE(DS$236:DS245)</f>
        <v>18.66</v>
      </c>
      <c r="DT293" s="91">
        <v>18.167999999999999</v>
      </c>
      <c r="DU293" s="91" t="e">
        <v>#DIV/0!</v>
      </c>
      <c r="DV293" s="91"/>
      <c r="DW293" s="91"/>
      <c r="DX293" s="91"/>
      <c r="DZ293" s="134" t="s">
        <v>12</v>
      </c>
      <c r="EA293" s="91">
        <f>AVERAGE(EA$236:EA245)</f>
        <v>18.489999999999998</v>
      </c>
      <c r="EB293" s="91">
        <v>18.856666666666669</v>
      </c>
      <c r="EC293" s="91" t="e">
        <v>#DIV/0!</v>
      </c>
      <c r="ED293" s="91"/>
      <c r="EE293" s="91"/>
      <c r="EF293" s="91"/>
    </row>
    <row r="294" spans="1:136" s="90" customFormat="1" x14ac:dyDescent="0.2">
      <c r="A294" s="292"/>
      <c r="B294" s="134" t="s">
        <v>13</v>
      </c>
      <c r="C294" s="91">
        <f>AVERAGE(C$236:C246)</f>
        <v>15.830714285714285</v>
      </c>
      <c r="D294" s="91">
        <f>AVERAGE(D$236:D246)</f>
        <v>17.421404958677684</v>
      </c>
      <c r="E294" s="91">
        <f>AVERAGE(E$236:E246)</f>
        <v>19.773727272727271</v>
      </c>
      <c r="F294" s="91">
        <f>AVERAGE(F$236:F246)</f>
        <v>20.750340909090905</v>
      </c>
      <c r="G294" s="91">
        <f>AVERAGE(G$236:G246)</f>
        <v>19.78590909090909</v>
      </c>
      <c r="H294" s="91">
        <f>AVERAGE(H$236:H246)</f>
        <v>14.530568295454545</v>
      </c>
      <c r="I294" s="91"/>
      <c r="J294" s="134" t="s">
        <v>13</v>
      </c>
      <c r="K294" s="91">
        <f>AVERAGE(K$236:K246)</f>
        <v>17.13</v>
      </c>
      <c r="L294" s="91">
        <v>16.329999999999998</v>
      </c>
      <c r="M294" s="91">
        <v>16.690909090909088</v>
      </c>
      <c r="N294" s="91">
        <v>15.466363636363637</v>
      </c>
      <c r="O294" s="91">
        <v>15.555454545454547</v>
      </c>
      <c r="P294" s="91">
        <v>13.775455454545455</v>
      </c>
      <c r="R294" s="134" t="s">
        <v>13</v>
      </c>
      <c r="S294" s="91">
        <f>AVERAGE(S$236:S246)</f>
        <v>16.55</v>
      </c>
      <c r="T294" s="91">
        <v>16.481818181818181</v>
      </c>
      <c r="U294" s="91">
        <v>16.878181818181819</v>
      </c>
      <c r="V294" s="91">
        <v>15.754545454545456</v>
      </c>
      <c r="W294" s="91">
        <v>15.71</v>
      </c>
      <c r="X294" s="91">
        <v>13.865454545454543</v>
      </c>
      <c r="Z294" s="134" t="s">
        <v>13</v>
      </c>
      <c r="AA294" s="91">
        <f>AVERAGE(AA$236:AA246)</f>
        <v>15.91</v>
      </c>
      <c r="AB294" s="91">
        <v>16.191818181818181</v>
      </c>
      <c r="AC294" s="91">
        <v>16.052727272727275</v>
      </c>
      <c r="AD294" s="91">
        <v>15.090909090909092</v>
      </c>
      <c r="AE294" s="91">
        <v>15.602727272727275</v>
      </c>
      <c r="AF294" s="91">
        <v>13.92090909090909</v>
      </c>
      <c r="AH294" s="134" t="s">
        <v>13</v>
      </c>
      <c r="AI294" s="91" t="e">
        <f>AVERAGE(AI$236:AI246)</f>
        <v>#DIV/0!</v>
      </c>
      <c r="AJ294" s="91">
        <v>18.320909090909087</v>
      </c>
      <c r="AK294" s="91">
        <v>18.483636363636364</v>
      </c>
      <c r="AL294" s="91">
        <v>17.214545454545455</v>
      </c>
      <c r="AM294" s="91">
        <v>17.079999999999998</v>
      </c>
      <c r="AN294" s="91">
        <v>14.834545454545456</v>
      </c>
      <c r="AP294" s="134" t="s">
        <v>13</v>
      </c>
      <c r="AQ294" s="91">
        <f>AVERAGE(AQ$236:AQ246)</f>
        <v>17.190000000000001</v>
      </c>
      <c r="AR294" s="91">
        <v>16.777272727272727</v>
      </c>
      <c r="AS294" s="91">
        <v>16.900909090909092</v>
      </c>
      <c r="AT294" s="91">
        <v>15.595454545454544</v>
      </c>
      <c r="AU294" s="91">
        <v>15.931818181818182</v>
      </c>
      <c r="AV294" s="91" t="e">
        <v>#DIV/0!</v>
      </c>
      <c r="AX294" s="134" t="s">
        <v>13</v>
      </c>
      <c r="AY294" s="91" t="e">
        <f>AVERAGE(AY$236:AY246)</f>
        <v>#DIV/0!</v>
      </c>
      <c r="AZ294" s="91">
        <v>19.490909090909092</v>
      </c>
      <c r="BA294" s="91">
        <v>19.944545454545455</v>
      </c>
      <c r="BB294" s="91">
        <v>18.276363636363637</v>
      </c>
      <c r="BC294" s="91">
        <v>18.754000000000001</v>
      </c>
      <c r="BD294" s="91"/>
      <c r="BE294" s="91"/>
      <c r="BF294" s="134" t="s">
        <v>13</v>
      </c>
      <c r="BG294" s="91">
        <f>AVERAGE(BG$236:BG246)</f>
        <v>18.100000000000001</v>
      </c>
      <c r="BH294" s="91">
        <v>18.167272727272724</v>
      </c>
      <c r="BI294" s="91">
        <v>19.069999999999997</v>
      </c>
      <c r="BJ294" s="91"/>
      <c r="BK294" s="91"/>
      <c r="BL294" s="91"/>
      <c r="BM294" s="91"/>
      <c r="BN294" s="134" t="s">
        <v>13</v>
      </c>
      <c r="BO294" s="91">
        <f>AVERAGE(BO$236:BO246)</f>
        <v>16.36</v>
      </c>
      <c r="BP294" s="91">
        <v>17.238181818181815</v>
      </c>
      <c r="BQ294" s="91">
        <v>17.640909090909091</v>
      </c>
      <c r="BR294" s="91">
        <v>16.214545454545455</v>
      </c>
      <c r="BS294" s="91">
        <v>16.959090909090911</v>
      </c>
      <c r="BT294" s="91">
        <v>14.856363636363636</v>
      </c>
      <c r="BV294" s="134" t="s">
        <v>13</v>
      </c>
      <c r="BW294" s="91">
        <f>AVERAGE(BW$236:BW246)</f>
        <v>18.260000000000002</v>
      </c>
      <c r="BX294" s="91">
        <v>18.543636363636363</v>
      </c>
      <c r="BY294" s="91">
        <v>19.423636363636366</v>
      </c>
      <c r="BZ294" s="91">
        <v>18.204545454545453</v>
      </c>
      <c r="CA294" s="91">
        <v>18.210000000000004</v>
      </c>
      <c r="CB294" s="91">
        <v>15.771818181818183</v>
      </c>
      <c r="CC294" s="91"/>
      <c r="CD294" s="134" t="s">
        <v>13</v>
      </c>
      <c r="CE294" s="91">
        <f>AVERAGE(CE$236:CE246)</f>
        <v>16.05</v>
      </c>
      <c r="CF294" s="91">
        <v>16.651818181818182</v>
      </c>
      <c r="CG294" s="91">
        <v>17.489999999999998</v>
      </c>
      <c r="CH294" s="91">
        <v>16.442727272727272</v>
      </c>
      <c r="CI294" s="91">
        <v>17.127272727272729</v>
      </c>
      <c r="CJ294" s="91">
        <v>14.131818181818181</v>
      </c>
      <c r="CL294" s="134" t="s">
        <v>13</v>
      </c>
      <c r="CM294" s="91">
        <f>AVERAGE(CM$236:CM246)</f>
        <v>17.899999999999999</v>
      </c>
      <c r="CN294" s="91">
        <v>17.441818181818181</v>
      </c>
      <c r="CO294" s="91">
        <v>19.161818181818184</v>
      </c>
      <c r="CP294" s="91">
        <v>17.742727272727276</v>
      </c>
      <c r="CQ294" s="91">
        <v>17.58636363636364</v>
      </c>
      <c r="CR294" s="91">
        <v>15.088181818181818</v>
      </c>
      <c r="CT294" s="134" t="s">
        <v>13</v>
      </c>
      <c r="CU294" s="91">
        <f>AVERAGE(CU$236:CU246)</f>
        <v>16.260000000000002</v>
      </c>
      <c r="CV294" s="91">
        <v>16.044545454545453</v>
      </c>
      <c r="CW294" s="91" t="e">
        <v>#DIV/0!</v>
      </c>
      <c r="CX294" s="91"/>
      <c r="CY294" s="91"/>
      <c r="CZ294" s="91"/>
      <c r="DB294" s="134" t="s">
        <v>13</v>
      </c>
      <c r="DC294" s="91">
        <f>AVERAGE(DC$236:DC246)</f>
        <v>19.350000000000001</v>
      </c>
      <c r="DD294" s="91">
        <v>18.75090909090909</v>
      </c>
      <c r="DE294" s="91" t="e">
        <v>#DIV/0!</v>
      </c>
      <c r="DF294" s="91"/>
      <c r="DG294" s="91"/>
      <c r="DH294" s="91"/>
      <c r="DI294" s="91"/>
      <c r="DJ294" s="134" t="s">
        <v>13</v>
      </c>
      <c r="DK294" s="91">
        <f>AVERAGE(DK$236:DK246)</f>
        <v>13.91</v>
      </c>
      <c r="DL294" s="91">
        <v>13.934545454545457</v>
      </c>
      <c r="DM294" s="91" t="e">
        <v>#DIV/0!</v>
      </c>
      <c r="DN294" s="91"/>
      <c r="DO294" s="91"/>
      <c r="DP294" s="91"/>
      <c r="DR294" s="134" t="s">
        <v>13</v>
      </c>
      <c r="DS294" s="91">
        <f>AVERAGE(DS$236:DS246)</f>
        <v>18.66</v>
      </c>
      <c r="DT294" s="91">
        <v>18.221818181818183</v>
      </c>
      <c r="DU294" s="91" t="e">
        <v>#DIV/0!</v>
      </c>
      <c r="DV294" s="91"/>
      <c r="DW294" s="91"/>
      <c r="DX294" s="91"/>
      <c r="DZ294" s="134" t="s">
        <v>13</v>
      </c>
      <c r="EA294" s="91">
        <f>AVERAGE(EA$236:EA246)</f>
        <v>18.489999999999998</v>
      </c>
      <c r="EB294" s="91">
        <v>18.850000000000001</v>
      </c>
      <c r="EC294" s="91" t="e">
        <v>#DIV/0!</v>
      </c>
      <c r="ED294" s="91"/>
      <c r="EE294" s="91"/>
      <c r="EF294" s="91"/>
    </row>
    <row r="295" spans="1:136" s="90" customFormat="1" x14ac:dyDescent="0.2">
      <c r="A295" s="292"/>
      <c r="B295" s="134" t="s">
        <v>15</v>
      </c>
      <c r="C295" s="91">
        <f>AVERAGE(C$236:C247)</f>
        <v>15.830714285714285</v>
      </c>
      <c r="D295" s="91">
        <f>AVERAGE(D$236:D247)</f>
        <v>17.469545454545454</v>
      </c>
      <c r="E295" s="91">
        <f>AVERAGE(E$236:E247)</f>
        <v>19.787416666666662</v>
      </c>
      <c r="F295" s="91">
        <f>AVERAGE(F$236:F247)</f>
        <v>20.871041666666663</v>
      </c>
      <c r="G295" s="91">
        <f>AVERAGE(G$236:G247)</f>
        <v>19.848541666666666</v>
      </c>
      <c r="H295" s="91">
        <f>AVERAGE(H$236:H247)</f>
        <v>14.848437604166667</v>
      </c>
      <c r="I295" s="91"/>
      <c r="J295" s="134" t="s">
        <v>15</v>
      </c>
      <c r="K295" s="91">
        <f>AVERAGE(K$236:K247)</f>
        <v>17.13</v>
      </c>
      <c r="L295" s="91">
        <v>16.411666666666665</v>
      </c>
      <c r="M295" s="91">
        <v>16.722499999999997</v>
      </c>
      <c r="N295" s="91">
        <v>15.589166666666666</v>
      </c>
      <c r="O295" s="91">
        <v>15.539166666666668</v>
      </c>
      <c r="P295" s="91">
        <v>14.020000833333334</v>
      </c>
      <c r="R295" s="134" t="s">
        <v>15</v>
      </c>
      <c r="S295" s="91">
        <f>AVERAGE(S$236:S247)</f>
        <v>16.55</v>
      </c>
      <c r="T295" s="91">
        <v>16.53083333333333</v>
      </c>
      <c r="U295" s="91">
        <v>16.915000000000003</v>
      </c>
      <c r="V295" s="91">
        <v>15.815</v>
      </c>
      <c r="W295" s="91">
        <v>15.698333333333332</v>
      </c>
      <c r="X295" s="91">
        <v>14.134999999999998</v>
      </c>
      <c r="Z295" s="134" t="s">
        <v>15</v>
      </c>
      <c r="AA295" s="91">
        <f>AVERAGE(AA$236:AA247)</f>
        <v>15.91</v>
      </c>
      <c r="AB295" s="91">
        <v>16.235833333333332</v>
      </c>
      <c r="AC295" s="91">
        <v>16.114166666666666</v>
      </c>
      <c r="AD295" s="91">
        <v>15.1875</v>
      </c>
      <c r="AE295" s="91">
        <v>15.580000000000004</v>
      </c>
      <c r="AF295" s="91">
        <v>14.244166666666667</v>
      </c>
      <c r="AH295" s="134" t="s">
        <v>15</v>
      </c>
      <c r="AI295" s="91" t="e">
        <f>AVERAGE(AI$236:AI247)</f>
        <v>#DIV/0!</v>
      </c>
      <c r="AJ295" s="91">
        <v>18.46083333333333</v>
      </c>
      <c r="AK295" s="91">
        <v>18.525833333333335</v>
      </c>
      <c r="AL295" s="91">
        <v>17.329999999999998</v>
      </c>
      <c r="AM295" s="91">
        <v>17.086666666666666</v>
      </c>
      <c r="AN295" s="91">
        <v>15.119166666666667</v>
      </c>
      <c r="AP295" s="134" t="s">
        <v>15</v>
      </c>
      <c r="AQ295" s="91">
        <f>AVERAGE(AQ$236:AQ247)</f>
        <v>17.190000000000001</v>
      </c>
      <c r="AR295" s="91">
        <v>16.821666666666665</v>
      </c>
      <c r="AS295" s="91">
        <v>16.947500000000002</v>
      </c>
      <c r="AT295" s="91">
        <v>15.704999999999998</v>
      </c>
      <c r="AU295" s="91">
        <v>15.919166666666667</v>
      </c>
      <c r="AV295" s="91" t="e">
        <v>#DIV/0!</v>
      </c>
      <c r="AX295" s="134" t="s">
        <v>15</v>
      </c>
      <c r="AY295" s="91" t="e">
        <f>AVERAGE(AY$236:AY247)</f>
        <v>#DIV/0!</v>
      </c>
      <c r="AZ295" s="91">
        <v>19.614166666666666</v>
      </c>
      <c r="BA295" s="91">
        <v>19.995833333333334</v>
      </c>
      <c r="BB295" s="91">
        <v>18.394166666666667</v>
      </c>
      <c r="BC295" s="91">
        <v>18.581666666666667</v>
      </c>
      <c r="BD295" s="91"/>
      <c r="BE295" s="91"/>
      <c r="BF295" s="134" t="s">
        <v>15</v>
      </c>
      <c r="BG295" s="91">
        <f>AVERAGE(BG$236:BG247)</f>
        <v>18.100000000000001</v>
      </c>
      <c r="BH295" s="91">
        <v>18.186666666666664</v>
      </c>
      <c r="BI295" s="91">
        <v>19.0825</v>
      </c>
      <c r="BJ295" s="91"/>
      <c r="BK295" s="91"/>
      <c r="BL295" s="91"/>
      <c r="BM295" s="91"/>
      <c r="BN295" s="134" t="s">
        <v>15</v>
      </c>
      <c r="BO295" s="91">
        <f>AVERAGE(BO$236:BO247)</f>
        <v>16.36</v>
      </c>
      <c r="BP295" s="91">
        <v>17.227499999999996</v>
      </c>
      <c r="BQ295" s="91">
        <v>17.627500000000001</v>
      </c>
      <c r="BR295" s="91">
        <v>16.321666666666669</v>
      </c>
      <c r="BS295" s="91">
        <v>16.895833333333332</v>
      </c>
      <c r="BT295" s="91">
        <v>15.246666666666664</v>
      </c>
      <c r="BV295" s="134" t="s">
        <v>15</v>
      </c>
      <c r="BW295" s="91">
        <f>AVERAGE(BW$236:BW247)</f>
        <v>18.260000000000002</v>
      </c>
      <c r="BX295" s="91">
        <v>18.559166666666666</v>
      </c>
      <c r="BY295" s="91">
        <v>19.370833333333334</v>
      </c>
      <c r="BZ295" s="91">
        <v>18.259166666666662</v>
      </c>
      <c r="CA295" s="91">
        <v>18.161666666666669</v>
      </c>
      <c r="CB295" s="91">
        <v>16.11</v>
      </c>
      <c r="CC295" s="91"/>
      <c r="CD295" s="134" t="s">
        <v>15</v>
      </c>
      <c r="CE295" s="91">
        <f>AVERAGE(CE$236:CE247)</f>
        <v>16.05</v>
      </c>
      <c r="CF295" s="91">
        <v>16.612500000000001</v>
      </c>
      <c r="CG295" s="91">
        <v>17.474999999999998</v>
      </c>
      <c r="CH295" s="91">
        <v>16.502500000000001</v>
      </c>
      <c r="CI295" s="91">
        <v>17.044166666666666</v>
      </c>
      <c r="CJ295" s="91">
        <v>14.489166666666668</v>
      </c>
      <c r="CL295" s="134" t="s">
        <v>15</v>
      </c>
      <c r="CM295" s="91">
        <f>AVERAGE(CM$236:CM247)</f>
        <v>17.899999999999999</v>
      </c>
      <c r="CN295" s="91">
        <v>17.504166666666666</v>
      </c>
      <c r="CO295" s="91">
        <v>19.0975</v>
      </c>
      <c r="CP295" s="91">
        <v>17.864166666666666</v>
      </c>
      <c r="CQ295" s="91">
        <v>17.572500000000002</v>
      </c>
      <c r="CR295" s="91">
        <v>15.423333333333332</v>
      </c>
      <c r="CT295" s="134" t="s">
        <v>15</v>
      </c>
      <c r="CU295" s="91">
        <f>AVERAGE(CU$236:CU247)</f>
        <v>16.260000000000002</v>
      </c>
      <c r="CV295" s="91">
        <v>16.059166666666666</v>
      </c>
      <c r="CW295" s="91" t="e">
        <v>#DIV/0!</v>
      </c>
      <c r="CX295" s="91"/>
      <c r="CY295" s="91"/>
      <c r="CZ295" s="91"/>
      <c r="DB295" s="134" t="s">
        <v>15</v>
      </c>
      <c r="DC295" s="91">
        <f>AVERAGE(DC$236:DC247)</f>
        <v>19.350000000000001</v>
      </c>
      <c r="DD295" s="91">
        <v>18.791666666666668</v>
      </c>
      <c r="DE295" s="91" t="e">
        <v>#DIV/0!</v>
      </c>
      <c r="DF295" s="91"/>
      <c r="DG295" s="91"/>
      <c r="DH295" s="91"/>
      <c r="DI295" s="91"/>
      <c r="DJ295" s="134" t="s">
        <v>15</v>
      </c>
      <c r="DK295" s="91">
        <f>AVERAGE(DK$236:DK247)</f>
        <v>13.91</v>
      </c>
      <c r="DL295" s="91">
        <v>13.947500000000003</v>
      </c>
      <c r="DM295" s="91" t="e">
        <v>#DIV/0!</v>
      </c>
      <c r="DN295" s="91"/>
      <c r="DO295" s="91"/>
      <c r="DP295" s="91"/>
      <c r="DR295" s="134" t="s">
        <v>15</v>
      </c>
      <c r="DS295" s="91">
        <f>AVERAGE(DS$236:DS247)</f>
        <v>18.66</v>
      </c>
      <c r="DT295" s="91">
        <v>18.267500000000002</v>
      </c>
      <c r="DU295" s="91" t="e">
        <v>#DIV/0!</v>
      </c>
      <c r="DV295" s="91"/>
      <c r="DW295" s="91"/>
      <c r="DX295" s="91"/>
      <c r="DZ295" s="134" t="s">
        <v>15</v>
      </c>
      <c r="EA295" s="91">
        <f>AVERAGE(EA$236:EA247)</f>
        <v>18.489999999999998</v>
      </c>
      <c r="EB295" s="91">
        <v>18.868000000000002</v>
      </c>
      <c r="EC295" s="91" t="e">
        <v>#DIV/0!</v>
      </c>
      <c r="ED295" s="91"/>
      <c r="EE295" s="91"/>
      <c r="EF295" s="91"/>
    </row>
    <row r="297" spans="1:136" ht="15.75" x14ac:dyDescent="0.2">
      <c r="B297" s="45" t="s">
        <v>131</v>
      </c>
      <c r="J297" s="45" t="s">
        <v>2999</v>
      </c>
      <c r="R297" s="45" t="s">
        <v>3001</v>
      </c>
      <c r="Z297" s="45" t="s">
        <v>210</v>
      </c>
      <c r="AH297" s="45" t="s">
        <v>3003</v>
      </c>
      <c r="AP297" s="45" t="s">
        <v>2156</v>
      </c>
      <c r="AX297" s="45" t="s">
        <v>3000</v>
      </c>
      <c r="BF297" s="45" t="s">
        <v>3002</v>
      </c>
      <c r="BN297" s="45" t="s">
        <v>297</v>
      </c>
      <c r="BV297" s="45" t="s">
        <v>296</v>
      </c>
      <c r="CD297" s="45" t="s">
        <v>292</v>
      </c>
      <c r="CL297" s="45" t="s">
        <v>294</v>
      </c>
      <c r="CT297" s="45" t="s">
        <v>6963</v>
      </c>
      <c r="DB297" s="45" t="s">
        <v>6964</v>
      </c>
      <c r="DJ297" s="45" t="s">
        <v>6966</v>
      </c>
      <c r="DR297" s="45" t="s">
        <v>6965</v>
      </c>
      <c r="DZ297" s="45" t="s">
        <v>7094</v>
      </c>
    </row>
    <row r="299" spans="1:136" s="188" customFormat="1" ht="18.600000000000001" customHeight="1" x14ac:dyDescent="0.2">
      <c r="A299" s="292" t="s">
        <v>138</v>
      </c>
      <c r="B299" s="186" t="s">
        <v>106</v>
      </c>
      <c r="C299" s="187" t="s">
        <v>6962</v>
      </c>
      <c r="D299" s="187" t="s">
        <v>2169</v>
      </c>
      <c r="E299" s="187" t="s">
        <v>1553</v>
      </c>
      <c r="F299" s="187" t="s">
        <v>1522</v>
      </c>
      <c r="G299" s="187" t="s">
        <v>1304</v>
      </c>
      <c r="H299" s="187" t="s">
        <v>209</v>
      </c>
      <c r="I299" s="187"/>
      <c r="J299" s="186" t="s">
        <v>106</v>
      </c>
      <c r="K299" s="186" t="s">
        <v>7114</v>
      </c>
      <c r="L299" s="186" t="s">
        <v>6962</v>
      </c>
      <c r="M299" s="186" t="s">
        <v>2169</v>
      </c>
      <c r="N299" s="186" t="s">
        <v>1553</v>
      </c>
      <c r="O299" s="186" t="s">
        <v>1522</v>
      </c>
      <c r="P299" s="186" t="s">
        <v>1304</v>
      </c>
      <c r="R299" s="186" t="s">
        <v>106</v>
      </c>
      <c r="S299" s="186" t="s">
        <v>7114</v>
      </c>
      <c r="T299" s="186" t="s">
        <v>6962</v>
      </c>
      <c r="U299" s="186" t="s">
        <v>2169</v>
      </c>
      <c r="V299" s="186" t="s">
        <v>1553</v>
      </c>
      <c r="W299" s="186" t="s">
        <v>1522</v>
      </c>
      <c r="X299" s="186" t="s">
        <v>1304</v>
      </c>
      <c r="Z299" s="186" t="s">
        <v>106</v>
      </c>
      <c r="AA299" s="186" t="s">
        <v>7114</v>
      </c>
      <c r="AB299" s="186" t="s">
        <v>6962</v>
      </c>
      <c r="AC299" s="186" t="s">
        <v>2169</v>
      </c>
      <c r="AD299" s="186" t="s">
        <v>1553</v>
      </c>
      <c r="AE299" s="186" t="s">
        <v>1522</v>
      </c>
      <c r="AF299" s="186" t="s">
        <v>1304</v>
      </c>
      <c r="AH299" s="186" t="s">
        <v>106</v>
      </c>
      <c r="AI299" s="186" t="s">
        <v>7114</v>
      </c>
      <c r="AJ299" s="186" t="s">
        <v>6962</v>
      </c>
      <c r="AK299" s="186" t="s">
        <v>2169</v>
      </c>
      <c r="AL299" s="186" t="s">
        <v>1553</v>
      </c>
      <c r="AM299" s="186" t="s">
        <v>1522</v>
      </c>
      <c r="AN299" s="186" t="s">
        <v>1304</v>
      </c>
      <c r="AP299" s="186" t="s">
        <v>106</v>
      </c>
      <c r="AQ299" s="186" t="s">
        <v>7114</v>
      </c>
      <c r="AR299" s="186" t="s">
        <v>6962</v>
      </c>
      <c r="AS299" s="186" t="s">
        <v>2169</v>
      </c>
      <c r="AT299" s="186" t="s">
        <v>1553</v>
      </c>
      <c r="AU299" s="186" t="s">
        <v>1522</v>
      </c>
      <c r="AV299" s="186" t="s">
        <v>1304</v>
      </c>
      <c r="AX299" s="186" t="s">
        <v>106</v>
      </c>
      <c r="AY299" s="186" t="s">
        <v>7114</v>
      </c>
      <c r="AZ299" s="186" t="s">
        <v>6962</v>
      </c>
      <c r="BA299" s="186" t="s">
        <v>2169</v>
      </c>
      <c r="BB299" s="186" t="s">
        <v>1553</v>
      </c>
      <c r="BC299" s="186" t="s">
        <v>1522</v>
      </c>
      <c r="BD299" s="186" t="s">
        <v>1304</v>
      </c>
      <c r="BE299" s="187"/>
      <c r="BF299" s="186" t="s">
        <v>106</v>
      </c>
      <c r="BG299" s="186" t="s">
        <v>7114</v>
      </c>
      <c r="BH299" s="186" t="s">
        <v>6962</v>
      </c>
      <c r="BI299" s="186" t="s">
        <v>2169</v>
      </c>
      <c r="BJ299" s="186" t="s">
        <v>1553</v>
      </c>
      <c r="BK299" s="186" t="s">
        <v>1522</v>
      </c>
      <c r="BL299" s="186" t="s">
        <v>1304</v>
      </c>
      <c r="BM299" s="186"/>
      <c r="BN299" s="186" t="s">
        <v>106</v>
      </c>
      <c r="BO299" s="187" t="s">
        <v>7114</v>
      </c>
      <c r="BP299" s="187" t="s">
        <v>6962</v>
      </c>
      <c r="BQ299" s="187" t="s">
        <v>2169</v>
      </c>
      <c r="BR299" s="187" t="s">
        <v>1553</v>
      </c>
      <c r="BS299" s="187" t="s">
        <v>1522</v>
      </c>
      <c r="BT299" s="187" t="s">
        <v>1304</v>
      </c>
      <c r="BV299" s="186" t="s">
        <v>106</v>
      </c>
      <c r="BW299" s="187" t="s">
        <v>7114</v>
      </c>
      <c r="BX299" s="187" t="s">
        <v>6962</v>
      </c>
      <c r="BY299" s="187" t="s">
        <v>2169</v>
      </c>
      <c r="BZ299" s="187" t="s">
        <v>1553</v>
      </c>
      <c r="CA299" s="187" t="s">
        <v>1522</v>
      </c>
      <c r="CB299" s="187" t="s">
        <v>1304</v>
      </c>
      <c r="CC299" s="187"/>
      <c r="CD299" s="186" t="s">
        <v>106</v>
      </c>
      <c r="CE299" s="187" t="s">
        <v>7114</v>
      </c>
      <c r="CF299" s="187" t="s">
        <v>6962</v>
      </c>
      <c r="CG299" s="187" t="s">
        <v>2169</v>
      </c>
      <c r="CH299" s="187" t="s">
        <v>1553</v>
      </c>
      <c r="CI299" s="187" t="s">
        <v>1522</v>
      </c>
      <c r="CJ299" s="187" t="s">
        <v>1304</v>
      </c>
      <c r="CL299" s="186" t="s">
        <v>106</v>
      </c>
      <c r="CM299" s="187" t="s">
        <v>7114</v>
      </c>
      <c r="CN299" s="187" t="s">
        <v>6962</v>
      </c>
      <c r="CO299" s="187" t="s">
        <v>2169</v>
      </c>
      <c r="CP299" s="187" t="s">
        <v>1553</v>
      </c>
      <c r="CQ299" s="187" t="s">
        <v>1522</v>
      </c>
      <c r="CR299" s="187" t="s">
        <v>1304</v>
      </c>
      <c r="CT299" s="186" t="s">
        <v>106</v>
      </c>
      <c r="CU299" s="187" t="s">
        <v>7114</v>
      </c>
      <c r="CV299" s="187" t="s">
        <v>6962</v>
      </c>
      <c r="CW299" s="187" t="s">
        <v>2169</v>
      </c>
      <c r="CX299" s="187" t="s">
        <v>1553</v>
      </c>
      <c r="CY299" s="187" t="s">
        <v>1522</v>
      </c>
      <c r="CZ299" s="187" t="s">
        <v>1304</v>
      </c>
      <c r="DB299" s="186" t="s">
        <v>106</v>
      </c>
      <c r="DC299" s="187" t="s">
        <v>7114</v>
      </c>
      <c r="DD299" s="187" t="s">
        <v>6962</v>
      </c>
      <c r="DE299" s="187" t="s">
        <v>2169</v>
      </c>
      <c r="DF299" s="187" t="s">
        <v>1553</v>
      </c>
      <c r="DG299" s="187" t="s">
        <v>1522</v>
      </c>
      <c r="DH299" s="187" t="s">
        <v>1304</v>
      </c>
      <c r="DI299" s="187"/>
      <c r="DJ299" s="186" t="s">
        <v>106</v>
      </c>
      <c r="DK299" s="187" t="s">
        <v>7114</v>
      </c>
      <c r="DL299" s="187" t="s">
        <v>6962</v>
      </c>
      <c r="DM299" s="187" t="s">
        <v>2169</v>
      </c>
      <c r="DN299" s="187" t="s">
        <v>1553</v>
      </c>
      <c r="DO299" s="187" t="s">
        <v>1522</v>
      </c>
      <c r="DP299" s="187" t="s">
        <v>1304</v>
      </c>
      <c r="DR299" s="186" t="s">
        <v>106</v>
      </c>
      <c r="DS299" s="187" t="s">
        <v>7114</v>
      </c>
      <c r="DT299" s="187" t="s">
        <v>6962</v>
      </c>
      <c r="DU299" s="187" t="s">
        <v>2169</v>
      </c>
      <c r="DV299" s="187" t="s">
        <v>1553</v>
      </c>
      <c r="DW299" s="187" t="s">
        <v>1522</v>
      </c>
      <c r="DX299" s="187" t="s">
        <v>1304</v>
      </c>
      <c r="DZ299" s="186" t="s">
        <v>106</v>
      </c>
      <c r="EA299" s="187" t="s">
        <v>7114</v>
      </c>
      <c r="EB299" s="187" t="s">
        <v>6962</v>
      </c>
      <c r="EC299" s="187" t="s">
        <v>2169</v>
      </c>
      <c r="ED299" s="187" t="s">
        <v>1553</v>
      </c>
      <c r="EE299" s="187" t="s">
        <v>1522</v>
      </c>
      <c r="EF299" s="187" t="s">
        <v>1304</v>
      </c>
    </row>
    <row r="300" spans="1:136" s="126" customFormat="1" x14ac:dyDescent="0.2">
      <c r="A300" s="292"/>
      <c r="B300" s="126" t="s">
        <v>143</v>
      </c>
      <c r="C300" s="133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>5149.8421349999999</v>
      </c>
      <c r="D300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5641.0241399999995</v>
      </c>
      <c r="E300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7037.7520999999997</v>
      </c>
      <c r="F300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7232</v>
      </c>
      <c r="G300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1152.8529399999998</v>
      </c>
      <c r="H300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1822</v>
      </c>
      <c r="I300" s="127"/>
      <c r="J300" s="126" t="s">
        <v>143</v>
      </c>
      <c r="K300" s="133">
        <f t="shared" ref="K300:K311" si="198">167.89956-48.89348</f>
        <v>119.00608000000001</v>
      </c>
      <c r="L300" s="128">
        <v>694.53708999999992</v>
      </c>
      <c r="M300" s="129">
        <v>925.52098999999998</v>
      </c>
      <c r="N300" s="129">
        <v>1506</v>
      </c>
      <c r="O300" s="127">
        <v>53</v>
      </c>
      <c r="P300" s="127">
        <v>363</v>
      </c>
      <c r="R300" s="126" t="s">
        <v>143</v>
      </c>
      <c r="S300" s="133">
        <f t="shared" ref="S300:S311" si="199">67.00314-2.89284</f>
        <v>64.110299999999995</v>
      </c>
      <c r="T300" s="86">
        <v>81.605739999999997</v>
      </c>
      <c r="U300" s="48">
        <v>289.43341999999996</v>
      </c>
      <c r="V300" s="48">
        <v>385</v>
      </c>
      <c r="W300" s="127">
        <v>234</v>
      </c>
      <c r="X300" s="127">
        <v>262</v>
      </c>
      <c r="Z300" s="126" t="s">
        <v>143</v>
      </c>
      <c r="AA300" s="133">
        <f t="shared" ref="AA300:AA311" si="200">993.9164-674.75357</f>
        <v>319.16282999999999</v>
      </c>
      <c r="AB300" s="85">
        <v>592.29236000000003</v>
      </c>
      <c r="AC300" s="87">
        <v>806.14836000000003</v>
      </c>
      <c r="AD300" s="87">
        <v>738</v>
      </c>
      <c r="AE300" s="127">
        <v>146</v>
      </c>
      <c r="AF300" s="127">
        <v>301</v>
      </c>
      <c r="AH300" s="126" t="s">
        <v>143</v>
      </c>
      <c r="AI300" s="133"/>
      <c r="AJ300" s="85">
        <v>503.64481999999998</v>
      </c>
      <c r="AK300" s="87">
        <v>484.48925000000003</v>
      </c>
      <c r="AL300" s="87">
        <v>824</v>
      </c>
      <c r="AM300" s="127">
        <v>103</v>
      </c>
      <c r="AN300" s="127">
        <v>371</v>
      </c>
      <c r="AP300" s="126" t="s">
        <v>143</v>
      </c>
      <c r="AQ300" s="133">
        <f t="shared" ref="AQ300:AQ311" si="201">391.21271-8.50526</f>
        <v>382.70744999999999</v>
      </c>
      <c r="AR300" s="86">
        <v>732.76058999999998</v>
      </c>
      <c r="AS300" s="48">
        <v>733.66306000000009</v>
      </c>
      <c r="AT300" s="48">
        <v>618</v>
      </c>
      <c r="AU300" s="127">
        <v>392</v>
      </c>
      <c r="AV300" s="127"/>
      <c r="AX300" s="126" t="s">
        <v>143</v>
      </c>
      <c r="AY300" s="133"/>
      <c r="AZ300" s="283">
        <v>324.33757000000003</v>
      </c>
      <c r="BA300" s="86">
        <v>184.52216000000001</v>
      </c>
      <c r="BB300" s="48">
        <v>222</v>
      </c>
      <c r="BC300" s="48"/>
      <c r="BD300" s="127"/>
      <c r="BE300" s="127"/>
      <c r="BF300" s="126" t="s">
        <v>143</v>
      </c>
      <c r="BG300" s="133">
        <f t="shared" ref="BG300:BG311" si="202">263.37156-5.554885</f>
        <v>257.81667499999998</v>
      </c>
      <c r="BH300" s="86">
        <v>373.63293000000004</v>
      </c>
      <c r="BI300" s="86">
        <v>375.8997</v>
      </c>
      <c r="BJ300" s="48"/>
      <c r="BK300" s="48"/>
      <c r="BL300" s="127"/>
      <c r="BM300" s="127"/>
      <c r="BN300" s="126" t="s">
        <v>143</v>
      </c>
      <c r="BO300" s="133">
        <f t="shared" ref="BO300:BO311" si="203">377.24434-4.78771</f>
        <v>372.45663000000002</v>
      </c>
      <c r="BP300" s="48">
        <v>489.93441999999999</v>
      </c>
      <c r="BQ300" s="48">
        <v>566.04499999999996</v>
      </c>
      <c r="BR300" s="48">
        <v>755</v>
      </c>
      <c r="BS300" s="127">
        <v>39.980919999999998</v>
      </c>
      <c r="BT300" s="127">
        <v>63</v>
      </c>
      <c r="BV300" s="126" t="s">
        <v>143</v>
      </c>
      <c r="BW300" s="133">
        <f t="shared" ref="BW300:BW311" si="204">371.37269-4.90301</f>
        <v>366.46967999999998</v>
      </c>
      <c r="BX300" s="87">
        <v>538.19520999999997</v>
      </c>
      <c r="BY300" s="87">
        <v>423.35606000000001</v>
      </c>
      <c r="BZ300" s="87">
        <v>596</v>
      </c>
      <c r="CA300" s="127">
        <v>29.647130000000001</v>
      </c>
      <c r="CB300" s="127">
        <v>263</v>
      </c>
      <c r="CC300" s="127"/>
      <c r="CD300" s="126" t="s">
        <v>143</v>
      </c>
      <c r="CE300" s="133">
        <f t="shared" ref="CE300:CE311" si="205">258.62317-8.44891</f>
        <v>250.17426</v>
      </c>
      <c r="CF300" s="129">
        <v>569.00426999999991</v>
      </c>
      <c r="CG300" s="129">
        <v>527.52963999999997</v>
      </c>
      <c r="CH300" s="129">
        <v>723</v>
      </c>
      <c r="CI300" s="127">
        <v>84</v>
      </c>
      <c r="CJ300" s="127">
        <v>84</v>
      </c>
      <c r="CL300" s="126" t="s">
        <v>143</v>
      </c>
      <c r="CM300" s="133">
        <f t="shared" ref="CM300:CM311" si="206">567.38802-3.57961</f>
        <v>563.80840999999998</v>
      </c>
      <c r="CN300" s="87">
        <v>741.07914000000005</v>
      </c>
      <c r="CO300" s="87">
        <v>1721.14446</v>
      </c>
      <c r="CP300" s="87">
        <v>865</v>
      </c>
      <c r="CQ300" s="127">
        <v>71.224890000000002</v>
      </c>
      <c r="CR300" s="127">
        <v>115</v>
      </c>
      <c r="CT300" s="126" t="s">
        <v>143</v>
      </c>
      <c r="CU300" s="133">
        <f t="shared" ref="CU300:CU311" si="207">725.65431-3.69679</f>
        <v>721.95752000000005</v>
      </c>
      <c r="CV300" s="86">
        <v>356.08456000000001</v>
      </c>
      <c r="CW300" s="48"/>
      <c r="CX300" s="48"/>
      <c r="CY300" s="127"/>
      <c r="CZ300" s="127"/>
      <c r="DB300" s="126" t="s">
        <v>143</v>
      </c>
      <c r="DC300" s="133">
        <f t="shared" ref="DC300:DC311" si="208">1006.09507-8.46206</f>
        <v>997.63301000000001</v>
      </c>
      <c r="DD300" s="85">
        <v>686.30524000000003</v>
      </c>
      <c r="DE300" s="87"/>
      <c r="DF300" s="87"/>
      <c r="DG300" s="127"/>
      <c r="DH300" s="127"/>
      <c r="DI300" s="127"/>
      <c r="DJ300" s="126" t="s">
        <v>143</v>
      </c>
      <c r="DK300" s="133">
        <f t="shared" ref="DK300:DK311" si="209">315.29603-1.03849</f>
        <v>314.25753999999995</v>
      </c>
      <c r="DL300" s="128">
        <v>340.58762999999999</v>
      </c>
      <c r="DM300" s="129"/>
      <c r="DN300" s="129"/>
      <c r="DO300" s="127"/>
      <c r="DP300" s="127"/>
      <c r="DR300" s="126" t="s">
        <v>143</v>
      </c>
      <c r="DS300" s="133">
        <f t="shared" ref="DS300:DS311" si="210">350.8575-1.42167</f>
        <v>349.43583000000001</v>
      </c>
      <c r="DT300" s="85">
        <v>298.68428</v>
      </c>
      <c r="DU300" s="87"/>
      <c r="DV300" s="87"/>
      <c r="DW300" s="127"/>
      <c r="DX300" s="127"/>
      <c r="DZ300" s="126" t="s">
        <v>143</v>
      </c>
      <c r="EA300" s="133">
        <f t="shared" ref="EA300:EA311" si="211">73.55233-2.70641</f>
        <v>70.845919999999992</v>
      </c>
      <c r="EB300" s="85"/>
      <c r="EC300" s="87"/>
      <c r="ED300" s="87"/>
      <c r="EE300" s="127"/>
      <c r="EF300" s="127"/>
    </row>
    <row r="301" spans="1:136" s="126" customFormat="1" x14ac:dyDescent="0.2">
      <c r="A301" s="292"/>
      <c r="B301" s="126" t="s">
        <v>5</v>
      </c>
      <c r="C301" s="133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>5264.8182799999995</v>
      </c>
      <c r="D301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5038.58572</v>
      </c>
      <c r="E301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6924.6337300000014</v>
      </c>
      <c r="F301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10664.326999999999</v>
      </c>
      <c r="G301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1517.2354600000001</v>
      </c>
      <c r="H301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2449</v>
      </c>
      <c r="I301" s="127"/>
      <c r="J301" s="126" t="s">
        <v>5</v>
      </c>
      <c r="K301" s="133"/>
      <c r="L301" s="128">
        <v>674.03405999999995</v>
      </c>
      <c r="M301" s="129">
        <v>997.1855700000001</v>
      </c>
      <c r="N301" s="129">
        <v>1627</v>
      </c>
      <c r="O301" s="127">
        <v>88</v>
      </c>
      <c r="P301" s="127">
        <v>315</v>
      </c>
      <c r="R301" s="126" t="s">
        <v>5</v>
      </c>
      <c r="S301" s="133"/>
      <c r="T301" s="86">
        <v>88.965599999999995</v>
      </c>
      <c r="U301" s="48">
        <v>307.88986</v>
      </c>
      <c r="V301" s="48">
        <v>824</v>
      </c>
      <c r="W301" s="127">
        <v>250</v>
      </c>
      <c r="X301" s="127">
        <v>284</v>
      </c>
      <c r="Z301" s="126" t="s">
        <v>5</v>
      </c>
      <c r="AA301" s="133"/>
      <c r="AB301" s="85">
        <v>541.05514000000005</v>
      </c>
      <c r="AC301" s="87">
        <v>821.47163</v>
      </c>
      <c r="AD301" s="87">
        <v>1213</v>
      </c>
      <c r="AE301" s="127">
        <v>157</v>
      </c>
      <c r="AF301" s="127">
        <v>269</v>
      </c>
      <c r="AH301" s="126" t="s">
        <v>5</v>
      </c>
      <c r="AI301" s="133"/>
      <c r="AJ301" s="85">
        <v>514.83715999999993</v>
      </c>
      <c r="AK301" s="87">
        <v>513.00634000000002</v>
      </c>
      <c r="AL301" s="87">
        <v>1367</v>
      </c>
      <c r="AM301" s="127">
        <v>154</v>
      </c>
      <c r="AN301" s="127">
        <v>1109</v>
      </c>
      <c r="AP301" s="126" t="s">
        <v>5</v>
      </c>
      <c r="AQ301" s="133"/>
      <c r="AR301" s="86">
        <v>550.01233999999999</v>
      </c>
      <c r="AS301" s="48">
        <v>833.63384999999994</v>
      </c>
      <c r="AT301" s="48">
        <v>881</v>
      </c>
      <c r="AU301" s="127">
        <v>471</v>
      </c>
      <c r="AV301" s="127"/>
      <c r="AX301" s="126" t="s">
        <v>5</v>
      </c>
      <c r="AY301" s="133"/>
      <c r="AZ301" s="133">
        <v>289.63531</v>
      </c>
      <c r="BA301" s="86">
        <v>293.02453000000003</v>
      </c>
      <c r="BB301" s="48">
        <v>189</v>
      </c>
      <c r="BC301" s="48"/>
      <c r="BD301" s="127"/>
      <c r="BE301" s="127"/>
      <c r="BF301" s="126" t="s">
        <v>5</v>
      </c>
      <c r="BG301" s="133"/>
      <c r="BH301" s="86">
        <v>407.59987000000001</v>
      </c>
      <c r="BI301" s="86">
        <v>396.40183000000002</v>
      </c>
      <c r="BJ301" s="48"/>
      <c r="BK301" s="48"/>
      <c r="BL301" s="127"/>
      <c r="BM301" s="127"/>
      <c r="BN301" s="126" t="s">
        <v>5</v>
      </c>
      <c r="BO301" s="133"/>
      <c r="BP301" s="48">
        <v>535.42881000000011</v>
      </c>
      <c r="BQ301" s="48">
        <v>646.63823000000002</v>
      </c>
      <c r="BR301" s="48">
        <v>858</v>
      </c>
      <c r="BS301" s="127">
        <v>92.600970000000004</v>
      </c>
      <c r="BT301" s="127">
        <v>23</v>
      </c>
      <c r="BV301" s="126" t="s">
        <v>5</v>
      </c>
      <c r="BW301" s="133"/>
      <c r="BX301" s="87">
        <v>305.90968999999996</v>
      </c>
      <c r="BY301" s="87">
        <v>488.13140000000004</v>
      </c>
      <c r="BZ301" s="87">
        <v>742</v>
      </c>
      <c r="CA301" s="127">
        <v>56.138349999999996</v>
      </c>
      <c r="CB301" s="127">
        <v>219</v>
      </c>
      <c r="CC301" s="127"/>
      <c r="CD301" s="126" t="s">
        <v>5</v>
      </c>
      <c r="CE301" s="133"/>
      <c r="CF301" s="129">
        <v>415.17090000000002</v>
      </c>
      <c r="CG301" s="129">
        <v>512.19635000000005</v>
      </c>
      <c r="CH301" s="129">
        <v>835.327</v>
      </c>
      <c r="CI301" s="127">
        <v>161.53678000000002</v>
      </c>
      <c r="CJ301" s="127">
        <v>86</v>
      </c>
      <c r="CL301" s="126" t="s">
        <v>5</v>
      </c>
      <c r="CM301" s="133"/>
      <c r="CN301" s="87">
        <v>715.93683999999996</v>
      </c>
      <c r="CO301" s="87">
        <v>1115.05414</v>
      </c>
      <c r="CP301" s="87">
        <v>2128</v>
      </c>
      <c r="CQ301" s="127">
        <v>86.959360000000004</v>
      </c>
      <c r="CR301" s="127">
        <v>144</v>
      </c>
      <c r="CT301" s="126" t="s">
        <v>5</v>
      </c>
      <c r="CU301" s="133"/>
      <c r="CV301" s="86">
        <v>289.83421000000004</v>
      </c>
      <c r="CW301" s="48"/>
      <c r="CX301" s="48"/>
      <c r="CY301" s="127"/>
      <c r="CZ301" s="127"/>
      <c r="DB301" s="126" t="s">
        <v>5</v>
      </c>
      <c r="DC301" s="133"/>
      <c r="DD301" s="85">
        <v>653.09708000000001</v>
      </c>
      <c r="DE301" s="87"/>
      <c r="DF301" s="87"/>
      <c r="DG301" s="127"/>
      <c r="DH301" s="127"/>
      <c r="DI301" s="127"/>
      <c r="DJ301" s="126" t="s">
        <v>5</v>
      </c>
      <c r="DK301" s="133"/>
      <c r="DL301" s="128">
        <v>304.04861</v>
      </c>
      <c r="DM301" s="129"/>
      <c r="DN301" s="129"/>
      <c r="DO301" s="127"/>
      <c r="DP301" s="127"/>
      <c r="DR301" s="126" t="s">
        <v>5</v>
      </c>
      <c r="DS301" s="133"/>
      <c r="DT301" s="85">
        <v>240.29612</v>
      </c>
      <c r="DU301" s="87"/>
      <c r="DV301" s="87"/>
      <c r="DW301" s="127"/>
      <c r="DX301" s="127"/>
      <c r="DZ301" s="126" t="s">
        <v>5</v>
      </c>
      <c r="EA301" s="133"/>
      <c r="EB301" s="85"/>
      <c r="EC301" s="87"/>
      <c r="ED301" s="87"/>
      <c r="EE301" s="127"/>
      <c r="EF301" s="127"/>
    </row>
    <row r="302" spans="1:136" s="126" customFormat="1" x14ac:dyDescent="0.2">
      <c r="A302" s="292"/>
      <c r="B302" s="126" t="s">
        <v>7</v>
      </c>
      <c r="C302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2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5484.2691100000002</v>
      </c>
      <c r="E302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6919.7184699999998</v>
      </c>
      <c r="F302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10404</v>
      </c>
      <c r="G302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2937.1327099999999</v>
      </c>
      <c r="H302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1593</v>
      </c>
      <c r="I302" s="127"/>
      <c r="J302" s="126" t="s">
        <v>7</v>
      </c>
      <c r="K302" s="133"/>
      <c r="L302" s="128">
        <v>726.96634999999992</v>
      </c>
      <c r="M302" s="129">
        <v>1026.4771799999999</v>
      </c>
      <c r="N302" s="129">
        <v>1570</v>
      </c>
      <c r="O302" s="127">
        <v>211</v>
      </c>
      <c r="P302" s="127">
        <v>131</v>
      </c>
      <c r="R302" s="126" t="s">
        <v>7</v>
      </c>
      <c r="S302" s="133"/>
      <c r="T302" s="86">
        <v>64.109740000000002</v>
      </c>
      <c r="U302" s="48">
        <v>288.47080999999997</v>
      </c>
      <c r="V302" s="48">
        <v>770</v>
      </c>
      <c r="W302" s="127">
        <v>292</v>
      </c>
      <c r="X302" s="127">
        <v>227</v>
      </c>
      <c r="Z302" s="126" t="s">
        <v>7</v>
      </c>
      <c r="AA302" s="133"/>
      <c r="AB302" s="85">
        <v>466.38653999999997</v>
      </c>
      <c r="AC302" s="87">
        <v>828.63139999999999</v>
      </c>
      <c r="AD302" s="87">
        <v>1139</v>
      </c>
      <c r="AE302" s="127">
        <v>183</v>
      </c>
      <c r="AF302" s="127">
        <v>207</v>
      </c>
      <c r="AH302" s="126" t="s">
        <v>7</v>
      </c>
      <c r="AI302" s="133"/>
      <c r="AJ302" s="85">
        <v>540.78526999999997</v>
      </c>
      <c r="AK302" s="87">
        <v>545.98968000000002</v>
      </c>
      <c r="AL302" s="87">
        <v>1509</v>
      </c>
      <c r="AM302" s="127">
        <v>257</v>
      </c>
      <c r="AN302" s="127">
        <v>979</v>
      </c>
      <c r="AP302" s="126" t="s">
        <v>7</v>
      </c>
      <c r="AQ302" s="133"/>
      <c r="AR302" s="86">
        <v>629.99077999999997</v>
      </c>
      <c r="AS302" s="48">
        <v>883.55306999999993</v>
      </c>
      <c r="AT302" s="48">
        <v>846</v>
      </c>
      <c r="AU302" s="127">
        <v>808</v>
      </c>
      <c r="AV302" s="127"/>
      <c r="AX302" s="126" t="s">
        <v>7</v>
      </c>
      <c r="AY302" s="133"/>
      <c r="AZ302" s="133">
        <v>266.53121999999996</v>
      </c>
      <c r="BA302" s="86">
        <v>305.31403</v>
      </c>
      <c r="BB302" s="48">
        <v>227</v>
      </c>
      <c r="BC302" s="48"/>
      <c r="BD302" s="127"/>
      <c r="BE302" s="127"/>
      <c r="BF302" s="126" t="s">
        <v>7</v>
      </c>
      <c r="BG302" s="133"/>
      <c r="BH302" s="86">
        <v>378.98611999999997</v>
      </c>
      <c r="BI302" s="86">
        <v>386.29946000000001</v>
      </c>
      <c r="BJ302" s="48"/>
      <c r="BK302" s="48"/>
      <c r="BL302" s="127"/>
      <c r="BM302" s="127"/>
      <c r="BN302" s="126" t="s">
        <v>7</v>
      </c>
      <c r="BO302" s="133"/>
      <c r="BP302" s="48">
        <v>607.92081999999994</v>
      </c>
      <c r="BQ302" s="48">
        <v>622.23705000000007</v>
      </c>
      <c r="BR302" s="48">
        <v>837</v>
      </c>
      <c r="BS302" s="127">
        <v>152.70597000000001</v>
      </c>
      <c r="BT302" s="127">
        <v>-34</v>
      </c>
      <c r="BV302" s="126" t="s">
        <v>7</v>
      </c>
      <c r="BW302" s="133"/>
      <c r="BX302" s="87">
        <v>584.36090000000002</v>
      </c>
      <c r="BY302" s="87">
        <v>433.85605000000004</v>
      </c>
      <c r="BZ302" s="87">
        <v>674</v>
      </c>
      <c r="CA302" s="127">
        <v>145.3449</v>
      </c>
      <c r="CB302" s="127">
        <v>149</v>
      </c>
      <c r="CC302" s="127"/>
      <c r="CD302" s="126" t="s">
        <v>7</v>
      </c>
      <c r="CE302" s="133"/>
      <c r="CF302" s="129">
        <v>446.67333999999994</v>
      </c>
      <c r="CG302" s="129">
        <v>433.73109999999997</v>
      </c>
      <c r="CH302" s="129">
        <v>733</v>
      </c>
      <c r="CI302" s="127">
        <v>777.6108200000001</v>
      </c>
      <c r="CJ302" s="127">
        <v>-16</v>
      </c>
      <c r="CL302" s="126" t="s">
        <v>7</v>
      </c>
      <c r="CM302" s="133"/>
      <c r="CN302" s="87">
        <v>771.55803000000003</v>
      </c>
      <c r="CO302" s="87">
        <v>1165.1586399999999</v>
      </c>
      <c r="CP302" s="87">
        <v>2099</v>
      </c>
      <c r="CQ302" s="127">
        <v>110.47102000000001</v>
      </c>
      <c r="CR302" s="127">
        <v>-50</v>
      </c>
      <c r="CT302" s="126" t="s">
        <v>7</v>
      </c>
      <c r="CU302" s="133"/>
      <c r="CV302" s="86">
        <v>395.15454</v>
      </c>
      <c r="CW302" s="48"/>
      <c r="CX302" s="48"/>
      <c r="CY302" s="127"/>
      <c r="CZ302" s="127"/>
      <c r="DB302" s="126" t="s">
        <v>7</v>
      </c>
      <c r="DC302" s="133"/>
      <c r="DD302" s="85">
        <v>756.51481999999999</v>
      </c>
      <c r="DE302" s="87"/>
      <c r="DF302" s="87"/>
      <c r="DG302" s="127"/>
      <c r="DH302" s="127"/>
      <c r="DI302" s="127"/>
      <c r="DJ302" s="126" t="s">
        <v>7</v>
      </c>
      <c r="DK302" s="133"/>
      <c r="DL302" s="128">
        <v>311.48515000000003</v>
      </c>
      <c r="DM302" s="129"/>
      <c r="DN302" s="129"/>
      <c r="DO302" s="127"/>
      <c r="DP302" s="127"/>
      <c r="DR302" s="126" t="s">
        <v>7</v>
      </c>
      <c r="DS302" s="133"/>
      <c r="DT302" s="85">
        <v>288.81165999999996</v>
      </c>
      <c r="DU302" s="87"/>
      <c r="DV302" s="87"/>
      <c r="DW302" s="127"/>
      <c r="DX302" s="127"/>
      <c r="DZ302" s="126" t="s">
        <v>7</v>
      </c>
      <c r="EA302" s="133"/>
      <c r="EB302" s="85"/>
      <c r="EC302" s="87"/>
      <c r="ED302" s="87"/>
      <c r="EE302" s="127"/>
      <c r="EF302" s="127"/>
    </row>
    <row r="303" spans="1:136" s="126" customFormat="1" x14ac:dyDescent="0.2">
      <c r="A303" s="292"/>
      <c r="B303" s="126" t="s">
        <v>9</v>
      </c>
      <c r="C303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3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4883.3716299999996</v>
      </c>
      <c r="E303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7182.5236799999984</v>
      </c>
      <c r="F303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10732.397790000001</v>
      </c>
      <c r="G303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3181.8557900000001</v>
      </c>
      <c r="H303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1619</v>
      </c>
      <c r="I303" s="127"/>
      <c r="J303" s="126" t="s">
        <v>9</v>
      </c>
      <c r="K303" s="133"/>
      <c r="L303" s="128">
        <v>697.8407400000001</v>
      </c>
      <c r="M303" s="129">
        <v>1121.0295999999998</v>
      </c>
      <c r="N303" s="129">
        <v>1691.3322499999999</v>
      </c>
      <c r="O303" s="127">
        <v>235</v>
      </c>
      <c r="P303" s="127">
        <v>142</v>
      </c>
      <c r="R303" s="126" t="s">
        <v>9</v>
      </c>
      <c r="S303" s="133"/>
      <c r="T303" s="85">
        <v>78.749710000000007</v>
      </c>
      <c r="U303" s="87">
        <v>232.99217000000002</v>
      </c>
      <c r="V303" s="87">
        <v>689.04498000000001</v>
      </c>
      <c r="W303" s="127">
        <v>524</v>
      </c>
      <c r="X303" s="127">
        <v>242</v>
      </c>
      <c r="Z303" s="126" t="s">
        <v>9</v>
      </c>
      <c r="AA303" s="133"/>
      <c r="AB303" s="85">
        <v>348.15291000000002</v>
      </c>
      <c r="AC303" s="87">
        <v>823.02151000000003</v>
      </c>
      <c r="AD303" s="87">
        <v>1083.4947500000001</v>
      </c>
      <c r="AE303" s="127">
        <v>189</v>
      </c>
      <c r="AF303" s="127">
        <v>202</v>
      </c>
      <c r="AH303" s="126" t="s">
        <v>9</v>
      </c>
      <c r="AI303" s="133"/>
      <c r="AJ303" s="85">
        <v>527.73600999999996</v>
      </c>
      <c r="AK303" s="87">
        <v>575.40215000000001</v>
      </c>
      <c r="AL303" s="87">
        <v>1050.4581800000001</v>
      </c>
      <c r="AM303" s="127">
        <v>501</v>
      </c>
      <c r="AN303" s="127">
        <v>884</v>
      </c>
      <c r="AP303" s="126" t="s">
        <v>9</v>
      </c>
      <c r="AQ303" s="133"/>
      <c r="AR303" s="85">
        <v>509.50229999999999</v>
      </c>
      <c r="AS303" s="87">
        <v>918.07186000000002</v>
      </c>
      <c r="AT303" s="87">
        <v>1146.1964399999999</v>
      </c>
      <c r="AU303" s="127">
        <v>849</v>
      </c>
      <c r="AV303" s="127"/>
      <c r="AX303" s="126" t="s">
        <v>9</v>
      </c>
      <c r="AY303" s="133"/>
      <c r="AZ303" s="133">
        <v>217.07473999999999</v>
      </c>
      <c r="BA303" s="85">
        <v>288.57139000000001</v>
      </c>
      <c r="BB303" s="87">
        <v>198.00856000000002</v>
      </c>
      <c r="BC303" s="87"/>
      <c r="BD303" s="127"/>
      <c r="BE303" s="127"/>
      <c r="BF303" s="126" t="s">
        <v>9</v>
      </c>
      <c r="BG303" s="133"/>
      <c r="BH303" s="85">
        <v>374.65194000000002</v>
      </c>
      <c r="BI303" s="85">
        <v>478.12547999999998</v>
      </c>
      <c r="BJ303" s="87">
        <v>634.90800000000002</v>
      </c>
      <c r="BK303" s="87"/>
      <c r="BL303" s="127"/>
      <c r="BM303" s="127"/>
      <c r="BN303" s="126" t="s">
        <v>9</v>
      </c>
      <c r="BO303" s="133"/>
      <c r="BP303" s="87">
        <v>495.20150999999998</v>
      </c>
      <c r="BQ303" s="87">
        <v>653.46271000000002</v>
      </c>
      <c r="BR303" s="87">
        <v>865.16949</v>
      </c>
      <c r="BS303" s="127">
        <v>218.10351</v>
      </c>
      <c r="BT303" s="127">
        <v>19</v>
      </c>
      <c r="BV303" s="126" t="s">
        <v>9</v>
      </c>
      <c r="BW303" s="133"/>
      <c r="BX303" s="87">
        <v>536.06799000000001</v>
      </c>
      <c r="BY303" s="87">
        <v>468.06799000000001</v>
      </c>
      <c r="BZ303" s="87">
        <v>767.7088</v>
      </c>
      <c r="CA303" s="127">
        <v>186.48887999999999</v>
      </c>
      <c r="CB303" s="127">
        <v>54</v>
      </c>
      <c r="CC303" s="127"/>
      <c r="CD303" s="126" t="s">
        <v>9</v>
      </c>
      <c r="CE303" s="133"/>
      <c r="CF303" s="129">
        <v>298.67457999999999</v>
      </c>
      <c r="CG303" s="129">
        <v>474.02578999999997</v>
      </c>
      <c r="CH303" s="129">
        <v>719.07633999999996</v>
      </c>
      <c r="CI303" s="127">
        <v>91.174080000000018</v>
      </c>
      <c r="CJ303" s="127">
        <v>30</v>
      </c>
      <c r="CL303" s="126" t="s">
        <v>9</v>
      </c>
      <c r="CM303" s="133"/>
      <c r="CN303" s="87">
        <v>799.7192</v>
      </c>
      <c r="CO303" s="87">
        <v>1149.7530300000001</v>
      </c>
      <c r="CP303" s="87">
        <v>1887</v>
      </c>
      <c r="CQ303" s="127">
        <v>388.08931999999999</v>
      </c>
      <c r="CR303" s="127">
        <v>46</v>
      </c>
      <c r="CT303" s="126" t="s">
        <v>9</v>
      </c>
      <c r="CU303" s="133"/>
      <c r="CV303" s="85">
        <v>427.51697999999999</v>
      </c>
      <c r="CW303" s="87"/>
      <c r="CX303" s="87"/>
      <c r="CY303" s="127"/>
      <c r="CZ303" s="127"/>
      <c r="DB303" s="126" t="s">
        <v>9</v>
      </c>
      <c r="DC303" s="133"/>
      <c r="DD303" s="85">
        <v>793.53539999999998</v>
      </c>
      <c r="DE303" s="87"/>
      <c r="DF303" s="87"/>
      <c r="DG303" s="127"/>
      <c r="DH303" s="127"/>
      <c r="DI303" s="127"/>
      <c r="DJ303" s="126" t="s">
        <v>9</v>
      </c>
      <c r="DK303" s="133"/>
      <c r="DL303" s="128">
        <v>287.99088</v>
      </c>
      <c r="DM303" s="129"/>
      <c r="DN303" s="129"/>
      <c r="DO303" s="127"/>
      <c r="DP303" s="127"/>
      <c r="DR303" s="126" t="s">
        <v>9</v>
      </c>
      <c r="DS303" s="133"/>
      <c r="DT303" s="85">
        <v>310.22318999999999</v>
      </c>
      <c r="DU303" s="87"/>
      <c r="DV303" s="87"/>
      <c r="DW303" s="127"/>
      <c r="DX303" s="127"/>
      <c r="DZ303" s="126" t="s">
        <v>9</v>
      </c>
      <c r="EA303" s="133"/>
      <c r="EB303" s="85"/>
      <c r="EC303" s="87"/>
      <c r="ED303" s="87"/>
      <c r="EE303" s="127"/>
      <c r="EF303" s="127"/>
    </row>
    <row r="304" spans="1:136" s="126" customFormat="1" x14ac:dyDescent="0.2">
      <c r="A304" s="292"/>
      <c r="B304" s="126" t="s">
        <v>11</v>
      </c>
      <c r="C304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4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5275.4456800000007</v>
      </c>
      <c r="E304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7812.3318799999997</v>
      </c>
      <c r="F304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10453.56338</v>
      </c>
      <c r="G304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5134.1298399999996</v>
      </c>
      <c r="H304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2544</v>
      </c>
      <c r="I304" s="127"/>
      <c r="J304" s="126" t="s">
        <v>11</v>
      </c>
      <c r="K304" s="133"/>
      <c r="L304" s="130">
        <v>766.55128999999999</v>
      </c>
      <c r="M304" s="127">
        <v>1243.6108800000002</v>
      </c>
      <c r="N304" s="127">
        <v>1608.8128400000001</v>
      </c>
      <c r="O304" s="127">
        <v>595</v>
      </c>
      <c r="P304" s="127">
        <v>353</v>
      </c>
      <c r="R304" s="126" t="s">
        <v>11</v>
      </c>
      <c r="S304" s="133"/>
      <c r="T304" s="86">
        <v>102.44722</v>
      </c>
      <c r="U304" s="48">
        <v>223.17035000000001</v>
      </c>
      <c r="V304" s="48">
        <v>615.20600000000002</v>
      </c>
      <c r="W304" s="127">
        <v>499</v>
      </c>
      <c r="X304" s="127">
        <v>292</v>
      </c>
      <c r="Z304" s="126" t="s">
        <v>11</v>
      </c>
      <c r="AA304" s="133"/>
      <c r="AB304" s="86">
        <v>359.99680999999998</v>
      </c>
      <c r="AC304" s="48">
        <v>798.15758999999991</v>
      </c>
      <c r="AD304" s="48">
        <v>1143.6853799999999</v>
      </c>
      <c r="AE304" s="127">
        <v>622</v>
      </c>
      <c r="AF304" s="127">
        <v>318</v>
      </c>
      <c r="AH304" s="126" t="s">
        <v>11</v>
      </c>
      <c r="AI304" s="133"/>
      <c r="AJ304" s="86">
        <v>581.78276000000005</v>
      </c>
      <c r="AK304" s="48">
        <v>702.30399999999997</v>
      </c>
      <c r="AL304" s="48">
        <v>971.12777000000006</v>
      </c>
      <c r="AM304" s="127">
        <v>868</v>
      </c>
      <c r="AN304" s="127">
        <v>1013</v>
      </c>
      <c r="AP304" s="126" t="s">
        <v>11</v>
      </c>
      <c r="AQ304" s="133"/>
      <c r="AR304" s="86">
        <v>606.06124999999997</v>
      </c>
      <c r="AS304" s="48">
        <v>943.25976000000003</v>
      </c>
      <c r="AT304" s="48">
        <v>1151.4732300000001</v>
      </c>
      <c r="AU304" s="127">
        <v>1019</v>
      </c>
      <c r="AV304" s="127"/>
      <c r="AX304" s="126" t="s">
        <v>11</v>
      </c>
      <c r="AY304" s="133"/>
      <c r="AZ304" s="133">
        <v>272.53557000000001</v>
      </c>
      <c r="BA304" s="86">
        <v>295.31419</v>
      </c>
      <c r="BB304" s="48">
        <v>258.34029999999996</v>
      </c>
      <c r="BC304" s="48"/>
      <c r="BD304" s="127"/>
      <c r="BE304" s="127"/>
      <c r="BF304" s="126" t="s">
        <v>11</v>
      </c>
      <c r="BG304" s="133"/>
      <c r="BH304" s="86">
        <v>397.65552000000002</v>
      </c>
      <c r="BI304" s="86">
        <v>476.39507000000003</v>
      </c>
      <c r="BJ304" s="48">
        <v>662.09199999999998</v>
      </c>
      <c r="BK304" s="48"/>
      <c r="BL304" s="127"/>
      <c r="BM304" s="127"/>
      <c r="BN304" s="126" t="s">
        <v>11</v>
      </c>
      <c r="BO304" s="133"/>
      <c r="BP304" s="48">
        <v>601.88761999999997</v>
      </c>
      <c r="BQ304" s="48">
        <v>728.29502000000002</v>
      </c>
      <c r="BR304" s="48">
        <v>919.80511999999999</v>
      </c>
      <c r="BS304" s="127">
        <v>336.41465999999997</v>
      </c>
      <c r="BT304" s="127">
        <v>131</v>
      </c>
      <c r="BV304" s="126" t="s">
        <v>11</v>
      </c>
      <c r="BW304" s="133"/>
      <c r="BX304" s="48">
        <v>478.71170000000001</v>
      </c>
      <c r="BY304" s="48">
        <v>540.6714300000001</v>
      </c>
      <c r="BZ304" s="48">
        <v>586.36146999999994</v>
      </c>
      <c r="CA304" s="127">
        <v>436.64</v>
      </c>
      <c r="CB304" s="127">
        <v>104</v>
      </c>
      <c r="CC304" s="127"/>
      <c r="CD304" s="126" t="s">
        <v>11</v>
      </c>
      <c r="CE304" s="133"/>
      <c r="CF304" s="127">
        <v>242.68129999999999</v>
      </c>
      <c r="CG304" s="127">
        <v>558.31054000000006</v>
      </c>
      <c r="CH304" s="127">
        <v>694.04373999999996</v>
      </c>
      <c r="CI304" s="127">
        <v>299.48937000000001</v>
      </c>
      <c r="CJ304" s="127">
        <v>129</v>
      </c>
      <c r="CL304" s="126" t="s">
        <v>11</v>
      </c>
      <c r="CM304" s="133"/>
      <c r="CN304" s="48">
        <v>865.13463999999999</v>
      </c>
      <c r="CO304" s="48">
        <v>1302.8430499999999</v>
      </c>
      <c r="CP304" s="48">
        <v>1842.61553</v>
      </c>
      <c r="CQ304" s="127">
        <v>458.58581000000004</v>
      </c>
      <c r="CR304" s="127">
        <v>204</v>
      </c>
      <c r="CT304" s="126" t="s">
        <v>11</v>
      </c>
      <c r="CU304" s="133"/>
      <c r="CV304" s="86">
        <v>465.238</v>
      </c>
      <c r="CW304" s="48"/>
      <c r="CX304" s="48"/>
      <c r="CY304" s="127"/>
      <c r="CZ304" s="127"/>
      <c r="DB304" s="126" t="s">
        <v>11</v>
      </c>
      <c r="DC304" s="133"/>
      <c r="DD304" s="86">
        <v>794.72956999999997</v>
      </c>
      <c r="DE304" s="48"/>
      <c r="DF304" s="48"/>
      <c r="DG304" s="127"/>
      <c r="DH304" s="127"/>
      <c r="DI304" s="127"/>
      <c r="DJ304" s="126" t="s">
        <v>11</v>
      </c>
      <c r="DK304" s="133"/>
      <c r="DL304" s="130">
        <v>325.26459</v>
      </c>
      <c r="DM304" s="127"/>
      <c r="DN304" s="127"/>
      <c r="DO304" s="127"/>
      <c r="DP304" s="127"/>
      <c r="DR304" s="126" t="s">
        <v>11</v>
      </c>
      <c r="DS304" s="133"/>
      <c r="DT304" s="86">
        <v>308.22057000000001</v>
      </c>
      <c r="DU304" s="48"/>
      <c r="DV304" s="48"/>
      <c r="DW304" s="127"/>
      <c r="DX304" s="127"/>
      <c r="DZ304" s="126" t="s">
        <v>11</v>
      </c>
      <c r="EA304" s="133"/>
      <c r="EB304" s="86"/>
      <c r="EC304" s="48"/>
      <c r="ED304" s="48"/>
      <c r="EE304" s="127"/>
      <c r="EF304" s="127"/>
    </row>
    <row r="305" spans="1:136" s="126" customFormat="1" x14ac:dyDescent="0.2">
      <c r="A305" s="292"/>
      <c r="B305" s="126" t="s">
        <v>0</v>
      </c>
      <c r="C305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5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3268.9463999999998</v>
      </c>
      <c r="E305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7382.9612000000006</v>
      </c>
      <c r="F305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10355.72207</v>
      </c>
      <c r="G305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4891.3489899999995</v>
      </c>
      <c r="H305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2550</v>
      </c>
      <c r="I305" s="127"/>
      <c r="J305" s="126" t="s">
        <v>0</v>
      </c>
      <c r="K305" s="133"/>
      <c r="L305" s="130">
        <v>284</v>
      </c>
      <c r="M305" s="127">
        <v>1132.75063</v>
      </c>
      <c r="N305" s="127">
        <v>1554.9930899999999</v>
      </c>
      <c r="O305" s="127">
        <v>663</v>
      </c>
      <c r="P305" s="127">
        <v>428</v>
      </c>
      <c r="R305" s="126" t="s">
        <v>0</v>
      </c>
      <c r="S305" s="133"/>
      <c r="T305" s="86">
        <v>125.46578</v>
      </c>
      <c r="U305" s="48">
        <v>230.76228</v>
      </c>
      <c r="V305" s="48">
        <v>611.92804000000001</v>
      </c>
      <c r="W305" s="127">
        <v>516</v>
      </c>
      <c r="X305" s="127">
        <v>322</v>
      </c>
      <c r="Z305" s="126" t="s">
        <v>0</v>
      </c>
      <c r="AA305" s="133"/>
      <c r="AB305" s="86">
        <v>288.70194999999995</v>
      </c>
      <c r="AC305" s="48">
        <v>772.30147999999997</v>
      </c>
      <c r="AD305" s="48">
        <v>1112.2332699999999</v>
      </c>
      <c r="AE305" s="127">
        <v>610</v>
      </c>
      <c r="AF305" s="127">
        <v>343</v>
      </c>
      <c r="AH305" s="126" t="s">
        <v>0</v>
      </c>
      <c r="AI305" s="133"/>
      <c r="AJ305" s="86">
        <v>371.32542999999998</v>
      </c>
      <c r="AK305" s="48">
        <v>690.56379000000004</v>
      </c>
      <c r="AL305" s="48">
        <v>968.79360999999994</v>
      </c>
      <c r="AM305" s="127">
        <v>899</v>
      </c>
      <c r="AN305" s="127">
        <v>748</v>
      </c>
      <c r="AP305" s="126" t="s">
        <v>0</v>
      </c>
      <c r="AQ305" s="133"/>
      <c r="AR305" s="86">
        <v>371.38663000000003</v>
      </c>
      <c r="AS305" s="48">
        <v>802.55745999999999</v>
      </c>
      <c r="AT305" s="48">
        <v>1164.8934900000002</v>
      </c>
      <c r="AU305" s="127">
        <v>740</v>
      </c>
      <c r="AV305" s="127"/>
      <c r="AX305" s="126" t="s">
        <v>0</v>
      </c>
      <c r="AY305" s="133"/>
      <c r="AZ305" s="133">
        <v>221.55232000000001</v>
      </c>
      <c r="BA305" s="86">
        <v>281.25956000000002</v>
      </c>
      <c r="BB305" s="48">
        <v>300.11645999999996</v>
      </c>
      <c r="BC305" s="48"/>
      <c r="BD305" s="127"/>
      <c r="BE305" s="127"/>
      <c r="BF305" s="126" t="s">
        <v>0</v>
      </c>
      <c r="BG305" s="133"/>
      <c r="BH305" s="86">
        <v>208</v>
      </c>
      <c r="BI305" s="86">
        <v>461.03639000000004</v>
      </c>
      <c r="BJ305" s="48">
        <v>668.05100000000004</v>
      </c>
      <c r="BK305" s="48"/>
      <c r="BL305" s="127"/>
      <c r="BM305" s="127"/>
      <c r="BN305" s="126" t="s">
        <v>0</v>
      </c>
      <c r="BO305" s="133"/>
      <c r="BP305" s="48">
        <v>265.65501999999998</v>
      </c>
      <c r="BQ305" s="48">
        <v>739.23599999999999</v>
      </c>
      <c r="BR305" s="48">
        <v>945.04309000000001</v>
      </c>
      <c r="BS305" s="127">
        <v>423.83280999999999</v>
      </c>
      <c r="BT305" s="127">
        <v>95</v>
      </c>
      <c r="BV305" s="126" t="s">
        <v>0</v>
      </c>
      <c r="BW305" s="133"/>
      <c r="BX305" s="48">
        <v>383.82814999999999</v>
      </c>
      <c r="BY305" s="48">
        <v>516.82899999999995</v>
      </c>
      <c r="BZ305" s="48">
        <v>549.81306999999993</v>
      </c>
      <c r="CA305" s="127">
        <v>417.45</v>
      </c>
      <c r="CB305" s="127">
        <v>184</v>
      </c>
      <c r="CC305" s="127"/>
      <c r="CD305" s="126" t="s">
        <v>0</v>
      </c>
      <c r="CE305" s="133"/>
      <c r="CF305" s="127">
        <v>235.09712000000002</v>
      </c>
      <c r="CG305" s="127">
        <v>553.50883999999996</v>
      </c>
      <c r="CH305" s="127">
        <v>630.69420000000002</v>
      </c>
      <c r="CI305" s="127">
        <v>58.470939999999999</v>
      </c>
      <c r="CJ305" s="127">
        <v>164</v>
      </c>
      <c r="CL305" s="126" t="s">
        <v>0</v>
      </c>
      <c r="CM305" s="133"/>
      <c r="CN305" s="48">
        <v>513.93399999999997</v>
      </c>
      <c r="CO305" s="48">
        <v>1202.1557700000001</v>
      </c>
      <c r="CP305" s="48">
        <v>1849.16275</v>
      </c>
      <c r="CQ305" s="127">
        <v>563.59523999999999</v>
      </c>
      <c r="CR305" s="127">
        <v>266</v>
      </c>
      <c r="CT305" s="126" t="s">
        <v>0</v>
      </c>
      <c r="CU305" s="133"/>
      <c r="CV305" s="86">
        <v>502.26956000000001</v>
      </c>
      <c r="CW305" s="48"/>
      <c r="CX305" s="48"/>
      <c r="CY305" s="127"/>
      <c r="CZ305" s="127"/>
      <c r="DB305" s="126" t="s">
        <v>0</v>
      </c>
      <c r="DC305" s="133"/>
      <c r="DD305" s="86">
        <v>840.08900000000006</v>
      </c>
      <c r="DE305" s="48"/>
      <c r="DF305" s="48"/>
      <c r="DG305" s="127"/>
      <c r="DH305" s="127"/>
      <c r="DI305" s="127"/>
      <c r="DJ305" s="126" t="s">
        <v>0</v>
      </c>
      <c r="DK305" s="133"/>
      <c r="DL305" s="130">
        <v>319.11086</v>
      </c>
      <c r="DM305" s="127"/>
      <c r="DN305" s="127"/>
      <c r="DO305" s="127"/>
      <c r="DP305" s="127"/>
      <c r="DR305" s="126" t="s">
        <v>0</v>
      </c>
      <c r="DS305" s="133"/>
      <c r="DT305" s="86">
        <v>313.86871000000002</v>
      </c>
      <c r="DU305" s="48"/>
      <c r="DV305" s="48"/>
      <c r="DW305" s="127"/>
      <c r="DX305" s="127"/>
      <c r="DZ305" s="126" t="s">
        <v>0</v>
      </c>
      <c r="EA305" s="133"/>
      <c r="EB305" s="86"/>
      <c r="EC305" s="48"/>
      <c r="ED305" s="48"/>
      <c r="EE305" s="127"/>
      <c r="EF305" s="127"/>
    </row>
    <row r="306" spans="1:136" s="126" customFormat="1" x14ac:dyDescent="0.2">
      <c r="A306" s="292"/>
      <c r="B306" s="126" t="s">
        <v>1</v>
      </c>
      <c r="C306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6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3618.2466999999992</v>
      </c>
      <c r="E306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8276.8359300000011</v>
      </c>
      <c r="F306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11051.015649999999</v>
      </c>
      <c r="G306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6025.1317899999995</v>
      </c>
      <c r="H306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2875</v>
      </c>
      <c r="I306" s="127"/>
      <c r="J306" s="126" t="s">
        <v>1</v>
      </c>
      <c r="K306" s="133"/>
      <c r="L306" s="130">
        <v>288.76974000000001</v>
      </c>
      <c r="M306" s="127">
        <v>1171.7503400000001</v>
      </c>
      <c r="N306" s="127">
        <v>1625.1353100000001</v>
      </c>
      <c r="O306" s="127">
        <v>757</v>
      </c>
      <c r="P306" s="127">
        <v>493</v>
      </c>
      <c r="R306" s="126" t="s">
        <v>1</v>
      </c>
      <c r="S306" s="133"/>
      <c r="T306" s="86">
        <v>125.83707</v>
      </c>
      <c r="U306" s="48">
        <v>250.36281</v>
      </c>
      <c r="V306" s="48">
        <v>631.63471000000004</v>
      </c>
      <c r="W306" s="127">
        <v>586</v>
      </c>
      <c r="X306" s="127">
        <v>380</v>
      </c>
      <c r="Z306" s="126" t="s">
        <v>1</v>
      </c>
      <c r="AA306" s="133"/>
      <c r="AB306" s="86">
        <v>269.20307999999932</v>
      </c>
      <c r="AC306" s="48">
        <v>743.68088</v>
      </c>
      <c r="AD306" s="48">
        <v>1126.85078</v>
      </c>
      <c r="AE306" s="127">
        <v>643</v>
      </c>
      <c r="AF306" s="127">
        <v>345</v>
      </c>
      <c r="AH306" s="126" t="s">
        <v>1</v>
      </c>
      <c r="AI306" s="133"/>
      <c r="AJ306" s="86">
        <v>359.90359999999998</v>
      </c>
      <c r="AK306" s="48">
        <v>807.20411999999999</v>
      </c>
      <c r="AL306" s="48">
        <v>1018.304</v>
      </c>
      <c r="AM306" s="127">
        <v>977</v>
      </c>
      <c r="AN306" s="127">
        <v>613</v>
      </c>
      <c r="AP306" s="126" t="s">
        <v>1</v>
      </c>
      <c r="AQ306" s="133"/>
      <c r="AR306" s="86">
        <v>452.92367000000002</v>
      </c>
      <c r="AS306" s="48">
        <v>833.04417000000001</v>
      </c>
      <c r="AT306" s="48">
        <v>863.19536999999991</v>
      </c>
      <c r="AU306" s="127">
        <v>775</v>
      </c>
      <c r="AV306" s="127"/>
      <c r="AX306" s="126" t="s">
        <v>1</v>
      </c>
      <c r="AY306" s="133"/>
      <c r="AZ306" s="133">
        <v>240.29099000000002</v>
      </c>
      <c r="BA306" s="86">
        <v>374.70234999999997</v>
      </c>
      <c r="BB306" s="48">
        <v>261.94439999999997</v>
      </c>
      <c r="BC306" s="48">
        <v>139.22471999999999</v>
      </c>
      <c r="BD306" s="127"/>
      <c r="BE306" s="127"/>
      <c r="BF306" s="126" t="s">
        <v>1</v>
      </c>
      <c r="BG306" s="133"/>
      <c r="BH306" s="86">
        <v>274.0711</v>
      </c>
      <c r="BI306" s="86">
        <v>609.95014000000003</v>
      </c>
      <c r="BJ306" s="48">
        <v>778.798</v>
      </c>
      <c r="BK306" s="48"/>
      <c r="BL306" s="127"/>
      <c r="BM306" s="127"/>
      <c r="BN306" s="126" t="s">
        <v>1</v>
      </c>
      <c r="BO306" s="133"/>
      <c r="BP306" s="48">
        <v>292.18272000000002</v>
      </c>
      <c r="BQ306" s="48">
        <v>770.221</v>
      </c>
      <c r="BR306" s="48">
        <v>985.60477000000003</v>
      </c>
      <c r="BS306" s="127">
        <v>536.81085000000007</v>
      </c>
      <c r="BT306" s="127">
        <v>162</v>
      </c>
      <c r="BV306" s="126" t="s">
        <v>1</v>
      </c>
      <c r="BW306" s="133"/>
      <c r="BX306" s="48">
        <v>507.41973999999999</v>
      </c>
      <c r="BY306" s="48">
        <v>676.46401000000003</v>
      </c>
      <c r="BZ306" s="48">
        <v>753.13664999999992</v>
      </c>
      <c r="CA306" s="127">
        <v>534.15</v>
      </c>
      <c r="CB306" s="127">
        <v>240</v>
      </c>
      <c r="CC306" s="127"/>
      <c r="CD306" s="126" t="s">
        <v>1</v>
      </c>
      <c r="CE306" s="133"/>
      <c r="CF306" s="127">
        <v>321.26087999999999</v>
      </c>
      <c r="CG306" s="127">
        <v>670.42711999999995</v>
      </c>
      <c r="CH306" s="127">
        <v>1068.03621</v>
      </c>
      <c r="CI306" s="127">
        <v>399.46983</v>
      </c>
      <c r="CJ306" s="127">
        <v>294</v>
      </c>
      <c r="CL306" s="126" t="s">
        <v>1</v>
      </c>
      <c r="CM306" s="133"/>
      <c r="CN306" s="48">
        <v>486.38411000000002</v>
      </c>
      <c r="CO306" s="48">
        <v>1369.02899</v>
      </c>
      <c r="CP306" s="48">
        <v>1938.37545</v>
      </c>
      <c r="CQ306" s="127">
        <v>677.47639000000004</v>
      </c>
      <c r="CR306" s="127">
        <v>348</v>
      </c>
      <c r="CT306" s="126" t="s">
        <v>1</v>
      </c>
      <c r="CU306" s="133"/>
      <c r="CV306" s="86">
        <v>529.16823999999997</v>
      </c>
      <c r="CW306" s="48"/>
      <c r="CX306" s="48"/>
      <c r="CY306" s="127"/>
      <c r="CZ306" s="127"/>
      <c r="DB306" s="126" t="s">
        <v>1</v>
      </c>
      <c r="DC306" s="133"/>
      <c r="DD306" s="86">
        <v>867.46994999999993</v>
      </c>
      <c r="DE306" s="48"/>
      <c r="DF306" s="48"/>
      <c r="DG306" s="127"/>
      <c r="DH306" s="127"/>
      <c r="DI306" s="127"/>
      <c r="DJ306" s="126" t="s">
        <v>1</v>
      </c>
      <c r="DK306" s="133"/>
      <c r="DL306" s="130">
        <v>323.35883999999999</v>
      </c>
      <c r="DM306" s="127"/>
      <c r="DN306" s="127"/>
      <c r="DO306" s="127"/>
      <c r="DP306" s="127"/>
      <c r="DR306" s="126" t="s">
        <v>1</v>
      </c>
      <c r="DS306" s="133"/>
      <c r="DT306" s="86">
        <v>304.74326000000002</v>
      </c>
      <c r="DU306" s="48"/>
      <c r="DV306" s="48"/>
      <c r="DW306" s="127"/>
      <c r="DX306" s="127"/>
      <c r="DZ306" s="126" t="s">
        <v>1</v>
      </c>
      <c r="EA306" s="133"/>
      <c r="EB306" s="86"/>
      <c r="EC306" s="48"/>
      <c r="ED306" s="48"/>
      <c r="EE306" s="127"/>
      <c r="EF306" s="127"/>
    </row>
    <row r="307" spans="1:136" s="126" customFormat="1" x14ac:dyDescent="0.2">
      <c r="A307" s="292"/>
      <c r="B307" s="126" t="s">
        <v>3</v>
      </c>
      <c r="C307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7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4297.1558800000003</v>
      </c>
      <c r="E307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8969.5920600000009</v>
      </c>
      <c r="F307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11219.01088</v>
      </c>
      <c r="G307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6543.66021</v>
      </c>
      <c r="H307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3716</v>
      </c>
      <c r="I307" s="127"/>
      <c r="J307" s="126" t="s">
        <v>3</v>
      </c>
      <c r="K307" s="133"/>
      <c r="L307" s="130">
        <v>355.84031999999996</v>
      </c>
      <c r="M307" s="127">
        <v>1249.1577100000002</v>
      </c>
      <c r="N307" s="127">
        <v>1686.88967</v>
      </c>
      <c r="O307" s="127">
        <v>827</v>
      </c>
      <c r="P307" s="127">
        <v>630</v>
      </c>
      <c r="R307" s="126" t="s">
        <v>3</v>
      </c>
      <c r="S307" s="133"/>
      <c r="T307" s="86">
        <v>146.94900000000001</v>
      </c>
      <c r="U307" s="48">
        <v>253.95979</v>
      </c>
      <c r="V307" s="48">
        <v>573.86276999999995</v>
      </c>
      <c r="W307" s="127">
        <v>541</v>
      </c>
      <c r="X307" s="127">
        <v>369</v>
      </c>
      <c r="Z307" s="126" t="s">
        <v>3</v>
      </c>
      <c r="AA307" s="133"/>
      <c r="AB307" s="86">
        <v>287.58449999999999</v>
      </c>
      <c r="AC307" s="48">
        <v>732.88667000000009</v>
      </c>
      <c r="AD307" s="48">
        <v>1032.49181</v>
      </c>
      <c r="AE307" s="127">
        <v>616</v>
      </c>
      <c r="AF307" s="127">
        <v>368</v>
      </c>
      <c r="AH307" s="126" t="s">
        <v>3</v>
      </c>
      <c r="AI307" s="133"/>
      <c r="AJ307" s="86">
        <v>336.54645999999997</v>
      </c>
      <c r="AK307" s="48">
        <v>786.39778999999999</v>
      </c>
      <c r="AL307" s="48">
        <v>1032.49181</v>
      </c>
      <c r="AM307" s="127">
        <v>1020</v>
      </c>
      <c r="AN307" s="127">
        <v>689</v>
      </c>
      <c r="AP307" s="126" t="s">
        <v>3</v>
      </c>
      <c r="AQ307" s="133"/>
      <c r="AR307" s="86">
        <v>506.68974000000003</v>
      </c>
      <c r="AS307" s="48">
        <v>940.71199999999999</v>
      </c>
      <c r="AT307" s="48">
        <v>936.21067000000005</v>
      </c>
      <c r="AU307" s="127">
        <v>727</v>
      </c>
      <c r="AV307" s="127"/>
      <c r="AX307" s="126" t="s">
        <v>3</v>
      </c>
      <c r="AY307" s="133"/>
      <c r="AZ307" s="133">
        <v>258.71767</v>
      </c>
      <c r="BA307" s="86">
        <v>342.49281999999999</v>
      </c>
      <c r="BB307" s="48">
        <v>394.01600000000002</v>
      </c>
      <c r="BC307" s="48">
        <v>349.67687000000001</v>
      </c>
      <c r="BD307" s="127"/>
      <c r="BE307" s="127"/>
      <c r="BF307" s="126" t="s">
        <v>3</v>
      </c>
      <c r="BG307" s="133"/>
      <c r="BH307" s="86">
        <v>355.90845999999999</v>
      </c>
      <c r="BI307" s="86">
        <v>732.39513999999997</v>
      </c>
      <c r="BJ307" s="48">
        <v>575.45399999999995</v>
      </c>
      <c r="BK307" s="48"/>
      <c r="BL307" s="127"/>
      <c r="BM307" s="127"/>
      <c r="BN307" s="126" t="s">
        <v>3</v>
      </c>
      <c r="BO307" s="133"/>
      <c r="BP307" s="48">
        <v>369.67743000000002</v>
      </c>
      <c r="BQ307" s="48">
        <v>825.08051999999998</v>
      </c>
      <c r="BR307" s="48">
        <v>927.70968999999991</v>
      </c>
      <c r="BS307" s="127">
        <v>524.13238999999999</v>
      </c>
      <c r="BT307" s="127">
        <v>285</v>
      </c>
      <c r="BV307" s="126" t="s">
        <v>3</v>
      </c>
      <c r="BW307" s="133"/>
      <c r="BX307" s="48">
        <v>630.11229000000003</v>
      </c>
      <c r="BY307" s="48">
        <v>812.06967000000009</v>
      </c>
      <c r="BZ307" s="48">
        <v>904.99601999999993</v>
      </c>
      <c r="CA307" s="127">
        <v>606.98027000000002</v>
      </c>
      <c r="CB307" s="127">
        <v>306</v>
      </c>
      <c r="CC307" s="127"/>
      <c r="CD307" s="126" t="s">
        <v>3</v>
      </c>
      <c r="CE307" s="133"/>
      <c r="CF307" s="127">
        <v>458.15371000000005</v>
      </c>
      <c r="CG307" s="127">
        <v>848.06321000000003</v>
      </c>
      <c r="CH307" s="127">
        <v>1119.13975</v>
      </c>
      <c r="CI307" s="127">
        <v>510.25171999999992</v>
      </c>
      <c r="CJ307" s="127">
        <v>537</v>
      </c>
      <c r="CL307" s="126" t="s">
        <v>3</v>
      </c>
      <c r="CM307" s="133"/>
      <c r="CN307" s="48">
        <v>590.97630000000004</v>
      </c>
      <c r="CO307" s="48">
        <v>1446.3767399999999</v>
      </c>
      <c r="CP307" s="48">
        <v>2035.7486899999999</v>
      </c>
      <c r="CQ307" s="127">
        <v>821.61896000000013</v>
      </c>
      <c r="CR307" s="127">
        <v>532</v>
      </c>
      <c r="CT307" s="126" t="s">
        <v>3</v>
      </c>
      <c r="CU307" s="133"/>
      <c r="CV307" s="86">
        <v>611.18914999999993</v>
      </c>
      <c r="CW307" s="48"/>
      <c r="CX307" s="48"/>
      <c r="CY307" s="127"/>
      <c r="CZ307" s="127"/>
      <c r="DB307" s="126" t="s">
        <v>3</v>
      </c>
      <c r="DC307" s="133"/>
      <c r="DD307" s="86">
        <v>916.24628000000007</v>
      </c>
      <c r="DE307" s="48"/>
      <c r="DF307" s="48"/>
      <c r="DG307" s="127"/>
      <c r="DH307" s="127"/>
      <c r="DI307" s="127"/>
      <c r="DJ307" s="126" t="s">
        <v>3</v>
      </c>
      <c r="DK307" s="133"/>
      <c r="DL307" s="130">
        <v>324.95830000000001</v>
      </c>
      <c r="DM307" s="127"/>
      <c r="DN307" s="127"/>
      <c r="DO307" s="127"/>
      <c r="DP307" s="127"/>
      <c r="DR307" s="126" t="s">
        <v>3</v>
      </c>
      <c r="DS307" s="133"/>
      <c r="DT307" s="86">
        <v>308.27773000000002</v>
      </c>
      <c r="DU307" s="48"/>
      <c r="DV307" s="48"/>
      <c r="DW307" s="127"/>
      <c r="DX307" s="127"/>
      <c r="DZ307" s="126" t="s">
        <v>3</v>
      </c>
      <c r="EA307" s="133"/>
      <c r="EB307" s="86">
        <v>831.77671999999995</v>
      </c>
      <c r="EC307" s="48"/>
      <c r="ED307" s="48"/>
      <c r="EE307" s="127"/>
      <c r="EF307" s="127"/>
    </row>
    <row r="308" spans="1:136" s="126" customFormat="1" x14ac:dyDescent="0.2">
      <c r="A308" s="292"/>
      <c r="B308" s="126" t="s">
        <v>71</v>
      </c>
      <c r="C308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8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3518.0959800000001</v>
      </c>
      <c r="E308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8504.6394499999988</v>
      </c>
      <c r="F308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10280.932919999999</v>
      </c>
      <c r="G308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5895.8447699999988</v>
      </c>
      <c r="H308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2572</v>
      </c>
      <c r="I308" s="127"/>
      <c r="J308" s="126" t="s">
        <v>71</v>
      </c>
      <c r="K308" s="133"/>
      <c r="L308" s="130">
        <v>285.84357999999997</v>
      </c>
      <c r="M308" s="127">
        <v>1264.3008800000002</v>
      </c>
      <c r="N308" s="127">
        <v>1691.91923</v>
      </c>
      <c r="O308" s="127">
        <v>815</v>
      </c>
      <c r="P308" s="127">
        <v>412</v>
      </c>
      <c r="R308" s="126" t="s">
        <v>71</v>
      </c>
      <c r="S308" s="133"/>
      <c r="T308" s="86">
        <v>106.50503999999999</v>
      </c>
      <c r="U308" s="48">
        <v>231.67424</v>
      </c>
      <c r="V308" s="48">
        <v>488.87601999999998</v>
      </c>
      <c r="W308" s="127">
        <v>464</v>
      </c>
      <c r="X308" s="127">
        <v>333</v>
      </c>
      <c r="Z308" s="126" t="s">
        <v>71</v>
      </c>
      <c r="AA308" s="133"/>
      <c r="AB308" s="86">
        <v>287.72989000000001</v>
      </c>
      <c r="AC308" s="48">
        <v>762.23200999999995</v>
      </c>
      <c r="AD308" s="48">
        <v>944.79463999999996</v>
      </c>
      <c r="AE308" s="127">
        <v>636</v>
      </c>
      <c r="AF308" s="127">
        <v>379</v>
      </c>
      <c r="AH308" s="126" t="s">
        <v>71</v>
      </c>
      <c r="AI308" s="133"/>
      <c r="AJ308" s="86">
        <v>283.48892999999998</v>
      </c>
      <c r="AK308" s="48">
        <v>784.50843999999995</v>
      </c>
      <c r="AL308" s="48">
        <v>917.73404999999991</v>
      </c>
      <c r="AM308" s="127">
        <v>966</v>
      </c>
      <c r="AN308" s="127">
        <v>245</v>
      </c>
      <c r="AP308" s="126" t="s">
        <v>71</v>
      </c>
      <c r="AQ308" s="133"/>
      <c r="AR308" s="86">
        <v>399.90508999999997</v>
      </c>
      <c r="AS308" s="48">
        <v>933.78731000000005</v>
      </c>
      <c r="AT308" s="48">
        <v>920.26685999999995</v>
      </c>
      <c r="AU308" s="127">
        <v>572</v>
      </c>
      <c r="AV308" s="127"/>
      <c r="AX308" s="126" t="s">
        <v>71</v>
      </c>
      <c r="AY308" s="133"/>
      <c r="AZ308" s="133">
        <v>217.81972999999999</v>
      </c>
      <c r="BA308" s="86">
        <v>323.67230000000001</v>
      </c>
      <c r="BB308" s="48">
        <v>278.09849000000003</v>
      </c>
      <c r="BC308" s="48">
        <v>228.44410999999999</v>
      </c>
      <c r="BD308" s="127"/>
      <c r="BE308" s="127"/>
      <c r="BF308" s="126" t="s">
        <v>71</v>
      </c>
      <c r="BG308" s="133"/>
      <c r="BH308" s="86">
        <v>256.25178</v>
      </c>
      <c r="BI308" s="86">
        <v>633.97791000000007</v>
      </c>
      <c r="BJ308" s="48">
        <v>379.411</v>
      </c>
      <c r="BK308" s="48"/>
      <c r="BL308" s="127"/>
      <c r="BM308" s="127"/>
      <c r="BN308" s="126" t="s">
        <v>71</v>
      </c>
      <c r="BO308" s="133"/>
      <c r="BP308" s="48">
        <v>353.85082</v>
      </c>
      <c r="BQ308" s="48">
        <v>805.18469999999991</v>
      </c>
      <c r="BR308" s="48">
        <v>891.00770999999997</v>
      </c>
      <c r="BS308" s="127">
        <v>502.76958000000002</v>
      </c>
      <c r="BT308" s="127">
        <v>287</v>
      </c>
      <c r="BV308" s="126" t="s">
        <v>71</v>
      </c>
      <c r="BW308" s="133"/>
      <c r="BX308" s="48">
        <v>506.89931000000001</v>
      </c>
      <c r="BY308" s="48">
        <v>646.17356999999993</v>
      </c>
      <c r="BZ308" s="48">
        <v>844.30419000000006</v>
      </c>
      <c r="CA308" s="127">
        <v>420.86144000000002</v>
      </c>
      <c r="CB308" s="127">
        <v>234</v>
      </c>
      <c r="CC308" s="127"/>
      <c r="CD308" s="126" t="s">
        <v>71</v>
      </c>
      <c r="CE308" s="133"/>
      <c r="CF308" s="127">
        <v>239.44981999999999</v>
      </c>
      <c r="CG308" s="127">
        <v>680.69506000000001</v>
      </c>
      <c r="CH308" s="127">
        <v>927.80642999999873</v>
      </c>
      <c r="CI308" s="127">
        <v>597.79185000000007</v>
      </c>
      <c r="CJ308" s="127">
        <v>388</v>
      </c>
      <c r="CL308" s="126" t="s">
        <v>71</v>
      </c>
      <c r="CM308" s="133"/>
      <c r="CN308" s="48">
        <v>580.35199</v>
      </c>
      <c r="CO308" s="48">
        <v>1438.4330299999999</v>
      </c>
      <c r="CP308" s="48">
        <v>1996.7143000000001</v>
      </c>
      <c r="CQ308" s="127">
        <v>692.97779000000003</v>
      </c>
      <c r="CR308" s="127">
        <v>294</v>
      </c>
      <c r="CT308" s="126" t="s">
        <v>71</v>
      </c>
      <c r="CU308" s="133"/>
      <c r="CV308" s="86">
        <v>576.86916000000008</v>
      </c>
      <c r="CW308" s="48"/>
      <c r="CX308" s="48"/>
      <c r="CY308" s="127"/>
      <c r="CZ308" s="127"/>
      <c r="DB308" s="126" t="s">
        <v>71</v>
      </c>
      <c r="DC308" s="133"/>
      <c r="DD308" s="86">
        <v>852.60682000000008</v>
      </c>
      <c r="DE308" s="48"/>
      <c r="DF308" s="48"/>
      <c r="DG308" s="127"/>
      <c r="DH308" s="127"/>
      <c r="DI308" s="127"/>
      <c r="DJ308" s="126" t="s">
        <v>71</v>
      </c>
      <c r="DK308" s="133"/>
      <c r="DL308" s="130">
        <v>324.48335999999995</v>
      </c>
      <c r="DM308" s="127"/>
      <c r="DN308" s="127"/>
      <c r="DO308" s="127"/>
      <c r="DP308" s="127"/>
      <c r="DR308" s="126" t="s">
        <v>71</v>
      </c>
      <c r="DS308" s="133"/>
      <c r="DT308" s="86">
        <v>307.85192999999998</v>
      </c>
      <c r="DU308" s="48"/>
      <c r="DV308" s="48"/>
      <c r="DW308" s="127"/>
      <c r="DX308" s="127"/>
      <c r="DZ308" s="126" t="s">
        <v>71</v>
      </c>
      <c r="EA308" s="133"/>
      <c r="EB308" s="86">
        <v>57.392400000000009</v>
      </c>
      <c r="EC308" s="48"/>
      <c r="ED308" s="48"/>
      <c r="EE308" s="127"/>
      <c r="EF308" s="127"/>
    </row>
    <row r="309" spans="1:136" s="126" customFormat="1" x14ac:dyDescent="0.2">
      <c r="A309" s="292"/>
      <c r="B309" s="126" t="s">
        <v>12</v>
      </c>
      <c r="C309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9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3734.4033429999999</v>
      </c>
      <c r="E309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7187.4640600000002</v>
      </c>
      <c r="F309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10440.367840000003</v>
      </c>
      <c r="G309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7315.2996899999998</v>
      </c>
      <c r="H309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2313</v>
      </c>
      <c r="I309" s="127"/>
      <c r="J309" s="126" t="s">
        <v>12</v>
      </c>
      <c r="K309" s="133"/>
      <c r="L309" s="128">
        <v>304.53622299999995</v>
      </c>
      <c r="M309" s="129">
        <v>860.94523000000004</v>
      </c>
      <c r="N309" s="129">
        <v>1735.76945</v>
      </c>
      <c r="O309" s="127">
        <v>905</v>
      </c>
      <c r="P309" s="127">
        <v>364</v>
      </c>
      <c r="R309" s="126" t="s">
        <v>12</v>
      </c>
      <c r="S309" s="133"/>
      <c r="T309" s="85">
        <v>121.25279999999999</v>
      </c>
      <c r="U309" s="87">
        <v>165.08715000000001</v>
      </c>
      <c r="V309" s="87">
        <v>513.35230999999999</v>
      </c>
      <c r="W309" s="127">
        <v>501</v>
      </c>
      <c r="X309" s="127">
        <v>303</v>
      </c>
      <c r="Z309" s="126" t="s">
        <v>12</v>
      </c>
      <c r="AA309" s="133"/>
      <c r="AB309" s="85">
        <v>305.34514999999999</v>
      </c>
      <c r="AC309" s="87">
        <v>657.97261000000003</v>
      </c>
      <c r="AD309" s="87">
        <v>1017.3204199999999</v>
      </c>
      <c r="AE309" s="127">
        <v>734</v>
      </c>
      <c r="AF309" s="127">
        <v>346</v>
      </c>
      <c r="AH309" s="126" t="s">
        <v>12</v>
      </c>
      <c r="AI309" s="133"/>
      <c r="AJ309" s="85">
        <v>271.27364</v>
      </c>
      <c r="AK309" s="87">
        <v>824.29419999999993</v>
      </c>
      <c r="AL309" s="87">
        <v>959.25067999999999</v>
      </c>
      <c r="AM309" s="127">
        <v>1079</v>
      </c>
      <c r="AN309" s="127">
        <v>296</v>
      </c>
      <c r="AP309" s="126" t="s">
        <v>12</v>
      </c>
      <c r="AQ309" s="133"/>
      <c r="AR309" s="85">
        <v>497.64530000000002</v>
      </c>
      <c r="AS309" s="87">
        <v>914.90099999999995</v>
      </c>
      <c r="AT309" s="87">
        <v>990.28841</v>
      </c>
      <c r="AU309" s="127">
        <v>1186</v>
      </c>
      <c r="AV309" s="127"/>
      <c r="AX309" s="126" t="s">
        <v>12</v>
      </c>
      <c r="AY309" s="133"/>
      <c r="AZ309" s="133">
        <v>226.48397</v>
      </c>
      <c r="BA309" s="85">
        <v>356.55743999999999</v>
      </c>
      <c r="BB309" s="87">
        <v>247.90257</v>
      </c>
      <c r="BC309" s="87">
        <v>311.29969</v>
      </c>
      <c r="BD309" s="127"/>
      <c r="BE309" s="127"/>
      <c r="BF309" s="126" t="s">
        <v>12</v>
      </c>
      <c r="BG309" s="133"/>
      <c r="BH309" s="85">
        <v>303.75915000000003</v>
      </c>
      <c r="BI309" s="85">
        <v>449.56158999999997</v>
      </c>
      <c r="BJ309" s="87">
        <v>482.87700000000001</v>
      </c>
      <c r="BK309" s="87"/>
      <c r="BL309" s="127"/>
      <c r="BM309" s="127"/>
      <c r="BN309" s="126" t="s">
        <v>12</v>
      </c>
      <c r="BO309" s="133"/>
      <c r="BP309" s="87">
        <v>377.43509999999998</v>
      </c>
      <c r="BQ309" s="87">
        <v>534.53514000000007</v>
      </c>
      <c r="BR309" s="87">
        <v>934.4314599999999</v>
      </c>
      <c r="BS309" s="127">
        <v>638</v>
      </c>
      <c r="BT309" s="127">
        <v>243</v>
      </c>
      <c r="BV309" s="126" t="s">
        <v>12</v>
      </c>
      <c r="BW309" s="133"/>
      <c r="BX309" s="87">
        <v>427.18948</v>
      </c>
      <c r="BY309" s="87">
        <v>678.15363000000002</v>
      </c>
      <c r="BZ309" s="87">
        <v>743.33978999999999</v>
      </c>
      <c r="CA309" s="127">
        <v>463</v>
      </c>
      <c r="CB309" s="127">
        <v>212</v>
      </c>
      <c r="CC309" s="127"/>
      <c r="CD309" s="126" t="s">
        <v>12</v>
      </c>
      <c r="CE309" s="133"/>
      <c r="CF309" s="129">
        <v>264.54667999999998</v>
      </c>
      <c r="CG309" s="129">
        <v>664.47381000000007</v>
      </c>
      <c r="CH309" s="129">
        <v>881.74081000000115</v>
      </c>
      <c r="CI309" s="127">
        <v>680</v>
      </c>
      <c r="CJ309" s="127">
        <v>353</v>
      </c>
      <c r="CL309" s="126" t="s">
        <v>12</v>
      </c>
      <c r="CM309" s="133"/>
      <c r="CN309" s="87">
        <v>634.93585000000007</v>
      </c>
      <c r="CO309" s="87">
        <v>1080.98226</v>
      </c>
      <c r="CP309" s="87">
        <v>1934.09494</v>
      </c>
      <c r="CQ309" s="127">
        <v>818</v>
      </c>
      <c r="CR309" s="127">
        <v>196</v>
      </c>
      <c r="CT309" s="126" t="s">
        <v>12</v>
      </c>
      <c r="CU309" s="133"/>
      <c r="CV309" s="85">
        <v>603.58873000000006</v>
      </c>
      <c r="CW309" s="87"/>
      <c r="CX309" s="87"/>
      <c r="CY309" s="127"/>
      <c r="CZ309" s="127"/>
      <c r="DB309" s="126" t="s">
        <v>12</v>
      </c>
      <c r="DC309" s="133"/>
      <c r="DD309" s="85">
        <v>896.91777000000002</v>
      </c>
      <c r="DE309" s="87"/>
      <c r="DF309" s="87"/>
      <c r="DG309" s="127"/>
      <c r="DH309" s="127"/>
      <c r="DI309" s="127"/>
      <c r="DJ309" s="126" t="s">
        <v>12</v>
      </c>
      <c r="DK309" s="133"/>
      <c r="DL309" s="128">
        <v>282.28846999999996</v>
      </c>
      <c r="DM309" s="129"/>
      <c r="DN309" s="129"/>
      <c r="DO309" s="127"/>
      <c r="DP309" s="127"/>
      <c r="DR309" s="126" t="s">
        <v>12</v>
      </c>
      <c r="DS309" s="133"/>
      <c r="DT309" s="85">
        <v>298.95258999999999</v>
      </c>
      <c r="DU309" s="87"/>
      <c r="DV309" s="87"/>
      <c r="DW309" s="127"/>
      <c r="DX309" s="127"/>
      <c r="DZ309" s="126" t="s">
        <v>12</v>
      </c>
      <c r="EA309" s="133"/>
      <c r="EB309" s="85">
        <v>75.90831</v>
      </c>
      <c r="EC309" s="87"/>
      <c r="ED309" s="87"/>
      <c r="EE309" s="127"/>
      <c r="EF309" s="127"/>
    </row>
    <row r="310" spans="1:136" s="126" customFormat="1" x14ac:dyDescent="0.2">
      <c r="A310" s="292"/>
      <c r="B310" s="126" t="s">
        <v>13</v>
      </c>
      <c r="C310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0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4002.72676</v>
      </c>
      <c r="E310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7277.8846700000013</v>
      </c>
      <c r="F310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9853.7439999999988</v>
      </c>
      <c r="G310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6270.4021300000004</v>
      </c>
      <c r="H310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1511.94697</v>
      </c>
      <c r="I310" s="127"/>
      <c r="J310" s="126" t="s">
        <v>13</v>
      </c>
      <c r="K310" s="133"/>
      <c r="L310" s="128">
        <v>354.19603999999998</v>
      </c>
      <c r="M310" s="129">
        <v>860.99795999999992</v>
      </c>
      <c r="N310" s="129">
        <v>1658.922</v>
      </c>
      <c r="O310" s="127">
        <v>802.99441000000002</v>
      </c>
      <c r="P310" s="127">
        <v>271.92593999999997</v>
      </c>
      <c r="R310" s="126" t="s">
        <v>13</v>
      </c>
      <c r="S310" s="133"/>
      <c r="T310" s="85">
        <v>96.725659999999991</v>
      </c>
      <c r="U310" s="87">
        <v>138.24355</v>
      </c>
      <c r="V310" s="87">
        <v>490.96800000000002</v>
      </c>
      <c r="W310" s="127">
        <v>368.10214999999999</v>
      </c>
      <c r="X310" s="127">
        <v>231.51462000000001</v>
      </c>
      <c r="Z310" s="126" t="s">
        <v>13</v>
      </c>
      <c r="AA310" s="133"/>
      <c r="AB310" s="85">
        <v>381.87310000000002</v>
      </c>
      <c r="AC310" s="87">
        <v>652.23410000000001</v>
      </c>
      <c r="AD310" s="87">
        <v>966.15700000000004</v>
      </c>
      <c r="AE310" s="127">
        <v>741.73960999999997</v>
      </c>
      <c r="AF310" s="127">
        <v>238.62563</v>
      </c>
      <c r="AH310" s="126" t="s">
        <v>13</v>
      </c>
      <c r="AI310" s="133"/>
      <c r="AJ310" s="85">
        <v>316.56866000000002</v>
      </c>
      <c r="AK310" s="87">
        <v>857.56389999999999</v>
      </c>
      <c r="AL310" s="87">
        <v>958.22299999999996</v>
      </c>
      <c r="AM310" s="127">
        <v>977.80112999999994</v>
      </c>
      <c r="AN310" s="127">
        <v>255.88077999999999</v>
      </c>
      <c r="AP310" s="126" t="s">
        <v>13</v>
      </c>
      <c r="AQ310" s="133"/>
      <c r="AR310" s="85">
        <v>559.47041999999999</v>
      </c>
      <c r="AS310" s="87">
        <v>920.13693000000001</v>
      </c>
      <c r="AT310" s="87">
        <v>973.34500000000003</v>
      </c>
      <c r="AU310" s="127">
        <v>847.50013999999999</v>
      </c>
      <c r="AV310" s="127"/>
      <c r="AX310" s="126" t="s">
        <v>13</v>
      </c>
      <c r="AY310" s="133"/>
      <c r="AZ310" s="133">
        <v>141.76748000000001</v>
      </c>
      <c r="BA310" s="85">
        <v>378.95600999999999</v>
      </c>
      <c r="BB310" s="87">
        <v>236.26300000000001</v>
      </c>
      <c r="BC310" s="87">
        <v>204.96119999999999</v>
      </c>
      <c r="BD310" s="127"/>
      <c r="BE310" s="127"/>
      <c r="BF310" s="126" t="s">
        <v>13</v>
      </c>
      <c r="BG310" s="133"/>
      <c r="BH310" s="85">
        <v>297.68572</v>
      </c>
      <c r="BI310" s="85">
        <v>475.50046000000003</v>
      </c>
      <c r="BJ310" s="87">
        <v>376.86599999999999</v>
      </c>
      <c r="BK310" s="87"/>
      <c r="BL310" s="127"/>
      <c r="BM310" s="127"/>
      <c r="BN310" s="126" t="s">
        <v>13</v>
      </c>
      <c r="BO310" s="133"/>
      <c r="BP310" s="87">
        <v>448.41640000000001</v>
      </c>
      <c r="BQ310" s="87">
        <v>536.90354000000002</v>
      </c>
      <c r="BR310" s="87">
        <v>728</v>
      </c>
      <c r="BS310" s="127">
        <v>615.74662000000001</v>
      </c>
      <c r="BT310" s="127">
        <v>74</v>
      </c>
      <c r="BV310" s="126" t="s">
        <v>13</v>
      </c>
      <c r="BW310" s="133"/>
      <c r="BX310" s="87">
        <v>443.39938999999998</v>
      </c>
      <c r="BY310" s="87">
        <v>676.12009</v>
      </c>
      <c r="BZ310" s="87">
        <v>713</v>
      </c>
      <c r="CA310" s="127">
        <v>334.642</v>
      </c>
      <c r="CB310" s="127">
        <v>134</v>
      </c>
      <c r="CC310" s="127"/>
      <c r="CD310" s="126" t="s">
        <v>13</v>
      </c>
      <c r="CE310" s="133"/>
      <c r="CF310" s="129">
        <v>244.89059000000003</v>
      </c>
      <c r="CG310" s="129">
        <v>629.75261</v>
      </c>
      <c r="CH310" s="129">
        <v>809</v>
      </c>
      <c r="CI310" s="127">
        <v>529.8356</v>
      </c>
      <c r="CJ310" s="127">
        <v>142</v>
      </c>
      <c r="CL310" s="126" t="s">
        <v>13</v>
      </c>
      <c r="CM310" s="133"/>
      <c r="CN310" s="87">
        <v>717.73329999999999</v>
      </c>
      <c r="CO310" s="87">
        <v>1151.47552</v>
      </c>
      <c r="CP310" s="87">
        <v>1943</v>
      </c>
      <c r="CQ310" s="127">
        <v>847.07926999999995</v>
      </c>
      <c r="CR310" s="127">
        <v>164</v>
      </c>
      <c r="CT310" s="126" t="s">
        <v>13</v>
      </c>
      <c r="CU310" s="133"/>
      <c r="CV310" s="85">
        <v>666.88571999999999</v>
      </c>
      <c r="CW310" s="87"/>
      <c r="CX310" s="87"/>
      <c r="CY310" s="127"/>
      <c r="CZ310" s="127"/>
      <c r="DB310" s="126" t="s">
        <v>13</v>
      </c>
      <c r="DC310" s="133"/>
      <c r="DD310" s="85">
        <v>978.09250000000009</v>
      </c>
      <c r="DE310" s="87"/>
      <c r="DF310" s="87"/>
      <c r="DG310" s="127"/>
      <c r="DH310" s="127"/>
      <c r="DI310" s="127"/>
      <c r="DJ310" s="126" t="s">
        <v>13</v>
      </c>
      <c r="DK310" s="133"/>
      <c r="DL310" s="128">
        <v>327.85120999999998</v>
      </c>
      <c r="DM310" s="129"/>
      <c r="DN310" s="129"/>
      <c r="DO310" s="127"/>
      <c r="DP310" s="127"/>
      <c r="DR310" s="126" t="s">
        <v>13</v>
      </c>
      <c r="DS310" s="133"/>
      <c r="DT310" s="85">
        <v>337.04998999999998</v>
      </c>
      <c r="DU310" s="87"/>
      <c r="DV310" s="87"/>
      <c r="DW310" s="127"/>
      <c r="DX310" s="127"/>
      <c r="DZ310" s="126" t="s">
        <v>13</v>
      </c>
      <c r="EA310" s="133"/>
      <c r="EB310" s="85">
        <v>104.37132</v>
      </c>
      <c r="EC310" s="87"/>
      <c r="ED310" s="87"/>
      <c r="EE310" s="127"/>
      <c r="EF310" s="127"/>
    </row>
    <row r="311" spans="1:136" s="126" customFormat="1" x14ac:dyDescent="0.2">
      <c r="A311" s="292"/>
      <c r="B311" s="126" t="s">
        <v>15</v>
      </c>
      <c r="C311" s="133" t="str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1" s="260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>3558.3122199999998</v>
      </c>
      <c r="E311" s="260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>6916.2364099999995</v>
      </c>
      <c r="F311" s="260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>7636.7739999999994</v>
      </c>
      <c r="G311" s="260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>7736.9269999999997</v>
      </c>
      <c r="H311" s="260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>1157.7818400000001</v>
      </c>
      <c r="I311" s="127"/>
      <c r="J311" s="126" t="s">
        <v>15</v>
      </c>
      <c r="K311" s="133"/>
      <c r="L311" s="128">
        <v>260.85359</v>
      </c>
      <c r="M311" s="129">
        <v>758.89460999999994</v>
      </c>
      <c r="N311" s="129">
        <v>1204.925</v>
      </c>
      <c r="O311" s="127">
        <v>1462</v>
      </c>
      <c r="P311" s="127">
        <v>167.46856</v>
      </c>
      <c r="R311" s="126" t="s">
        <v>15</v>
      </c>
      <c r="S311" s="133"/>
      <c r="T311" s="85">
        <v>70.091000000000008</v>
      </c>
      <c r="U311" s="87">
        <v>115.59205</v>
      </c>
      <c r="V311" s="87">
        <v>321.59199999999998</v>
      </c>
      <c r="W311" s="127">
        <v>429</v>
      </c>
      <c r="X311" s="127">
        <v>268.81484999999998</v>
      </c>
      <c r="Z311" s="126" t="s">
        <v>15</v>
      </c>
      <c r="AA311" s="133"/>
      <c r="AB311" s="85">
        <v>315.80176</v>
      </c>
      <c r="AC311" s="87">
        <v>631.24454000000003</v>
      </c>
      <c r="AD311" s="87">
        <v>776.02699999999993</v>
      </c>
      <c r="AE311" s="127">
        <v>744</v>
      </c>
      <c r="AF311" s="127">
        <v>132</v>
      </c>
      <c r="AH311" s="126" t="s">
        <v>15</v>
      </c>
      <c r="AI311" s="133"/>
      <c r="AJ311" s="85">
        <v>331.01371999999998</v>
      </c>
      <c r="AK311" s="87">
        <v>803.56593000000009</v>
      </c>
      <c r="AL311" s="87">
        <v>559.41300000000001</v>
      </c>
      <c r="AM311" s="127">
        <v>874</v>
      </c>
      <c r="AN311" s="127">
        <v>206.49842999999998</v>
      </c>
      <c r="AP311" s="126" t="s">
        <v>15</v>
      </c>
      <c r="AQ311" s="133"/>
      <c r="AR311" s="85">
        <v>428.34728999999999</v>
      </c>
      <c r="AS311" s="87">
        <v>991.40491000000009</v>
      </c>
      <c r="AT311" s="87">
        <v>780.85500000000002</v>
      </c>
      <c r="AU311" s="127">
        <v>1036</v>
      </c>
      <c r="AV311" s="127"/>
      <c r="AX311" s="126" t="s">
        <v>15</v>
      </c>
      <c r="AY311" s="133"/>
      <c r="AZ311" s="133">
        <v>110.35288</v>
      </c>
      <c r="BA311" s="85">
        <v>372.80599999999998</v>
      </c>
      <c r="BB311" s="87">
        <v>213.5</v>
      </c>
      <c r="BC311" s="87">
        <v>284</v>
      </c>
      <c r="BD311" s="127"/>
      <c r="BE311" s="127"/>
      <c r="BF311" s="126" t="s">
        <v>15</v>
      </c>
      <c r="BG311" s="133"/>
      <c r="BH311" s="85">
        <v>283.49400000000003</v>
      </c>
      <c r="BI311" s="85">
        <v>437.49682000000001</v>
      </c>
      <c r="BJ311" s="87">
        <v>403.46199999999999</v>
      </c>
      <c r="BK311" s="87"/>
      <c r="BL311" s="127"/>
      <c r="BM311" s="127"/>
      <c r="BN311" s="126" t="s">
        <v>15</v>
      </c>
      <c r="BO311" s="133"/>
      <c r="BP311" s="87">
        <v>422.92904999999996</v>
      </c>
      <c r="BQ311" s="87">
        <v>538.26023999999995</v>
      </c>
      <c r="BR311" s="87">
        <v>599</v>
      </c>
      <c r="BS311" s="127">
        <v>726.48099999999999</v>
      </c>
      <c r="BT311" s="127">
        <v>64</v>
      </c>
      <c r="BV311" s="126" t="s">
        <v>15</v>
      </c>
      <c r="BW311" s="133"/>
      <c r="BX311" s="87">
        <v>393.10101999999995</v>
      </c>
      <c r="BY311" s="87">
        <v>582.03387999999995</v>
      </c>
      <c r="BZ311" s="87">
        <v>403</v>
      </c>
      <c r="CA311" s="127">
        <v>555.11</v>
      </c>
      <c r="CB311" s="127">
        <v>97</v>
      </c>
      <c r="CC311" s="127"/>
      <c r="CD311" s="126" t="s">
        <v>15</v>
      </c>
      <c r="CE311" s="133"/>
      <c r="CF311" s="129">
        <v>306.65190000000001</v>
      </c>
      <c r="CG311" s="129">
        <v>743.08967999999993</v>
      </c>
      <c r="CH311" s="129">
        <v>530</v>
      </c>
      <c r="CI311" s="127">
        <v>827.33600000000001</v>
      </c>
      <c r="CJ311" s="127">
        <v>97</v>
      </c>
      <c r="CL311" s="126" t="s">
        <v>15</v>
      </c>
      <c r="CM311" s="133"/>
      <c r="CN311" s="87">
        <v>635.67600999999991</v>
      </c>
      <c r="CO311" s="87">
        <v>941.84775000000002</v>
      </c>
      <c r="CP311" s="87">
        <v>1845</v>
      </c>
      <c r="CQ311" s="127">
        <v>799</v>
      </c>
      <c r="CR311" s="127">
        <v>125</v>
      </c>
      <c r="CT311" s="126" t="s">
        <v>15</v>
      </c>
      <c r="CU311" s="133"/>
      <c r="CV311" s="85">
        <v>663.29226999999992</v>
      </c>
      <c r="CW311" s="87"/>
      <c r="CX311" s="87"/>
      <c r="CY311" s="127"/>
      <c r="CZ311" s="127"/>
      <c r="DB311" s="126" t="s">
        <v>15</v>
      </c>
      <c r="DC311" s="133"/>
      <c r="DD311" s="85">
        <v>1032.5164199999999</v>
      </c>
      <c r="DE311" s="87"/>
      <c r="DF311" s="87"/>
      <c r="DG311" s="127"/>
      <c r="DH311" s="127"/>
      <c r="DI311" s="127"/>
      <c r="DJ311" s="126" t="s">
        <v>15</v>
      </c>
      <c r="DK311" s="133"/>
      <c r="DL311" s="128">
        <v>336.31410999999997</v>
      </c>
      <c r="DM311" s="129"/>
      <c r="DN311" s="129"/>
      <c r="DO311" s="127"/>
      <c r="DP311" s="127"/>
      <c r="DR311" s="126" t="s">
        <v>15</v>
      </c>
      <c r="DS311" s="133"/>
      <c r="DT311" s="85">
        <v>328.61597</v>
      </c>
      <c r="DU311" s="87"/>
      <c r="DV311" s="87"/>
      <c r="DW311" s="127"/>
      <c r="DX311" s="127"/>
      <c r="DZ311" s="126" t="s">
        <v>15</v>
      </c>
      <c r="EA311" s="133"/>
      <c r="EB311" s="85">
        <v>108.814289</v>
      </c>
      <c r="EC311" s="87"/>
      <c r="ED311" s="87"/>
      <c r="EE311" s="127"/>
      <c r="EF311" s="127"/>
    </row>
    <row r="314" spans="1:136" x14ac:dyDescent="0.2">
      <c r="C314" s="76"/>
      <c r="D314" s="76"/>
      <c r="E314" s="76"/>
      <c r="F314" s="76"/>
      <c r="G314" s="76"/>
    </row>
    <row r="315" spans="1:136" x14ac:dyDescent="0.2">
      <c r="C315" s="76"/>
      <c r="D315" s="76"/>
      <c r="E315" s="76"/>
      <c r="F315" s="76"/>
      <c r="G315" s="76"/>
    </row>
  </sheetData>
  <mergeCells count="19">
    <mergeCell ref="A299:A311"/>
    <mergeCell ref="A187:A199"/>
    <mergeCell ref="A283:A295"/>
    <mergeCell ref="A91:A103"/>
    <mergeCell ref="A75:A87"/>
    <mergeCell ref="A171:A183"/>
    <mergeCell ref="A155:A167"/>
    <mergeCell ref="A139:A151"/>
    <mergeCell ref="A123:A135"/>
    <mergeCell ref="A219:A231"/>
    <mergeCell ref="A203:A215"/>
    <mergeCell ref="A267:A279"/>
    <mergeCell ref="A251:A263"/>
    <mergeCell ref="A11:A23"/>
    <mergeCell ref="A27:A39"/>
    <mergeCell ref="A107:A119"/>
    <mergeCell ref="A235:A247"/>
    <mergeCell ref="A59:A71"/>
    <mergeCell ref="A43:A55"/>
  </mergeCells>
  <phoneticPr fontId="77" type="noConversion"/>
  <pageMargins left="0.7" right="0.7" top="0.75" bottom="0.75" header="0.3" footer="0.3"/>
  <pageSetup paperSize="9" orientation="portrait" r:id="rId1"/>
  <drawing r:id="rId2"/>
  <tableParts count="32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AB4C-F53B-4935-A5B6-6EA8ACE4F157}">
  <sheetPr>
    <tabColor rgb="FFFFFF00"/>
    <pageSetUpPr fitToPage="1"/>
  </sheetPr>
  <dimension ref="A1:J83"/>
  <sheetViews>
    <sheetView workbookViewId="0">
      <selection activeCell="P10" sqref="P10"/>
    </sheetView>
  </sheetViews>
  <sheetFormatPr baseColWidth="10" defaultRowHeight="12.75" x14ac:dyDescent="0.2"/>
  <cols>
    <col min="1" max="1" width="3.85546875" bestFit="1" customWidth="1"/>
    <col min="2" max="2" width="17.140625" customWidth="1"/>
    <col min="3" max="8" width="13.140625" customWidth="1"/>
    <col min="9" max="9" width="28.140625" bestFit="1" customWidth="1"/>
    <col min="10" max="10" width="13.140625" customWidth="1"/>
  </cols>
  <sheetData>
    <row r="1" spans="1:10" s="6" customFormat="1" x14ac:dyDescent="0.2">
      <c r="A1" s="1"/>
      <c r="B1" s="74" t="s">
        <v>1420</v>
      </c>
      <c r="C1" s="44"/>
      <c r="D1" s="44"/>
      <c r="E1" s="44"/>
      <c r="F1" s="44"/>
      <c r="G1" s="44"/>
      <c r="H1" s="44"/>
      <c r="I1" s="44"/>
      <c r="J1" s="75" t="str">
        <f>CONCATENATE("P&amp;L ",RIGHT(DONNÉES!B5,LEN(DONNÉES!B5)-3))</f>
        <v>P&amp;L Janvier</v>
      </c>
    </row>
    <row r="2" spans="1:10" s="6" customFormat="1" x14ac:dyDescent="0.2">
      <c r="A2" s="1"/>
      <c r="B2" s="74"/>
      <c r="C2" s="44"/>
      <c r="D2" s="44"/>
      <c r="E2" s="44"/>
      <c r="F2" s="44"/>
      <c r="G2" s="44"/>
      <c r="H2" s="44"/>
      <c r="I2" s="44"/>
      <c r="J2" s="44"/>
    </row>
    <row r="3" spans="1:10" s="6" customFormat="1" ht="15.75" x14ac:dyDescent="0.25">
      <c r="A3" s="1"/>
      <c r="B3" s="300" t="s">
        <v>1421</v>
      </c>
      <c r="C3" s="301"/>
      <c r="D3" s="301"/>
      <c r="E3" s="301"/>
      <c r="F3" s="301"/>
      <c r="G3" s="301"/>
      <c r="H3" s="301"/>
      <c r="I3" s="301"/>
      <c r="J3" s="301"/>
    </row>
    <row r="4" spans="1:10" s="6" customFormat="1" ht="12.6" customHeight="1" thickBot="1" x14ac:dyDescent="0.25">
      <c r="A4" s="1"/>
      <c r="E4" s="21"/>
      <c r="F4" s="21"/>
      <c r="G4" s="21"/>
      <c r="H4" s="21"/>
      <c r="I4" s="20"/>
      <c r="J4" s="21"/>
    </row>
    <row r="5" spans="1:10" s="1" customFormat="1" ht="14.25" customHeight="1" x14ac:dyDescent="0.2">
      <c r="B5" s="293" t="s">
        <v>70</v>
      </c>
      <c r="C5" s="293" t="s">
        <v>1428</v>
      </c>
      <c r="D5" s="296"/>
      <c r="E5" s="296"/>
      <c r="F5" s="296"/>
      <c r="G5" s="296"/>
      <c r="H5" s="296"/>
      <c r="I5" s="296"/>
      <c r="J5" s="297"/>
    </row>
    <row r="6" spans="1:10" s="1" customFormat="1" ht="14.25" customHeight="1" thickBot="1" x14ac:dyDescent="0.25">
      <c r="B6" s="294"/>
      <c r="C6" s="294"/>
      <c r="D6" s="298"/>
      <c r="E6" s="298"/>
      <c r="F6" s="298"/>
      <c r="G6" s="298"/>
      <c r="H6" s="298"/>
      <c r="I6" s="298"/>
      <c r="J6" s="299"/>
    </row>
    <row r="7" spans="1:10" s="189" customFormat="1" ht="28.5" customHeight="1" thickBot="1" x14ac:dyDescent="0.25">
      <c r="B7" s="295"/>
      <c r="C7" s="190" t="s">
        <v>1422</v>
      </c>
      <c r="D7" s="191" t="s">
        <v>1423</v>
      </c>
      <c r="E7" s="192" t="s">
        <v>177</v>
      </c>
      <c r="F7" s="190" t="s">
        <v>1424</v>
      </c>
      <c r="G7" s="191" t="s">
        <v>1425</v>
      </c>
      <c r="H7" s="192" t="s">
        <v>177</v>
      </c>
      <c r="I7" s="193" t="s">
        <v>1417</v>
      </c>
      <c r="J7" s="192" t="s">
        <v>1426</v>
      </c>
    </row>
    <row r="8" spans="1:10" s="6" customFormat="1" ht="6.75" customHeight="1" x14ac:dyDescent="0.2">
      <c r="A8" s="1"/>
      <c r="B8" s="61"/>
      <c r="C8" s="19"/>
      <c r="D8" s="194"/>
      <c r="E8" s="195"/>
      <c r="F8" s="196"/>
      <c r="G8" s="197"/>
      <c r="H8" s="195"/>
      <c r="I8" s="9"/>
      <c r="J8" s="195"/>
    </row>
    <row r="9" spans="1:10" s="18" customFormat="1" ht="18.75" customHeight="1" x14ac:dyDescent="0.2">
      <c r="A9" s="1"/>
      <c r="B9" s="198">
        <v>44197</v>
      </c>
      <c r="C9" s="199">
        <v>5114</v>
      </c>
      <c r="D9" s="200">
        <v>5114</v>
      </c>
      <c r="E9" s="201">
        <f t="shared" ref="E9:E20" si="0">+C9-D9</f>
        <v>0</v>
      </c>
      <c r="F9" s="199">
        <v>5114</v>
      </c>
      <c r="G9" s="200">
        <v>5114</v>
      </c>
      <c r="H9" s="201">
        <f>+F9-G9</f>
        <v>0</v>
      </c>
      <c r="I9" s="202"/>
      <c r="J9" s="203"/>
    </row>
    <row r="10" spans="1:10" s="18" customFormat="1" ht="18.75" customHeight="1" x14ac:dyDescent="0.2">
      <c r="A10" s="1"/>
      <c r="B10" s="198">
        <v>44228</v>
      </c>
      <c r="C10" s="199">
        <v>17696</v>
      </c>
      <c r="D10" s="200">
        <v>17696</v>
      </c>
      <c r="E10" s="201">
        <f t="shared" si="0"/>
        <v>0</v>
      </c>
      <c r="F10" s="199">
        <v>18473</v>
      </c>
      <c r="G10" s="200">
        <v>18473</v>
      </c>
      <c r="H10" s="201">
        <f t="shared" ref="H10:H20" si="1">+F10-G10</f>
        <v>0</v>
      </c>
      <c r="I10" s="202"/>
      <c r="J10" s="203"/>
    </row>
    <row r="11" spans="1:10" s="18" customFormat="1" ht="18.75" customHeight="1" x14ac:dyDescent="0.2">
      <c r="A11" s="1"/>
      <c r="B11" s="198">
        <v>44256</v>
      </c>
      <c r="C11" s="199">
        <v>-2573</v>
      </c>
      <c r="D11" s="200">
        <v>-3243</v>
      </c>
      <c r="E11" s="201">
        <f t="shared" si="0"/>
        <v>670</v>
      </c>
      <c r="F11" s="199">
        <v>15900</v>
      </c>
      <c r="G11" s="200">
        <v>15230</v>
      </c>
      <c r="H11" s="201">
        <f t="shared" si="1"/>
        <v>670</v>
      </c>
      <c r="I11" s="202"/>
      <c r="J11" s="203"/>
    </row>
    <row r="12" spans="1:10" s="18" customFormat="1" ht="18.75" customHeight="1" x14ac:dyDescent="0.2">
      <c r="A12" s="1"/>
      <c r="B12" s="198">
        <v>44287</v>
      </c>
      <c r="C12" s="199">
        <v>5311</v>
      </c>
      <c r="D12" s="200">
        <v>4817.6899999999996</v>
      </c>
      <c r="E12" s="201">
        <f t="shared" si="0"/>
        <v>493.3100000000004</v>
      </c>
      <c r="F12" s="199">
        <v>20541</v>
      </c>
      <c r="G12" s="200">
        <v>20314.7</v>
      </c>
      <c r="H12" s="201">
        <f t="shared" si="1"/>
        <v>226.29999999999927</v>
      </c>
      <c r="I12" s="202"/>
      <c r="J12" s="203"/>
    </row>
    <row r="13" spans="1:10" s="18" customFormat="1" ht="18.75" customHeight="1" x14ac:dyDescent="0.2">
      <c r="A13" s="1"/>
      <c r="B13" s="198">
        <v>44317</v>
      </c>
      <c r="C13" s="199">
        <v>27723</v>
      </c>
      <c r="D13" s="200">
        <v>30011</v>
      </c>
      <c r="E13" s="201">
        <f t="shared" si="0"/>
        <v>-2288</v>
      </c>
      <c r="F13" s="199">
        <v>47833</v>
      </c>
      <c r="G13" s="200">
        <v>50340</v>
      </c>
      <c r="H13" s="201">
        <f t="shared" si="1"/>
        <v>-2507</v>
      </c>
      <c r="I13" s="202"/>
      <c r="J13" s="203"/>
    </row>
    <row r="14" spans="1:10" s="18" customFormat="1" ht="18.75" customHeight="1" x14ac:dyDescent="0.2">
      <c r="A14" s="1"/>
      <c r="B14" s="198">
        <v>44348</v>
      </c>
      <c r="C14" s="199">
        <v>27727</v>
      </c>
      <c r="D14" s="200">
        <v>27098.060000000049</v>
      </c>
      <c r="E14" s="201">
        <f t="shared" si="0"/>
        <v>628.9399999999514</v>
      </c>
      <c r="F14" s="199">
        <v>77847</v>
      </c>
      <c r="G14" s="200">
        <v>77437.990000001038</v>
      </c>
      <c r="H14" s="201">
        <f t="shared" si="1"/>
        <v>409.00999999896158</v>
      </c>
      <c r="I14" s="202"/>
      <c r="J14" s="203"/>
    </row>
    <row r="15" spans="1:10" s="18" customFormat="1" ht="18.75" customHeight="1" x14ac:dyDescent="0.2">
      <c r="A15" s="1"/>
      <c r="B15" s="198">
        <v>44378</v>
      </c>
      <c r="C15" s="199">
        <v>86399</v>
      </c>
      <c r="D15" s="200">
        <v>85891.41</v>
      </c>
      <c r="E15" s="201">
        <f t="shared" si="0"/>
        <v>507.58999999999651</v>
      </c>
      <c r="F15" s="199">
        <v>163947</v>
      </c>
      <c r="G15" s="200">
        <v>163329.4</v>
      </c>
      <c r="H15" s="201">
        <f t="shared" si="1"/>
        <v>617.60000000000582</v>
      </c>
      <c r="I15" s="202"/>
      <c r="J15" s="203"/>
    </row>
    <row r="16" spans="1:10" s="18" customFormat="1" ht="18.75" customHeight="1" x14ac:dyDescent="0.2">
      <c r="A16" s="1"/>
      <c r="B16" s="198">
        <v>44409</v>
      </c>
      <c r="C16" s="199">
        <v>132004</v>
      </c>
      <c r="D16" s="200">
        <v>129407.53</v>
      </c>
      <c r="E16" s="201">
        <f t="shared" si="0"/>
        <v>2596.4700000000012</v>
      </c>
      <c r="F16" s="199">
        <v>295333</v>
      </c>
      <c r="G16" s="200">
        <v>292736.93</v>
      </c>
      <c r="H16" s="201">
        <f t="shared" si="1"/>
        <v>2596.070000000007</v>
      </c>
      <c r="I16" s="202"/>
      <c r="J16" s="203"/>
    </row>
    <row r="17" spans="1:10" s="18" customFormat="1" ht="18.75" customHeight="1" x14ac:dyDescent="0.2">
      <c r="A17" s="1"/>
      <c r="B17" s="198">
        <v>44440</v>
      </c>
      <c r="C17" s="199">
        <v>9604</v>
      </c>
      <c r="D17" s="200">
        <v>9547.6200000000008</v>
      </c>
      <c r="E17" s="201">
        <f t="shared" si="0"/>
        <v>56.3799999999992</v>
      </c>
      <c r="F17" s="199">
        <v>274025</v>
      </c>
      <c r="G17" s="200">
        <v>273939.42</v>
      </c>
      <c r="H17" s="201">
        <f t="shared" si="1"/>
        <v>85.580000000016298</v>
      </c>
      <c r="I17" s="202"/>
      <c r="J17" s="203"/>
    </row>
    <row r="18" spans="1:10" s="18" customFormat="1" ht="18.75" customHeight="1" x14ac:dyDescent="0.2">
      <c r="A18" s="1"/>
      <c r="B18" s="198">
        <v>44470</v>
      </c>
      <c r="C18" s="199">
        <v>19087</v>
      </c>
      <c r="D18" s="200">
        <v>18291.87000000001</v>
      </c>
      <c r="E18" s="201">
        <f t="shared" si="0"/>
        <v>795.1299999999901</v>
      </c>
      <c r="F18" s="199">
        <v>282827</v>
      </c>
      <c r="G18" s="200">
        <v>282031.90000000189</v>
      </c>
      <c r="H18" s="201">
        <f t="shared" si="1"/>
        <v>795.09999999811407</v>
      </c>
      <c r="I18" s="202"/>
      <c r="J18" s="203"/>
    </row>
    <row r="19" spans="1:10" s="18" customFormat="1" ht="18.75" customHeight="1" x14ac:dyDescent="0.2">
      <c r="A19" s="1"/>
      <c r="B19" s="198">
        <v>44501</v>
      </c>
      <c r="C19" s="199"/>
      <c r="D19" s="200"/>
      <c r="E19" s="201">
        <f t="shared" si="0"/>
        <v>0</v>
      </c>
      <c r="F19" s="199"/>
      <c r="G19" s="200"/>
      <c r="H19" s="201">
        <f t="shared" si="1"/>
        <v>0</v>
      </c>
      <c r="I19" s="202"/>
      <c r="J19" s="203"/>
    </row>
    <row r="20" spans="1:10" s="18" customFormat="1" ht="18.75" customHeight="1" x14ac:dyDescent="0.2">
      <c r="A20" s="1"/>
      <c r="B20" s="198">
        <v>44531</v>
      </c>
      <c r="C20" s="199"/>
      <c r="D20" s="200"/>
      <c r="E20" s="201">
        <f t="shared" si="0"/>
        <v>0</v>
      </c>
      <c r="F20" s="199"/>
      <c r="G20" s="200"/>
      <c r="H20" s="201">
        <f t="shared" si="1"/>
        <v>0</v>
      </c>
      <c r="I20" s="202"/>
      <c r="J20" s="203"/>
    </row>
    <row r="21" spans="1:10" s="18" customFormat="1" ht="6.75" customHeight="1" thickBot="1" x14ac:dyDescent="0.25">
      <c r="A21" s="1"/>
      <c r="B21" s="198"/>
      <c r="C21" s="199"/>
      <c r="D21" s="200"/>
      <c r="E21" s="201"/>
      <c r="F21" s="199"/>
      <c r="G21" s="200"/>
      <c r="H21" s="201"/>
      <c r="I21" s="204"/>
      <c r="J21" s="203"/>
    </row>
    <row r="22" spans="1:10" s="6" customFormat="1" ht="18.75" customHeight="1" thickBot="1" x14ac:dyDescent="0.25">
      <c r="A22" s="1"/>
      <c r="B22" s="205" t="s">
        <v>1427</v>
      </c>
      <c r="C22" s="206">
        <f>SUM(C9:C21)</f>
        <v>328092</v>
      </c>
      <c r="D22" s="207">
        <f>SUM(D9:D21)</f>
        <v>324632.18000000005</v>
      </c>
      <c r="E22" s="208">
        <f>SUM(E9:E21)</f>
        <v>3459.8199999999388</v>
      </c>
      <c r="F22" s="206"/>
      <c r="G22" s="207"/>
      <c r="H22" s="208">
        <f>SUM(H9:H21)</f>
        <v>2892.659999997104</v>
      </c>
      <c r="I22" s="209"/>
      <c r="J22" s="210"/>
    </row>
    <row r="23" spans="1:10" x14ac:dyDescent="0.2">
      <c r="A23" s="1"/>
    </row>
    <row r="24" spans="1:10" ht="13.5" thickBot="1" x14ac:dyDescent="0.25">
      <c r="A24" s="1"/>
    </row>
    <row r="25" spans="1:10" s="1" customFormat="1" ht="14.25" customHeight="1" x14ac:dyDescent="0.2">
      <c r="B25" s="293" t="s">
        <v>70</v>
      </c>
      <c r="C25" s="293" t="s">
        <v>294</v>
      </c>
      <c r="D25" s="296"/>
      <c r="E25" s="296"/>
      <c r="F25" s="296"/>
      <c r="G25" s="296"/>
      <c r="H25" s="296"/>
      <c r="I25" s="296"/>
      <c r="J25" s="297"/>
    </row>
    <row r="26" spans="1:10" s="1" customFormat="1" ht="14.25" customHeight="1" thickBot="1" x14ac:dyDescent="0.25">
      <c r="B26" s="294"/>
      <c r="C26" s="294"/>
      <c r="D26" s="298"/>
      <c r="E26" s="298"/>
      <c r="F26" s="298"/>
      <c r="G26" s="298"/>
      <c r="H26" s="298"/>
      <c r="I26" s="298"/>
      <c r="J26" s="299"/>
    </row>
    <row r="27" spans="1:10" s="189" customFormat="1" ht="28.5" customHeight="1" thickBot="1" x14ac:dyDescent="0.25">
      <c r="B27" s="295"/>
      <c r="C27" s="190" t="s">
        <v>1422</v>
      </c>
      <c r="D27" s="191" t="s">
        <v>1423</v>
      </c>
      <c r="E27" s="192" t="s">
        <v>177</v>
      </c>
      <c r="F27" s="190" t="s">
        <v>1424</v>
      </c>
      <c r="G27" s="191" t="s">
        <v>1425</v>
      </c>
      <c r="H27" s="192" t="s">
        <v>177</v>
      </c>
      <c r="I27" s="193" t="s">
        <v>1417</v>
      </c>
      <c r="J27" s="192" t="s">
        <v>1426</v>
      </c>
    </row>
    <row r="28" spans="1:10" s="6" customFormat="1" ht="6.75" customHeight="1" x14ac:dyDescent="0.2">
      <c r="A28" s="1"/>
      <c r="B28" s="61"/>
      <c r="C28" s="19"/>
      <c r="D28" s="194"/>
      <c r="E28" s="195"/>
      <c r="F28" s="196"/>
      <c r="G28" s="197"/>
      <c r="H28" s="195"/>
      <c r="I28" s="9"/>
      <c r="J28" s="195"/>
    </row>
    <row r="29" spans="1:10" s="18" customFormat="1" ht="18.75" customHeight="1" x14ac:dyDescent="0.2">
      <c r="A29" s="1"/>
      <c r="B29" s="198">
        <v>44197</v>
      </c>
      <c r="C29" s="199">
        <v>73888</v>
      </c>
      <c r="D29" s="200">
        <v>73888</v>
      </c>
      <c r="E29" s="201">
        <f t="shared" ref="E29:E40" si="2">+C29-D29</f>
        <v>0</v>
      </c>
      <c r="F29" s="199">
        <v>73888</v>
      </c>
      <c r="G29" s="200">
        <v>73888</v>
      </c>
      <c r="H29" s="201">
        <f>+F29-G29</f>
        <v>0</v>
      </c>
      <c r="I29" s="202"/>
      <c r="J29" s="203"/>
    </row>
    <row r="30" spans="1:10" s="18" customFormat="1" ht="18.75" customHeight="1" x14ac:dyDescent="0.2">
      <c r="A30" s="1"/>
      <c r="B30" s="198">
        <v>44228</v>
      </c>
      <c r="C30" s="199">
        <v>63944</v>
      </c>
      <c r="D30" s="200">
        <v>63944</v>
      </c>
      <c r="E30" s="201">
        <f t="shared" si="2"/>
        <v>0</v>
      </c>
      <c r="F30" s="199">
        <v>137805</v>
      </c>
      <c r="G30" s="200">
        <v>137805</v>
      </c>
      <c r="H30" s="201">
        <f t="shared" ref="H30:H40" si="3">+F30-G30</f>
        <v>0</v>
      </c>
      <c r="I30" s="202"/>
      <c r="J30" s="203"/>
    </row>
    <row r="31" spans="1:10" s="18" customFormat="1" ht="18.75" customHeight="1" x14ac:dyDescent="0.2">
      <c r="A31" s="1"/>
      <c r="B31" s="198">
        <v>44256</v>
      </c>
      <c r="C31" s="199">
        <v>59674</v>
      </c>
      <c r="D31" s="200">
        <v>59673.679999999949</v>
      </c>
      <c r="E31" s="201">
        <f t="shared" si="2"/>
        <v>0.32000000005064066</v>
      </c>
      <c r="F31" s="199">
        <v>197479</v>
      </c>
      <c r="G31" s="200">
        <v>197479.02000000101</v>
      </c>
      <c r="H31" s="201">
        <f t="shared" si="3"/>
        <v>-2.0000001008156687E-2</v>
      </c>
      <c r="I31" s="202"/>
      <c r="J31" s="203"/>
    </row>
    <row r="32" spans="1:10" s="18" customFormat="1" ht="18.75" customHeight="1" x14ac:dyDescent="0.2">
      <c r="A32" s="1"/>
      <c r="B32" s="198">
        <v>44287</v>
      </c>
      <c r="C32" s="199">
        <v>78758</v>
      </c>
      <c r="D32" s="200">
        <v>78355.87</v>
      </c>
      <c r="E32" s="201">
        <f t="shared" si="2"/>
        <v>402.13000000000466</v>
      </c>
      <c r="F32" s="199">
        <v>276237</v>
      </c>
      <c r="G32" s="200">
        <v>274721.02</v>
      </c>
      <c r="H32" s="201">
        <f t="shared" si="3"/>
        <v>1515.9799999999814</v>
      </c>
      <c r="I32" s="202"/>
      <c r="J32" s="203"/>
    </row>
    <row r="33" spans="1:10" s="18" customFormat="1" ht="18.75" customHeight="1" x14ac:dyDescent="0.2">
      <c r="A33" s="1"/>
      <c r="B33" s="198">
        <v>44317</v>
      </c>
      <c r="C33" s="199">
        <v>64257</v>
      </c>
      <c r="D33" s="200">
        <v>63592.550000000017</v>
      </c>
      <c r="E33" s="201">
        <f t="shared" si="2"/>
        <v>664.44999999998254</v>
      </c>
      <c r="F33" s="199">
        <v>338962</v>
      </c>
      <c r="G33" s="200">
        <v>335840.05000000179</v>
      </c>
      <c r="H33" s="201">
        <f t="shared" si="3"/>
        <v>3121.9499999982072</v>
      </c>
      <c r="I33" s="202"/>
      <c r="J33" s="203"/>
    </row>
    <row r="34" spans="1:10" s="18" customFormat="1" ht="18.75" customHeight="1" x14ac:dyDescent="0.2">
      <c r="A34" s="1"/>
      <c r="B34" s="198">
        <v>44348</v>
      </c>
      <c r="C34" s="199">
        <v>70013</v>
      </c>
      <c r="D34" s="200">
        <v>68532.10999999971</v>
      </c>
      <c r="E34" s="201">
        <f t="shared" si="2"/>
        <v>1480.8900000002905</v>
      </c>
      <c r="F34" s="199">
        <v>405877</v>
      </c>
      <c r="G34" s="200">
        <v>404372.16000000131</v>
      </c>
      <c r="H34" s="201">
        <f t="shared" si="3"/>
        <v>1504.8399999986868</v>
      </c>
      <c r="I34" s="202"/>
      <c r="J34" s="203"/>
    </row>
    <row r="35" spans="1:10" s="18" customFormat="1" ht="18.75" customHeight="1" x14ac:dyDescent="0.2">
      <c r="A35" s="1"/>
      <c r="B35" s="198">
        <v>44378</v>
      </c>
      <c r="C35" s="199">
        <v>105205</v>
      </c>
      <c r="D35" s="200">
        <v>98149.54</v>
      </c>
      <c r="E35" s="201">
        <f t="shared" si="2"/>
        <v>7055.4600000000064</v>
      </c>
      <c r="F35" s="199">
        <v>509577</v>
      </c>
      <c r="G35" s="200">
        <v>502521.7</v>
      </c>
      <c r="H35" s="201">
        <f t="shared" si="3"/>
        <v>7055.2999999999884</v>
      </c>
      <c r="I35" s="202"/>
      <c r="J35" s="203"/>
    </row>
    <row r="36" spans="1:10" s="18" customFormat="1" ht="18.75" customHeight="1" x14ac:dyDescent="0.2">
      <c r="A36" s="1"/>
      <c r="B36" s="198">
        <v>44409</v>
      </c>
      <c r="C36" s="199">
        <v>103501</v>
      </c>
      <c r="D36" s="200">
        <v>533119.25</v>
      </c>
      <c r="E36" s="201">
        <f t="shared" si="2"/>
        <v>-429618.25</v>
      </c>
      <c r="F36" s="199">
        <v>606341</v>
      </c>
      <c r="G36" s="200">
        <v>1035640.95</v>
      </c>
      <c r="H36" s="201">
        <f t="shared" si="3"/>
        <v>-429299.94999999995</v>
      </c>
      <c r="I36" s="202"/>
      <c r="J36" s="203"/>
    </row>
    <row r="37" spans="1:10" s="18" customFormat="1" ht="18.75" customHeight="1" x14ac:dyDescent="0.2">
      <c r="A37" s="1"/>
      <c r="B37" s="198">
        <v>44440</v>
      </c>
      <c r="C37" s="199">
        <v>44575</v>
      </c>
      <c r="D37" s="200">
        <v>44508.42</v>
      </c>
      <c r="E37" s="201">
        <f t="shared" si="2"/>
        <v>66.580000000001746</v>
      </c>
      <c r="F37" s="199">
        <v>748964</v>
      </c>
      <c r="G37" s="200">
        <v>748898.15</v>
      </c>
      <c r="H37" s="201">
        <f t="shared" si="3"/>
        <v>65.849999999976717</v>
      </c>
      <c r="I37" s="202"/>
      <c r="J37" s="203"/>
    </row>
    <row r="38" spans="1:10" s="18" customFormat="1" ht="18.75" customHeight="1" x14ac:dyDescent="0.2">
      <c r="A38" s="1"/>
      <c r="B38" s="198">
        <v>44470</v>
      </c>
      <c r="C38" s="199">
        <v>-15084</v>
      </c>
      <c r="D38" s="200">
        <v>-15657.110000000132</v>
      </c>
      <c r="E38" s="201">
        <f t="shared" si="2"/>
        <v>573.11000000013155</v>
      </c>
      <c r="F38" s="199">
        <v>733684.5</v>
      </c>
      <c r="G38" s="200">
        <v>733241.04000000621</v>
      </c>
      <c r="H38" s="201">
        <f t="shared" si="3"/>
        <v>443.45999999379274</v>
      </c>
      <c r="I38" s="202"/>
      <c r="J38" s="203"/>
    </row>
    <row r="39" spans="1:10" s="18" customFormat="1" ht="18.75" customHeight="1" x14ac:dyDescent="0.2">
      <c r="A39" s="1"/>
      <c r="B39" s="198">
        <v>44501</v>
      </c>
      <c r="C39" s="199"/>
      <c r="D39" s="200"/>
      <c r="E39" s="201">
        <f t="shared" si="2"/>
        <v>0</v>
      </c>
      <c r="F39" s="199"/>
      <c r="G39" s="200"/>
      <c r="H39" s="201">
        <f t="shared" si="3"/>
        <v>0</v>
      </c>
      <c r="I39" s="202"/>
      <c r="J39" s="203"/>
    </row>
    <row r="40" spans="1:10" s="18" customFormat="1" ht="18.75" customHeight="1" x14ac:dyDescent="0.2">
      <c r="A40" s="1"/>
      <c r="B40" s="198">
        <v>44531</v>
      </c>
      <c r="C40" s="199"/>
      <c r="D40" s="200"/>
      <c r="E40" s="201">
        <f t="shared" si="2"/>
        <v>0</v>
      </c>
      <c r="F40" s="199"/>
      <c r="G40" s="200"/>
      <c r="H40" s="201">
        <f t="shared" si="3"/>
        <v>0</v>
      </c>
      <c r="I40" s="202"/>
      <c r="J40" s="203"/>
    </row>
    <row r="41" spans="1:10" s="18" customFormat="1" ht="6.75" customHeight="1" thickBot="1" x14ac:dyDescent="0.25">
      <c r="A41" s="1"/>
      <c r="B41" s="198"/>
      <c r="C41" s="199"/>
      <c r="D41" s="200"/>
      <c r="E41" s="201"/>
      <c r="F41" s="199"/>
      <c r="G41" s="200"/>
      <c r="H41" s="201"/>
      <c r="I41" s="204"/>
      <c r="J41" s="203"/>
    </row>
    <row r="42" spans="1:10" s="6" customFormat="1" ht="18.75" customHeight="1" thickBot="1" x14ac:dyDescent="0.25">
      <c r="A42" s="1"/>
      <c r="B42" s="205" t="s">
        <v>1427</v>
      </c>
      <c r="C42" s="206">
        <f>SUM(C29:C41)</f>
        <v>648731</v>
      </c>
      <c r="D42" s="207">
        <f>SUM(D29:D41)</f>
        <v>1068106.3099999996</v>
      </c>
      <c r="E42" s="208">
        <f>SUM(E29:E41)</f>
        <v>-419375.30999999947</v>
      </c>
      <c r="F42" s="206"/>
      <c r="G42" s="207"/>
      <c r="H42" s="208">
        <f>SUM(H29:H41)</f>
        <v>-415592.59000001033</v>
      </c>
      <c r="I42" s="209"/>
      <c r="J42" s="210"/>
    </row>
    <row r="44" spans="1:10" ht="13.5" thickBot="1" x14ac:dyDescent="0.25"/>
    <row r="45" spans="1:10" s="1" customFormat="1" ht="14.25" customHeight="1" x14ac:dyDescent="0.2">
      <c r="B45" s="293" t="s">
        <v>70</v>
      </c>
      <c r="C45" s="293" t="s">
        <v>296</v>
      </c>
      <c r="D45" s="296"/>
      <c r="E45" s="296"/>
      <c r="F45" s="296"/>
      <c r="G45" s="296"/>
      <c r="H45" s="296"/>
      <c r="I45" s="296"/>
      <c r="J45" s="297"/>
    </row>
    <row r="46" spans="1:10" s="1" customFormat="1" ht="14.25" customHeight="1" thickBot="1" x14ac:dyDescent="0.25">
      <c r="B46" s="294"/>
      <c r="C46" s="294"/>
      <c r="D46" s="298"/>
      <c r="E46" s="298"/>
      <c r="F46" s="298"/>
      <c r="G46" s="298"/>
      <c r="H46" s="298"/>
      <c r="I46" s="298"/>
      <c r="J46" s="299"/>
    </row>
    <row r="47" spans="1:10" s="189" customFormat="1" ht="28.5" customHeight="1" thickBot="1" x14ac:dyDescent="0.25">
      <c r="B47" s="295"/>
      <c r="C47" s="190" t="s">
        <v>1422</v>
      </c>
      <c r="D47" s="191" t="s">
        <v>1423</v>
      </c>
      <c r="E47" s="192" t="s">
        <v>177</v>
      </c>
      <c r="F47" s="190" t="s">
        <v>1424</v>
      </c>
      <c r="G47" s="191" t="s">
        <v>1425</v>
      </c>
      <c r="H47" s="192" t="s">
        <v>177</v>
      </c>
      <c r="I47" s="193" t="s">
        <v>1417</v>
      </c>
      <c r="J47" s="192" t="s">
        <v>1426</v>
      </c>
    </row>
    <row r="48" spans="1:10" s="6" customFormat="1" ht="6.75" customHeight="1" x14ac:dyDescent="0.2">
      <c r="A48" s="1"/>
      <c r="B48" s="61"/>
      <c r="C48" s="19"/>
      <c r="D48" s="194"/>
      <c r="E48" s="195"/>
      <c r="F48" s="196"/>
      <c r="G48" s="197"/>
      <c r="H48" s="195"/>
      <c r="I48" s="9"/>
      <c r="J48" s="195"/>
    </row>
    <row r="49" spans="1:10" s="18" customFormat="1" ht="18.75" customHeight="1" x14ac:dyDescent="0.2">
      <c r="A49" s="1"/>
      <c r="B49" s="198">
        <v>44197</v>
      </c>
      <c r="C49" s="199">
        <v>17546</v>
      </c>
      <c r="D49" s="200">
        <v>17435</v>
      </c>
      <c r="E49" s="201">
        <f t="shared" ref="E49:E60" si="4">+C49-D49</f>
        <v>111</v>
      </c>
      <c r="F49" s="199">
        <v>17546</v>
      </c>
      <c r="G49" s="200">
        <v>17435</v>
      </c>
      <c r="H49" s="201">
        <f>+F49-G49</f>
        <v>111</v>
      </c>
      <c r="I49" s="202"/>
      <c r="J49" s="203"/>
    </row>
    <row r="50" spans="1:10" s="18" customFormat="1" ht="18.75" customHeight="1" x14ac:dyDescent="0.2">
      <c r="A50" s="1"/>
      <c r="B50" s="198">
        <v>44228</v>
      </c>
      <c r="C50" s="199">
        <v>26364</v>
      </c>
      <c r="D50" s="200">
        <v>26253</v>
      </c>
      <c r="E50" s="201">
        <f t="shared" si="4"/>
        <v>111</v>
      </c>
      <c r="F50" s="199">
        <v>60054</v>
      </c>
      <c r="G50" s="200">
        <v>59831</v>
      </c>
      <c r="H50" s="201">
        <f t="shared" ref="H50:H60" si="5">+F50-G50</f>
        <v>223</v>
      </c>
      <c r="I50" s="202"/>
      <c r="J50" s="203"/>
    </row>
    <row r="51" spans="1:10" s="18" customFormat="1" ht="26.25" customHeight="1" x14ac:dyDescent="0.2">
      <c r="A51" s="1"/>
      <c r="B51" s="198">
        <v>44256</v>
      </c>
      <c r="C51" s="199">
        <v>5900</v>
      </c>
      <c r="D51" s="200">
        <v>5788.8799999999628</v>
      </c>
      <c r="E51" s="201">
        <f t="shared" si="4"/>
        <v>111.12000000003718</v>
      </c>
      <c r="F51" s="199">
        <v>65954</v>
      </c>
      <c r="G51" s="200">
        <v>65619.870000000112</v>
      </c>
      <c r="H51" s="201">
        <f t="shared" si="5"/>
        <v>334.12999999988824</v>
      </c>
      <c r="I51" s="202" t="s">
        <v>1576</v>
      </c>
      <c r="J51" s="203"/>
    </row>
    <row r="52" spans="1:10" s="18" customFormat="1" ht="18.75" customHeight="1" x14ac:dyDescent="0.2">
      <c r="A52" s="1"/>
      <c r="B52" s="198">
        <v>44287</v>
      </c>
      <c r="C52" s="199">
        <v>38000</v>
      </c>
      <c r="D52" s="200">
        <v>35822.83</v>
      </c>
      <c r="E52" s="201">
        <f t="shared" si="4"/>
        <v>2177.1699999999983</v>
      </c>
      <c r="F52" s="199">
        <v>102439</v>
      </c>
      <c r="G52" s="200">
        <v>99542.73</v>
      </c>
      <c r="H52" s="201">
        <f t="shared" si="5"/>
        <v>2896.2700000000041</v>
      </c>
      <c r="I52" s="202"/>
      <c r="J52" s="203"/>
    </row>
    <row r="53" spans="1:10" s="18" customFormat="1" ht="18.75" customHeight="1" x14ac:dyDescent="0.2">
      <c r="A53" s="1"/>
      <c r="B53" s="198">
        <v>44317</v>
      </c>
      <c r="C53" s="199">
        <v>24452</v>
      </c>
      <c r="D53" s="200">
        <v>2057.3699999999044</v>
      </c>
      <c r="E53" s="201">
        <f t="shared" si="4"/>
        <v>22394.630000000096</v>
      </c>
      <c r="F53" s="199">
        <v>125878</v>
      </c>
      <c r="G53" s="200">
        <v>101746.70000000112</v>
      </c>
      <c r="H53" s="201">
        <f t="shared" si="5"/>
        <v>24131.299999998882</v>
      </c>
      <c r="I53" s="202"/>
      <c r="J53" s="203"/>
    </row>
    <row r="54" spans="1:10" s="18" customFormat="1" ht="18.75" customHeight="1" x14ac:dyDescent="0.2">
      <c r="A54" s="1"/>
      <c r="B54" s="198">
        <v>44348</v>
      </c>
      <c r="C54" s="199">
        <v>36531</v>
      </c>
      <c r="D54" s="200">
        <v>36952.400000000096</v>
      </c>
      <c r="E54" s="201">
        <f t="shared" si="4"/>
        <v>-421.40000000009604</v>
      </c>
      <c r="F54" s="199">
        <v>138835</v>
      </c>
      <c r="G54" s="200">
        <v>138699.10000000114</v>
      </c>
      <c r="H54" s="201">
        <f t="shared" si="5"/>
        <v>135.89999999885913</v>
      </c>
      <c r="I54" s="202"/>
      <c r="J54" s="203"/>
    </row>
    <row r="55" spans="1:10" s="18" customFormat="1" ht="18.75" customHeight="1" x14ac:dyDescent="0.2">
      <c r="A55" s="1"/>
      <c r="B55" s="198">
        <v>44378</v>
      </c>
      <c r="C55" s="199">
        <v>71031</v>
      </c>
      <c r="D55" s="200">
        <v>70247.95</v>
      </c>
      <c r="E55" s="201">
        <f t="shared" si="4"/>
        <v>783.05000000000291</v>
      </c>
      <c r="F55" s="199">
        <v>209730</v>
      </c>
      <c r="G55" s="200">
        <v>208947.05</v>
      </c>
      <c r="H55" s="201">
        <f t="shared" si="5"/>
        <v>782.95000000001164</v>
      </c>
      <c r="I55" s="202"/>
      <c r="J55" s="203"/>
    </row>
    <row r="56" spans="1:10" s="18" customFormat="1" ht="18.75" customHeight="1" x14ac:dyDescent="0.2">
      <c r="A56" s="1"/>
      <c r="B56" s="198">
        <v>44409</v>
      </c>
      <c r="C56" s="199">
        <v>90478</v>
      </c>
      <c r="D56" s="200">
        <v>429444.72</v>
      </c>
      <c r="E56" s="201">
        <f t="shared" si="4"/>
        <v>-338966.72</v>
      </c>
      <c r="F56" s="199">
        <v>300452</v>
      </c>
      <c r="G56" s="200">
        <v>638391.77</v>
      </c>
      <c r="H56" s="201">
        <f t="shared" si="5"/>
        <v>-337939.77</v>
      </c>
      <c r="I56" s="202"/>
      <c r="J56" s="203"/>
    </row>
    <row r="57" spans="1:10" s="18" customFormat="1" ht="18.75" customHeight="1" x14ac:dyDescent="0.2">
      <c r="A57" s="1"/>
      <c r="B57" s="198">
        <v>44440</v>
      </c>
      <c r="C57" s="199">
        <v>10862</v>
      </c>
      <c r="D57" s="200">
        <v>11396.35</v>
      </c>
      <c r="E57" s="201">
        <f t="shared" si="4"/>
        <v>-534.35000000000036</v>
      </c>
      <c r="F57" s="199">
        <v>278362</v>
      </c>
      <c r="G57" s="200">
        <v>278911.75</v>
      </c>
      <c r="H57" s="201">
        <f t="shared" si="5"/>
        <v>-549.75</v>
      </c>
      <c r="I57" s="202"/>
      <c r="J57" s="203"/>
    </row>
    <row r="58" spans="1:10" s="18" customFormat="1" ht="18.75" customHeight="1" x14ac:dyDescent="0.2">
      <c r="A58" s="1"/>
      <c r="B58" s="198">
        <v>44470</v>
      </c>
      <c r="C58" s="199">
        <v>28715</v>
      </c>
      <c r="D58" s="200">
        <v>28731.609999999891</v>
      </c>
      <c r="E58" s="201">
        <f t="shared" si="4"/>
        <v>-16.609999999891443</v>
      </c>
      <c r="F58" s="199">
        <v>321265</v>
      </c>
      <c r="G58" s="200">
        <v>318312.67000000097</v>
      </c>
      <c r="H58" s="201">
        <f t="shared" si="5"/>
        <v>2952.3299999990268</v>
      </c>
      <c r="I58" s="202"/>
      <c r="J58" s="203"/>
    </row>
    <row r="59" spans="1:10" s="18" customFormat="1" ht="18.75" customHeight="1" x14ac:dyDescent="0.2">
      <c r="A59" s="1"/>
      <c r="B59" s="198">
        <v>44501</v>
      </c>
      <c r="C59" s="199"/>
      <c r="D59" s="200"/>
      <c r="E59" s="201">
        <f t="shared" si="4"/>
        <v>0</v>
      </c>
      <c r="F59" s="199"/>
      <c r="G59" s="200"/>
      <c r="H59" s="201">
        <f t="shared" si="5"/>
        <v>0</v>
      </c>
      <c r="I59" s="202"/>
      <c r="J59" s="203"/>
    </row>
    <row r="60" spans="1:10" s="18" customFormat="1" ht="18.75" customHeight="1" x14ac:dyDescent="0.2">
      <c r="A60" s="1"/>
      <c r="B60" s="198">
        <v>44531</v>
      </c>
      <c r="C60" s="199"/>
      <c r="D60" s="200"/>
      <c r="E60" s="201">
        <f t="shared" si="4"/>
        <v>0</v>
      </c>
      <c r="F60" s="199"/>
      <c r="G60" s="200"/>
      <c r="H60" s="201">
        <f t="shared" si="5"/>
        <v>0</v>
      </c>
      <c r="I60" s="202"/>
      <c r="J60" s="203"/>
    </row>
    <row r="61" spans="1:10" s="18" customFormat="1" ht="6.75" customHeight="1" thickBot="1" x14ac:dyDescent="0.25">
      <c r="A61" s="1"/>
      <c r="B61" s="198"/>
      <c r="C61" s="199"/>
      <c r="D61" s="200"/>
      <c r="E61" s="201"/>
      <c r="F61" s="199"/>
      <c r="G61" s="200"/>
      <c r="H61" s="201"/>
      <c r="I61" s="204"/>
      <c r="J61" s="203"/>
    </row>
    <row r="62" spans="1:10" s="6" customFormat="1" ht="18.75" customHeight="1" thickBot="1" x14ac:dyDescent="0.25">
      <c r="A62" s="1"/>
      <c r="B62" s="205" t="s">
        <v>1427</v>
      </c>
      <c r="C62" s="206">
        <f>SUM(C49:C61)</f>
        <v>349879</v>
      </c>
      <c r="D62" s="207">
        <f>SUM(D49:D61)</f>
        <v>664130.10999999975</v>
      </c>
      <c r="E62" s="208">
        <f>SUM(E49:E61)</f>
        <v>-314251.10999999975</v>
      </c>
      <c r="F62" s="206"/>
      <c r="G62" s="207"/>
      <c r="H62" s="208">
        <f>SUM(H49:H61)</f>
        <v>-306922.64000000333</v>
      </c>
      <c r="I62" s="209"/>
      <c r="J62" s="210"/>
    </row>
    <row r="65" spans="1:10" ht="13.5" thickBot="1" x14ac:dyDescent="0.25"/>
    <row r="66" spans="1:10" s="1" customFormat="1" ht="14.25" customHeight="1" x14ac:dyDescent="0.2">
      <c r="B66" s="293" t="s">
        <v>70</v>
      </c>
      <c r="C66" s="293" t="s">
        <v>297</v>
      </c>
      <c r="D66" s="296"/>
      <c r="E66" s="296"/>
      <c r="F66" s="296"/>
      <c r="G66" s="296"/>
      <c r="H66" s="296"/>
      <c r="I66" s="296"/>
      <c r="J66" s="297"/>
    </row>
    <row r="67" spans="1:10" s="1" customFormat="1" ht="14.25" customHeight="1" thickBot="1" x14ac:dyDescent="0.25">
      <c r="B67" s="294"/>
      <c r="C67" s="294"/>
      <c r="D67" s="298"/>
      <c r="E67" s="298"/>
      <c r="F67" s="298"/>
      <c r="G67" s="298"/>
      <c r="H67" s="298"/>
      <c r="I67" s="298"/>
      <c r="J67" s="299"/>
    </row>
    <row r="68" spans="1:10" s="189" customFormat="1" ht="28.5" customHeight="1" thickBot="1" x14ac:dyDescent="0.25">
      <c r="B68" s="295"/>
      <c r="C68" s="190" t="s">
        <v>1422</v>
      </c>
      <c r="D68" s="191" t="s">
        <v>1423</v>
      </c>
      <c r="E68" s="192" t="s">
        <v>177</v>
      </c>
      <c r="F68" s="190" t="s">
        <v>1424</v>
      </c>
      <c r="G68" s="191" t="s">
        <v>1425</v>
      </c>
      <c r="H68" s="192" t="s">
        <v>177</v>
      </c>
      <c r="I68" s="193" t="s">
        <v>1417</v>
      </c>
      <c r="J68" s="192" t="s">
        <v>1426</v>
      </c>
    </row>
    <row r="69" spans="1:10" s="6" customFormat="1" ht="6.75" customHeight="1" x14ac:dyDescent="0.2">
      <c r="A69" s="1"/>
      <c r="B69" s="61"/>
      <c r="C69" s="19"/>
      <c r="D69" s="194"/>
      <c r="E69" s="195"/>
      <c r="F69" s="196"/>
      <c r="G69" s="197"/>
      <c r="H69" s="195"/>
      <c r="I69" s="9"/>
      <c r="J69" s="195"/>
    </row>
    <row r="70" spans="1:10" s="18" customFormat="1" ht="18.75" customHeight="1" x14ac:dyDescent="0.2">
      <c r="A70" s="1"/>
      <c r="B70" s="198">
        <v>44197</v>
      </c>
      <c r="C70" s="199">
        <v>28132</v>
      </c>
      <c r="D70" s="200">
        <v>28006</v>
      </c>
      <c r="E70" s="201">
        <f t="shared" ref="E70:E81" si="6">+C70-D70</f>
        <v>126</v>
      </c>
      <c r="F70" s="199">
        <v>28132</v>
      </c>
      <c r="G70" s="200">
        <v>28006</v>
      </c>
      <c r="H70" s="201">
        <f>+F70-G70</f>
        <v>126</v>
      </c>
      <c r="I70" s="202"/>
      <c r="J70" s="203"/>
    </row>
    <row r="71" spans="1:10" s="18" customFormat="1" ht="27.75" customHeight="1" x14ac:dyDescent="0.2">
      <c r="A71" s="1"/>
      <c r="B71" s="198">
        <v>44228</v>
      </c>
      <c r="C71" s="199">
        <v>39228</v>
      </c>
      <c r="D71" s="200">
        <v>39101.83</v>
      </c>
      <c r="E71" s="201">
        <f t="shared" si="6"/>
        <v>126.16999999999825</v>
      </c>
      <c r="F71" s="199">
        <v>67319</v>
      </c>
      <c r="G71" s="200">
        <v>67067</v>
      </c>
      <c r="H71" s="201">
        <f t="shared" ref="H71:H81" si="7">+F71-G71</f>
        <v>252</v>
      </c>
      <c r="I71" s="202" t="s">
        <v>1576</v>
      </c>
      <c r="J71" s="203"/>
    </row>
    <row r="72" spans="1:10" s="18" customFormat="1" ht="18.75" customHeight="1" x14ac:dyDescent="0.2">
      <c r="A72" s="1"/>
      <c r="B72" s="198">
        <v>44256</v>
      </c>
      <c r="C72" s="199">
        <v>38023</v>
      </c>
      <c r="D72" s="200">
        <v>36005.250000000051</v>
      </c>
      <c r="E72" s="201">
        <f t="shared" si="6"/>
        <v>2017.7499999999491</v>
      </c>
      <c r="F72" s="199">
        <v>105342</v>
      </c>
      <c r="G72" s="200">
        <v>103072.51999999987</v>
      </c>
      <c r="H72" s="201">
        <f t="shared" si="7"/>
        <v>2269.4800000001269</v>
      </c>
      <c r="I72" s="202"/>
      <c r="J72" s="203"/>
    </row>
    <row r="73" spans="1:10" s="18" customFormat="1" ht="18.75" customHeight="1" x14ac:dyDescent="0.2">
      <c r="A73" s="1"/>
      <c r="B73" s="198">
        <v>44287</v>
      </c>
      <c r="C73" s="199">
        <v>36986</v>
      </c>
      <c r="D73" s="200">
        <v>36450.53</v>
      </c>
      <c r="E73" s="201">
        <f t="shared" si="6"/>
        <v>535.47000000000116</v>
      </c>
      <c r="F73" s="199">
        <v>127976</v>
      </c>
      <c r="G73" s="200">
        <v>125170.83</v>
      </c>
      <c r="H73" s="201">
        <f t="shared" si="7"/>
        <v>2805.1699999999983</v>
      </c>
      <c r="I73" s="202"/>
      <c r="J73" s="203"/>
    </row>
    <row r="74" spans="1:10" s="18" customFormat="1" ht="18.75" customHeight="1" x14ac:dyDescent="0.2">
      <c r="A74" s="1"/>
      <c r="B74" s="198">
        <v>44317</v>
      </c>
      <c r="C74" s="199">
        <v>39126</v>
      </c>
      <c r="D74" s="200">
        <v>24526.879999999961</v>
      </c>
      <c r="E74" s="201">
        <f t="shared" si="6"/>
        <v>14599.120000000039</v>
      </c>
      <c r="F74" s="199">
        <v>166692</v>
      </c>
      <c r="G74" s="200">
        <v>149713.35999999984</v>
      </c>
      <c r="H74" s="201">
        <f t="shared" si="7"/>
        <v>16978.640000000159</v>
      </c>
      <c r="I74" s="202"/>
      <c r="J74" s="203"/>
    </row>
    <row r="75" spans="1:10" s="18" customFormat="1" ht="18.75" customHeight="1" x14ac:dyDescent="0.2">
      <c r="A75" s="1"/>
      <c r="B75" s="198">
        <v>44348</v>
      </c>
      <c r="C75" s="199">
        <v>35045</v>
      </c>
      <c r="D75" s="200">
        <v>33764.429999999964</v>
      </c>
      <c r="E75" s="201">
        <f t="shared" si="6"/>
        <v>1280.5700000000361</v>
      </c>
      <c r="F75" s="199">
        <v>194750</v>
      </c>
      <c r="G75" s="200">
        <v>183477.79000000074</v>
      </c>
      <c r="H75" s="201">
        <f t="shared" si="7"/>
        <v>11272.209999999264</v>
      </c>
      <c r="I75" s="202"/>
      <c r="J75" s="203"/>
    </row>
    <row r="76" spans="1:10" s="18" customFormat="1" ht="18.75" customHeight="1" x14ac:dyDescent="0.2">
      <c r="A76" s="1"/>
      <c r="B76" s="198">
        <v>44378</v>
      </c>
      <c r="C76" s="199">
        <v>15646</v>
      </c>
      <c r="D76" s="200">
        <v>15245.46</v>
      </c>
      <c r="E76" s="201">
        <f t="shared" si="6"/>
        <v>400.54000000000087</v>
      </c>
      <c r="F76" s="199">
        <v>199124</v>
      </c>
      <c r="G76" s="200">
        <v>198723.25</v>
      </c>
      <c r="H76" s="201">
        <f t="shared" si="7"/>
        <v>400.75</v>
      </c>
      <c r="I76" s="202"/>
      <c r="J76" s="203"/>
    </row>
    <row r="77" spans="1:10" s="18" customFormat="1" ht="18.75" customHeight="1" x14ac:dyDescent="0.2">
      <c r="A77" s="1"/>
      <c r="B77" s="198">
        <v>44409</v>
      </c>
      <c r="C77" s="199">
        <v>16587</v>
      </c>
      <c r="D77" s="200">
        <v>262560.51</v>
      </c>
      <c r="E77" s="201">
        <f t="shared" si="6"/>
        <v>-245973.51</v>
      </c>
      <c r="F77" s="199">
        <v>215310</v>
      </c>
      <c r="G77" s="200">
        <v>461283.76</v>
      </c>
      <c r="H77" s="201">
        <f t="shared" si="7"/>
        <v>-245973.76000000001</v>
      </c>
      <c r="I77" s="202"/>
      <c r="J77" s="203"/>
    </row>
    <row r="78" spans="1:10" s="18" customFormat="1" ht="18.75" customHeight="1" x14ac:dyDescent="0.2">
      <c r="A78" s="1"/>
      <c r="B78" s="198">
        <v>44440</v>
      </c>
      <c r="C78" s="199">
        <v>-2317</v>
      </c>
      <c r="D78" s="200">
        <v>-2445.0500000000002</v>
      </c>
      <c r="E78" s="201">
        <f t="shared" si="6"/>
        <v>128.05000000000018</v>
      </c>
      <c r="F78" s="199">
        <v>207760</v>
      </c>
      <c r="G78" s="200">
        <v>207631.89</v>
      </c>
      <c r="H78" s="201">
        <f t="shared" si="7"/>
        <v>128.10999999998603</v>
      </c>
      <c r="I78" s="202"/>
      <c r="J78" s="203"/>
    </row>
    <row r="79" spans="1:10" s="18" customFormat="1" ht="18.75" customHeight="1" x14ac:dyDescent="0.2">
      <c r="A79" s="1"/>
      <c r="B79" s="198">
        <v>44470</v>
      </c>
      <c r="C79" s="199">
        <v>5429</v>
      </c>
      <c r="D79" s="200">
        <v>5448.1000000000349</v>
      </c>
      <c r="E79" s="201">
        <f t="shared" si="6"/>
        <v>-19.100000000034925</v>
      </c>
      <c r="F79" s="199">
        <v>210122</v>
      </c>
      <c r="G79" s="200">
        <v>210141.48000000039</v>
      </c>
      <c r="H79" s="201">
        <f t="shared" si="7"/>
        <v>-19.480000000388827</v>
      </c>
      <c r="I79" s="202"/>
      <c r="J79" s="203"/>
    </row>
    <row r="80" spans="1:10" s="18" customFormat="1" ht="18.75" customHeight="1" x14ac:dyDescent="0.2">
      <c r="A80" s="1"/>
      <c r="B80" s="198">
        <v>44501</v>
      </c>
      <c r="C80" s="199"/>
      <c r="D80" s="200"/>
      <c r="E80" s="201">
        <f t="shared" si="6"/>
        <v>0</v>
      </c>
      <c r="F80" s="199"/>
      <c r="G80" s="200"/>
      <c r="H80" s="201">
        <f t="shared" si="7"/>
        <v>0</v>
      </c>
      <c r="I80" s="202"/>
      <c r="J80" s="203"/>
    </row>
    <row r="81" spans="1:10" s="18" customFormat="1" ht="18.75" customHeight="1" x14ac:dyDescent="0.2">
      <c r="A81" s="1"/>
      <c r="B81" s="198">
        <v>44531</v>
      </c>
      <c r="C81" s="199"/>
      <c r="D81" s="200"/>
      <c r="E81" s="201">
        <f t="shared" si="6"/>
        <v>0</v>
      </c>
      <c r="F81" s="199"/>
      <c r="G81" s="200"/>
      <c r="H81" s="201">
        <f t="shared" si="7"/>
        <v>0</v>
      </c>
      <c r="I81" s="202"/>
      <c r="J81" s="203"/>
    </row>
    <row r="82" spans="1:10" s="18" customFormat="1" ht="6.75" customHeight="1" thickBot="1" x14ac:dyDescent="0.25">
      <c r="A82" s="1"/>
      <c r="B82" s="198"/>
      <c r="C82" s="199"/>
      <c r="D82" s="200"/>
      <c r="E82" s="201"/>
      <c r="F82" s="199"/>
      <c r="G82" s="200"/>
      <c r="H82" s="201"/>
      <c r="I82" s="204"/>
      <c r="J82" s="203"/>
    </row>
    <row r="83" spans="1:10" s="6" customFormat="1" ht="18.75" customHeight="1" thickBot="1" x14ac:dyDescent="0.25">
      <c r="A83" s="1"/>
      <c r="B83" s="205" t="s">
        <v>1427</v>
      </c>
      <c r="C83" s="206">
        <f>SUM(C70:C82)</f>
        <v>251885</v>
      </c>
      <c r="D83" s="207">
        <f>SUM(D70:D82)</f>
        <v>478663.94</v>
      </c>
      <c r="E83" s="208">
        <f>SUM(E70:E82)</f>
        <v>-226778.94000000003</v>
      </c>
      <c r="F83" s="206"/>
      <c r="G83" s="207"/>
      <c r="H83" s="208">
        <f>SUM(H70:H82)</f>
        <v>-211760.88000000088</v>
      </c>
      <c r="I83" s="209"/>
      <c r="J83" s="210"/>
    </row>
  </sheetData>
  <mergeCells count="9">
    <mergeCell ref="B66:B68"/>
    <mergeCell ref="C66:J67"/>
    <mergeCell ref="B3:J3"/>
    <mergeCell ref="B5:B7"/>
    <mergeCell ref="C5:J6"/>
    <mergeCell ref="B25:B27"/>
    <mergeCell ref="C25:J26"/>
    <mergeCell ref="B45:B47"/>
    <mergeCell ref="C45:J46"/>
  </mergeCells>
  <pageMargins left="0.23622047244094491" right="0.23622047244094491" top="0.74803149606299213" bottom="0.55118110236220474" header="0.31496062992125984" footer="0.31496062992125984"/>
  <pageSetup paperSize="9" scale="71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8">
    <tabColor theme="0"/>
    <pageSetUpPr fitToPage="1"/>
  </sheetPr>
  <dimension ref="A1:F59"/>
  <sheetViews>
    <sheetView showGridLines="0" view="pageBreakPreview" zoomScaleNormal="85" zoomScaleSheetLayoutView="100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7.42578125" style="136" customWidth="1"/>
    <col min="2" max="2" width="23.7109375" style="136" customWidth="1"/>
    <col min="3" max="4" width="24" style="136" customWidth="1"/>
    <col min="5" max="5" width="7.42578125" style="151" customWidth="1"/>
    <col min="6" max="16384" width="11.42578125" style="136"/>
  </cols>
  <sheetData>
    <row r="1" spans="1:6" ht="20.65" customHeight="1" x14ac:dyDescent="0.2">
      <c r="A1" s="302" t="s">
        <v>66</v>
      </c>
      <c r="B1" s="302"/>
      <c r="C1" s="302"/>
      <c r="D1" s="302"/>
      <c r="E1" s="302"/>
      <c r="F1" s="135"/>
    </row>
    <row r="2" spans="1:6" ht="30.75" customHeight="1" x14ac:dyDescent="0.2"/>
    <row r="3" spans="1:6" s="141" customFormat="1" ht="20.65" customHeight="1" x14ac:dyDescent="0.2">
      <c r="A3" s="152" t="s">
        <v>67</v>
      </c>
      <c r="B3" s="153" t="s">
        <v>104</v>
      </c>
      <c r="C3" s="153"/>
      <c r="D3" s="153"/>
      <c r="E3" s="154" t="s">
        <v>125</v>
      </c>
    </row>
    <row r="4" spans="1:6" ht="15" customHeight="1" x14ac:dyDescent="0.2"/>
    <row r="5" spans="1:6" s="140" customFormat="1" ht="15" x14ac:dyDescent="0.2">
      <c r="B5" s="145" t="str">
        <f>CONCATENATE("Comparaison mensuelle des P&amp;L réalisés en ",DONNÉES!D5," et ",DONNÉES!D6,".............................................................................................................................................")</f>
        <v>Comparaison mensuelle des P&amp;L réalisés en Janvier et Janvier 2024.............................................................................................................................................</v>
      </c>
      <c r="C5" s="145"/>
      <c r="D5" s="145"/>
      <c r="E5" s="142" t="s">
        <v>127</v>
      </c>
    </row>
    <row r="6" spans="1:6" s="140" customFormat="1" ht="18" customHeight="1" x14ac:dyDescent="0.2">
      <c r="B6" s="145"/>
      <c r="C6" s="145"/>
      <c r="D6" s="145"/>
      <c r="E6" s="142"/>
    </row>
    <row r="7" spans="1:6" s="140" customFormat="1" ht="15" x14ac:dyDescent="0.2">
      <c r="B7" s="145" t="str">
        <f>CONCATENATE("Comparaison annuelle des P&amp;L réalisés en ",DONNÉES!D5," et ",DONNÉES!D6,".............................................................................................................................................")</f>
        <v>Comparaison annuelle des P&amp;L réalisés en Janvier et Janvier 2024.............................................................................................................................................</v>
      </c>
      <c r="C7" s="145"/>
      <c r="D7" s="145"/>
      <c r="E7" s="142" t="s">
        <v>129</v>
      </c>
    </row>
    <row r="8" spans="1:6" s="140" customFormat="1" ht="18" customHeight="1" x14ac:dyDescent="0.2">
      <c r="B8" s="145"/>
      <c r="C8" s="145"/>
      <c r="D8" s="145"/>
      <c r="E8" s="142"/>
    </row>
    <row r="9" spans="1:6" s="140" customFormat="1" ht="15" x14ac:dyDescent="0.2">
      <c r="B9" s="146" t="str">
        <f>CONCATENATE("P&amp;L contributifs au ",DONNÉES!B5,"..............................................................................................................................................")</f>
        <v>P&amp;L contributifs au 31 Janvier..............................................................................................................................................</v>
      </c>
      <c r="C9" s="145"/>
      <c r="D9" s="145"/>
      <c r="E9" s="142" t="s">
        <v>12</v>
      </c>
    </row>
    <row r="10" spans="1:6" s="140" customFormat="1" ht="18" customHeight="1" x14ac:dyDescent="0.2">
      <c r="B10" s="145"/>
      <c r="C10" s="145"/>
      <c r="D10" s="145"/>
      <c r="E10" s="142"/>
    </row>
    <row r="11" spans="1:6" s="140" customFormat="1" ht="15" x14ac:dyDescent="0.2">
      <c r="B11" s="146" t="str">
        <f>CONCATENATE("P&amp;L contributifs au ",DONNÉES!B6,"..............................................................................................................................................")</f>
        <v>P&amp;L contributifs au 31 Janvier 2024..............................................................................................................................................</v>
      </c>
      <c r="C11" s="145"/>
      <c r="D11" s="145"/>
      <c r="E11" s="142" t="s">
        <v>15</v>
      </c>
    </row>
    <row r="12" spans="1:6" s="140" customFormat="1" ht="18" customHeight="1" x14ac:dyDescent="0.2">
      <c r="B12" s="145"/>
      <c r="C12" s="145"/>
      <c r="D12" s="145"/>
      <c r="E12" s="142"/>
    </row>
    <row r="13" spans="1:6" s="140" customFormat="1" ht="15" hidden="1" x14ac:dyDescent="0.2">
      <c r="B13" s="145" t="s">
        <v>201</v>
      </c>
      <c r="C13" s="145"/>
      <c r="D13" s="145"/>
      <c r="E13" s="142" t="s">
        <v>20</v>
      </c>
    </row>
    <row r="14" spans="1:6" s="140" customFormat="1" ht="18" hidden="1" customHeight="1" x14ac:dyDescent="0.2">
      <c r="B14" s="145"/>
      <c r="C14" s="145"/>
      <c r="D14" s="145"/>
      <c r="E14" s="142"/>
    </row>
    <row r="15" spans="1:6" s="140" customFormat="1" ht="15" hidden="1" x14ac:dyDescent="0.2">
      <c r="B15" s="145" t="s">
        <v>101</v>
      </c>
      <c r="C15" s="145"/>
      <c r="D15" s="145"/>
      <c r="E15" s="142" t="s">
        <v>23</v>
      </c>
    </row>
    <row r="16" spans="1:6" ht="48.6" customHeight="1" x14ac:dyDescent="0.2">
      <c r="B16" s="147"/>
      <c r="C16" s="147"/>
      <c r="D16" s="147"/>
      <c r="E16" s="148"/>
    </row>
    <row r="17" spans="1:5" s="141" customFormat="1" ht="20.65" customHeight="1" x14ac:dyDescent="0.2">
      <c r="A17" s="152" t="s">
        <v>69</v>
      </c>
      <c r="B17" s="153" t="s">
        <v>102</v>
      </c>
      <c r="C17" s="153"/>
      <c r="D17" s="153"/>
      <c r="E17" s="154"/>
    </row>
    <row r="18" spans="1:5" ht="23.65" customHeight="1" x14ac:dyDescent="0.2"/>
    <row r="19" spans="1:5" ht="22.15" customHeight="1" x14ac:dyDescent="0.2">
      <c r="A19" s="138"/>
      <c r="B19" s="143" t="s">
        <v>103</v>
      </c>
      <c r="C19" s="144" t="s">
        <v>139</v>
      </c>
      <c r="D19" s="144" t="s">
        <v>110</v>
      </c>
      <c r="E19" s="150"/>
    </row>
    <row r="20" spans="1:5" ht="22.15" customHeight="1" x14ac:dyDescent="0.2">
      <c r="A20" s="139"/>
      <c r="B20" s="143" t="s">
        <v>2999</v>
      </c>
      <c r="C20" s="142" t="s">
        <v>21</v>
      </c>
      <c r="D20" s="142" t="s">
        <v>6998</v>
      </c>
      <c r="E20" s="150"/>
    </row>
    <row r="21" spans="1:5" ht="22.15" customHeight="1" x14ac:dyDescent="0.2">
      <c r="B21" s="143" t="s">
        <v>3001</v>
      </c>
      <c r="C21" s="142" t="s">
        <v>25</v>
      </c>
      <c r="D21" s="142" t="s">
        <v>147</v>
      </c>
      <c r="E21" s="150"/>
    </row>
    <row r="22" spans="1:5" ht="22.15" customHeight="1" x14ac:dyDescent="0.2">
      <c r="B22" s="143" t="s">
        <v>210</v>
      </c>
      <c r="C22" s="142" t="s">
        <v>29</v>
      </c>
      <c r="D22" s="142" t="s">
        <v>6999</v>
      </c>
      <c r="E22" s="150"/>
    </row>
    <row r="23" spans="1:5" ht="22.15" customHeight="1" x14ac:dyDescent="0.2">
      <c r="B23" s="143" t="s">
        <v>3003</v>
      </c>
      <c r="C23" s="142" t="s">
        <v>32</v>
      </c>
      <c r="D23" s="142" t="s">
        <v>7000</v>
      </c>
      <c r="E23" s="150"/>
    </row>
    <row r="24" spans="1:5" ht="22.15" customHeight="1" x14ac:dyDescent="0.2">
      <c r="B24" s="143" t="s">
        <v>2156</v>
      </c>
      <c r="C24" s="142" t="s">
        <v>2978</v>
      </c>
      <c r="D24" s="142" t="s">
        <v>7001</v>
      </c>
      <c r="E24" s="150"/>
    </row>
    <row r="25" spans="1:5" ht="22.15" customHeight="1" x14ac:dyDescent="0.2">
      <c r="B25" s="143" t="s">
        <v>3000</v>
      </c>
      <c r="C25" s="142" t="s">
        <v>2982</v>
      </c>
      <c r="D25" s="142" t="s">
        <v>7002</v>
      </c>
      <c r="E25" s="150"/>
    </row>
    <row r="26" spans="1:5" ht="22.15" customHeight="1" x14ac:dyDescent="0.2">
      <c r="B26" s="143" t="s">
        <v>6900</v>
      </c>
      <c r="C26" s="142" t="s">
        <v>2985</v>
      </c>
      <c r="D26" s="142" t="s">
        <v>7003</v>
      </c>
      <c r="E26" s="150"/>
    </row>
    <row r="27" spans="1:5" ht="22.15" customHeight="1" x14ac:dyDescent="0.2">
      <c r="B27" s="143" t="s">
        <v>297</v>
      </c>
      <c r="C27" s="142" t="s">
        <v>37</v>
      </c>
      <c r="D27" s="142" t="s">
        <v>7004</v>
      </c>
      <c r="E27" s="150"/>
    </row>
    <row r="28" spans="1:5" ht="22.15" customHeight="1" x14ac:dyDescent="0.2">
      <c r="B28" s="143" t="s">
        <v>296</v>
      </c>
      <c r="C28" s="142" t="s">
        <v>40</v>
      </c>
      <c r="D28" s="142" t="s">
        <v>7005</v>
      </c>
      <c r="E28" s="150"/>
    </row>
    <row r="29" spans="1:5" ht="22.15" customHeight="1" x14ac:dyDescent="0.2">
      <c r="B29" s="143" t="s">
        <v>301</v>
      </c>
      <c r="C29" s="142" t="s">
        <v>44</v>
      </c>
      <c r="D29" s="142" t="s">
        <v>7006</v>
      </c>
      <c r="E29" s="150"/>
    </row>
    <row r="30" spans="1:5" ht="22.15" customHeight="1" x14ac:dyDescent="0.2">
      <c r="B30" s="143" t="s">
        <v>294</v>
      </c>
      <c r="C30" s="142" t="s">
        <v>47</v>
      </c>
      <c r="D30" s="142" t="s">
        <v>7007</v>
      </c>
      <c r="E30" s="150"/>
    </row>
    <row r="31" spans="1:5" ht="22.15" customHeight="1" x14ac:dyDescent="0.2">
      <c r="B31" s="143" t="s">
        <v>6963</v>
      </c>
      <c r="C31" s="142" t="s">
        <v>50</v>
      </c>
      <c r="D31" s="142" t="s">
        <v>7008</v>
      </c>
      <c r="E31" s="150"/>
    </row>
    <row r="32" spans="1:5" ht="22.15" customHeight="1" x14ac:dyDescent="0.2">
      <c r="B32" s="143" t="s">
        <v>6964</v>
      </c>
      <c r="C32" s="142" t="s">
        <v>54</v>
      </c>
      <c r="D32" s="142" t="s">
        <v>7009</v>
      </c>
      <c r="E32" s="150"/>
    </row>
    <row r="33" spans="1:5" ht="22.15" customHeight="1" x14ac:dyDescent="0.2">
      <c r="B33" s="143" t="s">
        <v>6966</v>
      </c>
      <c r="C33" s="142" t="s">
        <v>1545</v>
      </c>
      <c r="D33" s="142" t="s">
        <v>7010</v>
      </c>
      <c r="E33" s="150"/>
    </row>
    <row r="34" spans="1:5" ht="22.15" customHeight="1" x14ac:dyDescent="0.2">
      <c r="B34" s="143" t="s">
        <v>6965</v>
      </c>
      <c r="C34" s="142" t="s">
        <v>2995</v>
      </c>
      <c r="D34" s="142" t="s">
        <v>7011</v>
      </c>
      <c r="E34" s="150"/>
    </row>
    <row r="35" spans="1:5" ht="22.15" customHeight="1" x14ac:dyDescent="0.2">
      <c r="B35" s="143" t="s">
        <v>7094</v>
      </c>
      <c r="C35" s="142" t="s">
        <v>7101</v>
      </c>
      <c r="D35" s="142" t="s">
        <v>7012</v>
      </c>
      <c r="E35" s="150"/>
    </row>
    <row r="36" spans="1:5" ht="48.6" customHeight="1" x14ac:dyDescent="0.2">
      <c r="B36" s="147"/>
      <c r="C36" s="147"/>
      <c r="D36" s="147"/>
      <c r="E36" s="148"/>
    </row>
    <row r="37" spans="1:5" s="141" customFormat="1" ht="20.65" hidden="1" customHeight="1" x14ac:dyDescent="0.2">
      <c r="A37" s="152" t="s">
        <v>202</v>
      </c>
      <c r="B37" s="153" t="s">
        <v>203</v>
      </c>
      <c r="C37" s="153"/>
      <c r="D37" s="153"/>
      <c r="E37" s="154" t="s">
        <v>1543</v>
      </c>
    </row>
    <row r="38" spans="1:5" ht="23.65" hidden="1" customHeight="1" x14ac:dyDescent="0.2"/>
    <row r="39" spans="1:5" ht="22.15" hidden="1" customHeight="1" x14ac:dyDescent="0.2">
      <c r="A39" s="138"/>
      <c r="B39" s="143" t="s">
        <v>103</v>
      </c>
      <c r="C39" s="144" t="s">
        <v>205</v>
      </c>
      <c r="D39" s="144" t="s">
        <v>204</v>
      </c>
      <c r="E39" s="150"/>
    </row>
    <row r="40" spans="1:5" ht="22.15" hidden="1" customHeight="1" x14ac:dyDescent="0.2">
      <c r="A40" s="139"/>
      <c r="B40" s="143" t="s">
        <v>524</v>
      </c>
      <c r="C40" s="142" t="s">
        <v>286</v>
      </c>
      <c r="D40" s="142" t="s">
        <v>289</v>
      </c>
      <c r="E40" s="150"/>
    </row>
    <row r="41" spans="1:5" ht="22.15" hidden="1" customHeight="1" x14ac:dyDescent="0.2">
      <c r="B41" s="143" t="s">
        <v>294</v>
      </c>
      <c r="C41" s="142" t="s">
        <v>287</v>
      </c>
      <c r="D41" s="142" t="s">
        <v>290</v>
      </c>
      <c r="E41" s="150"/>
    </row>
    <row r="42" spans="1:5" ht="22.15" hidden="1" customHeight="1" x14ac:dyDescent="0.2">
      <c r="B42" s="143" t="s">
        <v>296</v>
      </c>
      <c r="C42" s="142" t="s">
        <v>288</v>
      </c>
      <c r="D42" s="142" t="s">
        <v>148</v>
      </c>
      <c r="E42" s="150"/>
    </row>
    <row r="43" spans="1:5" ht="22.15" hidden="1" customHeight="1" x14ac:dyDescent="0.2">
      <c r="B43" s="143" t="s">
        <v>297</v>
      </c>
      <c r="C43" s="142" t="s">
        <v>1303</v>
      </c>
      <c r="D43" s="142" t="s">
        <v>291</v>
      </c>
      <c r="E43" s="150"/>
    </row>
    <row r="44" spans="1:5" ht="48.6" hidden="1" customHeight="1" x14ac:dyDescent="0.2"/>
    <row r="45" spans="1:5" s="141" customFormat="1" ht="20.65" customHeight="1" x14ac:dyDescent="0.2">
      <c r="A45" s="152" t="s">
        <v>1544</v>
      </c>
      <c r="B45" s="153" t="s">
        <v>105</v>
      </c>
      <c r="C45" s="153"/>
      <c r="D45" s="153"/>
      <c r="E45" s="154" t="s">
        <v>7102</v>
      </c>
    </row>
    <row r="46" spans="1:5" s="140" customFormat="1" ht="15" customHeight="1" x14ac:dyDescent="0.2">
      <c r="E46" s="142"/>
    </row>
    <row r="47" spans="1:5" s="149" customFormat="1" ht="15" x14ac:dyDescent="0.2">
      <c r="B47" s="145" t="s">
        <v>207</v>
      </c>
      <c r="C47" s="145"/>
      <c r="D47" s="145"/>
      <c r="E47" s="142" t="s">
        <v>7020</v>
      </c>
    </row>
    <row r="48" spans="1:5" s="149" customFormat="1" ht="18" customHeight="1" x14ac:dyDescent="0.2">
      <c r="B48" s="145"/>
      <c r="C48" s="145"/>
      <c r="D48" s="145"/>
      <c r="E48" s="142"/>
    </row>
    <row r="49" spans="2:5" s="149" customFormat="1" ht="15" x14ac:dyDescent="0.2">
      <c r="B49" s="145" t="s">
        <v>206</v>
      </c>
      <c r="C49" s="145"/>
      <c r="D49" s="145"/>
      <c r="E49" s="142" t="s">
        <v>7103</v>
      </c>
    </row>
    <row r="50" spans="2:5" s="149" customFormat="1" ht="18" customHeight="1" x14ac:dyDescent="0.2">
      <c r="B50" s="145"/>
      <c r="C50" s="145"/>
      <c r="D50" s="145"/>
      <c r="E50" s="142"/>
    </row>
    <row r="51" spans="2:5" s="149" customFormat="1" ht="15" x14ac:dyDescent="0.2">
      <c r="B51" s="145" t="s">
        <v>208</v>
      </c>
      <c r="C51" s="145"/>
      <c r="D51" s="145"/>
      <c r="E51" s="142" t="s">
        <v>7104</v>
      </c>
    </row>
    <row r="52" spans="2:5" s="149" customFormat="1" ht="18" customHeight="1" x14ac:dyDescent="0.2">
      <c r="B52" s="145"/>
      <c r="C52" s="145"/>
      <c r="D52" s="145"/>
      <c r="E52" s="142"/>
    </row>
    <row r="53" spans="2:5" s="149" customFormat="1" ht="15" x14ac:dyDescent="0.2">
      <c r="B53" s="145" t="s">
        <v>140</v>
      </c>
      <c r="C53" s="145"/>
      <c r="D53" s="145"/>
      <c r="E53" s="142" t="s">
        <v>7105</v>
      </c>
    </row>
    <row r="54" spans="2:5" s="150" customFormat="1" ht="18" customHeight="1" x14ac:dyDescent="0.2">
      <c r="B54" s="147"/>
      <c r="C54" s="147"/>
      <c r="D54" s="147"/>
      <c r="E54" s="148"/>
    </row>
    <row r="55" spans="2:5" x14ac:dyDescent="0.2">
      <c r="B55" s="137"/>
      <c r="C55" s="137"/>
      <c r="D55" s="137"/>
      <c r="E55" s="148"/>
    </row>
    <row r="56" spans="2:5" ht="12" customHeight="1" x14ac:dyDescent="0.2"/>
    <row r="57" spans="2:5" x14ac:dyDescent="0.2">
      <c r="B57" s="137"/>
    </row>
    <row r="59" spans="2:5" x14ac:dyDescent="0.2">
      <c r="B59" s="137"/>
    </row>
  </sheetData>
  <mergeCells count="1">
    <mergeCell ref="A1:E1"/>
  </mergeCells>
  <phoneticPr fontId="0" type="noConversion"/>
  <pageMargins left="0.70866141732283472" right="0.70866141732283472" top="0.74803149606299213" bottom="0.74803149606299213" header="0.31496062992125984" footer="0.31496062992125984"/>
  <pageSetup paperSize="9" scale="85" orientation="portrait" r:id="rId1"/>
  <headerFooter>
    <oddFooter>&amp;C&amp;"Helv,Gras"&amp;11Page &amp;P / &amp;N</oddFooter>
  </headerFooter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DAF2E-8BC2-4BBC-9A6D-7649B597A310}">
  <sheetPr>
    <tabColor theme="0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 x14ac:dyDescent="0.2"/>
  <sheetData>
    <row r="1" spans="1:8" x14ac:dyDescent="0.2">
      <c r="A1" s="74"/>
      <c r="B1" s="44"/>
      <c r="C1" s="44"/>
      <c r="D1" s="44"/>
      <c r="E1" s="44"/>
      <c r="F1" s="44"/>
      <c r="G1" s="44"/>
      <c r="H1" s="75"/>
    </row>
    <row r="2" spans="1:8" x14ac:dyDescent="0.2">
      <c r="C2" s="280"/>
      <c r="E2" s="280"/>
      <c r="G2" s="280"/>
    </row>
    <row r="3" spans="1:8" x14ac:dyDescent="0.2">
      <c r="C3" s="280"/>
      <c r="E3" s="280"/>
      <c r="G3" s="280"/>
    </row>
    <row r="4" spans="1:8" ht="15" x14ac:dyDescent="0.35">
      <c r="A4" s="281"/>
    </row>
    <row r="5" spans="1:8" x14ac:dyDescent="0.2">
      <c r="A5" s="44"/>
    </row>
    <row r="6" spans="1:8" ht="27" customHeight="1" x14ac:dyDescent="0.2">
      <c r="A6" s="303"/>
      <c r="B6" s="303"/>
      <c r="C6" s="303"/>
      <c r="D6" s="303"/>
      <c r="E6" s="303"/>
      <c r="F6" s="303"/>
      <c r="G6" s="303"/>
      <c r="H6" s="303"/>
    </row>
    <row r="7" spans="1:8" x14ac:dyDescent="0.2">
      <c r="A7" s="44"/>
    </row>
    <row r="8" spans="1:8" ht="26.25" customHeight="1" x14ac:dyDescent="0.2">
      <c r="A8" s="303"/>
      <c r="B8" s="303"/>
      <c r="C8" s="303"/>
      <c r="D8" s="303"/>
      <c r="E8" s="303"/>
      <c r="F8" s="303"/>
      <c r="G8" s="303"/>
      <c r="H8" s="303"/>
    </row>
    <row r="9" spans="1:8" x14ac:dyDescent="0.2">
      <c r="A9" s="44"/>
    </row>
    <row r="10" spans="1:8" x14ac:dyDescent="0.2">
      <c r="A10" s="44"/>
    </row>
    <row r="11" spans="1:8" x14ac:dyDescent="0.2">
      <c r="A11" s="44"/>
    </row>
    <row r="12" spans="1:8" x14ac:dyDescent="0.2">
      <c r="A12" s="44"/>
    </row>
    <row r="13" spans="1:8" x14ac:dyDescent="0.2">
      <c r="A13" s="44"/>
    </row>
    <row r="14" spans="1:8" x14ac:dyDescent="0.2">
      <c r="A14" s="44"/>
    </row>
    <row r="15" spans="1:8" x14ac:dyDescent="0.2">
      <c r="A15" s="44"/>
    </row>
    <row r="16" spans="1:8" x14ac:dyDescent="0.2">
      <c r="A16" s="44"/>
    </row>
    <row r="17" spans="1:1" x14ac:dyDescent="0.2">
      <c r="A17" s="44"/>
    </row>
    <row r="18" spans="1:1" x14ac:dyDescent="0.2">
      <c r="A18" s="44"/>
    </row>
    <row r="19" spans="1:1" x14ac:dyDescent="0.2">
      <c r="A19" s="44"/>
    </row>
    <row r="20" spans="1:1" x14ac:dyDescent="0.2">
      <c r="A20" s="44"/>
    </row>
    <row r="21" spans="1:1" x14ac:dyDescent="0.2">
      <c r="A21" s="44"/>
    </row>
    <row r="22" spans="1:1" x14ac:dyDescent="0.2">
      <c r="A22" s="44"/>
    </row>
    <row r="23" spans="1:1" x14ac:dyDescent="0.2">
      <c r="A23" s="44"/>
    </row>
    <row r="24" spans="1:1" x14ac:dyDescent="0.2">
      <c r="A24" s="44"/>
    </row>
    <row r="25" spans="1:1" x14ac:dyDescent="0.2">
      <c r="A25" s="44"/>
    </row>
    <row r="26" spans="1:1" x14ac:dyDescent="0.2">
      <c r="A26" s="44"/>
    </row>
    <row r="27" spans="1:1" x14ac:dyDescent="0.2">
      <c r="A27" s="44"/>
    </row>
    <row r="28" spans="1:1" x14ac:dyDescent="0.2">
      <c r="A28" s="44"/>
    </row>
    <row r="29" spans="1:1" x14ac:dyDescent="0.2">
      <c r="A29" s="44"/>
    </row>
  </sheetData>
  <mergeCells count="2">
    <mergeCell ref="A6:H6"/>
    <mergeCell ref="A8:H8"/>
  </mergeCells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&amp;C&amp;"Helv,Gras"&amp;11&amp;K00+000Page &amp;P /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99042-01AE-413C-B74B-0DCA98E45F28}">
  <sheetPr>
    <tabColor theme="0"/>
    <pageSetUpPr fitToPage="1"/>
  </sheetPr>
  <dimension ref="A1:H34"/>
  <sheetViews>
    <sheetView showGridLines="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7.42578125" style="136" customWidth="1"/>
    <col min="2" max="2" width="23.7109375" style="136" customWidth="1"/>
    <col min="3" max="4" width="24" style="136" customWidth="1"/>
    <col min="5" max="5" width="7.42578125" style="151" customWidth="1"/>
    <col min="6" max="16384" width="11.42578125" style="136"/>
  </cols>
  <sheetData>
    <row r="1" spans="1:8" x14ac:dyDescent="0.2">
      <c r="A1" s="74" t="s">
        <v>6996</v>
      </c>
      <c r="E1" s="75" t="str">
        <f>CONCATENATE("P&amp;L ",RIGHT(DONNÉES!B5,LEN(DONNÉES!B5)-3))</f>
        <v>P&amp;L Janvier</v>
      </c>
    </row>
    <row r="2" spans="1:8" x14ac:dyDescent="0.2">
      <c r="A2" s="74"/>
      <c r="E2" s="75"/>
    </row>
    <row r="3" spans="1:8" ht="20.65" customHeight="1" x14ac:dyDescent="0.2">
      <c r="A3" s="302" t="s">
        <v>1299</v>
      </c>
      <c r="B3" s="302"/>
      <c r="C3" s="302"/>
      <c r="D3" s="302"/>
      <c r="E3" s="302"/>
      <c r="F3" s="135"/>
    </row>
    <row r="4" spans="1:8" ht="30.75" customHeight="1" x14ac:dyDescent="0.2"/>
    <row r="5" spans="1:8" s="141" customFormat="1" ht="20.65" customHeight="1" x14ac:dyDescent="0.2">
      <c r="A5" s="152"/>
      <c r="B5" s="152" t="s">
        <v>1300</v>
      </c>
      <c r="C5" s="153"/>
      <c r="D5" s="153"/>
      <c r="E5" s="154"/>
    </row>
    <row r="6" spans="1:8" ht="15" customHeight="1" x14ac:dyDescent="0.2">
      <c r="A6" s="147"/>
      <c r="B6" s="147"/>
      <c r="C6" s="147"/>
      <c r="D6" s="147"/>
      <c r="E6" s="148"/>
    </row>
    <row r="7" spans="1:8" s="140" customFormat="1" ht="15" x14ac:dyDescent="0.2">
      <c r="A7" s="145" t="s">
        <v>2144</v>
      </c>
      <c r="B7" s="145"/>
      <c r="C7" s="145"/>
      <c r="D7" s="145"/>
      <c r="E7" s="142"/>
    </row>
    <row r="8" spans="1:8" s="140" customFormat="1" ht="15" x14ac:dyDescent="0.2">
      <c r="A8" s="145"/>
      <c r="B8" s="145"/>
      <c r="C8" s="145"/>
      <c r="D8" s="145"/>
      <c r="E8" s="142"/>
    </row>
    <row r="9" spans="1:8" s="140" customFormat="1" ht="29.25" customHeight="1" x14ac:dyDescent="0.2">
      <c r="A9" s="304" t="s">
        <v>1302</v>
      </c>
      <c r="B9" s="304"/>
      <c r="C9" s="304"/>
      <c r="D9" s="304"/>
      <c r="E9" s="304"/>
    </row>
    <row r="10" spans="1:8" s="140" customFormat="1" ht="15" x14ac:dyDescent="0.2">
      <c r="A10" s="145"/>
      <c r="B10" s="145"/>
      <c r="C10" s="145"/>
      <c r="D10" s="145"/>
      <c r="E10" s="142"/>
    </row>
    <row r="11" spans="1:8" s="140" customFormat="1" ht="48" customHeight="1" x14ac:dyDescent="0.2">
      <c r="A11" s="304" t="s">
        <v>1301</v>
      </c>
      <c r="B11" s="304"/>
      <c r="C11" s="304"/>
      <c r="D11" s="304"/>
      <c r="E11" s="304"/>
    </row>
    <row r="12" spans="1:8" x14ac:dyDescent="0.2">
      <c r="A12" s="147"/>
      <c r="B12" s="147"/>
      <c r="C12" s="147"/>
      <c r="D12" s="147"/>
      <c r="E12" s="148"/>
    </row>
    <row r="13" spans="1:8" ht="22.15" hidden="1" customHeight="1" x14ac:dyDescent="0.2">
      <c r="A13" s="152"/>
      <c r="B13" s="152" t="s">
        <v>1417</v>
      </c>
      <c r="C13" s="153"/>
      <c r="D13" s="153"/>
      <c r="E13" s="154"/>
      <c r="F13" s="44"/>
      <c r="G13" s="44"/>
      <c r="H13" s="75"/>
    </row>
    <row r="14" spans="1:8" ht="23.65" customHeight="1" x14ac:dyDescent="0.2"/>
    <row r="15" spans="1:8" ht="46.5" customHeight="1" x14ac:dyDescent="0.2">
      <c r="A15" s="305"/>
      <c r="B15" s="305"/>
      <c r="C15" s="305"/>
      <c r="D15" s="305"/>
      <c r="E15" s="305"/>
    </row>
    <row r="16" spans="1:8" ht="30" customHeight="1" x14ac:dyDescent="0.2">
      <c r="A16" s="305"/>
      <c r="B16" s="305"/>
      <c r="C16" s="305"/>
      <c r="D16" s="305"/>
      <c r="E16" s="305"/>
    </row>
    <row r="17" spans="1:5" ht="22.15" customHeight="1" x14ac:dyDescent="0.2">
      <c r="A17" s="147"/>
      <c r="B17" s="143"/>
      <c r="C17" s="142"/>
      <c r="D17" s="142"/>
      <c r="E17" s="150"/>
    </row>
    <row r="18" spans="1:5" ht="22.15" customHeight="1" x14ac:dyDescent="0.2">
      <c r="A18" s="147"/>
      <c r="B18" s="143"/>
      <c r="C18" s="142"/>
      <c r="D18" s="142"/>
      <c r="E18" s="150"/>
    </row>
    <row r="19" spans="1:5" ht="22.15" customHeight="1" x14ac:dyDescent="0.2">
      <c r="A19" s="147"/>
      <c r="B19" s="143"/>
      <c r="C19" s="142"/>
      <c r="D19" s="142"/>
      <c r="E19" s="150"/>
    </row>
    <row r="20" spans="1:5" ht="48.6" customHeight="1" x14ac:dyDescent="0.2"/>
    <row r="21" spans="1:5" s="140" customFormat="1" ht="15" customHeight="1" x14ac:dyDescent="0.2">
      <c r="E21" s="142"/>
    </row>
    <row r="22" spans="1:5" s="149" customFormat="1" ht="15" x14ac:dyDescent="0.2">
      <c r="B22" s="145"/>
      <c r="C22" s="145"/>
      <c r="D22" s="145"/>
      <c r="E22" s="142"/>
    </row>
    <row r="23" spans="1:5" s="149" customFormat="1" ht="18" customHeight="1" x14ac:dyDescent="0.2">
      <c r="B23" s="145"/>
      <c r="C23" s="145"/>
      <c r="D23" s="145"/>
      <c r="E23" s="142"/>
    </row>
    <row r="24" spans="1:5" s="149" customFormat="1" ht="15" x14ac:dyDescent="0.2">
      <c r="B24" s="145"/>
      <c r="C24" s="145"/>
      <c r="D24" s="145"/>
      <c r="E24" s="142"/>
    </row>
    <row r="25" spans="1:5" s="149" customFormat="1" ht="18" customHeight="1" x14ac:dyDescent="0.2">
      <c r="B25" s="145"/>
      <c r="C25" s="145"/>
      <c r="D25" s="145"/>
      <c r="E25" s="142"/>
    </row>
    <row r="26" spans="1:5" s="149" customFormat="1" ht="15" x14ac:dyDescent="0.2">
      <c r="B26" s="145"/>
      <c r="C26" s="145"/>
      <c r="D26" s="145"/>
      <c r="E26" s="142"/>
    </row>
    <row r="27" spans="1:5" s="149" customFormat="1" ht="18" customHeight="1" x14ac:dyDescent="0.2">
      <c r="B27" s="145"/>
      <c r="C27" s="145"/>
      <c r="D27" s="145"/>
      <c r="E27" s="142"/>
    </row>
    <row r="28" spans="1:5" s="149" customFormat="1" ht="15" x14ac:dyDescent="0.2">
      <c r="B28" s="145"/>
      <c r="C28" s="145"/>
      <c r="D28" s="145"/>
      <c r="E28" s="142"/>
    </row>
    <row r="29" spans="1:5" s="150" customFormat="1" ht="18" customHeight="1" x14ac:dyDescent="0.2">
      <c r="B29" s="147"/>
      <c r="C29" s="147"/>
      <c r="D29" s="147"/>
      <c r="E29" s="148"/>
    </row>
    <row r="30" spans="1:5" x14ac:dyDescent="0.2">
      <c r="B30" s="137"/>
      <c r="C30" s="137"/>
      <c r="D30" s="137"/>
      <c r="E30" s="148"/>
    </row>
    <row r="31" spans="1:5" ht="12" customHeight="1" x14ac:dyDescent="0.2"/>
    <row r="32" spans="1:5" x14ac:dyDescent="0.2">
      <c r="B32" s="137"/>
    </row>
    <row r="34" spans="2:2" x14ac:dyDescent="0.2">
      <c r="B34" s="137"/>
    </row>
  </sheetData>
  <mergeCells count="5">
    <mergeCell ref="A3:E3"/>
    <mergeCell ref="A9:E9"/>
    <mergeCell ref="A11:E11"/>
    <mergeCell ref="A15:E15"/>
    <mergeCell ref="A16:E16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&amp;C&amp;"Helv,Gras"&amp;11Page &amp;P / 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CA49-7195-4B30-87AC-DFF145DAA2E8}">
  <sheetPr>
    <tabColor theme="9" tint="0.59999389629810485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 x14ac:dyDescent="0.2"/>
  <sheetData>
    <row r="1" spans="1:8" x14ac:dyDescent="0.2">
      <c r="A1" s="74"/>
      <c r="B1" s="44"/>
      <c r="C1" s="44"/>
      <c r="D1" s="44"/>
      <c r="E1" s="44"/>
      <c r="F1" s="44"/>
      <c r="G1" s="44"/>
      <c r="H1" s="75"/>
    </row>
    <row r="2" spans="1:8" x14ac:dyDescent="0.2">
      <c r="C2" s="280"/>
      <c r="E2" s="280"/>
      <c r="G2" s="280"/>
    </row>
    <row r="3" spans="1:8" x14ac:dyDescent="0.2">
      <c r="C3" s="280"/>
      <c r="E3" s="280"/>
      <c r="G3" s="280"/>
    </row>
    <row r="4" spans="1:8" ht="15" x14ac:dyDescent="0.35">
      <c r="A4" s="281"/>
    </row>
    <row r="5" spans="1:8" x14ac:dyDescent="0.2">
      <c r="A5" s="44"/>
    </row>
    <row r="6" spans="1:8" ht="27" customHeight="1" x14ac:dyDescent="0.2">
      <c r="A6" s="303"/>
      <c r="B6" s="303"/>
      <c r="C6" s="303"/>
      <c r="D6" s="303"/>
      <c r="E6" s="303"/>
      <c r="F6" s="303"/>
      <c r="G6" s="303"/>
      <c r="H6" s="303"/>
    </row>
    <row r="7" spans="1:8" x14ac:dyDescent="0.2">
      <c r="A7" s="44"/>
    </row>
    <row r="8" spans="1:8" ht="26.25" customHeight="1" x14ac:dyDescent="0.2">
      <c r="A8" s="303"/>
      <c r="B8" s="303"/>
      <c r="C8" s="303"/>
      <c r="D8" s="303"/>
      <c r="E8" s="303"/>
      <c r="F8" s="303"/>
      <c r="G8" s="303"/>
      <c r="H8" s="303"/>
    </row>
    <row r="9" spans="1:8" x14ac:dyDescent="0.2">
      <c r="A9" s="44"/>
    </row>
    <row r="10" spans="1:8" x14ac:dyDescent="0.2">
      <c r="A10" s="44"/>
    </row>
    <row r="11" spans="1:8" x14ac:dyDescent="0.2">
      <c r="A11" s="44"/>
    </row>
    <row r="12" spans="1:8" x14ac:dyDescent="0.2">
      <c r="A12" s="44"/>
    </row>
    <row r="13" spans="1:8" x14ac:dyDescent="0.2">
      <c r="A13" s="44"/>
    </row>
    <row r="14" spans="1:8" x14ac:dyDescent="0.2">
      <c r="A14" s="44"/>
    </row>
    <row r="15" spans="1:8" x14ac:dyDescent="0.2">
      <c r="A15" s="44"/>
    </row>
    <row r="16" spans="1:8" x14ac:dyDescent="0.2">
      <c r="A16" s="44"/>
    </row>
    <row r="17" spans="1:1" x14ac:dyDescent="0.2">
      <c r="A17" s="44"/>
    </row>
    <row r="18" spans="1:1" x14ac:dyDescent="0.2">
      <c r="A18" s="44"/>
    </row>
    <row r="19" spans="1:1" x14ac:dyDescent="0.2">
      <c r="A19" s="44"/>
    </row>
    <row r="20" spans="1:1" x14ac:dyDescent="0.2">
      <c r="A20" s="44"/>
    </row>
    <row r="21" spans="1:1" x14ac:dyDescent="0.2">
      <c r="A21" s="44"/>
    </row>
    <row r="22" spans="1:1" x14ac:dyDescent="0.2">
      <c r="A22" s="44"/>
    </row>
    <row r="23" spans="1:1" x14ac:dyDescent="0.2">
      <c r="A23" s="44"/>
    </row>
    <row r="24" spans="1:1" x14ac:dyDescent="0.2">
      <c r="A24" s="44"/>
    </row>
    <row r="25" spans="1:1" x14ac:dyDescent="0.2">
      <c r="A25" s="44"/>
    </row>
    <row r="26" spans="1:1" x14ac:dyDescent="0.2">
      <c r="A26" s="44"/>
    </row>
    <row r="27" spans="1:1" x14ac:dyDescent="0.2">
      <c r="A27" s="44"/>
    </row>
    <row r="28" spans="1:1" x14ac:dyDescent="0.2">
      <c r="A28" s="44"/>
    </row>
    <row r="29" spans="1:1" x14ac:dyDescent="0.2">
      <c r="A29" s="44"/>
    </row>
  </sheetData>
  <mergeCells count="2">
    <mergeCell ref="A6:H6"/>
    <mergeCell ref="A8:H8"/>
  </mergeCells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&amp;C&amp;"Helv,Gras"&amp;11&amp;K00+000Page &amp;P /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443B-8D30-4B20-ABF5-C15DD56F9F4C}">
  <sheetPr>
    <tabColor theme="9" tint="0.59999389629810485"/>
    <pageSetUpPr fitToPage="1"/>
  </sheetPr>
  <dimension ref="A2:I39"/>
  <sheetViews>
    <sheetView showGridLines="0" topLeftCell="A1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 x14ac:dyDescent="0.25"/>
  <cols>
    <col min="1" max="1" width="4.5703125" style="31" customWidth="1"/>
    <col min="2" max="2" width="13" style="31" bestFit="1" customWidth="1"/>
    <col min="3" max="7" width="11.42578125" style="31"/>
    <col min="8" max="8" width="0.28515625" style="31" hidden="1" customWidth="1"/>
    <col min="9" max="16384" width="11.42578125" style="31"/>
  </cols>
  <sheetData>
    <row r="2" spans="1:8" x14ac:dyDescent="0.25">
      <c r="C2" s="41"/>
      <c r="E2" s="41"/>
      <c r="G2" s="41"/>
    </row>
    <row r="3" spans="1:8" s="34" customFormat="1" ht="25.5" x14ac:dyDescent="0.35">
      <c r="A3" s="32"/>
      <c r="B3" s="33"/>
      <c r="C3" s="40"/>
      <c r="D3" s="33"/>
      <c r="E3" s="40"/>
      <c r="F3" s="33"/>
      <c r="G3" s="40"/>
      <c r="H3" s="33"/>
    </row>
    <row r="4" spans="1:8" x14ac:dyDescent="0.25">
      <c r="A4" s="35"/>
      <c r="B4" s="36"/>
      <c r="C4" s="36"/>
      <c r="D4" s="36"/>
      <c r="E4" s="36"/>
      <c r="F4" s="36"/>
      <c r="G4" s="36"/>
      <c r="H4" s="36"/>
    </row>
    <row r="5" spans="1:8" x14ac:dyDescent="0.25">
      <c r="A5" s="35"/>
      <c r="B5" s="36"/>
      <c r="C5" s="37"/>
      <c r="D5" s="36"/>
      <c r="E5" s="36"/>
      <c r="F5" s="36"/>
      <c r="G5" s="36"/>
      <c r="H5" s="36"/>
    </row>
    <row r="6" spans="1:8" x14ac:dyDescent="0.25">
      <c r="A6" s="35"/>
      <c r="B6" s="36"/>
      <c r="C6" s="36"/>
      <c r="D6" s="36"/>
      <c r="E6" s="36"/>
      <c r="F6" s="36"/>
      <c r="G6" s="36"/>
      <c r="H6" s="36"/>
    </row>
    <row r="7" spans="1:8" x14ac:dyDescent="0.25">
      <c r="A7" s="35"/>
      <c r="B7" s="36"/>
      <c r="C7" s="36"/>
      <c r="D7" s="36"/>
      <c r="E7" s="36"/>
      <c r="F7" s="36"/>
      <c r="G7" s="36"/>
      <c r="H7" s="36"/>
    </row>
    <row r="8" spans="1:8" x14ac:dyDescent="0.25">
      <c r="A8" s="35"/>
      <c r="B8" s="36"/>
      <c r="C8" s="36"/>
      <c r="D8" s="36"/>
      <c r="E8" s="36"/>
      <c r="F8" s="36"/>
      <c r="G8" s="36"/>
      <c r="H8" s="36"/>
    </row>
    <row r="9" spans="1:8" x14ac:dyDescent="0.25">
      <c r="A9" s="35"/>
      <c r="B9" s="36"/>
      <c r="C9" s="36"/>
      <c r="D9" s="36"/>
      <c r="E9" s="36"/>
      <c r="F9" s="36"/>
      <c r="G9" s="36"/>
      <c r="H9" s="36"/>
    </row>
    <row r="10" spans="1:8" x14ac:dyDescent="0.25">
      <c r="A10" s="35"/>
      <c r="B10" s="36"/>
      <c r="C10" s="36"/>
      <c r="D10" s="36"/>
      <c r="E10" s="36"/>
      <c r="F10" s="36"/>
      <c r="G10" s="36"/>
      <c r="H10" s="36"/>
    </row>
    <row r="11" spans="1:8" x14ac:dyDescent="0.25">
      <c r="A11" s="36"/>
      <c r="B11" s="36"/>
      <c r="C11" s="36"/>
      <c r="D11" s="36"/>
      <c r="E11" s="36"/>
      <c r="F11" s="36"/>
      <c r="G11" s="36"/>
    </row>
    <row r="12" spans="1:8" x14ac:dyDescent="0.25">
      <c r="A12" s="36"/>
      <c r="B12" s="36"/>
      <c r="C12" s="36"/>
      <c r="D12" s="36"/>
      <c r="E12" s="36"/>
      <c r="F12" s="36"/>
      <c r="G12" s="36"/>
    </row>
    <row r="13" spans="1:8" x14ac:dyDescent="0.25">
      <c r="A13" s="36"/>
      <c r="B13" s="36"/>
      <c r="C13" s="36"/>
      <c r="D13" s="36"/>
      <c r="E13" s="36"/>
      <c r="F13" s="36"/>
      <c r="G13" s="36"/>
    </row>
    <row r="14" spans="1:8" x14ac:dyDescent="0.25">
      <c r="A14" s="36"/>
      <c r="B14" s="36"/>
      <c r="C14" s="36"/>
      <c r="D14" s="36"/>
      <c r="E14" s="36"/>
      <c r="F14" s="36"/>
      <c r="G14" s="36"/>
    </row>
    <row r="15" spans="1:8" x14ac:dyDescent="0.25">
      <c r="A15" s="36"/>
      <c r="B15" s="36"/>
      <c r="C15" s="36"/>
      <c r="D15" s="36"/>
      <c r="E15" s="36"/>
      <c r="F15" s="36"/>
      <c r="G15" s="36"/>
    </row>
    <row r="16" spans="1:8" x14ac:dyDescent="0.25">
      <c r="A16" s="36"/>
      <c r="B16" s="36"/>
      <c r="C16" s="36"/>
      <c r="D16" s="36"/>
      <c r="E16" s="36"/>
      <c r="F16" s="36"/>
      <c r="G16" s="36"/>
    </row>
    <row r="17" spans="1:9" x14ac:dyDescent="0.25">
      <c r="A17" s="36"/>
      <c r="B17" s="36"/>
      <c r="C17" s="36"/>
      <c r="D17" s="36"/>
      <c r="E17" s="36"/>
      <c r="F17" s="36"/>
      <c r="G17" s="36"/>
    </row>
    <row r="18" spans="1:9" ht="7.5" customHeight="1" x14ac:dyDescent="0.25">
      <c r="A18" s="38"/>
      <c r="B18" s="36"/>
      <c r="C18" s="36"/>
      <c r="D18" s="36"/>
      <c r="E18" s="36"/>
      <c r="F18" s="36"/>
      <c r="G18" s="36"/>
    </row>
    <row r="19" spans="1:9" x14ac:dyDescent="0.25">
      <c r="A19" s="36"/>
      <c r="B19" s="36"/>
      <c r="C19" s="36"/>
      <c r="D19" s="36"/>
      <c r="E19" s="36"/>
      <c r="F19" s="36"/>
      <c r="G19" s="36"/>
      <c r="I19" s="31" t="s">
        <v>97</v>
      </c>
    </row>
    <row r="20" spans="1:9" ht="58.5" customHeight="1" x14ac:dyDescent="0.25">
      <c r="A20" s="306"/>
      <c r="B20" s="306"/>
      <c r="C20" s="306"/>
      <c r="D20" s="306"/>
      <c r="E20" s="306"/>
      <c r="F20" s="306"/>
      <c r="G20" s="306"/>
      <c r="H20" s="306"/>
      <c r="I20" s="306"/>
    </row>
    <row r="21" spans="1:9" ht="6" customHeight="1" x14ac:dyDescent="0.25">
      <c r="A21" s="36"/>
      <c r="B21" s="36"/>
      <c r="C21" s="36"/>
      <c r="D21" s="36"/>
      <c r="E21" s="36"/>
      <c r="F21" s="36"/>
      <c r="G21" s="36"/>
    </row>
    <row r="22" spans="1:9" x14ac:dyDescent="0.25">
      <c r="A22" s="36"/>
      <c r="B22" s="36"/>
      <c r="C22" s="36"/>
      <c r="D22" s="36"/>
      <c r="E22" s="36"/>
      <c r="F22" s="36"/>
      <c r="G22" s="36"/>
    </row>
    <row r="23" spans="1:9" x14ac:dyDescent="0.25">
      <c r="A23" s="36"/>
      <c r="B23" s="36"/>
      <c r="C23" s="36"/>
      <c r="D23" s="36"/>
      <c r="E23" s="36"/>
      <c r="F23" s="36"/>
      <c r="G23" s="36"/>
    </row>
    <row r="39" spans="1:8" x14ac:dyDescent="0.25">
      <c r="A39" s="39"/>
      <c r="B39" s="307"/>
      <c r="C39" s="307"/>
      <c r="D39" s="307"/>
      <c r="E39" s="307"/>
      <c r="F39" s="307"/>
      <c r="G39" s="307"/>
      <c r="H39" s="36" t="s">
        <v>98</v>
      </c>
    </row>
  </sheetData>
  <mergeCells count="2">
    <mergeCell ref="A20:I20"/>
    <mergeCell ref="B39:G39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&amp;C&amp;"Helv,Gras"&amp;11&amp;K00+000Page &amp;P / &amp;N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056C-F0C7-4940-BB14-BFEE66868690}">
  <sheetPr codeName="Feuil33">
    <tabColor theme="9" tint="0.59999389629810485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B03D-70E5-45B9-9454-AB9042821786}">
  <sheetPr>
    <tabColor theme="9" tint="0.59999389629810485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111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310" t="s">
        <v>87</v>
      </c>
      <c r="D5" s="311"/>
      <c r="E5" s="311"/>
      <c r="F5" s="311"/>
      <c r="G5" s="311"/>
      <c r="H5" s="312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+'GLR5 M'!C8+'HTR8 M'!C8+'TIRR M'!C8+'VR7 M '!C8+'TURVILLA M'!C8+'HART M'!C8+'VICTOIRE M'!C8+'TH4 M '!C8+'DIVES M'!C8+'R314 M '!C8+'LYSE M '!C8+'ARTHUR M '!C8+'HUGO M '!C8+'JEANCLO M '!C8+'THOMAS M'!C8+'CATALINA M'!C8</f>
        <v>4504628.2399999993</v>
      </c>
      <c r="D8" s="71">
        <f>(C8*100)/C$8</f>
        <v>100</v>
      </c>
      <c r="E8" s="72">
        <f>+'GLR5 M'!E8+'HTR8 M'!E8+'TIRR M'!E8+'VR7 M '!E8+'TURVILLA M'!E8+'HART M'!E8+'VICTOIRE M'!E8+'TH4 M '!E8+'DIVES M'!E8+'R314 M '!E8+'LYSE M '!E8+'ARTHUR M '!E8+'HUGO M '!E8+'JEANCLO M '!E8+'THOMAS M'!E8</f>
        <v>4866711.38</v>
      </c>
      <c r="F8" s="71">
        <f>(E8*100)/E$8</f>
        <v>100</v>
      </c>
      <c r="G8" s="72">
        <f>+C8-E8</f>
        <v>-362083.1400000006</v>
      </c>
      <c r="H8" s="71">
        <f>IF(E8=0,0,G8/E8*100)</f>
        <v>-7.4399961643092265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+'GLR5 M'!C10+'HTR8 M'!C10+'TIRR M'!C10+'VR7 M '!C10+'TURVILLA M'!C10+'HART M'!C10+'VICTOIRE M'!C10+'TH4 M '!C10+'DIVES M'!C10+'R314 M '!C10+'LYSE M '!C10+'ARTHUR M '!C10+'HUGO M '!C10+'JEANCLO M '!C10+'THOMAS M'!C10+'CATALINA M'!C10</f>
        <v>1008625.69</v>
      </c>
      <c r="D10" s="17">
        <f t="shared" ref="D10:F16" si="0">(C10*100)/C$8</f>
        <v>22.390875256778131</v>
      </c>
      <c r="E10" s="16">
        <f>+'GLR5 M'!E10+'HTR8 M'!E10+'TIRR M'!E10+'VR7 M '!E10+'TURVILLA M'!E10+'HART M'!E10+'VICTOIRE M'!E10+'TH4 M '!E10+'DIVES M'!E10+'R314 M '!E10+'LYSE M '!E10+'ARTHUR M '!E10+'HUGO M '!E10+'JEANCLO M '!E10+'THOMAS M'!E10</f>
        <v>1060209.4000000001</v>
      </c>
      <c r="F10" s="17">
        <f t="shared" si="0"/>
        <v>21.784924504810068</v>
      </c>
      <c r="G10" s="16">
        <f>+C10-E10</f>
        <v>-51583.710000000196</v>
      </c>
      <c r="H10" s="17">
        <f t="shared" ref="H10:H16" si="1">IF(E10=0,0,G10/E10*100)</f>
        <v>-4.8654265845973628</v>
      </c>
    </row>
    <row r="11" spans="1:8" s="18" customFormat="1" x14ac:dyDescent="0.2">
      <c r="A11" s="13" t="s">
        <v>124</v>
      </c>
      <c r="B11" s="14" t="s">
        <v>4</v>
      </c>
      <c r="C11" s="23">
        <f>+'GLR5 M'!C11+'HTR8 M'!C11+'TIRR M'!C11+'VR7 M '!C11+'TURVILLA M'!C11+'HART M'!C11+'VICTOIRE M'!C11+'TH4 M '!C11+'DIVES M'!C11+'R314 M '!C11+'LYSE M '!C11+'ARTHUR M '!C11+'HUGO M '!C11+'JEANCLO M '!C11+'THOMAS M'!C11+'CATALINA M'!C11</f>
        <v>21242.199999999997</v>
      </c>
      <c r="D11" s="17">
        <f t="shared" si="0"/>
        <v>0.47156388647956438</v>
      </c>
      <c r="E11" s="16">
        <f>+'GLR5 M'!E11+'HTR8 M'!E11+'TIRR M'!E11+'VR7 M '!E11+'TURVILLA M'!E11+'HART M'!E11+'VICTOIRE M'!E11+'TH4 M '!E11+'DIVES M'!E11+'R314 M '!E11+'LYSE M '!E11+'ARTHUR M '!E11+'HUGO M '!E11+'JEANCLO M '!E11+'THOMAS M'!E11</f>
        <v>23034.940000000002</v>
      </c>
      <c r="F11" s="17">
        <f t="shared" si="0"/>
        <v>0.47331633625662017</v>
      </c>
      <c r="G11" s="16">
        <f>+C11-E11</f>
        <v>-1792.7400000000052</v>
      </c>
      <c r="H11" s="17">
        <f t="shared" si="1"/>
        <v>-7.7826988045117771</v>
      </c>
    </row>
    <row r="12" spans="1:8" s="18" customFormat="1" x14ac:dyDescent="0.2">
      <c r="A12" s="13" t="s">
        <v>125</v>
      </c>
      <c r="B12" s="14" t="s">
        <v>2</v>
      </c>
      <c r="C12" s="23">
        <f>+'GLR5 M'!C12+'HTR8 M'!C12+'TIRR M'!C12+'VR7 M '!C12+'TURVILLA M'!C12+'HART M'!C12+'VICTOIRE M'!C12+'TH4 M '!C12+'DIVES M'!C12+'R314 M '!C12+'LYSE M '!C12+'ARTHUR M '!C12+'HUGO M '!C12+'JEANCLO M '!C12+'THOMAS M'!C12+'CATALINA M'!C12</f>
        <v>31482.310000000005</v>
      </c>
      <c r="D12" s="17">
        <f t="shared" si="0"/>
        <v>0.69888808404753089</v>
      </c>
      <c r="E12" s="16">
        <f>+'GLR5 M'!E12+'HTR8 M'!E12+'TIRR M'!E12+'VR7 M '!E12+'TURVILLA M'!E12+'HART M'!E12+'VICTOIRE M'!E12+'TH4 M '!E12+'DIVES M'!E12+'R314 M '!E12+'LYSE M '!E12+'ARTHUR M '!E12+'HUGO M '!E12+'JEANCLO M '!E12+'THOMAS M'!E12</f>
        <v>30162.6</v>
      </c>
      <c r="F12" s="17">
        <f t="shared" si="0"/>
        <v>0.61977375777726929</v>
      </c>
      <c r="G12" s="16">
        <f>+C12-E12</f>
        <v>1319.7100000000064</v>
      </c>
      <c r="H12" s="17">
        <f t="shared" si="1"/>
        <v>4.375319103790809</v>
      </c>
    </row>
    <row r="13" spans="1:8" s="59" customFormat="1" ht="13.5" x14ac:dyDescent="0.2">
      <c r="A13" s="60"/>
      <c r="B13" s="62" t="s">
        <v>6</v>
      </c>
      <c r="C13" s="55">
        <f>SUM(C10:C12)</f>
        <v>1061350.2</v>
      </c>
      <c r="D13" s="56">
        <f t="shared" si="0"/>
        <v>23.561327227305224</v>
      </c>
      <c r="E13" s="55">
        <f>SUM(E10:E12)</f>
        <v>1113406.9400000002</v>
      </c>
      <c r="F13" s="56">
        <f t="shared" si="0"/>
        <v>22.878014598843958</v>
      </c>
      <c r="G13" s="55">
        <f>SUM(G10:G12)</f>
        <v>-52056.740000000194</v>
      </c>
      <c r="H13" s="56">
        <f t="shared" si="1"/>
        <v>-4.6754459784488303</v>
      </c>
    </row>
    <row r="14" spans="1:8" s="18" customFormat="1" x14ac:dyDescent="0.2">
      <c r="A14" s="13" t="s">
        <v>126</v>
      </c>
      <c r="B14" s="14" t="s">
        <v>8</v>
      </c>
      <c r="C14" s="23">
        <f>+'GLR5 M'!C14+'HTR8 M'!C14+'TIRR M'!C14+'VR7 M '!C14+'TURVILLA M'!C14+'HART M'!C14+'VICTOIRE M'!C14+'TH4 M '!C14+'DIVES M'!C14+'R314 M '!C14+'LYSE M '!C14+'ARTHUR M '!C14+'HUGO M '!C14+'JEANCLO M '!C14+'THOMAS M'!C14+'CATALINA M'!C14</f>
        <v>102089.43000000001</v>
      </c>
      <c r="D14" s="17">
        <f t="shared" si="0"/>
        <v>2.2663230917364228</v>
      </c>
      <c r="E14" s="16">
        <f>+'GLR5 M'!E14+'HTR8 M'!E14+'TIRR M'!E14+'VR7 M '!E14+'TURVILLA M'!E14+'HART M'!E14+'VICTOIRE M'!E14+'TH4 M '!E14+'DIVES M'!E14+'R314 M '!E14+'LYSE M '!E14+'ARTHUR M '!E14+'HUGO M '!E14+'JEANCLO M '!E14+'THOMAS M'!E14</f>
        <v>108463.23999999999</v>
      </c>
      <c r="F14" s="17">
        <f t="shared" si="0"/>
        <v>2.2286762359842265</v>
      </c>
      <c r="G14" s="16">
        <f>+C14-E14</f>
        <v>-6373.8099999999831</v>
      </c>
      <c r="H14" s="17">
        <f t="shared" si="1"/>
        <v>-5.8764702216160831</v>
      </c>
    </row>
    <row r="15" spans="1:8" s="18" customFormat="1" x14ac:dyDescent="0.2">
      <c r="A15" s="13" t="s">
        <v>2964</v>
      </c>
      <c r="B15" s="14" t="s">
        <v>2965</v>
      </c>
      <c r="C15" s="23">
        <f>+'GLR5 M'!C15+'HTR8 M'!C15+'TIRR M'!C15+'VR7 M '!C15+'TURVILLA M'!C15+'HART M'!C15+'VICTOIRE M'!C15+'TH4 M '!C15+'DIVES M'!C15+'R314 M '!C15+'LYSE M '!C15+'ARTHUR M '!C15+'HUGO M '!C15+'JEANCLO M '!C15+'THOMAS M'!C15+'CATALINA M'!C15</f>
        <v>8815.68</v>
      </c>
      <c r="D15" s="17">
        <f t="shared" si="0"/>
        <v>0.19570272018718246</v>
      </c>
      <c r="E15" s="16">
        <f>+'GLR5 M'!E15+'HTR8 M'!E15+'TIRR M'!E15+'VR7 M '!E15+'TURVILLA M'!E15+'HART M'!E15+'VICTOIRE M'!E15+'TH4 M '!E15+'DIVES M'!E15+'R314 M '!E15+'LYSE M '!E15+'ARTHUR M '!E15+'HUGO M '!E15+'JEANCLO M '!E15+'THOMAS M'!E15</f>
        <v>9635.220000000003</v>
      </c>
      <c r="F15" s="17">
        <f t="shared" si="0"/>
        <v>0.19798215360780247</v>
      </c>
      <c r="G15" s="16">
        <f>+C15-E15</f>
        <v>-819.54000000000269</v>
      </c>
      <c r="H15" s="17">
        <f t="shared" si="1"/>
        <v>-8.5056698238338342</v>
      </c>
    </row>
    <row r="16" spans="1:8" ht="13.5" thickBot="1" x14ac:dyDescent="0.25">
      <c r="A16" s="7"/>
      <c r="B16" s="63" t="s">
        <v>10</v>
      </c>
      <c r="C16" s="49">
        <f>+C13+SUM(C14:C15)</f>
        <v>1172255.31</v>
      </c>
      <c r="D16" s="50">
        <f t="shared" si="0"/>
        <v>26.02335303922883</v>
      </c>
      <c r="E16" s="49">
        <f>+E13+SUM(E14:E15)</f>
        <v>1231505.4000000001</v>
      </c>
      <c r="F16" s="50">
        <f t="shared" si="0"/>
        <v>25.304672988435986</v>
      </c>
      <c r="G16" s="49">
        <f>+G13+SUM(G14:G15)</f>
        <v>-59250.090000000178</v>
      </c>
      <c r="H16" s="50">
        <f t="shared" si="1"/>
        <v>-4.8111920581103558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3332372.9299999992</v>
      </c>
      <c r="D18" s="71">
        <f>(C18*100)/C$8</f>
        <v>73.976646960771177</v>
      </c>
      <c r="E18" s="70">
        <f>E8-E16</f>
        <v>3635205.9799999995</v>
      </c>
      <c r="F18" s="71">
        <f>(E18*100)/E$8</f>
        <v>74.695327011564004</v>
      </c>
      <c r="G18" s="70">
        <f>G8-G16</f>
        <v>-302833.0500000004</v>
      </c>
      <c r="H18" s="71">
        <f>IF(E18=0,0,G18/E18*100)</f>
        <v>-8.3305609548980897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+'GLR5 M'!C20+'HTR8 M'!C20+'TIRR M'!C20+'VR7 M '!C20+'TURVILLA M'!C20+'HART M'!C20+'VICTOIRE M'!C20+'TH4 M '!C20+'DIVES M'!C20+'R314 M '!C20+'LYSE M '!C20+'ARTHUR M '!C20+'HUGO M '!C20+'JEANCLO M '!C20+'THOMAS M'!C20+'CATALINA M'!C20</f>
        <v>652862.68000000005</v>
      </c>
      <c r="D20" s="17">
        <f t="shared" ref="D20:F26" si="2">(C20*100)/C$8</f>
        <v>14.493153379511739</v>
      </c>
      <c r="E20" s="16">
        <f>+'GLR5 M'!E20+'HTR8 M'!E20+'TIRR M'!E20+'VR7 M '!E20+'TURVILLA M'!E20+'HART M'!E20+'VICTOIRE M'!E20+'TH4 M '!E20+'DIVES M'!E20+'R314 M '!E20+'LYSE M '!E20+'ARTHUR M '!E20+'HUGO M '!E20+'JEANCLO M '!E20+'THOMAS M'!E20</f>
        <v>778716.66</v>
      </c>
      <c r="F20" s="17">
        <f t="shared" si="2"/>
        <v>16.000880249446805</v>
      </c>
      <c r="G20" s="16">
        <f t="shared" ref="G20:G25" si="3">+C20-E20</f>
        <v>-125853.97999999998</v>
      </c>
      <c r="H20" s="17">
        <f t="shared" ref="H20:H26" si="4">IF(E20=0,0,G20/E20*100)</f>
        <v>-16.161716637730596</v>
      </c>
    </row>
    <row r="21" spans="1:8" s="18" customFormat="1" x14ac:dyDescent="0.2">
      <c r="A21" s="13">
        <v>9</v>
      </c>
      <c r="B21" s="14" t="s">
        <v>2968</v>
      </c>
      <c r="C21" s="23">
        <f>+'GLR5 M'!C21+'HTR8 M'!C21+'TIRR M'!C21+'VR7 M '!C21+'TURVILLA M'!C21+'HART M'!C21+'VICTOIRE M'!C21+'TH4 M '!C21+'DIVES M'!C21+'R314 M '!C21+'LYSE M '!C21+'ARTHUR M '!C21+'HUGO M '!C21+'JEANCLO M '!C21+'THOMAS M'!C21+'CATALINA M'!C21</f>
        <v>91460.1</v>
      </c>
      <c r="D21" s="17">
        <f t="shared" si="2"/>
        <v>2.0303584475153054</v>
      </c>
      <c r="E21" s="16">
        <f>+'GLR5 M'!E21+'HTR8 M'!E21+'TIRR M'!E21+'VR7 M '!E21+'TURVILLA M'!E21+'HART M'!E21+'VICTOIRE M'!E21+'TH4 M '!E21+'DIVES M'!E21+'R314 M '!E21+'LYSE M '!E21+'ARTHUR M '!E21+'HUGO M '!E21+'JEANCLO M '!E21+'THOMAS M'!E21</f>
        <v>105647.43</v>
      </c>
      <c r="F21" s="17">
        <f t="shared" si="2"/>
        <v>2.1708176579807779</v>
      </c>
      <c r="G21" s="16">
        <f t="shared" si="3"/>
        <v>-14187.329999999987</v>
      </c>
      <c r="H21" s="17">
        <f t="shared" si="4"/>
        <v>-13.428940013022551</v>
      </c>
    </row>
    <row r="22" spans="1:8" s="18" customFormat="1" x14ac:dyDescent="0.2">
      <c r="A22" s="13" t="s">
        <v>12</v>
      </c>
      <c r="B22" s="14" t="s">
        <v>14</v>
      </c>
      <c r="C22" s="23">
        <f>+'GLR5 M'!C22+'HTR8 M'!C22+'TIRR M'!C22+'VR7 M '!C22+'TURVILLA M'!C22+'HART M'!C22+'VICTOIRE M'!C22+'TH4 M '!C22+'DIVES M'!C22+'R314 M '!C22+'LYSE M '!C22+'ARTHUR M '!C22+'HUGO M '!C22+'JEANCLO M '!C22+'THOMAS M'!C22+'CATALINA M'!C22</f>
        <v>247350.22999999995</v>
      </c>
      <c r="D22" s="17">
        <f t="shared" si="2"/>
        <v>5.4910242715167987</v>
      </c>
      <c r="E22" s="16">
        <f>+'GLR5 M'!E22+'HTR8 M'!E22+'TIRR M'!E22+'VR7 M '!E22+'TURVILLA M'!E22+'HART M'!E22+'VICTOIRE M'!E22+'TH4 M '!E22+'DIVES M'!E22+'R314 M '!E22+'LYSE M '!E22+'ARTHUR M '!E22+'HUGO M '!E22+'JEANCLO M '!E22+'THOMAS M'!E22</f>
        <v>316393.40000000002</v>
      </c>
      <c r="F22" s="17">
        <f t="shared" si="2"/>
        <v>6.5011745159212637</v>
      </c>
      <c r="G22" s="16">
        <f t="shared" si="3"/>
        <v>-69043.170000000071</v>
      </c>
      <c r="H22" s="17">
        <f t="shared" si="4"/>
        <v>-21.821937499328389</v>
      </c>
    </row>
    <row r="23" spans="1:8" s="18" customFormat="1" x14ac:dyDescent="0.2">
      <c r="A23" s="13" t="s">
        <v>13</v>
      </c>
      <c r="B23" s="14" t="s">
        <v>2966</v>
      </c>
      <c r="C23" s="23">
        <f>+'GLR5 M'!C23+'HTR8 M'!C23+'TIRR M'!C23+'VR7 M '!C23+'TURVILLA M'!C23+'HART M'!C23+'VICTOIRE M'!C23+'TH4 M '!C23+'DIVES M'!C23+'R314 M '!C23+'LYSE M '!C23+'ARTHUR M '!C23+'HUGO M '!C23+'JEANCLO M '!C23+'THOMAS M'!C23+'CATALINA M'!C23</f>
        <v>60854.850000000006</v>
      </c>
      <c r="D23" s="17">
        <f t="shared" si="2"/>
        <v>1.350940560635477</v>
      </c>
      <c r="E23" s="16">
        <f>+'GLR5 M'!E23+'HTR8 M'!E23+'TIRR M'!E23+'VR7 M '!E23+'TURVILLA M'!E23+'HART M'!E23+'VICTOIRE M'!E23+'TH4 M '!E23+'DIVES M'!E23+'R314 M '!E23+'LYSE M '!E23+'ARTHUR M '!E23+'HUGO M '!E23+'JEANCLO M '!E23+'THOMAS M'!E23</f>
        <v>75187.330000000016</v>
      </c>
      <c r="F23" s="17">
        <f t="shared" si="2"/>
        <v>1.544930942668723</v>
      </c>
      <c r="G23" s="16">
        <f t="shared" si="3"/>
        <v>-14332.48000000001</v>
      </c>
      <c r="H23" s="17">
        <f t="shared" si="4"/>
        <v>-19.062360639751414</v>
      </c>
    </row>
    <row r="24" spans="1:8" s="18" customFormat="1" x14ac:dyDescent="0.2">
      <c r="A24" s="13" t="s">
        <v>15</v>
      </c>
      <c r="B24" s="14" t="s">
        <v>2969</v>
      </c>
      <c r="C24" s="23">
        <f>+'GLR5 M'!C24+'HTR8 M'!C24+'TIRR M'!C24+'VR7 M '!C24+'TURVILLA M'!C24+'HART M'!C24+'VICTOIRE M'!C24+'TH4 M '!C24+'DIVES M'!C24+'R314 M '!C24+'LYSE M '!C24+'ARTHUR M '!C24+'HUGO M '!C24+'JEANCLO M '!C24+'THOMAS M'!C24+'CATALINA M'!C24</f>
        <v>-2500</v>
      </c>
      <c r="D24" s="17">
        <f t="shared" si="2"/>
        <v>-5.5498475496837014E-2</v>
      </c>
      <c r="E24" s="16">
        <f>+'GLR5 M'!E24+'HTR8 M'!E24+'TIRR M'!E24+'VR7 M '!E24+'TURVILLA M'!E24+'HART M'!E24+'VICTOIRE M'!E24+'TH4 M '!E24+'DIVES M'!E24+'R314 M '!E24+'LYSE M '!E24+'ARTHUR M '!E24+'HUGO M '!E24+'JEANCLO M '!E24+'THOMAS M'!E24</f>
        <v>0</v>
      </c>
      <c r="F24" s="17">
        <f t="shared" si="2"/>
        <v>0</v>
      </c>
      <c r="G24" s="16">
        <f t="shared" si="3"/>
        <v>-2500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+'GLR5 M'!C25+'HTR8 M'!C25+'TIRR M'!C25+'VR7 M '!C25+'TURVILLA M'!C25+'HART M'!C25+'VICTOIRE M'!C25+'TH4 M '!C25+'DIVES M'!C25+'R314 M '!C25+'LYSE M '!C25+'ARTHUR M '!C25+'HUGO M '!C25+'JEANCLO M '!C25+'THOMAS M'!C25+'CATALINA M'!C25</f>
        <v>0</v>
      </c>
      <c r="D25" s="17">
        <f t="shared" si="2"/>
        <v>0</v>
      </c>
      <c r="E25" s="16">
        <f>+'GLR5 M'!E25+'HTR8 M'!E25+'TIRR M'!E25+'VR7 M '!E25+'TURVILLA M'!E25+'HART M'!E25+'VICTOIRE M'!E25+'TH4 M '!E25+'DIVES M'!E25+'R314 M '!E25+'LYSE M '!E25+'ARTHUR M '!E25+'HUGO M '!E25+'JEANCLO M '!E25+'THOMAS M'!E25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1050027.8600000001</v>
      </c>
      <c r="D26" s="50">
        <f t="shared" si="2"/>
        <v>23.309978183682485</v>
      </c>
      <c r="E26" s="51">
        <f>SUM(E20:E25)</f>
        <v>1275944.8200000003</v>
      </c>
      <c r="F26" s="50">
        <f t="shared" si="2"/>
        <v>26.217803366017574</v>
      </c>
      <c r="G26" s="51">
        <f>SUM(G20:G25)</f>
        <v>-225916.96000000005</v>
      </c>
      <c r="H26" s="50">
        <f t="shared" si="4"/>
        <v>-17.705856590255994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+'GLR5 M'!C28+'HTR8 M'!C28+'TIRR M'!C28+'VR7 M '!C28+'TURVILLA M'!C28+'HART M'!C28+'VICTOIRE M'!C28+'TH4 M '!C28+'DIVES M'!C28+'R314 M '!C28+'LYSE M '!C28+'ARTHUR M '!C28+'HUGO M '!C28+'JEANCLO M '!C28+'THOMAS M'!C28+'CATALINA M'!C28</f>
        <v>107038.80999999998</v>
      </c>
      <c r="D28" s="17">
        <f t="shared" ref="D28:F33" si="5">(C28*100)/C$8</f>
        <v>2.3761963095982366</v>
      </c>
      <c r="E28" s="16">
        <f>+'GLR5 M'!E28+'HTR8 M'!E28+'TIRR M'!E28+'VR7 M '!E28+'TURVILLA M'!E28+'HART M'!E28+'VICTOIRE M'!E28+'TH4 M '!E28+'DIVES M'!E28+'R314 M '!E28+'LYSE M '!E28+'ARTHUR M '!E28+'HUGO M '!E28+'JEANCLO M '!E28+'THOMAS M'!E28</f>
        <v>29049.23</v>
      </c>
      <c r="F28" s="17">
        <f t="shared" si="5"/>
        <v>0.59689650221254753</v>
      </c>
      <c r="G28" s="16">
        <f>+C28-E28</f>
        <v>77989.579999999987</v>
      </c>
      <c r="H28" s="17">
        <f t="shared" ref="H28:H33" si="6">IF(E28=0,0,G28/E28*100)</f>
        <v>268.47382873831759</v>
      </c>
    </row>
    <row r="29" spans="1:8" s="18" customFormat="1" x14ac:dyDescent="0.2">
      <c r="A29" s="13" t="s">
        <v>20</v>
      </c>
      <c r="B29" s="14" t="s">
        <v>2972</v>
      </c>
      <c r="C29" s="23">
        <f>+'GLR5 M'!C29+'HTR8 M'!C29+'TIRR M'!C29+'VR7 M '!C29+'TURVILLA M'!C29+'HART M'!C29+'VICTOIRE M'!C29+'TH4 M '!C29+'DIVES M'!C29+'R314 M '!C29+'LYSE M '!C29+'ARTHUR M '!C29+'HUGO M '!C29+'JEANCLO M '!C29+'THOMAS M'!C29+'CATALINA M'!C29</f>
        <v>1767.5000000000002</v>
      </c>
      <c r="D29" s="17">
        <f t="shared" si="5"/>
        <v>3.9237422176263775E-2</v>
      </c>
      <c r="E29" s="16">
        <f>+'GLR5 M'!E29+'HTR8 M'!E29+'TIRR M'!E29+'VR7 M '!E29+'TURVILLA M'!E29+'HART M'!E29+'VICTOIRE M'!E29+'TH4 M '!E29+'DIVES M'!E29+'R314 M '!E29+'LYSE M '!E29+'ARTHUR M '!E29+'HUGO M '!E29+'JEANCLO M '!E29+'THOMAS M'!E29</f>
        <v>4390.2300000000014</v>
      </c>
      <c r="F29" s="17">
        <f t="shared" si="5"/>
        <v>9.0209376665357152E-2</v>
      </c>
      <c r="G29" s="16">
        <f>+C29-E29</f>
        <v>-2622.7300000000014</v>
      </c>
      <c r="H29" s="17">
        <f t="shared" si="6"/>
        <v>-59.740150288253702</v>
      </c>
    </row>
    <row r="30" spans="1:8" s="18" customFormat="1" x14ac:dyDescent="0.2">
      <c r="A30" s="13" t="s">
        <v>21</v>
      </c>
      <c r="B30" s="14" t="s">
        <v>2973</v>
      </c>
      <c r="C30" s="23">
        <f>+'GLR5 M'!C30+'HTR8 M'!C30+'TIRR M'!C30+'VR7 M '!C30+'TURVILLA M'!C30+'HART M'!C30+'VICTOIRE M'!C30+'TH4 M '!C30+'DIVES M'!C30+'R314 M '!C30+'LYSE M '!C30+'ARTHUR M '!C30+'HUGO M '!C30+'JEANCLO M '!C30+'THOMAS M'!C30+'CATALINA M'!C30</f>
        <v>40066.959999999999</v>
      </c>
      <c r="D30" s="17">
        <f t="shared" si="5"/>
        <v>0.88946207911709951</v>
      </c>
      <c r="E30" s="16">
        <f>+'GLR5 M'!E30+'HTR8 M'!E30+'TIRR M'!E30+'VR7 M '!E30+'TURVILLA M'!E30+'HART M'!E30+'VICTOIRE M'!E30+'TH4 M '!E30+'DIVES M'!E30+'R314 M '!E30+'LYSE M '!E30+'ARTHUR M '!E30+'HUGO M '!E30+'JEANCLO M '!E30+'THOMAS M'!E30</f>
        <v>35334.630000000005</v>
      </c>
      <c r="F30" s="17">
        <f t="shared" si="5"/>
        <v>0.7260473704113517</v>
      </c>
      <c r="G30" s="16">
        <f>+C30-E30</f>
        <v>4732.3299999999945</v>
      </c>
      <c r="H30" s="17">
        <f t="shared" si="6"/>
        <v>13.392895298464975</v>
      </c>
    </row>
    <row r="31" spans="1:8" s="18" customFormat="1" x14ac:dyDescent="0.2">
      <c r="A31" s="13" t="s">
        <v>23</v>
      </c>
      <c r="B31" s="14" t="s">
        <v>2974</v>
      </c>
      <c r="C31" s="23">
        <f>+'GLR5 M'!C31+'HTR8 M'!C31+'TIRR M'!C31+'VR7 M '!C31+'TURVILLA M'!C31+'HART M'!C31+'VICTOIRE M'!C31+'TH4 M '!C31+'DIVES M'!C31+'R314 M '!C31+'LYSE M '!C31+'ARTHUR M '!C31+'HUGO M '!C31+'JEANCLO M '!C31+'THOMAS M'!C31+'CATALINA M'!C31</f>
        <v>38092.75</v>
      </c>
      <c r="D31" s="17">
        <f t="shared" si="5"/>
        <v>0.84563582099285528</v>
      </c>
      <c r="E31" s="16">
        <f>+'GLR5 M'!E31+'HTR8 M'!E31+'TIRR M'!E31+'VR7 M '!E31+'TURVILLA M'!E31+'HART M'!E31+'VICTOIRE M'!E31+'TH4 M '!E31+'DIVES M'!E31+'R314 M '!E31+'LYSE M '!E31+'ARTHUR M '!E31+'HUGO M '!E31+'JEANCLO M '!E31+'THOMAS M'!E31</f>
        <v>40865.650000000009</v>
      </c>
      <c r="F31" s="17">
        <f t="shared" si="5"/>
        <v>0.83969742212245202</v>
      </c>
      <c r="G31" s="16">
        <f>+C31-E31</f>
        <v>-2772.9000000000087</v>
      </c>
      <c r="H31" s="17">
        <f t="shared" si="6"/>
        <v>-6.7854053465441222</v>
      </c>
    </row>
    <row r="32" spans="1:8" s="18" customFormat="1" x14ac:dyDescent="0.2">
      <c r="A32" s="13" t="s">
        <v>25</v>
      </c>
      <c r="B32" s="14" t="s">
        <v>2975</v>
      </c>
      <c r="C32" s="23">
        <f>+'GLR5 M'!C32+'HTR8 M'!C32+'TIRR M'!C32+'VR7 M '!C32+'TURVILLA M'!C32+'HART M'!C32+'VICTOIRE M'!C32+'TH4 M '!C32+'DIVES M'!C32+'R314 M '!C32+'LYSE M '!C32+'ARTHUR M '!C32+'HUGO M '!C32+'JEANCLO M '!C32+'THOMAS M'!C32+'CATALINA M'!C32</f>
        <v>86944.16</v>
      </c>
      <c r="D32" s="17">
        <f t="shared" si="5"/>
        <v>1.9301073333412306</v>
      </c>
      <c r="E32" s="16">
        <f>+'GLR5 M'!E32+'HTR8 M'!E32+'TIRR M'!E32+'VR7 M '!E32+'TURVILLA M'!E32+'HART M'!E32+'VICTOIRE M'!E32+'TH4 M '!E32+'DIVES M'!E32+'R314 M '!E32+'LYSE M '!E32+'ARTHUR M '!E32+'HUGO M '!E32+'JEANCLO M '!E32+'THOMAS M'!E32</f>
        <v>106527.08</v>
      </c>
      <c r="F32" s="17">
        <f t="shared" si="5"/>
        <v>2.1888924919151465</v>
      </c>
      <c r="G32" s="16">
        <f>+C32-E32</f>
        <v>-19582.919999999998</v>
      </c>
      <c r="H32" s="17">
        <f t="shared" si="6"/>
        <v>-18.383044010968852</v>
      </c>
    </row>
    <row r="33" spans="1:8" ht="13.5" thickBot="1" x14ac:dyDescent="0.25">
      <c r="A33" s="7"/>
      <c r="B33" s="63" t="s">
        <v>2976</v>
      </c>
      <c r="C33" s="49">
        <f>SUM(C28:C32)</f>
        <v>273910.18</v>
      </c>
      <c r="D33" s="50">
        <f t="shared" si="5"/>
        <v>6.0806389652256865</v>
      </c>
      <c r="E33" s="51">
        <f>SUM(E28:E32)</f>
        <v>216166.82</v>
      </c>
      <c r="F33" s="50">
        <f t="shared" si="5"/>
        <v>4.441743163326854</v>
      </c>
      <c r="G33" s="51">
        <f>SUM(G28:G32)</f>
        <v>57743.359999999986</v>
      </c>
      <c r="H33" s="50">
        <f t="shared" si="6"/>
        <v>26.712406649642151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+'GLR5 M'!C35+'HTR8 M'!C35+'TIRR M'!C35+'VR7 M '!C35+'TURVILLA M'!C35+'HART M'!C35+'VICTOIRE M'!C35+'TH4 M '!C35+'DIVES M'!C35+'R314 M '!C35+'LYSE M '!C35+'ARTHUR M '!C35+'HUGO M '!C35+'JEANCLO M '!C35+'THOMAS M'!C35+'CATALINA M'!C35</f>
        <v>66600.650000000009</v>
      </c>
      <c r="D35" s="17">
        <f t="shared" ref="D35:F42" si="7">(C35*100)/C$8</f>
        <v>1.4784938168393673</v>
      </c>
      <c r="E35" s="16">
        <f>+'GLR5 M'!E35+'HTR8 M'!E35+'TIRR M'!E35+'VR7 M '!E35+'TURVILLA M'!E35+'HART M'!E35+'VICTOIRE M'!E35+'TH4 M '!E35+'DIVES M'!E35+'R314 M '!E35+'LYSE M '!E35+'ARTHUR M '!E35+'HUGO M '!E35+'JEANCLO M '!E35+'THOMAS M'!E35</f>
        <v>51384.71</v>
      </c>
      <c r="F35" s="17">
        <f t="shared" si="7"/>
        <v>1.05584050476402</v>
      </c>
      <c r="G35" s="16">
        <f t="shared" ref="G35:G41" si="8">+C35-E35</f>
        <v>15215.94000000001</v>
      </c>
      <c r="H35" s="17">
        <f t="shared" ref="H35:H42" si="9">IF(E35=0,0,G35/E35*100)</f>
        <v>29.611804756706828</v>
      </c>
    </row>
    <row r="36" spans="1:8" s="18" customFormat="1" x14ac:dyDescent="0.2">
      <c r="A36" s="13" t="s">
        <v>30</v>
      </c>
      <c r="B36" s="14" t="s">
        <v>145</v>
      </c>
      <c r="C36" s="23">
        <f>+'GLR5 M'!C36+'HTR8 M'!C36+'TIRR M'!C36+'VR7 M '!C36+'TURVILLA M'!C36+'HART M'!C36+'VICTOIRE M'!C36+'TH4 M '!C36+'DIVES M'!C36+'R314 M '!C36+'LYSE M '!C36+'ARTHUR M '!C36+'HUGO M '!C36+'JEANCLO M '!C36+'THOMAS M'!C36+'CATALINA M'!C36</f>
        <v>181497.87</v>
      </c>
      <c r="D36" s="17">
        <f t="shared" si="7"/>
        <v>4.0291420363692438</v>
      </c>
      <c r="E36" s="16">
        <f>+'GLR5 M'!E36+'HTR8 M'!E36+'TIRR M'!E36+'VR7 M '!E36+'TURVILLA M'!E36+'HART M'!E36+'VICTOIRE M'!E36+'TH4 M '!E36+'DIVES M'!E36+'R314 M '!E36+'LYSE M '!E36+'ARTHUR M '!E36+'HUGO M '!E36+'JEANCLO M '!E36+'THOMAS M'!E36</f>
        <v>195071.94</v>
      </c>
      <c r="F36" s="17">
        <f t="shared" si="7"/>
        <v>4.0082907073893503</v>
      </c>
      <c r="G36" s="16">
        <f t="shared" si="8"/>
        <v>-13574.070000000007</v>
      </c>
      <c r="H36" s="17">
        <f t="shared" si="9"/>
        <v>-6.9584943893006885</v>
      </c>
    </row>
    <row r="37" spans="1:8" s="18" customFormat="1" x14ac:dyDescent="0.2">
      <c r="A37" s="13" t="s">
        <v>32</v>
      </c>
      <c r="B37" s="14" t="s">
        <v>19</v>
      </c>
      <c r="C37" s="23">
        <f>+'GLR5 M'!C37+'HTR8 M'!C37+'TIRR M'!C37+'VR7 M '!C37+'TURVILLA M'!C37+'HART M'!C37+'VICTOIRE M'!C37+'TH4 M '!C37+'DIVES M'!C37+'R314 M '!C37+'LYSE M '!C37+'ARTHUR M '!C37+'HUGO M '!C37+'JEANCLO M '!C37+'THOMAS M'!C37+'CATALINA M'!C37</f>
        <v>88721.229999999981</v>
      </c>
      <c r="D37" s="17">
        <f t="shared" si="7"/>
        <v>1.969557203681696</v>
      </c>
      <c r="E37" s="16">
        <f>+'GLR5 M'!E37+'HTR8 M'!E37+'TIRR M'!E37+'VR7 M '!E37+'TURVILLA M'!E37+'HART M'!E37+'VICTOIRE M'!E37+'TH4 M '!E37+'DIVES M'!E37+'R314 M '!E37+'LYSE M '!E37+'ARTHUR M '!E37+'HUGO M '!E37+'JEANCLO M '!E37+'THOMAS M'!E37</f>
        <v>83584.78</v>
      </c>
      <c r="F37" s="17">
        <f t="shared" si="7"/>
        <v>1.7174796998132238</v>
      </c>
      <c r="G37" s="16">
        <f t="shared" si="8"/>
        <v>5136.4499999999825</v>
      </c>
      <c r="H37" s="17">
        <f t="shared" si="9"/>
        <v>6.1451977261888855</v>
      </c>
    </row>
    <row r="38" spans="1:8" s="18" customFormat="1" x14ac:dyDescent="0.2">
      <c r="A38" s="13" t="s">
        <v>34</v>
      </c>
      <c r="B38" s="14" t="s">
        <v>28</v>
      </c>
      <c r="C38" s="23">
        <f>+'GLR5 M'!C38+'HTR8 M'!C38+'TIRR M'!C38+'VR7 M '!C38+'TURVILLA M'!C38+'HART M'!C38+'VICTOIRE M'!C38+'TH4 M '!C38+'DIVES M'!C38+'R314 M '!C38+'LYSE M '!C38+'ARTHUR M '!C38+'HUGO M '!C38+'JEANCLO M '!C38+'THOMAS M'!C38+'CATALINA M'!C38</f>
        <v>136016.26</v>
      </c>
      <c r="D38" s="17">
        <f t="shared" si="7"/>
        <v>3.0194780291125651</v>
      </c>
      <c r="E38" s="16">
        <f>+'GLR5 M'!E38+'HTR8 M'!E38+'TIRR M'!E38+'VR7 M '!E38+'TURVILLA M'!E38+'HART M'!E38+'VICTOIRE M'!E38+'TH4 M '!E38+'DIVES M'!E38+'R314 M '!E38+'LYSE M '!E38+'ARTHUR M '!E38+'HUGO M '!E38+'JEANCLO M '!E38+'THOMAS M'!E38</f>
        <v>204463.53000000003</v>
      </c>
      <c r="F38" s="17">
        <f t="shared" si="7"/>
        <v>4.201266811100683</v>
      </c>
      <c r="G38" s="16">
        <f t="shared" si="8"/>
        <v>-68447.270000000019</v>
      </c>
      <c r="H38" s="17">
        <f t="shared" si="9"/>
        <v>-33.476517792684106</v>
      </c>
    </row>
    <row r="39" spans="1:8" s="18" customFormat="1" x14ac:dyDescent="0.2">
      <c r="A39" s="13" t="s">
        <v>2978</v>
      </c>
      <c r="B39" s="14" t="s">
        <v>2980</v>
      </c>
      <c r="C39" s="23">
        <f>+'GLR5 M'!C39+'HTR8 M'!C39+'TIRR M'!C39+'VR7 M '!C39+'TURVILLA M'!C39+'HART M'!C39+'VICTOIRE M'!C39+'TH4 M '!C39+'DIVES M'!C39+'R314 M '!C39+'LYSE M '!C39+'ARTHUR M '!C39+'HUGO M '!C39+'JEANCLO M '!C39+'THOMAS M'!C39+'CATALINA M'!C39</f>
        <v>36323.49</v>
      </c>
      <c r="D39" s="17">
        <f t="shared" si="7"/>
        <v>0.80635932788984166</v>
      </c>
      <c r="E39" s="16">
        <f>+'GLR5 M'!E39+'HTR8 M'!E39+'TIRR M'!E39+'VR7 M '!E39+'TURVILLA M'!E39+'HART M'!E39+'VICTOIRE M'!E39+'TH4 M '!E39+'DIVES M'!E39+'R314 M '!E39+'LYSE M '!E39+'ARTHUR M '!E39+'HUGO M '!E39+'JEANCLO M '!E39+'THOMAS M'!E39</f>
        <v>58864.130000000005</v>
      </c>
      <c r="F39" s="17">
        <f t="shared" si="7"/>
        <v>1.2095258050827744</v>
      </c>
      <c r="G39" s="16">
        <f t="shared" si="8"/>
        <v>-22540.640000000007</v>
      </c>
      <c r="H39" s="17">
        <f t="shared" si="9"/>
        <v>-38.292658024504917</v>
      </c>
    </row>
    <row r="40" spans="1:8" s="18" customFormat="1" x14ac:dyDescent="0.2">
      <c r="A40" s="13" t="s">
        <v>2979</v>
      </c>
      <c r="B40" s="14" t="s">
        <v>2981</v>
      </c>
      <c r="C40" s="23">
        <f>+'GLR5 M'!C40+'HTR8 M'!C40+'TIRR M'!C40+'VR7 M '!C40+'TURVILLA M'!C40+'HART M'!C40+'VICTOIRE M'!C40+'TH4 M '!C40+'DIVES M'!C40+'R314 M '!C40+'LYSE M '!C40+'ARTHUR M '!C40+'HUGO M '!C40+'JEANCLO M '!C40+'THOMAS M'!C40+'CATALINA M'!C40</f>
        <v>2669.45</v>
      </c>
      <c r="D40" s="17">
        <f t="shared" si="7"/>
        <v>5.9260162166012625E-2</v>
      </c>
      <c r="E40" s="16">
        <f>+'GLR5 M'!E40+'HTR8 M'!E40+'TIRR M'!E40+'VR7 M '!E40+'TURVILLA M'!E40+'HART M'!E40+'VICTOIRE M'!E40+'TH4 M '!E40+'DIVES M'!E40+'R314 M '!E40+'LYSE M '!E40+'ARTHUR M '!E40+'HUGO M '!E40+'JEANCLO M '!E40+'THOMAS M'!E40</f>
        <v>4369.2400000000007</v>
      </c>
      <c r="F40" s="17">
        <f t="shared" si="7"/>
        <v>8.9778079258112917E-2</v>
      </c>
      <c r="G40" s="16">
        <f t="shared" si="8"/>
        <v>-1699.7900000000009</v>
      </c>
      <c r="H40" s="17">
        <f t="shared" si="9"/>
        <v>-38.90356217557288</v>
      </c>
    </row>
    <row r="41" spans="1:8" s="18" customFormat="1" x14ac:dyDescent="0.2">
      <c r="A41" s="13" t="s">
        <v>2982</v>
      </c>
      <c r="B41" s="14" t="s">
        <v>2983</v>
      </c>
      <c r="C41" s="23">
        <f>+'GLR5 M'!C41+'HTR8 M'!C41+'TIRR M'!C41+'VR7 M '!C41+'TURVILLA M'!C41+'HART M'!C41+'VICTOIRE M'!C41+'TH4 M '!C41+'DIVES M'!C41+'R314 M '!C41+'LYSE M '!C41+'ARTHUR M '!C41+'HUGO M '!C41+'JEANCLO M '!C41+'THOMAS M'!C41+'CATALINA M'!C41</f>
        <v>12642.98</v>
      </c>
      <c r="D41" s="17">
        <f t="shared" si="7"/>
        <v>0.28066644629480014</v>
      </c>
      <c r="E41" s="16">
        <f>+'GLR5 M'!E41+'HTR8 M'!E41+'TIRR M'!E41+'VR7 M '!E41+'TURVILLA M'!E41+'HART M'!E41+'VICTOIRE M'!E41+'TH4 M '!E41+'DIVES M'!E41+'R314 M '!E41+'LYSE M '!E41+'ARTHUR M '!E41+'HUGO M '!E41+'JEANCLO M '!E41+'THOMAS M'!E41</f>
        <v>14209.019999999999</v>
      </c>
      <c r="F41" s="17">
        <f t="shared" si="7"/>
        <v>0.29196348191907773</v>
      </c>
      <c r="G41" s="16">
        <f t="shared" si="8"/>
        <v>-1566.0399999999991</v>
      </c>
      <c r="H41" s="17">
        <f t="shared" si="9"/>
        <v>-11.021449755155523</v>
      </c>
    </row>
    <row r="42" spans="1:8" ht="13.5" thickBot="1" x14ac:dyDescent="0.25">
      <c r="A42" s="13"/>
      <c r="B42" s="63" t="s">
        <v>2984</v>
      </c>
      <c r="C42" s="49">
        <f>+SUM(C35:C41)</f>
        <v>524471.93000000005</v>
      </c>
      <c r="D42" s="50">
        <f t="shared" si="7"/>
        <v>11.642957022353528</v>
      </c>
      <c r="E42" s="51">
        <f>+SUM(E35:E41)</f>
        <v>611947.35</v>
      </c>
      <c r="F42" s="50">
        <f t="shared" si="7"/>
        <v>12.57414508932724</v>
      </c>
      <c r="G42" s="51">
        <f>+SUM(G35:G41)</f>
        <v>-87475.420000000027</v>
      </c>
      <c r="H42" s="50">
        <f t="shared" si="9"/>
        <v>-14.294599036992322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1483962.9599999995</v>
      </c>
      <c r="D44" s="71">
        <f>(C44*100)/C$8</f>
        <v>32.943072789509479</v>
      </c>
      <c r="E44" s="72">
        <f>E18-E26-E33-E42</f>
        <v>1531146.9899999993</v>
      </c>
      <c r="F44" s="71">
        <f>(E44*100)/E$8</f>
        <v>31.461635392892344</v>
      </c>
      <c r="G44" s="72">
        <f>G18-G26-G33-G42</f>
        <v>-47184.030000000304</v>
      </c>
      <c r="H44" s="71">
        <f>IF(E44=0,0,G44/E44*100)</f>
        <v>-3.0816133466062801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+'GLR5 M'!C46+'HTR8 M'!C46+'TIRR M'!C46+'VR7 M '!C46+'TURVILLA M'!C46+'HART M'!C46+'VICTOIRE M'!C46+'TH4 M '!C46+'DIVES M'!C46+'R314 M '!C46+'LYSE M '!C46+'ARTHUR M '!C46+'HUGO M '!C46+'JEANCLO M '!C46+'THOMAS M'!C46+'CATALINA M'!C46</f>
        <v>655128.24</v>
      </c>
      <c r="D46" s="17">
        <f t="shared" ref="D46:F49" si="10">(C46*100)/C$8</f>
        <v>14.543447429970383</v>
      </c>
      <c r="E46" s="16">
        <f>+'GLR5 M'!E46+'HTR8 M'!E46+'TIRR M'!E46+'VR7 M '!E46+'TURVILLA M'!E46+'HART M'!E46+'VICTOIRE M'!E46+'TH4 M '!E46+'DIVES M'!E46+'R314 M '!E46+'LYSE M '!E46+'ARTHUR M '!E46+'HUGO M '!E46+'JEANCLO M '!E46+'THOMAS M'!E46</f>
        <v>724937.81</v>
      </c>
      <c r="F46" s="17">
        <f t="shared" si="10"/>
        <v>14.895845539128725</v>
      </c>
      <c r="G46" s="16">
        <f>+C46-E46</f>
        <v>-69809.570000000065</v>
      </c>
      <c r="H46" s="17">
        <f>IF(E46=0,0,G46/E46*100)</f>
        <v>-9.6297322386868007</v>
      </c>
    </row>
    <row r="47" spans="1:8" s="18" customFormat="1" x14ac:dyDescent="0.2">
      <c r="A47" s="13" t="s">
        <v>35</v>
      </c>
      <c r="B47" s="14" t="s">
        <v>2986</v>
      </c>
      <c r="C47" s="23">
        <f>+'GLR5 M'!C47+'HTR8 M'!C47+'TIRR M'!C47+'VR7 M '!C47+'TURVILLA M'!C47+'HART M'!C47+'VICTOIRE M'!C47+'TH4 M '!C47+'DIVES M'!C47+'R314 M '!C47+'LYSE M '!C47+'ARTHUR M '!C47+'HUGO M '!C47+'JEANCLO M '!C47+'THOMAS M'!C47+'CATALINA M'!C47</f>
        <v>2430.44</v>
      </c>
      <c r="D47" s="17">
        <f t="shared" si="10"/>
        <v>5.3954285914613022E-2</v>
      </c>
      <c r="E47" s="16">
        <f>+'GLR5 M'!E47+'HTR8 M'!E47+'TIRR M'!E47+'VR7 M '!E47+'TURVILLA M'!E47+'HART M'!E47+'VICTOIRE M'!E47+'TH4 M '!E47+'DIVES M'!E47+'R314 M '!E47+'LYSE M '!E47+'ARTHUR M '!E47+'HUGO M '!E47+'JEANCLO M '!E47+'THOMAS M'!E47</f>
        <v>3724.3199999999997</v>
      </c>
      <c r="F47" s="17">
        <f t="shared" si="10"/>
        <v>7.6526420188081923E-2</v>
      </c>
      <c r="G47" s="16">
        <f>+C47-E47</f>
        <v>-1293.8799999999997</v>
      </c>
      <c r="H47" s="17">
        <f>IF(E47=0,0,G47/E47*100)</f>
        <v>-34.741375606822174</v>
      </c>
    </row>
    <row r="48" spans="1:8" s="18" customFormat="1" x14ac:dyDescent="0.2">
      <c r="A48" s="13" t="s">
        <v>37</v>
      </c>
      <c r="B48" s="14" t="s">
        <v>2987</v>
      </c>
      <c r="C48" s="23">
        <f>+'GLR5 M'!C48+'HTR8 M'!C48+'TIRR M'!C48+'VR7 M '!C48+'TURVILLA M'!C48+'HART M'!C48+'VICTOIRE M'!C48+'TH4 M '!C48+'DIVES M'!C48+'R314 M '!C48+'LYSE M '!C48+'ARTHUR M '!C48+'HUGO M '!C48+'JEANCLO M '!C48+'THOMAS M'!C48+'CATALINA M'!C48</f>
        <v>-18509.070000000003</v>
      </c>
      <c r="D48" s="17">
        <f t="shared" si="10"/>
        <v>-0.41089006714569648</v>
      </c>
      <c r="E48" s="16">
        <f>+'GLR5 M'!E48+'HTR8 M'!E48+'TIRR M'!E48+'VR7 M '!E48+'TURVILLA M'!E48+'HART M'!E48+'VICTOIRE M'!E48+'TH4 M '!E48+'DIVES M'!E48+'R314 M '!E48+'LYSE M '!E48+'ARTHUR M '!E48+'HUGO M '!E48+'JEANCLO M '!E48+'THOMAS M'!E48</f>
        <v>-11363.57</v>
      </c>
      <c r="F48" s="17">
        <f t="shared" si="10"/>
        <v>-0.23349586841535691</v>
      </c>
      <c r="G48" s="16">
        <f>+C48-E48</f>
        <v>-7145.5000000000036</v>
      </c>
      <c r="H48" s="17">
        <f>IF(E48=0,0,G48/E48*100)</f>
        <v>62.880767223680621</v>
      </c>
    </row>
    <row r="49" spans="1:8" ht="13.5" thickBot="1" x14ac:dyDescent="0.25">
      <c r="A49" s="13"/>
      <c r="B49" s="63" t="s">
        <v>2988</v>
      </c>
      <c r="C49" s="49">
        <f>SUM(C46:C48)</f>
        <v>639049.61</v>
      </c>
      <c r="D49" s="50">
        <f t="shared" si="10"/>
        <v>14.1865116487393</v>
      </c>
      <c r="E49" s="51">
        <f>SUM(E46:E48)</f>
        <v>717298.56</v>
      </c>
      <c r="F49" s="50">
        <f t="shared" si="10"/>
        <v>14.738876090901449</v>
      </c>
      <c r="G49" s="51">
        <f>SUM(G46:G48)</f>
        <v>-78248.95000000007</v>
      </c>
      <c r="H49" s="50">
        <f>IF(E49=0,0,G49/E49*100)</f>
        <v>-10.908839688734362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+'GLR5 M'!C51+'HTR8 M'!C51+'TIRR M'!C51+'VR7 M '!C51+'TURVILLA M'!C51+'HART M'!C51+'VICTOIRE M'!C51+'TH4 M '!C51+'DIVES M'!C51+'R314 M '!C51+'LYSE M '!C51+'ARTHUR M '!C51+'HUGO M '!C51+'JEANCLO M '!C51+'THOMAS M'!C51+'CATALINA M'!C51</f>
        <v>4992</v>
      </c>
      <c r="D51" s="17">
        <f t="shared" ref="D51:F59" si="11">(C51*100)/C$8</f>
        <v>0.11081935587208415</v>
      </c>
      <c r="E51" s="16">
        <f>+'GLR5 M'!E51+'HTR8 M'!E51+'TIRR M'!E51+'VR7 M '!E51+'TURVILLA M'!E51+'HART M'!E51+'VICTOIRE M'!E51+'TH4 M '!E51+'DIVES M'!E51+'R314 M '!E51+'LYSE M '!E51+'ARTHUR M '!E51+'HUGO M '!E51+'JEANCLO M '!E51+'THOMAS M'!E51</f>
        <v>9400.9</v>
      </c>
      <c r="F51" s="17">
        <f t="shared" si="11"/>
        <v>0.19316740332359714</v>
      </c>
      <c r="G51" s="16">
        <f t="shared" ref="G51:G58" si="12">+C51-E51</f>
        <v>-4408.8999999999996</v>
      </c>
      <c r="H51" s="17">
        <f t="shared" ref="H51:H59" si="13">IF(E51=0,0,G51/E51*100)</f>
        <v>-46.898701188184106</v>
      </c>
    </row>
    <row r="52" spans="1:8" s="18" customFormat="1" x14ac:dyDescent="0.2">
      <c r="A52" s="13" t="s">
        <v>42</v>
      </c>
      <c r="B52" s="14" t="s">
        <v>38</v>
      </c>
      <c r="C52" s="23">
        <f>+'GLR5 M'!C52+'HTR8 M'!C52+'TIRR M'!C52+'VR7 M '!C52+'TURVILLA M'!C52+'HART M'!C52+'VICTOIRE M'!C52+'TH4 M '!C52+'DIVES M'!C52+'R314 M '!C52+'LYSE M '!C52+'ARTHUR M '!C52+'HUGO M '!C52+'JEANCLO M '!C52+'THOMAS M'!C52+'CATALINA M'!C52</f>
        <v>229694.48</v>
      </c>
      <c r="D52" s="17">
        <f t="shared" si="11"/>
        <v>5.0990773880154876</v>
      </c>
      <c r="E52" s="16">
        <f>+'GLR5 M'!E52+'HTR8 M'!E52+'TIRR M'!E52+'VR7 M '!E52+'TURVILLA M'!E52+'HART M'!E52+'VICTOIRE M'!E52+'TH4 M '!E52+'DIVES M'!E52+'R314 M '!E52+'LYSE M '!E52+'ARTHUR M '!E52+'HUGO M '!E52+'JEANCLO M '!E52+'THOMAS M'!E52</f>
        <v>245824.07</v>
      </c>
      <c r="F52" s="17">
        <f t="shared" si="11"/>
        <v>5.0511331123975554</v>
      </c>
      <c r="G52" s="16">
        <f t="shared" si="12"/>
        <v>-16129.589999999997</v>
      </c>
      <c r="H52" s="17">
        <f t="shared" si="13"/>
        <v>-6.561436396362649</v>
      </c>
    </row>
    <row r="53" spans="1:8" s="18" customFormat="1" x14ac:dyDescent="0.2">
      <c r="A53" s="13" t="s">
        <v>44</v>
      </c>
      <c r="B53" s="14" t="s">
        <v>62</v>
      </c>
      <c r="C53" s="23">
        <f>+'GLR5 M'!C53+'HTR8 M'!C53+'TIRR M'!C53+'VR7 M '!C53+'TURVILLA M'!C53+'HART M'!C53+'VICTOIRE M'!C53+'TH4 M '!C53+'DIVES M'!C53+'R314 M '!C53+'LYSE M '!C53+'ARTHUR M '!C53+'HUGO M '!C53+'JEANCLO M '!C53+'THOMAS M'!C53+'CATALINA M'!C53</f>
        <v>21226.1</v>
      </c>
      <c r="D53" s="17">
        <f t="shared" si="11"/>
        <v>0.47120647629736484</v>
      </c>
      <c r="E53" s="16">
        <f>+'GLR5 M'!E53+'HTR8 M'!E53+'TIRR M'!E53+'VR7 M '!E53+'TURVILLA M'!E53+'HART M'!E53+'VICTOIRE M'!E53+'TH4 M '!E53+'DIVES M'!E53+'R314 M '!E53+'LYSE M '!E53+'ARTHUR M '!E53+'HUGO M '!E53+'JEANCLO M '!E53+'THOMAS M'!E53</f>
        <v>18459.28</v>
      </c>
      <c r="F53" s="17">
        <f t="shared" si="11"/>
        <v>0.37929678911840464</v>
      </c>
      <c r="G53" s="16">
        <f t="shared" si="12"/>
        <v>2766.8199999999997</v>
      </c>
      <c r="H53" s="17">
        <f t="shared" si="13"/>
        <v>14.988775293510907</v>
      </c>
    </row>
    <row r="54" spans="1:8" s="18" customFormat="1" x14ac:dyDescent="0.2">
      <c r="A54" s="13" t="s">
        <v>45</v>
      </c>
      <c r="B54" s="14" t="s">
        <v>41</v>
      </c>
      <c r="C54" s="23">
        <f>+'GLR5 M'!C54+'HTR8 M'!C54+'TIRR M'!C54+'VR7 M '!C54+'TURVILLA M'!C54+'HART M'!C54+'VICTOIRE M'!C54+'TH4 M '!C54+'DIVES M'!C54+'R314 M '!C54+'LYSE M '!C54+'ARTHUR M '!C54+'HUGO M '!C54+'JEANCLO M '!C54+'THOMAS M'!C54+'CATALINA M'!C54</f>
        <v>22725.789999999997</v>
      </c>
      <c r="D54" s="17">
        <f t="shared" si="11"/>
        <v>0.50449867978450535</v>
      </c>
      <c r="E54" s="16">
        <f>+'GLR5 M'!E54+'HTR8 M'!E54+'TIRR M'!E54+'VR7 M '!E54+'TURVILLA M'!E54+'HART M'!E54+'VICTOIRE M'!E54+'TH4 M '!E54+'DIVES M'!E54+'R314 M '!E54+'LYSE M '!E54+'ARTHUR M '!E54+'HUGO M '!E54+'JEANCLO M '!E54+'THOMAS M'!E54</f>
        <v>23289.829999999998</v>
      </c>
      <c r="F54" s="17">
        <f t="shared" si="11"/>
        <v>0.47855375389037352</v>
      </c>
      <c r="G54" s="16">
        <f t="shared" si="12"/>
        <v>-564.04000000000087</v>
      </c>
      <c r="H54" s="17">
        <f t="shared" si="13"/>
        <v>-2.4218296140418412</v>
      </c>
    </row>
    <row r="55" spans="1:8" s="18" customFormat="1" x14ac:dyDescent="0.2">
      <c r="A55" s="13" t="s">
        <v>47</v>
      </c>
      <c r="B55" s="14" t="s">
        <v>43</v>
      </c>
      <c r="C55" s="23">
        <f>+'GLR5 M'!C55+'HTR8 M'!C55+'TIRR M'!C55+'VR7 M '!C55+'TURVILLA M'!C55+'HART M'!C55+'VICTOIRE M'!C55+'TH4 M '!C55+'DIVES M'!C55+'R314 M '!C55+'LYSE M '!C55+'ARTHUR M '!C55+'HUGO M '!C55+'JEANCLO M '!C55+'THOMAS M'!C55+'CATALINA M'!C55</f>
        <v>41738.640000000007</v>
      </c>
      <c r="D55" s="17">
        <f t="shared" si="11"/>
        <v>0.92657235572452057</v>
      </c>
      <c r="E55" s="16">
        <f>+'GLR5 M'!E55+'HTR8 M'!E55+'TIRR M'!E55+'VR7 M '!E55+'TURVILLA M'!E55+'HART M'!E55+'VICTOIRE M'!E55+'TH4 M '!E55+'DIVES M'!E55+'R314 M '!E55+'LYSE M '!E55+'ARTHUR M '!E55+'HUGO M '!E55+'JEANCLO M '!E55+'THOMAS M'!E55</f>
        <v>51687.48</v>
      </c>
      <c r="F55" s="17">
        <f t="shared" si="11"/>
        <v>1.0620617489751365</v>
      </c>
      <c r="G55" s="16">
        <f t="shared" si="12"/>
        <v>-9948.8399999999965</v>
      </c>
      <c r="H55" s="17">
        <f t="shared" si="13"/>
        <v>-19.248065488973339</v>
      </c>
    </row>
    <row r="56" spans="1:8" s="18" customFormat="1" x14ac:dyDescent="0.2">
      <c r="A56" s="13" t="s">
        <v>48</v>
      </c>
      <c r="B56" s="14" t="s">
        <v>46</v>
      </c>
      <c r="C56" s="23">
        <f>+'GLR5 M'!C56+'HTR8 M'!C56+'TIRR M'!C56+'VR7 M '!C56+'TURVILLA M'!C56+'HART M'!C56+'VICTOIRE M'!C56+'TH4 M '!C56+'DIVES M'!C56+'R314 M '!C56+'LYSE M '!C56+'ARTHUR M '!C56+'HUGO M '!C56+'JEANCLO M '!C56+'THOMAS M'!C56+'CATALINA M'!C56</f>
        <v>154358.49</v>
      </c>
      <c r="D56" s="17">
        <f t="shared" si="11"/>
        <v>3.4266643499975045</v>
      </c>
      <c r="E56" s="16">
        <f>+'GLR5 M'!E56+'HTR8 M'!E56+'TIRR M'!E56+'VR7 M '!E56+'TURVILLA M'!E56+'HART M'!E56+'VICTOIRE M'!E56+'TH4 M '!E56+'DIVES M'!E56+'R314 M '!E56+'LYSE M '!E56+'ARTHUR M '!E56+'HUGO M '!E56+'JEANCLO M '!E56+'THOMAS M'!E56</f>
        <v>187299.11</v>
      </c>
      <c r="F56" s="17">
        <f t="shared" si="11"/>
        <v>3.8485764898595654</v>
      </c>
      <c r="G56" s="16">
        <f t="shared" si="12"/>
        <v>-32940.619999999995</v>
      </c>
      <c r="H56" s="17">
        <f t="shared" si="13"/>
        <v>-17.587173799170746</v>
      </c>
    </row>
    <row r="57" spans="1:8" s="18" customFormat="1" x14ac:dyDescent="0.2">
      <c r="A57" s="13" t="s">
        <v>50</v>
      </c>
      <c r="B57" s="14" t="s">
        <v>2990</v>
      </c>
      <c r="C57" s="23">
        <f>+'GLR5 M'!C57+'HTR8 M'!C57+'TIRR M'!C57+'VR7 M '!C57+'TURVILLA M'!C57+'HART M'!C57+'VICTOIRE M'!C57+'TH4 M '!C57+'DIVES M'!C57+'R314 M '!C57+'LYSE M '!C57+'ARTHUR M '!C57+'HUGO M '!C57+'JEANCLO M '!C57+'THOMAS M'!C57+'CATALINA M'!C57</f>
        <v>8850.07</v>
      </c>
      <c r="D57" s="17">
        <f t="shared" si="11"/>
        <v>0.19646615721611693</v>
      </c>
      <c r="E57" s="16">
        <f>+'GLR5 M'!E57+'HTR8 M'!E57+'TIRR M'!E57+'VR7 M '!E57+'TURVILLA M'!E57+'HART M'!E57+'VICTOIRE M'!E57+'TH4 M '!E57+'DIVES M'!E57+'R314 M '!E57+'LYSE M '!E57+'ARTHUR M '!E57+'HUGO M '!E57+'JEANCLO M '!E57+'THOMAS M'!E57</f>
        <v>3771.98</v>
      </c>
      <c r="F57" s="17">
        <f t="shared" si="11"/>
        <v>7.7505726259032848E-2</v>
      </c>
      <c r="G57" s="16">
        <f t="shared" si="12"/>
        <v>5078.09</v>
      </c>
      <c r="H57" s="17">
        <f t="shared" si="13"/>
        <v>134.62664171071955</v>
      </c>
    </row>
    <row r="58" spans="1:8" s="18" customFormat="1" x14ac:dyDescent="0.2">
      <c r="A58" s="13" t="s">
        <v>52</v>
      </c>
      <c r="B58" s="14" t="s">
        <v>51</v>
      </c>
      <c r="C58" s="23">
        <f>+'GLR5 M'!C58+'HTR8 M'!C58+'TIRR M'!C58+'VR7 M '!C58+'TURVILLA M'!C58+'HART M'!C58+'VICTOIRE M'!C58+'TH4 M '!C58+'DIVES M'!C58+'R314 M '!C58+'LYSE M '!C58+'ARTHUR M '!C58+'HUGO M '!C58+'JEANCLO M '!C58+'THOMAS M'!C58+'CATALINA M'!C58</f>
        <v>12382.720000000001</v>
      </c>
      <c r="D58" s="17">
        <f t="shared" si="11"/>
        <v>0.27488883300167744</v>
      </c>
      <c r="E58" s="16">
        <f>+'GLR5 M'!E58+'HTR8 M'!E58+'TIRR M'!E58+'VR7 M '!E58+'TURVILLA M'!E58+'HART M'!E58+'VICTOIRE M'!E58+'TH4 M '!E58+'DIVES M'!E58+'R314 M '!E58+'LYSE M '!E58+'ARTHUR M '!E58+'HUGO M '!E58+'JEANCLO M '!E58+'THOMAS M'!E58</f>
        <v>26151.72</v>
      </c>
      <c r="F58" s="17">
        <f t="shared" si="11"/>
        <v>0.53735917250963017</v>
      </c>
      <c r="G58" s="16">
        <f t="shared" si="12"/>
        <v>-13769</v>
      </c>
      <c r="H58" s="17">
        <f t="shared" si="13"/>
        <v>-52.650456643004738</v>
      </c>
    </row>
    <row r="59" spans="1:8" ht="13.5" thickBot="1" x14ac:dyDescent="0.25">
      <c r="A59" s="13"/>
      <c r="B59" s="63" t="s">
        <v>2994</v>
      </c>
      <c r="C59" s="49">
        <f>SUM(C51:C58)</f>
        <v>495968.29000000004</v>
      </c>
      <c r="D59" s="50">
        <f t="shared" si="11"/>
        <v>11.010193595909261</v>
      </c>
      <c r="E59" s="51">
        <f>SUM(E51:E58)</f>
        <v>565884.36999999988</v>
      </c>
      <c r="F59" s="50">
        <f t="shared" si="11"/>
        <v>11.627654196333292</v>
      </c>
      <c r="G59" s="51">
        <f>SUM(G51:G58)</f>
        <v>-69916.079999999987</v>
      </c>
      <c r="H59" s="50">
        <f t="shared" si="13"/>
        <v>-12.355188392992725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2983427.87</v>
      </c>
      <c r="D61" s="71">
        <f>(C61*100)/C$8</f>
        <v>66.23027941591026</v>
      </c>
      <c r="E61" s="72">
        <f>E59+E49+E42+E33+E26</f>
        <v>3387241.92</v>
      </c>
      <c r="F61" s="71">
        <f>(E61*100)/E$8</f>
        <v>69.600221905906409</v>
      </c>
      <c r="G61" s="72">
        <f>G59+G49+G42+G33+G26</f>
        <v>-403814.05000000016</v>
      </c>
      <c r="H61" s="71">
        <f>IF(E61=0,0,G61/E61*100)</f>
        <v>-11.921618223241644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+'GLR5 M'!C63+'HTR8 M'!C63+'TIRR M'!C63+'VR7 M '!C63+'TURVILLA M'!C63+'HART M'!C63+'VICTOIRE M'!C63+'TH4 M '!C63+'DIVES M'!C63+'R314 M '!C63+'LYSE M '!C63+'ARTHUR M '!C63+'HUGO M '!C63+'JEANCLO M '!C63+'THOMAS M'!C63+'CATALINA M'!C63</f>
        <v>77401.690000000017</v>
      </c>
      <c r="D63" s="17">
        <f t="shared" ref="D63:F65" si="14">(C63*100)/C$8</f>
        <v>1.7182703183515102</v>
      </c>
      <c r="E63" s="16">
        <f>+'GLR5 M'!E63+'HTR8 M'!E63+'TIRR M'!E63+'VR7 M '!E63+'TURVILLA M'!E63+'HART M'!E63+'VICTOIRE M'!E63+'TH4 M '!E63+'DIVES M'!E63+'R314 M '!E63+'LYSE M '!E63+'ARTHUR M '!E63+'HUGO M '!E63+'JEANCLO M '!E63+'THOMAS M'!E63</f>
        <v>63933.770000000011</v>
      </c>
      <c r="F63" s="17">
        <f t="shared" si="14"/>
        <v>1.3136955329370694</v>
      </c>
      <c r="G63" s="16">
        <f>+C63-E63</f>
        <v>13467.920000000006</v>
      </c>
      <c r="H63" s="17">
        <f>IF(E63=0,0,G63/E63*100)</f>
        <v>21.065424422805044</v>
      </c>
    </row>
    <row r="64" spans="1:8" s="18" customFormat="1" x14ac:dyDescent="0.2">
      <c r="A64" s="13" t="s">
        <v>2992</v>
      </c>
      <c r="B64" s="68" t="s">
        <v>65</v>
      </c>
      <c r="C64" s="23">
        <f>+'GLR5 M'!C64+'HTR8 M'!C64+'TIRR M'!C64+'VR7 M '!C64+'TURVILLA M'!C64+'HART M'!C64+'VICTOIRE M'!C64+'TH4 M '!C64+'DIVES M'!C64+'R314 M '!C64+'LYSE M '!C64+'ARTHUR M '!C64+'HUGO M '!C64+'JEANCLO M '!C64+'THOMAS M'!C64+'CATALINA M'!C64</f>
        <v>55682.530000000006</v>
      </c>
      <c r="D64" s="17">
        <f t="shared" si="14"/>
        <v>1.2361182107227568</v>
      </c>
      <c r="E64" s="24">
        <f>+'GLR5 M'!E64+'HTR8 M'!E64+'TIRR M'!E64+'VR7 M '!E64+'TURVILLA M'!E64+'HART M'!E64+'VICTOIRE M'!E64+'TH4 M '!E64+'DIVES M'!E64+'R314 M '!E64+'LYSE M '!E64+'ARTHUR M '!E64+'HUGO M '!E64+'JEANCLO M '!E64+'THOMAS M'!E64</f>
        <v>60053.57</v>
      </c>
      <c r="F64" s="17">
        <f t="shared" si="14"/>
        <v>1.2339661284783237</v>
      </c>
      <c r="G64" s="16">
        <f>+C64-E64</f>
        <v>-4371.0399999999936</v>
      </c>
      <c r="H64" s="17">
        <f>IF(E64=0,0,G64/E64*100)</f>
        <v>-7.2785681184315827</v>
      </c>
    </row>
    <row r="65" spans="1:9" s="59" customFormat="1" ht="13.5" x14ac:dyDescent="0.2">
      <c r="A65" s="13"/>
      <c r="B65" s="62" t="s">
        <v>53</v>
      </c>
      <c r="C65" s="67">
        <f>+C63-C64</f>
        <v>21719.160000000011</v>
      </c>
      <c r="D65" s="56">
        <f t="shared" si="14"/>
        <v>0.48215210762875321</v>
      </c>
      <c r="E65" s="57">
        <f>+E63-E64</f>
        <v>3880.2000000000116</v>
      </c>
      <c r="F65" s="56">
        <f t="shared" si="14"/>
        <v>7.9729404458745851E-2</v>
      </c>
      <c r="G65" s="58">
        <f>+G63-G64</f>
        <v>17838.96</v>
      </c>
      <c r="H65" s="56">
        <f>IF(E65=0,0,G65/E65*100)</f>
        <v>459.74331220040068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+'GLR5 M'!C67+'HTR8 M'!C67+'TIRR M'!C67+'VR7 M '!C67+'TURVILLA M'!C67+'HART M'!C67+'VICTOIRE M'!C67+'TH4 M '!C67+'DIVES M'!C67+'R314 M '!C67+'LYSE M '!C67+'ARTHUR M '!C67+'HUGO M '!C67+'JEANCLO M '!C67+'THOMAS M'!C67+'CATALINA M'!C67</f>
        <v>-3533.1000000000004</v>
      </c>
      <c r="D67" s="17">
        <f>(C67*100)/C$8</f>
        <v>-7.8432665511149954E-2</v>
      </c>
      <c r="E67" s="16">
        <f>+'GLR5 M'!E67+'HTR8 M'!E67+'TIRR M'!E67+'VR7 M '!E67+'TURVILLA M'!E67+'HART M'!E67+'VICTOIRE M'!E67+'TH4 M '!E67+'DIVES M'!E67+'R314 M '!E67+'LYSE M '!E67+'ARTHUR M '!E67+'HUGO M '!E67+'JEANCLO M '!E67+'THOMAS M'!E67</f>
        <v>-1899.5399999999997</v>
      </c>
      <c r="F67" s="17">
        <f>(E67*100)/E$8</f>
        <v>-3.903128522899995E-2</v>
      </c>
      <c r="G67" s="16">
        <f>+C67-E67</f>
        <v>-1633.5600000000006</v>
      </c>
      <c r="H67" s="17">
        <f>IF(E67=0,0,G67/E67*100)</f>
        <v>85.997662591996004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367131.11999999918</v>
      </c>
      <c r="D69" s="10">
        <f>(C69*100)/C$8</f>
        <v>8.1500869869785131</v>
      </c>
      <c r="E69" s="9">
        <f>E18-E61+E65+E67</f>
        <v>249944.71999999959</v>
      </c>
      <c r="F69" s="10">
        <f>(E69*100)/E$8</f>
        <v>5.1358032248873489</v>
      </c>
      <c r="G69" s="9">
        <f>G18-G61+G65+G67</f>
        <v>117186.39999999976</v>
      </c>
      <c r="H69" s="10">
        <f>IF(E69=0,0,G69/E69*100)</f>
        <v>46.884927195101362</v>
      </c>
    </row>
    <row r="70" spans="1:9" ht="13.5" thickBot="1" x14ac:dyDescent="0.25">
      <c r="A70" s="13"/>
      <c r="B70" s="63" t="s">
        <v>3034</v>
      </c>
      <c r="C70" s="49">
        <f>+C69-C67+C57+C56</f>
        <v>533872.7799999991</v>
      </c>
      <c r="D70" s="50">
        <f>(C70*100)/C$8</f>
        <v>11.851650159703283</v>
      </c>
      <c r="E70" s="49">
        <f>+E69-E67+E57+E56</f>
        <v>442915.34999999963</v>
      </c>
      <c r="F70" s="50">
        <f>(E70*100)/E$8</f>
        <v>9.1009167262349475</v>
      </c>
      <c r="G70" s="49">
        <f>+G69-G67+G57+G56</f>
        <v>90957.42999999976</v>
      </c>
      <c r="H70" s="50">
        <f>IF(E70=0,0,G70/E70*100)</f>
        <v>20.536075347128936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+'GLR5 M'!C72+'HTR8 M'!C72+'TIRR M'!C72+'VR7 M '!C72+'TURVILLA M'!C72+'HART M'!C72+'VICTOIRE M'!C72+'TH4 M '!C72+'DIVES M'!C72+'R314 M '!C72+'LYSE M '!C72+'ARTHUR M '!C72+'HUGO M '!C72+'JEANCLO M '!C72+'THOMAS M'!C72+'CATALINA M'!C72</f>
        <v>-17.46</v>
      </c>
      <c r="D72" s="17">
        <f>(C72*100)/C$8</f>
        <v>-3.8760135286990967E-4</v>
      </c>
      <c r="E72" s="16">
        <f>+'GLR5 M'!E72+'HTR8 M'!E72+'TIRR M'!E72+'VR7 M '!E72+'TURVILLA M'!E72+'HART M'!E72+'VICTOIRE M'!E72+'TH4 M '!E72+'DIVES M'!E72+'R314 M '!E72+'LYSE M '!E72+'ARTHUR M '!E72+'HUGO M '!E72+'JEANCLO M '!E72+'THOMAS M'!E72</f>
        <v>0</v>
      </c>
      <c r="F72" s="17">
        <f>(E72*100)/E$8</f>
        <v>0</v>
      </c>
      <c r="G72" s="16">
        <f>+C72-E72</f>
        <v>-17.46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+'GLR5 M'!C74+'HTR8 M'!C74+'TIRR M'!C74+'VR7 M '!C74+'TURVILLA M'!C74+'HART M'!C74+'VICTOIRE M'!C74+'TH4 M '!C74+'DIVES M'!C74+'R314 M '!C74+'LYSE M '!C74+'ARTHUR M '!C74+'HUGO M '!C74+'JEANCLO M '!C74+'THOMAS M'!C74+'CATALINA M'!C74</f>
        <v>323209.98000000004</v>
      </c>
      <c r="D74" s="10">
        <f>(C74*100)/C$8</f>
        <v>7.175064462145273</v>
      </c>
      <c r="E74" s="9">
        <f>+'GLR5 M'!E74+'HTR8 M'!E74+'TIRR M'!E74+'VR7 M '!E74+'TURVILLA M'!E74+'HART M'!E74+'VICTOIRE M'!E74+'TH4 M '!E74+'DIVES M'!E74+'R314 M '!E74+'LYSE M '!E74+'ARTHUR M '!E74+'HUGO M '!E74+'JEANCLO M '!E74+'THOMAS M'!E74</f>
        <v>325768.06000000006</v>
      </c>
      <c r="F74" s="10">
        <f>(E74*100)/E$8</f>
        <v>6.6938027461164147</v>
      </c>
      <c r="G74" s="9">
        <f>+C74-E74</f>
        <v>-2558.0800000000163</v>
      </c>
      <c r="H74" s="10">
        <f>IF(E74=0,0,G74/E74*100)</f>
        <v>-0.78524579727061516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43903.679999999142</v>
      </c>
      <c r="D76" s="71">
        <f>(C76*100)/C$8</f>
        <v>0.97463492348037029</v>
      </c>
      <c r="E76" s="72">
        <f>E69-E74+E72</f>
        <v>-75823.340000000462</v>
      </c>
      <c r="F76" s="71">
        <f>(E76*100)/E$8</f>
        <v>-1.5579995212290658</v>
      </c>
      <c r="G76" s="72">
        <f>G69-G74+G72</f>
        <v>119727.01999999977</v>
      </c>
      <c r="H76" s="71">
        <f>IF(E76=0,0,G76/E76*100)</f>
        <v>-157.90259305379985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VLOOKUP(PARAMETRES!$C$2,TRANSGLOBAL[],2,FALSE)</f>
        <v>271935</v>
      </c>
      <c r="D78" s="324"/>
      <c r="E78" s="323">
        <f>VLOOKUP(PARAMETRES!$C$2,TRANSGLOBAL[],3,FALSE)</f>
        <v>199569</v>
      </c>
      <c r="F78" s="324"/>
      <c r="G78" s="325">
        <f>+C78-E78</f>
        <v>72366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VLOOKUP(PARAMETRES!$C$2,PMGLOBAL[],2,FALSE)</f>
        <v>15.830714285714285</v>
      </c>
      <c r="D80" s="316"/>
      <c r="E80" s="315">
        <f>VLOOKUP(PARAMETRES!$C$2,PMGLOBAL[],3,FALSE)</f>
        <v>17.440000000000001</v>
      </c>
      <c r="F80" s="316"/>
      <c r="G80" s="317">
        <f>+(C80-E80)/E80</f>
        <v>-9.227555701179567E-2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13 E16:E19 E26:E27 E33:E34 E42:E45 E49:E50 E59:E62 E65:E66 E68:E71 E73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31">
    <tabColor theme="9" tint="0.59999389629810485"/>
    <pageSetUpPr fitToPage="1"/>
  </sheetPr>
  <dimension ref="A1:H1"/>
  <sheetViews>
    <sheetView showGridLines="0" topLeftCell="A16" zoomScaleNormal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5" orientation="portrait" r:id="rId1"/>
  <headerFooter>
    <oddFooter>&amp;C&amp;"Helv,Gras"&amp;11Page &amp;P / &amp;N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08F3C-C368-45C6-BE4A-D1B7F70A842A}">
  <sheetPr>
    <tabColor theme="9" tint="0.59999389629810485"/>
    <pageSetUpPr fitToPage="1"/>
  </sheetPr>
  <dimension ref="A1:I82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4.140625" style="6" customWidth="1"/>
    <col min="4" max="4" width="9.7109375" style="6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/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7022</v>
      </c>
      <c r="C3" s="301"/>
      <c r="D3" s="301"/>
      <c r="E3" s="301"/>
      <c r="F3" s="301"/>
      <c r="G3" s="301"/>
      <c r="H3" s="301"/>
    </row>
    <row r="4" spans="1:8" ht="15.75" x14ac:dyDescent="0.25">
      <c r="B4" s="329"/>
      <c r="C4" s="329"/>
      <c r="D4" s="329"/>
      <c r="E4" s="329"/>
      <c r="F4" s="329"/>
      <c r="G4" s="263"/>
      <c r="H4" s="263"/>
    </row>
    <row r="5" spans="1:8" ht="12.6" customHeight="1" thickBot="1" x14ac:dyDescent="0.25"/>
    <row r="6" spans="1:8" s="1" customFormat="1" ht="16.899999999999999" customHeight="1" x14ac:dyDescent="0.2">
      <c r="A6" s="308" t="s">
        <v>2962</v>
      </c>
      <c r="B6" s="327" t="s">
        <v>70</v>
      </c>
      <c r="C6" s="310" t="s">
        <v>87</v>
      </c>
      <c r="D6" s="311"/>
      <c r="E6" s="311"/>
      <c r="F6" s="311"/>
      <c r="G6" s="311"/>
      <c r="H6" s="312"/>
    </row>
    <row r="7" spans="1:8" s="1" customFormat="1" ht="16.899999999999999" customHeight="1" thickBot="1" x14ac:dyDescent="0.25">
      <c r="A7" s="309"/>
      <c r="B7" s="328"/>
      <c r="C7" s="313" t="str">
        <f>DONNÉES!B5</f>
        <v>31 Janvier</v>
      </c>
      <c r="D7" s="314"/>
      <c r="E7" s="313" t="str">
        <f>DONNÉES!B6</f>
        <v>31 Janvier 2024</v>
      </c>
      <c r="F7" s="314"/>
      <c r="G7" s="313" t="s">
        <v>177</v>
      </c>
      <c r="H7" s="314"/>
    </row>
    <row r="8" spans="1:8" x14ac:dyDescent="0.2">
      <c r="A8" s="43"/>
      <c r="B8" s="264"/>
      <c r="C8" s="2"/>
      <c r="D8" s="3"/>
      <c r="E8" s="4"/>
      <c r="F8" s="5"/>
      <c r="G8" s="4"/>
      <c r="H8" s="5"/>
    </row>
    <row r="9" spans="1:8" ht="16.899999999999999" customHeight="1" thickBot="1" x14ac:dyDescent="0.25">
      <c r="A9" s="7" t="s">
        <v>68</v>
      </c>
      <c r="B9" s="265" t="s">
        <v>109</v>
      </c>
      <c r="C9" s="70">
        <f>+'GLR5 A'!C8+'HTR8 A'!C8+'TIRR A'!C8+'VR7 A'!C8+'TURVILLA A'!C8+'HART A'!C8+'VICTOIRE A'!C8+'TH4 A'!C8+'DIVES A'!C8+'R314 A'!C8+'LYSE A'!C8+'ARTHUR A'!C8+'HUGO A'!C8+'JEANCLO A'!C8+'THOMAS A'!C8+'CATALINA A'!C8</f>
        <v>4504628.2399999993</v>
      </c>
      <c r="D9" s="71">
        <f>(C9*100)/C$9</f>
        <v>100</v>
      </c>
      <c r="E9" s="72">
        <f>+'GLR5 A'!E8+'HTR8 A'!E8+'TIRR A'!E8+'VR7 A'!E8+'TURVILLA A'!E8+'HART A'!E8+'VICTOIRE A'!E8+'TH4 A'!E8+'DIVES A'!E8+'R314 A'!E8+'LYSE A'!E8+'ARTHUR A'!E8+'HUGO A'!E8+'JEANCLO A'!E8+'THOMAS A'!E8+'CATALINA A'!E8</f>
        <v>4866711.38</v>
      </c>
      <c r="F9" s="71">
        <f>(E9*100)/E$9</f>
        <v>100</v>
      </c>
      <c r="G9" s="72">
        <f>+C9-E9</f>
        <v>-362083.1400000006</v>
      </c>
      <c r="H9" s="71">
        <f>IF(E9=0,0,G9/E9*100)</f>
        <v>-7.4399961643092265</v>
      </c>
    </row>
    <row r="10" spans="1:8" ht="7.15" customHeight="1" thickTop="1" x14ac:dyDescent="0.2">
      <c r="A10" s="8"/>
      <c r="B10" s="266"/>
      <c r="C10" s="42"/>
      <c r="D10" s="10"/>
      <c r="E10" s="9"/>
      <c r="F10" s="10"/>
      <c r="G10" s="9"/>
      <c r="H10" s="10"/>
    </row>
    <row r="11" spans="1:8" s="18" customFormat="1" x14ac:dyDescent="0.2">
      <c r="A11" s="13" t="s">
        <v>123</v>
      </c>
      <c r="B11" s="267" t="s">
        <v>2963</v>
      </c>
      <c r="C11" s="23">
        <f>+'GLR5 A'!C10+'HTR8 A'!C10+'TIRR A'!C10+'VR7 A'!C10+'TURVILLA A'!C10+'HART A'!C10+'VICTOIRE A'!C10+'TH4 A'!C10+'DIVES A'!C10+'R314 A'!C10+'LYSE A'!C10+'ARTHUR A'!C10+'HUGO A'!C10+'JEANCLO A'!C10+'THOMAS A'!C10+'CATALINA A'!C10</f>
        <v>1008625.69</v>
      </c>
      <c r="D11" s="17">
        <f t="shared" ref="D11:F17" si="0">(C11*100)/C$9</f>
        <v>22.390875256778131</v>
      </c>
      <c r="E11" s="16">
        <f>+'GLR5 A'!E10+'HTR8 A'!E10+'TIRR A'!E10+'VR7 A'!E10+'TURVILLA A'!E10+'HART A'!E10+'VICTOIRE A'!E10+'TH4 A'!E10+'DIVES A'!E10+'R314 A'!E10+'LYSE A'!E10+'ARTHUR A'!E10+'HUGO A'!E10+'JEANCLO A'!E10+'THOMAS A'!E10+'CATALINA A'!E10</f>
        <v>1060209.4000000001</v>
      </c>
      <c r="F11" s="17">
        <f t="shared" si="0"/>
        <v>21.784924504810068</v>
      </c>
      <c r="G11" s="16">
        <f>+C11-E11</f>
        <v>-51583.710000000196</v>
      </c>
      <c r="H11" s="17">
        <f t="shared" ref="H11:H17" si="1">IF(E11=0,0,G11/E11*100)</f>
        <v>-4.8654265845973628</v>
      </c>
    </row>
    <row r="12" spans="1:8" s="18" customFormat="1" x14ac:dyDescent="0.2">
      <c r="A12" s="13" t="s">
        <v>124</v>
      </c>
      <c r="B12" s="267" t="s">
        <v>4</v>
      </c>
      <c r="C12" s="23">
        <f>+'GLR5 A'!C11+'HTR8 A'!C11+'TIRR A'!C11+'VR7 A'!C11+'TURVILLA A'!C11+'HART A'!C11+'VICTOIRE A'!C11+'TH4 A'!C11+'DIVES A'!C11+'R314 A'!C11+'LYSE A'!C11+'ARTHUR A'!C11+'HUGO A'!C11+'JEANCLO A'!C11+'THOMAS A'!C11+'CATALINA A'!C11</f>
        <v>21242.199999999997</v>
      </c>
      <c r="D12" s="17">
        <f t="shared" si="0"/>
        <v>0.47156388647956438</v>
      </c>
      <c r="E12" s="16">
        <f>+'GLR5 A'!E11+'HTR8 A'!E11+'TIRR A'!E11+'VR7 A'!E11+'TURVILLA A'!E11+'HART A'!E11+'VICTOIRE A'!E11+'TH4 A'!E11+'DIVES A'!E11+'R314 A'!E11+'LYSE A'!E11+'ARTHUR A'!E11+'HUGO A'!E11+'JEANCLO A'!E11+'THOMAS A'!E11+'CATALINA A'!E11</f>
        <v>23034.940000000002</v>
      </c>
      <c r="F12" s="17">
        <f t="shared" si="0"/>
        <v>0.47331633625662017</v>
      </c>
      <c r="G12" s="16">
        <f>+C12-E12</f>
        <v>-1792.7400000000052</v>
      </c>
      <c r="H12" s="17">
        <f t="shared" si="1"/>
        <v>-7.7826988045117771</v>
      </c>
    </row>
    <row r="13" spans="1:8" s="18" customFormat="1" x14ac:dyDescent="0.2">
      <c r="A13" s="13" t="s">
        <v>125</v>
      </c>
      <c r="B13" s="267" t="s">
        <v>2</v>
      </c>
      <c r="C13" s="23">
        <f>+'GLR5 A'!C12+'HTR8 A'!C12+'TIRR A'!C12+'VR7 A'!C12+'TURVILLA A'!C12+'HART A'!C12+'VICTOIRE A'!C12+'TH4 A'!C12+'DIVES A'!C12+'R314 A'!C12+'LYSE A'!C12+'ARTHUR A'!C12+'HUGO A'!C12+'JEANCLO A'!C12+'THOMAS A'!C12+'CATALINA A'!C12</f>
        <v>31482.310000000005</v>
      </c>
      <c r="D13" s="17">
        <f t="shared" si="0"/>
        <v>0.69888808404753089</v>
      </c>
      <c r="E13" s="16">
        <f>+'GLR5 A'!E12+'HTR8 A'!E12+'TIRR A'!E12+'VR7 A'!E12+'TURVILLA A'!E12+'HART A'!E12+'VICTOIRE A'!E12+'TH4 A'!E12+'DIVES A'!E12+'R314 A'!E12+'LYSE A'!E12+'ARTHUR A'!E12+'HUGO A'!E12+'JEANCLO A'!E12+'THOMAS A'!E12+'CATALINA A'!E12</f>
        <v>30162.6</v>
      </c>
      <c r="F13" s="17">
        <f t="shared" si="0"/>
        <v>0.61977375777726929</v>
      </c>
      <c r="G13" s="16">
        <f>+C13-E13</f>
        <v>1319.7100000000064</v>
      </c>
      <c r="H13" s="17">
        <f t="shared" si="1"/>
        <v>4.375319103790809</v>
      </c>
    </row>
    <row r="14" spans="1:8" s="59" customFormat="1" ht="13.5" x14ac:dyDescent="0.2">
      <c r="A14" s="60"/>
      <c r="B14" s="268" t="s">
        <v>6</v>
      </c>
      <c r="C14" s="55">
        <f>SUM(C11:C13)</f>
        <v>1061350.2</v>
      </c>
      <c r="D14" s="56">
        <f t="shared" si="0"/>
        <v>23.561327227305224</v>
      </c>
      <c r="E14" s="55">
        <f>SUM(E11:E13)</f>
        <v>1113406.9400000002</v>
      </c>
      <c r="F14" s="56">
        <f t="shared" si="0"/>
        <v>22.878014598843958</v>
      </c>
      <c r="G14" s="55">
        <f>SUM(G11:G13)</f>
        <v>-52056.740000000194</v>
      </c>
      <c r="H14" s="56">
        <f t="shared" si="1"/>
        <v>-4.6754459784488303</v>
      </c>
    </row>
    <row r="15" spans="1:8" s="18" customFormat="1" x14ac:dyDescent="0.2">
      <c r="A15" s="13" t="s">
        <v>126</v>
      </c>
      <c r="B15" s="267" t="s">
        <v>8</v>
      </c>
      <c r="C15" s="23">
        <f>+'GLR5 A'!C14+'HTR8 A'!C14+'TIRR A'!C14+'VR7 A'!C14+'TURVILLA A'!C14+'HART A'!C14+'VICTOIRE A'!C14+'TH4 A'!C14+'DIVES A'!C14+'R314 A'!C14+'LYSE A'!C14+'ARTHUR A'!C14+'HUGO A'!C14+'JEANCLO A'!C14+'THOMAS A'!C14+'CATALINA A'!C14</f>
        <v>102089.43000000001</v>
      </c>
      <c r="D15" s="17">
        <f t="shared" si="0"/>
        <v>2.2663230917364228</v>
      </c>
      <c r="E15" s="16">
        <f>+'GLR5 A'!E14+'HTR8 A'!E14+'TIRR A'!E14+'VR7 A'!E14+'TURVILLA A'!E14+'HART A'!E14+'VICTOIRE A'!E14+'TH4 A'!E14+'DIVES A'!E14+'R314 A'!E14+'LYSE A'!E14+'ARTHUR A'!E14+'HUGO A'!E14+'JEANCLO A'!E14+'THOMAS A'!E14+'CATALINA A'!E14</f>
        <v>108463.23999999999</v>
      </c>
      <c r="F15" s="17">
        <f t="shared" si="0"/>
        <v>2.2286762359842265</v>
      </c>
      <c r="G15" s="16">
        <f>+C15-E15</f>
        <v>-6373.8099999999831</v>
      </c>
      <c r="H15" s="17">
        <f t="shared" si="1"/>
        <v>-5.8764702216160831</v>
      </c>
    </row>
    <row r="16" spans="1:8" s="18" customFormat="1" x14ac:dyDescent="0.2">
      <c r="A16" s="13" t="s">
        <v>2964</v>
      </c>
      <c r="B16" s="267" t="s">
        <v>2965</v>
      </c>
      <c r="C16" s="23">
        <f>+'GLR5 A'!C15+'HTR8 A'!C15+'TIRR A'!C15+'VR7 A'!C15+'TURVILLA A'!C15+'HART A'!C15+'VICTOIRE A'!C15+'TH4 A'!C15+'DIVES A'!C15+'R314 A'!C15+'LYSE A'!C15+'ARTHUR A'!C15+'HUGO A'!C15+'JEANCLO A'!C15+'THOMAS A'!C15+'CATALINA A'!C15</f>
        <v>8815.68</v>
      </c>
      <c r="D16" s="17">
        <f t="shared" si="0"/>
        <v>0.19570272018718246</v>
      </c>
      <c r="E16" s="16">
        <f>+'GLR5 A'!E15+'HTR8 A'!E15+'TIRR A'!E15+'VR7 A'!E15+'TURVILLA A'!E15+'HART A'!E15+'VICTOIRE A'!E15+'TH4 A'!E15+'DIVES A'!E15+'R314 A'!E15+'LYSE A'!E15+'ARTHUR A'!E15+'HUGO A'!E15+'JEANCLO A'!E15+'THOMAS A'!E15+'CATALINA A'!E15</f>
        <v>9635.220000000003</v>
      </c>
      <c r="F16" s="17">
        <f t="shared" si="0"/>
        <v>0.19798215360780247</v>
      </c>
      <c r="G16" s="16">
        <f>+C16-E16</f>
        <v>-819.54000000000269</v>
      </c>
      <c r="H16" s="17">
        <f t="shared" si="1"/>
        <v>-8.5056698238338342</v>
      </c>
    </row>
    <row r="17" spans="1:8" ht="13.5" thickBot="1" x14ac:dyDescent="0.25">
      <c r="A17" s="7"/>
      <c r="B17" s="269" t="s">
        <v>10</v>
      </c>
      <c r="C17" s="49">
        <f>+C14+SUM(C15:C16)</f>
        <v>1172255.31</v>
      </c>
      <c r="D17" s="50">
        <f t="shared" si="0"/>
        <v>26.02335303922883</v>
      </c>
      <c r="E17" s="49">
        <f>+E14+SUM(E15:E16)</f>
        <v>1231505.4000000001</v>
      </c>
      <c r="F17" s="50">
        <f t="shared" si="0"/>
        <v>25.304672988435986</v>
      </c>
      <c r="G17" s="49">
        <f>+G14+SUM(G15:G16)</f>
        <v>-59250.090000000178</v>
      </c>
      <c r="H17" s="50">
        <f t="shared" si="1"/>
        <v>-4.8111920581103558</v>
      </c>
    </row>
    <row r="18" spans="1:8" ht="14.25" thickTop="1" thickBot="1" x14ac:dyDescent="0.25">
      <c r="A18" s="8"/>
      <c r="B18" s="270"/>
      <c r="C18" s="52"/>
      <c r="D18" s="54"/>
      <c r="E18" s="53"/>
      <c r="F18" s="54"/>
      <c r="G18" s="53"/>
      <c r="H18" s="54"/>
    </row>
    <row r="19" spans="1:8" ht="16.899999999999999" customHeight="1" thickBot="1" x14ac:dyDescent="0.25">
      <c r="A19" s="7"/>
      <c r="B19" s="265" t="s">
        <v>58</v>
      </c>
      <c r="C19" s="70">
        <f>C9-C17</f>
        <v>3332372.9299999992</v>
      </c>
      <c r="D19" s="71">
        <f>(C19*100)/C$9</f>
        <v>73.976646960771177</v>
      </c>
      <c r="E19" s="70">
        <f>E9-E17</f>
        <v>3635205.9799999995</v>
      </c>
      <c r="F19" s="71">
        <f>(E19*100)/E$9</f>
        <v>74.695327011564004</v>
      </c>
      <c r="G19" s="70">
        <f>G9-G17</f>
        <v>-302833.0500000004</v>
      </c>
      <c r="H19" s="71">
        <f>IF(E19=0,0,G19/E19*100)</f>
        <v>-8.3305609548980897</v>
      </c>
    </row>
    <row r="20" spans="1:8" ht="7.15" customHeight="1" thickTop="1" x14ac:dyDescent="0.2">
      <c r="A20" s="8"/>
      <c r="B20" s="271"/>
      <c r="C20" s="19"/>
      <c r="D20" s="10"/>
      <c r="E20" s="9"/>
      <c r="F20" s="10"/>
      <c r="G20" s="9"/>
      <c r="H20" s="10"/>
    </row>
    <row r="21" spans="1:8" s="18" customFormat="1" x14ac:dyDescent="0.2">
      <c r="A21" s="13">
        <v>8</v>
      </c>
      <c r="B21" s="267" t="s">
        <v>2967</v>
      </c>
      <c r="C21" s="23">
        <f>+'GLR5 A'!C20+'HTR8 A'!C20+'TIRR A'!C20+'VR7 A'!C20+'TURVILLA A'!C20+'HART A'!C20+'VICTOIRE A'!C20+'TH4 A'!C20+'DIVES A'!C20+'R314 A'!C20+'LYSE A'!C20+'ARTHUR A'!C20+'HUGO A'!C20+'JEANCLO A'!C20+'THOMAS A'!C20+'CATALINA A'!C20</f>
        <v>652862.68000000005</v>
      </c>
      <c r="D21" s="17">
        <f t="shared" ref="D21:F27" si="2">(C21*100)/C$9</f>
        <v>14.493153379511739</v>
      </c>
      <c r="E21" s="16">
        <f>+'GLR5 A'!E20+'HTR8 A'!E20+'TIRR A'!E20+'VR7 A'!E20+'TURVILLA A'!E20+'HART A'!E20+'VICTOIRE A'!E20+'TH4 A'!E20+'DIVES A'!E20+'R314 A'!E20+'LYSE A'!E20+'ARTHUR A'!E20+'HUGO A'!E20+'JEANCLO A'!E20+'THOMAS A'!E20+'CATALINA A'!E20</f>
        <v>778716.66</v>
      </c>
      <c r="F21" s="17">
        <f t="shared" si="2"/>
        <v>16.000880249446805</v>
      </c>
      <c r="G21" s="16">
        <f t="shared" ref="G21:G26" si="3">+C21-E21</f>
        <v>-125853.97999999998</v>
      </c>
      <c r="H21" s="17">
        <f t="shared" ref="H21:H27" si="4">IF(E21=0,0,G21/E21*100)</f>
        <v>-16.161716637730596</v>
      </c>
    </row>
    <row r="22" spans="1:8" s="18" customFormat="1" x14ac:dyDescent="0.2">
      <c r="A22" s="13">
        <v>9</v>
      </c>
      <c r="B22" s="267" t="s">
        <v>2968</v>
      </c>
      <c r="C22" s="23">
        <f>+'GLR5 A'!C21+'HTR8 A'!C21+'TIRR A'!C21+'VR7 A'!C21+'TURVILLA A'!C21+'HART A'!C21+'VICTOIRE A'!C21+'TH4 A'!C21+'DIVES A'!C21+'R314 A'!C21+'LYSE A'!C21+'ARTHUR A'!C21+'HUGO A'!C21+'JEANCLO A'!C21+'THOMAS A'!C21+'CATALINA A'!C21</f>
        <v>91460.1</v>
      </c>
      <c r="D22" s="17">
        <f t="shared" si="2"/>
        <v>2.0303584475153054</v>
      </c>
      <c r="E22" s="16">
        <f>+'GLR5 A'!E21+'HTR8 A'!E21+'TIRR A'!E21+'VR7 A'!E21+'TURVILLA A'!E21+'HART A'!E21+'VICTOIRE A'!E21+'TH4 A'!E21+'DIVES A'!E21+'R314 A'!E21+'LYSE A'!E21+'ARTHUR A'!E21+'HUGO A'!E21+'JEANCLO A'!E21+'THOMAS A'!E21+'CATALINA A'!E21</f>
        <v>105647.43</v>
      </c>
      <c r="F22" s="17">
        <f t="shared" si="2"/>
        <v>2.1708176579807779</v>
      </c>
      <c r="G22" s="16">
        <f t="shared" si="3"/>
        <v>-14187.329999999987</v>
      </c>
      <c r="H22" s="17">
        <f t="shared" si="4"/>
        <v>-13.428940013022551</v>
      </c>
    </row>
    <row r="23" spans="1:8" s="18" customFormat="1" x14ac:dyDescent="0.2">
      <c r="A23" s="13" t="s">
        <v>12</v>
      </c>
      <c r="B23" s="267" t="s">
        <v>14</v>
      </c>
      <c r="C23" s="23">
        <f>+'GLR5 A'!C22+'HTR8 A'!C22+'TIRR A'!C22+'VR7 A'!C22+'TURVILLA A'!C22+'HART A'!C22+'VICTOIRE A'!C22+'TH4 A'!C22+'DIVES A'!C22+'R314 A'!C22+'LYSE A'!C22+'ARTHUR A'!C22+'HUGO A'!C22+'JEANCLO A'!C22+'THOMAS A'!C22+'CATALINA A'!C22</f>
        <v>247350.22999999995</v>
      </c>
      <c r="D23" s="17">
        <f t="shared" si="2"/>
        <v>5.4910242715167987</v>
      </c>
      <c r="E23" s="16">
        <f>+'GLR5 A'!E22+'HTR8 A'!E22+'TIRR A'!E22+'VR7 A'!E22+'TURVILLA A'!E22+'HART A'!E22+'VICTOIRE A'!E22+'TH4 A'!E22+'DIVES A'!E22+'R314 A'!E22+'LYSE A'!E22+'ARTHUR A'!E22+'HUGO A'!E22+'JEANCLO A'!E22+'THOMAS A'!E22+'CATALINA A'!E22</f>
        <v>316393.40000000002</v>
      </c>
      <c r="F23" s="17">
        <f t="shared" si="2"/>
        <v>6.5011745159212637</v>
      </c>
      <c r="G23" s="16">
        <f t="shared" si="3"/>
        <v>-69043.170000000071</v>
      </c>
      <c r="H23" s="17">
        <f t="shared" si="4"/>
        <v>-21.821937499328389</v>
      </c>
    </row>
    <row r="24" spans="1:8" s="18" customFormat="1" x14ac:dyDescent="0.2">
      <c r="A24" s="13" t="s">
        <v>13</v>
      </c>
      <c r="B24" s="267" t="s">
        <v>2966</v>
      </c>
      <c r="C24" s="23">
        <f>+'GLR5 A'!C23+'HTR8 A'!C23+'TIRR A'!C23+'VR7 A'!C23+'TURVILLA A'!C23+'HART A'!C23+'VICTOIRE A'!C23+'TH4 A'!C23+'DIVES A'!C23+'R314 A'!C23+'LYSE A'!C23+'ARTHUR A'!C23+'HUGO A'!C23+'JEANCLO A'!C23+'THOMAS A'!C23+'CATALINA A'!C23</f>
        <v>60854.850000000006</v>
      </c>
      <c r="D24" s="17">
        <f t="shared" si="2"/>
        <v>1.350940560635477</v>
      </c>
      <c r="E24" s="16">
        <f>+'GLR5 A'!E23+'HTR8 A'!E23+'TIRR A'!E23+'VR7 A'!E23+'TURVILLA A'!E23+'HART A'!E23+'VICTOIRE A'!E23+'TH4 A'!E23+'DIVES A'!E23+'R314 A'!E23+'LYSE A'!E23+'ARTHUR A'!E23+'HUGO A'!E23+'JEANCLO A'!E23+'THOMAS A'!E23+'CATALINA A'!E23</f>
        <v>75187.330000000016</v>
      </c>
      <c r="F24" s="17">
        <f t="shared" si="2"/>
        <v>1.544930942668723</v>
      </c>
      <c r="G24" s="16">
        <f t="shared" si="3"/>
        <v>-14332.48000000001</v>
      </c>
      <c r="H24" s="17">
        <f t="shared" si="4"/>
        <v>-19.062360639751414</v>
      </c>
    </row>
    <row r="25" spans="1:8" s="18" customFormat="1" x14ac:dyDescent="0.2">
      <c r="A25" s="13" t="s">
        <v>15</v>
      </c>
      <c r="B25" s="267" t="s">
        <v>2969</v>
      </c>
      <c r="C25" s="23">
        <f>+'GLR5 A'!C24+'HTR8 A'!C24+'TIRR A'!C24+'VR7 A'!C24+'TURVILLA A'!C24+'HART A'!C24+'VICTOIRE A'!C24+'TH4 A'!C24+'DIVES A'!C24+'R314 A'!C24+'LYSE A'!C24+'ARTHUR A'!C24+'HUGO A'!C24+'JEANCLO A'!C24+'THOMAS A'!C24+'CATALINA A'!C24</f>
        <v>-2500</v>
      </c>
      <c r="D25" s="17">
        <f t="shared" si="2"/>
        <v>-5.5498475496837014E-2</v>
      </c>
      <c r="E25" s="16">
        <f>+'GLR5 A'!E24+'HTR8 A'!E24+'TIRR A'!E24+'VR7 A'!E24+'TURVILLA A'!E24+'HART A'!E24+'VICTOIRE A'!E24+'TH4 A'!E24+'DIVES A'!E24+'R314 A'!E24+'LYSE A'!E24+'ARTHUR A'!E24+'HUGO A'!E24+'JEANCLO A'!E24+'THOMAS A'!E24+'CATALINA A'!E24</f>
        <v>0</v>
      </c>
      <c r="F25" s="17">
        <f t="shared" si="2"/>
        <v>0</v>
      </c>
      <c r="G25" s="16">
        <f t="shared" si="3"/>
        <v>-2500</v>
      </c>
      <c r="H25" s="17">
        <f t="shared" si="4"/>
        <v>0</v>
      </c>
    </row>
    <row r="26" spans="1:8" s="18" customFormat="1" x14ac:dyDescent="0.2">
      <c r="A26" s="13" t="s">
        <v>16</v>
      </c>
      <c r="B26" s="267" t="s">
        <v>2970</v>
      </c>
      <c r="C26" s="23">
        <f>+'GLR5 A'!C25+'HTR8 A'!C25+'TIRR A'!C25+'VR7 A'!C25+'TURVILLA A'!C25+'HART A'!C25+'VICTOIRE A'!C25+'TH4 A'!C25+'DIVES A'!C25+'R314 A'!C25+'LYSE A'!C25+'ARTHUR A'!C25+'HUGO A'!C25+'JEANCLO A'!C25+'THOMAS A'!C25+'CATALINA A'!C25</f>
        <v>0</v>
      </c>
      <c r="D26" s="17">
        <f t="shared" si="2"/>
        <v>0</v>
      </c>
      <c r="E26" s="16">
        <f>+'GLR5 A'!E25+'HTR8 A'!E25+'TIRR A'!E25+'VR7 A'!E25+'TURVILLA A'!E25+'HART A'!E25+'VICTOIRE A'!E25+'TH4 A'!E25+'DIVES A'!E25+'R314 A'!E25+'LYSE A'!E25+'ARTHUR A'!E25+'HUGO A'!E25+'JEANCLO A'!E25+'THOMAS A'!E25+'CATALINA A'!E25</f>
        <v>0</v>
      </c>
      <c r="F26" s="17">
        <f t="shared" si="2"/>
        <v>0</v>
      </c>
      <c r="G26" s="16">
        <f t="shared" si="3"/>
        <v>0</v>
      </c>
      <c r="H26" s="17">
        <f t="shared" si="4"/>
        <v>0</v>
      </c>
    </row>
    <row r="27" spans="1:8" ht="13.5" thickBot="1" x14ac:dyDescent="0.25">
      <c r="A27" s="7"/>
      <c r="B27" s="269" t="s">
        <v>2971</v>
      </c>
      <c r="C27" s="49">
        <f>SUM(C21:C26)</f>
        <v>1050027.8600000001</v>
      </c>
      <c r="D27" s="50">
        <f t="shared" si="2"/>
        <v>23.309978183682485</v>
      </c>
      <c r="E27" s="51">
        <f>SUM(E21:E26)</f>
        <v>1275944.8200000003</v>
      </c>
      <c r="F27" s="50">
        <f t="shared" si="2"/>
        <v>26.217803366017574</v>
      </c>
      <c r="G27" s="51">
        <f>SUM(G21:G26)</f>
        <v>-225916.96000000005</v>
      </c>
      <c r="H27" s="50">
        <f t="shared" si="4"/>
        <v>-17.705856590255994</v>
      </c>
    </row>
    <row r="28" spans="1:8" ht="7.15" customHeight="1" thickTop="1" x14ac:dyDescent="0.2">
      <c r="A28" s="8"/>
      <c r="B28" s="271"/>
      <c r="C28" s="19"/>
      <c r="D28" s="10"/>
      <c r="E28" s="9"/>
      <c r="F28" s="10"/>
      <c r="G28" s="9"/>
      <c r="H28" s="10"/>
    </row>
    <row r="29" spans="1:8" s="18" customFormat="1" x14ac:dyDescent="0.2">
      <c r="A29" s="13" t="s">
        <v>18</v>
      </c>
      <c r="B29" s="267" t="s">
        <v>2174</v>
      </c>
      <c r="C29" s="23">
        <f>+'GLR5 A'!C28+'HTR8 A'!C28+'TIRR A'!C28+'VR7 A'!C28+'TURVILLA A'!C28+'HART A'!C28+'VICTOIRE A'!C28+'TH4 A'!C28+'DIVES A'!C28+'R314 A'!C28+'LYSE A'!C28+'ARTHUR A'!C28+'HUGO A'!C28+'JEANCLO A'!C28+'THOMAS A'!C28+'CATALINA A'!C28</f>
        <v>107038.80999999998</v>
      </c>
      <c r="D29" s="17">
        <f t="shared" ref="D29:F34" si="5">(C29*100)/C$9</f>
        <v>2.3761963095982366</v>
      </c>
      <c r="E29" s="16">
        <f>+'GLR5 A'!E28+'HTR8 A'!E28+'TIRR A'!E28+'VR7 A'!E28+'TURVILLA A'!E28+'HART A'!E28+'VICTOIRE A'!E28+'TH4 A'!E28+'DIVES A'!E28+'R314 A'!E28+'LYSE A'!E28+'ARTHUR A'!E28+'HUGO A'!E28+'JEANCLO A'!E28+'THOMAS A'!E28+'CATALINA A'!E28</f>
        <v>29049.23</v>
      </c>
      <c r="F29" s="17">
        <f t="shared" si="5"/>
        <v>0.59689650221254753</v>
      </c>
      <c r="G29" s="16">
        <f>+C29-E29</f>
        <v>77989.579999999987</v>
      </c>
      <c r="H29" s="17">
        <f t="shared" ref="H29:H34" si="6">IF(E29=0,0,G29/E29*100)</f>
        <v>268.47382873831759</v>
      </c>
    </row>
    <row r="30" spans="1:8" s="18" customFormat="1" x14ac:dyDescent="0.2">
      <c r="A30" s="13" t="s">
        <v>20</v>
      </c>
      <c r="B30" s="267" t="s">
        <v>2972</v>
      </c>
      <c r="C30" s="23">
        <f>+'GLR5 A'!C29+'HTR8 A'!C29+'TIRR A'!C29+'VR7 A'!C29+'TURVILLA A'!C29+'HART A'!C29+'VICTOIRE A'!C29+'TH4 A'!C29+'DIVES A'!C29+'R314 A'!C29+'LYSE A'!C29+'ARTHUR A'!C29+'HUGO A'!C29+'JEANCLO A'!C29+'THOMAS A'!C29+'CATALINA A'!C29</f>
        <v>1767.5000000000002</v>
      </c>
      <c r="D30" s="17">
        <f t="shared" si="5"/>
        <v>3.9237422176263775E-2</v>
      </c>
      <c r="E30" s="16">
        <f>+'GLR5 A'!E29+'HTR8 A'!E29+'TIRR A'!E29+'VR7 A'!E29+'TURVILLA A'!E29+'HART A'!E29+'VICTOIRE A'!E29+'TH4 A'!E29+'DIVES A'!E29+'R314 A'!E29+'LYSE A'!E29+'ARTHUR A'!E29+'HUGO A'!E29+'JEANCLO A'!E29+'THOMAS A'!E29+'CATALINA A'!E29</f>
        <v>4390.2300000000014</v>
      </c>
      <c r="F30" s="17">
        <f t="shared" si="5"/>
        <v>9.0209376665357152E-2</v>
      </c>
      <c r="G30" s="16">
        <f>+C30-E30</f>
        <v>-2622.7300000000014</v>
      </c>
      <c r="H30" s="17">
        <f t="shared" si="6"/>
        <v>-59.740150288253702</v>
      </c>
    </row>
    <row r="31" spans="1:8" s="18" customFormat="1" x14ac:dyDescent="0.2">
      <c r="A31" s="13" t="s">
        <v>21</v>
      </c>
      <c r="B31" s="267" t="s">
        <v>2973</v>
      </c>
      <c r="C31" s="23">
        <f>+'GLR5 A'!C30+'HTR8 A'!C30+'TIRR A'!C30+'VR7 A'!C30+'TURVILLA A'!C30+'HART A'!C30+'VICTOIRE A'!C30+'TH4 A'!C30+'DIVES A'!C30+'R314 A'!C30+'LYSE A'!C30+'ARTHUR A'!C30+'HUGO A'!C30+'JEANCLO A'!C30+'THOMAS A'!C30+'CATALINA A'!C30</f>
        <v>40066.959999999999</v>
      </c>
      <c r="D31" s="17">
        <f t="shared" si="5"/>
        <v>0.88946207911709951</v>
      </c>
      <c r="E31" s="16">
        <f>+'GLR5 A'!E30+'HTR8 A'!E30+'TIRR A'!E30+'VR7 A'!E30+'TURVILLA A'!E30+'HART A'!E30+'VICTOIRE A'!E30+'TH4 A'!E30+'DIVES A'!E30+'R314 A'!E30+'LYSE A'!E30+'ARTHUR A'!E30+'HUGO A'!E30+'JEANCLO A'!E30+'THOMAS A'!E30+'CATALINA A'!E30</f>
        <v>35334.630000000005</v>
      </c>
      <c r="F31" s="17">
        <f t="shared" si="5"/>
        <v>0.7260473704113517</v>
      </c>
      <c r="G31" s="16">
        <f>+C31-E31</f>
        <v>4732.3299999999945</v>
      </c>
      <c r="H31" s="17">
        <f t="shared" si="6"/>
        <v>13.392895298464975</v>
      </c>
    </row>
    <row r="32" spans="1:8" s="18" customFormat="1" x14ac:dyDescent="0.2">
      <c r="A32" s="13" t="s">
        <v>23</v>
      </c>
      <c r="B32" s="267" t="s">
        <v>2974</v>
      </c>
      <c r="C32" s="23">
        <f>+'GLR5 A'!C31+'HTR8 A'!C31+'TIRR A'!C31+'VR7 A'!C31+'TURVILLA A'!C31+'HART A'!C31+'VICTOIRE A'!C31+'TH4 A'!C31+'DIVES A'!C31+'R314 A'!C31+'LYSE A'!C31+'ARTHUR A'!C31+'HUGO A'!C31+'JEANCLO A'!C31+'THOMAS A'!C31+'CATALINA A'!C31</f>
        <v>38092.75</v>
      </c>
      <c r="D32" s="17">
        <f t="shared" si="5"/>
        <v>0.84563582099285528</v>
      </c>
      <c r="E32" s="16">
        <f>+'GLR5 A'!E31+'HTR8 A'!E31+'TIRR A'!E31+'VR7 A'!E31+'TURVILLA A'!E31+'HART A'!E31+'VICTOIRE A'!E31+'TH4 A'!E31+'DIVES A'!E31+'R314 A'!E31+'LYSE A'!E31+'ARTHUR A'!E31+'HUGO A'!E31+'JEANCLO A'!E31+'THOMAS A'!E31+'CATALINA A'!E31</f>
        <v>40865.650000000009</v>
      </c>
      <c r="F32" s="17">
        <f t="shared" si="5"/>
        <v>0.83969742212245202</v>
      </c>
      <c r="G32" s="16">
        <f>+C32-E32</f>
        <v>-2772.9000000000087</v>
      </c>
      <c r="H32" s="17">
        <f t="shared" si="6"/>
        <v>-6.7854053465441222</v>
      </c>
    </row>
    <row r="33" spans="1:8" s="18" customFormat="1" x14ac:dyDescent="0.2">
      <c r="A33" s="13" t="s">
        <v>25</v>
      </c>
      <c r="B33" s="267" t="s">
        <v>2975</v>
      </c>
      <c r="C33" s="23">
        <f>+'GLR5 A'!C32+'HTR8 A'!C32+'TIRR A'!C32+'VR7 A'!C32+'TURVILLA A'!C32+'HART A'!C32+'VICTOIRE A'!C32+'TH4 A'!C32+'DIVES A'!C32+'R314 A'!C32+'LYSE A'!C32+'ARTHUR A'!C32+'HUGO A'!C32+'JEANCLO A'!C32+'THOMAS A'!C32+'CATALINA A'!C32</f>
        <v>86944.16</v>
      </c>
      <c r="D33" s="17">
        <f t="shared" si="5"/>
        <v>1.9301073333412306</v>
      </c>
      <c r="E33" s="16">
        <f>+'GLR5 A'!E32+'HTR8 A'!E32+'TIRR A'!E32+'VR7 A'!E32+'TURVILLA A'!E32+'HART A'!E32+'VICTOIRE A'!E32+'TH4 A'!E32+'DIVES A'!E32+'R314 A'!E32+'LYSE A'!E32+'ARTHUR A'!E32+'HUGO A'!E32+'JEANCLO A'!E32+'THOMAS A'!E32+'CATALINA A'!E32</f>
        <v>106527.08</v>
      </c>
      <c r="F33" s="17">
        <f t="shared" si="5"/>
        <v>2.1888924919151465</v>
      </c>
      <c r="G33" s="16">
        <f>+C33-E33</f>
        <v>-19582.919999999998</v>
      </c>
      <c r="H33" s="17">
        <f t="shared" si="6"/>
        <v>-18.383044010968852</v>
      </c>
    </row>
    <row r="34" spans="1:8" ht="13.5" thickBot="1" x14ac:dyDescent="0.25">
      <c r="A34" s="7"/>
      <c r="B34" s="269" t="s">
        <v>2976</v>
      </c>
      <c r="C34" s="49">
        <f>SUM(C29:C33)</f>
        <v>273910.18</v>
      </c>
      <c r="D34" s="50">
        <f t="shared" si="5"/>
        <v>6.0806389652256865</v>
      </c>
      <c r="E34" s="51">
        <f>SUM(E29:E33)</f>
        <v>216166.82</v>
      </c>
      <c r="F34" s="50">
        <f t="shared" si="5"/>
        <v>4.441743163326854</v>
      </c>
      <c r="G34" s="51">
        <f>SUM(G29:G33)</f>
        <v>57743.359999999986</v>
      </c>
      <c r="H34" s="50">
        <f t="shared" si="6"/>
        <v>26.712406649642151</v>
      </c>
    </row>
    <row r="35" spans="1:8" ht="7.15" customHeight="1" thickTop="1" x14ac:dyDescent="0.2">
      <c r="A35" s="8"/>
      <c r="B35" s="271"/>
      <c r="C35" s="19"/>
      <c r="D35" s="10"/>
      <c r="E35" s="9"/>
      <c r="F35" s="10"/>
      <c r="G35" s="9"/>
      <c r="H35" s="10"/>
    </row>
    <row r="36" spans="1:8" s="18" customFormat="1" x14ac:dyDescent="0.2">
      <c r="A36" s="13" t="s">
        <v>29</v>
      </c>
      <c r="B36" s="267" t="s">
        <v>2977</v>
      </c>
      <c r="C36" s="23">
        <f>+'GLR5 A'!C35+'HTR8 A'!C35+'TIRR A'!C35+'VR7 A'!C35+'TURVILLA A'!C35+'HART A'!C35+'VICTOIRE A'!C35+'TH4 A'!C35+'DIVES A'!C35+'R314 A'!C35+'LYSE A'!C35+'ARTHUR A'!C35+'HUGO A'!C35+'JEANCLO A'!C35+'THOMAS A'!C35+'CATALINA A'!C35</f>
        <v>66600.650000000009</v>
      </c>
      <c r="D36" s="17">
        <f t="shared" ref="D36:F43" si="7">(C36*100)/C$9</f>
        <v>1.4784938168393673</v>
      </c>
      <c r="E36" s="16">
        <f>+'GLR5 A'!E35+'HTR8 A'!E35+'TIRR A'!E35+'VR7 A'!E35+'TURVILLA A'!E35+'HART A'!E35+'VICTOIRE A'!E35+'TH4 A'!E35+'DIVES A'!E35+'R314 A'!E35+'LYSE A'!E35+'ARTHUR A'!E35+'HUGO A'!E35+'JEANCLO A'!E35+'THOMAS A'!E35+'CATALINA A'!E35</f>
        <v>51384.71</v>
      </c>
      <c r="F36" s="17">
        <f t="shared" si="7"/>
        <v>1.05584050476402</v>
      </c>
      <c r="G36" s="16">
        <f t="shared" ref="G36:G42" si="8">+C36-E36</f>
        <v>15215.94000000001</v>
      </c>
      <c r="H36" s="17">
        <f t="shared" ref="H36:H43" si="9">IF(E36=0,0,G36/E36*100)</f>
        <v>29.611804756706828</v>
      </c>
    </row>
    <row r="37" spans="1:8" s="18" customFormat="1" x14ac:dyDescent="0.2">
      <c r="A37" s="13" t="s">
        <v>30</v>
      </c>
      <c r="B37" s="267" t="s">
        <v>145</v>
      </c>
      <c r="C37" s="23">
        <f>+'GLR5 A'!C36+'HTR8 A'!C36+'TIRR A'!C36+'VR7 A'!C36+'TURVILLA A'!C36+'HART A'!C36+'VICTOIRE A'!C36+'TH4 A'!C36+'DIVES A'!C36+'R314 A'!C36+'LYSE A'!C36+'ARTHUR A'!C36+'HUGO A'!C36+'JEANCLO A'!C36+'THOMAS A'!C36+'CATALINA A'!C36</f>
        <v>181497.87</v>
      </c>
      <c r="D37" s="17">
        <f t="shared" si="7"/>
        <v>4.0291420363692438</v>
      </c>
      <c r="E37" s="16">
        <f>+'GLR5 A'!E36+'HTR8 A'!E36+'TIRR A'!E36+'VR7 A'!E36+'TURVILLA A'!E36+'HART A'!E36+'VICTOIRE A'!E36+'TH4 A'!E36+'DIVES A'!E36+'R314 A'!E36+'LYSE A'!E36+'ARTHUR A'!E36+'HUGO A'!E36+'JEANCLO A'!E36+'THOMAS A'!E36+'CATALINA A'!E36</f>
        <v>195071.94</v>
      </c>
      <c r="F37" s="17">
        <f t="shared" si="7"/>
        <v>4.0082907073893503</v>
      </c>
      <c r="G37" s="16">
        <f t="shared" si="8"/>
        <v>-13574.070000000007</v>
      </c>
      <c r="H37" s="17">
        <f t="shared" si="9"/>
        <v>-6.9584943893006885</v>
      </c>
    </row>
    <row r="38" spans="1:8" s="18" customFormat="1" x14ac:dyDescent="0.2">
      <c r="A38" s="13" t="s">
        <v>32</v>
      </c>
      <c r="B38" s="267" t="s">
        <v>19</v>
      </c>
      <c r="C38" s="23">
        <f>+'GLR5 A'!C37+'HTR8 A'!C37+'TIRR A'!C37+'VR7 A'!C37+'TURVILLA A'!C37+'HART A'!C37+'VICTOIRE A'!C37+'TH4 A'!C37+'DIVES A'!C37+'R314 A'!C37+'LYSE A'!C37+'ARTHUR A'!C37+'HUGO A'!C37+'JEANCLO A'!C37+'THOMAS A'!C37+'CATALINA A'!C37</f>
        <v>88721.229999999981</v>
      </c>
      <c r="D38" s="17">
        <f t="shared" si="7"/>
        <v>1.969557203681696</v>
      </c>
      <c r="E38" s="16">
        <f>+'GLR5 A'!E37+'HTR8 A'!E37+'TIRR A'!E37+'VR7 A'!E37+'TURVILLA A'!E37+'HART A'!E37+'VICTOIRE A'!E37+'TH4 A'!E37+'DIVES A'!E37+'R314 A'!E37+'LYSE A'!E37+'ARTHUR A'!E37+'HUGO A'!E37+'JEANCLO A'!E37+'THOMAS A'!E37+'CATALINA A'!E37</f>
        <v>83584.78</v>
      </c>
      <c r="F38" s="17">
        <f t="shared" si="7"/>
        <v>1.7174796998132238</v>
      </c>
      <c r="G38" s="16">
        <f t="shared" si="8"/>
        <v>5136.4499999999825</v>
      </c>
      <c r="H38" s="17">
        <f t="shared" si="9"/>
        <v>6.1451977261888855</v>
      </c>
    </row>
    <row r="39" spans="1:8" s="18" customFormat="1" x14ac:dyDescent="0.2">
      <c r="A39" s="13" t="s">
        <v>34</v>
      </c>
      <c r="B39" s="267" t="s">
        <v>28</v>
      </c>
      <c r="C39" s="23">
        <f>+'GLR5 A'!C38+'HTR8 A'!C38+'TIRR A'!C38+'VR7 A'!C38+'TURVILLA A'!C38+'HART A'!C38+'VICTOIRE A'!C38+'TH4 A'!C38+'DIVES A'!C38+'R314 A'!C38+'LYSE A'!C38+'ARTHUR A'!C38+'HUGO A'!C38+'JEANCLO A'!C38+'THOMAS A'!C38+'CATALINA A'!C38</f>
        <v>136016.26</v>
      </c>
      <c r="D39" s="17">
        <f t="shared" si="7"/>
        <v>3.0194780291125651</v>
      </c>
      <c r="E39" s="16">
        <f>+'GLR5 A'!E38+'HTR8 A'!E38+'TIRR A'!E38+'VR7 A'!E38+'TURVILLA A'!E38+'HART A'!E38+'VICTOIRE A'!E38+'TH4 A'!E38+'DIVES A'!E38+'R314 A'!E38+'LYSE A'!E38+'ARTHUR A'!E38+'HUGO A'!E38+'JEANCLO A'!E38+'THOMAS A'!E38+'CATALINA A'!E38</f>
        <v>204463.53000000003</v>
      </c>
      <c r="F39" s="17">
        <f t="shared" si="7"/>
        <v>4.201266811100683</v>
      </c>
      <c r="G39" s="16">
        <f t="shared" si="8"/>
        <v>-68447.270000000019</v>
      </c>
      <c r="H39" s="17">
        <f t="shared" si="9"/>
        <v>-33.476517792684106</v>
      </c>
    </row>
    <row r="40" spans="1:8" s="18" customFormat="1" x14ac:dyDescent="0.2">
      <c r="A40" s="13" t="s">
        <v>2978</v>
      </c>
      <c r="B40" s="267" t="s">
        <v>2980</v>
      </c>
      <c r="C40" s="23">
        <f>+'GLR5 A'!C39+'HTR8 A'!C39+'TIRR A'!C39+'VR7 A'!C39+'TURVILLA A'!C39+'HART A'!C39+'VICTOIRE A'!C39+'TH4 A'!C39+'DIVES A'!C39+'R314 A'!C39+'LYSE A'!C39+'ARTHUR A'!C39+'HUGO A'!C39+'JEANCLO A'!C39+'THOMAS A'!C39+'CATALINA A'!C39</f>
        <v>36323.49</v>
      </c>
      <c r="D40" s="17">
        <f t="shared" si="7"/>
        <v>0.80635932788984166</v>
      </c>
      <c r="E40" s="16">
        <f>+'GLR5 A'!E39+'HTR8 A'!E39+'TIRR A'!E39+'VR7 A'!E39+'TURVILLA A'!E39+'HART A'!E39+'VICTOIRE A'!E39+'TH4 A'!E39+'DIVES A'!E39+'R314 A'!E39+'LYSE A'!E39+'ARTHUR A'!E39+'HUGO A'!E39+'JEANCLO A'!E39+'THOMAS A'!E39+'CATALINA A'!E39</f>
        <v>58864.130000000005</v>
      </c>
      <c r="F40" s="17">
        <f t="shared" si="7"/>
        <v>1.2095258050827744</v>
      </c>
      <c r="G40" s="16">
        <f t="shared" si="8"/>
        <v>-22540.640000000007</v>
      </c>
      <c r="H40" s="17">
        <f t="shared" si="9"/>
        <v>-38.292658024504917</v>
      </c>
    </row>
    <row r="41" spans="1:8" s="18" customFormat="1" x14ac:dyDescent="0.2">
      <c r="A41" s="13" t="s">
        <v>2979</v>
      </c>
      <c r="B41" s="267" t="s">
        <v>2981</v>
      </c>
      <c r="C41" s="23">
        <f>+'GLR5 A'!C40+'HTR8 A'!C40+'TIRR A'!C40+'VR7 A'!C40+'TURVILLA A'!C40+'HART A'!C40+'VICTOIRE A'!C40+'TH4 A'!C40+'DIVES A'!C40+'R314 A'!C40+'LYSE A'!C40+'ARTHUR A'!C40+'HUGO A'!C40+'JEANCLO A'!C40+'THOMAS A'!C40+'CATALINA A'!C40</f>
        <v>2669.45</v>
      </c>
      <c r="D41" s="17">
        <f t="shared" si="7"/>
        <v>5.9260162166012625E-2</v>
      </c>
      <c r="E41" s="16">
        <f>+'GLR5 A'!E40+'HTR8 A'!E40+'TIRR A'!E40+'VR7 A'!E40+'TURVILLA A'!E40+'HART A'!E40+'VICTOIRE A'!E40+'TH4 A'!E40+'DIVES A'!E40+'R314 A'!E40+'LYSE A'!E40+'ARTHUR A'!E40+'HUGO A'!E40+'JEANCLO A'!E40+'THOMAS A'!E40+'CATALINA A'!E40</f>
        <v>4369.2400000000007</v>
      </c>
      <c r="F41" s="17">
        <f t="shared" si="7"/>
        <v>8.9778079258112917E-2</v>
      </c>
      <c r="G41" s="16">
        <f t="shared" si="8"/>
        <v>-1699.7900000000009</v>
      </c>
      <c r="H41" s="17">
        <f t="shared" si="9"/>
        <v>-38.90356217557288</v>
      </c>
    </row>
    <row r="42" spans="1:8" s="18" customFormat="1" x14ac:dyDescent="0.2">
      <c r="A42" s="13" t="s">
        <v>2982</v>
      </c>
      <c r="B42" s="267" t="s">
        <v>2983</v>
      </c>
      <c r="C42" s="23">
        <f>+'GLR5 A'!C41+'HTR8 A'!C41+'TIRR A'!C41+'VR7 A'!C41+'TURVILLA A'!C41+'HART A'!C41+'VICTOIRE A'!C41+'TH4 A'!C41+'DIVES A'!C41+'R314 A'!C41+'LYSE A'!C41+'ARTHUR A'!C41+'HUGO A'!C41+'JEANCLO A'!C41+'THOMAS A'!C41+'CATALINA A'!C41</f>
        <v>12642.98</v>
      </c>
      <c r="D42" s="17">
        <f t="shared" si="7"/>
        <v>0.28066644629480014</v>
      </c>
      <c r="E42" s="16">
        <f>+'GLR5 A'!E41+'HTR8 A'!E41+'TIRR A'!E41+'VR7 A'!E41+'TURVILLA A'!E41+'HART A'!E41+'VICTOIRE A'!E41+'TH4 A'!E41+'DIVES A'!E41+'R314 A'!E41+'LYSE A'!E41+'ARTHUR A'!E41+'HUGO A'!E41+'JEANCLO A'!E41+'THOMAS A'!E41+'CATALINA A'!E41</f>
        <v>14209.019999999999</v>
      </c>
      <c r="F42" s="17">
        <f t="shared" si="7"/>
        <v>0.29196348191907773</v>
      </c>
      <c r="G42" s="16">
        <f t="shared" si="8"/>
        <v>-1566.0399999999991</v>
      </c>
      <c r="H42" s="17">
        <f t="shared" si="9"/>
        <v>-11.021449755155523</v>
      </c>
    </row>
    <row r="43" spans="1:8" ht="13.5" thickBot="1" x14ac:dyDescent="0.25">
      <c r="A43" s="13"/>
      <c r="B43" s="269" t="s">
        <v>2984</v>
      </c>
      <c r="C43" s="49">
        <f>+SUM(C36:C42)</f>
        <v>524471.93000000005</v>
      </c>
      <c r="D43" s="50">
        <f t="shared" si="7"/>
        <v>11.642957022353528</v>
      </c>
      <c r="E43" s="51">
        <f>+SUM(E36:E42)</f>
        <v>611947.35</v>
      </c>
      <c r="F43" s="50">
        <f t="shared" si="7"/>
        <v>12.57414508932724</v>
      </c>
      <c r="G43" s="51">
        <f>+SUM(G36:G42)</f>
        <v>-87475.420000000027</v>
      </c>
      <c r="H43" s="50">
        <f t="shared" si="9"/>
        <v>-14.294599036992322</v>
      </c>
    </row>
    <row r="44" spans="1:8" ht="7.15" customHeight="1" thickTop="1" x14ac:dyDescent="0.2">
      <c r="A44" s="13"/>
      <c r="B44" s="271"/>
      <c r="C44" s="19"/>
      <c r="D44" s="10"/>
      <c r="E44" s="9"/>
      <c r="F44" s="10"/>
      <c r="G44" s="9"/>
      <c r="H44" s="10"/>
    </row>
    <row r="45" spans="1:8" ht="16.899999999999999" customHeight="1" thickBot="1" x14ac:dyDescent="0.25">
      <c r="A45" s="13"/>
      <c r="B45" s="265" t="s">
        <v>59</v>
      </c>
      <c r="C45" s="70">
        <f>C19-C27-C34-C43</f>
        <v>1483962.9599999995</v>
      </c>
      <c r="D45" s="71">
        <f>(C45*100)/C$9</f>
        <v>32.943072789509479</v>
      </c>
      <c r="E45" s="72">
        <f>E19-E27-E34-E43</f>
        <v>1531146.9899999993</v>
      </c>
      <c r="F45" s="71">
        <f>(E45*100)/E$9</f>
        <v>31.461635392892344</v>
      </c>
      <c r="G45" s="72">
        <f>G19-G27-G34-G43</f>
        <v>-47184.030000000304</v>
      </c>
      <c r="H45" s="71">
        <f>IF(E45=0,0,G45/E45*100)</f>
        <v>-3.0816133466062801</v>
      </c>
    </row>
    <row r="46" spans="1:8" ht="7.15" customHeight="1" thickTop="1" x14ac:dyDescent="0.2">
      <c r="A46" s="13"/>
      <c r="B46" s="271"/>
      <c r="C46" s="19"/>
      <c r="D46" s="10"/>
      <c r="E46" s="9"/>
      <c r="F46" s="10"/>
      <c r="G46" s="9"/>
      <c r="H46" s="10"/>
    </row>
    <row r="47" spans="1:8" s="18" customFormat="1" x14ac:dyDescent="0.2">
      <c r="A47" s="13" t="s">
        <v>2985</v>
      </c>
      <c r="B47" s="267" t="s">
        <v>36</v>
      </c>
      <c r="C47" s="23">
        <f>+'GLR5 A'!C46+'HTR8 A'!C46+'TIRR A'!C46+'VR7 A'!C46+'TURVILLA A'!C46+'HART A'!C46+'VICTOIRE A'!C46+'TH4 A'!C46+'DIVES A'!C46+'R314 A'!C46+'LYSE A'!C46+'ARTHUR A'!C46+'HUGO A'!C46+'JEANCLO A'!C46+'THOMAS A'!C46+'CATALINA A'!C46</f>
        <v>655128.24</v>
      </c>
      <c r="D47" s="17">
        <f t="shared" ref="D47:F50" si="10">(C47*100)/C$9</f>
        <v>14.543447429970383</v>
      </c>
      <c r="E47" s="16">
        <f>+'GLR5 A'!E46+'HTR8 A'!E46+'TIRR A'!E46+'VR7 A'!E46+'TURVILLA A'!E46+'HART A'!E46+'VICTOIRE A'!E46+'TH4 A'!E46+'DIVES A'!E46+'R314 A'!E46+'LYSE A'!E46+'ARTHUR A'!E46+'HUGO A'!E46+'JEANCLO A'!E46+'THOMAS A'!E46+'CATALINA A'!E46</f>
        <v>724937.81</v>
      </c>
      <c r="F47" s="17">
        <f t="shared" si="10"/>
        <v>14.895845539128725</v>
      </c>
      <c r="G47" s="16">
        <f>+C47-E47</f>
        <v>-69809.570000000065</v>
      </c>
      <c r="H47" s="17">
        <f>IF(E47=0,0,G47/E47*100)</f>
        <v>-9.6297322386868007</v>
      </c>
    </row>
    <row r="48" spans="1:8" s="18" customFormat="1" x14ac:dyDescent="0.2">
      <c r="A48" s="13" t="s">
        <v>35</v>
      </c>
      <c r="B48" s="267" t="s">
        <v>2986</v>
      </c>
      <c r="C48" s="23">
        <f>+'GLR5 A'!C47+'HTR8 A'!C47+'TIRR A'!C47+'VR7 A'!C47+'TURVILLA A'!C47+'HART A'!C47+'VICTOIRE A'!C47+'TH4 A'!C47+'DIVES A'!C47+'R314 A'!C47+'LYSE A'!C47+'ARTHUR A'!C47+'HUGO A'!C47+'JEANCLO A'!C47+'THOMAS A'!C47+'CATALINA A'!C47</f>
        <v>2430.44</v>
      </c>
      <c r="D48" s="17">
        <f t="shared" si="10"/>
        <v>5.3954285914613022E-2</v>
      </c>
      <c r="E48" s="16">
        <f>+'GLR5 A'!E47+'HTR8 A'!E47+'TIRR A'!E47+'VR7 A'!E47+'TURVILLA A'!E47+'HART A'!E47+'VICTOIRE A'!E47+'TH4 A'!E47+'DIVES A'!E47+'R314 A'!E47+'LYSE A'!E47+'ARTHUR A'!E47+'HUGO A'!E47+'JEANCLO A'!E47+'THOMAS A'!E47+'CATALINA A'!E47</f>
        <v>3724.3199999999997</v>
      </c>
      <c r="F48" s="17">
        <f t="shared" si="10"/>
        <v>7.6526420188081923E-2</v>
      </c>
      <c r="G48" s="16">
        <f>+C48-E48</f>
        <v>-1293.8799999999997</v>
      </c>
      <c r="H48" s="17">
        <f>IF(E48=0,0,G48/E48*100)</f>
        <v>-34.741375606822174</v>
      </c>
    </row>
    <row r="49" spans="1:8" s="18" customFormat="1" x14ac:dyDescent="0.2">
      <c r="A49" s="13" t="s">
        <v>37</v>
      </c>
      <c r="B49" s="267" t="s">
        <v>2987</v>
      </c>
      <c r="C49" s="23">
        <f>+'GLR5 A'!C48+'HTR8 A'!C48+'TIRR A'!C48+'VR7 A'!C48+'TURVILLA A'!C48+'HART A'!C48+'VICTOIRE A'!C48+'TH4 A'!C48+'DIVES A'!C48+'R314 A'!C48+'LYSE A'!C48+'ARTHUR A'!C48+'HUGO A'!C48+'JEANCLO A'!C48+'THOMAS A'!C48+'CATALINA A'!C48</f>
        <v>-18509.070000000003</v>
      </c>
      <c r="D49" s="17">
        <f t="shared" si="10"/>
        <v>-0.41089006714569648</v>
      </c>
      <c r="E49" s="16">
        <f>+'GLR5 A'!E48+'HTR8 A'!E48+'TIRR A'!E48+'VR7 A'!E48+'TURVILLA A'!E48+'HART A'!E48+'VICTOIRE A'!E48+'TH4 A'!E48+'DIVES A'!E48+'R314 A'!E48+'LYSE A'!E48+'ARTHUR A'!E48+'HUGO A'!E48+'JEANCLO A'!E48+'THOMAS A'!E48+'CATALINA A'!E48</f>
        <v>-11363.57</v>
      </c>
      <c r="F49" s="17">
        <f t="shared" si="10"/>
        <v>-0.23349586841535691</v>
      </c>
      <c r="G49" s="16">
        <f>+C49-E49</f>
        <v>-7145.5000000000036</v>
      </c>
      <c r="H49" s="17">
        <f>IF(E49=0,0,G49/E49*100)</f>
        <v>62.880767223680621</v>
      </c>
    </row>
    <row r="50" spans="1:8" ht="13.5" thickBot="1" x14ac:dyDescent="0.25">
      <c r="A50" s="13"/>
      <c r="B50" s="269" t="s">
        <v>2988</v>
      </c>
      <c r="C50" s="49">
        <f>SUM(C47:C49)</f>
        <v>639049.61</v>
      </c>
      <c r="D50" s="50">
        <f t="shared" si="10"/>
        <v>14.1865116487393</v>
      </c>
      <c r="E50" s="51">
        <f>SUM(E47:E49)</f>
        <v>717298.56</v>
      </c>
      <c r="F50" s="50">
        <f t="shared" si="10"/>
        <v>14.738876090901449</v>
      </c>
      <c r="G50" s="51">
        <f>SUM(G47:G49)</f>
        <v>-78248.95000000007</v>
      </c>
      <c r="H50" s="50">
        <f>IF(E50=0,0,G50/E50*100)</f>
        <v>-10.908839688734362</v>
      </c>
    </row>
    <row r="51" spans="1:8" ht="7.15" customHeight="1" thickTop="1" x14ac:dyDescent="0.2">
      <c r="A51" s="13"/>
      <c r="B51" s="271"/>
      <c r="C51" s="19"/>
      <c r="D51" s="10"/>
      <c r="E51" s="9"/>
      <c r="F51" s="10"/>
      <c r="G51" s="9"/>
      <c r="H51" s="10"/>
    </row>
    <row r="52" spans="1:8" s="18" customFormat="1" x14ac:dyDescent="0.2">
      <c r="A52" s="13" t="s">
        <v>40</v>
      </c>
      <c r="B52" s="267" t="s">
        <v>2989</v>
      </c>
      <c r="C52" s="23">
        <f>+'GLR5 A'!C51+'HTR8 A'!C51+'TIRR A'!C51+'VR7 A'!C51+'TURVILLA A'!C51+'HART A'!C51+'VICTOIRE A'!C51+'TH4 A'!C51+'DIVES A'!C51+'R314 A'!C51+'LYSE A'!C51+'ARTHUR A'!C51+'HUGO A'!C51+'JEANCLO A'!C51+'THOMAS A'!C51+'CATALINA A'!C51</f>
        <v>4992</v>
      </c>
      <c r="D52" s="17">
        <f t="shared" ref="D52:F60" si="11">(C52*100)/C$9</f>
        <v>0.11081935587208415</v>
      </c>
      <c r="E52" s="16">
        <f>+'GLR5 A'!E51+'HTR8 A'!E51+'TIRR A'!E51+'VR7 A'!E51+'TURVILLA A'!E51+'HART A'!E51+'VICTOIRE A'!E51+'TH4 A'!E51+'DIVES A'!E51+'R314 A'!E51+'LYSE A'!E51+'ARTHUR A'!E51+'HUGO A'!E51+'JEANCLO A'!E51+'THOMAS A'!E51+'CATALINA A'!E51</f>
        <v>9400.9</v>
      </c>
      <c r="F52" s="17">
        <f t="shared" si="11"/>
        <v>0.19316740332359714</v>
      </c>
      <c r="G52" s="16">
        <f t="shared" ref="G52:G59" si="12">+C52-E52</f>
        <v>-4408.8999999999996</v>
      </c>
      <c r="H52" s="17">
        <f t="shared" ref="H52:H60" si="13">IF(E52=0,0,G52/E52*100)</f>
        <v>-46.898701188184106</v>
      </c>
    </row>
    <row r="53" spans="1:8" s="18" customFormat="1" x14ac:dyDescent="0.2">
      <c r="A53" s="13" t="s">
        <v>42</v>
      </c>
      <c r="B53" s="267" t="s">
        <v>38</v>
      </c>
      <c r="C53" s="23">
        <f>+'GLR5 A'!C52+'HTR8 A'!C52+'TIRR A'!C52+'VR7 A'!C52+'TURVILLA A'!C52+'HART A'!C52+'VICTOIRE A'!C52+'TH4 A'!C52+'DIVES A'!C52+'R314 A'!C52+'LYSE A'!C52+'ARTHUR A'!C52+'HUGO A'!C52+'JEANCLO A'!C52+'THOMAS A'!C52+'CATALINA A'!C52</f>
        <v>229694.48</v>
      </c>
      <c r="D53" s="17">
        <f t="shared" si="11"/>
        <v>5.0990773880154876</v>
      </c>
      <c r="E53" s="16">
        <f>+'GLR5 A'!E52+'HTR8 A'!E52+'TIRR A'!E52+'VR7 A'!E52+'TURVILLA A'!E52+'HART A'!E52+'VICTOIRE A'!E52+'TH4 A'!E52+'DIVES A'!E52+'R314 A'!E52+'LYSE A'!E52+'ARTHUR A'!E52+'HUGO A'!E52+'JEANCLO A'!E52+'THOMAS A'!E52+'CATALINA A'!E52</f>
        <v>245824.07</v>
      </c>
      <c r="F53" s="17">
        <f t="shared" si="11"/>
        <v>5.0511331123975554</v>
      </c>
      <c r="G53" s="16">
        <f t="shared" si="12"/>
        <v>-16129.589999999997</v>
      </c>
      <c r="H53" s="17">
        <f t="shared" si="13"/>
        <v>-6.561436396362649</v>
      </c>
    </row>
    <row r="54" spans="1:8" s="18" customFormat="1" x14ac:dyDescent="0.2">
      <c r="A54" s="13" t="s">
        <v>44</v>
      </c>
      <c r="B54" s="267" t="s">
        <v>62</v>
      </c>
      <c r="C54" s="23">
        <f>+'GLR5 A'!C53+'HTR8 A'!C53+'TIRR A'!C53+'VR7 A'!C53+'TURVILLA A'!C53+'HART A'!C53+'VICTOIRE A'!C53+'TH4 A'!C53+'DIVES A'!C53+'R314 A'!C53+'LYSE A'!C53+'ARTHUR A'!C53+'HUGO A'!C53+'JEANCLO A'!C53+'THOMAS A'!C53+'CATALINA A'!C53</f>
        <v>21226.1</v>
      </c>
      <c r="D54" s="17">
        <f t="shared" si="11"/>
        <v>0.47120647629736484</v>
      </c>
      <c r="E54" s="16">
        <f>+'GLR5 A'!E53+'HTR8 A'!E53+'TIRR A'!E53+'VR7 A'!E53+'TURVILLA A'!E53+'HART A'!E53+'VICTOIRE A'!E53+'TH4 A'!E53+'DIVES A'!E53+'R314 A'!E53+'LYSE A'!E53+'ARTHUR A'!E53+'HUGO A'!E53+'JEANCLO A'!E53+'THOMAS A'!E53+'CATALINA A'!E53</f>
        <v>18459.28</v>
      </c>
      <c r="F54" s="17">
        <f t="shared" si="11"/>
        <v>0.37929678911840464</v>
      </c>
      <c r="G54" s="16">
        <f t="shared" si="12"/>
        <v>2766.8199999999997</v>
      </c>
      <c r="H54" s="17">
        <f t="shared" si="13"/>
        <v>14.988775293510907</v>
      </c>
    </row>
    <row r="55" spans="1:8" s="18" customFormat="1" x14ac:dyDescent="0.2">
      <c r="A55" s="13" t="s">
        <v>45</v>
      </c>
      <c r="B55" s="267" t="s">
        <v>41</v>
      </c>
      <c r="C55" s="23">
        <f>+'GLR5 A'!C54+'HTR8 A'!C54+'TIRR A'!C54+'VR7 A'!C54+'TURVILLA A'!C54+'HART A'!C54+'VICTOIRE A'!C54+'TH4 A'!C54+'DIVES A'!C54+'R314 A'!C54+'LYSE A'!C54+'ARTHUR A'!C54+'HUGO A'!C54+'JEANCLO A'!C54+'THOMAS A'!C54+'CATALINA A'!C54</f>
        <v>22725.789999999997</v>
      </c>
      <c r="D55" s="17">
        <f t="shared" si="11"/>
        <v>0.50449867978450535</v>
      </c>
      <c r="E55" s="16">
        <f>+'GLR5 A'!E54+'HTR8 A'!E54+'TIRR A'!E54+'VR7 A'!E54+'TURVILLA A'!E54+'HART A'!E54+'VICTOIRE A'!E54+'TH4 A'!E54+'DIVES A'!E54+'R314 A'!E54+'LYSE A'!E54+'ARTHUR A'!E54+'HUGO A'!E54+'JEANCLO A'!E54+'THOMAS A'!E54+'CATALINA A'!E54</f>
        <v>23289.829999999998</v>
      </c>
      <c r="F55" s="17">
        <f t="shared" si="11"/>
        <v>0.47855375389037352</v>
      </c>
      <c r="G55" s="16">
        <f t="shared" si="12"/>
        <v>-564.04000000000087</v>
      </c>
      <c r="H55" s="17">
        <f t="shared" si="13"/>
        <v>-2.4218296140418412</v>
      </c>
    </row>
    <row r="56" spans="1:8" s="18" customFormat="1" x14ac:dyDescent="0.2">
      <c r="A56" s="13" t="s">
        <v>47</v>
      </c>
      <c r="B56" s="267" t="s">
        <v>43</v>
      </c>
      <c r="C56" s="23">
        <f>+'GLR5 A'!C55+'HTR8 A'!C55+'TIRR A'!C55+'VR7 A'!C55+'TURVILLA A'!C55+'HART A'!C55+'VICTOIRE A'!C55+'TH4 A'!C55+'DIVES A'!C55+'R314 A'!C55+'LYSE A'!C55+'ARTHUR A'!C55+'HUGO A'!C55+'JEANCLO A'!C55+'THOMAS A'!C55+'CATALINA A'!C55</f>
        <v>41738.640000000007</v>
      </c>
      <c r="D56" s="17">
        <f t="shared" si="11"/>
        <v>0.92657235572452057</v>
      </c>
      <c r="E56" s="16">
        <f>+'GLR5 A'!E55+'HTR8 A'!E55+'TIRR A'!E55+'VR7 A'!E55+'TURVILLA A'!E55+'HART A'!E55+'VICTOIRE A'!E55+'TH4 A'!E55+'DIVES A'!E55+'R314 A'!E55+'LYSE A'!E55+'ARTHUR A'!E55+'HUGO A'!E55+'JEANCLO A'!E55+'THOMAS A'!E55+'CATALINA A'!E55</f>
        <v>51687.48</v>
      </c>
      <c r="F56" s="17">
        <f t="shared" si="11"/>
        <v>1.0620617489751365</v>
      </c>
      <c r="G56" s="16">
        <f t="shared" si="12"/>
        <v>-9948.8399999999965</v>
      </c>
      <c r="H56" s="17">
        <f t="shared" si="13"/>
        <v>-19.248065488973339</v>
      </c>
    </row>
    <row r="57" spans="1:8" s="18" customFormat="1" x14ac:dyDescent="0.2">
      <c r="A57" s="13" t="s">
        <v>48</v>
      </c>
      <c r="B57" s="267" t="s">
        <v>46</v>
      </c>
      <c r="C57" s="23">
        <f>+'GLR5 A'!C56+'HTR8 A'!C56+'TIRR A'!C56+'VR7 A'!C56+'TURVILLA A'!C56+'HART A'!C56+'VICTOIRE A'!C56+'TH4 A'!C56+'DIVES A'!C56+'R314 A'!C56+'LYSE A'!C56+'ARTHUR A'!C56+'HUGO A'!C56+'JEANCLO A'!C56+'THOMAS A'!C56+'CATALINA A'!C56</f>
        <v>154358.49</v>
      </c>
      <c r="D57" s="17">
        <f t="shared" si="11"/>
        <v>3.4266643499975045</v>
      </c>
      <c r="E57" s="16">
        <f>+'GLR5 A'!E56+'HTR8 A'!E56+'TIRR A'!E56+'VR7 A'!E56+'TURVILLA A'!E56+'HART A'!E56+'VICTOIRE A'!E56+'TH4 A'!E56+'DIVES A'!E56+'R314 A'!E56+'LYSE A'!E56+'ARTHUR A'!E56+'HUGO A'!E56+'JEANCLO A'!E56+'THOMAS A'!E56+'CATALINA A'!E56</f>
        <v>187299.11</v>
      </c>
      <c r="F57" s="17">
        <f t="shared" si="11"/>
        <v>3.8485764898595654</v>
      </c>
      <c r="G57" s="16">
        <f t="shared" si="12"/>
        <v>-32940.619999999995</v>
      </c>
      <c r="H57" s="17">
        <f t="shared" si="13"/>
        <v>-17.587173799170746</v>
      </c>
    </row>
    <row r="58" spans="1:8" s="18" customFormat="1" x14ac:dyDescent="0.2">
      <c r="A58" s="13" t="s">
        <v>50</v>
      </c>
      <c r="B58" s="267" t="s">
        <v>2990</v>
      </c>
      <c r="C58" s="23">
        <f>+'GLR5 A'!C57+'HTR8 A'!C57+'TIRR A'!C57+'VR7 A'!C57+'TURVILLA A'!C57+'HART A'!C57+'VICTOIRE A'!C57+'TH4 A'!C57+'DIVES A'!C57+'R314 A'!C57+'LYSE A'!C57+'ARTHUR A'!C57+'HUGO A'!C57+'JEANCLO A'!C57+'THOMAS A'!C57+'CATALINA A'!C57</f>
        <v>8850.07</v>
      </c>
      <c r="D58" s="17">
        <f t="shared" si="11"/>
        <v>0.19646615721611693</v>
      </c>
      <c r="E58" s="16">
        <f>+'GLR5 A'!E57+'HTR8 A'!E57+'TIRR A'!E57+'VR7 A'!E57+'TURVILLA A'!E57+'HART A'!E57+'VICTOIRE A'!E57+'TH4 A'!E57+'DIVES A'!E57+'R314 A'!E57+'LYSE A'!E57+'ARTHUR A'!E57+'HUGO A'!E57+'JEANCLO A'!E57+'THOMAS A'!E57+'CATALINA A'!E57</f>
        <v>3771.98</v>
      </c>
      <c r="F58" s="17">
        <f t="shared" si="11"/>
        <v>7.7505726259032848E-2</v>
      </c>
      <c r="G58" s="16">
        <f t="shared" si="12"/>
        <v>5078.09</v>
      </c>
      <c r="H58" s="17">
        <f t="shared" si="13"/>
        <v>134.62664171071955</v>
      </c>
    </row>
    <row r="59" spans="1:8" s="18" customFormat="1" x14ac:dyDescent="0.2">
      <c r="A59" s="13" t="s">
        <v>52</v>
      </c>
      <c r="B59" s="267" t="s">
        <v>51</v>
      </c>
      <c r="C59" s="23">
        <f>+'GLR5 A'!C58+'HTR8 A'!C58+'TIRR A'!C58+'VR7 A'!C58+'TURVILLA A'!C58+'HART A'!C58+'VICTOIRE A'!C58+'TH4 A'!C58+'DIVES A'!C58+'R314 A'!C58+'LYSE A'!C58+'ARTHUR A'!C58+'HUGO A'!C58+'JEANCLO A'!C58+'THOMAS A'!C58+'CATALINA A'!C58</f>
        <v>12382.720000000001</v>
      </c>
      <c r="D59" s="17">
        <f t="shared" si="11"/>
        <v>0.27488883300167744</v>
      </c>
      <c r="E59" s="16">
        <f>+'GLR5 A'!E58+'HTR8 A'!E58+'TIRR A'!E58+'VR7 A'!E58+'TURVILLA A'!E58+'HART A'!E58+'VICTOIRE A'!E58+'TH4 A'!E58+'DIVES A'!E58+'R314 A'!E58+'LYSE A'!E58+'ARTHUR A'!E58+'HUGO A'!E58+'JEANCLO A'!E58+'THOMAS A'!E58+'CATALINA A'!E58</f>
        <v>26151.72</v>
      </c>
      <c r="F59" s="17">
        <f t="shared" si="11"/>
        <v>0.53735917250963017</v>
      </c>
      <c r="G59" s="16">
        <f t="shared" si="12"/>
        <v>-13769</v>
      </c>
      <c r="H59" s="17">
        <f t="shared" si="13"/>
        <v>-52.650456643004738</v>
      </c>
    </row>
    <row r="60" spans="1:8" ht="13.5" thickBot="1" x14ac:dyDescent="0.25">
      <c r="A60" s="13"/>
      <c r="B60" s="269" t="s">
        <v>2994</v>
      </c>
      <c r="C60" s="49">
        <f>SUM(C52:C59)</f>
        <v>495968.29000000004</v>
      </c>
      <c r="D60" s="50">
        <f t="shared" si="11"/>
        <v>11.010193595909261</v>
      </c>
      <c r="E60" s="51">
        <f>SUM(E52:E59)</f>
        <v>565884.36999999988</v>
      </c>
      <c r="F60" s="50">
        <f t="shared" si="11"/>
        <v>11.627654196333292</v>
      </c>
      <c r="G60" s="51">
        <f>SUM(G52:G59)</f>
        <v>-69916.079999999987</v>
      </c>
      <c r="H60" s="50">
        <f t="shared" si="13"/>
        <v>-12.355188392992725</v>
      </c>
    </row>
    <row r="61" spans="1:8" ht="7.15" customHeight="1" thickTop="1" x14ac:dyDescent="0.2">
      <c r="A61" s="13"/>
      <c r="B61" s="271"/>
      <c r="C61" s="19"/>
      <c r="D61" s="10"/>
      <c r="E61" s="9"/>
      <c r="F61" s="10"/>
      <c r="G61" s="9"/>
      <c r="H61" s="10"/>
    </row>
    <row r="62" spans="1:8" ht="16.899999999999999" customHeight="1" thickBot="1" x14ac:dyDescent="0.25">
      <c r="A62" s="13"/>
      <c r="B62" s="265" t="s">
        <v>60</v>
      </c>
      <c r="C62" s="70">
        <f>C60+C50+C43+C34+C27</f>
        <v>2983427.87</v>
      </c>
      <c r="D62" s="71">
        <f>(C62*100)/C$9</f>
        <v>66.23027941591026</v>
      </c>
      <c r="E62" s="72">
        <f>E60+E50+E43+E34+E27</f>
        <v>3387241.92</v>
      </c>
      <c r="F62" s="71">
        <f>(E62*100)/E$9</f>
        <v>69.600221905906409</v>
      </c>
      <c r="G62" s="72">
        <f>G60+G50+G43+G34+G27</f>
        <v>-403814.05000000016</v>
      </c>
      <c r="H62" s="71">
        <f>IF(E62=0,0,G62/E62*100)</f>
        <v>-11.921618223241644</v>
      </c>
    </row>
    <row r="63" spans="1:8" ht="7.15" customHeight="1" thickTop="1" x14ac:dyDescent="0.2">
      <c r="A63" s="13"/>
      <c r="B63" s="271"/>
      <c r="C63" s="19"/>
      <c r="D63" s="10"/>
      <c r="E63" s="9"/>
      <c r="F63" s="10"/>
      <c r="G63" s="9"/>
      <c r="H63" s="10"/>
    </row>
    <row r="64" spans="1:8" x14ac:dyDescent="0.2">
      <c r="A64" s="13" t="s">
        <v>2991</v>
      </c>
      <c r="B64" s="267" t="s">
        <v>64</v>
      </c>
      <c r="C64" s="23">
        <f>+'GLR5 A'!C63+'HTR8 A'!C63+'TIRR A'!C63+'VR7 A'!C63+'TURVILLA A'!C63+'HART A'!C63+'VICTOIRE A'!C63+'TH4 A'!C63+'DIVES A'!C63+'R314 A'!C63+'LYSE A'!C63+'ARTHUR A'!C63+'HUGO A'!C63+'JEANCLO A'!C63+'THOMAS A'!C63+'CATALINA A'!C63</f>
        <v>77401.690000000017</v>
      </c>
      <c r="D64" s="17">
        <f t="shared" ref="D64:F66" si="14">(C64*100)/C$9</f>
        <v>1.7182703183515102</v>
      </c>
      <c r="E64" s="16">
        <f>+'GLR5 A'!E63+'HTR8 A'!E63+'TIRR A'!E63+'VR7 A'!E63+'TURVILLA A'!E63+'HART A'!E63+'VICTOIRE A'!E63+'TH4 A'!E63+'DIVES A'!E63+'R314 A'!E63+'LYSE A'!E63+'ARTHUR A'!E63+'HUGO A'!E63+'JEANCLO A'!E63+'THOMAS A'!E63+'CATALINA A'!E63</f>
        <v>63933.770000000011</v>
      </c>
      <c r="F64" s="17">
        <f t="shared" si="14"/>
        <v>1.3136955329370694</v>
      </c>
      <c r="G64" s="16">
        <f>+C64-E64</f>
        <v>13467.920000000006</v>
      </c>
      <c r="H64" s="17">
        <f>IF(E64=0,0,G64/E64*100)</f>
        <v>21.065424422805044</v>
      </c>
    </row>
    <row r="65" spans="1:9" s="18" customFormat="1" x14ac:dyDescent="0.2">
      <c r="A65" s="13" t="s">
        <v>2992</v>
      </c>
      <c r="B65" s="68" t="s">
        <v>65</v>
      </c>
      <c r="C65" s="23">
        <f>+'GLR5 A'!C64+'HTR8 A'!C64+'TIRR A'!C64+'VR7 A'!C64+'TURVILLA A'!C64+'HART A'!C64+'VICTOIRE A'!C64+'TH4 A'!C64+'DIVES A'!C64+'R314 A'!C64+'LYSE A'!C64+'ARTHUR A'!C64+'HUGO A'!C64+'JEANCLO A'!C64+'THOMAS A'!C64+'CATALINA A'!C64</f>
        <v>55682.530000000006</v>
      </c>
      <c r="D65" s="17">
        <f t="shared" si="14"/>
        <v>1.2361182107227568</v>
      </c>
      <c r="E65" s="24">
        <f>+'GLR5 A'!E64+'HTR8 A'!E64+'TIRR A'!E64+'VR7 A'!E64+'TURVILLA A'!E64+'HART A'!E64+'VICTOIRE A'!E64+'TH4 A'!E64+'DIVES A'!E64+'R314 A'!E64+'LYSE A'!E64+'ARTHUR A'!E64+'HUGO A'!E64+'JEANCLO A'!E64+'THOMAS A'!E64+'CATALINA A'!E64</f>
        <v>60053.57</v>
      </c>
      <c r="F65" s="17">
        <f t="shared" si="14"/>
        <v>1.2339661284783237</v>
      </c>
      <c r="G65" s="16">
        <f>+C65-E65</f>
        <v>-4371.0399999999936</v>
      </c>
      <c r="H65" s="17">
        <f>IF(E65=0,0,G65/E65*100)</f>
        <v>-7.2785681184315827</v>
      </c>
    </row>
    <row r="66" spans="1:9" s="59" customFormat="1" ht="13.5" x14ac:dyDescent="0.2">
      <c r="A66" s="13"/>
      <c r="B66" s="268" t="s">
        <v>53</v>
      </c>
      <c r="C66" s="67">
        <f>+C64-C65</f>
        <v>21719.160000000011</v>
      </c>
      <c r="D66" s="56">
        <f t="shared" si="14"/>
        <v>0.48215210762875321</v>
      </c>
      <c r="E66" s="57">
        <f>+E64-E65</f>
        <v>3880.2000000000116</v>
      </c>
      <c r="F66" s="56">
        <f t="shared" si="14"/>
        <v>7.9729404458745851E-2</v>
      </c>
      <c r="G66" s="58">
        <f>+G64-G65</f>
        <v>17838.96</v>
      </c>
      <c r="H66" s="56">
        <f>IF(E66=0,0,G66/E66*100)</f>
        <v>459.74331220040068</v>
      </c>
    </row>
    <row r="67" spans="1:9" s="18" customFormat="1" ht="7.15" customHeight="1" x14ac:dyDescent="0.2">
      <c r="A67" s="13"/>
      <c r="B67" s="267"/>
      <c r="C67" s="15"/>
      <c r="D67" s="17"/>
      <c r="E67" s="16"/>
      <c r="F67" s="17"/>
      <c r="G67" s="16"/>
      <c r="H67" s="17"/>
    </row>
    <row r="68" spans="1:9" s="18" customFormat="1" x14ac:dyDescent="0.2">
      <c r="A68" s="13" t="s">
        <v>286</v>
      </c>
      <c r="B68" s="267" t="s">
        <v>2993</v>
      </c>
      <c r="C68" s="15">
        <f>+'GLR5 A'!C67+'HTR8 A'!C67+'TIRR A'!C67+'VR7 A'!C67+'TURVILLA A'!C67+'HART A'!C67+'VICTOIRE A'!C67+'TH4 A'!C67+'DIVES A'!C67+'R314 A'!C67+'LYSE A'!C67+'ARTHUR A'!C67+'HUGO A'!C67+'JEANCLO A'!C67+'THOMAS A'!C67+'CATALINA A'!C67</f>
        <v>-3533.1000000000004</v>
      </c>
      <c r="D68" s="17">
        <f>(C68*100)/C$9</f>
        <v>-7.8432665511149954E-2</v>
      </c>
      <c r="E68" s="16">
        <f>+'GLR5 A'!E67+'HTR8 A'!E67+'TIRR A'!E67+'VR7 A'!E67+'TURVILLA A'!E67+'HART A'!E67+'VICTOIRE A'!E67+'TH4 A'!E67+'DIVES A'!E67+'R314 A'!E67+'LYSE A'!E67+'ARTHUR A'!E67+'HUGO A'!E67+'JEANCLO A'!E67+'THOMAS A'!E67+'CATALINA A'!E67</f>
        <v>-1899.5399999999997</v>
      </c>
      <c r="F68" s="17">
        <f>(E68*100)/E$9</f>
        <v>-3.903128522899995E-2</v>
      </c>
      <c r="G68" s="16">
        <f>+C68-E68</f>
        <v>-1633.5600000000006</v>
      </c>
      <c r="H68" s="17">
        <f>IF(E68=0,0,G68/E68*100)</f>
        <v>85.997662591996004</v>
      </c>
    </row>
    <row r="69" spans="1:9" s="18" customFormat="1" ht="7.15" customHeight="1" x14ac:dyDescent="0.2">
      <c r="A69" s="13"/>
      <c r="B69" s="267"/>
      <c r="C69" s="15"/>
      <c r="D69" s="17"/>
      <c r="E69" s="16"/>
      <c r="F69" s="17"/>
      <c r="G69" s="16"/>
      <c r="H69" s="17"/>
    </row>
    <row r="70" spans="1:9" s="18" customFormat="1" x14ac:dyDescent="0.2">
      <c r="A70" s="13"/>
      <c r="B70" s="271" t="s">
        <v>55</v>
      </c>
      <c r="C70" s="22">
        <f>C19-C62+C66+C68</f>
        <v>367131.11999999918</v>
      </c>
      <c r="D70" s="10">
        <f>(C70*100)/C$9</f>
        <v>8.1500869869785131</v>
      </c>
      <c r="E70" s="9">
        <f>E19-E62+E66+E68</f>
        <v>249944.71999999959</v>
      </c>
      <c r="F70" s="10">
        <f>(E70*100)/E$9</f>
        <v>5.1358032248873489</v>
      </c>
      <c r="G70" s="9">
        <f>G19-G62+G66+G68</f>
        <v>117186.39999999976</v>
      </c>
      <c r="H70" s="10">
        <f>IF(E70=0,0,G70/E70*100)</f>
        <v>46.884927195101362</v>
      </c>
    </row>
    <row r="71" spans="1:9" ht="13.5" thickBot="1" x14ac:dyDescent="0.25">
      <c r="A71" s="13"/>
      <c r="B71" s="269" t="s">
        <v>3034</v>
      </c>
      <c r="C71" s="49">
        <f>+C70-C68+C58+C57</f>
        <v>533872.7799999991</v>
      </c>
      <c r="D71" s="50">
        <f>(C71*100)/C$9</f>
        <v>11.851650159703283</v>
      </c>
      <c r="E71" s="49">
        <f>+E70-E68+E58+E57</f>
        <v>442915.34999999963</v>
      </c>
      <c r="F71" s="50">
        <f>(E71*100)/E$9</f>
        <v>9.1009167262349475</v>
      </c>
      <c r="G71" s="49">
        <f>+G70-G68+G58+G57</f>
        <v>90957.42999999976</v>
      </c>
      <c r="H71" s="50">
        <f>IF(E71=0,0,G71/E71*100)</f>
        <v>20.536075347128936</v>
      </c>
    </row>
    <row r="72" spans="1:9" ht="7.15" customHeight="1" thickTop="1" x14ac:dyDescent="0.2">
      <c r="A72" s="13"/>
      <c r="B72" s="271"/>
      <c r="C72" s="12"/>
      <c r="D72" s="10"/>
      <c r="E72" s="9"/>
      <c r="F72" s="10"/>
      <c r="G72" s="9"/>
      <c r="H72" s="10"/>
    </row>
    <row r="73" spans="1:9" x14ac:dyDescent="0.2">
      <c r="A73" s="13" t="s">
        <v>2995</v>
      </c>
      <c r="B73" s="267" t="s">
        <v>2996</v>
      </c>
      <c r="C73" s="15">
        <f>+'GLR5 A'!C72+'HTR8 A'!C72+'TIRR A'!C72+'VR7 A'!C72+'TURVILLA A'!C72+'HART A'!C72+'VICTOIRE A'!C72+'TH4 A'!C72+'DIVES A'!C72+'R314 A'!C72+'LYSE A'!C72+'ARTHUR A'!C72+'HUGO A'!C72+'JEANCLO A'!C72+'THOMAS A'!C72+'CATALINA A'!C72</f>
        <v>-17.46</v>
      </c>
      <c r="D73" s="17">
        <f>(C73*100)/C$9</f>
        <v>-3.8760135286990967E-4</v>
      </c>
      <c r="E73" s="16">
        <f>+'GLR5 A'!E72+'HTR8 A'!E72+'TIRR A'!E72+'VR7 A'!E72+'TURVILLA A'!E72+'HART A'!E72+'VICTOIRE A'!E72+'TH4 A'!E72+'DIVES A'!E72+'R314 A'!E72+'LYSE A'!E72+'ARTHUR A'!E72+'HUGO A'!E72+'JEANCLO A'!E72+'THOMAS A'!E72+'CATALINA A'!E72</f>
        <v>0</v>
      </c>
      <c r="F73" s="17">
        <f>(E73*100)/E$9</f>
        <v>0</v>
      </c>
      <c r="G73" s="16">
        <f>+C73-E73</f>
        <v>-17.46</v>
      </c>
      <c r="H73" s="17">
        <f>IF(E73=0,0,G73/E73*100)</f>
        <v>0</v>
      </c>
      <c r="I73" s="18"/>
    </row>
    <row r="74" spans="1:9" ht="7.15" customHeight="1" x14ac:dyDescent="0.2">
      <c r="A74" s="13"/>
      <c r="B74" s="271"/>
      <c r="C74" s="12"/>
      <c r="D74" s="10"/>
      <c r="E74" s="9"/>
      <c r="F74" s="10"/>
      <c r="G74" s="9"/>
      <c r="H74" s="10"/>
    </row>
    <row r="75" spans="1:9" x14ac:dyDescent="0.2">
      <c r="A75" s="13" t="s">
        <v>288</v>
      </c>
      <c r="B75" s="271" t="s">
        <v>63</v>
      </c>
      <c r="C75" s="22">
        <f>+'GLR5 A'!C74+'HTR8 A'!C74+'TIRR A'!C74+'VR7 A'!C74+'TURVILLA A'!C74+'HART A'!C74+'VICTOIRE A'!C74+'TH4 A'!C74+'DIVES A'!C74+'R314 A'!C74+'LYSE A'!C74+'ARTHUR A'!C74+'HUGO A'!C74+'JEANCLO A'!C74+'THOMAS A'!C74+'CATALINA A'!C74</f>
        <v>323209.98000000004</v>
      </c>
      <c r="D75" s="10">
        <f>(C75*100)/C$9</f>
        <v>7.175064462145273</v>
      </c>
      <c r="E75" s="9">
        <f>+'GLR5 A'!E74+'HTR8 A'!E74+'TIRR A'!E74+'VR7 A'!E74+'TURVILLA A'!E74+'HART A'!E74+'VICTOIRE A'!E74+'TH4 A'!E74+'DIVES A'!E74+'R314 A'!E74+'LYSE A'!E74+'ARTHUR A'!E74+'HUGO A'!E74+'JEANCLO A'!E74+'THOMAS A'!E74+'CATALINA A'!E74</f>
        <v>325768.06000000006</v>
      </c>
      <c r="F75" s="10">
        <f>(E75*100)/E$9</f>
        <v>6.6938027461164147</v>
      </c>
      <c r="G75" s="9">
        <f>+C75-E75</f>
        <v>-2558.0800000000163</v>
      </c>
      <c r="H75" s="10">
        <f>IF(E75=0,0,G75/E75*100)</f>
        <v>-0.78524579727061516</v>
      </c>
    </row>
    <row r="76" spans="1:9" ht="7.15" customHeight="1" x14ac:dyDescent="0.2">
      <c r="A76" s="13"/>
      <c r="B76" s="271"/>
      <c r="C76" s="12"/>
      <c r="D76" s="10"/>
      <c r="E76" s="9"/>
      <c r="F76" s="10"/>
      <c r="G76" s="9"/>
      <c r="H76" s="10"/>
    </row>
    <row r="77" spans="1:9" ht="16.899999999999999" customHeight="1" thickBot="1" x14ac:dyDescent="0.25">
      <c r="A77" s="13"/>
      <c r="B77" s="265" t="s">
        <v>61</v>
      </c>
      <c r="C77" s="70">
        <f>C70-C75+C73</f>
        <v>43903.679999999142</v>
      </c>
      <c r="D77" s="71">
        <f>(C77*100)/C$9</f>
        <v>0.97463492348037029</v>
      </c>
      <c r="E77" s="72">
        <f>E70-E75+E73</f>
        <v>-75823.340000000462</v>
      </c>
      <c r="F77" s="71">
        <f>(E77*100)/E$9</f>
        <v>-1.5579995212290658</v>
      </c>
      <c r="G77" s="72">
        <f>G70-G75+G73</f>
        <v>119727.01999999977</v>
      </c>
      <c r="H77" s="71">
        <f>IF(E77=0,0,G77/E77*100)</f>
        <v>-157.90259305379985</v>
      </c>
    </row>
    <row r="78" spans="1:9" ht="13.5" hidden="1" thickTop="1" x14ac:dyDescent="0.2">
      <c r="A78" s="13"/>
      <c r="B78" s="11"/>
      <c r="C78" s="319"/>
      <c r="D78" s="320"/>
      <c r="E78" s="321"/>
      <c r="F78" s="322"/>
      <c r="G78" s="321"/>
      <c r="H78" s="322"/>
    </row>
    <row r="79" spans="1:9" ht="16.899999999999999" hidden="1" customHeight="1" thickBot="1" x14ac:dyDescent="0.25">
      <c r="A79" s="13"/>
      <c r="B79" s="73" t="s">
        <v>85</v>
      </c>
      <c r="C79" s="323"/>
      <c r="D79" s="324"/>
      <c r="E79" s="323"/>
      <c r="F79" s="324"/>
      <c r="G79" s="317"/>
      <c r="H79" s="318"/>
    </row>
    <row r="80" spans="1:9" ht="13.5" hidden="1" thickTop="1" x14ac:dyDescent="0.2">
      <c r="A80" s="13"/>
      <c r="B80" s="65"/>
      <c r="C80" s="25"/>
      <c r="D80" s="26"/>
      <c r="E80" s="27"/>
      <c r="F80" s="28"/>
      <c r="G80" s="27"/>
      <c r="H80" s="28"/>
    </row>
    <row r="81" spans="1:8" ht="16.899999999999999" hidden="1" customHeight="1" thickBot="1" x14ac:dyDescent="0.25">
      <c r="A81" s="13"/>
      <c r="B81" s="73" t="s">
        <v>86</v>
      </c>
      <c r="C81" s="315"/>
      <c r="D81" s="316"/>
      <c r="E81" s="315"/>
      <c r="F81" s="316"/>
      <c r="G81" s="317"/>
      <c r="H81" s="318"/>
    </row>
    <row r="82" spans="1:8" ht="14.25" thickTop="1" thickBot="1" x14ac:dyDescent="0.25">
      <c r="A82" s="13"/>
      <c r="B82" s="66"/>
      <c r="C82" s="29"/>
      <c r="D82" s="30"/>
      <c r="E82" s="29"/>
      <c r="F82" s="30"/>
      <c r="G82" s="29"/>
      <c r="H82" s="30"/>
    </row>
  </sheetData>
  <mergeCells count="17">
    <mergeCell ref="C81:D81"/>
    <mergeCell ref="E81:F81"/>
    <mergeCell ref="G81:H81"/>
    <mergeCell ref="C78:D78"/>
    <mergeCell ref="E78:F78"/>
    <mergeCell ref="G78:H78"/>
    <mergeCell ref="C79:D79"/>
    <mergeCell ref="E79:F79"/>
    <mergeCell ref="G79:H79"/>
    <mergeCell ref="B3:H3"/>
    <mergeCell ref="A6:A7"/>
    <mergeCell ref="B6:B7"/>
    <mergeCell ref="C6:H6"/>
    <mergeCell ref="C7:D7"/>
    <mergeCell ref="E7:F7"/>
    <mergeCell ref="G7:H7"/>
    <mergeCell ref="B4:F4"/>
  </mergeCells>
  <pageMargins left="0.70866141732283472" right="0.70866141732283472" top="0.74803149606299213" bottom="0.74803149606299213" header="0.31496062992125984" footer="0.31496062992125984"/>
  <pageSetup paperSize="9" scale="73" orientation="portrait" r:id="rId1"/>
  <headerFooter>
    <oddFooter>&amp;C&amp;"Helv,Gras"&amp;11Page &amp;P / &amp;N</oddFooter>
  </headerFooter>
  <ignoredErrors>
    <ignoredError sqref="E10 E63 E71:E72 E14 E17:E20 E27:E28 E34:E35 E43:E46 E50:E51 E60:E61 E66:E67 E69 E74 E76" formula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6FA3-6CA5-4632-8012-ED20217E0E8B}">
  <sheetPr>
    <tabColor theme="9" tint="0.59999389629810485"/>
  </sheetPr>
  <dimension ref="A1:AJ81"/>
  <sheetViews>
    <sheetView showGridLines="0" view="pageBreakPreview" topLeftCell="B30" zoomScale="70" zoomScaleNormal="55" zoomScaleSheetLayoutView="70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12.5703125" style="20" customWidth="1"/>
    <col min="10" max="10" width="8.42578125" style="21" customWidth="1"/>
    <col min="11" max="11" width="12.5703125" style="20" customWidth="1"/>
    <col min="12" max="12" width="8.42578125" style="21" customWidth="1"/>
    <col min="13" max="13" width="12.5703125" style="20" customWidth="1"/>
    <col min="14" max="14" width="8.42578125" style="21" customWidth="1"/>
    <col min="15" max="15" width="12.5703125" style="20" customWidth="1"/>
    <col min="16" max="16" width="8.42578125" style="21" customWidth="1"/>
    <col min="17" max="17" width="12.5703125" style="20" customWidth="1"/>
    <col min="18" max="18" width="8.42578125" style="21" customWidth="1"/>
    <col min="19" max="19" width="12.5703125" style="20" customWidth="1"/>
    <col min="20" max="20" width="8.42578125" style="21" customWidth="1"/>
    <col min="21" max="21" width="12.5703125" style="20" customWidth="1"/>
    <col min="22" max="22" width="8.42578125" style="21" customWidth="1"/>
    <col min="23" max="23" width="12.5703125" style="20" customWidth="1"/>
    <col min="24" max="24" width="8.42578125" style="21" customWidth="1"/>
    <col min="25" max="25" width="12.5703125" style="20" customWidth="1"/>
    <col min="26" max="26" width="8.42578125" style="21" customWidth="1"/>
    <col min="27" max="27" width="12.5703125" style="20" customWidth="1"/>
    <col min="28" max="28" width="8.42578125" style="21" customWidth="1"/>
    <col min="29" max="29" width="12.5703125" style="20" customWidth="1"/>
    <col min="30" max="30" width="8.42578125" style="21" customWidth="1"/>
    <col min="31" max="31" width="12.5703125" style="20" customWidth="1"/>
    <col min="32" max="32" width="8.42578125" style="21" customWidth="1"/>
    <col min="33" max="33" width="12.5703125" style="20" customWidth="1"/>
    <col min="34" max="34" width="8.42578125" style="21" customWidth="1"/>
    <col min="35" max="35" width="12.5703125" style="20" customWidth="1"/>
    <col min="36" max="36" width="8.42578125" style="21" customWidth="1"/>
    <col min="37" max="16384" width="7" style="6"/>
  </cols>
  <sheetData>
    <row r="1" spans="1:36" x14ac:dyDescent="0.2">
      <c r="B1" s="74" t="s">
        <v>6996</v>
      </c>
      <c r="C1" s="44"/>
      <c r="D1" s="44"/>
      <c r="E1" s="44"/>
      <c r="F1" s="44"/>
      <c r="I1" s="44"/>
      <c r="J1" s="75"/>
      <c r="K1" s="44"/>
      <c r="L1" s="75"/>
      <c r="M1" s="44"/>
      <c r="N1" s="75"/>
      <c r="O1" s="44"/>
      <c r="P1" s="75"/>
      <c r="Q1" s="44"/>
      <c r="R1" s="75"/>
      <c r="S1" s="44"/>
      <c r="T1" s="75"/>
      <c r="U1" s="44"/>
      <c r="V1" s="75"/>
      <c r="W1" s="44"/>
      <c r="X1" s="75"/>
      <c r="Y1" s="44"/>
      <c r="Z1" s="75"/>
      <c r="AA1" s="44"/>
      <c r="AB1" s="75"/>
      <c r="AC1" s="44"/>
      <c r="AD1" s="75"/>
      <c r="AE1" s="44"/>
      <c r="AF1" s="75"/>
      <c r="AG1" s="44"/>
      <c r="AH1" s="75"/>
      <c r="AI1" s="44"/>
      <c r="AJ1" s="75" t="str">
        <f>CONCATENATE("P&amp;L ",RIGHT(DONNÉES!B5,LEN(DONNÉES!B5)-3))</f>
        <v>P&amp;L Janvier</v>
      </c>
    </row>
    <row r="2" spans="1:36" x14ac:dyDescent="0.2">
      <c r="B2" s="7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</row>
    <row r="3" spans="1:36" ht="15.75" x14ac:dyDescent="0.25">
      <c r="B3" s="300" t="str">
        <f>CONCATENATE("P&amp;L mensuels - ",DONNÉES!D5)</f>
        <v>P&amp;L mensuels - Janvier</v>
      </c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300"/>
      <c r="Z3" s="300"/>
      <c r="AA3" s="300"/>
      <c r="AB3" s="300"/>
      <c r="AC3" s="300"/>
      <c r="AD3" s="300"/>
      <c r="AE3" s="300"/>
      <c r="AF3" s="300"/>
      <c r="AG3" s="300"/>
      <c r="AH3" s="300"/>
      <c r="AI3" s="300"/>
      <c r="AJ3" s="300"/>
    </row>
    <row r="4" spans="1:36" ht="12.6" customHeight="1" thickBot="1" x14ac:dyDescent="0.25"/>
    <row r="5" spans="1:36" s="1" customFormat="1" ht="16.899999999999999" customHeight="1" x14ac:dyDescent="0.2">
      <c r="A5" s="308" t="s">
        <v>2962</v>
      </c>
      <c r="B5" s="293" t="s">
        <v>70</v>
      </c>
      <c r="C5" s="310" t="s">
        <v>2999</v>
      </c>
      <c r="D5" s="311"/>
      <c r="E5" s="310" t="s">
        <v>3001</v>
      </c>
      <c r="F5" s="311"/>
      <c r="G5" s="310" t="s">
        <v>210</v>
      </c>
      <c r="H5" s="311"/>
      <c r="I5" s="310" t="s">
        <v>3003</v>
      </c>
      <c r="J5" s="311"/>
      <c r="K5" s="310" t="s">
        <v>2156</v>
      </c>
      <c r="L5" s="311"/>
      <c r="M5" s="310" t="s">
        <v>3000</v>
      </c>
      <c r="N5" s="311"/>
      <c r="O5" s="310" t="s">
        <v>6900</v>
      </c>
      <c r="P5" s="311"/>
      <c r="Q5" s="310" t="s">
        <v>297</v>
      </c>
      <c r="R5" s="311"/>
      <c r="S5" s="310" t="s">
        <v>296</v>
      </c>
      <c r="T5" s="311"/>
      <c r="U5" s="310" t="s">
        <v>292</v>
      </c>
      <c r="V5" s="311"/>
      <c r="W5" s="310" t="s">
        <v>294</v>
      </c>
      <c r="X5" s="311"/>
      <c r="Y5" s="310" t="s">
        <v>6963</v>
      </c>
      <c r="Z5" s="311"/>
      <c r="AA5" s="310" t="s">
        <v>6964</v>
      </c>
      <c r="AB5" s="311"/>
      <c r="AC5" s="310" t="s">
        <v>6966</v>
      </c>
      <c r="AD5" s="311"/>
      <c r="AE5" s="310" t="s">
        <v>6965</v>
      </c>
      <c r="AF5" s="311"/>
      <c r="AG5" s="310" t="s">
        <v>7094</v>
      </c>
      <c r="AH5" s="311"/>
      <c r="AI5" s="310" t="s">
        <v>6903</v>
      </c>
      <c r="AJ5" s="311"/>
    </row>
    <row r="6" spans="1:36" s="1" customFormat="1" ht="16.899999999999999" customHeight="1" thickBot="1" x14ac:dyDescent="0.25">
      <c r="A6" s="309"/>
      <c r="B6" s="295"/>
      <c r="C6" s="77" t="s">
        <v>72</v>
      </c>
      <c r="D6" s="78" t="s">
        <v>57</v>
      </c>
      <c r="E6" s="77" t="s">
        <v>72</v>
      </c>
      <c r="F6" s="78" t="s">
        <v>57</v>
      </c>
      <c r="G6" s="77" t="s">
        <v>72</v>
      </c>
      <c r="H6" s="78" t="s">
        <v>57</v>
      </c>
      <c r="I6" s="77" t="s">
        <v>72</v>
      </c>
      <c r="J6" s="78" t="s">
        <v>57</v>
      </c>
      <c r="K6" s="77" t="s">
        <v>72</v>
      </c>
      <c r="L6" s="78" t="s">
        <v>57</v>
      </c>
      <c r="M6" s="77" t="s">
        <v>72</v>
      </c>
      <c r="N6" s="78" t="s">
        <v>57</v>
      </c>
      <c r="O6" s="77" t="s">
        <v>72</v>
      </c>
      <c r="P6" s="78" t="s">
        <v>57</v>
      </c>
      <c r="Q6" s="77" t="s">
        <v>72</v>
      </c>
      <c r="R6" s="78" t="s">
        <v>57</v>
      </c>
      <c r="S6" s="77" t="s">
        <v>72</v>
      </c>
      <c r="T6" s="78" t="s">
        <v>57</v>
      </c>
      <c r="U6" s="77" t="s">
        <v>72</v>
      </c>
      <c r="V6" s="78" t="s">
        <v>57</v>
      </c>
      <c r="W6" s="77" t="s">
        <v>72</v>
      </c>
      <c r="X6" s="78" t="s">
        <v>57</v>
      </c>
      <c r="Y6" s="77" t="s">
        <v>72</v>
      </c>
      <c r="Z6" s="78" t="s">
        <v>57</v>
      </c>
      <c r="AA6" s="77" t="s">
        <v>72</v>
      </c>
      <c r="AB6" s="78" t="s">
        <v>57</v>
      </c>
      <c r="AC6" s="77" t="s">
        <v>72</v>
      </c>
      <c r="AD6" s="78" t="s">
        <v>57</v>
      </c>
      <c r="AE6" s="77" t="s">
        <v>72</v>
      </c>
      <c r="AF6" s="78" t="s">
        <v>57</v>
      </c>
      <c r="AG6" s="77"/>
      <c r="AH6" s="78"/>
      <c r="AI6" s="77" t="s">
        <v>72</v>
      </c>
      <c r="AJ6" s="78" t="s">
        <v>57</v>
      </c>
    </row>
    <row r="7" spans="1:36" x14ac:dyDescent="0.2">
      <c r="A7" s="43"/>
      <c r="B7" s="61"/>
      <c r="C7" s="2"/>
      <c r="D7" s="3"/>
      <c r="E7" s="2"/>
      <c r="F7" s="3"/>
      <c r="G7" s="2"/>
      <c r="H7" s="3"/>
      <c r="I7" s="2"/>
      <c r="J7" s="3"/>
      <c r="K7" s="2"/>
      <c r="L7" s="3"/>
      <c r="M7" s="2"/>
      <c r="N7" s="3"/>
      <c r="O7" s="2"/>
      <c r="P7" s="3"/>
      <c r="Q7" s="2"/>
      <c r="R7" s="3"/>
      <c r="S7" s="2"/>
      <c r="T7" s="3"/>
      <c r="U7" s="2"/>
      <c r="V7" s="3"/>
      <c r="W7" s="2"/>
      <c r="X7" s="3"/>
      <c r="Y7" s="2"/>
      <c r="Z7" s="3"/>
      <c r="AA7" s="2"/>
      <c r="AB7" s="3"/>
      <c r="AC7" s="2"/>
      <c r="AD7" s="3"/>
      <c r="AE7" s="2"/>
      <c r="AF7" s="3"/>
      <c r="AG7" s="2"/>
      <c r="AH7" s="3"/>
      <c r="AI7" s="2"/>
      <c r="AJ7" s="3"/>
    </row>
    <row r="8" spans="1:36" ht="16.899999999999999" customHeight="1" thickBot="1" x14ac:dyDescent="0.25">
      <c r="A8" s="7" t="s">
        <v>68</v>
      </c>
      <c r="B8" s="69" t="s">
        <v>109</v>
      </c>
      <c r="C8" s="70">
        <f>+'GLR5 M'!C8</f>
        <v>415855.11</v>
      </c>
      <c r="D8" s="71">
        <f>(C8*100)/C$8</f>
        <v>100</v>
      </c>
      <c r="E8" s="70">
        <f>+'HTR8 M'!C8</f>
        <v>206795.07</v>
      </c>
      <c r="F8" s="71">
        <f>(E8*100)/E$8</f>
        <v>100</v>
      </c>
      <c r="G8" s="70">
        <f>+'TIRR M'!C8</f>
        <v>261126.99</v>
      </c>
      <c r="H8" s="71">
        <f>(G8*100)/G$8</f>
        <v>100</v>
      </c>
      <c r="I8" s="70">
        <f>+'VR7 M '!C8</f>
        <v>0</v>
      </c>
      <c r="J8" s="71" t="e">
        <f>(I8*100)/I$8</f>
        <v>#DIV/0!</v>
      </c>
      <c r="K8" s="70">
        <f>+'TURVILLA M'!C8</f>
        <v>457867.94</v>
      </c>
      <c r="L8" s="71">
        <f>(K8*100)/K$8</f>
        <v>100</v>
      </c>
      <c r="M8" s="70">
        <f>+'HART M'!C8</f>
        <v>0</v>
      </c>
      <c r="N8" s="71" t="e">
        <f>(M8*100)/M$8</f>
        <v>#DIV/0!</v>
      </c>
      <c r="O8" s="70">
        <f>+'VICTOIRE M'!C8</f>
        <v>225059.06</v>
      </c>
      <c r="P8" s="71">
        <f>(O8*100)/O$8</f>
        <v>100</v>
      </c>
      <c r="Q8" s="70">
        <f>+'TH4 M '!C8</f>
        <v>352127.46</v>
      </c>
      <c r="R8" s="71">
        <f>(Q8*100)/Q$8</f>
        <v>100</v>
      </c>
      <c r="S8" s="70">
        <f>+'DIVES M'!C8</f>
        <v>241429.07</v>
      </c>
      <c r="T8" s="71">
        <f>(S8*100)/S$8</f>
        <v>100</v>
      </c>
      <c r="U8" s="70">
        <f>+'R314 M '!C8</f>
        <v>318555.94</v>
      </c>
      <c r="V8" s="71">
        <f>(U8*100)/U$8</f>
        <v>100</v>
      </c>
      <c r="W8" s="70">
        <f>+'LYSE M '!C8</f>
        <v>379222.46</v>
      </c>
      <c r="X8" s="71">
        <f>(W8*100)/W$8</f>
        <v>100</v>
      </c>
      <c r="Y8" s="70">
        <f>+'ARTHUR M '!C8</f>
        <v>456583.12</v>
      </c>
      <c r="Z8" s="71">
        <f>(Y8*100)/Y$8</f>
        <v>100</v>
      </c>
      <c r="AA8" s="70">
        <f>+'HUGO M '!C8</f>
        <v>539353.96</v>
      </c>
      <c r="AB8" s="71">
        <f>(AA8*100)/AA$8</f>
        <v>100</v>
      </c>
      <c r="AC8" s="70">
        <f>+'JEANCLO M '!C8</f>
        <v>217685.38</v>
      </c>
      <c r="AD8" s="71">
        <f>(AC8*100)/AC$8</f>
        <v>100</v>
      </c>
      <c r="AE8" s="70">
        <f>+'THOMAS M'!G8</f>
        <v>-124343.17000000004</v>
      </c>
      <c r="AF8" s="71">
        <f>(AE8*100)/AE$8</f>
        <v>100</v>
      </c>
      <c r="AG8" s="70">
        <f>+'CATALINA M'!G8</f>
        <v>207907.62</v>
      </c>
      <c r="AH8" s="71">
        <f>(AG8*100)/AG$8</f>
        <v>100</v>
      </c>
      <c r="AI8" s="70">
        <f>+C8+E8+G8+I8+K8+M8+O8+Q8+S8+U8+W8+Y8+AA8+AC8+AE8+AG8</f>
        <v>4155226.01</v>
      </c>
      <c r="AJ8" s="71">
        <f>(AI8*100)/AI$8</f>
        <v>100</v>
      </c>
    </row>
    <row r="9" spans="1:36" ht="7.15" customHeight="1" thickTop="1" x14ac:dyDescent="0.2">
      <c r="A9" s="8"/>
      <c r="B9" s="8"/>
      <c r="C9" s="42"/>
      <c r="D9" s="10"/>
      <c r="E9" s="42"/>
      <c r="F9" s="10"/>
      <c r="G9" s="42"/>
      <c r="H9" s="10"/>
      <c r="I9" s="42"/>
      <c r="J9" s="10"/>
      <c r="K9" s="42"/>
      <c r="L9" s="10"/>
      <c r="M9" s="42"/>
      <c r="N9" s="10"/>
      <c r="O9" s="42"/>
      <c r="P9" s="10"/>
      <c r="Q9" s="42"/>
      <c r="R9" s="10"/>
      <c r="S9" s="42"/>
      <c r="T9" s="10"/>
      <c r="U9" s="42"/>
      <c r="V9" s="10"/>
      <c r="W9" s="42"/>
      <c r="X9" s="10"/>
      <c r="Y9" s="42"/>
      <c r="Z9" s="10"/>
      <c r="AA9" s="42"/>
      <c r="AB9" s="10"/>
      <c r="AC9" s="42"/>
      <c r="AD9" s="10"/>
      <c r="AE9" s="42"/>
      <c r="AF9" s="10"/>
      <c r="AG9" s="42"/>
      <c r="AH9" s="10"/>
      <c r="AI9" s="42"/>
      <c r="AJ9" s="10"/>
    </row>
    <row r="10" spans="1:36" s="18" customFormat="1" x14ac:dyDescent="0.2">
      <c r="A10" s="13" t="s">
        <v>123</v>
      </c>
      <c r="B10" s="14" t="s">
        <v>2963</v>
      </c>
      <c r="C10" s="23">
        <f>+'GLR5 M'!C10</f>
        <v>93925.95</v>
      </c>
      <c r="D10" s="17">
        <f t="shared" ref="D10:D16" si="0">(C10*100)/C$8</f>
        <v>22.586219993785818</v>
      </c>
      <c r="E10" s="23">
        <f>+'HTR8 M'!C10</f>
        <v>47716.75</v>
      </c>
      <c r="F10" s="17">
        <f>(E10*100)/E$8</f>
        <v>23.07441371788989</v>
      </c>
      <c r="G10" s="23">
        <f>+'TIRR M'!C10</f>
        <v>58132.49</v>
      </c>
      <c r="H10" s="17">
        <f>(G10*100)/G$8</f>
        <v>22.262152985411429</v>
      </c>
      <c r="I10" s="23">
        <f>+'VR7 M '!C10</f>
        <v>0</v>
      </c>
      <c r="J10" s="17" t="e">
        <f>(I10*100)/I$8</f>
        <v>#DIV/0!</v>
      </c>
      <c r="K10" s="23">
        <f>+'TURVILLA M'!C10</f>
        <v>104319.25</v>
      </c>
      <c r="L10" s="17">
        <f>(K10*100)/K$8</f>
        <v>22.783698286453514</v>
      </c>
      <c r="M10" s="23">
        <f>+'HART M'!C10</f>
        <v>0</v>
      </c>
      <c r="N10" s="17" t="e">
        <f>(M10*100)/M$8</f>
        <v>#DIV/0!</v>
      </c>
      <c r="O10" s="23">
        <f>+'VICTOIRE M'!C10</f>
        <v>49662.43</v>
      </c>
      <c r="P10" s="17">
        <f>(O10*100)/O$8</f>
        <v>22.066398926575097</v>
      </c>
      <c r="Q10" s="23">
        <f>+'TH4 M '!C10</f>
        <v>79368.210000000006</v>
      </c>
      <c r="R10" s="17">
        <f>(Q10*100)/Q$8</f>
        <v>22.539625282277051</v>
      </c>
      <c r="S10" s="23">
        <f>+'DIVES M'!C10</f>
        <v>54126.95</v>
      </c>
      <c r="T10" s="17">
        <f>(S10*100)/S$8</f>
        <v>22.419400447510316</v>
      </c>
      <c r="U10" s="23">
        <f>+'R314 M '!C10</f>
        <v>69062.44</v>
      </c>
      <c r="V10" s="17">
        <f>(U10*100)/U$8</f>
        <v>21.679846873990169</v>
      </c>
      <c r="W10" s="23">
        <f>+'LYSE M '!C10</f>
        <v>83826.460000000006</v>
      </c>
      <c r="X10" s="17">
        <f>(W10*100)/W$8</f>
        <v>22.104824698410532</v>
      </c>
      <c r="Y10" s="23">
        <f>+'ARTHUR M '!C10</f>
        <v>102230.68</v>
      </c>
      <c r="Z10" s="17">
        <f>(Y10*100)/Y$8</f>
        <v>22.390376586852359</v>
      </c>
      <c r="AA10" s="23">
        <f>+'HUGO M '!C10</f>
        <v>122091.34</v>
      </c>
      <c r="AB10" s="17">
        <f>(AA10*100)/AA$8</f>
        <v>22.636589151955054</v>
      </c>
      <c r="AC10" s="23">
        <f>+'JEANCLO M '!C10</f>
        <v>47830.02</v>
      </c>
      <c r="AD10" s="17">
        <f>(AC10*100)/AC$8</f>
        <v>21.972086503925986</v>
      </c>
      <c r="AE10" s="23">
        <f>+'THOMAS M'!G10</f>
        <v>-27361.520000000011</v>
      </c>
      <c r="AF10" s="17">
        <f>(AE10*100)/AE$8</f>
        <v>22.004843531011797</v>
      </c>
      <c r="AG10" s="23">
        <f>+'CATALINA M'!G10</f>
        <v>46670.29</v>
      </c>
      <c r="AH10" s="17">
        <f>(AG10*100)/AG$8</f>
        <v>22.447609183347875</v>
      </c>
      <c r="AI10" s="23">
        <f t="shared" ref="AI10:AI76" si="1">+C10+E10+G10+I10+K10+M10+O10+Q10+S10+U10+W10+Y10+AA10+AC10+AE10+AG10</f>
        <v>931601.73999999987</v>
      </c>
      <c r="AJ10" s="17">
        <f>(AI10*100)/AI$8</f>
        <v>22.420001649922284</v>
      </c>
    </row>
    <row r="11" spans="1:36" s="18" customFormat="1" x14ac:dyDescent="0.2">
      <c r="A11" s="13" t="s">
        <v>124</v>
      </c>
      <c r="B11" s="14" t="s">
        <v>4</v>
      </c>
      <c r="C11" s="23">
        <f>+'GLR5 M'!C11</f>
        <v>1729.73</v>
      </c>
      <c r="D11" s="17">
        <f t="shared" si="0"/>
        <v>0.41594535173560809</v>
      </c>
      <c r="E11" s="23">
        <f>+'HTR8 M'!C11</f>
        <v>1143.1600000000001</v>
      </c>
      <c r="F11" s="17">
        <f t="shared" ref="F11:F16" si="2">(E11*100)/E$8</f>
        <v>0.55279847822290928</v>
      </c>
      <c r="G11" s="23">
        <f>+'TIRR M'!C11</f>
        <v>832.65</v>
      </c>
      <c r="H11" s="17">
        <f t="shared" ref="H11:H16" si="3">(G11*100)/G$8</f>
        <v>0.31886784280705721</v>
      </c>
      <c r="I11" s="23">
        <f>+'VR7 M '!C11</f>
        <v>0</v>
      </c>
      <c r="J11" s="17" t="e">
        <f t="shared" ref="J11:J16" si="4">(I11*100)/I$8</f>
        <v>#DIV/0!</v>
      </c>
      <c r="K11" s="23">
        <f>+'TURVILLA M'!C11</f>
        <v>1982.79</v>
      </c>
      <c r="L11" s="17">
        <f t="shared" ref="L11:L16" si="5">(K11*100)/K$8</f>
        <v>0.43304844623976074</v>
      </c>
      <c r="M11" s="23">
        <f>+'HART M'!C11</f>
        <v>0</v>
      </c>
      <c r="N11" s="17" t="e">
        <f t="shared" ref="N11:N16" si="6">(M11*100)/M$8</f>
        <v>#DIV/0!</v>
      </c>
      <c r="O11" s="23">
        <f>+'VICTOIRE M'!C11</f>
        <v>1353.01</v>
      </c>
      <c r="P11" s="17">
        <f t="shared" ref="P11:P16" si="7">(O11*100)/O$8</f>
        <v>0.60117997471419282</v>
      </c>
      <c r="Q11" s="23">
        <f>+'TH4 M '!C11</f>
        <v>1708.71</v>
      </c>
      <c r="R11" s="17">
        <f t="shared" ref="R11:R16" si="8">(Q11*100)/Q$8</f>
        <v>0.48525326596227397</v>
      </c>
      <c r="S11" s="23">
        <f>+'DIVES M'!C11</f>
        <v>1309.58</v>
      </c>
      <c r="T11" s="17">
        <f t="shared" ref="T11:T16" si="9">(S11*100)/S$8</f>
        <v>0.54242846563589042</v>
      </c>
      <c r="U11" s="23">
        <f>+'R314 M '!C11</f>
        <v>1654.31</v>
      </c>
      <c r="V11" s="17">
        <f t="shared" ref="V11:V16" si="10">(U11*100)/U$8</f>
        <v>0.51931538303759139</v>
      </c>
      <c r="W11" s="23">
        <f>+'LYSE M '!C11</f>
        <v>1513.63</v>
      </c>
      <c r="X11" s="17">
        <f t="shared" ref="X11:X16" si="11">(W11*100)/W$8</f>
        <v>0.39914038846749739</v>
      </c>
      <c r="Y11" s="23">
        <f>+'ARTHUR M '!C11</f>
        <v>2311.5500000000002</v>
      </c>
      <c r="Z11" s="17">
        <f t="shared" ref="Z11:Z16" si="12">(Y11*100)/Y$8</f>
        <v>0.50627145392497219</v>
      </c>
      <c r="AA11" s="23">
        <f>+'HUGO M '!C11</f>
        <v>1881.18</v>
      </c>
      <c r="AB11" s="17">
        <f t="shared" ref="AB11:AB16" si="13">(AA11*100)/AA$8</f>
        <v>0.34878394143986635</v>
      </c>
      <c r="AC11" s="23">
        <f>+'JEANCLO M '!C11</f>
        <v>1208.45</v>
      </c>
      <c r="AD11" s="17">
        <f t="shared" ref="AD11:AD16" si="14">(AC11*100)/AC$8</f>
        <v>0.55513604083103785</v>
      </c>
      <c r="AE11" s="23">
        <f>+'THOMAS M'!G11</f>
        <v>-347.79999999999995</v>
      </c>
      <c r="AF11" s="17">
        <f t="shared" ref="AF11:AH16" si="15">(AE11*100)/AE$8</f>
        <v>0.27970977416773257</v>
      </c>
      <c r="AG11" s="23">
        <f>+'CATALINA M'!G11</f>
        <v>1260.44</v>
      </c>
      <c r="AH11" s="17">
        <f t="shared" si="15"/>
        <v>0.60625002585282828</v>
      </c>
      <c r="AI11" s="23">
        <f t="shared" si="1"/>
        <v>19541.39</v>
      </c>
      <c r="AJ11" s="17">
        <f t="shared" ref="AJ11:AJ16" si="16">(AI11*100)/AI$8</f>
        <v>0.47028464764543582</v>
      </c>
    </row>
    <row r="12" spans="1:36" s="18" customFormat="1" x14ac:dyDescent="0.2">
      <c r="A12" s="13" t="s">
        <v>125</v>
      </c>
      <c r="B12" s="14" t="s">
        <v>2</v>
      </c>
      <c r="C12" s="23">
        <f>+'GLR5 M'!C12</f>
        <v>2065.16</v>
      </c>
      <c r="D12" s="17">
        <f t="shared" si="0"/>
        <v>0.4966056567153882</v>
      </c>
      <c r="E12" s="23">
        <f>+'HTR8 M'!C12</f>
        <v>1221.5</v>
      </c>
      <c r="F12" s="17">
        <f t="shared" si="2"/>
        <v>0.59068139293649502</v>
      </c>
      <c r="G12" s="23">
        <f>+'TIRR M'!C12</f>
        <v>1711.68</v>
      </c>
      <c r="H12" s="17">
        <f t="shared" si="3"/>
        <v>0.6554971586812991</v>
      </c>
      <c r="I12" s="23">
        <f>+'VR7 M '!C12</f>
        <v>0</v>
      </c>
      <c r="J12" s="17" t="e">
        <f t="shared" si="4"/>
        <v>#DIV/0!</v>
      </c>
      <c r="K12" s="23">
        <f>+'TURVILLA M'!C12</f>
        <v>2641.78</v>
      </c>
      <c r="L12" s="17">
        <f t="shared" si="5"/>
        <v>0.57697422536288523</v>
      </c>
      <c r="M12" s="23">
        <f>+'HART M'!C12</f>
        <v>0</v>
      </c>
      <c r="N12" s="17" t="e">
        <f t="shared" si="6"/>
        <v>#DIV/0!</v>
      </c>
      <c r="O12" s="23">
        <f>+'VICTOIRE M'!C12</f>
        <v>1893.68</v>
      </c>
      <c r="P12" s="17">
        <f t="shared" si="7"/>
        <v>0.8414146935475515</v>
      </c>
      <c r="Q12" s="23">
        <f>+'TH4 M '!C12</f>
        <v>2849.78</v>
      </c>
      <c r="R12" s="17">
        <f t="shared" si="8"/>
        <v>0.80930354025783724</v>
      </c>
      <c r="S12" s="23">
        <f>+'DIVES M'!C12</f>
        <v>1897.66</v>
      </c>
      <c r="T12" s="17">
        <f t="shared" si="9"/>
        <v>0.78601139456818514</v>
      </c>
      <c r="U12" s="23">
        <f>+'R314 M '!C12</f>
        <v>2347.48</v>
      </c>
      <c r="V12" s="17">
        <f t="shared" si="10"/>
        <v>0.73691295789367484</v>
      </c>
      <c r="W12" s="23">
        <f>+'LYSE M '!C12</f>
        <v>2800.7</v>
      </c>
      <c r="X12" s="17">
        <f t="shared" si="11"/>
        <v>0.73853748008490838</v>
      </c>
      <c r="Y12" s="23">
        <f>+'ARTHUR M '!C12</f>
        <v>3055.25</v>
      </c>
      <c r="Z12" s="17">
        <f t="shared" si="12"/>
        <v>0.6691552679389462</v>
      </c>
      <c r="AA12" s="23">
        <f>+'HUGO M '!C12</f>
        <v>3908.97</v>
      </c>
      <c r="AB12" s="17">
        <f t="shared" si="13"/>
        <v>0.72475040324168571</v>
      </c>
      <c r="AC12" s="23">
        <f>+'JEANCLO M '!C12</f>
        <v>1821.88</v>
      </c>
      <c r="AD12" s="17">
        <f t="shared" si="14"/>
        <v>0.83693264104369336</v>
      </c>
      <c r="AE12" s="23">
        <f>+'THOMAS M'!G12</f>
        <v>-1116.9999999999998</v>
      </c>
      <c r="AF12" s="17">
        <f t="shared" si="15"/>
        <v>0.89832035004415545</v>
      </c>
      <c r="AG12" s="23">
        <f>+'CATALINA M'!G12</f>
        <v>1373.11</v>
      </c>
      <c r="AH12" s="17">
        <f t="shared" si="15"/>
        <v>0.66044236377675813</v>
      </c>
      <c r="AI12" s="23">
        <f t="shared" si="1"/>
        <v>28471.630000000005</v>
      </c>
      <c r="AJ12" s="17">
        <f t="shared" si="16"/>
        <v>0.68520051452026809</v>
      </c>
    </row>
    <row r="13" spans="1:36" s="59" customFormat="1" ht="13.5" x14ac:dyDescent="0.2">
      <c r="A13" s="60"/>
      <c r="B13" s="62" t="s">
        <v>6</v>
      </c>
      <c r="C13" s="55">
        <f>+'GLR5 M'!C13</f>
        <v>97720.84</v>
      </c>
      <c r="D13" s="56">
        <f t="shared" si="0"/>
        <v>23.498771002236815</v>
      </c>
      <c r="E13" s="55">
        <f>+'HTR8 M'!C13</f>
        <v>50081.41</v>
      </c>
      <c r="F13" s="56">
        <f t="shared" si="2"/>
        <v>24.217893589049293</v>
      </c>
      <c r="G13" s="55">
        <f>+'TIRR M'!C13</f>
        <v>60676.82</v>
      </c>
      <c r="H13" s="56">
        <f t="shared" si="3"/>
        <v>23.236517986899784</v>
      </c>
      <c r="I13" s="55">
        <f>+'VR7 M '!C13</f>
        <v>0</v>
      </c>
      <c r="J13" s="56" t="e">
        <f t="shared" si="4"/>
        <v>#DIV/0!</v>
      </c>
      <c r="K13" s="55">
        <f>+'TURVILLA M'!C13</f>
        <v>108943.81999999999</v>
      </c>
      <c r="L13" s="56">
        <f t="shared" si="5"/>
        <v>23.793720958056159</v>
      </c>
      <c r="M13" s="55">
        <f>+'HART M'!C13</f>
        <v>0</v>
      </c>
      <c r="N13" s="56" t="e">
        <f t="shared" si="6"/>
        <v>#DIV/0!</v>
      </c>
      <c r="O13" s="55">
        <f>+'VICTOIRE M'!C13</f>
        <v>52909.120000000003</v>
      </c>
      <c r="P13" s="56">
        <f t="shared" si="7"/>
        <v>23.508993594836841</v>
      </c>
      <c r="Q13" s="55">
        <f>+'TH4 M '!C13</f>
        <v>83926.700000000012</v>
      </c>
      <c r="R13" s="56">
        <f t="shared" si="8"/>
        <v>23.834182088497162</v>
      </c>
      <c r="S13" s="55">
        <f>+'DIVES M'!C13</f>
        <v>57334.19</v>
      </c>
      <c r="T13" s="56">
        <f t="shared" si="9"/>
        <v>23.747840307714394</v>
      </c>
      <c r="U13" s="55">
        <f>+'R314 M '!C13</f>
        <v>73064.23</v>
      </c>
      <c r="V13" s="56">
        <f t="shared" si="10"/>
        <v>22.936075214921434</v>
      </c>
      <c r="W13" s="55">
        <f>+'LYSE M '!C13</f>
        <v>88140.790000000008</v>
      </c>
      <c r="X13" s="56">
        <f t="shared" si="11"/>
        <v>23.242502566962937</v>
      </c>
      <c r="Y13" s="55">
        <f>+'ARTHUR M '!C13</f>
        <v>107597.48</v>
      </c>
      <c r="Z13" s="56">
        <f t="shared" si="12"/>
        <v>23.565803308716276</v>
      </c>
      <c r="AA13" s="55">
        <f>+'HUGO M '!C13</f>
        <v>127881.48999999999</v>
      </c>
      <c r="AB13" s="56">
        <f t="shared" si="13"/>
        <v>23.710123496636609</v>
      </c>
      <c r="AC13" s="55">
        <f>+'JEANCLO M '!C13</f>
        <v>50860.349999999991</v>
      </c>
      <c r="AD13" s="56">
        <f t="shared" si="14"/>
        <v>23.364155185800712</v>
      </c>
      <c r="AE13" s="55">
        <f>+'THOMAS M'!G13</f>
        <v>-28826.320000000011</v>
      </c>
      <c r="AF13" s="56">
        <f t="shared" si="15"/>
        <v>23.182873655223684</v>
      </c>
      <c r="AG13" s="55">
        <f>+'CATALINA M'!G13</f>
        <v>49303.840000000004</v>
      </c>
      <c r="AH13" s="56">
        <f t="shared" si="15"/>
        <v>23.714301572977462</v>
      </c>
      <c r="AI13" s="55">
        <f t="shared" si="1"/>
        <v>979614.75999999989</v>
      </c>
      <c r="AJ13" s="56">
        <f t="shared" si="16"/>
        <v>23.575486812087988</v>
      </c>
    </row>
    <row r="14" spans="1:36" s="18" customFormat="1" x14ac:dyDescent="0.2">
      <c r="A14" s="13" t="s">
        <v>126</v>
      </c>
      <c r="B14" s="14" t="s">
        <v>8</v>
      </c>
      <c r="C14" s="23">
        <f>+'GLR5 M'!C14</f>
        <v>10345.09</v>
      </c>
      <c r="D14" s="17">
        <f t="shared" si="0"/>
        <v>2.487666918413002</v>
      </c>
      <c r="E14" s="23">
        <f>+'HTR8 M'!C14</f>
        <v>4766.1099999999997</v>
      </c>
      <c r="F14" s="17">
        <f t="shared" si="2"/>
        <v>2.3047503018326303</v>
      </c>
      <c r="G14" s="23">
        <f>+'TIRR M'!C14</f>
        <v>5799.9</v>
      </c>
      <c r="H14" s="17">
        <f t="shared" si="3"/>
        <v>2.2211032264416635</v>
      </c>
      <c r="I14" s="23">
        <f>+'VR7 M '!C14</f>
        <v>0</v>
      </c>
      <c r="J14" s="17" t="e">
        <f t="shared" si="4"/>
        <v>#DIV/0!</v>
      </c>
      <c r="K14" s="23">
        <f>+'TURVILLA M'!C14</f>
        <v>9613.99</v>
      </c>
      <c r="L14" s="17">
        <f t="shared" si="5"/>
        <v>2.0997298915490785</v>
      </c>
      <c r="M14" s="23">
        <f>+'HART M'!C14</f>
        <v>0</v>
      </c>
      <c r="N14" s="17" t="e">
        <f t="shared" si="6"/>
        <v>#DIV/0!</v>
      </c>
      <c r="O14" s="23">
        <f>+'VICTOIRE M'!C14</f>
        <v>4062.77</v>
      </c>
      <c r="P14" s="17">
        <f t="shared" si="7"/>
        <v>1.8052017101644342</v>
      </c>
      <c r="Q14" s="23">
        <f>+'TH4 M '!C14</f>
        <v>8180.9</v>
      </c>
      <c r="R14" s="17">
        <f t="shared" si="8"/>
        <v>2.3232780539183167</v>
      </c>
      <c r="S14" s="23">
        <f>+'DIVES M'!C14</f>
        <v>5388.11</v>
      </c>
      <c r="T14" s="17">
        <f t="shared" si="9"/>
        <v>2.2317569296853939</v>
      </c>
      <c r="U14" s="23">
        <f>+'R314 M '!C14</f>
        <v>7841.94</v>
      </c>
      <c r="V14" s="17">
        <f t="shared" si="10"/>
        <v>2.461715201417999</v>
      </c>
      <c r="W14" s="23">
        <f>+'LYSE M '!C14</f>
        <v>9133.39</v>
      </c>
      <c r="X14" s="17">
        <f t="shared" si="11"/>
        <v>2.4084517567867683</v>
      </c>
      <c r="Y14" s="23">
        <f>+'ARTHUR M '!C14</f>
        <v>10912.77</v>
      </c>
      <c r="Z14" s="17">
        <f t="shared" si="12"/>
        <v>2.3900949294840337</v>
      </c>
      <c r="AA14" s="23">
        <f>+'HUGO M '!C14</f>
        <v>12190.04</v>
      </c>
      <c r="AB14" s="17">
        <f t="shared" si="13"/>
        <v>2.2601187539255299</v>
      </c>
      <c r="AC14" s="23">
        <f>+'JEANCLO M '!C14</f>
        <v>5086.7299999999996</v>
      </c>
      <c r="AD14" s="17">
        <f t="shared" si="14"/>
        <v>2.3367347866907733</v>
      </c>
      <c r="AE14" s="23">
        <f>+'THOMAS M'!G14</f>
        <v>-5045.9399999999987</v>
      </c>
      <c r="AF14" s="17">
        <f t="shared" si="15"/>
        <v>4.0580757270383225</v>
      </c>
      <c r="AG14" s="23">
        <f>+'CATALINA M'!G14</f>
        <v>4704.92</v>
      </c>
      <c r="AH14" s="17">
        <f t="shared" si="15"/>
        <v>2.2629858395762503</v>
      </c>
      <c r="AI14" s="23">
        <f t="shared" si="1"/>
        <v>92980.72</v>
      </c>
      <c r="AJ14" s="17">
        <f t="shared" si="16"/>
        <v>2.2376814107399179</v>
      </c>
    </row>
    <row r="15" spans="1:36" s="18" customFormat="1" x14ac:dyDescent="0.2">
      <c r="A15" s="13" t="s">
        <v>2964</v>
      </c>
      <c r="B15" s="14" t="s">
        <v>2965</v>
      </c>
      <c r="C15" s="23">
        <f>+'GLR5 M'!C15</f>
        <v>2248.7800000000002</v>
      </c>
      <c r="D15" s="17">
        <f t="shared" si="0"/>
        <v>0.54076045861261635</v>
      </c>
      <c r="E15" s="23">
        <f>+'HTR8 M'!C15</f>
        <v>112.86</v>
      </c>
      <c r="F15" s="17">
        <f t="shared" si="2"/>
        <v>5.457576914188525E-2</v>
      </c>
      <c r="G15" s="23">
        <f>+'TIRR M'!C15</f>
        <v>440.51</v>
      </c>
      <c r="H15" s="17">
        <f t="shared" si="3"/>
        <v>0.16869569859477185</v>
      </c>
      <c r="I15" s="23">
        <f>+'VR7 M '!C15</f>
        <v>0</v>
      </c>
      <c r="J15" s="17" t="e">
        <f t="shared" si="4"/>
        <v>#DIV/0!</v>
      </c>
      <c r="K15" s="23">
        <f>+'TURVILLA M'!C15</f>
        <v>-1786.19</v>
      </c>
      <c r="L15" s="17">
        <f t="shared" si="5"/>
        <v>-0.39011030123664042</v>
      </c>
      <c r="M15" s="23">
        <f>+'HART M'!C15</f>
        <v>0</v>
      </c>
      <c r="N15" s="17" t="e">
        <f t="shared" si="6"/>
        <v>#DIV/0!</v>
      </c>
      <c r="O15" s="23">
        <f>+'VICTOIRE M'!C15</f>
        <v>164.78</v>
      </c>
      <c r="P15" s="17">
        <f t="shared" si="7"/>
        <v>7.3216337080586752E-2</v>
      </c>
      <c r="Q15" s="23">
        <f>+'TH4 M '!C15</f>
        <v>952.43</v>
      </c>
      <c r="R15" s="17">
        <f t="shared" si="8"/>
        <v>0.27047876357044121</v>
      </c>
      <c r="S15" s="23">
        <f>+'DIVES M'!C15</f>
        <v>-200.18</v>
      </c>
      <c r="T15" s="17">
        <f t="shared" si="9"/>
        <v>-8.291462167335524E-2</v>
      </c>
      <c r="U15" s="23">
        <f>+'R314 M '!C15</f>
        <v>223.94</v>
      </c>
      <c r="V15" s="17">
        <f t="shared" si="10"/>
        <v>7.0298485094956953E-2</v>
      </c>
      <c r="W15" s="23">
        <f>+'LYSE M '!C15</f>
        <v>285.94</v>
      </c>
      <c r="X15" s="17">
        <f t="shared" si="11"/>
        <v>7.5401652106787134E-2</v>
      </c>
      <c r="Y15" s="23">
        <f>+'ARTHUR M '!C15</f>
        <v>-343.14</v>
      </c>
      <c r="Z15" s="17">
        <f t="shared" si="12"/>
        <v>-7.5153895308262816E-2</v>
      </c>
      <c r="AA15" s="23">
        <f>+'HUGO M '!C15</f>
        <v>156</v>
      </c>
      <c r="AB15" s="17">
        <f t="shared" si="13"/>
        <v>2.8923492097842392E-2</v>
      </c>
      <c r="AC15" s="23">
        <f>+'JEANCLO M '!C15</f>
        <v>4274.5600000000004</v>
      </c>
      <c r="AD15" s="17">
        <f t="shared" si="14"/>
        <v>1.9636412881747045</v>
      </c>
      <c r="AE15" s="23">
        <f>+'THOMAS M'!G15</f>
        <v>-326.07000000000005</v>
      </c>
      <c r="AF15" s="17">
        <f t="shared" si="15"/>
        <v>0.26223394497663194</v>
      </c>
      <c r="AG15" s="23">
        <f>+'CATALINA M'!G15</f>
        <v>2120.61</v>
      </c>
      <c r="AH15" s="17">
        <f t="shared" si="15"/>
        <v>1.0199770455743757</v>
      </c>
      <c r="AI15" s="23">
        <f t="shared" si="1"/>
        <v>8324.8300000000017</v>
      </c>
      <c r="AJ15" s="17">
        <f t="shared" si="16"/>
        <v>0.20034602161146953</v>
      </c>
    </row>
    <row r="16" spans="1:36" ht="13.5" thickBot="1" x14ac:dyDescent="0.25">
      <c r="A16" s="7"/>
      <c r="B16" s="63" t="s">
        <v>10</v>
      </c>
      <c r="C16" s="49">
        <f>+'GLR5 M'!C16</f>
        <v>110314.70999999999</v>
      </c>
      <c r="D16" s="50">
        <f t="shared" si="0"/>
        <v>26.527198379262433</v>
      </c>
      <c r="E16" s="49">
        <f>+'HTR8 M'!C16</f>
        <v>54960.380000000005</v>
      </c>
      <c r="F16" s="50">
        <f t="shared" si="2"/>
        <v>26.577219660023808</v>
      </c>
      <c r="G16" s="49">
        <f>+'TIRR M'!C16</f>
        <v>66917.23</v>
      </c>
      <c r="H16" s="50">
        <f t="shared" si="3"/>
        <v>25.626316911936222</v>
      </c>
      <c r="I16" s="49">
        <f>+'VR7 M '!C16</f>
        <v>0</v>
      </c>
      <c r="J16" s="50" t="e">
        <f t="shared" si="4"/>
        <v>#DIV/0!</v>
      </c>
      <c r="K16" s="49">
        <f>+'TURVILLA M'!C16</f>
        <v>116771.62</v>
      </c>
      <c r="L16" s="50">
        <f t="shared" si="5"/>
        <v>25.503340548368598</v>
      </c>
      <c r="M16" s="49">
        <f>+'HART M'!C16</f>
        <v>0</v>
      </c>
      <c r="N16" s="50" t="e">
        <f t="shared" si="6"/>
        <v>#DIV/0!</v>
      </c>
      <c r="O16" s="49">
        <f>+'VICTOIRE M'!C16</f>
        <v>57136.670000000006</v>
      </c>
      <c r="P16" s="50">
        <f t="shared" si="7"/>
        <v>25.387411642081865</v>
      </c>
      <c r="Q16" s="49">
        <f>+'TH4 M '!C16</f>
        <v>93060.030000000013</v>
      </c>
      <c r="R16" s="50">
        <f t="shared" si="8"/>
        <v>26.427938905985922</v>
      </c>
      <c r="S16" s="49">
        <f>+'DIVES M'!C16</f>
        <v>62522.12</v>
      </c>
      <c r="T16" s="50">
        <f t="shared" si="9"/>
        <v>25.896682615726434</v>
      </c>
      <c r="U16" s="49">
        <f>+'R314 M '!C16</f>
        <v>81130.11</v>
      </c>
      <c r="V16" s="50">
        <f t="shared" si="10"/>
        <v>25.468088901434392</v>
      </c>
      <c r="W16" s="49">
        <f>+'LYSE M '!C16</f>
        <v>97560.12000000001</v>
      </c>
      <c r="X16" s="50">
        <f t="shared" si="11"/>
        <v>25.726355975856496</v>
      </c>
      <c r="Y16" s="49">
        <f>+'ARTHUR M '!C16</f>
        <v>118167.11</v>
      </c>
      <c r="Z16" s="50">
        <f t="shared" si="12"/>
        <v>25.880744342892047</v>
      </c>
      <c r="AA16" s="49">
        <f>+'HUGO M '!C16</f>
        <v>140227.53</v>
      </c>
      <c r="AB16" s="50">
        <f t="shared" si="13"/>
        <v>25.999165742659979</v>
      </c>
      <c r="AC16" s="49">
        <f>+'JEANCLO M '!C16</f>
        <v>60221.639999999992</v>
      </c>
      <c r="AD16" s="50">
        <f t="shared" si="14"/>
        <v>27.664531260666191</v>
      </c>
      <c r="AE16" s="49">
        <f>+'THOMAS M'!G16</f>
        <v>-34198.330000000009</v>
      </c>
      <c r="AF16" s="50">
        <f t="shared" si="15"/>
        <v>27.503183327238638</v>
      </c>
      <c r="AG16" s="49">
        <f>+'CATALINA M'!G16</f>
        <v>56129.37</v>
      </c>
      <c r="AH16" s="50">
        <f t="shared" si="15"/>
        <v>26.997264458128086</v>
      </c>
      <c r="AI16" s="49">
        <f t="shared" si="1"/>
        <v>1080920.31</v>
      </c>
      <c r="AJ16" s="50">
        <f t="shared" si="16"/>
        <v>26.013514244439378</v>
      </c>
    </row>
    <row r="17" spans="1:36" ht="14.25" thickTop="1" thickBot="1" x14ac:dyDescent="0.25">
      <c r="A17" s="8"/>
      <c r="B17" s="64"/>
      <c r="C17" s="52"/>
      <c r="D17" s="54"/>
      <c r="E17" s="52"/>
      <c r="F17" s="54"/>
      <c r="G17" s="52"/>
      <c r="H17" s="54"/>
      <c r="I17" s="52"/>
      <c r="J17" s="54"/>
      <c r="K17" s="52"/>
      <c r="L17" s="54"/>
      <c r="M17" s="52"/>
      <c r="N17" s="54"/>
      <c r="O17" s="52"/>
      <c r="P17" s="54"/>
      <c r="Q17" s="52"/>
      <c r="R17" s="54"/>
      <c r="S17" s="52"/>
      <c r="T17" s="54"/>
      <c r="U17" s="52"/>
      <c r="V17" s="54"/>
      <c r="W17" s="52"/>
      <c r="X17" s="54"/>
      <c r="Y17" s="52"/>
      <c r="Z17" s="54"/>
      <c r="AA17" s="52"/>
      <c r="AB17" s="54"/>
      <c r="AC17" s="52"/>
      <c r="AD17" s="54"/>
      <c r="AE17" s="52"/>
      <c r="AF17" s="54"/>
      <c r="AG17" s="52"/>
      <c r="AH17" s="54"/>
      <c r="AI17" s="52"/>
      <c r="AJ17" s="54"/>
    </row>
    <row r="18" spans="1:36" ht="16.899999999999999" customHeight="1" thickBot="1" x14ac:dyDescent="0.25">
      <c r="A18" s="7"/>
      <c r="B18" s="69" t="s">
        <v>58</v>
      </c>
      <c r="C18" s="70">
        <f>+'GLR5 M'!C18</f>
        <v>305540.40000000002</v>
      </c>
      <c r="D18" s="71">
        <f>(C18*100)/C$8</f>
        <v>73.472801620737584</v>
      </c>
      <c r="E18" s="70">
        <f>+'HTR8 M'!C18</f>
        <v>151834.69</v>
      </c>
      <c r="F18" s="71">
        <f>(E18*100)/E$8</f>
        <v>73.422780339976185</v>
      </c>
      <c r="G18" s="70">
        <f>+'TIRR M'!C18</f>
        <v>194209.76</v>
      </c>
      <c r="H18" s="71">
        <f>(G18*100)/G$8</f>
        <v>74.373683088063785</v>
      </c>
      <c r="I18" s="70">
        <f>+'VR7 M '!C18</f>
        <v>0</v>
      </c>
      <c r="J18" s="71" t="e">
        <f>(I18*100)/I$8</f>
        <v>#DIV/0!</v>
      </c>
      <c r="K18" s="70">
        <f>+'TURVILLA M'!C18</f>
        <v>341096.32</v>
      </c>
      <c r="L18" s="71">
        <f>(K18*100)/K$8</f>
        <v>74.496659451631402</v>
      </c>
      <c r="M18" s="70">
        <f>+'HART M'!C18</f>
        <v>0</v>
      </c>
      <c r="N18" s="71" t="e">
        <f>(M18*100)/M$8</f>
        <v>#DIV/0!</v>
      </c>
      <c r="O18" s="70">
        <f>+'VICTOIRE M'!C18</f>
        <v>167922.38999999998</v>
      </c>
      <c r="P18" s="71">
        <f>(O18*100)/O$8</f>
        <v>74.612588357918142</v>
      </c>
      <c r="Q18" s="70">
        <f>+'TH4 M '!C18</f>
        <v>259067.43</v>
      </c>
      <c r="R18" s="71">
        <f>(Q18*100)/Q$8</f>
        <v>73.572061094014074</v>
      </c>
      <c r="S18" s="70">
        <f>+'DIVES M'!C18</f>
        <v>178906.95</v>
      </c>
      <c r="T18" s="71">
        <f>(S18*100)/S$8</f>
        <v>74.103317384273566</v>
      </c>
      <c r="U18" s="70">
        <f>+'R314 M '!C18</f>
        <v>237425.83000000002</v>
      </c>
      <c r="V18" s="71">
        <f>(U18*100)/U$8</f>
        <v>74.531911098565601</v>
      </c>
      <c r="W18" s="70">
        <f>+'LYSE M '!C18</f>
        <v>281662.34000000003</v>
      </c>
      <c r="X18" s="71">
        <f>(W18*100)/W$8</f>
        <v>74.273644024143508</v>
      </c>
      <c r="Y18" s="70">
        <f>+'ARTHUR M '!C18</f>
        <v>338416.01</v>
      </c>
      <c r="Z18" s="71">
        <f>(Y18*100)/Y$8</f>
        <v>74.119255657107956</v>
      </c>
      <c r="AA18" s="70">
        <f>+'HUGO M '!C18</f>
        <v>399126.42999999993</v>
      </c>
      <c r="AB18" s="71">
        <f>(AA18*100)/AA$8</f>
        <v>74.000834257340017</v>
      </c>
      <c r="AC18" s="70">
        <f>+'JEANCLO M '!C18</f>
        <v>157463.74000000002</v>
      </c>
      <c r="AD18" s="71">
        <f>(AC18*100)/AC$8</f>
        <v>72.335468739333805</v>
      </c>
      <c r="AE18" s="70">
        <f>+'THOMAS M'!G18</f>
        <v>-90144.840000000026</v>
      </c>
      <c r="AF18" s="71">
        <f>(AE18*100)/AE$8</f>
        <v>72.496816672761355</v>
      </c>
      <c r="AG18" s="70">
        <f>+'CATALINA M'!G18</f>
        <v>151778.25</v>
      </c>
      <c r="AH18" s="71">
        <f>(AG18*100)/AG$8</f>
        <v>73.002735541871914</v>
      </c>
      <c r="AI18" s="70">
        <f t="shared" si="1"/>
        <v>3074305.7</v>
      </c>
      <c r="AJ18" s="71">
        <f>(AI18*100)/AI$8</f>
        <v>73.986485755560622</v>
      </c>
    </row>
    <row r="19" spans="1:36" ht="7.15" customHeight="1" thickTop="1" x14ac:dyDescent="0.2">
      <c r="A19" s="8"/>
      <c r="B19" s="11"/>
      <c r="C19" s="19"/>
      <c r="D19" s="10"/>
      <c r="E19" s="19"/>
      <c r="F19" s="10"/>
      <c r="G19" s="19"/>
      <c r="H19" s="10"/>
      <c r="I19" s="19"/>
      <c r="J19" s="10"/>
      <c r="K19" s="19"/>
      <c r="L19" s="10"/>
      <c r="M19" s="19"/>
      <c r="N19" s="10"/>
      <c r="O19" s="19"/>
      <c r="P19" s="10"/>
      <c r="Q19" s="19"/>
      <c r="R19" s="10"/>
      <c r="S19" s="19"/>
      <c r="T19" s="10"/>
      <c r="U19" s="19"/>
      <c r="V19" s="10"/>
      <c r="W19" s="19"/>
      <c r="X19" s="10"/>
      <c r="Y19" s="19"/>
      <c r="Z19" s="10"/>
      <c r="AA19" s="19"/>
      <c r="AB19" s="10"/>
      <c r="AC19" s="19"/>
      <c r="AD19" s="10"/>
      <c r="AE19" s="19"/>
      <c r="AF19" s="10"/>
      <c r="AG19" s="19"/>
      <c r="AH19" s="10"/>
      <c r="AI19" s="19">
        <f t="shared" ref="AI19" si="17">+C19+E19+G19+I19+K19+M19+O19+Q19+S19+U19+W19+Y19+AA19+AC19+AE19</f>
        <v>0</v>
      </c>
      <c r="AJ19" s="10"/>
    </row>
    <row r="20" spans="1:36" s="18" customFormat="1" x14ac:dyDescent="0.2">
      <c r="A20" s="13">
        <v>8</v>
      </c>
      <c r="B20" s="14" t="s">
        <v>2967</v>
      </c>
      <c r="C20" s="23">
        <f>+'GLR5 M'!C20</f>
        <v>65020.78</v>
      </c>
      <c r="D20" s="17">
        <f t="shared" ref="D20:D26" si="18">(C20*100)/C$8</f>
        <v>15.635440911138497</v>
      </c>
      <c r="E20" s="23">
        <f>+'HTR8 M'!C20</f>
        <v>27746.240000000002</v>
      </c>
      <c r="F20" s="17">
        <f t="shared" ref="F20:F26" si="19">(E20*100)/E$8</f>
        <v>13.417263767458286</v>
      </c>
      <c r="G20" s="23">
        <f>+'TIRR M'!C20</f>
        <v>30718.240000000002</v>
      </c>
      <c r="H20" s="17">
        <f t="shared" ref="H20:H26" si="20">(G20*100)/G$8</f>
        <v>11.763716956259481</v>
      </c>
      <c r="I20" s="23">
        <f>+'VR7 M '!C20</f>
        <v>0</v>
      </c>
      <c r="J20" s="17" t="e">
        <f t="shared" ref="J20:J26" si="21">(I20*100)/I$8</f>
        <v>#DIV/0!</v>
      </c>
      <c r="K20" s="23">
        <f>+'TURVILLA M'!C20</f>
        <v>64605.69</v>
      </c>
      <c r="L20" s="17">
        <f t="shared" ref="L20:L26" si="22">(K20*100)/K$8</f>
        <v>14.110114370532255</v>
      </c>
      <c r="M20" s="23">
        <f>+'HART M'!C20</f>
        <v>0</v>
      </c>
      <c r="N20" s="17" t="e">
        <f t="shared" ref="N20:N26" si="23">(M20*100)/M$8</f>
        <v>#DIV/0!</v>
      </c>
      <c r="O20" s="23">
        <f>+'VICTOIRE M'!C20</f>
        <v>27614.92</v>
      </c>
      <c r="P20" s="17">
        <f t="shared" ref="P20:P26" si="24">(O20*100)/O$8</f>
        <v>12.270077018894508</v>
      </c>
      <c r="Q20" s="23">
        <f>+'TH4 M '!C20</f>
        <v>59378.89</v>
      </c>
      <c r="R20" s="17">
        <f t="shared" ref="R20:R26" si="25">(Q20*100)/Q$8</f>
        <v>16.862896747671993</v>
      </c>
      <c r="S20" s="23">
        <f>+'DIVES M'!C20</f>
        <v>34545.57</v>
      </c>
      <c r="T20" s="17">
        <f t="shared" ref="T20:T26" si="26">(S20*100)/S$8</f>
        <v>14.308786427417377</v>
      </c>
      <c r="U20" s="23">
        <f>+'R314 M '!C20</f>
        <v>46251.02</v>
      </c>
      <c r="V20" s="17">
        <f t="shared" ref="V20:V26" si="27">(U20*100)/U$8</f>
        <v>14.518963294170563</v>
      </c>
      <c r="W20" s="23">
        <f>+'LYSE M '!C20</f>
        <v>56758.27</v>
      </c>
      <c r="X20" s="17">
        <f t="shared" ref="X20:X26" si="28">(W20*100)/W$8</f>
        <v>14.967011711278914</v>
      </c>
      <c r="Y20" s="23">
        <f>+'ARTHUR M '!C20</f>
        <v>71165.5</v>
      </c>
      <c r="Z20" s="17">
        <f t="shared" ref="Z20:Z26" si="29">(Y20*100)/Y$8</f>
        <v>15.586537671388291</v>
      </c>
      <c r="AA20" s="23">
        <f>+'HUGO M '!C20</f>
        <v>72086.84</v>
      </c>
      <c r="AB20" s="17">
        <f t="shared" ref="AB20:AB26" si="30">(AA20*100)/AA$8</f>
        <v>13.365404789092493</v>
      </c>
      <c r="AC20" s="23">
        <f>+'JEANCLO M '!C20</f>
        <v>37851.33</v>
      </c>
      <c r="AD20" s="17">
        <f t="shared" ref="AD20:AD26" si="31">(AC20*100)/AC$8</f>
        <v>17.388090095898953</v>
      </c>
      <c r="AE20" s="23">
        <f>+'THOMAS M'!G20</f>
        <v>-31288.129999999997</v>
      </c>
      <c r="AF20" s="17">
        <f t="shared" ref="AF20:AH26" si="32">(AE20*100)/AE$8</f>
        <v>25.162725061617767</v>
      </c>
      <c r="AG20" s="23">
        <f>+'CATALINA M'!G20</f>
        <v>31504.47</v>
      </c>
      <c r="AH20" s="17">
        <f t="shared" si="32"/>
        <v>15.153109828297779</v>
      </c>
      <c r="AI20" s="23">
        <f t="shared" si="1"/>
        <v>593959.63</v>
      </c>
      <c r="AJ20" s="17">
        <f t="shared" ref="AJ20:AJ26" si="33">(AI20*100)/AI$8</f>
        <v>14.294279747252546</v>
      </c>
    </row>
    <row r="21" spans="1:36" s="18" customFormat="1" x14ac:dyDescent="0.2">
      <c r="A21" s="13">
        <v>9</v>
      </c>
      <c r="B21" s="14" t="s">
        <v>2968</v>
      </c>
      <c r="C21" s="23">
        <f>+'GLR5 M'!C21</f>
        <v>9096.2999999999993</v>
      </c>
      <c r="D21" s="17">
        <f t="shared" si="18"/>
        <v>2.1873724240156625</v>
      </c>
      <c r="E21" s="23">
        <f>+'HTR8 M'!C21</f>
        <v>2839.08</v>
      </c>
      <c r="F21" s="17">
        <f t="shared" si="19"/>
        <v>1.3728953983284031</v>
      </c>
      <c r="G21" s="23">
        <f>+'TIRR M'!C21</f>
        <v>4628.82</v>
      </c>
      <c r="H21" s="17">
        <f t="shared" si="20"/>
        <v>1.7726317758267731</v>
      </c>
      <c r="I21" s="23">
        <f>+'VR7 M '!C21</f>
        <v>0</v>
      </c>
      <c r="J21" s="17" t="e">
        <f t="shared" si="21"/>
        <v>#DIV/0!</v>
      </c>
      <c r="K21" s="23">
        <f>+'TURVILLA M'!C21</f>
        <v>7542.51</v>
      </c>
      <c r="L21" s="17">
        <f t="shared" si="22"/>
        <v>1.6473112312689986</v>
      </c>
      <c r="M21" s="23">
        <f>+'HART M'!C21</f>
        <v>0</v>
      </c>
      <c r="N21" s="17" t="e">
        <f t="shared" si="23"/>
        <v>#DIV/0!</v>
      </c>
      <c r="O21" s="23">
        <f>+'VICTOIRE M'!C21</f>
        <v>3379.71</v>
      </c>
      <c r="P21" s="17">
        <f t="shared" si="24"/>
        <v>1.5016991539909568</v>
      </c>
      <c r="Q21" s="23">
        <f>+'TH4 M '!C21</f>
        <v>6795.6</v>
      </c>
      <c r="R21" s="17">
        <f t="shared" si="25"/>
        <v>1.9298693717326105</v>
      </c>
      <c r="S21" s="23">
        <f>+'DIVES M'!C21</f>
        <v>5064.83</v>
      </c>
      <c r="T21" s="17">
        <f t="shared" si="26"/>
        <v>2.0978542476264352</v>
      </c>
      <c r="U21" s="23">
        <f>+'R314 M '!C21</f>
        <v>8299.73</v>
      </c>
      <c r="V21" s="17">
        <f t="shared" si="27"/>
        <v>2.6054230851887428</v>
      </c>
      <c r="W21" s="23">
        <f>+'LYSE M '!C21</f>
        <v>8575.49</v>
      </c>
      <c r="X21" s="17">
        <f t="shared" si="28"/>
        <v>2.2613349430832761</v>
      </c>
      <c r="Y21" s="23">
        <f>+'ARTHUR M '!C21</f>
        <v>10039.93</v>
      </c>
      <c r="Z21" s="17">
        <f t="shared" si="29"/>
        <v>2.1989271088252234</v>
      </c>
      <c r="AA21" s="23">
        <f>+'HUGO M '!C21</f>
        <v>10795.29</v>
      </c>
      <c r="AB21" s="17">
        <f t="shared" si="30"/>
        <v>2.0015223398007498</v>
      </c>
      <c r="AC21" s="23">
        <f>+'JEANCLO M '!C21</f>
        <v>6354.98</v>
      </c>
      <c r="AD21" s="17">
        <f t="shared" si="31"/>
        <v>2.9193416663994616</v>
      </c>
      <c r="AE21" s="23">
        <f>+'THOMAS M'!G21</f>
        <v>-8396.9599999999991</v>
      </c>
      <c r="AF21" s="17">
        <f t="shared" si="32"/>
        <v>6.7530528616891434</v>
      </c>
      <c r="AG21" s="23">
        <f>+'CATALINA M'!G21</f>
        <v>4668.12</v>
      </c>
      <c r="AH21" s="17">
        <f t="shared" si="32"/>
        <v>2.2452856706262136</v>
      </c>
      <c r="AI21" s="23">
        <f t="shared" si="1"/>
        <v>79683.429999999993</v>
      </c>
      <c r="AJ21" s="17">
        <f t="shared" si="33"/>
        <v>1.9176677708561032</v>
      </c>
    </row>
    <row r="22" spans="1:36" s="18" customFormat="1" x14ac:dyDescent="0.2">
      <c r="A22" s="13" t="s">
        <v>12</v>
      </c>
      <c r="B22" s="14" t="s">
        <v>14</v>
      </c>
      <c r="C22" s="23">
        <f>+'GLR5 M'!C22</f>
        <v>19851.349999999999</v>
      </c>
      <c r="D22" s="17">
        <f t="shared" si="18"/>
        <v>4.773621754942484</v>
      </c>
      <c r="E22" s="23">
        <f>+'HTR8 M'!C22</f>
        <v>17972.82</v>
      </c>
      <c r="F22" s="17">
        <f t="shared" si="19"/>
        <v>8.6911259538247201</v>
      </c>
      <c r="G22" s="23">
        <f>+'TIRR M'!C22</f>
        <v>15280.19</v>
      </c>
      <c r="H22" s="17">
        <f t="shared" si="20"/>
        <v>5.851631805659002</v>
      </c>
      <c r="I22" s="23">
        <f>+'VR7 M '!C22</f>
        <v>0</v>
      </c>
      <c r="J22" s="17" t="e">
        <f t="shared" si="21"/>
        <v>#DIV/0!</v>
      </c>
      <c r="K22" s="23">
        <f>+'TURVILLA M'!C22</f>
        <v>21675.87</v>
      </c>
      <c r="L22" s="17">
        <f t="shared" si="22"/>
        <v>4.73408773717592</v>
      </c>
      <c r="M22" s="23">
        <f>+'HART M'!C22</f>
        <v>0</v>
      </c>
      <c r="N22" s="17" t="e">
        <f t="shared" si="23"/>
        <v>#DIV/0!</v>
      </c>
      <c r="O22" s="23">
        <f>+'VICTOIRE M'!C22</f>
        <v>18309.689999999999</v>
      </c>
      <c r="P22" s="17">
        <f t="shared" si="24"/>
        <v>8.1355045204578733</v>
      </c>
      <c r="Q22" s="23">
        <f>+'TH4 M '!C22</f>
        <v>18922.07</v>
      </c>
      <c r="R22" s="17">
        <f t="shared" si="25"/>
        <v>5.3736422601066103</v>
      </c>
      <c r="S22" s="23">
        <f>+'DIVES M'!C22</f>
        <v>17646.900000000001</v>
      </c>
      <c r="T22" s="17">
        <f t="shared" si="26"/>
        <v>7.3093517694451631</v>
      </c>
      <c r="U22" s="23">
        <f>+'R314 M '!C22</f>
        <v>19116.21</v>
      </c>
      <c r="V22" s="17">
        <f t="shared" si="27"/>
        <v>6.0008957924313071</v>
      </c>
      <c r="W22" s="23">
        <f>+'LYSE M '!C22</f>
        <v>11976.85</v>
      </c>
      <c r="X22" s="17">
        <f t="shared" si="28"/>
        <v>3.1582649403202541</v>
      </c>
      <c r="Y22" s="23">
        <f>+'ARTHUR M '!C22</f>
        <v>18858.77</v>
      </c>
      <c r="Z22" s="17">
        <f t="shared" si="29"/>
        <v>4.1304133188279062</v>
      </c>
      <c r="AA22" s="23">
        <f>+'HUGO M '!C22</f>
        <v>24772.49</v>
      </c>
      <c r="AB22" s="17">
        <f t="shared" si="30"/>
        <v>4.5929930689671776</v>
      </c>
      <c r="AC22" s="23">
        <f>+'JEANCLO M '!C22</f>
        <v>11027.81</v>
      </c>
      <c r="AD22" s="17">
        <f t="shared" si="31"/>
        <v>5.0659396602564675</v>
      </c>
      <c r="AE22" s="23">
        <f>+'THOMAS M'!G22</f>
        <v>-2151.9599999999991</v>
      </c>
      <c r="AF22" s="17">
        <f t="shared" si="32"/>
        <v>1.7306620058021671</v>
      </c>
      <c r="AG22" s="23">
        <f>+'CATALINA M'!G22</f>
        <v>13629.52</v>
      </c>
      <c r="AH22" s="17">
        <f t="shared" si="32"/>
        <v>6.5555653996712584</v>
      </c>
      <c r="AI22" s="23">
        <f t="shared" si="1"/>
        <v>226888.57999999996</v>
      </c>
      <c r="AJ22" s="17">
        <f t="shared" si="33"/>
        <v>5.4603186313805345</v>
      </c>
    </row>
    <row r="23" spans="1:36" s="18" customFormat="1" x14ac:dyDescent="0.2">
      <c r="A23" s="13" t="s">
        <v>13</v>
      </c>
      <c r="B23" s="14" t="s">
        <v>2966</v>
      </c>
      <c r="C23" s="23">
        <f>+'GLR5 M'!C23</f>
        <v>5090.05</v>
      </c>
      <c r="D23" s="17">
        <f t="shared" si="18"/>
        <v>1.2239960211141809</v>
      </c>
      <c r="E23" s="23">
        <f>+'HTR8 M'!C23</f>
        <v>3279.45</v>
      </c>
      <c r="F23" s="17">
        <f t="shared" si="19"/>
        <v>1.585845349214563</v>
      </c>
      <c r="G23" s="23">
        <f>+'TIRR M'!C23</f>
        <v>3977.4</v>
      </c>
      <c r="H23" s="17">
        <f t="shared" si="20"/>
        <v>1.5231669464730553</v>
      </c>
      <c r="I23" s="23">
        <f>+'VR7 M '!C23</f>
        <v>0</v>
      </c>
      <c r="J23" s="17" t="e">
        <f t="shared" si="21"/>
        <v>#DIV/0!</v>
      </c>
      <c r="K23" s="23">
        <f>+'TURVILLA M'!C23</f>
        <v>5195.2</v>
      </c>
      <c r="L23" s="17">
        <f t="shared" si="22"/>
        <v>1.1346503098688236</v>
      </c>
      <c r="M23" s="23">
        <f>+'HART M'!C23</f>
        <v>0</v>
      </c>
      <c r="N23" s="17" t="e">
        <f t="shared" si="23"/>
        <v>#DIV/0!</v>
      </c>
      <c r="O23" s="23">
        <f>+'VICTOIRE M'!C23</f>
        <v>4405.8599999999997</v>
      </c>
      <c r="P23" s="17">
        <f t="shared" si="24"/>
        <v>1.957646139639968</v>
      </c>
      <c r="Q23" s="23">
        <f>+'TH4 M '!C23</f>
        <v>4795.1499999999996</v>
      </c>
      <c r="R23" s="17">
        <f t="shared" si="25"/>
        <v>1.361765424372186</v>
      </c>
      <c r="S23" s="23">
        <f>+'DIVES M'!C23</f>
        <v>3707.78</v>
      </c>
      <c r="T23" s="17">
        <f t="shared" si="26"/>
        <v>1.5357636924169902</v>
      </c>
      <c r="U23" s="23">
        <f>+'R314 M '!C23</f>
        <v>4953.54</v>
      </c>
      <c r="V23" s="17">
        <f t="shared" si="27"/>
        <v>1.5549984721678711</v>
      </c>
      <c r="W23" s="23">
        <f>+'LYSE M '!C23</f>
        <v>1460.65</v>
      </c>
      <c r="X23" s="17">
        <f t="shared" si="28"/>
        <v>0.38516969696362391</v>
      </c>
      <c r="Y23" s="23">
        <f>+'ARTHUR M '!C23</f>
        <v>5409.8</v>
      </c>
      <c r="Z23" s="17">
        <f t="shared" si="29"/>
        <v>1.1848445032308685</v>
      </c>
      <c r="AA23" s="23">
        <f>+'HUGO M '!C23</f>
        <v>7984.86</v>
      </c>
      <c r="AB23" s="17">
        <f t="shared" si="30"/>
        <v>1.4804489430280627</v>
      </c>
      <c r="AC23" s="23">
        <f>+'JEANCLO M '!C23</f>
        <v>3084.86</v>
      </c>
      <c r="AD23" s="17">
        <f t="shared" si="31"/>
        <v>1.4171185956539663</v>
      </c>
      <c r="AE23" s="23">
        <f>+'THOMAS M'!G23</f>
        <v>-1575.3600000000015</v>
      </c>
      <c r="AF23" s="17">
        <f t="shared" si="32"/>
        <v>1.2669453416701544</v>
      </c>
      <c r="AG23" s="23">
        <f>+'CATALINA M'!G23</f>
        <v>3104.39</v>
      </c>
      <c r="AH23" s="17">
        <f t="shared" si="32"/>
        <v>1.4931583556196739</v>
      </c>
      <c r="AI23" s="23">
        <f t="shared" si="1"/>
        <v>54873.630000000005</v>
      </c>
      <c r="AJ23" s="17">
        <f t="shared" si="33"/>
        <v>1.3205931486744809</v>
      </c>
    </row>
    <row r="24" spans="1:36" s="18" customFormat="1" x14ac:dyDescent="0.2">
      <c r="A24" s="13" t="s">
        <v>15</v>
      </c>
      <c r="B24" s="14" t="s">
        <v>2969</v>
      </c>
      <c r="C24" s="23">
        <f>+'GLR5 M'!C24</f>
        <v>0</v>
      </c>
      <c r="D24" s="17">
        <f t="shared" si="18"/>
        <v>0</v>
      </c>
      <c r="E24" s="23">
        <f>+'HTR8 M'!C24</f>
        <v>0</v>
      </c>
      <c r="F24" s="17">
        <f t="shared" si="19"/>
        <v>0</v>
      </c>
      <c r="G24" s="23">
        <f>+'TIRR M'!C24</f>
        <v>0</v>
      </c>
      <c r="H24" s="17">
        <f t="shared" si="20"/>
        <v>0</v>
      </c>
      <c r="I24" s="23">
        <f>+'VR7 M '!C24</f>
        <v>0</v>
      </c>
      <c r="J24" s="17" t="e">
        <f t="shared" si="21"/>
        <v>#DIV/0!</v>
      </c>
      <c r="K24" s="23">
        <f>+'TURVILLA M'!C24</f>
        <v>0</v>
      </c>
      <c r="L24" s="17">
        <f t="shared" si="22"/>
        <v>0</v>
      </c>
      <c r="M24" s="23">
        <f>+'HART M'!C24</f>
        <v>0</v>
      </c>
      <c r="N24" s="17" t="e">
        <f t="shared" si="23"/>
        <v>#DIV/0!</v>
      </c>
      <c r="O24" s="23">
        <f>+'VICTOIRE M'!C24</f>
        <v>-500</v>
      </c>
      <c r="P24" s="17">
        <f t="shared" si="24"/>
        <v>-0.22216390666521046</v>
      </c>
      <c r="Q24" s="23">
        <f>+'TH4 M '!C24</f>
        <v>0</v>
      </c>
      <c r="R24" s="17">
        <f t="shared" si="25"/>
        <v>0</v>
      </c>
      <c r="S24" s="23">
        <f>+'DIVES M'!C24</f>
        <v>0</v>
      </c>
      <c r="T24" s="17">
        <f t="shared" si="26"/>
        <v>0</v>
      </c>
      <c r="U24" s="23">
        <f>+'R314 M '!C24</f>
        <v>0</v>
      </c>
      <c r="V24" s="17">
        <f t="shared" si="27"/>
        <v>0</v>
      </c>
      <c r="W24" s="23">
        <f>+'LYSE M '!C24</f>
        <v>0</v>
      </c>
      <c r="X24" s="17">
        <f t="shared" si="28"/>
        <v>0</v>
      </c>
      <c r="Y24" s="23">
        <f>+'ARTHUR M '!C24</f>
        <v>-500</v>
      </c>
      <c r="Z24" s="17">
        <f t="shared" si="29"/>
        <v>-0.10950908566221196</v>
      </c>
      <c r="AA24" s="23">
        <f>+'HUGO M '!C24</f>
        <v>-500</v>
      </c>
      <c r="AB24" s="17">
        <f t="shared" si="30"/>
        <v>-9.2703500313597406E-2</v>
      </c>
      <c r="AC24" s="23">
        <f>+'JEANCLO M '!C24</f>
        <v>0</v>
      </c>
      <c r="AD24" s="17">
        <f t="shared" si="31"/>
        <v>0</v>
      </c>
      <c r="AE24" s="23">
        <f>+'THOMAS M'!G24</f>
        <v>-500</v>
      </c>
      <c r="AF24" s="17">
        <f t="shared" si="32"/>
        <v>0.4021129588380285</v>
      </c>
      <c r="AG24" s="23">
        <f>+'CATALINA M'!G24</f>
        <v>-500</v>
      </c>
      <c r="AH24" s="17">
        <f t="shared" si="32"/>
        <v>-0.24049142595158368</v>
      </c>
      <c r="AI24" s="23">
        <f t="shared" si="1"/>
        <v>-2500</v>
      </c>
      <c r="AJ24" s="17">
        <f t="shared" si="33"/>
        <v>-6.0165199052554068E-2</v>
      </c>
    </row>
    <row r="25" spans="1:36" s="18" customFormat="1" x14ac:dyDescent="0.2">
      <c r="A25" s="13" t="s">
        <v>16</v>
      </c>
      <c r="B25" s="14" t="s">
        <v>2970</v>
      </c>
      <c r="C25" s="23">
        <f>+'GLR5 M'!C25</f>
        <v>0</v>
      </c>
      <c r="D25" s="17">
        <f t="shared" si="18"/>
        <v>0</v>
      </c>
      <c r="E25" s="23">
        <f>+'HTR8 M'!C25</f>
        <v>0</v>
      </c>
      <c r="F25" s="17">
        <f t="shared" si="19"/>
        <v>0</v>
      </c>
      <c r="G25" s="23">
        <f>+'TIRR M'!C25</f>
        <v>0</v>
      </c>
      <c r="H25" s="17">
        <f t="shared" si="20"/>
        <v>0</v>
      </c>
      <c r="I25" s="23">
        <f>+'VR7 M '!C25</f>
        <v>0</v>
      </c>
      <c r="J25" s="17" t="e">
        <f t="shared" si="21"/>
        <v>#DIV/0!</v>
      </c>
      <c r="K25" s="23">
        <f>+'TURVILLA M'!C25</f>
        <v>0</v>
      </c>
      <c r="L25" s="17">
        <f t="shared" si="22"/>
        <v>0</v>
      </c>
      <c r="M25" s="23">
        <f>+'HART M'!C25</f>
        <v>0</v>
      </c>
      <c r="N25" s="17" t="e">
        <f t="shared" si="23"/>
        <v>#DIV/0!</v>
      </c>
      <c r="O25" s="23">
        <f>+'VICTOIRE M'!C25</f>
        <v>0</v>
      </c>
      <c r="P25" s="17">
        <f t="shared" si="24"/>
        <v>0</v>
      </c>
      <c r="Q25" s="23">
        <f>+'TH4 M '!C25</f>
        <v>0</v>
      </c>
      <c r="R25" s="17">
        <f t="shared" si="25"/>
        <v>0</v>
      </c>
      <c r="S25" s="23">
        <f>+'DIVES M'!C25</f>
        <v>0</v>
      </c>
      <c r="T25" s="17">
        <f t="shared" si="26"/>
        <v>0</v>
      </c>
      <c r="U25" s="23">
        <f>+'R314 M '!C25</f>
        <v>0</v>
      </c>
      <c r="V25" s="17">
        <f t="shared" si="27"/>
        <v>0</v>
      </c>
      <c r="W25" s="23">
        <f>+'LYSE M '!C25</f>
        <v>0</v>
      </c>
      <c r="X25" s="17">
        <f t="shared" si="28"/>
        <v>0</v>
      </c>
      <c r="Y25" s="23">
        <f>+'ARTHUR M '!C25</f>
        <v>0</v>
      </c>
      <c r="Z25" s="17">
        <f t="shared" si="29"/>
        <v>0</v>
      </c>
      <c r="AA25" s="23">
        <f>+'HUGO M '!C25</f>
        <v>0</v>
      </c>
      <c r="AB25" s="17">
        <f t="shared" si="30"/>
        <v>0</v>
      </c>
      <c r="AC25" s="23">
        <f>+'JEANCLO M '!C25</f>
        <v>0</v>
      </c>
      <c r="AD25" s="17">
        <f t="shared" si="31"/>
        <v>0</v>
      </c>
      <c r="AE25" s="23">
        <f>+'THOMAS M'!G25</f>
        <v>0</v>
      </c>
      <c r="AF25" s="17">
        <f t="shared" si="32"/>
        <v>0</v>
      </c>
      <c r="AG25" s="23">
        <f>+'CATALINA M'!G25</f>
        <v>0</v>
      </c>
      <c r="AH25" s="17">
        <f t="shared" si="32"/>
        <v>0</v>
      </c>
      <c r="AI25" s="23">
        <f t="shared" si="1"/>
        <v>0</v>
      </c>
      <c r="AJ25" s="17">
        <f t="shared" si="33"/>
        <v>0</v>
      </c>
    </row>
    <row r="26" spans="1:36" ht="13.5" thickBot="1" x14ac:dyDescent="0.25">
      <c r="A26" s="7"/>
      <c r="B26" s="63" t="s">
        <v>2971</v>
      </c>
      <c r="C26" s="49">
        <f>+'GLR5 M'!C26</f>
        <v>99058.48</v>
      </c>
      <c r="D26" s="50">
        <f t="shared" si="18"/>
        <v>23.820431111210826</v>
      </c>
      <c r="E26" s="49">
        <f>+'HTR8 M'!C26</f>
        <v>51837.59</v>
      </c>
      <c r="F26" s="50">
        <f t="shared" si="19"/>
        <v>25.067130468825972</v>
      </c>
      <c r="G26" s="49">
        <f>+'TIRR M'!C26</f>
        <v>54604.65</v>
      </c>
      <c r="H26" s="50">
        <f t="shared" si="20"/>
        <v>20.911147484218311</v>
      </c>
      <c r="I26" s="49">
        <f>+'VR7 M '!C26</f>
        <v>0</v>
      </c>
      <c r="J26" s="50" t="e">
        <f t="shared" si="21"/>
        <v>#DIV/0!</v>
      </c>
      <c r="K26" s="49">
        <f>+'TURVILLA M'!C26</f>
        <v>99019.26999999999</v>
      </c>
      <c r="L26" s="50">
        <f t="shared" si="22"/>
        <v>21.626163648845992</v>
      </c>
      <c r="M26" s="49">
        <f>+'HART M'!C26</f>
        <v>0</v>
      </c>
      <c r="N26" s="50" t="e">
        <f t="shared" si="23"/>
        <v>#DIV/0!</v>
      </c>
      <c r="O26" s="49">
        <f>+'VICTOIRE M'!C26</f>
        <v>53210.179999999993</v>
      </c>
      <c r="P26" s="50">
        <f t="shared" si="24"/>
        <v>23.642762926318092</v>
      </c>
      <c r="Q26" s="49">
        <f>+'TH4 M '!C26</f>
        <v>89891.709999999992</v>
      </c>
      <c r="R26" s="50">
        <f t="shared" si="25"/>
        <v>25.528173803883398</v>
      </c>
      <c r="S26" s="49">
        <f>+'DIVES M'!C26</f>
        <v>60965.08</v>
      </c>
      <c r="T26" s="50">
        <f t="shared" si="26"/>
        <v>25.251756136905964</v>
      </c>
      <c r="U26" s="49">
        <f>+'R314 M '!C26</f>
        <v>78620.499999999985</v>
      </c>
      <c r="V26" s="50">
        <f t="shared" si="27"/>
        <v>24.680280643958476</v>
      </c>
      <c r="W26" s="49">
        <f>+'LYSE M '!C26</f>
        <v>78771.259999999995</v>
      </c>
      <c r="X26" s="50">
        <f t="shared" si="28"/>
        <v>20.771781291646064</v>
      </c>
      <c r="Y26" s="49">
        <f>+'ARTHUR M '!C26</f>
        <v>104974</v>
      </c>
      <c r="Z26" s="50">
        <f t="shared" si="29"/>
        <v>22.991213516610074</v>
      </c>
      <c r="AA26" s="49">
        <f>+'HUGO M '!C26</f>
        <v>115139.48000000001</v>
      </c>
      <c r="AB26" s="50">
        <f t="shared" si="30"/>
        <v>21.347665640574888</v>
      </c>
      <c r="AC26" s="49">
        <f>+'JEANCLO M '!C26</f>
        <v>58318.979999999996</v>
      </c>
      <c r="AD26" s="50">
        <f t="shared" si="31"/>
        <v>26.790490018208846</v>
      </c>
      <c r="AE26" s="49">
        <f>+'THOMAS M'!G26</f>
        <v>-43912.409999999996</v>
      </c>
      <c r="AF26" s="50">
        <f t="shared" si="32"/>
        <v>35.315498229617262</v>
      </c>
      <c r="AG26" s="49">
        <f>+'CATALINA M'!G26</f>
        <v>52406.5</v>
      </c>
      <c r="AH26" s="50">
        <f t="shared" si="32"/>
        <v>25.206627828263343</v>
      </c>
      <c r="AI26" s="49">
        <f t="shared" si="1"/>
        <v>952905.2699999999</v>
      </c>
      <c r="AJ26" s="50">
        <f t="shared" si="33"/>
        <v>22.932694099111107</v>
      </c>
    </row>
    <row r="27" spans="1:36" ht="7.15" customHeight="1" thickTop="1" x14ac:dyDescent="0.2">
      <c r="A27" s="8"/>
      <c r="B27" s="11"/>
      <c r="C27" s="19"/>
      <c r="D27" s="10"/>
      <c r="E27" s="19"/>
      <c r="F27" s="10"/>
      <c r="G27" s="19"/>
      <c r="H27" s="10"/>
      <c r="I27" s="19"/>
      <c r="J27" s="10"/>
      <c r="K27" s="19"/>
      <c r="L27" s="10"/>
      <c r="M27" s="19"/>
      <c r="N27" s="10"/>
      <c r="O27" s="19"/>
      <c r="P27" s="10"/>
      <c r="Q27" s="19"/>
      <c r="R27" s="10"/>
      <c r="S27" s="19"/>
      <c r="T27" s="10"/>
      <c r="U27" s="19"/>
      <c r="V27" s="10"/>
      <c r="W27" s="19"/>
      <c r="X27" s="10"/>
      <c r="Y27" s="19"/>
      <c r="Z27" s="10"/>
      <c r="AA27" s="19"/>
      <c r="AB27" s="10"/>
      <c r="AC27" s="19"/>
      <c r="AD27" s="10"/>
      <c r="AE27" s="19"/>
      <c r="AF27" s="10"/>
      <c r="AG27" s="19"/>
      <c r="AH27" s="10"/>
      <c r="AI27" s="19"/>
      <c r="AJ27" s="10"/>
    </row>
    <row r="28" spans="1:36" s="18" customFormat="1" x14ac:dyDescent="0.2">
      <c r="A28" s="13" t="s">
        <v>18</v>
      </c>
      <c r="B28" s="14" t="s">
        <v>2174</v>
      </c>
      <c r="C28" s="23">
        <f>+'GLR5 M'!C28</f>
        <v>10700</v>
      </c>
      <c r="D28" s="17">
        <f t="shared" ref="D28:D33" si="34">(C28*100)/C$8</f>
        <v>2.5730115472189343</v>
      </c>
      <c r="E28" s="23">
        <f>+'HTR8 M'!C28</f>
        <v>76.959999999999994</v>
      </c>
      <c r="F28" s="17">
        <f t="shared" ref="F28:F33" si="35">(E28*100)/E$8</f>
        <v>3.7215587392871591E-2</v>
      </c>
      <c r="G28" s="23">
        <f>+'TIRR M'!C28</f>
        <v>9387.4699999999993</v>
      </c>
      <c r="H28" s="17">
        <f t="shared" ref="H28:H33" si="36">(G28*100)/G$8</f>
        <v>3.5949826557568789</v>
      </c>
      <c r="I28" s="23">
        <f>+'VR7 M '!C28</f>
        <v>0</v>
      </c>
      <c r="J28" s="17" t="e">
        <f t="shared" ref="J28:J33" si="37">(I28*100)/I$8</f>
        <v>#DIV/0!</v>
      </c>
      <c r="K28" s="23">
        <f>+'TURVILLA M'!C28</f>
        <v>11700</v>
      </c>
      <c r="L28" s="17">
        <f t="shared" ref="L28:L33" si="38">(K28*100)/K$8</f>
        <v>2.5553219559334073</v>
      </c>
      <c r="M28" s="23">
        <f>+'HART M'!C28</f>
        <v>0</v>
      </c>
      <c r="N28" s="17" t="e">
        <f t="shared" ref="N28:N33" si="39">(M28*100)/M$8</f>
        <v>#DIV/0!</v>
      </c>
      <c r="O28" s="23">
        <f>+'VICTOIRE M'!C28</f>
        <v>9540</v>
      </c>
      <c r="P28" s="17">
        <f t="shared" ref="P28:P33" si="40">(O28*100)/O$8</f>
        <v>4.2388873391722157</v>
      </c>
      <c r="Q28" s="23">
        <f>+'TH4 M '!C28</f>
        <v>649.16999999999996</v>
      </c>
      <c r="R28" s="17">
        <f t="shared" ref="R28:R33" si="41">(Q28*100)/Q$8</f>
        <v>0.18435653953258854</v>
      </c>
      <c r="S28" s="23">
        <f>+'DIVES M'!C28</f>
        <v>10079</v>
      </c>
      <c r="T28" s="17">
        <f t="shared" ref="T28:T33" si="42">(S28*100)/S$8</f>
        <v>4.174725106632768</v>
      </c>
      <c r="U28" s="23">
        <f>+'R314 M '!C28</f>
        <v>7257</v>
      </c>
      <c r="V28" s="17">
        <f t="shared" ref="V28:V33" si="43">(U28*100)/U$8</f>
        <v>2.2780928209971534</v>
      </c>
      <c r="W28" s="23">
        <f>+'LYSE M '!C28</f>
        <v>9078.89</v>
      </c>
      <c r="X28" s="17">
        <f t="shared" ref="X28:X33" si="44">(W28*100)/W$8</f>
        <v>2.3940802451415983</v>
      </c>
      <c r="Y28" s="23">
        <f>+'ARTHUR M '!C28</f>
        <v>10303.68</v>
      </c>
      <c r="Z28" s="17">
        <f t="shared" ref="Z28:Z33" si="45">(Y28*100)/Y$8</f>
        <v>2.2566931515120401</v>
      </c>
      <c r="AA28" s="23">
        <f>+'HUGO M '!C28</f>
        <v>10141.41</v>
      </c>
      <c r="AB28" s="17">
        <f t="shared" ref="AB28:AB33" si="46">(AA28*100)/AA$8</f>
        <v>1.8802884102306399</v>
      </c>
      <c r="AC28" s="23">
        <f>+'JEANCLO M '!C28</f>
        <v>85.23</v>
      </c>
      <c r="AD28" s="17">
        <f t="shared" ref="AD28:AD33" si="47">(AC28*100)/AC$8</f>
        <v>3.9152836079299397E-2</v>
      </c>
      <c r="AE28" s="23">
        <f>+'THOMAS M'!G28</f>
        <v>9430.8799999999992</v>
      </c>
      <c r="AF28" s="17">
        <f t="shared" ref="AF28:AH33" si="48">(AE28*100)/AE$8</f>
        <v>-7.5845581224927718</v>
      </c>
      <c r="AG28" s="23">
        <f>+'CATALINA M'!G28</f>
        <v>8500</v>
      </c>
      <c r="AH28" s="17">
        <f t="shared" si="48"/>
        <v>4.0883542411769227</v>
      </c>
      <c r="AI28" s="23">
        <f t="shared" si="1"/>
        <v>106929.68999999999</v>
      </c>
      <c r="AJ28" s="17">
        <f t="shared" ref="AJ28:AJ33" si="49">(AI28*100)/AI$8</f>
        <v>2.5733784333911593</v>
      </c>
    </row>
    <row r="29" spans="1:36" s="18" customFormat="1" x14ac:dyDescent="0.2">
      <c r="A29" s="13" t="s">
        <v>20</v>
      </c>
      <c r="B29" s="14" t="s">
        <v>2972</v>
      </c>
      <c r="C29" s="23">
        <f>+'GLR5 M'!C29</f>
        <v>84.6</v>
      </c>
      <c r="D29" s="17">
        <f t="shared" si="34"/>
        <v>2.0343624008852507E-2</v>
      </c>
      <c r="E29" s="23">
        <f>+'HTR8 M'!C29</f>
        <v>83.34</v>
      </c>
      <c r="F29" s="17">
        <f t="shared" si="35"/>
        <v>4.0300767324869008E-2</v>
      </c>
      <c r="G29" s="23">
        <f>+'TIRR M'!C29</f>
        <v>36.47</v>
      </c>
      <c r="H29" s="17">
        <f t="shared" si="36"/>
        <v>1.3966384708068668E-2</v>
      </c>
      <c r="I29" s="23">
        <f>+'VR7 M '!C29</f>
        <v>0</v>
      </c>
      <c r="J29" s="17" t="e">
        <f t="shared" si="37"/>
        <v>#DIV/0!</v>
      </c>
      <c r="K29" s="23">
        <f>+'TURVILLA M'!C29</f>
        <v>33</v>
      </c>
      <c r="L29" s="17">
        <f t="shared" si="38"/>
        <v>7.2073183372480722E-3</v>
      </c>
      <c r="M29" s="23">
        <f>+'HART M'!C29</f>
        <v>0</v>
      </c>
      <c r="N29" s="17" t="e">
        <f t="shared" si="39"/>
        <v>#DIV/0!</v>
      </c>
      <c r="O29" s="23">
        <f>+'VICTOIRE M'!C29</f>
        <v>58.23</v>
      </c>
      <c r="P29" s="17">
        <f t="shared" si="40"/>
        <v>2.587320857023041E-2</v>
      </c>
      <c r="Q29" s="23">
        <f>+'TH4 M '!C29</f>
        <v>668.99</v>
      </c>
      <c r="R29" s="17">
        <f t="shared" si="41"/>
        <v>0.18998518320610383</v>
      </c>
      <c r="S29" s="23">
        <f>+'DIVES M'!C29</f>
        <v>55</v>
      </c>
      <c r="T29" s="17">
        <f t="shared" si="42"/>
        <v>2.2781018043933152E-2</v>
      </c>
      <c r="U29" s="23">
        <f>+'R314 M '!C29</f>
        <v>47.67</v>
      </c>
      <c r="V29" s="17">
        <f t="shared" si="43"/>
        <v>1.4964404681953191E-2</v>
      </c>
      <c r="W29" s="23">
        <f>+'LYSE M '!C29</f>
        <v>520.23</v>
      </c>
      <c r="X29" s="17">
        <f t="shared" si="44"/>
        <v>0.13718333033333521</v>
      </c>
      <c r="Y29" s="23">
        <f>+'ARTHUR M '!C29</f>
        <v>34.229999999999997</v>
      </c>
      <c r="Z29" s="17">
        <f t="shared" si="45"/>
        <v>7.4969920044350297E-3</v>
      </c>
      <c r="AA29" s="23">
        <f>+'HUGO M '!C29</f>
        <v>29.17</v>
      </c>
      <c r="AB29" s="17">
        <f t="shared" si="46"/>
        <v>5.4083222082952727E-3</v>
      </c>
      <c r="AC29" s="23">
        <f>+'JEANCLO M '!C29</f>
        <v>29.17</v>
      </c>
      <c r="AD29" s="17">
        <f t="shared" si="47"/>
        <v>1.3400073077943957E-2</v>
      </c>
      <c r="AE29" s="23">
        <f>+'THOMAS M'!G29</f>
        <v>-7.1600000000000037</v>
      </c>
      <c r="AF29" s="17">
        <f t="shared" si="48"/>
        <v>5.7582575705605711E-3</v>
      </c>
      <c r="AG29" s="23">
        <f>+'CATALINA M'!G29</f>
        <v>29.17</v>
      </c>
      <c r="AH29" s="17">
        <f t="shared" si="48"/>
        <v>1.4030269790015393E-2</v>
      </c>
      <c r="AI29" s="23">
        <f t="shared" si="1"/>
        <v>1702.1100000000001</v>
      </c>
      <c r="AJ29" s="17">
        <f t="shared" si="49"/>
        <v>4.0963114783737119E-2</v>
      </c>
    </row>
    <row r="30" spans="1:36" s="18" customFormat="1" x14ac:dyDescent="0.2">
      <c r="A30" s="13" t="s">
        <v>21</v>
      </c>
      <c r="B30" s="14" t="s">
        <v>2973</v>
      </c>
      <c r="C30" s="23">
        <f>+'GLR5 M'!C30</f>
        <v>4606.21</v>
      </c>
      <c r="D30" s="17">
        <f t="shared" si="34"/>
        <v>1.1076478055061052</v>
      </c>
      <c r="E30" s="23">
        <f>+'HTR8 M'!C30</f>
        <v>2145.16</v>
      </c>
      <c r="F30" s="17">
        <f t="shared" si="35"/>
        <v>1.0373361415240701</v>
      </c>
      <c r="G30" s="23">
        <f>+'TIRR M'!C30</f>
        <v>2640.92</v>
      </c>
      <c r="H30" s="17">
        <f t="shared" si="36"/>
        <v>1.0113546669381055</v>
      </c>
      <c r="I30" s="23">
        <f>+'VR7 M '!C30</f>
        <v>0</v>
      </c>
      <c r="J30" s="17" t="e">
        <f t="shared" si="37"/>
        <v>#DIV/0!</v>
      </c>
      <c r="K30" s="23">
        <f>+'TURVILLA M'!C30</f>
        <v>4742.9799999999996</v>
      </c>
      <c r="L30" s="17">
        <f t="shared" si="38"/>
        <v>1.0358838402182078</v>
      </c>
      <c r="M30" s="23">
        <f>+'HART M'!C30</f>
        <v>0</v>
      </c>
      <c r="N30" s="17" t="e">
        <f t="shared" si="39"/>
        <v>#DIV/0!</v>
      </c>
      <c r="O30" s="23">
        <f>+'VICTOIRE M'!C30</f>
        <v>1677.22</v>
      </c>
      <c r="P30" s="17">
        <f t="shared" si="40"/>
        <v>0.74523549507404863</v>
      </c>
      <c r="Q30" s="23">
        <f>+'TH4 M '!C30</f>
        <v>2785.07</v>
      </c>
      <c r="R30" s="17">
        <f t="shared" si="41"/>
        <v>0.79092667183638554</v>
      </c>
      <c r="S30" s="23">
        <f>+'DIVES M'!C30</f>
        <v>2132.15</v>
      </c>
      <c r="T30" s="17">
        <f t="shared" si="42"/>
        <v>0.88313722949767393</v>
      </c>
      <c r="U30" s="23">
        <f>+'R314 M '!C30</f>
        <v>2404.12</v>
      </c>
      <c r="V30" s="17">
        <f t="shared" si="43"/>
        <v>0.75469319454535988</v>
      </c>
      <c r="W30" s="23">
        <f>+'LYSE M '!C30</f>
        <v>2733.75</v>
      </c>
      <c r="X30" s="17">
        <f t="shared" si="44"/>
        <v>0.72088293504556666</v>
      </c>
      <c r="Y30" s="23">
        <f>+'ARTHUR M '!C30</f>
        <v>4376.16</v>
      </c>
      <c r="Z30" s="17">
        <f t="shared" si="45"/>
        <v>0.95845856062309098</v>
      </c>
      <c r="AA30" s="23">
        <f>+'HUGO M '!C30</f>
        <v>4985.45</v>
      </c>
      <c r="AB30" s="17">
        <f t="shared" si="46"/>
        <v>0.92433733127684836</v>
      </c>
      <c r="AC30" s="23">
        <f>+'JEANCLO M '!C30</f>
        <v>1492.38</v>
      </c>
      <c r="AD30" s="17">
        <f t="shared" si="47"/>
        <v>0.68556740007068917</v>
      </c>
      <c r="AE30" s="23">
        <f>+'THOMAS M'!G30</f>
        <v>-271.98</v>
      </c>
      <c r="AF30" s="17">
        <f t="shared" si="48"/>
        <v>0.218733365089534</v>
      </c>
      <c r="AG30" s="23">
        <f>+'CATALINA M'!G30</f>
        <v>1668.17</v>
      </c>
      <c r="AH30" s="17">
        <f t="shared" si="48"/>
        <v>0.8023611640593068</v>
      </c>
      <c r="AI30" s="23">
        <f t="shared" si="1"/>
        <v>38117.759999999995</v>
      </c>
      <c r="AJ30" s="17">
        <f t="shared" si="49"/>
        <v>0.91734504713499321</v>
      </c>
    </row>
    <row r="31" spans="1:36" s="18" customFormat="1" x14ac:dyDescent="0.2">
      <c r="A31" s="13" t="s">
        <v>23</v>
      </c>
      <c r="B31" s="14" t="s">
        <v>2974</v>
      </c>
      <c r="C31" s="23">
        <f>+'GLR5 M'!C31</f>
        <v>3620.43</v>
      </c>
      <c r="D31" s="17">
        <f t="shared" si="34"/>
        <v>0.87059889681288272</v>
      </c>
      <c r="E31" s="23">
        <f>+'HTR8 M'!C31</f>
        <v>150.06</v>
      </c>
      <c r="F31" s="17">
        <f t="shared" si="35"/>
        <v>7.2564592569832539E-2</v>
      </c>
      <c r="G31" s="23">
        <f>+'TIRR M'!C31</f>
        <v>2586.9899999999998</v>
      </c>
      <c r="H31" s="17">
        <f t="shared" si="36"/>
        <v>0.99070188033799178</v>
      </c>
      <c r="I31" s="23">
        <f>+'VR7 M '!C31</f>
        <v>0</v>
      </c>
      <c r="J31" s="17" t="e">
        <f t="shared" si="37"/>
        <v>#DIV/0!</v>
      </c>
      <c r="K31" s="23">
        <f>+'TURVILLA M'!C31</f>
        <v>1882.74</v>
      </c>
      <c r="L31" s="17">
        <f t="shared" si="38"/>
        <v>0.41119716746274043</v>
      </c>
      <c r="M31" s="23">
        <f>+'HART M'!C31</f>
        <v>0</v>
      </c>
      <c r="N31" s="17" t="e">
        <f t="shared" si="39"/>
        <v>#DIV/0!</v>
      </c>
      <c r="O31" s="23">
        <f>+'VICTOIRE M'!C31</f>
        <v>2890.53</v>
      </c>
      <c r="P31" s="17">
        <f t="shared" si="40"/>
        <v>1.2843428742659815</v>
      </c>
      <c r="Q31" s="23">
        <f>+'TH4 M '!C31</f>
        <v>1355.23</v>
      </c>
      <c r="R31" s="17">
        <f t="shared" si="41"/>
        <v>0.38486916072946992</v>
      </c>
      <c r="S31" s="23">
        <f>+'DIVES M'!C31</f>
        <v>307.05</v>
      </c>
      <c r="T31" s="17">
        <f t="shared" si="42"/>
        <v>0.1271802107343577</v>
      </c>
      <c r="U31" s="23">
        <f>+'R314 M '!C31</f>
        <v>261.52999999999997</v>
      </c>
      <c r="V31" s="17">
        <f t="shared" si="43"/>
        <v>8.2098610372796685E-2</v>
      </c>
      <c r="W31" s="23">
        <f>+'LYSE M '!C31</f>
        <v>2351.33</v>
      </c>
      <c r="X31" s="17">
        <f t="shared" si="44"/>
        <v>0.62003975186490801</v>
      </c>
      <c r="Y31" s="23">
        <f>+'ARTHUR M '!C31</f>
        <v>6206.35</v>
      </c>
      <c r="Z31" s="17">
        <f t="shared" si="45"/>
        <v>1.3593034275993383</v>
      </c>
      <c r="AA31" s="23">
        <f>+'HUGO M '!C31</f>
        <v>6110.32</v>
      </c>
      <c r="AB31" s="17">
        <f t="shared" si="46"/>
        <v>1.1328961040723611</v>
      </c>
      <c r="AC31" s="23">
        <f>+'JEANCLO M '!C31</f>
        <v>4262.08</v>
      </c>
      <c r="AD31" s="17">
        <f t="shared" si="47"/>
        <v>1.9579082435393687</v>
      </c>
      <c r="AE31" s="23">
        <f>+'THOMAS M'!G31</f>
        <v>-1750.8399999999997</v>
      </c>
      <c r="AF31" s="17">
        <f t="shared" si="48"/>
        <v>1.4080709057039476</v>
      </c>
      <c r="AG31" s="23">
        <f>+'CATALINA M'!G31</f>
        <v>3217.58</v>
      </c>
      <c r="AH31" s="17">
        <f t="shared" si="48"/>
        <v>1.5476008046265932</v>
      </c>
      <c r="AI31" s="23">
        <f t="shared" si="1"/>
        <v>33451.379999999997</v>
      </c>
      <c r="AJ31" s="17">
        <f t="shared" si="49"/>
        <v>0.80504357451305031</v>
      </c>
    </row>
    <row r="32" spans="1:36" s="18" customFormat="1" x14ac:dyDescent="0.2">
      <c r="A32" s="13" t="s">
        <v>25</v>
      </c>
      <c r="B32" s="14" t="s">
        <v>2975</v>
      </c>
      <c r="C32" s="23">
        <f>+'GLR5 M'!C32</f>
        <v>8530.6</v>
      </c>
      <c r="D32" s="17">
        <f t="shared" si="34"/>
        <v>2.0513394677295178</v>
      </c>
      <c r="E32" s="23">
        <f>+'HTR8 M'!C32</f>
        <v>6719.35</v>
      </c>
      <c r="F32" s="17">
        <f t="shared" si="35"/>
        <v>3.2492795887252051</v>
      </c>
      <c r="G32" s="23">
        <f>+'TIRR M'!C32</f>
        <v>6753.49</v>
      </c>
      <c r="H32" s="17">
        <f t="shared" si="36"/>
        <v>2.5862856995364591</v>
      </c>
      <c r="I32" s="23">
        <f>+'VR7 M '!C32</f>
        <v>0</v>
      </c>
      <c r="J32" s="17" t="e">
        <f t="shared" si="37"/>
        <v>#DIV/0!</v>
      </c>
      <c r="K32" s="23">
        <f>+'TURVILLA M'!C32</f>
        <v>8674.4</v>
      </c>
      <c r="L32" s="17">
        <f t="shared" si="38"/>
        <v>1.8945200662007478</v>
      </c>
      <c r="M32" s="23">
        <f>+'HART M'!C32</f>
        <v>0</v>
      </c>
      <c r="N32" s="17" t="e">
        <f t="shared" si="39"/>
        <v>#DIV/0!</v>
      </c>
      <c r="O32" s="23">
        <f>+'VICTOIRE M'!C32</f>
        <v>4651.0200000000004</v>
      </c>
      <c r="P32" s="17">
        <f t="shared" si="40"/>
        <v>2.0665775463560547</v>
      </c>
      <c r="Q32" s="23">
        <f>+'TH4 M '!C32</f>
        <v>5907.01</v>
      </c>
      <c r="R32" s="17">
        <f t="shared" si="41"/>
        <v>1.6775204069571852</v>
      </c>
      <c r="S32" s="23">
        <f>+'DIVES M'!C32</f>
        <v>6514.4</v>
      </c>
      <c r="T32" s="17">
        <f t="shared" si="42"/>
        <v>2.6982666171890566</v>
      </c>
      <c r="U32" s="23">
        <f>+'R314 M '!C32</f>
        <v>8140.93</v>
      </c>
      <c r="V32" s="17">
        <f t="shared" si="43"/>
        <v>2.5555731279096539</v>
      </c>
      <c r="W32" s="23">
        <f>+'LYSE M '!C32</f>
        <v>7956.45</v>
      </c>
      <c r="X32" s="17">
        <f t="shared" si="44"/>
        <v>2.0980956665910555</v>
      </c>
      <c r="Y32" s="23">
        <f>+'ARTHUR M '!C32</f>
        <v>4930.51</v>
      </c>
      <c r="Z32" s="17">
        <f t="shared" si="45"/>
        <v>1.0798712838967854</v>
      </c>
      <c r="AA32" s="23">
        <f>+'HUGO M '!C32</f>
        <v>6597.48</v>
      </c>
      <c r="AB32" s="17">
        <f t="shared" si="46"/>
        <v>1.2232189784979053</v>
      </c>
      <c r="AC32" s="23">
        <f>+'JEANCLO M '!C32</f>
        <v>2282.11</v>
      </c>
      <c r="AD32" s="17">
        <f t="shared" si="47"/>
        <v>1.0483524433289915</v>
      </c>
      <c r="AE32" s="23">
        <f>+'THOMAS M'!G32</f>
        <v>648.66000000000076</v>
      </c>
      <c r="AF32" s="17">
        <f t="shared" si="48"/>
        <v>-0.5216691837597518</v>
      </c>
      <c r="AG32" s="23">
        <f>+'CATALINA M'!G32</f>
        <v>4635.3900000000003</v>
      </c>
      <c r="AH32" s="17">
        <f t="shared" si="48"/>
        <v>2.2295431018834235</v>
      </c>
      <c r="AI32" s="23">
        <f t="shared" si="1"/>
        <v>82941.8</v>
      </c>
      <c r="AJ32" s="17">
        <f t="shared" si="49"/>
        <v>1.9960839627108515</v>
      </c>
    </row>
    <row r="33" spans="1:36" ht="13.5" thickBot="1" x14ac:dyDescent="0.25">
      <c r="A33" s="7"/>
      <c r="B33" s="63" t="s">
        <v>2976</v>
      </c>
      <c r="C33" s="49">
        <f>+'GLR5 M'!C33</f>
        <v>27541.840000000004</v>
      </c>
      <c r="D33" s="50">
        <f t="shared" si="34"/>
        <v>6.6229413412762934</v>
      </c>
      <c r="E33" s="49">
        <f>+'HTR8 M'!C33</f>
        <v>9174.8700000000008</v>
      </c>
      <c r="F33" s="50">
        <f t="shared" si="35"/>
        <v>4.4366966775368493</v>
      </c>
      <c r="G33" s="49">
        <f>+'TIRR M'!C33</f>
        <v>21405.339999999997</v>
      </c>
      <c r="H33" s="50">
        <f t="shared" si="36"/>
        <v>8.197291287277503</v>
      </c>
      <c r="I33" s="49">
        <f>+'VR7 M '!C33</f>
        <v>0</v>
      </c>
      <c r="J33" s="50" t="e">
        <f t="shared" si="37"/>
        <v>#DIV/0!</v>
      </c>
      <c r="K33" s="49">
        <f>+'TURVILLA M'!C33</f>
        <v>27033.120000000003</v>
      </c>
      <c r="L33" s="50">
        <f t="shared" si="38"/>
        <v>5.9041303481523526</v>
      </c>
      <c r="M33" s="49">
        <f>+'HART M'!C33</f>
        <v>0</v>
      </c>
      <c r="N33" s="50" t="e">
        <f t="shared" si="39"/>
        <v>#DIV/0!</v>
      </c>
      <c r="O33" s="49">
        <f>+'VICTOIRE M'!C33</f>
        <v>18817</v>
      </c>
      <c r="P33" s="50">
        <f t="shared" si="40"/>
        <v>8.3609164634385298</v>
      </c>
      <c r="Q33" s="49">
        <f>+'TH4 M '!C33</f>
        <v>11365.47</v>
      </c>
      <c r="R33" s="50">
        <f t="shared" si="41"/>
        <v>3.2276579622617332</v>
      </c>
      <c r="S33" s="49">
        <f>+'DIVES M'!C33</f>
        <v>19087.599999999999</v>
      </c>
      <c r="T33" s="50">
        <f t="shared" si="42"/>
        <v>7.9060901820977882</v>
      </c>
      <c r="U33" s="49">
        <f>+'R314 M '!C33</f>
        <v>18111.25</v>
      </c>
      <c r="V33" s="50">
        <f t="shared" si="43"/>
        <v>5.6854221585069169</v>
      </c>
      <c r="W33" s="49">
        <f>+'LYSE M '!C33</f>
        <v>22640.649999999998</v>
      </c>
      <c r="X33" s="50">
        <f t="shared" si="44"/>
        <v>5.9702819289764637</v>
      </c>
      <c r="Y33" s="49">
        <f>+'ARTHUR M '!C33</f>
        <v>25850.93</v>
      </c>
      <c r="Z33" s="50">
        <f t="shared" si="45"/>
        <v>5.6618234156356895</v>
      </c>
      <c r="AA33" s="49">
        <f>+'HUGO M '!C33</f>
        <v>27863.829999999998</v>
      </c>
      <c r="AB33" s="50">
        <f t="shared" si="46"/>
        <v>5.1661491462860498</v>
      </c>
      <c r="AC33" s="49">
        <f>+'JEANCLO M '!C33</f>
        <v>8150.9700000000012</v>
      </c>
      <c r="AD33" s="50">
        <f t="shared" si="47"/>
        <v>3.744380996096293</v>
      </c>
      <c r="AE33" s="49">
        <f>+'THOMAS M'!G33</f>
        <v>8049.56</v>
      </c>
      <c r="AF33" s="50">
        <f t="shared" si="48"/>
        <v>-6.4736647778884819</v>
      </c>
      <c r="AG33" s="49">
        <f>+'CATALINA M'!G33</f>
        <v>18050.310000000001</v>
      </c>
      <c r="AH33" s="50">
        <f t="shared" si="48"/>
        <v>8.6818895815362627</v>
      </c>
      <c r="AI33" s="49">
        <f t="shared" si="1"/>
        <v>263142.74</v>
      </c>
      <c r="AJ33" s="50">
        <f t="shared" si="49"/>
        <v>6.3328141325337928</v>
      </c>
    </row>
    <row r="34" spans="1:36" ht="7.15" customHeight="1" thickTop="1" x14ac:dyDescent="0.2">
      <c r="A34" s="8"/>
      <c r="B34" s="11"/>
      <c r="C34" s="19"/>
      <c r="D34" s="10"/>
      <c r="E34" s="19"/>
      <c r="F34" s="10"/>
      <c r="G34" s="19"/>
      <c r="H34" s="10"/>
      <c r="I34" s="19"/>
      <c r="J34" s="10"/>
      <c r="K34" s="19"/>
      <c r="L34" s="10"/>
      <c r="M34" s="19"/>
      <c r="N34" s="10"/>
      <c r="O34" s="19"/>
      <c r="P34" s="10"/>
      <c r="Q34" s="19"/>
      <c r="R34" s="10"/>
      <c r="S34" s="19"/>
      <c r="T34" s="10"/>
      <c r="U34" s="19"/>
      <c r="V34" s="10"/>
      <c r="W34" s="19"/>
      <c r="X34" s="10"/>
      <c r="Y34" s="19"/>
      <c r="Z34" s="10"/>
      <c r="AA34" s="19"/>
      <c r="AB34" s="10"/>
      <c r="AC34" s="19"/>
      <c r="AD34" s="10"/>
      <c r="AE34" s="19"/>
      <c r="AF34" s="10"/>
      <c r="AG34" s="19"/>
      <c r="AH34" s="10"/>
      <c r="AI34" s="19"/>
      <c r="AJ34" s="10"/>
    </row>
    <row r="35" spans="1:36" s="18" customFormat="1" x14ac:dyDescent="0.2">
      <c r="A35" s="13" t="s">
        <v>29</v>
      </c>
      <c r="B35" s="14" t="s">
        <v>2977</v>
      </c>
      <c r="C35" s="23">
        <f>+'GLR5 M'!C35</f>
        <v>11073.28</v>
      </c>
      <c r="D35" s="17">
        <f t="shared" ref="D35:D42" si="50">(C35*100)/C$8</f>
        <v>2.6627735799615402</v>
      </c>
      <c r="E35" s="23">
        <f>+'HTR8 M'!C35</f>
        <v>1882.72</v>
      </c>
      <c r="F35" s="17">
        <f t="shared" ref="F35:F42" si="51">(E35*100)/E$8</f>
        <v>0.91042789366303556</v>
      </c>
      <c r="G35" s="23">
        <f>+'TIRR M'!C35</f>
        <v>6373.98</v>
      </c>
      <c r="H35" s="17">
        <f t="shared" ref="H35:H42" si="52">(G35*100)/G$8</f>
        <v>2.4409502824660141</v>
      </c>
      <c r="I35" s="23">
        <f>+'VR7 M '!C35</f>
        <v>0</v>
      </c>
      <c r="J35" s="17" t="e">
        <f t="shared" ref="J35:J42" si="53">(I35*100)/I$8</f>
        <v>#DIV/0!</v>
      </c>
      <c r="K35" s="23">
        <f>+'TURVILLA M'!C35</f>
        <v>2808.89</v>
      </c>
      <c r="L35" s="17">
        <f t="shared" ref="L35:L42" si="54">(K35*100)/K$8</f>
        <v>0.61347164861553749</v>
      </c>
      <c r="M35" s="23">
        <f>+'HART M'!C35</f>
        <v>0</v>
      </c>
      <c r="N35" s="17" t="e">
        <f t="shared" ref="N35:N42" si="55">(M35*100)/M$8</f>
        <v>#DIV/0!</v>
      </c>
      <c r="O35" s="23">
        <f>+'VICTOIRE M'!C35</f>
        <v>0</v>
      </c>
      <c r="P35" s="17">
        <f t="shared" ref="P35:P42" si="56">(O35*100)/O$8</f>
        <v>0</v>
      </c>
      <c r="Q35" s="23">
        <f>+'TH4 M '!C35</f>
        <v>2045.95</v>
      </c>
      <c r="R35" s="17">
        <f t="shared" ref="R35:R42" si="57">(Q35*100)/Q$8</f>
        <v>0.58102540483494236</v>
      </c>
      <c r="S35" s="23">
        <f>+'DIVES M'!C35</f>
        <v>215.56</v>
      </c>
      <c r="T35" s="17">
        <f t="shared" ref="T35:T42" si="58">(S35*100)/S$8</f>
        <v>8.9285022719095095E-2</v>
      </c>
      <c r="U35" s="23">
        <f>+'R314 M '!C35</f>
        <v>5112.33</v>
      </c>
      <c r="V35" s="17">
        <f t="shared" ref="V35:V42" si="59">(U35*100)/U$8</f>
        <v>1.6048452902808845</v>
      </c>
      <c r="W35" s="23">
        <f>+'LYSE M '!C35</f>
        <v>6948.62</v>
      </c>
      <c r="X35" s="17">
        <f t="shared" ref="X35:X42" si="60">(W35*100)/W$8</f>
        <v>1.8323334540891907</v>
      </c>
      <c r="Y35" s="23">
        <f>+'ARTHUR M '!C35</f>
        <v>11592.97</v>
      </c>
      <c r="Z35" s="17">
        <f t="shared" ref="Z35:Z42" si="61">(Y35*100)/Y$8</f>
        <v>2.5390710896189068</v>
      </c>
      <c r="AA35" s="23">
        <f>+'HUGO M '!C35</f>
        <v>6824.05</v>
      </c>
      <c r="AB35" s="17">
        <f t="shared" ref="AB35:AB42" si="62">(AA35*100)/AA$8</f>
        <v>1.2652266426300087</v>
      </c>
      <c r="AC35" s="23">
        <f>+'JEANCLO M '!C35</f>
        <v>11722.3</v>
      </c>
      <c r="AD35" s="17">
        <f t="shared" ref="AD35:AD42" si="63">(AC35*100)/AC$8</f>
        <v>5.3849734878842117</v>
      </c>
      <c r="AE35" s="23">
        <f>+'THOMAS M'!G35</f>
        <v>-6492.0199999999995</v>
      </c>
      <c r="AF35" s="17">
        <f t="shared" ref="AF35:AH42" si="64">(AE35*100)/AE$8</f>
        <v>5.2210507420713155</v>
      </c>
      <c r="AG35" s="23">
        <f>+'CATALINA M'!G35</f>
        <v>0</v>
      </c>
      <c r="AH35" s="17">
        <f t="shared" si="64"/>
        <v>0</v>
      </c>
      <c r="AI35" s="23">
        <f t="shared" si="1"/>
        <v>60108.630000000012</v>
      </c>
      <c r="AJ35" s="17">
        <f t="shared" ref="AJ35:AJ42" si="65">(AI35*100)/AI$8</f>
        <v>1.4465790754905294</v>
      </c>
    </row>
    <row r="36" spans="1:36" s="18" customFormat="1" x14ac:dyDescent="0.2">
      <c r="A36" s="13" t="s">
        <v>30</v>
      </c>
      <c r="B36" s="14" t="s">
        <v>145</v>
      </c>
      <c r="C36" s="23">
        <f>+'GLR5 M'!C36</f>
        <v>16824.8</v>
      </c>
      <c r="D36" s="17">
        <f t="shared" si="50"/>
        <v>4.0458322130513196</v>
      </c>
      <c r="E36" s="23">
        <f>+'HTR8 M'!C36</f>
        <v>8325.16</v>
      </c>
      <c r="F36" s="17">
        <f t="shared" si="51"/>
        <v>4.0258019690701525</v>
      </c>
      <c r="G36" s="23">
        <f>+'TIRR M'!C36</f>
        <v>10534.83</v>
      </c>
      <c r="H36" s="17">
        <f t="shared" si="52"/>
        <v>4.0343704034577197</v>
      </c>
      <c r="I36" s="23">
        <f>+'VR7 M '!C36</f>
        <v>0</v>
      </c>
      <c r="J36" s="17" t="e">
        <f t="shared" si="53"/>
        <v>#DIV/0!</v>
      </c>
      <c r="K36" s="23">
        <f>+'TURVILLA M'!C36</f>
        <v>18397.91</v>
      </c>
      <c r="L36" s="17">
        <f t="shared" si="54"/>
        <v>4.0181695184860509</v>
      </c>
      <c r="M36" s="23">
        <f>+'HART M'!C36</f>
        <v>0</v>
      </c>
      <c r="N36" s="17" t="e">
        <f t="shared" si="55"/>
        <v>#DIV/0!</v>
      </c>
      <c r="O36" s="23">
        <f>+'VICTOIRE M'!C36</f>
        <v>9030.2999999999993</v>
      </c>
      <c r="P36" s="17">
        <f t="shared" si="56"/>
        <v>4.0124134527176993</v>
      </c>
      <c r="Q36" s="23">
        <f>+'TH4 M '!C36</f>
        <v>14087.42</v>
      </c>
      <c r="R36" s="17">
        <f t="shared" si="57"/>
        <v>4.0006593067180845</v>
      </c>
      <c r="S36" s="23">
        <f>+'DIVES M'!C36</f>
        <v>9708.01</v>
      </c>
      <c r="T36" s="17">
        <f t="shared" si="58"/>
        <v>4.0210609269215176</v>
      </c>
      <c r="U36" s="23">
        <f>+'R314 M '!C36</f>
        <v>12854.06</v>
      </c>
      <c r="V36" s="17">
        <f t="shared" si="59"/>
        <v>4.0351029084562038</v>
      </c>
      <c r="W36" s="23">
        <f>+'LYSE M '!C36</f>
        <v>15259.5</v>
      </c>
      <c r="X36" s="17">
        <f t="shared" si="60"/>
        <v>4.0238914119168996</v>
      </c>
      <c r="Y36" s="23">
        <f>+'ARTHUR M '!C36</f>
        <v>18521.27</v>
      </c>
      <c r="Z36" s="17">
        <f t="shared" si="61"/>
        <v>4.0564946860059132</v>
      </c>
      <c r="AA36" s="23">
        <f>+'HUGO M '!C36</f>
        <v>21734.36</v>
      </c>
      <c r="AB36" s="17">
        <f t="shared" si="62"/>
        <v>4.0297024981516776</v>
      </c>
      <c r="AC36" s="23">
        <f>+'JEANCLO M '!C36</f>
        <v>8845.31</v>
      </c>
      <c r="AD36" s="17">
        <f t="shared" si="63"/>
        <v>4.0633459169375543</v>
      </c>
      <c r="AE36" s="23">
        <f>+'THOMAS M'!G36</f>
        <v>-4961.1500000000015</v>
      </c>
      <c r="AF36" s="17">
        <f t="shared" si="64"/>
        <v>3.9898854114785713</v>
      </c>
      <c r="AG36" s="23">
        <f>+'CATALINA M'!G36</f>
        <v>8344.64</v>
      </c>
      <c r="AH36" s="17">
        <f t="shared" si="64"/>
        <v>4.0136287453052466</v>
      </c>
      <c r="AI36" s="23">
        <f t="shared" si="1"/>
        <v>167506.41999999998</v>
      </c>
      <c r="AJ36" s="17">
        <f t="shared" si="65"/>
        <v>4.0312228407522888</v>
      </c>
    </row>
    <row r="37" spans="1:36" s="18" customFormat="1" x14ac:dyDescent="0.2">
      <c r="A37" s="13" t="s">
        <v>32</v>
      </c>
      <c r="B37" s="14" t="s">
        <v>19</v>
      </c>
      <c r="C37" s="23">
        <f>+'GLR5 M'!C37</f>
        <v>8325.27</v>
      </c>
      <c r="D37" s="17">
        <f t="shared" si="50"/>
        <v>2.0019640975434929</v>
      </c>
      <c r="E37" s="23">
        <f>+'HTR8 M'!C37</f>
        <v>4112.99</v>
      </c>
      <c r="F37" s="17">
        <f t="shared" si="51"/>
        <v>1.988920722336369</v>
      </c>
      <c r="G37" s="23">
        <f>+'TIRR M'!C37</f>
        <v>5917.34</v>
      </c>
      <c r="H37" s="17">
        <f t="shared" si="52"/>
        <v>2.2660775127075143</v>
      </c>
      <c r="I37" s="23">
        <f>+'VR7 M '!C37</f>
        <v>0</v>
      </c>
      <c r="J37" s="17" t="e">
        <f t="shared" si="53"/>
        <v>#DIV/0!</v>
      </c>
      <c r="K37" s="23">
        <f>+'TURVILLA M'!C37</f>
        <v>9310.24</v>
      </c>
      <c r="L37" s="17">
        <f t="shared" si="54"/>
        <v>2.0333898023084997</v>
      </c>
      <c r="M37" s="23">
        <f>+'HART M'!C37</f>
        <v>0</v>
      </c>
      <c r="N37" s="17" t="e">
        <f t="shared" si="55"/>
        <v>#DIV/0!</v>
      </c>
      <c r="O37" s="23">
        <f>+'VICTOIRE M'!C37</f>
        <v>5162.43</v>
      </c>
      <c r="P37" s="17">
        <f t="shared" si="56"/>
        <v>2.2938112333713647</v>
      </c>
      <c r="Q37" s="23">
        <f>+'TH4 M '!C37</f>
        <v>8540.56</v>
      </c>
      <c r="R37" s="17">
        <f t="shared" si="57"/>
        <v>2.4254172054630443</v>
      </c>
      <c r="S37" s="23">
        <f>+'DIVES M'!C37</f>
        <v>4626.37</v>
      </c>
      <c r="T37" s="17">
        <f t="shared" si="58"/>
        <v>1.9162439717802002</v>
      </c>
      <c r="U37" s="23">
        <f>+'R314 M '!C37</f>
        <v>4801.78</v>
      </c>
      <c r="V37" s="17">
        <f t="shared" si="59"/>
        <v>1.5073584878059407</v>
      </c>
      <c r="W37" s="23">
        <f>+'LYSE M '!C37</f>
        <v>7139.28</v>
      </c>
      <c r="X37" s="17">
        <f t="shared" si="60"/>
        <v>1.8826100120757614</v>
      </c>
      <c r="Y37" s="23">
        <f>+'ARTHUR M '!C37</f>
        <v>6471.76</v>
      </c>
      <c r="Z37" s="17">
        <f t="shared" si="61"/>
        <v>1.4174330404505537</v>
      </c>
      <c r="AA37" s="23">
        <f>+'HUGO M '!C37</f>
        <v>9017.35</v>
      </c>
      <c r="AB37" s="17">
        <f t="shared" si="62"/>
        <v>1.6718798171056353</v>
      </c>
      <c r="AC37" s="23">
        <f>+'JEANCLO M '!C37</f>
        <v>5429.68</v>
      </c>
      <c r="AD37" s="17">
        <f t="shared" si="63"/>
        <v>2.4942786695183665</v>
      </c>
      <c r="AE37" s="23">
        <f>+'THOMAS M'!G37</f>
        <v>829.30000000000018</v>
      </c>
      <c r="AF37" s="17">
        <f t="shared" si="64"/>
        <v>-0.66694455352875426</v>
      </c>
      <c r="AG37" s="23">
        <f>+'CATALINA M'!G37</f>
        <v>4703.75</v>
      </c>
      <c r="AH37" s="17">
        <f t="shared" si="64"/>
        <v>2.2624230896395234</v>
      </c>
      <c r="AI37" s="23">
        <f t="shared" si="1"/>
        <v>84388.099999999991</v>
      </c>
      <c r="AJ37" s="17">
        <f t="shared" si="65"/>
        <v>2.0308907336667352</v>
      </c>
    </row>
    <row r="38" spans="1:36" s="18" customFormat="1" x14ac:dyDescent="0.2">
      <c r="A38" s="13" t="s">
        <v>34</v>
      </c>
      <c r="B38" s="14" t="s">
        <v>28</v>
      </c>
      <c r="C38" s="23">
        <f>+'GLR5 M'!C38</f>
        <v>12046.4</v>
      </c>
      <c r="D38" s="17">
        <f t="shared" si="50"/>
        <v>2.8967781591045019</v>
      </c>
      <c r="E38" s="23">
        <f>+'HTR8 M'!C38</f>
        <v>8888.9</v>
      </c>
      <c r="F38" s="17">
        <f t="shared" si="51"/>
        <v>4.2984100152871152</v>
      </c>
      <c r="G38" s="23">
        <f>+'TIRR M'!C38</f>
        <v>8560</v>
      </c>
      <c r="H38" s="17">
        <f t="shared" si="52"/>
        <v>3.2780985221022156</v>
      </c>
      <c r="I38" s="23">
        <f>+'VR7 M '!C38</f>
        <v>0</v>
      </c>
      <c r="J38" s="17" t="e">
        <f t="shared" si="53"/>
        <v>#DIV/0!</v>
      </c>
      <c r="K38" s="23">
        <f>+'TURVILLA M'!C38</f>
        <v>12969</v>
      </c>
      <c r="L38" s="17">
        <f t="shared" si="54"/>
        <v>2.8324761065384925</v>
      </c>
      <c r="M38" s="23">
        <f>+'HART M'!C38</f>
        <v>0</v>
      </c>
      <c r="N38" s="17" t="e">
        <f t="shared" si="55"/>
        <v>#DIV/0!</v>
      </c>
      <c r="O38" s="23">
        <f>+'VICTOIRE M'!C38</f>
        <v>8650.75</v>
      </c>
      <c r="P38" s="17">
        <f t="shared" si="56"/>
        <v>3.8437688311681386</v>
      </c>
      <c r="Q38" s="23">
        <f>+'TH4 M '!C38</f>
        <v>9585</v>
      </c>
      <c r="R38" s="17">
        <f t="shared" si="57"/>
        <v>2.722025711939648</v>
      </c>
      <c r="S38" s="23">
        <f>+'DIVES M'!C38</f>
        <v>8534.9</v>
      </c>
      <c r="T38" s="17">
        <f t="shared" si="58"/>
        <v>3.5351583800575463</v>
      </c>
      <c r="U38" s="23">
        <f>+'R314 M '!C38</f>
        <v>10583</v>
      </c>
      <c r="V38" s="17">
        <f t="shared" si="59"/>
        <v>3.322179457711572</v>
      </c>
      <c r="W38" s="23">
        <f>+'LYSE M '!C38</f>
        <v>10666.98</v>
      </c>
      <c r="X38" s="17">
        <f t="shared" si="60"/>
        <v>2.8128555465833958</v>
      </c>
      <c r="Y38" s="23">
        <f>+'ARTHUR M '!C38</f>
        <v>10280.16</v>
      </c>
      <c r="Z38" s="17">
        <f t="shared" si="61"/>
        <v>2.2515418441224897</v>
      </c>
      <c r="AA38" s="23">
        <f>+'HUGO M '!C38</f>
        <v>10901.88</v>
      </c>
      <c r="AB38" s="17">
        <f t="shared" si="62"/>
        <v>2.0212848719976027</v>
      </c>
      <c r="AC38" s="23">
        <f>+'JEANCLO M '!C38</f>
        <v>6521.4</v>
      </c>
      <c r="AD38" s="17">
        <f t="shared" si="63"/>
        <v>2.9957914491088009</v>
      </c>
      <c r="AE38" s="23">
        <f>+'THOMAS M'!G38</f>
        <v>-10646.870000000003</v>
      </c>
      <c r="AF38" s="17">
        <f t="shared" si="64"/>
        <v>8.562488796127683</v>
      </c>
      <c r="AG38" s="23">
        <f>+'CATALINA M'!G38</f>
        <v>9177.14</v>
      </c>
      <c r="AH38" s="17">
        <f t="shared" si="64"/>
        <v>4.4140469695146338</v>
      </c>
      <c r="AI38" s="23">
        <f t="shared" si="1"/>
        <v>116718.64</v>
      </c>
      <c r="AJ38" s="17">
        <f t="shared" si="65"/>
        <v>2.8089600834973596</v>
      </c>
    </row>
    <row r="39" spans="1:36" s="18" customFormat="1" x14ac:dyDescent="0.2">
      <c r="A39" s="13" t="s">
        <v>2978</v>
      </c>
      <c r="B39" s="14" t="s">
        <v>2980</v>
      </c>
      <c r="C39" s="23">
        <f>+'GLR5 M'!C39</f>
        <v>2745</v>
      </c>
      <c r="D39" s="17">
        <f t="shared" si="50"/>
        <v>0.66008567262766116</v>
      </c>
      <c r="E39" s="23">
        <f>+'HTR8 M'!C39</f>
        <v>2425.34</v>
      </c>
      <c r="F39" s="17">
        <f t="shared" si="51"/>
        <v>1.1728229304499376</v>
      </c>
      <c r="G39" s="23">
        <f>+'TIRR M'!C39</f>
        <v>2074.92</v>
      </c>
      <c r="H39" s="17">
        <f t="shared" si="52"/>
        <v>0.79460189082714128</v>
      </c>
      <c r="I39" s="23">
        <f>+'VR7 M '!C39</f>
        <v>0</v>
      </c>
      <c r="J39" s="17" t="e">
        <f t="shared" si="53"/>
        <v>#DIV/0!</v>
      </c>
      <c r="K39" s="23">
        <f>+'TURVILLA M'!C39</f>
        <v>4201.25</v>
      </c>
      <c r="L39" s="17">
        <f t="shared" si="54"/>
        <v>0.91756806558677162</v>
      </c>
      <c r="M39" s="23">
        <f>+'HART M'!C39</f>
        <v>0</v>
      </c>
      <c r="N39" s="17" t="e">
        <f t="shared" si="55"/>
        <v>#DIV/0!</v>
      </c>
      <c r="O39" s="23">
        <f>+'VICTOIRE M'!C39</f>
        <v>2492.2199999999998</v>
      </c>
      <c r="P39" s="17">
        <f t="shared" si="56"/>
        <v>1.1073626629383415</v>
      </c>
      <c r="Q39" s="23">
        <f>+'TH4 M '!C39</f>
        <v>2497.09</v>
      </c>
      <c r="R39" s="17">
        <f t="shared" si="57"/>
        <v>0.70914378560536007</v>
      </c>
      <c r="S39" s="23">
        <f>+'DIVES M'!C39</f>
        <v>633.1</v>
      </c>
      <c r="T39" s="17">
        <f t="shared" si="58"/>
        <v>0.26223022770207416</v>
      </c>
      <c r="U39" s="23">
        <f>+'R314 M '!C39</f>
        <v>519.17999999999995</v>
      </c>
      <c r="V39" s="17">
        <f t="shared" si="59"/>
        <v>0.16297922430829573</v>
      </c>
      <c r="W39" s="23">
        <f>+'LYSE M '!C39</f>
        <v>3469.14</v>
      </c>
      <c r="X39" s="17">
        <f t="shared" si="60"/>
        <v>0.91480341116926456</v>
      </c>
      <c r="Y39" s="23">
        <f>+'ARTHUR M '!C39</f>
        <v>4758.1000000000004</v>
      </c>
      <c r="Z39" s="17">
        <f t="shared" si="61"/>
        <v>1.0421103609787414</v>
      </c>
      <c r="AA39" s="23">
        <f>+'HUGO M '!C39</f>
        <v>4597.1000000000004</v>
      </c>
      <c r="AB39" s="17">
        <f t="shared" si="62"/>
        <v>0.85233452258327735</v>
      </c>
      <c r="AC39" s="23">
        <f>+'JEANCLO M '!C39</f>
        <v>1437.1</v>
      </c>
      <c r="AD39" s="17">
        <f t="shared" si="63"/>
        <v>0.66017295235904216</v>
      </c>
      <c r="AE39" s="23">
        <f>+'THOMAS M'!G39</f>
        <v>-2191.44</v>
      </c>
      <c r="AF39" s="17">
        <f t="shared" si="64"/>
        <v>1.7624128450320184</v>
      </c>
      <c r="AG39" s="23">
        <f>+'CATALINA M'!G39</f>
        <v>1981.73</v>
      </c>
      <c r="AH39" s="17">
        <f t="shared" si="64"/>
        <v>0.95317814710206394</v>
      </c>
      <c r="AI39" s="23">
        <f t="shared" si="1"/>
        <v>31639.829999999994</v>
      </c>
      <c r="AJ39" s="17">
        <f t="shared" si="65"/>
        <v>0.76144666797558858</v>
      </c>
    </row>
    <row r="40" spans="1:36" s="18" customFormat="1" x14ac:dyDescent="0.2">
      <c r="A40" s="13" t="s">
        <v>2979</v>
      </c>
      <c r="B40" s="14" t="s">
        <v>2981</v>
      </c>
      <c r="C40" s="23">
        <f>+'GLR5 M'!C40</f>
        <v>274.13</v>
      </c>
      <c r="D40" s="17">
        <f t="shared" si="50"/>
        <v>6.591959396627349E-2</v>
      </c>
      <c r="E40" s="23">
        <f>+'HTR8 M'!C40</f>
        <v>163.22</v>
      </c>
      <c r="F40" s="17">
        <f t="shared" si="51"/>
        <v>7.8928380642730014E-2</v>
      </c>
      <c r="G40" s="23">
        <f>+'TIRR M'!C40</f>
        <v>10.92</v>
      </c>
      <c r="H40" s="17">
        <f t="shared" si="52"/>
        <v>4.181873348289275E-3</v>
      </c>
      <c r="I40" s="23">
        <f>+'VR7 M '!C40</f>
        <v>0</v>
      </c>
      <c r="J40" s="17" t="e">
        <f t="shared" si="53"/>
        <v>#DIV/0!</v>
      </c>
      <c r="K40" s="23">
        <f>+'TURVILLA M'!C40</f>
        <v>314.23</v>
      </c>
      <c r="L40" s="17">
        <f t="shared" si="54"/>
        <v>6.8628958821620054E-2</v>
      </c>
      <c r="M40" s="23">
        <f>+'HART M'!C40</f>
        <v>0</v>
      </c>
      <c r="N40" s="17" t="e">
        <f t="shared" si="55"/>
        <v>#DIV/0!</v>
      </c>
      <c r="O40" s="23">
        <f>+'VICTOIRE M'!C40</f>
        <v>268.02999999999997</v>
      </c>
      <c r="P40" s="17">
        <f t="shared" si="56"/>
        <v>0.1190931838069527</v>
      </c>
      <c r="Q40" s="23">
        <f>+'TH4 M '!C40</f>
        <v>256.47000000000003</v>
      </c>
      <c r="R40" s="17">
        <f t="shared" si="57"/>
        <v>7.2834421944826463E-2</v>
      </c>
      <c r="S40" s="23">
        <f>+'DIVES M'!C40</f>
        <v>0</v>
      </c>
      <c r="T40" s="17">
        <f t="shared" si="58"/>
        <v>0</v>
      </c>
      <c r="U40" s="23">
        <f>+'R314 M '!C40</f>
        <v>82</v>
      </c>
      <c r="V40" s="17">
        <f t="shared" si="59"/>
        <v>2.5741161819176878E-2</v>
      </c>
      <c r="W40" s="23">
        <f>+'LYSE M '!C40</f>
        <v>134.59</v>
      </c>
      <c r="X40" s="17">
        <f t="shared" si="60"/>
        <v>3.5491041327035323E-2</v>
      </c>
      <c r="Y40" s="23">
        <f>+'ARTHUR M '!C40</f>
        <v>244.59</v>
      </c>
      <c r="Z40" s="17">
        <f t="shared" si="61"/>
        <v>5.3569654524240846E-2</v>
      </c>
      <c r="AA40" s="23">
        <f>+'HUGO M '!C40</f>
        <v>383.32</v>
      </c>
      <c r="AB40" s="17">
        <f t="shared" si="62"/>
        <v>7.1070211480416312E-2</v>
      </c>
      <c r="AC40" s="23">
        <f>+'JEANCLO M '!C40</f>
        <v>45</v>
      </c>
      <c r="AD40" s="17">
        <f t="shared" si="63"/>
        <v>2.0672035944719853E-2</v>
      </c>
      <c r="AE40" s="23">
        <f>+'THOMAS M'!G40</f>
        <v>-534.94000000000005</v>
      </c>
      <c r="AF40" s="17">
        <f t="shared" si="64"/>
        <v>0.43021261240163</v>
      </c>
      <c r="AG40" s="23">
        <f>+'CATALINA M'!G40</f>
        <v>224.92</v>
      </c>
      <c r="AH40" s="17">
        <f t="shared" si="64"/>
        <v>0.10818266305006041</v>
      </c>
      <c r="AI40" s="23">
        <f t="shared" si="1"/>
        <v>1866.48</v>
      </c>
      <c r="AJ40" s="17">
        <f t="shared" si="65"/>
        <v>4.4918856291044446E-2</v>
      </c>
    </row>
    <row r="41" spans="1:36" s="18" customFormat="1" x14ac:dyDescent="0.2">
      <c r="A41" s="13" t="s">
        <v>2982</v>
      </c>
      <c r="B41" s="14" t="s">
        <v>2983</v>
      </c>
      <c r="C41" s="23">
        <f>+'GLR5 M'!C41</f>
        <v>1308.1300000000001</v>
      </c>
      <c r="D41" s="17">
        <f t="shared" si="50"/>
        <v>0.31456388740780417</v>
      </c>
      <c r="E41" s="23">
        <f>+'HTR8 M'!C41</f>
        <v>540.16999999999996</v>
      </c>
      <c r="F41" s="17">
        <f t="shared" si="51"/>
        <v>0.26121028900737331</v>
      </c>
      <c r="G41" s="23">
        <f>+'TIRR M'!C41</f>
        <v>715.3</v>
      </c>
      <c r="H41" s="17">
        <f t="shared" si="52"/>
        <v>0.27392802253034054</v>
      </c>
      <c r="I41" s="23">
        <f>+'VR7 M '!C41</f>
        <v>0</v>
      </c>
      <c r="J41" s="17" t="e">
        <f t="shared" si="53"/>
        <v>#DIV/0!</v>
      </c>
      <c r="K41" s="23">
        <f>+'TURVILLA M'!C41</f>
        <v>3190.98</v>
      </c>
      <c r="L41" s="17">
        <f t="shared" si="54"/>
        <v>0.69692147478157129</v>
      </c>
      <c r="M41" s="23">
        <f>+'HART M'!C41</f>
        <v>0</v>
      </c>
      <c r="N41" s="17" t="e">
        <f t="shared" si="55"/>
        <v>#DIV/0!</v>
      </c>
      <c r="O41" s="23">
        <f>+'VICTOIRE M'!C41</f>
        <v>173.12</v>
      </c>
      <c r="P41" s="17">
        <f t="shared" si="56"/>
        <v>7.6922031043762468E-2</v>
      </c>
      <c r="Q41" s="23">
        <f>+'TH4 M '!C41</f>
        <v>1484.54</v>
      </c>
      <c r="R41" s="17">
        <f t="shared" si="57"/>
        <v>0.42159165888397343</v>
      </c>
      <c r="S41" s="23">
        <f>+'DIVES M'!C41</f>
        <v>580.19000000000005</v>
      </c>
      <c r="T41" s="17">
        <f t="shared" si="58"/>
        <v>0.24031488834381048</v>
      </c>
      <c r="U41" s="23">
        <f>+'R314 M '!C41</f>
        <v>780.4</v>
      </c>
      <c r="V41" s="17">
        <f t="shared" si="59"/>
        <v>0.24498052053275163</v>
      </c>
      <c r="W41" s="23">
        <f>+'LYSE M '!C41</f>
        <v>2092.88</v>
      </c>
      <c r="X41" s="17">
        <f t="shared" si="60"/>
        <v>0.55188714297143682</v>
      </c>
      <c r="Y41" s="23">
        <f>+'ARTHUR M '!C41</f>
        <v>737.08</v>
      </c>
      <c r="Z41" s="17">
        <f t="shared" si="61"/>
        <v>0.16143391371980637</v>
      </c>
      <c r="AA41" s="23">
        <f>+'HUGO M '!C41</f>
        <v>370.35</v>
      </c>
      <c r="AB41" s="17">
        <f t="shared" si="62"/>
        <v>6.8665482682281606E-2</v>
      </c>
      <c r="AC41" s="23">
        <f>+'JEANCLO M '!C41</f>
        <v>507.75</v>
      </c>
      <c r="AD41" s="17">
        <f t="shared" si="63"/>
        <v>0.23324947224292233</v>
      </c>
      <c r="AE41" s="23">
        <f>+'THOMAS M'!G41</f>
        <v>-19.750000000000028</v>
      </c>
      <c r="AF41" s="17">
        <f t="shared" si="64"/>
        <v>1.588346187410215E-2</v>
      </c>
      <c r="AG41" s="23">
        <f>+'CATALINA M'!G41</f>
        <v>-11.03</v>
      </c>
      <c r="AH41" s="17">
        <f t="shared" si="64"/>
        <v>-5.3052408564919365E-3</v>
      </c>
      <c r="AI41" s="23">
        <f t="shared" si="1"/>
        <v>12450.109999999999</v>
      </c>
      <c r="AJ41" s="17">
        <f t="shared" si="65"/>
        <v>0.29962533855047752</v>
      </c>
    </row>
    <row r="42" spans="1:36" ht="13.5" thickBot="1" x14ac:dyDescent="0.25">
      <c r="A42" s="13"/>
      <c r="B42" s="63" t="s">
        <v>2984</v>
      </c>
      <c r="C42" s="49">
        <f>+'GLR5 M'!C42</f>
        <v>52597.01</v>
      </c>
      <c r="D42" s="50">
        <f t="shared" si="50"/>
        <v>12.647917203662594</v>
      </c>
      <c r="E42" s="49">
        <f>+'HTR8 M'!C42</f>
        <v>26338.499999999996</v>
      </c>
      <c r="F42" s="50">
        <f t="shared" si="51"/>
        <v>12.73652220045671</v>
      </c>
      <c r="G42" s="49">
        <f>+'TIRR M'!C42</f>
        <v>34187.29</v>
      </c>
      <c r="H42" s="50">
        <f t="shared" si="52"/>
        <v>13.092208507439235</v>
      </c>
      <c r="I42" s="49">
        <f>+'VR7 M '!C42</f>
        <v>0</v>
      </c>
      <c r="J42" s="50" t="e">
        <f t="shared" si="53"/>
        <v>#DIV/0!</v>
      </c>
      <c r="K42" s="49">
        <f>+'TURVILLA M'!C42</f>
        <v>51192.500000000007</v>
      </c>
      <c r="L42" s="50">
        <f t="shared" si="54"/>
        <v>11.180625575138546</v>
      </c>
      <c r="M42" s="49">
        <f>+'HART M'!C42</f>
        <v>0</v>
      </c>
      <c r="N42" s="50" t="e">
        <f t="shared" si="55"/>
        <v>#DIV/0!</v>
      </c>
      <c r="O42" s="49">
        <f>+'VICTOIRE M'!C42</f>
        <v>25776.85</v>
      </c>
      <c r="P42" s="50">
        <f t="shared" si="56"/>
        <v>11.453371395046261</v>
      </c>
      <c r="Q42" s="49">
        <f>+'TH4 M '!C42</f>
        <v>38497.030000000006</v>
      </c>
      <c r="R42" s="50">
        <f t="shared" si="57"/>
        <v>10.932697495389879</v>
      </c>
      <c r="S42" s="49">
        <f>+'DIVES M'!C42</f>
        <v>24298.129999999994</v>
      </c>
      <c r="T42" s="50">
        <f t="shared" si="58"/>
        <v>10.064293417524242</v>
      </c>
      <c r="U42" s="49">
        <f>+'R314 M '!C42</f>
        <v>34732.75</v>
      </c>
      <c r="V42" s="50">
        <f t="shared" si="59"/>
        <v>10.903187050914825</v>
      </c>
      <c r="W42" s="49">
        <f>+'LYSE M '!C42</f>
        <v>45710.989999999991</v>
      </c>
      <c r="X42" s="50">
        <f t="shared" si="60"/>
        <v>12.053872020132982</v>
      </c>
      <c r="Y42" s="49">
        <f>+'ARTHUR M '!C42</f>
        <v>52605.93</v>
      </c>
      <c r="Z42" s="50">
        <f t="shared" si="61"/>
        <v>11.521654589420651</v>
      </c>
      <c r="AA42" s="49">
        <f>+'HUGO M '!C42</f>
        <v>53828.409999999996</v>
      </c>
      <c r="AB42" s="50">
        <f t="shared" si="62"/>
        <v>9.9801640466309003</v>
      </c>
      <c r="AC42" s="49">
        <f>+'JEANCLO M '!C42</f>
        <v>34508.54</v>
      </c>
      <c r="AD42" s="50">
        <f t="shared" si="63"/>
        <v>15.852483983995617</v>
      </c>
      <c r="AE42" s="49">
        <f>+'THOMAS M'!G42</f>
        <v>-24016.870000000003</v>
      </c>
      <c r="AF42" s="50">
        <f t="shared" si="64"/>
        <v>19.314989315456568</v>
      </c>
      <c r="AG42" s="49">
        <f>+'CATALINA M'!G42</f>
        <v>24421.149999999998</v>
      </c>
      <c r="AH42" s="50">
        <f t="shared" si="64"/>
        <v>11.746154373755036</v>
      </c>
      <c r="AI42" s="49">
        <f t="shared" si="1"/>
        <v>474678.20999999996</v>
      </c>
      <c r="AJ42" s="50">
        <f t="shared" si="65"/>
        <v>11.423643596224023</v>
      </c>
    </row>
    <row r="43" spans="1:36" ht="7.15" customHeight="1" thickTop="1" x14ac:dyDescent="0.2">
      <c r="A43" s="13"/>
      <c r="B43" s="11"/>
      <c r="C43" s="19"/>
      <c r="D43" s="10"/>
      <c r="E43" s="19"/>
      <c r="F43" s="10"/>
      <c r="G43" s="19"/>
      <c r="H43" s="10"/>
      <c r="I43" s="19"/>
      <c r="J43" s="10"/>
      <c r="K43" s="19"/>
      <c r="L43" s="10"/>
      <c r="M43" s="19"/>
      <c r="N43" s="10"/>
      <c r="O43" s="19"/>
      <c r="P43" s="10"/>
      <c r="Q43" s="19"/>
      <c r="R43" s="10"/>
      <c r="S43" s="19"/>
      <c r="T43" s="10"/>
      <c r="U43" s="19"/>
      <c r="V43" s="10"/>
      <c r="W43" s="19"/>
      <c r="X43" s="10"/>
      <c r="Y43" s="19"/>
      <c r="Z43" s="10"/>
      <c r="AA43" s="19"/>
      <c r="AB43" s="10"/>
      <c r="AC43" s="19"/>
      <c r="AD43" s="10"/>
      <c r="AE43" s="19"/>
      <c r="AF43" s="10"/>
      <c r="AG43" s="19"/>
      <c r="AH43" s="10"/>
      <c r="AI43" s="19"/>
      <c r="AJ43" s="10"/>
    </row>
    <row r="44" spans="1:36" ht="16.899999999999999" customHeight="1" thickBot="1" x14ac:dyDescent="0.25">
      <c r="A44" s="13"/>
      <c r="B44" s="69" t="s">
        <v>59</v>
      </c>
      <c r="C44" s="70">
        <f>+'GLR5 M'!C44</f>
        <v>126343.07000000004</v>
      </c>
      <c r="D44" s="71">
        <f>(C44*100)/C$8</f>
        <v>30.381511964587869</v>
      </c>
      <c r="E44" s="70">
        <f>+'HTR8 M'!C44</f>
        <v>64483.73000000001</v>
      </c>
      <c r="F44" s="71">
        <f>(E44*100)/E$8</f>
        <v>31.182430993156657</v>
      </c>
      <c r="G44" s="70">
        <f>+'TIRR M'!C44</f>
        <v>84012.48000000001</v>
      </c>
      <c r="H44" s="71">
        <f>(G44*100)/G$8</f>
        <v>32.173035809128741</v>
      </c>
      <c r="I44" s="70">
        <f>+'VR7 M '!C44</f>
        <v>0</v>
      </c>
      <c r="J44" s="71" t="e">
        <f>(I44*100)/I$8</f>
        <v>#DIV/0!</v>
      </c>
      <c r="K44" s="70">
        <f>+'TURVILLA M'!C44</f>
        <v>163851.43000000002</v>
      </c>
      <c r="L44" s="71">
        <f>(K44*100)/K$8</f>
        <v>35.785739879494514</v>
      </c>
      <c r="M44" s="70">
        <f>+'HART M'!C44</f>
        <v>0</v>
      </c>
      <c r="N44" s="71" t="e">
        <f>(M44*100)/M$8</f>
        <v>#DIV/0!</v>
      </c>
      <c r="O44" s="70">
        <f>+'VICTOIRE M'!C44</f>
        <v>70118.359999999986</v>
      </c>
      <c r="P44" s="71">
        <f>(O44*100)/O$8</f>
        <v>31.155537573115243</v>
      </c>
      <c r="Q44" s="70">
        <f>+'TH4 M '!C44</f>
        <v>119313.22</v>
      </c>
      <c r="R44" s="71">
        <f>(Q44*100)/Q$8</f>
        <v>33.883531832479065</v>
      </c>
      <c r="S44" s="70">
        <f>+'DIVES M'!C44</f>
        <v>74556.140000000029</v>
      </c>
      <c r="T44" s="71">
        <f>(S44*100)/S$8</f>
        <v>30.881177647745577</v>
      </c>
      <c r="U44" s="70">
        <f>+'R314 M '!C44</f>
        <v>105961.33000000002</v>
      </c>
      <c r="V44" s="71">
        <f>(U44*100)/U$8</f>
        <v>33.263021245185385</v>
      </c>
      <c r="W44" s="70">
        <f>+'LYSE M '!C44</f>
        <v>134539.44000000003</v>
      </c>
      <c r="X44" s="71">
        <f>(W44*100)/W$8</f>
        <v>35.477708783387996</v>
      </c>
      <c r="Y44" s="70">
        <f>+'ARTHUR M '!C44</f>
        <v>154985.15000000002</v>
      </c>
      <c r="Z44" s="71">
        <f>(Y44*100)/Y$8</f>
        <v>33.944564135441546</v>
      </c>
      <c r="AA44" s="70">
        <f>+'HUGO M '!C44</f>
        <v>202294.70999999996</v>
      </c>
      <c r="AB44" s="71">
        <f>(AA44*100)/AA$8</f>
        <v>37.506855423848187</v>
      </c>
      <c r="AC44" s="70">
        <f>+'JEANCLO M '!C44</f>
        <v>56485.250000000022</v>
      </c>
      <c r="AD44" s="71">
        <f>(AC44*100)/AC$8</f>
        <v>25.948113741033055</v>
      </c>
      <c r="AE44" s="70">
        <f>+'THOMAS M'!G44</f>
        <v>-30265.120000000024</v>
      </c>
      <c r="AF44" s="71">
        <f>(AE44*100)/AE$8</f>
        <v>24.339993905576005</v>
      </c>
      <c r="AG44" s="70">
        <f>+'CATALINA M'!G44</f>
        <v>56900.290000000008</v>
      </c>
      <c r="AH44" s="71">
        <f>(AG44*100)/AG$8</f>
        <v>27.36806375831728</v>
      </c>
      <c r="AI44" s="70">
        <f t="shared" si="1"/>
        <v>1383579.48</v>
      </c>
      <c r="AJ44" s="71">
        <f>(AI44*100)/AI$8</f>
        <v>33.297333927691696</v>
      </c>
    </row>
    <row r="45" spans="1:36" ht="7.15" customHeight="1" thickTop="1" x14ac:dyDescent="0.2">
      <c r="A45" s="13"/>
      <c r="B45" s="11"/>
      <c r="C45" s="19"/>
      <c r="D45" s="10"/>
      <c r="E45" s="19"/>
      <c r="F45" s="10"/>
      <c r="G45" s="19"/>
      <c r="H45" s="10"/>
      <c r="I45" s="19"/>
      <c r="J45" s="10"/>
      <c r="K45" s="19"/>
      <c r="L45" s="10"/>
      <c r="M45" s="19"/>
      <c r="N45" s="10"/>
      <c r="O45" s="19"/>
      <c r="P45" s="10"/>
      <c r="Q45" s="19"/>
      <c r="R45" s="10"/>
      <c r="S45" s="19"/>
      <c r="T45" s="10"/>
      <c r="U45" s="19"/>
      <c r="V45" s="10"/>
      <c r="W45" s="19"/>
      <c r="X45" s="10"/>
      <c r="Y45" s="19"/>
      <c r="Z45" s="10"/>
      <c r="AA45" s="19"/>
      <c r="AB45" s="10"/>
      <c r="AC45" s="19"/>
      <c r="AD45" s="10"/>
      <c r="AE45" s="19"/>
      <c r="AF45" s="10"/>
      <c r="AG45" s="19"/>
      <c r="AH45" s="10"/>
      <c r="AI45" s="19"/>
      <c r="AJ45" s="10"/>
    </row>
    <row r="46" spans="1:36" s="18" customFormat="1" x14ac:dyDescent="0.2">
      <c r="A46" s="13" t="s">
        <v>2985</v>
      </c>
      <c r="B46" s="14" t="s">
        <v>36</v>
      </c>
      <c r="C46" s="23">
        <f>+'GLR5 M'!C46</f>
        <v>65999.259999999995</v>
      </c>
      <c r="D46" s="17">
        <f>(C46*100)/C$8</f>
        <v>15.870734400738755</v>
      </c>
      <c r="E46" s="23">
        <f>+'HTR8 M'!C46</f>
        <v>34702.769999999997</v>
      </c>
      <c r="F46" s="17">
        <f>(E46*100)/E$8</f>
        <v>16.781236612652322</v>
      </c>
      <c r="G46" s="23">
        <f>+'TIRR M'!C46</f>
        <v>38690.46</v>
      </c>
      <c r="H46" s="17">
        <f>(G46*100)/G$8</f>
        <v>14.816721932880244</v>
      </c>
      <c r="I46" s="23">
        <f>+'VR7 M '!C46</f>
        <v>0</v>
      </c>
      <c r="J46" s="17" t="e">
        <f>(I46*100)/I$8</f>
        <v>#DIV/0!</v>
      </c>
      <c r="K46" s="23">
        <f>+'TURVILLA M'!C46</f>
        <v>65303.63</v>
      </c>
      <c r="L46" s="17">
        <f>(K46*100)/K$8</f>
        <v>14.262546969329192</v>
      </c>
      <c r="M46" s="23">
        <f>+'HART M'!C46</f>
        <v>0</v>
      </c>
      <c r="N46" s="17" t="e">
        <f>(M46*100)/M$8</f>
        <v>#DIV/0!</v>
      </c>
      <c r="O46" s="23">
        <f>+'VICTOIRE M'!C46</f>
        <v>28522.12</v>
      </c>
      <c r="P46" s="17">
        <f>(O46*100)/O$8</f>
        <v>12.673171211147865</v>
      </c>
      <c r="Q46" s="23">
        <f>+'TH4 M '!C46</f>
        <v>49965.19</v>
      </c>
      <c r="R46" s="17">
        <f>(Q46*100)/Q$8</f>
        <v>14.189518193213331</v>
      </c>
      <c r="S46" s="23">
        <f>+'DIVES M'!C46</f>
        <v>31894.48</v>
      </c>
      <c r="T46" s="17">
        <f>(S46*100)/S$8</f>
        <v>13.210704079670274</v>
      </c>
      <c r="U46" s="23">
        <f>+'R314 M '!C46</f>
        <v>53454.080000000002</v>
      </c>
      <c r="V46" s="17">
        <f>(U46*100)/U$8</f>
        <v>16.780123453356417</v>
      </c>
      <c r="W46" s="23">
        <f>+'LYSE M '!C46</f>
        <v>54120.39</v>
      </c>
      <c r="X46" s="17">
        <f>(W46*100)/W$8</f>
        <v>14.271409451855778</v>
      </c>
      <c r="Y46" s="23">
        <f>+'ARTHUR M '!C46</f>
        <v>70348.47</v>
      </c>
      <c r="Z46" s="17">
        <f>(Y46*100)/Y$8</f>
        <v>15.407593254871095</v>
      </c>
      <c r="AA46" s="23">
        <f>+'HUGO M '!C46</f>
        <v>82739.990000000005</v>
      </c>
      <c r="AB46" s="17">
        <f>(AA46*100)/AA$8</f>
        <v>15.340573377824095</v>
      </c>
      <c r="AC46" s="23">
        <f>+'JEANCLO M '!C46</f>
        <v>22406.16</v>
      </c>
      <c r="AD46" s="17">
        <f>(AC46*100)/AC$8</f>
        <v>10.292909886736537</v>
      </c>
      <c r="AE46" s="23">
        <f>+'THOMAS M'!G46</f>
        <v>-34439.410000000003</v>
      </c>
      <c r="AF46" s="17">
        <f>(AE46*100)/AE$8</f>
        <v>27.69706611147198</v>
      </c>
      <c r="AG46" s="23">
        <f>+'CATALINA M'!G46</f>
        <v>28459.119999999999</v>
      </c>
      <c r="AH46" s="17">
        <f>(AG46*100)/AG$8</f>
        <v>13.688348700254469</v>
      </c>
      <c r="AI46" s="23">
        <f t="shared" si="1"/>
        <v>592166.71</v>
      </c>
      <c r="AJ46" s="17">
        <f>(AI46*100)/AI$8</f>
        <v>14.251131191778423</v>
      </c>
    </row>
    <row r="47" spans="1:36" s="18" customFormat="1" x14ac:dyDescent="0.2">
      <c r="A47" s="13" t="s">
        <v>35</v>
      </c>
      <c r="B47" s="14" t="s">
        <v>2986</v>
      </c>
      <c r="C47" s="23">
        <f>+'GLR5 M'!C47</f>
        <v>0</v>
      </c>
      <c r="D47" s="17">
        <f>(C47*100)/C$8</f>
        <v>0</v>
      </c>
      <c r="E47" s="23">
        <f>+'HTR8 M'!C47</f>
        <v>616.76</v>
      </c>
      <c r="F47" s="17">
        <f>(E47*100)/E$8</f>
        <v>0.29824695530700995</v>
      </c>
      <c r="G47" s="23">
        <f>+'TIRR M'!C47</f>
        <v>0</v>
      </c>
      <c r="H47" s="17">
        <f>(G47*100)/G$8</f>
        <v>0</v>
      </c>
      <c r="I47" s="23">
        <f>+'VR7 M '!C47</f>
        <v>0</v>
      </c>
      <c r="J47" s="17" t="e">
        <f>(I47*100)/I$8</f>
        <v>#DIV/0!</v>
      </c>
      <c r="K47" s="23">
        <f>+'TURVILLA M'!C47</f>
        <v>1813.68</v>
      </c>
      <c r="L47" s="17">
        <f>(K47*100)/K$8</f>
        <v>0.39611421581515405</v>
      </c>
      <c r="M47" s="23">
        <f>+'HART M'!C47</f>
        <v>0</v>
      </c>
      <c r="N47" s="17" t="e">
        <f>(M47*100)/M$8</f>
        <v>#DIV/0!</v>
      </c>
      <c r="O47" s="23">
        <f>+'VICTOIRE M'!C47</f>
        <v>0</v>
      </c>
      <c r="P47" s="17">
        <f>(O47*100)/O$8</f>
        <v>0</v>
      </c>
      <c r="Q47" s="23">
        <f>+'TH4 M '!C47</f>
        <v>0</v>
      </c>
      <c r="R47" s="17">
        <f>(Q47*100)/Q$8</f>
        <v>0</v>
      </c>
      <c r="S47" s="23">
        <f>+'DIVES M'!C47</f>
        <v>0</v>
      </c>
      <c r="T47" s="17">
        <f>(S47*100)/S$8</f>
        <v>0</v>
      </c>
      <c r="U47" s="23">
        <f>+'R314 M '!C47</f>
        <v>0</v>
      </c>
      <c r="V47" s="17">
        <f>(U47*100)/U$8</f>
        <v>0</v>
      </c>
      <c r="W47" s="23">
        <f>+'LYSE M '!C47</f>
        <v>0</v>
      </c>
      <c r="X47" s="17">
        <f>(W47*100)/W$8</f>
        <v>0</v>
      </c>
      <c r="Y47" s="23">
        <f>+'ARTHUR M '!C47</f>
        <v>0</v>
      </c>
      <c r="Z47" s="17">
        <f>(Y47*100)/Y$8</f>
        <v>0</v>
      </c>
      <c r="AA47" s="23">
        <f>+'HUGO M '!C47</f>
        <v>0</v>
      </c>
      <c r="AB47" s="17">
        <f>(AA47*100)/AA$8</f>
        <v>0</v>
      </c>
      <c r="AC47" s="23">
        <f>+'JEANCLO M '!C47</f>
        <v>0</v>
      </c>
      <c r="AD47" s="17">
        <f>(AC47*100)/AC$8</f>
        <v>0</v>
      </c>
      <c r="AE47" s="23">
        <f>+'THOMAS M'!G47</f>
        <v>0</v>
      </c>
      <c r="AF47" s="17">
        <f>(AE47*100)/AE$8</f>
        <v>0</v>
      </c>
      <c r="AG47" s="23">
        <f>+'CATALINA M'!G47</f>
        <v>0</v>
      </c>
      <c r="AH47" s="17">
        <f>(AG47*100)/AG$8</f>
        <v>0</v>
      </c>
      <c r="AI47" s="23">
        <f t="shared" si="1"/>
        <v>2430.44</v>
      </c>
      <c r="AJ47" s="17">
        <f>(AI47*100)/AI$8</f>
        <v>5.8491162554115801E-2</v>
      </c>
    </row>
    <row r="48" spans="1:36" s="18" customFormat="1" x14ac:dyDescent="0.2">
      <c r="A48" s="13" t="s">
        <v>37</v>
      </c>
      <c r="B48" s="14" t="s">
        <v>2987</v>
      </c>
      <c r="C48" s="23">
        <f>+'GLR5 M'!C48</f>
        <v>-1061.6500000000001</v>
      </c>
      <c r="D48" s="17">
        <f>(C48*100)/C$8</f>
        <v>-0.25529324384158708</v>
      </c>
      <c r="E48" s="23">
        <f>+'HTR8 M'!C48</f>
        <v>-470.3</v>
      </c>
      <c r="F48" s="17">
        <f>(E48*100)/E$8</f>
        <v>-0.22742321661730136</v>
      </c>
      <c r="G48" s="23">
        <f>+'TIRR M'!C48</f>
        <v>-674.11</v>
      </c>
      <c r="H48" s="17">
        <f>(G48*100)/G$8</f>
        <v>-0.25815408816989771</v>
      </c>
      <c r="I48" s="23">
        <f>+'VR7 M '!C48</f>
        <v>0</v>
      </c>
      <c r="J48" s="17" t="e">
        <f>(I48*100)/I$8</f>
        <v>#DIV/0!</v>
      </c>
      <c r="K48" s="23">
        <f>+'TURVILLA M'!C48</f>
        <v>-3945.49</v>
      </c>
      <c r="L48" s="17">
        <f>(K48*100)/K$8</f>
        <v>-0.86170916443723922</v>
      </c>
      <c r="M48" s="23">
        <f>+'HART M'!C48</f>
        <v>0</v>
      </c>
      <c r="N48" s="17" t="e">
        <f>(M48*100)/M$8</f>
        <v>#DIV/0!</v>
      </c>
      <c r="O48" s="23">
        <f>+'VICTOIRE M'!C48</f>
        <v>-423.42</v>
      </c>
      <c r="P48" s="17">
        <f>(O48*100)/O$8</f>
        <v>-0.18813728272036684</v>
      </c>
      <c r="Q48" s="23">
        <f>+'TH4 M '!C48</f>
        <v>-894.19</v>
      </c>
      <c r="R48" s="17">
        <f>(Q48*100)/Q$8</f>
        <v>-0.25393929800305831</v>
      </c>
      <c r="S48" s="23">
        <f>+'DIVES M'!C48</f>
        <v>-475.1</v>
      </c>
      <c r="T48" s="17">
        <f>(S48*100)/S$8</f>
        <v>-0.19678657586677528</v>
      </c>
      <c r="U48" s="23">
        <f>+'R314 M '!C48</f>
        <v>-561.09</v>
      </c>
      <c r="V48" s="17">
        <f>(U48*100)/U$8</f>
        <v>-0.17613546933075552</v>
      </c>
      <c r="W48" s="23">
        <f>+'LYSE M '!C48</f>
        <v>-965.86</v>
      </c>
      <c r="X48" s="17">
        <f>(W48*100)/W$8</f>
        <v>-0.25469483004777721</v>
      </c>
      <c r="Y48" s="23">
        <f>+'ARTHUR M '!C48</f>
        <v>-2397.6799999999998</v>
      </c>
      <c r="Z48" s="17">
        <f>(Y48*100)/Y$8</f>
        <v>-0.52513548902114471</v>
      </c>
      <c r="AA48" s="23">
        <f>+'HUGO M '!C48</f>
        <v>-2407.3000000000002</v>
      </c>
      <c r="AB48" s="17">
        <f>(AA48*100)/AA$8</f>
        <v>-0.44633027260984615</v>
      </c>
      <c r="AC48" s="23">
        <f>+'JEANCLO M '!C48</f>
        <v>-3403.9</v>
      </c>
      <c r="AD48" s="17">
        <f>(AC48*100)/AC$8</f>
        <v>-1.5636787367162646</v>
      </c>
      <c r="AE48" s="23">
        <f>+'THOMAS M'!G48</f>
        <v>-423.42</v>
      </c>
      <c r="AF48" s="17">
        <f>(AE48*100)/AE$8</f>
        <v>0.3405253380623961</v>
      </c>
      <c r="AG48" s="23">
        <f>+'CATALINA M'!G48</f>
        <v>-405.56</v>
      </c>
      <c r="AH48" s="17">
        <f>(AG48*100)/AG$8</f>
        <v>-0.19506740541784856</v>
      </c>
      <c r="AI48" s="23">
        <f t="shared" si="1"/>
        <v>-18509.070000000003</v>
      </c>
      <c r="AJ48" s="17">
        <f>(AI48*100)/AI$8</f>
        <v>-0.44544075233106284</v>
      </c>
    </row>
    <row r="49" spans="1:36" ht="13.5" thickBot="1" x14ac:dyDescent="0.25">
      <c r="A49" s="13"/>
      <c r="B49" s="63" t="s">
        <v>2988</v>
      </c>
      <c r="C49" s="49">
        <f>+'GLR5 M'!C49</f>
        <v>64937.609999999993</v>
      </c>
      <c r="D49" s="50">
        <f>(C49*100)/C$8</f>
        <v>15.615441156897168</v>
      </c>
      <c r="E49" s="49">
        <f>+'HTR8 M'!C49</f>
        <v>34849.229999999996</v>
      </c>
      <c r="F49" s="50">
        <f>(E49*100)/E$8</f>
        <v>16.852060351342029</v>
      </c>
      <c r="G49" s="49">
        <f>+'TIRR M'!C49</f>
        <v>38016.35</v>
      </c>
      <c r="H49" s="50">
        <f>(G49*100)/G$8</f>
        <v>14.558567844710346</v>
      </c>
      <c r="I49" s="49">
        <f>+'VR7 M '!C49</f>
        <v>0</v>
      </c>
      <c r="J49" s="50" t="e">
        <f>(I49*100)/I$8</f>
        <v>#DIV/0!</v>
      </c>
      <c r="K49" s="49">
        <f>+'TURVILLA M'!C49</f>
        <v>63171.82</v>
      </c>
      <c r="L49" s="50">
        <f>(K49*100)/K$8</f>
        <v>13.796952020707106</v>
      </c>
      <c r="M49" s="49">
        <f>+'HART M'!C49</f>
        <v>0</v>
      </c>
      <c r="N49" s="50" t="e">
        <f>(M49*100)/M$8</f>
        <v>#DIV/0!</v>
      </c>
      <c r="O49" s="49">
        <f>+'VICTOIRE M'!C49</f>
        <v>28098.7</v>
      </c>
      <c r="P49" s="50">
        <f>(O49*100)/O$8</f>
        <v>12.485033928427498</v>
      </c>
      <c r="Q49" s="49">
        <f>+'TH4 M '!C49</f>
        <v>49071</v>
      </c>
      <c r="R49" s="50">
        <f>(Q49*100)/Q$8</f>
        <v>13.935578895210273</v>
      </c>
      <c r="S49" s="49">
        <f>+'DIVES M'!C49</f>
        <v>31419.38</v>
      </c>
      <c r="T49" s="50">
        <f>(S49*100)/S$8</f>
        <v>13.013917503803498</v>
      </c>
      <c r="U49" s="49">
        <f>+'R314 M '!C49</f>
        <v>52892.990000000005</v>
      </c>
      <c r="V49" s="50">
        <f>(U49*100)/U$8</f>
        <v>16.603987984025665</v>
      </c>
      <c r="W49" s="49">
        <f>+'LYSE M '!C49</f>
        <v>53154.53</v>
      </c>
      <c r="X49" s="50">
        <f>(W49*100)/W$8</f>
        <v>14.016714621808001</v>
      </c>
      <c r="Y49" s="49">
        <f>+'ARTHUR M '!C49</f>
        <v>67950.790000000008</v>
      </c>
      <c r="Z49" s="50">
        <f>(Y49*100)/Y$8</f>
        <v>14.882457765849953</v>
      </c>
      <c r="AA49" s="49">
        <f>+'HUGO M '!C49</f>
        <v>80332.69</v>
      </c>
      <c r="AB49" s="50">
        <f>(AA49*100)/AA$8</f>
        <v>14.894243105214247</v>
      </c>
      <c r="AC49" s="49">
        <f>+'JEANCLO M '!C49</f>
        <v>19002.259999999998</v>
      </c>
      <c r="AD49" s="50">
        <f>(AC49*100)/AC$8</f>
        <v>8.7292311500202704</v>
      </c>
      <c r="AE49" s="49">
        <f>+'THOMAS M'!G49</f>
        <v>-34862.83</v>
      </c>
      <c r="AF49" s="50">
        <f>(AE49*100)/AE$8</f>
        <v>28.037591449534371</v>
      </c>
      <c r="AG49" s="49">
        <f>+'CATALINA M'!G49</f>
        <v>28053.559999999998</v>
      </c>
      <c r="AH49" s="50">
        <f>(AG49*100)/AG$8</f>
        <v>13.493281294836621</v>
      </c>
      <c r="AI49" s="49">
        <f t="shared" si="1"/>
        <v>576088.08000000007</v>
      </c>
      <c r="AJ49" s="50">
        <f>(AI49*100)/AI$8</f>
        <v>13.864181602001478</v>
      </c>
    </row>
    <row r="50" spans="1:36" ht="7.15" customHeight="1" thickTop="1" x14ac:dyDescent="0.2">
      <c r="A50" s="13"/>
      <c r="B50" s="11"/>
      <c r="C50" s="19"/>
      <c r="D50" s="10"/>
      <c r="E50" s="19"/>
      <c r="F50" s="10"/>
      <c r="G50" s="19"/>
      <c r="H50" s="10"/>
      <c r="I50" s="19"/>
      <c r="J50" s="10"/>
      <c r="K50" s="19"/>
      <c r="L50" s="10"/>
      <c r="M50" s="19"/>
      <c r="N50" s="10"/>
      <c r="O50" s="19"/>
      <c r="P50" s="10"/>
      <c r="Q50" s="19"/>
      <c r="R50" s="10"/>
      <c r="S50" s="19"/>
      <c r="T50" s="10"/>
      <c r="U50" s="19"/>
      <c r="V50" s="10"/>
      <c r="W50" s="19"/>
      <c r="X50" s="10"/>
      <c r="Y50" s="19"/>
      <c r="Z50" s="10"/>
      <c r="AA50" s="19"/>
      <c r="AB50" s="10"/>
      <c r="AC50" s="19"/>
      <c r="AD50" s="10"/>
      <c r="AE50" s="19"/>
      <c r="AF50" s="10"/>
      <c r="AG50" s="19"/>
      <c r="AH50" s="10"/>
      <c r="AI50" s="19">
        <f t="shared" ref="AI50" si="66">+C50+E50+G50+I50+K50+M50+O50+Q50+S50+U50+W50+Y50+AA50+AC50+AE50</f>
        <v>0</v>
      </c>
      <c r="AJ50" s="10"/>
    </row>
    <row r="51" spans="1:36" s="18" customFormat="1" x14ac:dyDescent="0.2">
      <c r="A51" s="13" t="s">
        <v>40</v>
      </c>
      <c r="B51" s="14" t="s">
        <v>2989</v>
      </c>
      <c r="C51" s="23">
        <f>+'GLR5 M'!C51</f>
        <v>789</v>
      </c>
      <c r="D51" s="17">
        <f t="shared" ref="D51:D59" si="67">(C51*100)/C$8</f>
        <v>0.18972954306128401</v>
      </c>
      <c r="E51" s="23">
        <f>+'HTR8 M'!C51</f>
        <v>465</v>
      </c>
      <c r="F51" s="17">
        <f t="shared" ref="F51:F59" si="68">(E51*100)/E$8</f>
        <v>0.22486029284934114</v>
      </c>
      <c r="G51" s="23">
        <f>+'TIRR M'!C51</f>
        <v>690</v>
      </c>
      <c r="H51" s="17">
        <f t="shared" ref="H51:H59" si="69">(G51*100)/G$8</f>
        <v>0.2642392500292674</v>
      </c>
      <c r="I51" s="23">
        <f>+'VR7 M '!C51</f>
        <v>0</v>
      </c>
      <c r="J51" s="17" t="e">
        <f t="shared" ref="J51:J59" si="70">(I51*100)/I$8</f>
        <v>#DIV/0!</v>
      </c>
      <c r="K51" s="23">
        <f>+'TURVILLA M'!C51</f>
        <v>816</v>
      </c>
      <c r="L51" s="17">
        <f t="shared" ref="L51:L59" si="71">(K51*100)/K$8</f>
        <v>0.17821732615740687</v>
      </c>
      <c r="M51" s="23">
        <f>+'HART M'!C51</f>
        <v>0</v>
      </c>
      <c r="N51" s="17" t="e">
        <f t="shared" ref="N51:N59" si="72">(M51*100)/M$8</f>
        <v>#DIV/0!</v>
      </c>
      <c r="O51" s="23">
        <f>+'VICTOIRE M'!C51</f>
        <v>0</v>
      </c>
      <c r="P51" s="17">
        <f t="shared" ref="P51:P59" si="73">(O51*100)/O$8</f>
        <v>0</v>
      </c>
      <c r="Q51" s="23">
        <f>+'TH4 M '!C51</f>
        <v>550</v>
      </c>
      <c r="R51" s="17">
        <f t="shared" ref="R51:R59" si="74">(Q51*100)/Q$8</f>
        <v>0.15619344199966681</v>
      </c>
      <c r="S51" s="23">
        <f>+'DIVES M'!C51</f>
        <v>520</v>
      </c>
      <c r="T51" s="17">
        <f t="shared" ref="T51:T59" si="75">(S51*100)/S$8</f>
        <v>0.21538417059718615</v>
      </c>
      <c r="U51" s="23">
        <f>+'R314 M '!C51</f>
        <v>349</v>
      </c>
      <c r="V51" s="17">
        <f t="shared" ref="V51:V59" si="76">(U51*100)/U$8</f>
        <v>0.1095568960352772</v>
      </c>
      <c r="W51" s="23">
        <f>+'LYSE M '!C51</f>
        <v>563</v>
      </c>
      <c r="X51" s="17">
        <f t="shared" ref="X51:X59" si="77">(W51*100)/W$8</f>
        <v>0.14846167075652639</v>
      </c>
      <c r="Y51" s="23">
        <f>+'ARTHUR M '!C51</f>
        <v>0</v>
      </c>
      <c r="Z51" s="17">
        <f t="shared" ref="Z51:Z59" si="78">(Y51*100)/Y$8</f>
        <v>0</v>
      </c>
      <c r="AA51" s="23">
        <f>+'HUGO M '!C51</f>
        <v>0</v>
      </c>
      <c r="AB51" s="17">
        <f t="shared" ref="AB51:AB59" si="79">(AA51*100)/AA$8</f>
        <v>0</v>
      </c>
      <c r="AC51" s="23">
        <f>+'JEANCLO M '!C51</f>
        <v>0</v>
      </c>
      <c r="AD51" s="17">
        <f t="shared" ref="AD51:AD59" si="80">(AC51*100)/AC$8</f>
        <v>0</v>
      </c>
      <c r="AE51" s="23">
        <f>+'THOMAS M'!G51</f>
        <v>0</v>
      </c>
      <c r="AF51" s="17">
        <f t="shared" ref="AF51:AH59" si="81">(AE51*100)/AE$8</f>
        <v>0</v>
      </c>
      <c r="AG51" s="23">
        <f>+'CATALINA M'!G51</f>
        <v>250</v>
      </c>
      <c r="AH51" s="17">
        <f t="shared" si="81"/>
        <v>0.12024571297579184</v>
      </c>
      <c r="AI51" s="23">
        <f t="shared" si="1"/>
        <v>4992</v>
      </c>
      <c r="AJ51" s="17">
        <f t="shared" ref="AJ51:AJ59" si="82">(AI51*100)/AI$8</f>
        <v>0.12013786946813997</v>
      </c>
    </row>
    <row r="52" spans="1:36" s="18" customFormat="1" x14ac:dyDescent="0.2">
      <c r="A52" s="13" t="s">
        <v>42</v>
      </c>
      <c r="B52" s="14" t="s">
        <v>38</v>
      </c>
      <c r="C52" s="23">
        <f>+'GLR5 M'!C52</f>
        <v>21289.41</v>
      </c>
      <c r="D52" s="17">
        <f t="shared" si="67"/>
        <v>5.1194296975213316</v>
      </c>
      <c r="E52" s="23">
        <f>+'HTR8 M'!C52</f>
        <v>10515.29</v>
      </c>
      <c r="F52" s="17">
        <f t="shared" si="68"/>
        <v>5.0848842769801035</v>
      </c>
      <c r="G52" s="23">
        <f>+'TIRR M'!C52</f>
        <v>13340.88</v>
      </c>
      <c r="H52" s="17">
        <f t="shared" si="69"/>
        <v>5.1089625013484818</v>
      </c>
      <c r="I52" s="23">
        <f>+'VR7 M '!C52</f>
        <v>0</v>
      </c>
      <c r="J52" s="17" t="e">
        <f t="shared" si="70"/>
        <v>#DIV/0!</v>
      </c>
      <c r="K52" s="23">
        <f>+'TURVILLA M'!C52</f>
        <v>23322.080000000002</v>
      </c>
      <c r="L52" s="17">
        <f t="shared" si="71"/>
        <v>5.0936259044474701</v>
      </c>
      <c r="M52" s="23">
        <f>+'HART M'!C52</f>
        <v>0</v>
      </c>
      <c r="N52" s="17" t="e">
        <f t="shared" si="72"/>
        <v>#DIV/0!</v>
      </c>
      <c r="O52" s="23">
        <f>+'VICTOIRE M'!C52</f>
        <v>11408.85</v>
      </c>
      <c r="P52" s="17">
        <f t="shared" si="73"/>
        <v>5.0692693731147731</v>
      </c>
      <c r="Q52" s="23">
        <f>+'TH4 M '!C52</f>
        <v>17844.07</v>
      </c>
      <c r="R52" s="17">
        <f t="shared" si="74"/>
        <v>5.0675031137872626</v>
      </c>
      <c r="S52" s="23">
        <f>+'DIVES M'!C52</f>
        <v>12266.49</v>
      </c>
      <c r="T52" s="17">
        <f t="shared" si="75"/>
        <v>5.0807841822859192</v>
      </c>
      <c r="U52" s="23">
        <f>+'R314 M '!C52</f>
        <v>16197.51</v>
      </c>
      <c r="V52" s="17">
        <f t="shared" si="76"/>
        <v>5.0846673899723855</v>
      </c>
      <c r="W52" s="23">
        <f>+'LYSE M '!C52</f>
        <v>19328.07</v>
      </c>
      <c r="X52" s="17">
        <f t="shared" si="77"/>
        <v>5.0967629923607367</v>
      </c>
      <c r="Y52" s="23">
        <f>+'ARTHUR M '!C52</f>
        <v>23449.49</v>
      </c>
      <c r="Z52" s="17">
        <f t="shared" si="78"/>
        <v>5.1358644182903657</v>
      </c>
      <c r="AA52" s="23">
        <f>+'HUGO M '!C52</f>
        <v>27580</v>
      </c>
      <c r="AB52" s="17">
        <f t="shared" si="79"/>
        <v>5.113525077298033</v>
      </c>
      <c r="AC52" s="23">
        <f>+'JEANCLO M '!C52</f>
        <v>11203.08</v>
      </c>
      <c r="AD52" s="17">
        <f t="shared" si="80"/>
        <v>5.1464549433682683</v>
      </c>
      <c r="AE52" s="23">
        <f>+'THOMAS M'!G52</f>
        <v>-6080.4699999999993</v>
      </c>
      <c r="AF52" s="17">
        <f t="shared" si="81"/>
        <v>4.8900715656517333</v>
      </c>
      <c r="AG52" s="23">
        <f>+'CATALINA M'!G52</f>
        <v>10540.41</v>
      </c>
      <c r="AH52" s="17">
        <f t="shared" si="81"/>
        <v>5.0697564620286641</v>
      </c>
      <c r="AI52" s="23">
        <f t="shared" si="1"/>
        <v>212205.16</v>
      </c>
      <c r="AJ52" s="17">
        <f t="shared" si="82"/>
        <v>5.1069462765516338</v>
      </c>
    </row>
    <row r="53" spans="1:36" s="18" customFormat="1" x14ac:dyDescent="0.2">
      <c r="A53" s="13" t="s">
        <v>44</v>
      </c>
      <c r="B53" s="14" t="s">
        <v>62</v>
      </c>
      <c r="C53" s="23">
        <f>+'GLR5 M'!C53</f>
        <v>1621.29</v>
      </c>
      <c r="D53" s="17">
        <f t="shared" si="67"/>
        <v>0.38986896181220426</v>
      </c>
      <c r="E53" s="23">
        <f>+'HTR8 M'!C53</f>
        <v>1029.0899999999999</v>
      </c>
      <c r="F53" s="17">
        <f t="shared" si="68"/>
        <v>0.49763758874909342</v>
      </c>
      <c r="G53" s="23">
        <f>+'TIRR M'!C53</f>
        <v>1053.69</v>
      </c>
      <c r="H53" s="17">
        <f t="shared" si="69"/>
        <v>0.40351631212078076</v>
      </c>
      <c r="I53" s="23">
        <f>+'VR7 M '!C53</f>
        <v>0</v>
      </c>
      <c r="J53" s="17" t="e">
        <f t="shared" si="70"/>
        <v>#DIV/0!</v>
      </c>
      <c r="K53" s="23">
        <f>+'TURVILLA M'!C53</f>
        <v>1689.33</v>
      </c>
      <c r="L53" s="17">
        <f t="shared" si="71"/>
        <v>0.36895572989888742</v>
      </c>
      <c r="M53" s="23">
        <f>+'HART M'!C53</f>
        <v>0</v>
      </c>
      <c r="N53" s="17" t="e">
        <f t="shared" si="72"/>
        <v>#DIV/0!</v>
      </c>
      <c r="O53" s="23">
        <f>+'VICTOIRE M'!C53</f>
        <v>1588</v>
      </c>
      <c r="P53" s="17">
        <f t="shared" si="73"/>
        <v>0.70559256756870836</v>
      </c>
      <c r="Q53" s="23">
        <f>+'TH4 M '!C53</f>
        <v>1552.74</v>
      </c>
      <c r="R53" s="17">
        <f t="shared" si="74"/>
        <v>0.44095964569193208</v>
      </c>
      <c r="S53" s="23">
        <f>+'DIVES M'!C53</f>
        <v>1091.28</v>
      </c>
      <c r="T53" s="17">
        <f t="shared" si="75"/>
        <v>0.45200853401787944</v>
      </c>
      <c r="U53" s="23">
        <f>+'R314 M '!C53</f>
        <v>1590.68</v>
      </c>
      <c r="V53" s="17">
        <f t="shared" si="76"/>
        <v>0.4993408692991253</v>
      </c>
      <c r="W53" s="23">
        <f>+'LYSE M '!C53</f>
        <v>2779</v>
      </c>
      <c r="X53" s="17">
        <f t="shared" si="77"/>
        <v>0.73281524517297836</v>
      </c>
      <c r="Y53" s="23">
        <f>+'ARTHUR M '!C53</f>
        <v>1696</v>
      </c>
      <c r="Z53" s="17">
        <f t="shared" si="78"/>
        <v>0.37145481856622298</v>
      </c>
      <c r="AA53" s="23">
        <f>+'HUGO M '!C53</f>
        <v>1661</v>
      </c>
      <c r="AB53" s="17">
        <f t="shared" si="79"/>
        <v>0.30796102804177061</v>
      </c>
      <c r="AC53" s="23">
        <f>+'JEANCLO M '!C53</f>
        <v>1286</v>
      </c>
      <c r="AD53" s="17">
        <f t="shared" si="80"/>
        <v>0.59076084944243845</v>
      </c>
      <c r="AE53" s="23">
        <f>+'THOMAS M'!G53</f>
        <v>528.5</v>
      </c>
      <c r="AF53" s="17">
        <f t="shared" si="81"/>
        <v>-0.42503339749179614</v>
      </c>
      <c r="AG53" s="23">
        <f>+'CATALINA M'!G53</f>
        <v>1000</v>
      </c>
      <c r="AH53" s="17">
        <f t="shared" si="81"/>
        <v>0.48098285190316736</v>
      </c>
      <c r="AI53" s="23">
        <f t="shared" si="1"/>
        <v>20166.599999999999</v>
      </c>
      <c r="AJ53" s="17">
        <f t="shared" si="82"/>
        <v>0.48533100128529466</v>
      </c>
    </row>
    <row r="54" spans="1:36" s="18" customFormat="1" x14ac:dyDescent="0.2">
      <c r="A54" s="13" t="s">
        <v>45</v>
      </c>
      <c r="B54" s="14" t="s">
        <v>41</v>
      </c>
      <c r="C54" s="23">
        <f>+'GLR5 M'!C54</f>
        <v>2023.17</v>
      </c>
      <c r="D54" s="17">
        <f t="shared" si="67"/>
        <v>0.48650838990532064</v>
      </c>
      <c r="E54" s="23">
        <f>+'HTR8 M'!C54</f>
        <v>1000</v>
      </c>
      <c r="F54" s="17">
        <f t="shared" si="68"/>
        <v>0.48357052225664759</v>
      </c>
      <c r="G54" s="23">
        <f>+'TIRR M'!C54</f>
        <v>1250</v>
      </c>
      <c r="H54" s="17">
        <f t="shared" si="69"/>
        <v>0.47869429353128146</v>
      </c>
      <c r="I54" s="23">
        <f>+'VR7 M '!C54</f>
        <v>0</v>
      </c>
      <c r="J54" s="17" t="e">
        <f t="shared" si="70"/>
        <v>#DIV/0!</v>
      </c>
      <c r="K54" s="23">
        <f>+'TURVILLA M'!C54</f>
        <v>2119.56</v>
      </c>
      <c r="L54" s="17">
        <f t="shared" si="71"/>
        <v>0.46291950469386434</v>
      </c>
      <c r="M54" s="23">
        <f>+'HART M'!C54</f>
        <v>0</v>
      </c>
      <c r="N54" s="17" t="e">
        <f t="shared" si="72"/>
        <v>#DIV/0!</v>
      </c>
      <c r="O54" s="23">
        <f>+'VICTOIRE M'!C54</f>
        <v>1380.05</v>
      </c>
      <c r="P54" s="17">
        <f t="shared" si="73"/>
        <v>0.61319459878664739</v>
      </c>
      <c r="Q54" s="23">
        <f>+'TH4 M '!C54</f>
        <v>1615</v>
      </c>
      <c r="R54" s="17">
        <f t="shared" si="74"/>
        <v>0.4586407433262944</v>
      </c>
      <c r="S54" s="23">
        <f>+'DIVES M'!C54</f>
        <v>1400</v>
      </c>
      <c r="T54" s="17">
        <f t="shared" si="75"/>
        <v>0.57988045930011656</v>
      </c>
      <c r="U54" s="23">
        <f>+'R314 M '!C54</f>
        <v>1966</v>
      </c>
      <c r="V54" s="17">
        <f t="shared" si="76"/>
        <v>0.61716005044514322</v>
      </c>
      <c r="W54" s="23">
        <f>+'LYSE M '!C54</f>
        <v>2219.58</v>
      </c>
      <c r="X54" s="17">
        <f t="shared" si="77"/>
        <v>0.5852976113281898</v>
      </c>
      <c r="Y54" s="23">
        <f>+'ARTHUR M '!C54</f>
        <v>2135.29</v>
      </c>
      <c r="Z54" s="17">
        <f t="shared" si="78"/>
        <v>0.46766731104732912</v>
      </c>
      <c r="AA54" s="23">
        <f>+'HUGO M '!C54</f>
        <v>2554.36</v>
      </c>
      <c r="AB54" s="17">
        <f t="shared" si="79"/>
        <v>0.47359622612208135</v>
      </c>
      <c r="AC54" s="23">
        <f>+'JEANCLO M '!C54</f>
        <v>1018.29</v>
      </c>
      <c r="AD54" s="17">
        <f t="shared" si="80"/>
        <v>0.46778061071441729</v>
      </c>
      <c r="AE54" s="23">
        <f>+'THOMAS M'!G54</f>
        <v>-185.71000000000004</v>
      </c>
      <c r="AF54" s="17">
        <f t="shared" si="81"/>
        <v>0.14935279517162059</v>
      </c>
      <c r="AG54" s="23">
        <f>+'CATALINA M'!G54</f>
        <v>664.44</v>
      </c>
      <c r="AH54" s="17">
        <f t="shared" si="81"/>
        <v>0.31958424611854053</v>
      </c>
      <c r="AI54" s="23">
        <f t="shared" si="1"/>
        <v>21160.03</v>
      </c>
      <c r="AJ54" s="17">
        <f t="shared" si="82"/>
        <v>0.50923896676320624</v>
      </c>
    </row>
    <row r="55" spans="1:36" s="18" customFormat="1" x14ac:dyDescent="0.2">
      <c r="A55" s="13" t="s">
        <v>47</v>
      </c>
      <c r="B55" s="14" t="s">
        <v>43</v>
      </c>
      <c r="C55" s="23">
        <f>+'GLR5 M'!C55</f>
        <v>3480.17</v>
      </c>
      <c r="D55" s="17">
        <f t="shared" si="67"/>
        <v>0.83687080339111386</v>
      </c>
      <c r="E55" s="23">
        <f>+'HTR8 M'!C55</f>
        <v>1847.83</v>
      </c>
      <c r="F55" s="17">
        <f t="shared" si="68"/>
        <v>0.89355611814150115</v>
      </c>
      <c r="G55" s="23">
        <f>+'TIRR M'!C55</f>
        <v>1948.03</v>
      </c>
      <c r="H55" s="17">
        <f t="shared" si="69"/>
        <v>0.74600867570219387</v>
      </c>
      <c r="I55" s="23">
        <f>+'VR7 M '!C55</f>
        <v>0</v>
      </c>
      <c r="J55" s="17" t="e">
        <f t="shared" si="70"/>
        <v>#DIV/0!</v>
      </c>
      <c r="K55" s="23">
        <f>+'TURVILLA M'!C55</f>
        <v>3625.3</v>
      </c>
      <c r="L55" s="17">
        <f t="shared" si="71"/>
        <v>0.79177852024319506</v>
      </c>
      <c r="M55" s="23">
        <f>+'HART M'!C55</f>
        <v>0</v>
      </c>
      <c r="N55" s="17" t="e">
        <f t="shared" si="72"/>
        <v>#DIV/0!</v>
      </c>
      <c r="O55" s="23">
        <f>+'VICTOIRE M'!C55</f>
        <v>2010.55</v>
      </c>
      <c r="P55" s="17">
        <f t="shared" si="73"/>
        <v>0.89334328509147776</v>
      </c>
      <c r="Q55" s="23">
        <f>+'TH4 M '!C55</f>
        <v>2540.71</v>
      </c>
      <c r="R55" s="17">
        <f t="shared" si="74"/>
        <v>0.72153134549631537</v>
      </c>
      <c r="S55" s="23">
        <f>+'DIVES M'!C55</f>
        <v>3007.32</v>
      </c>
      <c r="T55" s="17">
        <f t="shared" si="75"/>
        <v>1.245632930616019</v>
      </c>
      <c r="U55" s="23">
        <f>+'R314 M '!C55</f>
        <v>4549.05</v>
      </c>
      <c r="V55" s="17">
        <f t="shared" si="76"/>
        <v>1.4280223435795922</v>
      </c>
      <c r="W55" s="23">
        <f>+'LYSE M '!C55</f>
        <v>3063.1</v>
      </c>
      <c r="X55" s="17">
        <f t="shared" si="77"/>
        <v>0.80773169395082767</v>
      </c>
      <c r="Y55" s="23">
        <f>+'ARTHUR M '!C55</f>
        <v>4065.82</v>
      </c>
      <c r="Z55" s="17">
        <f t="shared" si="78"/>
        <v>0.89048846133426918</v>
      </c>
      <c r="AA55" s="23">
        <f>+'HUGO M '!C55</f>
        <v>5381.01</v>
      </c>
      <c r="AB55" s="17">
        <f t="shared" si="79"/>
        <v>0.9976769244449416</v>
      </c>
      <c r="AC55" s="23">
        <f>+'JEANCLO M '!C55</f>
        <v>2048.69</v>
      </c>
      <c r="AD55" s="17">
        <f t="shared" si="80"/>
        <v>0.9411242959908469</v>
      </c>
      <c r="AE55" s="23">
        <f>+'THOMAS M'!G55</f>
        <v>-2498.46</v>
      </c>
      <c r="AF55" s="17">
        <f t="shared" si="81"/>
        <v>2.0093262862769214</v>
      </c>
      <c r="AG55" s="23">
        <f>+'CATALINA M'!G55</f>
        <v>2160.5100000000002</v>
      </c>
      <c r="AH55" s="17">
        <f t="shared" si="81"/>
        <v>1.0391682613653124</v>
      </c>
      <c r="AI55" s="23">
        <f t="shared" si="1"/>
        <v>37229.630000000005</v>
      </c>
      <c r="AJ55" s="17">
        <f t="shared" si="82"/>
        <v>0.89597123984117544</v>
      </c>
    </row>
    <row r="56" spans="1:36" s="18" customFormat="1" x14ac:dyDescent="0.2">
      <c r="A56" s="13" t="s">
        <v>48</v>
      </c>
      <c r="B56" s="14" t="s">
        <v>46</v>
      </c>
      <c r="C56" s="23">
        <f>+'GLR5 M'!C56</f>
        <v>10063.49</v>
      </c>
      <c r="D56" s="17">
        <f t="shared" si="67"/>
        <v>2.4199510257310535</v>
      </c>
      <c r="E56" s="23">
        <f>+'HTR8 M'!C56</f>
        <v>5500</v>
      </c>
      <c r="F56" s="17">
        <f t="shared" si="68"/>
        <v>2.6596378724115617</v>
      </c>
      <c r="G56" s="23">
        <f>+'TIRR M'!C56</f>
        <v>11675</v>
      </c>
      <c r="H56" s="17">
        <f t="shared" si="69"/>
        <v>4.471004701582169</v>
      </c>
      <c r="I56" s="23">
        <f>+'VR7 M '!C56</f>
        <v>0</v>
      </c>
      <c r="J56" s="17" t="e">
        <f t="shared" si="70"/>
        <v>#DIV/0!</v>
      </c>
      <c r="K56" s="23">
        <f>+'TURVILLA M'!C56</f>
        <v>24500</v>
      </c>
      <c r="L56" s="17">
        <f t="shared" si="71"/>
        <v>5.3508878564417506</v>
      </c>
      <c r="M56" s="23">
        <f>+'HART M'!C56</f>
        <v>0</v>
      </c>
      <c r="N56" s="17" t="e">
        <f t="shared" si="72"/>
        <v>#DIV/0!</v>
      </c>
      <c r="O56" s="23">
        <f>+'VICTOIRE M'!C56</f>
        <v>6110</v>
      </c>
      <c r="P56" s="17">
        <f t="shared" si="73"/>
        <v>2.714842939448872</v>
      </c>
      <c r="Q56" s="23">
        <f>+'TH4 M '!C56</f>
        <v>11000</v>
      </c>
      <c r="R56" s="17">
        <f t="shared" si="74"/>
        <v>3.1238688399933365</v>
      </c>
      <c r="S56" s="23">
        <f>+'DIVES M'!C56</f>
        <v>10000</v>
      </c>
      <c r="T56" s="17">
        <f t="shared" si="75"/>
        <v>4.1420032807151186</v>
      </c>
      <c r="U56" s="23">
        <f>+'R314 M '!C56</f>
        <v>17300</v>
      </c>
      <c r="V56" s="17">
        <f t="shared" si="76"/>
        <v>5.4307573106312192</v>
      </c>
      <c r="W56" s="23">
        <f>+'LYSE M '!C56</f>
        <v>20000</v>
      </c>
      <c r="X56" s="17">
        <f t="shared" si="77"/>
        <v>5.273949227585307</v>
      </c>
      <c r="Y56" s="23">
        <f>+'ARTHUR M '!C56</f>
        <v>7700</v>
      </c>
      <c r="Z56" s="17">
        <f t="shared" si="78"/>
        <v>1.6864399191980641</v>
      </c>
      <c r="AA56" s="23">
        <f>+'HUGO M '!C56</f>
        <v>6200</v>
      </c>
      <c r="AB56" s="17">
        <f t="shared" si="79"/>
        <v>1.1495234038886077</v>
      </c>
      <c r="AC56" s="23">
        <f>+'JEANCLO M '!C56</f>
        <v>9200</v>
      </c>
      <c r="AD56" s="17">
        <f t="shared" si="80"/>
        <v>4.2262829042538366</v>
      </c>
      <c r="AE56" s="23">
        <f>+'THOMAS M'!G56</f>
        <v>1110</v>
      </c>
      <c r="AF56" s="17">
        <f t="shared" si="81"/>
        <v>-0.89269076862042329</v>
      </c>
      <c r="AG56" s="23">
        <f>+'CATALINA M'!G56</f>
        <v>9000</v>
      </c>
      <c r="AH56" s="17">
        <f t="shared" si="81"/>
        <v>4.3288456671285065</v>
      </c>
      <c r="AI56" s="23">
        <f t="shared" si="1"/>
        <v>149358.49</v>
      </c>
      <c r="AJ56" s="17">
        <f t="shared" si="82"/>
        <v>3.5944733124155626</v>
      </c>
    </row>
    <row r="57" spans="1:36" s="18" customFormat="1" x14ac:dyDescent="0.2">
      <c r="A57" s="13" t="s">
        <v>50</v>
      </c>
      <c r="B57" s="14" t="s">
        <v>2990</v>
      </c>
      <c r="C57" s="23">
        <f>+'GLR5 M'!C57</f>
        <v>696.65</v>
      </c>
      <c r="D57" s="17">
        <f t="shared" si="67"/>
        <v>0.16752228919346454</v>
      </c>
      <c r="E57" s="23">
        <f>+'HTR8 M'!C57</f>
        <v>676.38</v>
      </c>
      <c r="F57" s="17">
        <f t="shared" si="68"/>
        <v>0.32707742984395127</v>
      </c>
      <c r="G57" s="23">
        <f>+'TIRR M'!C57</f>
        <v>758.22</v>
      </c>
      <c r="H57" s="17">
        <f t="shared" si="69"/>
        <v>0.2903644697930306</v>
      </c>
      <c r="I57" s="23">
        <f>+'VR7 M '!C57</f>
        <v>0</v>
      </c>
      <c r="J57" s="17" t="e">
        <f t="shared" si="70"/>
        <v>#DIV/0!</v>
      </c>
      <c r="K57" s="23">
        <f>+'TURVILLA M'!C57</f>
        <v>709.71</v>
      </c>
      <c r="L57" s="17">
        <f t="shared" si="71"/>
        <v>0.15500320900388875</v>
      </c>
      <c r="M57" s="23">
        <f>+'HART M'!C57</f>
        <v>0</v>
      </c>
      <c r="N57" s="17" t="e">
        <f t="shared" si="72"/>
        <v>#DIV/0!</v>
      </c>
      <c r="O57" s="23">
        <f>+'VICTOIRE M'!C57</f>
        <v>218.56</v>
      </c>
      <c r="P57" s="17">
        <f t="shared" si="73"/>
        <v>9.7112286881496798E-2</v>
      </c>
      <c r="Q57" s="23">
        <f>+'TH4 M '!C57</f>
        <v>365.61</v>
      </c>
      <c r="R57" s="17">
        <f t="shared" si="74"/>
        <v>0.10382888059908761</v>
      </c>
      <c r="S57" s="23">
        <f>+'DIVES M'!C57</f>
        <v>710.32</v>
      </c>
      <c r="T57" s="17">
        <f t="shared" si="75"/>
        <v>0.29421477703575627</v>
      </c>
      <c r="U57" s="23">
        <f>+'R314 M '!C57</f>
        <v>321.35000000000002</v>
      </c>
      <c r="V57" s="17">
        <f t="shared" si="76"/>
        <v>0.10087710183649379</v>
      </c>
      <c r="W57" s="23">
        <f>+'LYSE M '!C57</f>
        <v>547.49</v>
      </c>
      <c r="X57" s="17">
        <f t="shared" si="77"/>
        <v>0.14437172313053398</v>
      </c>
      <c r="Y57" s="23">
        <f>+'ARTHUR M '!C57</f>
        <v>1020.5</v>
      </c>
      <c r="Z57" s="17">
        <f t="shared" si="78"/>
        <v>0.2235080438365746</v>
      </c>
      <c r="AA57" s="23">
        <f>+'HUGO M '!C57</f>
        <v>1156.72</v>
      </c>
      <c r="AB57" s="17">
        <f t="shared" si="79"/>
        <v>0.21446398576548878</v>
      </c>
      <c r="AC57" s="23">
        <f>+'JEANCLO M '!C57</f>
        <v>668.65</v>
      </c>
      <c r="AD57" s="17">
        <f t="shared" si="80"/>
        <v>0.30716348520970954</v>
      </c>
      <c r="AE57" s="23">
        <f>+'THOMAS M'!G57</f>
        <v>-819.67000000000007</v>
      </c>
      <c r="AF57" s="17">
        <f t="shared" si="81"/>
        <v>0.65919985794153368</v>
      </c>
      <c r="AG57" s="23">
        <f>+'CATALINA M'!G57</f>
        <v>781.35</v>
      </c>
      <c r="AH57" s="17">
        <f t="shared" si="81"/>
        <v>0.37581595133453982</v>
      </c>
      <c r="AI57" s="23">
        <f t="shared" si="1"/>
        <v>7811.84</v>
      </c>
      <c r="AJ57" s="17">
        <f t="shared" si="82"/>
        <v>0.18800036342668158</v>
      </c>
    </row>
    <row r="58" spans="1:36" s="18" customFormat="1" x14ac:dyDescent="0.2">
      <c r="A58" s="13" t="s">
        <v>52</v>
      </c>
      <c r="B58" s="14" t="s">
        <v>51</v>
      </c>
      <c r="C58" s="23">
        <f>+'GLR5 M'!C58</f>
        <v>276.39999999999998</v>
      </c>
      <c r="D58" s="17">
        <f t="shared" si="67"/>
        <v>6.6465457163674135E-2</v>
      </c>
      <c r="E58" s="23">
        <f>+'HTR8 M'!C58</f>
        <v>427.59</v>
      </c>
      <c r="F58" s="17">
        <f t="shared" si="68"/>
        <v>0.20676991961171995</v>
      </c>
      <c r="G58" s="23">
        <f>+'TIRR M'!C58</f>
        <v>430.62</v>
      </c>
      <c r="H58" s="17">
        <f t="shared" si="69"/>
        <v>0.16490826934435235</v>
      </c>
      <c r="I58" s="23">
        <f>+'VR7 M '!C58</f>
        <v>0</v>
      </c>
      <c r="J58" s="17" t="e">
        <f t="shared" si="70"/>
        <v>#DIV/0!</v>
      </c>
      <c r="K58" s="23">
        <f>+'TURVILLA M'!C58</f>
        <v>429.58</v>
      </c>
      <c r="L58" s="17">
        <f t="shared" si="71"/>
        <v>9.3821812464091714E-2</v>
      </c>
      <c r="M58" s="23">
        <f>+'HART M'!C58</f>
        <v>0</v>
      </c>
      <c r="N58" s="17" t="e">
        <f t="shared" si="72"/>
        <v>#DIV/0!</v>
      </c>
      <c r="O58" s="23">
        <f>+'VICTOIRE M'!C58</f>
        <v>2121.58</v>
      </c>
      <c r="P58" s="17">
        <f t="shared" si="73"/>
        <v>0.94267700220555439</v>
      </c>
      <c r="Q58" s="23">
        <f>+'TH4 M '!C58</f>
        <v>429.58</v>
      </c>
      <c r="R58" s="17">
        <f t="shared" si="74"/>
        <v>0.12199559784403068</v>
      </c>
      <c r="S58" s="23">
        <f>+'DIVES M'!C58</f>
        <v>429.62</v>
      </c>
      <c r="T58" s="17">
        <f t="shared" si="75"/>
        <v>0.17794874494608293</v>
      </c>
      <c r="U58" s="23">
        <f>+'R314 M '!C58</f>
        <v>4048.89</v>
      </c>
      <c r="V58" s="17">
        <f t="shared" si="76"/>
        <v>1.2710138131469153</v>
      </c>
      <c r="W58" s="23">
        <f>+'LYSE M '!C58</f>
        <v>1893.2</v>
      </c>
      <c r="X58" s="17">
        <f t="shared" si="77"/>
        <v>0.49923203388322512</v>
      </c>
      <c r="Y58" s="23">
        <f>+'ARTHUR M '!C58</f>
        <v>0</v>
      </c>
      <c r="Z58" s="17">
        <f t="shared" si="78"/>
        <v>0</v>
      </c>
      <c r="AA58" s="23">
        <f>+'HUGO M '!C58</f>
        <v>-655.5</v>
      </c>
      <c r="AB58" s="17">
        <f t="shared" si="79"/>
        <v>-0.12153428891112621</v>
      </c>
      <c r="AC58" s="23">
        <f>+'JEANCLO M '!C58</f>
        <v>0</v>
      </c>
      <c r="AD58" s="17">
        <f t="shared" si="80"/>
        <v>0</v>
      </c>
      <c r="AE58" s="23">
        <f>+'THOMAS M'!G58</f>
        <v>2086.58</v>
      </c>
      <c r="AF58" s="17">
        <f t="shared" si="81"/>
        <v>-1.6780817153045071</v>
      </c>
      <c r="AG58" s="23">
        <f>+'CATALINA M'!G58</f>
        <v>429.58</v>
      </c>
      <c r="AH58" s="17">
        <f t="shared" si="81"/>
        <v>0.20662061352056266</v>
      </c>
      <c r="AI58" s="23">
        <f t="shared" si="1"/>
        <v>12347.720000000001</v>
      </c>
      <c r="AJ58" s="17">
        <f t="shared" si="82"/>
        <v>0.29716121265808115</v>
      </c>
    </row>
    <row r="59" spans="1:36" ht="13.5" thickBot="1" x14ac:dyDescent="0.25">
      <c r="A59" s="13"/>
      <c r="B59" s="63" t="s">
        <v>2994</v>
      </c>
      <c r="C59" s="49">
        <f>+'GLR5 M'!C59</f>
        <v>40239.58</v>
      </c>
      <c r="D59" s="50">
        <f t="shared" si="67"/>
        <v>9.676346167779446</v>
      </c>
      <c r="E59" s="49">
        <f>+'HTR8 M'!C59</f>
        <v>21461.18</v>
      </c>
      <c r="F59" s="50">
        <f t="shared" si="68"/>
        <v>10.37799402084392</v>
      </c>
      <c r="G59" s="49">
        <f>+'TIRR M'!C59</f>
        <v>31146.44</v>
      </c>
      <c r="H59" s="50">
        <f t="shared" si="69"/>
        <v>11.927698473451558</v>
      </c>
      <c r="I59" s="49">
        <f>+'VR7 M '!C59</f>
        <v>0</v>
      </c>
      <c r="J59" s="50" t="e">
        <f t="shared" si="70"/>
        <v>#DIV/0!</v>
      </c>
      <c r="K59" s="49">
        <f>+'TURVILLA M'!C59</f>
        <v>57211.560000000005</v>
      </c>
      <c r="L59" s="50">
        <f t="shared" si="71"/>
        <v>12.495209863350556</v>
      </c>
      <c r="M59" s="49">
        <f>+'HART M'!C59</f>
        <v>0</v>
      </c>
      <c r="N59" s="50" t="e">
        <f t="shared" si="72"/>
        <v>#DIV/0!</v>
      </c>
      <c r="O59" s="49">
        <f>+'VICTOIRE M'!C59</f>
        <v>24837.590000000004</v>
      </c>
      <c r="P59" s="50">
        <f t="shared" si="73"/>
        <v>11.036032053097532</v>
      </c>
      <c r="Q59" s="49">
        <f>+'TH4 M '!C59</f>
        <v>35897.710000000006</v>
      </c>
      <c r="R59" s="50">
        <f t="shared" si="74"/>
        <v>10.194521608737928</v>
      </c>
      <c r="S59" s="49">
        <f>+'DIVES M'!C59</f>
        <v>29425.03</v>
      </c>
      <c r="T59" s="50">
        <f t="shared" si="75"/>
        <v>12.187857079514078</v>
      </c>
      <c r="U59" s="49">
        <f>+'R314 M '!C59</f>
        <v>46322.48</v>
      </c>
      <c r="V59" s="50">
        <f t="shared" si="76"/>
        <v>14.541395774946153</v>
      </c>
      <c r="W59" s="49">
        <f>+'LYSE M '!C59</f>
        <v>50393.439999999995</v>
      </c>
      <c r="X59" s="50">
        <f t="shared" si="77"/>
        <v>13.288622198168323</v>
      </c>
      <c r="Y59" s="49">
        <f>+'ARTHUR M '!C59</f>
        <v>40067.100000000006</v>
      </c>
      <c r="Z59" s="50">
        <f t="shared" si="78"/>
        <v>8.7754229722728265</v>
      </c>
      <c r="AA59" s="49">
        <f>+'HUGO M '!C59</f>
        <v>43877.590000000004</v>
      </c>
      <c r="AB59" s="50">
        <f t="shared" si="79"/>
        <v>8.1352123566497969</v>
      </c>
      <c r="AC59" s="49">
        <f>+'JEANCLO M '!C59</f>
        <v>25424.71</v>
      </c>
      <c r="AD59" s="50">
        <f t="shared" si="80"/>
        <v>11.679567088979518</v>
      </c>
      <c r="AE59" s="49">
        <f>+'THOMAS M'!G59</f>
        <v>-5859.23</v>
      </c>
      <c r="AF59" s="50">
        <f t="shared" si="81"/>
        <v>4.7121446236250835</v>
      </c>
      <c r="AG59" s="49">
        <f>+'CATALINA M'!G59</f>
        <v>24826.29</v>
      </c>
      <c r="AH59" s="50">
        <f t="shared" si="81"/>
        <v>11.941019766375085</v>
      </c>
      <c r="AI59" s="49">
        <f t="shared" si="1"/>
        <v>465271.47000000003</v>
      </c>
      <c r="AJ59" s="50">
        <f t="shared" si="82"/>
        <v>11.197260242409776</v>
      </c>
    </row>
    <row r="60" spans="1:36" ht="7.15" customHeight="1" thickTop="1" x14ac:dyDescent="0.2">
      <c r="A60" s="13"/>
      <c r="B60" s="11"/>
      <c r="C60" s="19"/>
      <c r="D60" s="10"/>
      <c r="E60" s="19"/>
      <c r="F60" s="10"/>
      <c r="G60" s="19"/>
      <c r="H60" s="10"/>
      <c r="I60" s="19"/>
      <c r="J60" s="10"/>
      <c r="K60" s="19"/>
      <c r="L60" s="10"/>
      <c r="M60" s="19"/>
      <c r="N60" s="10"/>
      <c r="O60" s="19"/>
      <c r="P60" s="10"/>
      <c r="Q60" s="19"/>
      <c r="R60" s="10"/>
      <c r="S60" s="19"/>
      <c r="T60" s="10"/>
      <c r="U60" s="19"/>
      <c r="V60" s="10"/>
      <c r="W60" s="19"/>
      <c r="X60" s="10"/>
      <c r="Y60" s="19"/>
      <c r="Z60" s="10"/>
      <c r="AA60" s="19"/>
      <c r="AB60" s="10"/>
      <c r="AC60" s="19"/>
      <c r="AD60" s="10"/>
      <c r="AE60" s="19"/>
      <c r="AF60" s="10"/>
      <c r="AG60" s="19"/>
      <c r="AH60" s="10"/>
      <c r="AI60" s="19"/>
      <c r="AJ60" s="10"/>
    </row>
    <row r="61" spans="1:36" ht="16.899999999999999" customHeight="1" thickBot="1" x14ac:dyDescent="0.25">
      <c r="A61" s="13"/>
      <c r="B61" s="69" t="s">
        <v>60</v>
      </c>
      <c r="C61" s="70">
        <f>+'GLR5 M'!C61</f>
        <v>284374.52</v>
      </c>
      <c r="D61" s="71">
        <f>(C61*100)/C$8</f>
        <v>68.383076980826331</v>
      </c>
      <c r="E61" s="70">
        <f>+'HTR8 M'!C61</f>
        <v>143661.37</v>
      </c>
      <c r="F61" s="71">
        <f>(E61*100)/E$8</f>
        <v>69.470403719005489</v>
      </c>
      <c r="G61" s="70">
        <f>+'TIRR M'!C61</f>
        <v>179360.06999999998</v>
      </c>
      <c r="H61" s="71">
        <f>(G61*100)/G$8</f>
        <v>68.686913597096947</v>
      </c>
      <c r="I61" s="70">
        <f>+'VR7 M '!C61</f>
        <v>0</v>
      </c>
      <c r="J61" s="71" t="e">
        <f>(I61*100)/I$8</f>
        <v>#DIV/0!</v>
      </c>
      <c r="K61" s="70">
        <f>+'TURVILLA M'!C61</f>
        <v>297628.27</v>
      </c>
      <c r="L61" s="71">
        <f>(K61*100)/K$8</f>
        <v>65.00308145619455</v>
      </c>
      <c r="M61" s="70">
        <f>+'HART M'!C61</f>
        <v>0</v>
      </c>
      <c r="N61" s="71" t="e">
        <f>(M61*100)/M$8</f>
        <v>#DIV/0!</v>
      </c>
      <c r="O61" s="70">
        <f>+'VICTOIRE M'!C61</f>
        <v>150740.32</v>
      </c>
      <c r="P61" s="71">
        <f>(O61*100)/O$8</f>
        <v>66.978116766327915</v>
      </c>
      <c r="Q61" s="70">
        <f>+'TH4 M '!C61</f>
        <v>224722.92</v>
      </c>
      <c r="R61" s="71">
        <f>(Q61*100)/Q$8</f>
        <v>63.818629765483209</v>
      </c>
      <c r="S61" s="70">
        <f>+'DIVES M'!C61</f>
        <v>165195.21999999997</v>
      </c>
      <c r="T61" s="71">
        <f>(S61*100)/S$8</f>
        <v>68.423914319845565</v>
      </c>
      <c r="U61" s="70">
        <f>+'R314 M '!C61</f>
        <v>230679.96999999997</v>
      </c>
      <c r="V61" s="71">
        <f>(U61*100)/U$8</f>
        <v>72.414273612352034</v>
      </c>
      <c r="W61" s="70">
        <f>+'LYSE M '!C61</f>
        <v>250670.87</v>
      </c>
      <c r="X61" s="71">
        <f>(W61*100)/W$8</f>
        <v>66.101272060731844</v>
      </c>
      <c r="Y61" s="70">
        <f>+'ARTHUR M '!C61</f>
        <v>291448.75</v>
      </c>
      <c r="Z61" s="71">
        <f>(Y61*100)/Y$8</f>
        <v>63.832572259789195</v>
      </c>
      <c r="AA61" s="70">
        <f>+'HUGO M '!C61</f>
        <v>321042</v>
      </c>
      <c r="AB61" s="71">
        <f>(AA61*100)/AA$8</f>
        <v>59.523434295355877</v>
      </c>
      <c r="AC61" s="70">
        <f>+'JEANCLO M '!C61</f>
        <v>145405.46000000002</v>
      </c>
      <c r="AD61" s="71">
        <f>(AC61*100)/AC$8</f>
        <v>66.796153237300558</v>
      </c>
      <c r="AE61" s="70">
        <f>+'THOMAS M'!G61</f>
        <v>-100601.78</v>
      </c>
      <c r="AF61" s="71">
        <f>(AE61*100)/AE$8</f>
        <v>80.9065588403448</v>
      </c>
      <c r="AG61" s="70">
        <f>+'CATALINA M'!G61</f>
        <v>147757.81</v>
      </c>
      <c r="AH61" s="71">
        <f>(AG61*100)/AG$8</f>
        <v>71.06897284476635</v>
      </c>
      <c r="AI61" s="70">
        <f t="shared" si="1"/>
        <v>2732085.77</v>
      </c>
      <c r="AJ61" s="71">
        <f>(AI61*100)/AI$8</f>
        <v>65.750593672280175</v>
      </c>
    </row>
    <row r="62" spans="1:36" ht="7.15" customHeight="1" thickTop="1" x14ac:dyDescent="0.2">
      <c r="A62" s="13"/>
      <c r="B62" s="11"/>
      <c r="C62" s="19"/>
      <c r="D62" s="10"/>
      <c r="E62" s="19"/>
      <c r="F62" s="10"/>
      <c r="G62" s="19"/>
      <c r="H62" s="10"/>
      <c r="I62" s="19"/>
      <c r="J62" s="10"/>
      <c r="K62" s="19"/>
      <c r="L62" s="10"/>
      <c r="M62" s="19"/>
      <c r="N62" s="10"/>
      <c r="O62" s="19"/>
      <c r="P62" s="10"/>
      <c r="Q62" s="19"/>
      <c r="R62" s="10"/>
      <c r="S62" s="19"/>
      <c r="T62" s="10"/>
      <c r="U62" s="19"/>
      <c r="V62" s="10"/>
      <c r="W62" s="19"/>
      <c r="X62" s="10"/>
      <c r="Y62" s="19"/>
      <c r="Z62" s="10"/>
      <c r="AA62" s="19"/>
      <c r="AB62" s="10"/>
      <c r="AC62" s="19"/>
      <c r="AD62" s="10"/>
      <c r="AE62" s="19"/>
      <c r="AF62" s="10"/>
      <c r="AG62" s="19"/>
      <c r="AH62" s="10"/>
      <c r="AI62" s="19"/>
      <c r="AJ62" s="10"/>
    </row>
    <row r="63" spans="1:36" x14ac:dyDescent="0.2">
      <c r="A63" s="13" t="s">
        <v>2991</v>
      </c>
      <c r="B63" s="14" t="s">
        <v>64</v>
      </c>
      <c r="C63" s="23">
        <f>+'GLR5 M'!C63</f>
        <v>9953.01</v>
      </c>
      <c r="D63" s="17">
        <f>(C63*100)/C$8</f>
        <v>2.3933840803350956</v>
      </c>
      <c r="E63" s="23">
        <f>+'HTR8 M'!C63</f>
        <v>3530.78</v>
      </c>
      <c r="F63" s="17">
        <f>(E63*100)/E$8</f>
        <v>1.7073811285733262</v>
      </c>
      <c r="G63" s="23">
        <f>+'TIRR M'!C63</f>
        <v>5710.64</v>
      </c>
      <c r="H63" s="17">
        <f>(G63*100)/G$8</f>
        <v>2.1869206243291819</v>
      </c>
      <c r="I63" s="23">
        <f>+'VR7 M '!C63</f>
        <v>0</v>
      </c>
      <c r="J63" s="17" t="e">
        <f>(I63*100)/I$8</f>
        <v>#DIV/0!</v>
      </c>
      <c r="K63" s="23">
        <f>+'TURVILLA M'!C63</f>
        <v>8593.67</v>
      </c>
      <c r="L63" s="17">
        <f>(K63*100)/K$8</f>
        <v>1.8768883447048073</v>
      </c>
      <c r="M63" s="23">
        <f>+'HART M'!C63</f>
        <v>0</v>
      </c>
      <c r="N63" s="17" t="e">
        <f>(M63*100)/M$8</f>
        <v>#DIV/0!</v>
      </c>
      <c r="O63" s="23">
        <f>+'VICTOIRE M'!C63</f>
        <v>3117.88</v>
      </c>
      <c r="P63" s="17">
        <f>(O63*100)/O$8</f>
        <v>1.3853608026266528</v>
      </c>
      <c r="Q63" s="23">
        <f>+'TH4 M '!C63</f>
        <v>4773.92</v>
      </c>
      <c r="R63" s="17">
        <f>(Q63*100)/Q$8</f>
        <v>1.3557363575109989</v>
      </c>
      <c r="S63" s="23">
        <f>+'DIVES M'!C63</f>
        <v>3920.76</v>
      </c>
      <c r="T63" s="17">
        <f>(S63*100)/S$8</f>
        <v>1.6239800782896607</v>
      </c>
      <c r="U63" s="23">
        <f>+'R314 M '!C63</f>
        <v>5735.69</v>
      </c>
      <c r="V63" s="17">
        <f>(U63*100)/U$8</f>
        <v>1.8005283467638369</v>
      </c>
      <c r="W63" s="23">
        <f>+'LYSE M '!C63</f>
        <v>7358.87</v>
      </c>
      <c r="X63" s="17">
        <f>(W63*100)/W$8</f>
        <v>1.9405153376200344</v>
      </c>
      <c r="Y63" s="23">
        <f>+'ARTHUR M '!C63</f>
        <v>6808.18</v>
      </c>
      <c r="Z63" s="17">
        <f>(Y63*100)/Y$8</f>
        <v>1.4911151336475164</v>
      </c>
      <c r="AA63" s="23">
        <f>+'HUGO M '!C63</f>
        <v>8824.31</v>
      </c>
      <c r="AB63" s="17">
        <f>(AA63*100)/AA$8</f>
        <v>1.6360888497045614</v>
      </c>
      <c r="AC63" s="23">
        <f>+'JEANCLO M '!C63</f>
        <v>3055.46</v>
      </c>
      <c r="AD63" s="17">
        <f>(AC63*100)/AC$8</f>
        <v>1.4036128655034159</v>
      </c>
      <c r="AE63" s="23">
        <f>+'THOMAS M'!G63</f>
        <v>-1691.13</v>
      </c>
      <c r="AF63" s="17">
        <f>(AE63*100)/AE$8</f>
        <v>1.3600505761595103</v>
      </c>
      <c r="AG63" s="23">
        <f>+'CATALINA M'!G63</f>
        <v>2900.64</v>
      </c>
      <c r="AH63" s="17">
        <f>(AG63*100)/AG$8</f>
        <v>1.3951580995444035</v>
      </c>
      <c r="AI63" s="23">
        <f t="shared" si="1"/>
        <v>72592.680000000008</v>
      </c>
      <c r="AJ63" s="17">
        <f>(AI63*100)/AI$8</f>
        <v>1.7470212167833443</v>
      </c>
    </row>
    <row r="64" spans="1:36" s="18" customFormat="1" x14ac:dyDescent="0.2">
      <c r="A64" s="13" t="s">
        <v>2992</v>
      </c>
      <c r="B64" s="68" t="s">
        <v>65</v>
      </c>
      <c r="C64" s="23">
        <f>+'GLR5 M'!C64</f>
        <v>5244.59</v>
      </c>
      <c r="D64" s="17">
        <f>(C64*100)/C$8</f>
        <v>1.2611580028438272</v>
      </c>
      <c r="E64" s="23">
        <f>+'HTR8 M'!C64</f>
        <v>3932.54</v>
      </c>
      <c r="F64" s="17">
        <f>(E64*100)/E$8</f>
        <v>1.9016604215951569</v>
      </c>
      <c r="G64" s="23">
        <f>+'TIRR M'!C64</f>
        <v>4037.5</v>
      </c>
      <c r="H64" s="17">
        <f>(G64*100)/G$8</f>
        <v>1.5461825681060393</v>
      </c>
      <c r="I64" s="23">
        <f>+'VR7 M '!C64</f>
        <v>0</v>
      </c>
      <c r="J64" s="17" t="e">
        <f>(I64*100)/I$8</f>
        <v>#DIV/0!</v>
      </c>
      <c r="K64" s="23">
        <f>+'TURVILLA M'!C64</f>
        <v>6616.1</v>
      </c>
      <c r="L64" s="17">
        <f>(K64*100)/K$8</f>
        <v>1.4449799651838475</v>
      </c>
      <c r="M64" s="23">
        <f>+'HART M'!C64</f>
        <v>0</v>
      </c>
      <c r="N64" s="17" t="e">
        <f>(M64*100)/M$8</f>
        <v>#DIV/0!</v>
      </c>
      <c r="O64" s="23">
        <f>+'VICTOIRE M'!C64</f>
        <v>2975.81</v>
      </c>
      <c r="P64" s="17">
        <f>(O64*100)/O$8</f>
        <v>1.3222351501867999</v>
      </c>
      <c r="Q64" s="23">
        <f>+'TH4 M '!C64</f>
        <v>5422.02</v>
      </c>
      <c r="R64" s="17">
        <f>(Q64*100)/Q$8</f>
        <v>1.539789029801879</v>
      </c>
      <c r="S64" s="23">
        <f>+'DIVES M'!C64</f>
        <v>2547.63</v>
      </c>
      <c r="T64" s="17">
        <f>(S64*100)/S$8</f>
        <v>1.0552291818048256</v>
      </c>
      <c r="U64" s="23">
        <f>+'R314 M '!C64</f>
        <v>1009.42</v>
      </c>
      <c r="V64" s="17">
        <f>(U64*100)/U$8</f>
        <v>0.31687370199406734</v>
      </c>
      <c r="W64" s="23">
        <f>+'LYSE M '!C64</f>
        <v>3552.17</v>
      </c>
      <c r="X64" s="17">
        <f>(W64*100)/W$8</f>
        <v>0.93669821138758491</v>
      </c>
      <c r="Y64" s="23">
        <f>+'ARTHUR M '!C64</f>
        <v>6548.99</v>
      </c>
      <c r="Z64" s="17">
        <f>(Y64*100)/Y$8</f>
        <v>1.434347813821939</v>
      </c>
      <c r="AA64" s="23">
        <f>+'HUGO M '!C64</f>
        <v>6935.79</v>
      </c>
      <c r="AB64" s="17">
        <f>(AA64*100)/AA$8</f>
        <v>1.2859440208800916</v>
      </c>
      <c r="AC64" s="23">
        <f>+'JEANCLO M '!C64</f>
        <v>2657.05</v>
      </c>
      <c r="AD64" s="17">
        <f>(AC64*100)/AC$8</f>
        <v>1.2205918468203973</v>
      </c>
      <c r="AE64" s="23">
        <f>+'THOMAS M'!G64</f>
        <v>-1860.5700000000002</v>
      </c>
      <c r="AF64" s="17">
        <f>(AE64*100)/AE$8</f>
        <v>1.4963186156505417</v>
      </c>
      <c r="AG64" s="23">
        <f>+'CATALINA M'!G64</f>
        <v>1227.1099999999999</v>
      </c>
      <c r="AH64" s="17">
        <f>(AG64*100)/AG$8</f>
        <v>0.59021886739889562</v>
      </c>
      <c r="AI64" s="23">
        <f t="shared" si="1"/>
        <v>50846.150000000009</v>
      </c>
      <c r="AJ64" s="17">
        <f>(AI64*100)/AI$8</f>
        <v>1.2236674943224091</v>
      </c>
    </row>
    <row r="65" spans="1:36" s="59" customFormat="1" ht="13.5" x14ac:dyDescent="0.2">
      <c r="A65" s="13"/>
      <c r="B65" s="62" t="s">
        <v>53</v>
      </c>
      <c r="C65" s="67">
        <f>+C63-C64</f>
        <v>4708.42</v>
      </c>
      <c r="D65" s="56">
        <f>(C65*100)/C$8</f>
        <v>1.1322260774912685</v>
      </c>
      <c r="E65" s="67">
        <f>+E63-E64</f>
        <v>-401.75999999999976</v>
      </c>
      <c r="F65" s="56">
        <f>(E65*100)/E$8</f>
        <v>-0.19427929302183064</v>
      </c>
      <c r="G65" s="67">
        <f>+G63-G64</f>
        <v>1673.1400000000003</v>
      </c>
      <c r="H65" s="56">
        <f>(G65*100)/G$8</f>
        <v>0.64073805622314273</v>
      </c>
      <c r="I65" s="67">
        <f>+I63-I64</f>
        <v>0</v>
      </c>
      <c r="J65" s="56" t="e">
        <f>(I65*100)/I$8</f>
        <v>#DIV/0!</v>
      </c>
      <c r="K65" s="67">
        <f>+K63-K64</f>
        <v>1977.5699999999997</v>
      </c>
      <c r="L65" s="56">
        <f>(K65*100)/K$8</f>
        <v>0.43190837952095962</v>
      </c>
      <c r="M65" s="67">
        <f>+M63-M64</f>
        <v>0</v>
      </c>
      <c r="N65" s="56" t="e">
        <f>(M65*100)/M$8</f>
        <v>#DIV/0!</v>
      </c>
      <c r="O65" s="67">
        <f>+O63-O64</f>
        <v>142.07000000000016</v>
      </c>
      <c r="P65" s="56">
        <f>(O65*100)/O$8</f>
        <v>6.3125652439852978E-2</v>
      </c>
      <c r="Q65" s="67">
        <f>+Q63-Q64</f>
        <v>-648.10000000000036</v>
      </c>
      <c r="R65" s="56">
        <f>(Q65*100)/Q$8</f>
        <v>-0.18405267229088021</v>
      </c>
      <c r="S65" s="67">
        <f>+S63-S64</f>
        <v>1373.13</v>
      </c>
      <c r="T65" s="56">
        <f>(S65*100)/S$8</f>
        <v>0.56875089648483501</v>
      </c>
      <c r="U65" s="67">
        <f>+U63-U64</f>
        <v>4726.2699999999995</v>
      </c>
      <c r="V65" s="56">
        <f>(U65*100)/U$8</f>
        <v>1.4836546447697694</v>
      </c>
      <c r="W65" s="67">
        <f>+W63-W64</f>
        <v>3806.7</v>
      </c>
      <c r="X65" s="56">
        <f>(W65*100)/W$8</f>
        <v>1.0038171262324493</v>
      </c>
      <c r="Y65" s="67">
        <f>+'ARTHUR M '!C65</f>
        <v>259.19000000000051</v>
      </c>
      <c r="Z65" s="56">
        <f>(Y65*100)/Y$8</f>
        <v>5.6767319825577547E-2</v>
      </c>
      <c r="AA65" s="67">
        <f>+AA63-AA64</f>
        <v>1888.5199999999995</v>
      </c>
      <c r="AB65" s="56">
        <f>(AA65*100)/AA$8</f>
        <v>0.35014482882446984</v>
      </c>
      <c r="AC65" s="67">
        <f>+'JEANCLO M '!C65</f>
        <v>398.40999999999985</v>
      </c>
      <c r="AD65" s="56">
        <f>(AC65*100)/AC$8</f>
        <v>0.18302101868301851</v>
      </c>
      <c r="AE65" s="67">
        <f>+AE63-AE64</f>
        <v>169.44000000000005</v>
      </c>
      <c r="AF65" s="56">
        <f>(AE65*100)/AE$8</f>
        <v>-0.13626803949103117</v>
      </c>
      <c r="AG65" s="67">
        <f>+AG63-AG64</f>
        <v>1673.53</v>
      </c>
      <c r="AH65" s="56">
        <f>(AG65*100)/AG$8</f>
        <v>0.80493923214550767</v>
      </c>
      <c r="AI65" s="67">
        <f t="shared" si="1"/>
        <v>21746.530000000002</v>
      </c>
      <c r="AJ65" s="56">
        <f>(AI65*100)/AI$8</f>
        <v>0.52335372246093559</v>
      </c>
    </row>
    <row r="66" spans="1:36" s="18" customFormat="1" ht="7.15" customHeight="1" x14ac:dyDescent="0.2">
      <c r="A66" s="13"/>
      <c r="B66" s="14"/>
      <c r="C66" s="15"/>
      <c r="D66" s="17"/>
      <c r="E66" s="15"/>
      <c r="F66" s="17"/>
      <c r="G66" s="15"/>
      <c r="H66" s="17"/>
      <c r="I66" s="15"/>
      <c r="J66" s="17"/>
      <c r="K66" s="15"/>
      <c r="L66" s="17"/>
      <c r="M66" s="15"/>
      <c r="N66" s="17"/>
      <c r="O66" s="15"/>
      <c r="P66" s="17"/>
      <c r="Q66" s="15"/>
      <c r="R66" s="17"/>
      <c r="S66" s="15"/>
      <c r="T66" s="17"/>
      <c r="U66" s="15"/>
      <c r="V66" s="17"/>
      <c r="W66" s="15"/>
      <c r="X66" s="17"/>
      <c r="Y66" s="15"/>
      <c r="Z66" s="17"/>
      <c r="AA66" s="15"/>
      <c r="AB66" s="17"/>
      <c r="AC66" s="15"/>
      <c r="AD66" s="17"/>
      <c r="AE66" s="15"/>
      <c r="AF66" s="17"/>
      <c r="AG66" s="15"/>
      <c r="AH66" s="17"/>
      <c r="AI66" s="15"/>
      <c r="AJ66" s="17"/>
    </row>
    <row r="67" spans="1:36" s="18" customFormat="1" x14ac:dyDescent="0.2">
      <c r="A67" s="13" t="s">
        <v>286</v>
      </c>
      <c r="B67" s="14" t="s">
        <v>2993</v>
      </c>
      <c r="C67" s="15">
        <f>+'GLR5 M'!C67</f>
        <v>0</v>
      </c>
      <c r="D67" s="17">
        <f>(C67*100)/C$8</f>
        <v>0</v>
      </c>
      <c r="E67" s="15">
        <f>+'HTR8 M'!C67</f>
        <v>0</v>
      </c>
      <c r="F67" s="17">
        <f>(E67*100)/E$8</f>
        <v>0</v>
      </c>
      <c r="G67" s="15">
        <f>+'TIRR M'!C67</f>
        <v>-3.34</v>
      </c>
      <c r="H67" s="17">
        <f>(G67*100)/G$8</f>
        <v>-1.2790711523155841E-3</v>
      </c>
      <c r="I67" s="15">
        <f>+'VR7 M '!C67</f>
        <v>0</v>
      </c>
      <c r="J67" s="17" t="e">
        <f>(I67*100)/I$8</f>
        <v>#DIV/0!</v>
      </c>
      <c r="K67" s="15">
        <f>+'TURVILLA M'!C67</f>
        <v>-559.09</v>
      </c>
      <c r="L67" s="17">
        <f>(K67*100)/K$8</f>
        <v>-0.12210726088400074</v>
      </c>
      <c r="M67" s="15">
        <f>+'HART M'!C67</f>
        <v>0</v>
      </c>
      <c r="N67" s="17" t="e">
        <f>(M67*100)/M$8</f>
        <v>#DIV/0!</v>
      </c>
      <c r="O67" s="15">
        <f>+'VICTOIRE M'!C67</f>
        <v>-12.74</v>
      </c>
      <c r="P67" s="17">
        <f>(O67*100)/O$8</f>
        <v>-5.6607363418295625E-3</v>
      </c>
      <c r="Q67" s="15">
        <f>+'TH4 M '!C67</f>
        <v>0</v>
      </c>
      <c r="R67" s="17">
        <f>(Q67*100)/Q$8</f>
        <v>0</v>
      </c>
      <c r="S67" s="15">
        <f>+'DIVES M'!C67</f>
        <v>-0.91</v>
      </c>
      <c r="T67" s="17">
        <f>(S67*100)/S$8</f>
        <v>-3.7692229854507578E-4</v>
      </c>
      <c r="U67" s="15">
        <f>+'R314 M '!C67</f>
        <v>-276.07</v>
      </c>
      <c r="V67" s="17">
        <f>(U67*100)/U$8</f>
        <v>-8.6662957846587327E-2</v>
      </c>
      <c r="W67" s="15">
        <f>+'LYSE M '!C67</f>
        <v>-306.69</v>
      </c>
      <c r="X67" s="17">
        <f>(W67*100)/W$8</f>
        <v>-8.0873374430406889E-2</v>
      </c>
      <c r="Y67" s="15">
        <f>+'ARTHUR M '!C67</f>
        <v>-18.14</v>
      </c>
      <c r="Z67" s="17">
        <f>(Y67*100)/Y$8</f>
        <v>-3.9729896278250494E-3</v>
      </c>
      <c r="AA67" s="15">
        <f>+'HUGO M '!C67</f>
        <v>496.14</v>
      </c>
      <c r="AB67" s="17">
        <f>(AA67*100)/AA$8</f>
        <v>9.1987829291176437E-2</v>
      </c>
      <c r="AC67" s="15">
        <f>+'JEANCLO M '!C67</f>
        <v>-218.69</v>
      </c>
      <c r="AD67" s="17">
        <f>(AC67*100)/AC$8</f>
        <v>-0.10046150090557299</v>
      </c>
      <c r="AE67" s="15">
        <f>+'THOMAS M'!G67</f>
        <v>13.749999999999998</v>
      </c>
      <c r="AF67" s="17">
        <f>(AE67*100)/AE$8</f>
        <v>-1.1058106368045783E-2</v>
      </c>
      <c r="AG67" s="15">
        <f>+'CATALINA M'!G67</f>
        <v>-2620.83</v>
      </c>
      <c r="AH67" s="17">
        <f>(AG67*100)/AG$8</f>
        <v>-1.2605742877533781</v>
      </c>
      <c r="AI67" s="15">
        <f t="shared" si="1"/>
        <v>-3506.61</v>
      </c>
      <c r="AJ67" s="17">
        <f>(AI67*100)/AI$8</f>
        <v>-8.4390355459870642E-2</v>
      </c>
    </row>
    <row r="68" spans="1:36" s="18" customFormat="1" ht="7.15" customHeight="1" x14ac:dyDescent="0.2">
      <c r="A68" s="13"/>
      <c r="B68" s="14"/>
      <c r="C68" s="15"/>
      <c r="D68" s="17"/>
      <c r="E68" s="15"/>
      <c r="F68" s="17"/>
      <c r="G68" s="15"/>
      <c r="H68" s="17"/>
      <c r="I68" s="15"/>
      <c r="J68" s="17"/>
      <c r="K68" s="15"/>
      <c r="L68" s="17"/>
      <c r="M68" s="15"/>
      <c r="N68" s="17"/>
      <c r="O68" s="15"/>
      <c r="P68" s="17"/>
      <c r="Q68" s="15"/>
      <c r="R68" s="17"/>
      <c r="S68" s="15"/>
      <c r="T68" s="17"/>
      <c r="U68" s="15"/>
      <c r="V68" s="17"/>
      <c r="W68" s="15"/>
      <c r="X68" s="17"/>
      <c r="Y68" s="15"/>
      <c r="Z68" s="17"/>
      <c r="AA68" s="15"/>
      <c r="AB68" s="17"/>
      <c r="AC68" s="15"/>
      <c r="AD68" s="17"/>
      <c r="AE68" s="15"/>
      <c r="AF68" s="17"/>
      <c r="AG68" s="15"/>
      <c r="AH68" s="17"/>
      <c r="AI68" s="15"/>
      <c r="AJ68" s="17"/>
    </row>
    <row r="69" spans="1:36" s="18" customFormat="1" x14ac:dyDescent="0.2">
      <c r="A69" s="13"/>
      <c r="B69" s="11" t="s">
        <v>55</v>
      </c>
      <c r="C69" s="22">
        <f>+'GLR5 M'!C69</f>
        <v>25874.300000000003</v>
      </c>
      <c r="D69" s="10">
        <f>(C69*100)/C$8</f>
        <v>6.2219507174025122</v>
      </c>
      <c r="E69" s="22">
        <f>+'HTR8 M'!C69</f>
        <v>7771.5600000000068</v>
      </c>
      <c r="F69" s="10">
        <f>(E69*100)/E$8</f>
        <v>3.7580973279488754</v>
      </c>
      <c r="G69" s="22">
        <f>+'TIRR M'!C69</f>
        <v>16519.490000000031</v>
      </c>
      <c r="H69" s="10">
        <f>(G69*100)/G$8</f>
        <v>6.3262284760376666</v>
      </c>
      <c r="I69" s="22">
        <f>+'VR7 M '!C69</f>
        <v>0</v>
      </c>
      <c r="J69" s="10" t="e">
        <f>(I69*100)/I$8</f>
        <v>#DIV/0!</v>
      </c>
      <c r="K69" s="22">
        <f>+'TURVILLA M'!C69</f>
        <v>44886.529999999992</v>
      </c>
      <c r="L69" s="10">
        <f>(K69*100)/K$8</f>
        <v>9.8033791140738078</v>
      </c>
      <c r="M69" s="22">
        <f>+'HART M'!C69</f>
        <v>0</v>
      </c>
      <c r="N69" s="10" t="e">
        <f>(M69*100)/M$8</f>
        <v>#DIV/0!</v>
      </c>
      <c r="O69" s="22">
        <f>+'VICTOIRE M'!C69</f>
        <v>17311.399999999976</v>
      </c>
      <c r="P69" s="10">
        <f>(O69*100)/O$8</f>
        <v>7.6919365076882382</v>
      </c>
      <c r="Q69" s="22">
        <f>+'TH4 M '!C69</f>
        <v>33696.409999999982</v>
      </c>
      <c r="R69" s="10">
        <f>(Q69*100)/Q$8</f>
        <v>9.5693786562399819</v>
      </c>
      <c r="S69" s="22">
        <f>+'DIVES M'!C69</f>
        <v>15083.950000000041</v>
      </c>
      <c r="T69" s="10">
        <f>(S69*100)/S$8</f>
        <v>6.2477770386142986</v>
      </c>
      <c r="U69" s="22">
        <f>+'R314 M '!C69</f>
        <v>11196.060000000045</v>
      </c>
      <c r="V69" s="10">
        <f>(U69*100)/U$8</f>
        <v>3.5146291731367634</v>
      </c>
      <c r="W69" s="22">
        <f>+'LYSE M '!C69</f>
        <v>34491.480000000025</v>
      </c>
      <c r="X69" s="10">
        <f>(W69*100)/W$8</f>
        <v>9.0953157152137081</v>
      </c>
      <c r="Y69" s="22">
        <f>+'ARTHUR M '!C69</f>
        <v>47208.310000000012</v>
      </c>
      <c r="Z69" s="10">
        <f>(Y69*100)/Y$8</f>
        <v>10.339477727516517</v>
      </c>
      <c r="AA69" s="22">
        <f>+'HUGO M '!C69</f>
        <v>80469.089999999938</v>
      </c>
      <c r="AB69" s="10">
        <f>(AA69*100)/AA$8</f>
        <v>14.919532620099783</v>
      </c>
      <c r="AC69" s="22">
        <f>+'JEANCLO M '!C69</f>
        <v>12237.999999999998</v>
      </c>
      <c r="AD69" s="10">
        <f>(AC69*100)/AC$8</f>
        <v>5.6218750198106999</v>
      </c>
      <c r="AE69" s="22">
        <f>+'THOMAS M'!G69</f>
        <v>10640.129999999974</v>
      </c>
      <c r="AF69" s="10">
        <f>(AE69*100)/AE$8</f>
        <v>-8.5570683134425245</v>
      </c>
      <c r="AG69" s="22">
        <f>+'CATALINA M'!G69</f>
        <v>3073.1400000000021</v>
      </c>
      <c r="AH69" s="10">
        <f>(AG69*100)/AG$8</f>
        <v>1.4781276414977009</v>
      </c>
      <c r="AI69" s="22">
        <f t="shared" si="1"/>
        <v>360459.85000000003</v>
      </c>
      <c r="AJ69" s="10">
        <f>(AI69*100)/AI$8</f>
        <v>8.6748554502815125</v>
      </c>
    </row>
    <row r="70" spans="1:36" ht="13.5" thickBot="1" x14ac:dyDescent="0.25">
      <c r="A70" s="13"/>
      <c r="B70" s="63" t="s">
        <v>3034</v>
      </c>
      <c r="C70" s="49">
        <f>+'GLR5 M'!C70</f>
        <v>36634.44</v>
      </c>
      <c r="D70" s="50">
        <f>(C70*100)/C$8</f>
        <v>8.8094240323270281</v>
      </c>
      <c r="E70" s="49">
        <f>+'HTR8 M'!C70</f>
        <v>13947.940000000006</v>
      </c>
      <c r="F70" s="50">
        <f>(E70*100)/E$8</f>
        <v>6.7448126302043887</v>
      </c>
      <c r="G70" s="49">
        <f>+'TIRR M'!C70</f>
        <v>28956.050000000032</v>
      </c>
      <c r="H70" s="50">
        <f>(G70*100)/G$8</f>
        <v>11.088876718565183</v>
      </c>
      <c r="I70" s="49">
        <f>+'VR7 M '!C70</f>
        <v>0</v>
      </c>
      <c r="J70" s="50" t="e">
        <f>(I70*100)/I$8</f>
        <v>#DIV/0!</v>
      </c>
      <c r="K70" s="49">
        <f>+'TURVILLA M'!C70</f>
        <v>70655.329999999987</v>
      </c>
      <c r="L70" s="50">
        <f>(K70*100)/K$8</f>
        <v>15.431377440403446</v>
      </c>
      <c r="M70" s="49">
        <f>+'HART M'!C70</f>
        <v>0</v>
      </c>
      <c r="N70" s="50" t="e">
        <f>(M70*100)/M$8</f>
        <v>#DIV/0!</v>
      </c>
      <c r="O70" s="49">
        <f>+'VICTOIRE M'!C70</f>
        <v>23652.699999999979</v>
      </c>
      <c r="P70" s="50">
        <f>(O70*100)/O$8</f>
        <v>10.509552470360436</v>
      </c>
      <c r="Q70" s="49">
        <f>+'TH4 M '!C70</f>
        <v>45062.019999999982</v>
      </c>
      <c r="R70" s="50">
        <f>(Q70*100)/Q$8</f>
        <v>12.797076376832406</v>
      </c>
      <c r="S70" s="49">
        <f>+'DIVES M'!C70</f>
        <v>25795.18000000004</v>
      </c>
      <c r="T70" s="50">
        <f>(S70*100)/S$8</f>
        <v>10.684372018663717</v>
      </c>
      <c r="U70" s="49">
        <f>+'R314 M '!C70</f>
        <v>29093.480000000047</v>
      </c>
      <c r="V70" s="50">
        <f>(U70*100)/U$8</f>
        <v>9.1329265434510649</v>
      </c>
      <c r="W70" s="49">
        <f>+'LYSE M '!C70</f>
        <v>55345.660000000025</v>
      </c>
      <c r="X70" s="50">
        <f>(W70*100)/W$8</f>
        <v>14.594510040359959</v>
      </c>
      <c r="Y70" s="49">
        <f>+'ARTHUR M '!C70</f>
        <v>55946.950000000012</v>
      </c>
      <c r="Z70" s="50">
        <f>(Y70*100)/Y$8</f>
        <v>12.25339868017898</v>
      </c>
      <c r="AA70" s="49">
        <f>+'HUGO M '!C70</f>
        <v>87329.66999999994</v>
      </c>
      <c r="AB70" s="50">
        <f>(AA70*100)/AA$8</f>
        <v>16.191532180462705</v>
      </c>
      <c r="AC70" s="49">
        <f>+'JEANCLO M '!C70</f>
        <v>22325.339999999997</v>
      </c>
      <c r="AD70" s="50">
        <f>(AC70*100)/AC$8</f>
        <v>10.255782910179818</v>
      </c>
      <c r="AE70" s="49">
        <f>+'THOMAS M'!G70</f>
        <v>10916.709999999974</v>
      </c>
      <c r="AF70" s="50">
        <f>(AE70*100)/AE$8</f>
        <v>-8.7795011177533677</v>
      </c>
      <c r="AG70" s="49">
        <f>+'CATALINA M'!G70</f>
        <v>15475.320000000003</v>
      </c>
      <c r="AH70" s="50">
        <f>(AG70*100)/AG$8</f>
        <v>7.4433635477141253</v>
      </c>
      <c r="AI70" s="49">
        <f t="shared" si="1"/>
        <v>521136.79</v>
      </c>
      <c r="AJ70" s="50">
        <f>(AI70*100)/AI$8</f>
        <v>12.541719481583627</v>
      </c>
    </row>
    <row r="71" spans="1:36" ht="7.15" customHeight="1" thickTop="1" x14ac:dyDescent="0.2">
      <c r="A71" s="13"/>
      <c r="B71" s="11"/>
      <c r="C71" s="12"/>
      <c r="D71" s="10"/>
      <c r="E71" s="12"/>
      <c r="F71" s="10"/>
      <c r="G71" s="12"/>
      <c r="H71" s="10"/>
      <c r="I71" s="12"/>
      <c r="J71" s="10"/>
      <c r="K71" s="12"/>
      <c r="L71" s="10"/>
      <c r="M71" s="12"/>
      <c r="N71" s="10"/>
      <c r="O71" s="12"/>
      <c r="P71" s="10"/>
      <c r="Q71" s="12"/>
      <c r="R71" s="10"/>
      <c r="S71" s="12"/>
      <c r="T71" s="10"/>
      <c r="U71" s="12"/>
      <c r="V71" s="10"/>
      <c r="W71" s="12"/>
      <c r="X71" s="10"/>
      <c r="Y71" s="12"/>
      <c r="Z71" s="10"/>
      <c r="AA71" s="12"/>
      <c r="AB71" s="10"/>
      <c r="AC71" s="12"/>
      <c r="AD71" s="10"/>
      <c r="AE71" s="12"/>
      <c r="AF71" s="10"/>
      <c r="AG71" s="12"/>
      <c r="AH71" s="10"/>
      <c r="AI71" s="12"/>
      <c r="AJ71" s="10"/>
    </row>
    <row r="72" spans="1:36" x14ac:dyDescent="0.2">
      <c r="A72" s="13" t="s">
        <v>2995</v>
      </c>
      <c r="B72" s="14" t="s">
        <v>2996</v>
      </c>
      <c r="C72" s="15">
        <f>+'GLR5 M'!C72</f>
        <v>1</v>
      </c>
      <c r="D72" s="17">
        <f>(C72*100)/C$8</f>
        <v>2.4046836889896579E-4</v>
      </c>
      <c r="E72" s="15">
        <f>+'HTR8 M'!C72</f>
        <v>0</v>
      </c>
      <c r="F72" s="17">
        <f>(E72*100)/E$8</f>
        <v>0</v>
      </c>
      <c r="G72" s="15">
        <f>+'TIRR M'!C72</f>
        <v>-18.46</v>
      </c>
      <c r="H72" s="17">
        <f>(G72*100)/G$8</f>
        <v>-7.0693573268699652E-3</v>
      </c>
      <c r="I72" s="15">
        <f>+'VR7 M '!C72</f>
        <v>0</v>
      </c>
      <c r="J72" s="17" t="e">
        <f>(I72*100)/I$8</f>
        <v>#DIV/0!</v>
      </c>
      <c r="K72" s="15">
        <f>+'TURVILLA M'!C72</f>
        <v>0</v>
      </c>
      <c r="L72" s="17">
        <f>(K72*100)/K$8</f>
        <v>0</v>
      </c>
      <c r="M72" s="15">
        <f>+'HART M'!C72</f>
        <v>0</v>
      </c>
      <c r="N72" s="17" t="e">
        <f>(M72*100)/M$8</f>
        <v>#DIV/0!</v>
      </c>
      <c r="O72" s="15">
        <f>+'VICTOIRE M'!C72</f>
        <v>0</v>
      </c>
      <c r="P72" s="17">
        <f>(O72*100)/O$8</f>
        <v>0</v>
      </c>
      <c r="Q72" s="15">
        <f>+'TH4 M '!C72</f>
        <v>0</v>
      </c>
      <c r="R72" s="17">
        <f>(Q72*100)/Q$8</f>
        <v>0</v>
      </c>
      <c r="S72" s="15">
        <f>+'DIVES M'!C72</f>
        <v>0</v>
      </c>
      <c r="T72" s="17">
        <f>(S72*100)/S$8</f>
        <v>0</v>
      </c>
      <c r="U72" s="15">
        <f>+'R314 M '!C72</f>
        <v>0</v>
      </c>
      <c r="V72" s="17">
        <f>(U72*100)/U$8</f>
        <v>0</v>
      </c>
      <c r="W72" s="15">
        <f>+'LYSE M '!C72</f>
        <v>0</v>
      </c>
      <c r="X72" s="17">
        <f>(W72*100)/W$8</f>
        <v>0</v>
      </c>
      <c r="Y72" s="15">
        <f>+'ARTHUR M '!C72</f>
        <v>0</v>
      </c>
      <c r="Z72" s="17">
        <f>(Y72*100)/Y$8</f>
        <v>0</v>
      </c>
      <c r="AA72" s="15">
        <f>+'HUGO M '!C72</f>
        <v>0</v>
      </c>
      <c r="AB72" s="17">
        <f>(AA72*100)/AA$8</f>
        <v>0</v>
      </c>
      <c r="AC72" s="15">
        <f>+'JEANCLO M '!C72</f>
        <v>0</v>
      </c>
      <c r="AD72" s="17">
        <f>(AC72*100)/AC$8</f>
        <v>0</v>
      </c>
      <c r="AE72" s="15">
        <f>+'THOMAS M'!G72</f>
        <v>0</v>
      </c>
      <c r="AF72" s="17">
        <f>(AE72*100)/AE$8</f>
        <v>0</v>
      </c>
      <c r="AG72" s="15">
        <f>+'CATALINA M'!G72</f>
        <v>0</v>
      </c>
      <c r="AH72" s="17">
        <f>(AG72*100)/AG$8</f>
        <v>0</v>
      </c>
      <c r="AI72" s="15">
        <f t="shared" si="1"/>
        <v>-17.46</v>
      </c>
      <c r="AJ72" s="17">
        <f>(AI72*100)/AI$8</f>
        <v>-4.2019375018303762E-4</v>
      </c>
    </row>
    <row r="73" spans="1:36" ht="7.15" customHeight="1" x14ac:dyDescent="0.2">
      <c r="A73" s="13"/>
      <c r="B73" s="11"/>
      <c r="C73" s="12"/>
      <c r="D73" s="10"/>
      <c r="E73" s="12"/>
      <c r="F73" s="10"/>
      <c r="G73" s="12"/>
      <c r="H73" s="10"/>
      <c r="I73" s="12"/>
      <c r="J73" s="10"/>
      <c r="K73" s="12"/>
      <c r="L73" s="10"/>
      <c r="M73" s="12"/>
      <c r="N73" s="10"/>
      <c r="O73" s="12"/>
      <c r="P73" s="10"/>
      <c r="Q73" s="12"/>
      <c r="R73" s="10"/>
      <c r="S73" s="12"/>
      <c r="T73" s="10"/>
      <c r="U73" s="12"/>
      <c r="V73" s="10"/>
      <c r="W73" s="12"/>
      <c r="X73" s="10"/>
      <c r="Y73" s="12"/>
      <c r="Z73" s="10"/>
      <c r="AA73" s="12"/>
      <c r="AB73" s="10"/>
      <c r="AC73" s="12"/>
      <c r="AD73" s="10"/>
      <c r="AE73" s="12"/>
      <c r="AF73" s="10"/>
      <c r="AG73" s="12"/>
      <c r="AH73" s="10"/>
      <c r="AI73" s="12"/>
      <c r="AJ73" s="10"/>
    </row>
    <row r="74" spans="1:36" x14ac:dyDescent="0.2">
      <c r="A74" s="13" t="s">
        <v>288</v>
      </c>
      <c r="B74" s="11" t="s">
        <v>63</v>
      </c>
      <c r="C74" s="22">
        <f>+'GLR5 M'!C74</f>
        <v>27007</v>
      </c>
      <c r="D74" s="10">
        <f>(C74*100)/C$8</f>
        <v>6.4943292388543696</v>
      </c>
      <c r="E74" s="22">
        <f>+'HTR8 M'!C74</f>
        <v>14934.33</v>
      </c>
      <c r="F74" s="10">
        <f>(E74*100)/E$8</f>
        <v>7.2218017576531199</v>
      </c>
      <c r="G74" s="22">
        <f>+'TIRR M'!C74</f>
        <v>18111.330000000002</v>
      </c>
      <c r="H74" s="10">
        <f>(G74*100)/G$8</f>
        <v>6.9358322554095242</v>
      </c>
      <c r="I74" s="22">
        <f>+'VR7 M '!C74</f>
        <v>0</v>
      </c>
      <c r="J74" s="10" t="e">
        <f>(I74*100)/I$8</f>
        <v>#DIV/0!</v>
      </c>
      <c r="K74" s="22">
        <f>+'TURVILLA M'!C74</f>
        <v>31887</v>
      </c>
      <c r="L74" s="10">
        <f>(K74*100)/K$8</f>
        <v>6.9642351460554321</v>
      </c>
      <c r="M74" s="22">
        <f>+'HART M'!C74</f>
        <v>0</v>
      </c>
      <c r="N74" s="10" t="e">
        <f>(M74*100)/M$8</f>
        <v>#DIV/0!</v>
      </c>
      <c r="O74" s="22">
        <f>+'VICTOIRE M'!C74</f>
        <v>18396</v>
      </c>
      <c r="P74" s="10">
        <f>(O74*100)/O$8</f>
        <v>8.173854454026424</v>
      </c>
      <c r="Q74" s="22">
        <f>+'TH4 M '!C74</f>
        <v>23967.33</v>
      </c>
      <c r="R74" s="10">
        <f>(Q74*100)/Q$8</f>
        <v>6.8064359422579539</v>
      </c>
      <c r="S74" s="22">
        <f>+'DIVES M'!C74</f>
        <v>20020.330000000002</v>
      </c>
      <c r="T74" s="10">
        <f>(S74*100)/S$8</f>
        <v>8.2924272540999322</v>
      </c>
      <c r="U74" s="22">
        <f>+'R314 M '!C74</f>
        <v>28052.33</v>
      </c>
      <c r="V74" s="10">
        <f>(U74*100)/U$8</f>
        <v>8.8060922674993911</v>
      </c>
      <c r="W74" s="22">
        <f>+'LYSE M '!C74</f>
        <v>26129.33</v>
      </c>
      <c r="X74" s="10">
        <f>(W74*100)/W$8</f>
        <v>6.8902379885410792</v>
      </c>
      <c r="Y74" s="22">
        <f>+'ARTHUR M '!C74</f>
        <v>29505</v>
      </c>
      <c r="Z74" s="10">
        <f>(Y74*100)/Y$8</f>
        <v>6.4621311449271275</v>
      </c>
      <c r="AA74" s="22">
        <f>+'HUGO M '!C74</f>
        <v>35146</v>
      </c>
      <c r="AB74" s="10">
        <f>(AA74*100)/AA$8</f>
        <v>6.5163144440433891</v>
      </c>
      <c r="AC74" s="22">
        <f>+'JEANCLO M '!C74</f>
        <v>14618</v>
      </c>
      <c r="AD74" s="10">
        <f>(AC74*100)/AC$8</f>
        <v>6.7151960319981061</v>
      </c>
      <c r="AE74" s="22">
        <f>+'THOMAS M'!G74</f>
        <v>-3004</v>
      </c>
      <c r="AF74" s="10">
        <f>(AE74*100)/AE$8</f>
        <v>2.4158946566988755</v>
      </c>
      <c r="AG74" s="22">
        <f>+'CATALINA M'!G74</f>
        <v>17040</v>
      </c>
      <c r="AH74" s="10">
        <f>(AG74*100)/AG$8</f>
        <v>8.195947796429973</v>
      </c>
      <c r="AI74" s="22">
        <f t="shared" si="1"/>
        <v>301809.98000000004</v>
      </c>
      <c r="AJ74" s="10">
        <f>(AI74*100)/AI$8</f>
        <v>7.2633830090989457</v>
      </c>
    </row>
    <row r="75" spans="1:36" ht="7.15" customHeight="1" x14ac:dyDescent="0.2">
      <c r="A75" s="13"/>
      <c r="B75" s="11"/>
      <c r="C75" s="12"/>
      <c r="D75" s="10"/>
      <c r="E75" s="12"/>
      <c r="F75" s="10"/>
      <c r="G75" s="12"/>
      <c r="H75" s="10"/>
      <c r="I75" s="12"/>
      <c r="J75" s="10"/>
      <c r="K75" s="12"/>
      <c r="L75" s="10"/>
      <c r="M75" s="12"/>
      <c r="N75" s="10"/>
      <c r="O75" s="12"/>
      <c r="P75" s="10"/>
      <c r="Q75" s="12"/>
      <c r="R75" s="10"/>
      <c r="S75" s="12"/>
      <c r="T75" s="10"/>
      <c r="U75" s="12"/>
      <c r="V75" s="10"/>
      <c r="W75" s="12"/>
      <c r="X75" s="10"/>
      <c r="Y75" s="12"/>
      <c r="Z75" s="10"/>
      <c r="AA75" s="12"/>
      <c r="AB75" s="10"/>
      <c r="AC75" s="12"/>
      <c r="AD75" s="10"/>
      <c r="AE75" s="12"/>
      <c r="AF75" s="10"/>
      <c r="AG75" s="12"/>
      <c r="AH75" s="10"/>
      <c r="AI75" s="12"/>
      <c r="AJ75" s="10"/>
    </row>
    <row r="76" spans="1:36" ht="16.899999999999999" customHeight="1" thickBot="1" x14ac:dyDescent="0.25">
      <c r="A76" s="13"/>
      <c r="B76" s="69" t="s">
        <v>61</v>
      </c>
      <c r="C76" s="70">
        <f>C69-C74+C72</f>
        <v>-1131.6999999999971</v>
      </c>
      <c r="D76" s="71">
        <f>(C76*100)/C$8</f>
        <v>-0.27213805308295891</v>
      </c>
      <c r="E76" s="70">
        <f>E69-E74+E72</f>
        <v>-7162.7699999999932</v>
      </c>
      <c r="F76" s="71">
        <f>(E76*100)/E$8</f>
        <v>-3.4637044297042441</v>
      </c>
      <c r="G76" s="70">
        <f>G69-G74+G72</f>
        <v>-1610.2999999999711</v>
      </c>
      <c r="H76" s="71">
        <f>(G76*100)/G$8</f>
        <v>-0.61667313669872703</v>
      </c>
      <c r="I76" s="70">
        <f>I69-I74+I72</f>
        <v>0</v>
      </c>
      <c r="J76" s="71" t="e">
        <f>(I76*100)/I$8</f>
        <v>#DIV/0!</v>
      </c>
      <c r="K76" s="70">
        <f>K69-K74+K72</f>
        <v>12999.529999999992</v>
      </c>
      <c r="L76" s="71">
        <f>(K76*100)/K$8</f>
        <v>2.8391439680183748</v>
      </c>
      <c r="M76" s="70">
        <f>M69-M74+M72</f>
        <v>0</v>
      </c>
      <c r="N76" s="71" t="e">
        <f>(M76*100)/M$8</f>
        <v>#DIV/0!</v>
      </c>
      <c r="O76" s="70">
        <f>O69-O74+O72</f>
        <v>-1084.600000000024</v>
      </c>
      <c r="P76" s="71">
        <f>(O76*100)/O$8</f>
        <v>-0.48191794633818519</v>
      </c>
      <c r="Q76" s="70">
        <f>Q69-Q74+Q72</f>
        <v>9729.0799999999799</v>
      </c>
      <c r="R76" s="71">
        <f>(Q76*100)/Q$8</f>
        <v>2.762942713982028</v>
      </c>
      <c r="S76" s="70">
        <f>S69-S74+S72</f>
        <v>-4936.379999999961</v>
      </c>
      <c r="T76" s="71">
        <f>(S76*100)/S$8</f>
        <v>-2.0446502154856336</v>
      </c>
      <c r="U76" s="70">
        <f>U69-U74+U72</f>
        <v>-16856.269999999957</v>
      </c>
      <c r="V76" s="71">
        <f>(U76*100)/U$8</f>
        <v>-5.2914630943626273</v>
      </c>
      <c r="W76" s="70">
        <f>W69-W74+W72</f>
        <v>8362.1500000000233</v>
      </c>
      <c r="X76" s="71">
        <f>(W76*100)/W$8</f>
        <v>2.2050777266726298</v>
      </c>
      <c r="Y76" s="70">
        <f>+'ARTHUR M '!C76</f>
        <v>17703.310000000012</v>
      </c>
      <c r="Z76" s="71">
        <f>(Y76*100)/Y$8</f>
        <v>3.8773465825893898</v>
      </c>
      <c r="AA76" s="70">
        <f>AA69-AA74+AA72</f>
        <v>45323.089999999938</v>
      </c>
      <c r="AB76" s="71">
        <f>(AA76*100)/AA$8</f>
        <v>8.4032181760563951</v>
      </c>
      <c r="AC76" s="70">
        <f>+'JEANCLO M '!C76</f>
        <v>-2380.0000000000018</v>
      </c>
      <c r="AD76" s="71">
        <f>(AC76*100)/AC$8</f>
        <v>-1.0933210121874062</v>
      </c>
      <c r="AE76" s="70">
        <f>AE69-AE74+AE72</f>
        <v>13644.129999999974</v>
      </c>
      <c r="AF76" s="71">
        <f>(AE76*100)/AE$8</f>
        <v>-10.972962970141399</v>
      </c>
      <c r="AG76" s="70">
        <f>AG69-AG74+AG72</f>
        <v>-13966.859999999997</v>
      </c>
      <c r="AH76" s="71">
        <f>(AG76*100)/AG$8</f>
        <v>-6.7178201549322711</v>
      </c>
      <c r="AI76" s="70">
        <f t="shared" si="1"/>
        <v>58632.410000000018</v>
      </c>
      <c r="AJ76" s="71">
        <f>(AI76*100)/AI$8</f>
        <v>1.411052247432385</v>
      </c>
    </row>
    <row r="77" spans="1:36" ht="13.5" customHeight="1" thickTop="1" x14ac:dyDescent="0.2">
      <c r="A77" s="13"/>
      <c r="B77" s="11"/>
      <c r="C77" s="319"/>
      <c r="D77" s="320"/>
      <c r="E77" s="319"/>
      <c r="F77" s="320"/>
      <c r="G77" s="319"/>
      <c r="H77" s="320"/>
      <c r="I77" s="319"/>
      <c r="J77" s="320"/>
      <c r="K77" s="319"/>
      <c r="L77" s="320"/>
      <c r="M77" s="319"/>
      <c r="N77" s="320"/>
      <c r="O77" s="319"/>
      <c r="P77" s="320"/>
      <c r="Q77" s="319"/>
      <c r="R77" s="320"/>
      <c r="S77" s="319"/>
      <c r="T77" s="320"/>
      <c r="U77" s="319"/>
      <c r="V77" s="320"/>
      <c r="W77" s="319"/>
      <c r="X77" s="320"/>
      <c r="Y77" s="319"/>
      <c r="Z77" s="320"/>
      <c r="AA77" s="319"/>
      <c r="AB77" s="320"/>
      <c r="AC77" s="319"/>
      <c r="AD77" s="320"/>
      <c r="AE77" s="319"/>
      <c r="AF77" s="320"/>
      <c r="AG77" s="319"/>
      <c r="AH77" s="320"/>
      <c r="AI77" s="319"/>
      <c r="AJ77" s="320"/>
    </row>
    <row r="78" spans="1:36" ht="16.899999999999999" customHeight="1" thickBot="1" x14ac:dyDescent="0.25">
      <c r="A78" s="13"/>
      <c r="B78" s="73" t="s">
        <v>85</v>
      </c>
      <c r="C78" s="323" cm="1">
        <f t="array" ref="C78">+'GLR5 M'!C78:C78</f>
        <v>24859</v>
      </c>
      <c r="D78" s="324"/>
      <c r="E78" s="323">
        <f>+'HTR8 M'!C78</f>
        <v>12710</v>
      </c>
      <c r="F78" s="324">
        <f>+'HTR8 M'!D78</f>
        <v>0</v>
      </c>
      <c r="G78" s="323">
        <f>+'TIRR M'!C78</f>
        <v>16773</v>
      </c>
      <c r="H78" s="324">
        <f>+'TIRR M'!D78</f>
        <v>0</v>
      </c>
      <c r="I78" s="323">
        <f>+'VR7 M '!C78</f>
        <v>0</v>
      </c>
      <c r="J78" s="324">
        <f>+'VR7 M '!D78</f>
        <v>0</v>
      </c>
      <c r="K78" s="323">
        <f>+'TURVILLA M'!C78</f>
        <v>27135</v>
      </c>
      <c r="L78" s="324">
        <f>+'TURVILLA M'!D78</f>
        <v>0</v>
      </c>
      <c r="M78" s="323">
        <f>+'HART M'!C78</f>
        <v>0</v>
      </c>
      <c r="N78" s="324">
        <f>+'HART M'!D78</f>
        <v>0</v>
      </c>
      <c r="O78" s="323">
        <f>+'VICTOIRE M'!C78</f>
        <v>12604</v>
      </c>
      <c r="P78" s="324">
        <f>+'VICTOIRE M'!D78</f>
        <v>0</v>
      </c>
      <c r="Q78" s="323">
        <f>+'TH4 M '!C78</f>
        <v>21816</v>
      </c>
      <c r="R78" s="324">
        <f>+'TH4 M '!D78</f>
        <v>0</v>
      </c>
      <c r="S78" s="323">
        <f>+'DIVES M'!C78</f>
        <v>13437</v>
      </c>
      <c r="T78" s="324">
        <f>+'DIVES M'!D78</f>
        <v>0</v>
      </c>
      <c r="U78" s="323">
        <f>+'R314 M '!C78</f>
        <v>20186</v>
      </c>
      <c r="V78" s="324">
        <f>+'R314 M '!D78</f>
        <v>0</v>
      </c>
      <c r="W78" s="323">
        <f>+'LYSE M '!C78</f>
        <v>21593</v>
      </c>
      <c r="X78" s="324">
        <f>+'LYSE M '!D78</f>
        <v>0</v>
      </c>
      <c r="Y78" s="323">
        <f>+'ARTHUR M '!C78</f>
        <v>28852</v>
      </c>
      <c r="Z78" s="324">
        <f>+'ARTHUR M '!D78</f>
        <v>0</v>
      </c>
      <c r="AA78" s="323">
        <f>+'HUGO M '!C78</f>
        <v>28506</v>
      </c>
      <c r="AB78" s="324">
        <f>+'HUGO M '!D78</f>
        <v>0</v>
      </c>
      <c r="AC78" s="323">
        <f>+'JEANCLO M '!C78</f>
        <v>12917</v>
      </c>
      <c r="AD78" s="324">
        <f>+'JEANCLO M '!D78</f>
        <v>0</v>
      </c>
      <c r="AE78" s="323">
        <f>+'THOMAS M'!G78</f>
        <v>211</v>
      </c>
      <c r="AF78" s="324">
        <f>+'THOMAS M'!H78</f>
        <v>0</v>
      </c>
      <c r="AG78" s="323">
        <f>+'CATALINA M'!G78</f>
        <v>-7530</v>
      </c>
      <c r="AH78" s="324">
        <f>+'CATALINA M'!H78</f>
        <v>0</v>
      </c>
      <c r="AI78" s="323">
        <f t="shared" ref="AI78" si="83">+C78+E78+G78+I78+K78+M78+O78+Q78+S78+U78+W78+Y78+AA78+AC78+AE78+AG78</f>
        <v>234069</v>
      </c>
      <c r="AJ78" s="324">
        <f t="shared" ref="AJ78" si="84">+D78+F78+H78+J78+L78+N78+P78+R78+T78+V78+X78+Z78+AB78+AD78+AF78+AH78</f>
        <v>0</v>
      </c>
    </row>
    <row r="79" spans="1:36" ht="13.5" customHeight="1" thickTop="1" x14ac:dyDescent="0.2">
      <c r="A79" s="13"/>
      <c r="B79" s="65"/>
      <c r="C79" s="25"/>
      <c r="D79" s="26"/>
      <c r="E79" s="25"/>
      <c r="F79" s="26"/>
      <c r="G79" s="25"/>
      <c r="H79" s="26"/>
      <c r="I79" s="25"/>
      <c r="J79" s="26"/>
      <c r="K79" s="25"/>
      <c r="L79" s="26"/>
      <c r="M79" s="25"/>
      <c r="N79" s="26"/>
      <c r="O79" s="25"/>
      <c r="P79" s="26"/>
      <c r="Q79" s="25"/>
      <c r="R79" s="26"/>
      <c r="S79" s="25"/>
      <c r="T79" s="26"/>
      <c r="U79" s="25"/>
      <c r="V79" s="26"/>
      <c r="W79" s="25"/>
      <c r="X79" s="26"/>
      <c r="Y79" s="25"/>
      <c r="Z79" s="26"/>
      <c r="AA79" s="25"/>
      <c r="AB79" s="26"/>
      <c r="AC79" s="25"/>
      <c r="AD79" s="26"/>
      <c r="AE79" s="25"/>
      <c r="AF79" s="26"/>
      <c r="AG79" s="25"/>
      <c r="AH79" s="26"/>
      <c r="AI79" s="25"/>
      <c r="AJ79" s="26"/>
    </row>
    <row r="80" spans="1:36" ht="16.899999999999999" customHeight="1" thickBot="1" x14ac:dyDescent="0.25">
      <c r="A80" s="13"/>
      <c r="B80" s="73" t="s">
        <v>86</v>
      </c>
      <c r="C80" s="323" cm="1">
        <f t="array" ref="C80">+'GLR5 M'!C80:C80</f>
        <v>17.13</v>
      </c>
      <c r="D80" s="324"/>
      <c r="E80" s="315">
        <f>+'HTR8 M'!C80</f>
        <v>16.55</v>
      </c>
      <c r="F80" s="316">
        <f>+'HTR8 M'!D80</f>
        <v>0</v>
      </c>
      <c r="G80" s="315">
        <f>+'TIRR M'!C80</f>
        <v>15.91</v>
      </c>
      <c r="H80" s="316">
        <f>+'TIRR M'!D80</f>
        <v>0</v>
      </c>
      <c r="I80" s="315">
        <f>+'VR7 M '!C80</f>
        <v>0</v>
      </c>
      <c r="J80" s="316">
        <f>+'VR7 M '!D80</f>
        <v>0</v>
      </c>
      <c r="K80" s="315">
        <f>+'TURVILLA M'!C80</f>
        <v>17.190000000000001</v>
      </c>
      <c r="L80" s="316">
        <f>+'TURVILLA M'!D80</f>
        <v>0</v>
      </c>
      <c r="M80" s="315">
        <f>+'HART M'!C80</f>
        <v>0</v>
      </c>
      <c r="N80" s="316">
        <f>+'HART M'!D80</f>
        <v>0</v>
      </c>
      <c r="O80" s="315">
        <f>+'VICTOIRE M'!C80</f>
        <v>18.100000000000001</v>
      </c>
      <c r="P80" s="316">
        <f>+'VICTOIRE M'!D80</f>
        <v>0</v>
      </c>
      <c r="Q80" s="315">
        <f>+'TH4 M '!C80</f>
        <v>16.36</v>
      </c>
      <c r="R80" s="316">
        <f>+'TH4 M '!D80</f>
        <v>0</v>
      </c>
      <c r="S80" s="315">
        <f>+'DIVES M'!C80</f>
        <v>18.260000000000002</v>
      </c>
      <c r="T80" s="316">
        <f>+'DIVES M'!D80</f>
        <v>0</v>
      </c>
      <c r="U80" s="315">
        <f>+'R314 M '!C80</f>
        <v>16.05</v>
      </c>
      <c r="V80" s="316">
        <f>+'R314 M '!D80</f>
        <v>0</v>
      </c>
      <c r="W80" s="315">
        <f>+'LYSE M '!C80</f>
        <v>17.899999999999999</v>
      </c>
      <c r="X80" s="316">
        <f>+'LYSE M '!D80</f>
        <v>0</v>
      </c>
      <c r="Y80" s="315">
        <f>+'ARTHUR M '!C80</f>
        <v>16.260000000000002</v>
      </c>
      <c r="Z80" s="316">
        <f>+'ARTHUR M '!D80</f>
        <v>0</v>
      </c>
      <c r="AA80" s="315">
        <f>+'HUGO M '!C80</f>
        <v>19.350000000000001</v>
      </c>
      <c r="AB80" s="316">
        <f>+'HUGO M '!D80</f>
        <v>0</v>
      </c>
      <c r="AC80" s="315">
        <f>+'JEANCLO M '!C80</f>
        <v>13.91</v>
      </c>
      <c r="AD80" s="316">
        <f>+'JEANCLO M '!D80</f>
        <v>0</v>
      </c>
      <c r="AE80" s="315">
        <f>+'THOMAS M'!G80</f>
        <v>-7.9999999999998295E-2</v>
      </c>
      <c r="AF80" s="316">
        <f>+'THOMAS M'!H80</f>
        <v>0</v>
      </c>
      <c r="AG80" s="315">
        <f>+'CATALINA M'!G80</f>
        <v>-0.25</v>
      </c>
      <c r="AH80" s="316">
        <f>+'CATALINA M'!H80</f>
        <v>0</v>
      </c>
      <c r="AI80" s="315">
        <f>+(VLOOKUP(PARAMETRES!$C$2,DONNÉES!$B$236:$H$247,2,FALSE))</f>
        <v>15.830714285714285</v>
      </c>
      <c r="AJ80" s="316"/>
    </row>
    <row r="81" spans="1:36" ht="14.25" thickTop="1" thickBot="1" x14ac:dyDescent="0.25">
      <c r="A81" s="13"/>
      <c r="B81" s="66"/>
      <c r="C81" s="29"/>
      <c r="D81" s="30"/>
      <c r="E81" s="29"/>
      <c r="F81" s="30"/>
      <c r="G81" s="29"/>
      <c r="H81" s="30"/>
      <c r="I81" s="29"/>
      <c r="J81" s="30"/>
      <c r="K81" s="29"/>
      <c r="L81" s="30"/>
      <c r="M81" s="29"/>
      <c r="N81" s="30"/>
      <c r="O81" s="29"/>
      <c r="P81" s="30"/>
      <c r="Q81" s="29"/>
      <c r="R81" s="30"/>
      <c r="S81" s="29"/>
      <c r="T81" s="30"/>
      <c r="U81" s="29"/>
      <c r="V81" s="30"/>
      <c r="W81" s="29"/>
      <c r="X81" s="30"/>
      <c r="Y81" s="29"/>
      <c r="Z81" s="30"/>
      <c r="AA81" s="29"/>
      <c r="AB81" s="30"/>
      <c r="AC81" s="29"/>
      <c r="AD81" s="30"/>
      <c r="AE81" s="29"/>
      <c r="AF81" s="30"/>
      <c r="AG81" s="29"/>
      <c r="AH81" s="30"/>
      <c r="AI81" s="29"/>
      <c r="AJ81" s="30"/>
    </row>
  </sheetData>
  <mergeCells count="71">
    <mergeCell ref="Y5:Z5"/>
    <mergeCell ref="Y77:Z77"/>
    <mergeCell ref="Y78:Z78"/>
    <mergeCell ref="Y80:Z80"/>
    <mergeCell ref="AE5:AF5"/>
    <mergeCell ref="AE77:AF77"/>
    <mergeCell ref="AE78:AF78"/>
    <mergeCell ref="AE80:AF80"/>
    <mergeCell ref="AC5:AD5"/>
    <mergeCell ref="AC77:AD77"/>
    <mergeCell ref="AC78:AD78"/>
    <mergeCell ref="AC80:AD80"/>
    <mergeCell ref="AA5:AB5"/>
    <mergeCell ref="AA77:AB77"/>
    <mergeCell ref="AA78:AB78"/>
    <mergeCell ref="AA80:AB80"/>
    <mergeCell ref="AI5:AJ5"/>
    <mergeCell ref="AI77:AJ77"/>
    <mergeCell ref="AI78:AJ78"/>
    <mergeCell ref="AI80:AJ80"/>
    <mergeCell ref="B3:AJ3"/>
    <mergeCell ref="U5:V5"/>
    <mergeCell ref="U77:V77"/>
    <mergeCell ref="U78:V78"/>
    <mergeCell ref="U80:V80"/>
    <mergeCell ref="W5:X5"/>
    <mergeCell ref="W77:X77"/>
    <mergeCell ref="W78:X78"/>
    <mergeCell ref="W80:X80"/>
    <mergeCell ref="Q5:R5"/>
    <mergeCell ref="Q77:R77"/>
    <mergeCell ref="Q78:R78"/>
    <mergeCell ref="Q80:R80"/>
    <mergeCell ref="S5:T5"/>
    <mergeCell ref="S77:T77"/>
    <mergeCell ref="S78:T78"/>
    <mergeCell ref="S80:T80"/>
    <mergeCell ref="M5:N5"/>
    <mergeCell ref="M77:N77"/>
    <mergeCell ref="M78:N78"/>
    <mergeCell ref="M80:N80"/>
    <mergeCell ref="O5:P5"/>
    <mergeCell ref="O77:P77"/>
    <mergeCell ref="O78:P78"/>
    <mergeCell ref="O80:P80"/>
    <mergeCell ref="I80:J80"/>
    <mergeCell ref="K5:L5"/>
    <mergeCell ref="K77:L77"/>
    <mergeCell ref="K78:L78"/>
    <mergeCell ref="K80:L80"/>
    <mergeCell ref="E78:F78"/>
    <mergeCell ref="G78:H78"/>
    <mergeCell ref="I5:J5"/>
    <mergeCell ref="I77:J77"/>
    <mergeCell ref="I78:J78"/>
    <mergeCell ref="AG5:AH5"/>
    <mergeCell ref="AG77:AH77"/>
    <mergeCell ref="AG78:AH78"/>
    <mergeCell ref="AG80:AH80"/>
    <mergeCell ref="A5:A6"/>
    <mergeCell ref="B5:B6"/>
    <mergeCell ref="E5:F5"/>
    <mergeCell ref="G5:H5"/>
    <mergeCell ref="C80:D80"/>
    <mergeCell ref="E80:F80"/>
    <mergeCell ref="G80:H80"/>
    <mergeCell ref="C5:D5"/>
    <mergeCell ref="C77:D77"/>
    <mergeCell ref="E77:F77"/>
    <mergeCell ref="G77:H77"/>
    <mergeCell ref="C78:D78"/>
  </mergeCells>
  <pageMargins left="0.70866141732283472" right="0.70866141732283472" top="0.74803149606299213" bottom="0.74803149606299213" header="0.31496062992125984" footer="0.31496062992125984"/>
  <pageSetup paperSize="9" scale="40" fitToWidth="2" orientation="landscape" r:id="rId1"/>
  <headerFooter>
    <oddFooter>&amp;C&amp;"Helv,Gras"&amp;11Page &amp;P / &amp;N</oddFooter>
  </headerFooter>
  <colBreaks count="1" manualBreakCount="1">
    <brk id="24" max="1048575" man="1"/>
  </colBreaks>
  <ignoredErrors>
    <ignoredError sqref="AI9:AJ9 E8:X76 AJ8 AI17:AJ17 AJ10:AJ16 AI27:AJ27 AJ18:AJ26 AI34:AJ34 AJ28:AJ33 AI43:AJ43 AJ35:AJ42 AI45:AJ45 AJ44 AI60:AJ60 AJ46:AJ57 AJ58 AJ59 AI62:AJ62 AJ61 AI66:AJ66 AJ63:AJ65 AI68:AJ68 AJ67 AI71:AJ71 AJ69 AJ70 AI73:AJ73 AJ72 AI75:AJ75 AJ74 AJ76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7A594-BBD2-4C27-9A9A-09EE63CDA652}">
  <sheetPr>
    <tabColor theme="9" tint="0.59999389629810485"/>
    <pageSetUpPr fitToPage="1"/>
  </sheetPr>
  <dimension ref="A1:AJ81"/>
  <sheetViews>
    <sheetView showGridLines="0" view="pageBreakPreview" topLeftCell="L58" zoomScaleNormal="70" zoomScaleSheetLayoutView="100" zoomScalePageLayoutView="5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12.5703125" style="20" customWidth="1"/>
    <col min="10" max="10" width="8.42578125" style="21" customWidth="1"/>
    <col min="11" max="11" width="12.5703125" style="20" customWidth="1"/>
    <col min="12" max="12" width="8.42578125" style="21" customWidth="1"/>
    <col min="13" max="13" width="12.5703125" style="20" customWidth="1"/>
    <col min="14" max="14" width="8.42578125" style="21" customWidth="1"/>
    <col min="15" max="15" width="12.5703125" style="20" customWidth="1"/>
    <col min="16" max="16" width="8.42578125" style="21" customWidth="1"/>
    <col min="17" max="17" width="12.5703125" style="20" customWidth="1"/>
    <col min="18" max="18" width="8.42578125" style="21" customWidth="1"/>
    <col min="19" max="19" width="12.5703125" style="20" customWidth="1"/>
    <col min="20" max="20" width="8.42578125" style="21" customWidth="1"/>
    <col min="21" max="21" width="12.5703125" style="20" customWidth="1"/>
    <col min="22" max="22" width="8.42578125" style="21" customWidth="1"/>
    <col min="23" max="23" width="12.5703125" style="20" customWidth="1"/>
    <col min="24" max="24" width="8.42578125" style="21" customWidth="1"/>
    <col min="25" max="25" width="12.5703125" style="20" customWidth="1"/>
    <col min="26" max="26" width="8.42578125" style="21" customWidth="1"/>
    <col min="27" max="27" width="12.5703125" style="20" customWidth="1"/>
    <col min="28" max="28" width="8.42578125" style="21" customWidth="1"/>
    <col min="29" max="29" width="12.5703125" style="20" customWidth="1"/>
    <col min="30" max="30" width="8.42578125" style="21" customWidth="1"/>
    <col min="31" max="31" width="12.5703125" style="20" customWidth="1"/>
    <col min="32" max="32" width="8.42578125" style="21" customWidth="1"/>
    <col min="33" max="33" width="12.5703125" style="20" customWidth="1"/>
    <col min="34" max="34" width="8.42578125" style="21" customWidth="1"/>
    <col min="35" max="35" width="12.5703125" style="20" customWidth="1"/>
    <col min="36" max="36" width="8.42578125" style="21" customWidth="1"/>
    <col min="37" max="16384" width="7" style="6"/>
  </cols>
  <sheetData>
    <row r="1" spans="1:36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  <c r="I1" s="44"/>
      <c r="J1" s="75"/>
      <c r="K1" s="44"/>
      <c r="L1" s="75"/>
      <c r="M1" s="44"/>
      <c r="N1" s="75"/>
      <c r="O1" s="44"/>
      <c r="P1" s="75"/>
      <c r="Q1" s="44"/>
      <c r="R1" s="75"/>
      <c r="S1" s="44"/>
      <c r="T1" s="75"/>
      <c r="U1" s="44"/>
      <c r="V1" s="75"/>
      <c r="W1" s="44"/>
      <c r="X1" s="75"/>
      <c r="Y1" s="44"/>
      <c r="Z1" s="75"/>
      <c r="AA1" s="44"/>
      <c r="AB1" s="75"/>
      <c r="AC1" s="44"/>
      <c r="AD1" s="75"/>
      <c r="AE1" s="44"/>
      <c r="AF1" s="75"/>
      <c r="AG1" s="44"/>
      <c r="AH1" s="75"/>
      <c r="AI1" s="44"/>
      <c r="AJ1" s="75"/>
    </row>
    <row r="2" spans="1:36" x14ac:dyDescent="0.2">
      <c r="B2" s="7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</row>
    <row r="3" spans="1:36" ht="15.75" x14ac:dyDescent="0.25">
      <c r="B3" s="300" t="str">
        <f>CONCATENATE("P&amp;L cumulés au ",DONNÉES!B5)</f>
        <v>P&amp;L cumulés au 31 Janvier</v>
      </c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  <c r="W3" s="300"/>
      <c r="X3" s="300"/>
      <c r="Y3" s="300"/>
      <c r="Z3" s="300"/>
      <c r="AA3" s="300"/>
      <c r="AB3" s="300"/>
      <c r="AC3" s="300"/>
      <c r="AD3" s="300"/>
      <c r="AE3" s="300"/>
      <c r="AF3" s="300"/>
      <c r="AG3" s="300"/>
      <c r="AH3" s="300"/>
      <c r="AI3" s="300"/>
      <c r="AJ3" s="300"/>
    </row>
    <row r="4" spans="1:36" ht="12.6" customHeight="1" thickBot="1" x14ac:dyDescent="0.25"/>
    <row r="5" spans="1:36" s="1" customFormat="1" ht="16.899999999999999" customHeight="1" x14ac:dyDescent="0.2">
      <c r="A5" s="308" t="s">
        <v>2962</v>
      </c>
      <c r="B5" s="293" t="s">
        <v>70</v>
      </c>
      <c r="C5" s="310" t="s">
        <v>2999</v>
      </c>
      <c r="D5" s="311"/>
      <c r="E5" s="310" t="s">
        <v>3001</v>
      </c>
      <c r="F5" s="311"/>
      <c r="G5" s="310" t="s">
        <v>210</v>
      </c>
      <c r="H5" s="311"/>
      <c r="I5" s="310" t="s">
        <v>3003</v>
      </c>
      <c r="J5" s="311"/>
      <c r="K5" s="310" t="s">
        <v>2156</v>
      </c>
      <c r="L5" s="311"/>
      <c r="M5" s="310" t="s">
        <v>3000</v>
      </c>
      <c r="N5" s="311"/>
      <c r="O5" s="310" t="s">
        <v>6900</v>
      </c>
      <c r="P5" s="311"/>
      <c r="Q5" s="310" t="s">
        <v>297</v>
      </c>
      <c r="R5" s="311"/>
      <c r="S5" s="310" t="s">
        <v>296</v>
      </c>
      <c r="T5" s="311"/>
      <c r="U5" s="310" t="s">
        <v>292</v>
      </c>
      <c r="V5" s="311"/>
      <c r="W5" s="310" t="s">
        <v>294</v>
      </c>
      <c r="X5" s="311"/>
      <c r="Y5" s="310" t="s">
        <v>6963</v>
      </c>
      <c r="Z5" s="311"/>
      <c r="AA5" s="310" t="s">
        <v>6964</v>
      </c>
      <c r="AB5" s="311"/>
      <c r="AC5" s="310" t="s">
        <v>6966</v>
      </c>
      <c r="AD5" s="311"/>
      <c r="AE5" s="310" t="s">
        <v>6965</v>
      </c>
      <c r="AF5" s="311"/>
      <c r="AG5" s="310" t="s">
        <v>7094</v>
      </c>
      <c r="AH5" s="311"/>
      <c r="AI5" s="310" t="s">
        <v>6903</v>
      </c>
      <c r="AJ5" s="311"/>
    </row>
    <row r="6" spans="1:36" s="1" customFormat="1" ht="16.899999999999999" customHeight="1" thickBot="1" x14ac:dyDescent="0.25">
      <c r="A6" s="309"/>
      <c r="B6" s="295"/>
      <c r="C6" s="77" t="s">
        <v>72</v>
      </c>
      <c r="D6" s="78" t="s">
        <v>57</v>
      </c>
      <c r="E6" s="77" t="s">
        <v>72</v>
      </c>
      <c r="F6" s="78" t="s">
        <v>57</v>
      </c>
      <c r="G6" s="77" t="s">
        <v>72</v>
      </c>
      <c r="H6" s="78" t="s">
        <v>57</v>
      </c>
      <c r="I6" s="77" t="s">
        <v>72</v>
      </c>
      <c r="J6" s="78" t="s">
        <v>57</v>
      </c>
      <c r="K6" s="77" t="s">
        <v>72</v>
      </c>
      <c r="L6" s="78" t="s">
        <v>57</v>
      </c>
      <c r="M6" s="77" t="s">
        <v>72</v>
      </c>
      <c r="N6" s="78" t="s">
        <v>57</v>
      </c>
      <c r="O6" s="77" t="s">
        <v>72</v>
      </c>
      <c r="P6" s="78" t="s">
        <v>57</v>
      </c>
      <c r="Q6" s="77" t="s">
        <v>72</v>
      </c>
      <c r="R6" s="78" t="s">
        <v>57</v>
      </c>
      <c r="S6" s="77" t="s">
        <v>72</v>
      </c>
      <c r="T6" s="78" t="s">
        <v>57</v>
      </c>
      <c r="U6" s="77" t="s">
        <v>72</v>
      </c>
      <c r="V6" s="78" t="s">
        <v>57</v>
      </c>
      <c r="W6" s="77" t="s">
        <v>72</v>
      </c>
      <c r="X6" s="78" t="s">
        <v>57</v>
      </c>
      <c r="Y6" s="77" t="s">
        <v>72</v>
      </c>
      <c r="Z6" s="78" t="s">
        <v>57</v>
      </c>
      <c r="AA6" s="77" t="s">
        <v>72</v>
      </c>
      <c r="AB6" s="78" t="s">
        <v>57</v>
      </c>
      <c r="AC6" s="77" t="s">
        <v>72</v>
      </c>
      <c r="AD6" s="78" t="s">
        <v>57</v>
      </c>
      <c r="AE6" s="77" t="s">
        <v>72</v>
      </c>
      <c r="AF6" s="78" t="s">
        <v>57</v>
      </c>
      <c r="AG6" s="77" t="s">
        <v>72</v>
      </c>
      <c r="AH6" s="78" t="s">
        <v>57</v>
      </c>
      <c r="AI6" s="77" t="s">
        <v>72</v>
      </c>
      <c r="AJ6" s="78" t="s">
        <v>57</v>
      </c>
    </row>
    <row r="7" spans="1:36" x14ac:dyDescent="0.2">
      <c r="A7" s="43"/>
      <c r="B7" s="61"/>
      <c r="C7" s="2"/>
      <c r="D7" s="3"/>
      <c r="E7" s="2"/>
      <c r="F7" s="3"/>
      <c r="G7" s="2"/>
      <c r="H7" s="3"/>
      <c r="I7" s="2"/>
      <c r="J7" s="3"/>
      <c r="K7" s="2"/>
      <c r="L7" s="3"/>
      <c r="M7" s="2"/>
      <c r="N7" s="3"/>
      <c r="O7" s="2"/>
      <c r="P7" s="3"/>
      <c r="Q7" s="2"/>
      <c r="R7" s="3"/>
      <c r="S7" s="2"/>
      <c r="T7" s="3"/>
      <c r="U7" s="2"/>
      <c r="V7" s="3"/>
      <c r="W7" s="2"/>
      <c r="X7" s="3"/>
      <c r="Y7" s="2"/>
      <c r="Z7" s="3"/>
      <c r="AA7" s="2"/>
      <c r="AB7" s="3"/>
      <c r="AC7" s="2"/>
      <c r="AD7" s="3"/>
      <c r="AE7" s="2"/>
      <c r="AF7" s="3"/>
      <c r="AG7" s="2"/>
      <c r="AH7" s="3"/>
      <c r="AI7" s="2"/>
      <c r="AJ7" s="3"/>
    </row>
    <row r="8" spans="1:36" ht="16.899999999999999" customHeight="1" thickBot="1" x14ac:dyDescent="0.25">
      <c r="A8" s="7" t="s">
        <v>68</v>
      </c>
      <c r="B8" s="69" t="s">
        <v>109</v>
      </c>
      <c r="C8" s="70">
        <f>+'GLR5 A'!C8</f>
        <v>415855.11</v>
      </c>
      <c r="D8" s="71">
        <f>(C8*100)/C$8</f>
        <v>100</v>
      </c>
      <c r="E8" s="70">
        <f>+'HTR8 A'!C8</f>
        <v>206795.07</v>
      </c>
      <c r="F8" s="71">
        <f>(E8*100)/E$8</f>
        <v>100</v>
      </c>
      <c r="G8" s="70">
        <f>+'TIRR A'!C8</f>
        <v>261126.99</v>
      </c>
      <c r="H8" s="71">
        <f>(G8*100)/G$8</f>
        <v>100</v>
      </c>
      <c r="I8" s="70">
        <f>+'VR7 A'!C8</f>
        <v>0</v>
      </c>
      <c r="J8" s="71" t="e">
        <f>(I8*100)/I$8</f>
        <v>#DIV/0!</v>
      </c>
      <c r="K8" s="70">
        <f>+'TURVILLA A'!C8</f>
        <v>457867.94</v>
      </c>
      <c r="L8" s="71">
        <f>(K8*100)/K$8</f>
        <v>100</v>
      </c>
      <c r="M8" s="70">
        <f>+'HART A'!C8</f>
        <v>0</v>
      </c>
      <c r="N8" s="71" t="e">
        <f>(M8*100)/M$8</f>
        <v>#DIV/0!</v>
      </c>
      <c r="O8" s="70">
        <f>+'VICTOIRE A'!C8</f>
        <v>225059.06</v>
      </c>
      <c r="P8" s="71">
        <f>(O8*100)/O$8</f>
        <v>100</v>
      </c>
      <c r="Q8" s="70">
        <f>+'TH4 A'!C8</f>
        <v>352127.46</v>
      </c>
      <c r="R8" s="71">
        <f>(Q8*100)/Q$8</f>
        <v>100</v>
      </c>
      <c r="S8" s="70">
        <f>+'DIVES A'!C8</f>
        <v>241429.07</v>
      </c>
      <c r="T8" s="71">
        <f>(S8*100)/S$8</f>
        <v>100</v>
      </c>
      <c r="U8" s="70">
        <f>+'R314 A'!C8</f>
        <v>318555.94</v>
      </c>
      <c r="V8" s="71">
        <f>(U8*100)/U$8</f>
        <v>100</v>
      </c>
      <c r="W8" s="70">
        <f>+'LYSE A'!C8</f>
        <v>379222.46</v>
      </c>
      <c r="X8" s="71">
        <f>(W8*100)/W$8</f>
        <v>100</v>
      </c>
      <c r="Y8" s="70">
        <f>+'ARTHUR A'!C8</f>
        <v>456583.12</v>
      </c>
      <c r="Z8" s="71">
        <f>(Y8*100)/Y$8</f>
        <v>100</v>
      </c>
      <c r="AA8" s="70">
        <f>+'HUGO A'!C8</f>
        <v>539353.96</v>
      </c>
      <c r="AB8" s="71">
        <f>(AA8*100)/AA$8</f>
        <v>100</v>
      </c>
      <c r="AC8" s="70">
        <f>+'JEANCLO A'!C8</f>
        <v>217685.38</v>
      </c>
      <c r="AD8" s="71">
        <f>(AC8*100)/AC$8</f>
        <v>100</v>
      </c>
      <c r="AE8" s="70">
        <f>+'THOMAS A'!C8</f>
        <v>225059.06</v>
      </c>
      <c r="AF8" s="71">
        <f>(AE8*100)/AE$8</f>
        <v>100</v>
      </c>
      <c r="AG8" s="70">
        <f>+'CATALINA A'!C8</f>
        <v>207907.62</v>
      </c>
      <c r="AH8" s="71">
        <f>(AG8*100)/AG$8</f>
        <v>100</v>
      </c>
      <c r="AI8" s="70">
        <f>+C8+E8+G8+I8+K8+M8+O8+Q8+S8+U8+W8+Y8+AA8+AC8+AE8+AG8</f>
        <v>4504628.2399999993</v>
      </c>
      <c r="AJ8" s="71">
        <f>(AI8*100)/AI$8</f>
        <v>100</v>
      </c>
    </row>
    <row r="9" spans="1:36" ht="7.15" customHeight="1" thickTop="1" x14ac:dyDescent="0.2">
      <c r="A9" s="8"/>
      <c r="B9" s="8"/>
      <c r="C9" s="42"/>
      <c r="D9" s="10"/>
      <c r="E9" s="42"/>
      <c r="F9" s="10"/>
      <c r="G9" s="42"/>
      <c r="H9" s="10"/>
      <c r="I9" s="42"/>
      <c r="J9" s="10"/>
      <c r="K9" s="42"/>
      <c r="L9" s="10"/>
      <c r="M9" s="42"/>
      <c r="N9" s="10"/>
      <c r="O9" s="42"/>
      <c r="P9" s="10"/>
      <c r="Q9" s="42"/>
      <c r="R9" s="10"/>
      <c r="S9" s="42"/>
      <c r="T9" s="10"/>
      <c r="U9" s="42"/>
      <c r="V9" s="10"/>
      <c r="W9" s="42"/>
      <c r="X9" s="10"/>
      <c r="Y9" s="42"/>
      <c r="Z9" s="10"/>
      <c r="AA9" s="42"/>
      <c r="AB9" s="10"/>
      <c r="AC9" s="42"/>
      <c r="AD9" s="10"/>
      <c r="AE9" s="42"/>
      <c r="AF9" s="10"/>
      <c r="AG9" s="42"/>
      <c r="AH9" s="10"/>
      <c r="AI9" s="42"/>
      <c r="AJ9" s="10"/>
    </row>
    <row r="10" spans="1:36" s="18" customFormat="1" x14ac:dyDescent="0.2">
      <c r="A10" s="13" t="s">
        <v>123</v>
      </c>
      <c r="B10" s="14" t="s">
        <v>2963</v>
      </c>
      <c r="C10" s="23">
        <f>+'GLR5 A'!C10</f>
        <v>93925.95</v>
      </c>
      <c r="D10" s="17">
        <f t="shared" ref="D10:D16" si="0">(C10*100)/C$8</f>
        <v>22.586219993785818</v>
      </c>
      <c r="E10" s="23">
        <f>+'HTR8 A'!C10</f>
        <v>47716.75</v>
      </c>
      <c r="F10" s="17">
        <f>(E10*100)/E$8</f>
        <v>23.07441371788989</v>
      </c>
      <c r="G10" s="23">
        <f>+'TIRR A'!C10</f>
        <v>58132.49</v>
      </c>
      <c r="H10" s="17">
        <f>(G10*100)/G$8</f>
        <v>22.262152985411429</v>
      </c>
      <c r="I10" s="23">
        <f>+'VR7 A'!C10</f>
        <v>0</v>
      </c>
      <c r="J10" s="17" t="e">
        <f>(I10*100)/I$8</f>
        <v>#DIV/0!</v>
      </c>
      <c r="K10" s="23">
        <f>+'TURVILLA A'!C10</f>
        <v>104319.25</v>
      </c>
      <c r="L10" s="17">
        <f>(K10*100)/K$8</f>
        <v>22.783698286453514</v>
      </c>
      <c r="M10" s="23">
        <f>+'HART A'!C10</f>
        <v>0</v>
      </c>
      <c r="N10" s="17" t="e">
        <f>(M10*100)/M$8</f>
        <v>#DIV/0!</v>
      </c>
      <c r="O10" s="23">
        <f>+'VICTOIRE A'!C10</f>
        <v>49662.43</v>
      </c>
      <c r="P10" s="17">
        <f>(O10*100)/O$8</f>
        <v>22.066398926575097</v>
      </c>
      <c r="Q10" s="23">
        <f>+'TH4 A'!C10</f>
        <v>79368.210000000006</v>
      </c>
      <c r="R10" s="17">
        <f>(Q10*100)/Q$8</f>
        <v>22.539625282277051</v>
      </c>
      <c r="S10" s="23">
        <f>+'DIVES A'!C10</f>
        <v>54126.95</v>
      </c>
      <c r="T10" s="17">
        <f>(S10*100)/S$8</f>
        <v>22.419400447510316</v>
      </c>
      <c r="U10" s="23">
        <f>+'R314 A'!C10</f>
        <v>69062.44</v>
      </c>
      <c r="V10" s="17">
        <f>(U10*100)/U$8</f>
        <v>21.679846873990169</v>
      </c>
      <c r="W10" s="23">
        <f>+'LYSE A'!C10</f>
        <v>83826.460000000006</v>
      </c>
      <c r="X10" s="17">
        <f>(W10*100)/W$8</f>
        <v>22.104824698410532</v>
      </c>
      <c r="Y10" s="23">
        <f>+'ARTHUR A'!C10</f>
        <v>102230.68</v>
      </c>
      <c r="Z10" s="17">
        <f>(Y10*100)/Y$8</f>
        <v>22.390376586852359</v>
      </c>
      <c r="AA10" s="23">
        <f>+'HUGO A'!C10</f>
        <v>122091.34</v>
      </c>
      <c r="AB10" s="17">
        <f>(AA10*100)/AA$8</f>
        <v>22.636589151955054</v>
      </c>
      <c r="AC10" s="23">
        <f>+'JEANCLO A'!C10</f>
        <v>47830.02</v>
      </c>
      <c r="AD10" s="17">
        <f>(AC10*100)/AC$8</f>
        <v>21.972086503925986</v>
      </c>
      <c r="AE10" s="23">
        <f>+'THOMAS A'!C10</f>
        <v>49662.43</v>
      </c>
      <c r="AF10" s="17">
        <f>(AE10*100)/AE$8</f>
        <v>22.066398926575097</v>
      </c>
      <c r="AG10" s="23">
        <f>+'CATALINA A'!C10</f>
        <v>46670.29</v>
      </c>
      <c r="AH10" s="17">
        <f>(AG10*100)/AG$8</f>
        <v>22.447609183347875</v>
      </c>
      <c r="AI10" s="23">
        <f t="shared" ref="AI10:AI16" si="1">+C10+E10+G10+I10+K10+M10+O10+Q10+S10+U10+W10+Y10+AA10+AC10+AE10+AG10</f>
        <v>1008625.69</v>
      </c>
      <c r="AJ10" s="17">
        <f>(AI10*100)/AI$8</f>
        <v>22.390875256778131</v>
      </c>
    </row>
    <row r="11" spans="1:36" s="18" customFormat="1" x14ac:dyDescent="0.2">
      <c r="A11" s="13" t="s">
        <v>124</v>
      </c>
      <c r="B11" s="14" t="s">
        <v>4</v>
      </c>
      <c r="C11" s="23">
        <f>+'GLR5 A'!C11</f>
        <v>1729.73</v>
      </c>
      <c r="D11" s="17">
        <f t="shared" si="0"/>
        <v>0.41594535173560809</v>
      </c>
      <c r="E11" s="23">
        <f>+'HTR8 A'!C11</f>
        <v>1143.1600000000001</v>
      </c>
      <c r="F11" s="17">
        <f t="shared" ref="F11:F16" si="2">(E11*100)/E$8</f>
        <v>0.55279847822290928</v>
      </c>
      <c r="G11" s="23">
        <f>+'TIRR A'!C11</f>
        <v>832.65</v>
      </c>
      <c r="H11" s="17">
        <f t="shared" ref="H11:H16" si="3">(G11*100)/G$8</f>
        <v>0.31886784280705721</v>
      </c>
      <c r="I11" s="23">
        <f>+'VR7 A'!C11</f>
        <v>0</v>
      </c>
      <c r="J11" s="17" t="e">
        <f t="shared" ref="J11:J16" si="4">(I11*100)/I$8</f>
        <v>#DIV/0!</v>
      </c>
      <c r="K11" s="23">
        <f>+'TURVILLA A'!C11</f>
        <v>1982.79</v>
      </c>
      <c r="L11" s="17">
        <f t="shared" ref="L11:L16" si="5">(K11*100)/K$8</f>
        <v>0.43304844623976074</v>
      </c>
      <c r="M11" s="23">
        <f>+'HART A'!C11</f>
        <v>0</v>
      </c>
      <c r="N11" s="17" t="e">
        <f t="shared" ref="N11:N16" si="6">(M11*100)/M$8</f>
        <v>#DIV/0!</v>
      </c>
      <c r="O11" s="23">
        <f>+'VICTOIRE A'!C11</f>
        <v>1353.01</v>
      </c>
      <c r="P11" s="17">
        <f t="shared" ref="P11:P16" si="7">(O11*100)/O$8</f>
        <v>0.60117997471419282</v>
      </c>
      <c r="Q11" s="23">
        <f>+'TH4 A'!C11</f>
        <v>1708.71</v>
      </c>
      <c r="R11" s="17">
        <f t="shared" ref="R11:R16" si="8">(Q11*100)/Q$8</f>
        <v>0.48525326596227397</v>
      </c>
      <c r="S11" s="23">
        <f>+'DIVES A'!C11</f>
        <v>1309.58</v>
      </c>
      <c r="T11" s="17">
        <f t="shared" ref="T11:T16" si="9">(S11*100)/S$8</f>
        <v>0.54242846563589042</v>
      </c>
      <c r="U11" s="23">
        <f>+'R314 A'!C11</f>
        <v>1654.31</v>
      </c>
      <c r="V11" s="17">
        <f t="shared" ref="V11:V16" si="10">(U11*100)/U$8</f>
        <v>0.51931538303759139</v>
      </c>
      <c r="W11" s="23">
        <f>+'LYSE A'!C11</f>
        <v>1513.63</v>
      </c>
      <c r="X11" s="17">
        <f t="shared" ref="X11:X16" si="11">(W11*100)/W$8</f>
        <v>0.39914038846749739</v>
      </c>
      <c r="Y11" s="23">
        <f>+'ARTHUR A'!C11</f>
        <v>2311.5500000000002</v>
      </c>
      <c r="Z11" s="17">
        <f t="shared" ref="Z11:Z16" si="12">(Y11*100)/Y$8</f>
        <v>0.50627145392497219</v>
      </c>
      <c r="AA11" s="23">
        <f>+'HUGO A'!C11</f>
        <v>1881.18</v>
      </c>
      <c r="AB11" s="17">
        <f t="shared" ref="AB11:AB16" si="13">(AA11*100)/AA$8</f>
        <v>0.34878394143986635</v>
      </c>
      <c r="AC11" s="23">
        <f>+'JEANCLO A'!C11</f>
        <v>1208.45</v>
      </c>
      <c r="AD11" s="17">
        <f t="shared" ref="AD11:AD16" si="14">(AC11*100)/AC$8</f>
        <v>0.55513604083103785</v>
      </c>
      <c r="AE11" s="23">
        <f>+'THOMAS A'!C11</f>
        <v>1353.01</v>
      </c>
      <c r="AF11" s="17">
        <f t="shared" ref="AF11:AF16" si="15">(AE11*100)/AE$8</f>
        <v>0.60117997471419282</v>
      </c>
      <c r="AG11" s="23">
        <f>+'CATALINA A'!C11</f>
        <v>1260.44</v>
      </c>
      <c r="AH11" s="17">
        <f t="shared" ref="AH11:AH16" si="16">(AG11*100)/AG$8</f>
        <v>0.60625002585282828</v>
      </c>
      <c r="AI11" s="23">
        <f t="shared" si="1"/>
        <v>21242.199999999997</v>
      </c>
      <c r="AJ11" s="17">
        <f t="shared" ref="AJ11:AJ16" si="17">(AI11*100)/AI$8</f>
        <v>0.47156388647956438</v>
      </c>
    </row>
    <row r="12" spans="1:36" s="18" customFormat="1" x14ac:dyDescent="0.2">
      <c r="A12" s="13" t="s">
        <v>125</v>
      </c>
      <c r="B12" s="14" t="s">
        <v>2</v>
      </c>
      <c r="C12" s="23">
        <f>+'GLR5 A'!C12</f>
        <v>2065.16</v>
      </c>
      <c r="D12" s="17">
        <f t="shared" si="0"/>
        <v>0.4966056567153882</v>
      </c>
      <c r="E12" s="23">
        <f>+'HTR8 A'!C12</f>
        <v>1221.5</v>
      </c>
      <c r="F12" s="17">
        <f t="shared" si="2"/>
        <v>0.59068139293649502</v>
      </c>
      <c r="G12" s="23">
        <f>+'TIRR A'!C12</f>
        <v>1711.68</v>
      </c>
      <c r="H12" s="17">
        <f t="shared" si="3"/>
        <v>0.6554971586812991</v>
      </c>
      <c r="I12" s="23">
        <f>+'VR7 A'!C12</f>
        <v>0</v>
      </c>
      <c r="J12" s="17" t="e">
        <f t="shared" si="4"/>
        <v>#DIV/0!</v>
      </c>
      <c r="K12" s="23">
        <f>+'TURVILLA A'!C12</f>
        <v>2641.78</v>
      </c>
      <c r="L12" s="17">
        <f t="shared" si="5"/>
        <v>0.57697422536288523</v>
      </c>
      <c r="M12" s="23">
        <f>+'HART A'!C12</f>
        <v>0</v>
      </c>
      <c r="N12" s="17" t="e">
        <f t="shared" si="6"/>
        <v>#DIV/0!</v>
      </c>
      <c r="O12" s="23">
        <f>+'VICTOIRE A'!C12</f>
        <v>1893.68</v>
      </c>
      <c r="P12" s="17">
        <f t="shared" si="7"/>
        <v>0.8414146935475515</v>
      </c>
      <c r="Q12" s="23">
        <f>+'TH4 A'!C12</f>
        <v>2849.78</v>
      </c>
      <c r="R12" s="17">
        <f t="shared" si="8"/>
        <v>0.80930354025783724</v>
      </c>
      <c r="S12" s="23">
        <f>+'DIVES A'!C12</f>
        <v>1897.66</v>
      </c>
      <c r="T12" s="17">
        <f t="shared" si="9"/>
        <v>0.78601139456818514</v>
      </c>
      <c r="U12" s="23">
        <f>+'R314 A'!C12</f>
        <v>2347.48</v>
      </c>
      <c r="V12" s="17">
        <f t="shared" si="10"/>
        <v>0.73691295789367484</v>
      </c>
      <c r="W12" s="23">
        <f>+'LYSE A'!C12</f>
        <v>2800.7</v>
      </c>
      <c r="X12" s="17">
        <f t="shared" si="11"/>
        <v>0.73853748008490838</v>
      </c>
      <c r="Y12" s="23">
        <f>+'ARTHUR A'!C12</f>
        <v>3055.25</v>
      </c>
      <c r="Z12" s="17">
        <f t="shared" si="12"/>
        <v>0.6691552679389462</v>
      </c>
      <c r="AA12" s="23">
        <f>+'HUGO A'!C12</f>
        <v>3908.97</v>
      </c>
      <c r="AB12" s="17">
        <f t="shared" si="13"/>
        <v>0.72475040324168571</v>
      </c>
      <c r="AC12" s="23">
        <f>+'JEANCLO A'!C12</f>
        <v>1821.88</v>
      </c>
      <c r="AD12" s="17">
        <f t="shared" si="14"/>
        <v>0.83693264104369336</v>
      </c>
      <c r="AE12" s="23">
        <f>+'THOMAS A'!C12</f>
        <v>1893.68</v>
      </c>
      <c r="AF12" s="17">
        <f t="shared" si="15"/>
        <v>0.8414146935475515</v>
      </c>
      <c r="AG12" s="23">
        <f>+'CATALINA A'!C12</f>
        <v>1373.11</v>
      </c>
      <c r="AH12" s="17">
        <f t="shared" si="16"/>
        <v>0.66044236377675813</v>
      </c>
      <c r="AI12" s="23">
        <f t="shared" si="1"/>
        <v>31482.310000000005</v>
      </c>
      <c r="AJ12" s="17">
        <f t="shared" si="17"/>
        <v>0.69888808404753089</v>
      </c>
    </row>
    <row r="13" spans="1:36" s="59" customFormat="1" ht="13.5" x14ac:dyDescent="0.2">
      <c r="A13" s="60"/>
      <c r="B13" s="62" t="s">
        <v>6</v>
      </c>
      <c r="C13" s="55">
        <f>+'GLR5 A'!C13</f>
        <v>97720.84</v>
      </c>
      <c r="D13" s="56">
        <f t="shared" si="0"/>
        <v>23.498771002236815</v>
      </c>
      <c r="E13" s="55">
        <f>+'HTR8 A'!C13</f>
        <v>50081.41</v>
      </c>
      <c r="F13" s="56">
        <f t="shared" si="2"/>
        <v>24.217893589049293</v>
      </c>
      <c r="G13" s="55">
        <f>+'TIRR A'!C13</f>
        <v>60676.82</v>
      </c>
      <c r="H13" s="56">
        <f t="shared" si="3"/>
        <v>23.236517986899784</v>
      </c>
      <c r="I13" s="55">
        <f>+'VR7 A'!C13</f>
        <v>0</v>
      </c>
      <c r="J13" s="56" t="e">
        <f t="shared" si="4"/>
        <v>#DIV/0!</v>
      </c>
      <c r="K13" s="55">
        <f>+'TURVILLA A'!C13</f>
        <v>108943.81999999999</v>
      </c>
      <c r="L13" s="56">
        <f t="shared" si="5"/>
        <v>23.793720958056159</v>
      </c>
      <c r="M13" s="55">
        <f>+'HART A'!C13</f>
        <v>0</v>
      </c>
      <c r="N13" s="56" t="e">
        <f t="shared" si="6"/>
        <v>#DIV/0!</v>
      </c>
      <c r="O13" s="55">
        <f>+'VICTOIRE A'!C13</f>
        <v>52909.120000000003</v>
      </c>
      <c r="P13" s="56">
        <f t="shared" si="7"/>
        <v>23.508993594836841</v>
      </c>
      <c r="Q13" s="55">
        <f>+'TH4 A'!C13</f>
        <v>83926.700000000012</v>
      </c>
      <c r="R13" s="56">
        <f t="shared" si="8"/>
        <v>23.834182088497162</v>
      </c>
      <c r="S13" s="55">
        <f>+'DIVES A'!C13</f>
        <v>57334.19</v>
      </c>
      <c r="T13" s="56">
        <f t="shared" si="9"/>
        <v>23.747840307714394</v>
      </c>
      <c r="U13" s="55">
        <f>+'R314 A'!C13</f>
        <v>73064.23</v>
      </c>
      <c r="V13" s="56">
        <f t="shared" si="10"/>
        <v>22.936075214921434</v>
      </c>
      <c r="W13" s="55">
        <f>+'LYSE A'!C13</f>
        <v>88140.790000000008</v>
      </c>
      <c r="X13" s="56">
        <f t="shared" si="11"/>
        <v>23.242502566962937</v>
      </c>
      <c r="Y13" s="55">
        <f>+'ARTHUR A'!C13</f>
        <v>107597.48</v>
      </c>
      <c r="Z13" s="56">
        <f t="shared" si="12"/>
        <v>23.565803308716276</v>
      </c>
      <c r="AA13" s="55">
        <f>+'HUGO A'!C13</f>
        <v>127881.48999999999</v>
      </c>
      <c r="AB13" s="56">
        <f t="shared" si="13"/>
        <v>23.710123496636609</v>
      </c>
      <c r="AC13" s="55">
        <f>+'JEANCLO A'!C13</f>
        <v>50860.349999999991</v>
      </c>
      <c r="AD13" s="56">
        <f t="shared" si="14"/>
        <v>23.364155185800712</v>
      </c>
      <c r="AE13" s="55">
        <f>+'THOMAS A'!C13</f>
        <v>52909.120000000003</v>
      </c>
      <c r="AF13" s="56">
        <f t="shared" si="15"/>
        <v>23.508993594836841</v>
      </c>
      <c r="AG13" s="55">
        <f>+'CATALINA A'!C13</f>
        <v>49303.840000000004</v>
      </c>
      <c r="AH13" s="56">
        <f t="shared" si="16"/>
        <v>23.714301572977462</v>
      </c>
      <c r="AI13" s="55">
        <f t="shared" si="1"/>
        <v>1061350.2</v>
      </c>
      <c r="AJ13" s="56">
        <f t="shared" si="17"/>
        <v>23.561327227305224</v>
      </c>
    </row>
    <row r="14" spans="1:36" s="18" customFormat="1" x14ac:dyDescent="0.2">
      <c r="A14" s="13" t="s">
        <v>126</v>
      </c>
      <c r="B14" s="14" t="s">
        <v>8</v>
      </c>
      <c r="C14" s="23">
        <f>+'GLR5 A'!C14</f>
        <v>10345.09</v>
      </c>
      <c r="D14" s="17">
        <f t="shared" si="0"/>
        <v>2.487666918413002</v>
      </c>
      <c r="E14" s="23">
        <f>+'HTR8 A'!C14</f>
        <v>4766.1099999999997</v>
      </c>
      <c r="F14" s="17">
        <f t="shared" si="2"/>
        <v>2.3047503018326303</v>
      </c>
      <c r="G14" s="23">
        <f>+'TIRR A'!C14</f>
        <v>5799.9</v>
      </c>
      <c r="H14" s="17">
        <f t="shared" si="3"/>
        <v>2.2211032264416635</v>
      </c>
      <c r="I14" s="23">
        <f>+'VR7 A'!C14</f>
        <v>0</v>
      </c>
      <c r="J14" s="17" t="e">
        <f t="shared" si="4"/>
        <v>#DIV/0!</v>
      </c>
      <c r="K14" s="23">
        <f>+'TURVILLA A'!C14</f>
        <v>9613.99</v>
      </c>
      <c r="L14" s="17">
        <f t="shared" si="5"/>
        <v>2.0997298915490785</v>
      </c>
      <c r="M14" s="23">
        <f>+'HART A'!C14</f>
        <v>0</v>
      </c>
      <c r="N14" s="17" t="e">
        <f t="shared" si="6"/>
        <v>#DIV/0!</v>
      </c>
      <c r="O14" s="23">
        <f>+'VICTOIRE A'!C14</f>
        <v>4062.77</v>
      </c>
      <c r="P14" s="17">
        <f t="shared" si="7"/>
        <v>1.8052017101644342</v>
      </c>
      <c r="Q14" s="23">
        <f>+'TH4 A'!C14</f>
        <v>8180.9</v>
      </c>
      <c r="R14" s="17">
        <f t="shared" si="8"/>
        <v>2.3232780539183167</v>
      </c>
      <c r="S14" s="23">
        <f>+'DIVES A'!C14</f>
        <v>5388.11</v>
      </c>
      <c r="T14" s="17">
        <f t="shared" si="9"/>
        <v>2.2317569296853939</v>
      </c>
      <c r="U14" s="23">
        <f>+'R314 A'!C14</f>
        <v>7841.94</v>
      </c>
      <c r="V14" s="17">
        <f t="shared" si="10"/>
        <v>2.461715201417999</v>
      </c>
      <c r="W14" s="23">
        <f>+'LYSE A'!C14</f>
        <v>9133.39</v>
      </c>
      <c r="X14" s="17">
        <f t="shared" si="11"/>
        <v>2.4084517567867683</v>
      </c>
      <c r="Y14" s="23">
        <f>+'ARTHUR A'!C14</f>
        <v>10912.77</v>
      </c>
      <c r="Z14" s="17">
        <f t="shared" si="12"/>
        <v>2.3900949294840337</v>
      </c>
      <c r="AA14" s="23">
        <f>+'HUGO A'!C14</f>
        <v>12190.04</v>
      </c>
      <c r="AB14" s="17">
        <f t="shared" si="13"/>
        <v>2.2601187539255299</v>
      </c>
      <c r="AC14" s="23">
        <f>+'JEANCLO A'!C14</f>
        <v>5086.7299999999996</v>
      </c>
      <c r="AD14" s="17">
        <f t="shared" si="14"/>
        <v>2.3367347866907733</v>
      </c>
      <c r="AE14" s="23">
        <f>+'THOMAS A'!C14</f>
        <v>4062.77</v>
      </c>
      <c r="AF14" s="17">
        <f t="shared" si="15"/>
        <v>1.8052017101644342</v>
      </c>
      <c r="AG14" s="23">
        <f>+'CATALINA A'!C14</f>
        <v>4704.92</v>
      </c>
      <c r="AH14" s="17">
        <f t="shared" si="16"/>
        <v>2.2629858395762503</v>
      </c>
      <c r="AI14" s="23">
        <f t="shared" si="1"/>
        <v>102089.43000000001</v>
      </c>
      <c r="AJ14" s="17">
        <f t="shared" si="17"/>
        <v>2.2663230917364228</v>
      </c>
    </row>
    <row r="15" spans="1:36" s="18" customFormat="1" x14ac:dyDescent="0.2">
      <c r="A15" s="13" t="s">
        <v>2964</v>
      </c>
      <c r="B15" s="14" t="s">
        <v>2965</v>
      </c>
      <c r="C15" s="23">
        <f>+'GLR5 A'!C15</f>
        <v>2248.7800000000002</v>
      </c>
      <c r="D15" s="17">
        <f t="shared" si="0"/>
        <v>0.54076045861261635</v>
      </c>
      <c r="E15" s="23">
        <f>+'HTR8 A'!C15</f>
        <v>112.86</v>
      </c>
      <c r="F15" s="17">
        <f t="shared" si="2"/>
        <v>5.457576914188525E-2</v>
      </c>
      <c r="G15" s="23">
        <f>+'TIRR A'!C15</f>
        <v>440.51</v>
      </c>
      <c r="H15" s="17">
        <f t="shared" si="3"/>
        <v>0.16869569859477185</v>
      </c>
      <c r="I15" s="23">
        <f>+'VR7 A'!C15</f>
        <v>0</v>
      </c>
      <c r="J15" s="17" t="e">
        <f t="shared" si="4"/>
        <v>#DIV/0!</v>
      </c>
      <c r="K15" s="23">
        <f>+'TURVILLA A'!C15</f>
        <v>-1786.19</v>
      </c>
      <c r="L15" s="17">
        <f t="shared" si="5"/>
        <v>-0.39011030123664042</v>
      </c>
      <c r="M15" s="23">
        <f>+'HART A'!C15</f>
        <v>0</v>
      </c>
      <c r="N15" s="17" t="e">
        <f t="shared" si="6"/>
        <v>#DIV/0!</v>
      </c>
      <c r="O15" s="23">
        <f>+'VICTOIRE A'!C15</f>
        <v>164.78</v>
      </c>
      <c r="P15" s="17">
        <f t="shared" si="7"/>
        <v>7.3216337080586752E-2</v>
      </c>
      <c r="Q15" s="23">
        <f>+'TH4 A'!C15</f>
        <v>952.43</v>
      </c>
      <c r="R15" s="17">
        <f t="shared" si="8"/>
        <v>0.27047876357044121</v>
      </c>
      <c r="S15" s="23">
        <f>+'DIVES A'!C15</f>
        <v>-200.18</v>
      </c>
      <c r="T15" s="17">
        <f t="shared" si="9"/>
        <v>-8.291462167335524E-2</v>
      </c>
      <c r="U15" s="23">
        <f>+'R314 A'!C15</f>
        <v>223.94</v>
      </c>
      <c r="V15" s="17">
        <f t="shared" si="10"/>
        <v>7.0298485094956953E-2</v>
      </c>
      <c r="W15" s="23">
        <f>+'LYSE A'!C15</f>
        <v>285.94</v>
      </c>
      <c r="X15" s="17">
        <f t="shared" si="11"/>
        <v>7.5401652106787134E-2</v>
      </c>
      <c r="Y15" s="23">
        <f>+'ARTHUR A'!C15</f>
        <v>-343.14</v>
      </c>
      <c r="Z15" s="17">
        <f t="shared" si="12"/>
        <v>-7.5153895308262816E-2</v>
      </c>
      <c r="AA15" s="23">
        <f>+'HUGO A'!C15</f>
        <v>156</v>
      </c>
      <c r="AB15" s="17">
        <f t="shared" si="13"/>
        <v>2.8923492097842392E-2</v>
      </c>
      <c r="AC15" s="23">
        <f>+'JEANCLO A'!C15</f>
        <v>4274.5600000000004</v>
      </c>
      <c r="AD15" s="17">
        <f t="shared" si="14"/>
        <v>1.9636412881747045</v>
      </c>
      <c r="AE15" s="23">
        <f>+'THOMAS A'!C15</f>
        <v>164.78</v>
      </c>
      <c r="AF15" s="17">
        <f t="shared" si="15"/>
        <v>7.3216337080586752E-2</v>
      </c>
      <c r="AG15" s="23">
        <f>+'CATALINA A'!C15</f>
        <v>2120.61</v>
      </c>
      <c r="AH15" s="17">
        <f t="shared" si="16"/>
        <v>1.0199770455743757</v>
      </c>
      <c r="AI15" s="23">
        <f t="shared" si="1"/>
        <v>8815.68</v>
      </c>
      <c r="AJ15" s="17">
        <f t="shared" si="17"/>
        <v>0.19570272018718246</v>
      </c>
    </row>
    <row r="16" spans="1:36" ht="13.5" thickBot="1" x14ac:dyDescent="0.25">
      <c r="A16" s="7"/>
      <c r="B16" s="63" t="s">
        <v>10</v>
      </c>
      <c r="C16" s="49">
        <f>+'GLR5 A'!C16</f>
        <v>110314.70999999999</v>
      </c>
      <c r="D16" s="50">
        <f t="shared" si="0"/>
        <v>26.527198379262433</v>
      </c>
      <c r="E16" s="49">
        <f>+'HTR8 A'!C16</f>
        <v>54960.380000000005</v>
      </c>
      <c r="F16" s="50">
        <f t="shared" si="2"/>
        <v>26.577219660023808</v>
      </c>
      <c r="G16" s="49">
        <f>+'TIRR A'!C16</f>
        <v>66917.23</v>
      </c>
      <c r="H16" s="50">
        <f t="shared" si="3"/>
        <v>25.626316911936222</v>
      </c>
      <c r="I16" s="49">
        <f>+'VR7 A'!C16</f>
        <v>0</v>
      </c>
      <c r="J16" s="50" t="e">
        <f t="shared" si="4"/>
        <v>#DIV/0!</v>
      </c>
      <c r="K16" s="49">
        <f>+'TURVILLA A'!C16</f>
        <v>116771.62</v>
      </c>
      <c r="L16" s="50">
        <f t="shared" si="5"/>
        <v>25.503340548368598</v>
      </c>
      <c r="M16" s="49">
        <f>+'HART A'!C16</f>
        <v>0</v>
      </c>
      <c r="N16" s="50" t="e">
        <f t="shared" si="6"/>
        <v>#DIV/0!</v>
      </c>
      <c r="O16" s="49">
        <f>+'VICTOIRE A'!C16</f>
        <v>57136.670000000006</v>
      </c>
      <c r="P16" s="50">
        <f t="shared" si="7"/>
        <v>25.387411642081865</v>
      </c>
      <c r="Q16" s="49">
        <f>+'TH4 A'!C16</f>
        <v>93060.030000000013</v>
      </c>
      <c r="R16" s="50">
        <f t="shared" si="8"/>
        <v>26.427938905985922</v>
      </c>
      <c r="S16" s="49">
        <f>+'DIVES A'!C16</f>
        <v>62522.12</v>
      </c>
      <c r="T16" s="50">
        <f t="shared" si="9"/>
        <v>25.896682615726434</v>
      </c>
      <c r="U16" s="49">
        <f>+'R314 A'!C16</f>
        <v>81130.11</v>
      </c>
      <c r="V16" s="50">
        <f t="shared" si="10"/>
        <v>25.468088901434392</v>
      </c>
      <c r="W16" s="49">
        <f>+'LYSE A'!C16</f>
        <v>97560.12000000001</v>
      </c>
      <c r="X16" s="50">
        <f t="shared" si="11"/>
        <v>25.726355975856496</v>
      </c>
      <c r="Y16" s="49">
        <f>+'ARTHUR A'!C16</f>
        <v>118167.11</v>
      </c>
      <c r="Z16" s="50">
        <f t="shared" si="12"/>
        <v>25.880744342892047</v>
      </c>
      <c r="AA16" s="49">
        <f>+'HUGO A'!C16</f>
        <v>140227.53</v>
      </c>
      <c r="AB16" s="50">
        <f t="shared" si="13"/>
        <v>25.999165742659979</v>
      </c>
      <c r="AC16" s="49">
        <f>+'JEANCLO A'!C16</f>
        <v>60221.639999999992</v>
      </c>
      <c r="AD16" s="50">
        <f t="shared" si="14"/>
        <v>27.664531260666191</v>
      </c>
      <c r="AE16" s="49">
        <f>+'THOMAS A'!C16</f>
        <v>57136.670000000006</v>
      </c>
      <c r="AF16" s="50">
        <f t="shared" si="15"/>
        <v>25.387411642081865</v>
      </c>
      <c r="AG16" s="49">
        <f>+'CATALINA A'!C16</f>
        <v>56129.37</v>
      </c>
      <c r="AH16" s="50">
        <f t="shared" si="16"/>
        <v>26.997264458128086</v>
      </c>
      <c r="AI16" s="49">
        <f t="shared" si="1"/>
        <v>1172255.31</v>
      </c>
      <c r="AJ16" s="50">
        <f t="shared" si="17"/>
        <v>26.02335303922883</v>
      </c>
    </row>
    <row r="17" spans="1:36" ht="14.25" thickTop="1" thickBot="1" x14ac:dyDescent="0.25">
      <c r="A17" s="8"/>
      <c r="B17" s="64"/>
      <c r="C17" s="52"/>
      <c r="D17" s="54"/>
      <c r="E17" s="52"/>
      <c r="F17" s="54"/>
      <c r="G17" s="52"/>
      <c r="H17" s="54"/>
      <c r="I17" s="52"/>
      <c r="J17" s="54"/>
      <c r="K17" s="52"/>
      <c r="L17" s="54"/>
      <c r="M17" s="52"/>
      <c r="N17" s="54"/>
      <c r="O17" s="52"/>
      <c r="P17" s="54"/>
      <c r="Q17" s="52"/>
      <c r="R17" s="54"/>
      <c r="S17" s="52"/>
      <c r="T17" s="54"/>
      <c r="U17" s="52"/>
      <c r="V17" s="54"/>
      <c r="W17" s="52"/>
      <c r="X17" s="54"/>
      <c r="Y17" s="52"/>
      <c r="Z17" s="54"/>
      <c r="AA17" s="52"/>
      <c r="AB17" s="54"/>
      <c r="AC17" s="52"/>
      <c r="AD17" s="54"/>
      <c r="AE17" s="52"/>
      <c r="AF17" s="54"/>
      <c r="AG17" s="52"/>
      <c r="AH17" s="54"/>
      <c r="AI17" s="52"/>
      <c r="AJ17" s="54"/>
    </row>
    <row r="18" spans="1:36" ht="16.899999999999999" customHeight="1" thickBot="1" x14ac:dyDescent="0.25">
      <c r="A18" s="7"/>
      <c r="B18" s="69" t="s">
        <v>58</v>
      </c>
      <c r="C18" s="70">
        <f>+'GLR5 A'!C18</f>
        <v>305540.40000000002</v>
      </c>
      <c r="D18" s="71">
        <f>(C18*100)/C$8</f>
        <v>73.472801620737584</v>
      </c>
      <c r="E18" s="70">
        <f>+'HTR8 A'!C18</f>
        <v>151834.69</v>
      </c>
      <c r="F18" s="71">
        <f>(E18*100)/E$8</f>
        <v>73.422780339976185</v>
      </c>
      <c r="G18" s="70">
        <f>+'TIRR A'!C18</f>
        <v>194209.76</v>
      </c>
      <c r="H18" s="71">
        <f>(G18*100)/G$8</f>
        <v>74.373683088063785</v>
      </c>
      <c r="I18" s="70">
        <f>+'VR7 A'!C18</f>
        <v>0</v>
      </c>
      <c r="J18" s="71" t="e">
        <f>(I18*100)/I$8</f>
        <v>#DIV/0!</v>
      </c>
      <c r="K18" s="70">
        <f>+'TURVILLA A'!C18</f>
        <v>341096.32</v>
      </c>
      <c r="L18" s="71">
        <f>(K18*100)/K$8</f>
        <v>74.496659451631402</v>
      </c>
      <c r="M18" s="70">
        <f>+'HART A'!C18</f>
        <v>0</v>
      </c>
      <c r="N18" s="71" t="e">
        <f>(M18*100)/M$8</f>
        <v>#DIV/0!</v>
      </c>
      <c r="O18" s="70">
        <f>+'VICTOIRE A'!C18</f>
        <v>167922.38999999998</v>
      </c>
      <c r="P18" s="71">
        <f>(O18*100)/O$8</f>
        <v>74.612588357918142</v>
      </c>
      <c r="Q18" s="70">
        <f>+'TH4 A'!C18</f>
        <v>259067.43</v>
      </c>
      <c r="R18" s="71">
        <f>(Q18*100)/Q$8</f>
        <v>73.572061094014074</v>
      </c>
      <c r="S18" s="70">
        <f>+'DIVES A'!C18</f>
        <v>178906.95</v>
      </c>
      <c r="T18" s="71">
        <f>(S18*100)/S$8</f>
        <v>74.103317384273566</v>
      </c>
      <c r="U18" s="70">
        <f>+'R314 A'!C18</f>
        <v>237425.83000000002</v>
      </c>
      <c r="V18" s="71">
        <f>(U18*100)/U$8</f>
        <v>74.531911098565601</v>
      </c>
      <c r="W18" s="70">
        <f>+'LYSE A'!C18</f>
        <v>281662.34000000003</v>
      </c>
      <c r="X18" s="71">
        <f>(W18*100)/W$8</f>
        <v>74.273644024143508</v>
      </c>
      <c r="Y18" s="70">
        <f>+'ARTHUR A'!C18</f>
        <v>338416.01</v>
      </c>
      <c r="Z18" s="71">
        <f>(Y18*100)/Y$8</f>
        <v>74.119255657107956</v>
      </c>
      <c r="AA18" s="70">
        <f>+'HUGO A'!C18</f>
        <v>399126.42999999993</v>
      </c>
      <c r="AB18" s="71">
        <f>(AA18*100)/AA$8</f>
        <v>74.000834257340017</v>
      </c>
      <c r="AC18" s="70">
        <f>+'JEANCLO A'!C18</f>
        <v>157463.74000000002</v>
      </c>
      <c r="AD18" s="71">
        <f>(AC18*100)/AC$8</f>
        <v>72.335468739333805</v>
      </c>
      <c r="AE18" s="70">
        <f>+'THOMAS A'!C18</f>
        <v>167922.38999999998</v>
      </c>
      <c r="AF18" s="71">
        <f>(AE18*100)/AE$8</f>
        <v>74.612588357918142</v>
      </c>
      <c r="AG18" s="70">
        <f>+'CATALINA A'!C18</f>
        <v>151778.25</v>
      </c>
      <c r="AH18" s="71">
        <f>(AG18*100)/AG$8</f>
        <v>73.002735541871914</v>
      </c>
      <c r="AI18" s="70">
        <f>+C18+E18+G18+I18+K18+M18+O18+Q18+S18+U18+W18+Y18+AA18+AC18+AE18+AG18</f>
        <v>3332372.93</v>
      </c>
      <c r="AJ18" s="71">
        <f>(AI18*100)/AI$8</f>
        <v>73.976646960771191</v>
      </c>
    </row>
    <row r="19" spans="1:36" ht="7.15" customHeight="1" thickTop="1" x14ac:dyDescent="0.2">
      <c r="A19" s="8"/>
      <c r="B19" s="11"/>
      <c r="C19" s="19"/>
      <c r="D19" s="10"/>
      <c r="E19" s="19"/>
      <c r="F19" s="10"/>
      <c r="G19" s="19"/>
      <c r="H19" s="10"/>
      <c r="I19" s="19"/>
      <c r="J19" s="10"/>
      <c r="K19" s="19"/>
      <c r="L19" s="10"/>
      <c r="M19" s="19"/>
      <c r="N19" s="10"/>
      <c r="O19" s="19"/>
      <c r="P19" s="10"/>
      <c r="Q19" s="19"/>
      <c r="R19" s="10"/>
      <c r="S19" s="19"/>
      <c r="T19" s="10"/>
      <c r="U19" s="19"/>
      <c r="V19" s="10"/>
      <c r="W19" s="19"/>
      <c r="X19" s="10"/>
      <c r="Y19" s="19"/>
      <c r="Z19" s="10"/>
      <c r="AA19" s="19"/>
      <c r="AB19" s="10"/>
      <c r="AC19" s="19"/>
      <c r="AD19" s="10"/>
      <c r="AE19" s="19"/>
      <c r="AF19" s="10"/>
      <c r="AG19" s="19"/>
      <c r="AH19" s="10"/>
      <c r="AI19" s="19"/>
      <c r="AJ19" s="10"/>
    </row>
    <row r="20" spans="1:36" s="18" customFormat="1" x14ac:dyDescent="0.2">
      <c r="A20" s="13">
        <v>8</v>
      </c>
      <c r="B20" s="14" t="s">
        <v>2967</v>
      </c>
      <c r="C20" s="23">
        <f>+'GLR5 A'!C20</f>
        <v>65020.78</v>
      </c>
      <c r="D20" s="17">
        <f t="shared" ref="D20:D26" si="18">(C20*100)/C$8</f>
        <v>15.635440911138497</v>
      </c>
      <c r="E20" s="23">
        <f>+'HTR8 A'!C20</f>
        <v>27746.240000000002</v>
      </c>
      <c r="F20" s="17">
        <f t="shared" ref="F20:F26" si="19">(E20*100)/E$8</f>
        <v>13.417263767458286</v>
      </c>
      <c r="G20" s="23">
        <f>+'TIRR A'!C20</f>
        <v>30718.240000000002</v>
      </c>
      <c r="H20" s="17">
        <f t="shared" ref="H20:H26" si="20">(G20*100)/G$8</f>
        <v>11.763716956259481</v>
      </c>
      <c r="I20" s="23">
        <f>+'VR7 A'!C20</f>
        <v>0</v>
      </c>
      <c r="J20" s="17" t="e">
        <f t="shared" ref="J20:J26" si="21">(I20*100)/I$8</f>
        <v>#DIV/0!</v>
      </c>
      <c r="K20" s="23">
        <f>+'TURVILLA A'!C20</f>
        <v>64605.69</v>
      </c>
      <c r="L20" s="17">
        <f t="shared" ref="L20:L26" si="22">(K20*100)/K$8</f>
        <v>14.110114370532255</v>
      </c>
      <c r="M20" s="23">
        <f>+'HART A'!C20</f>
        <v>0</v>
      </c>
      <c r="N20" s="17" t="e">
        <f t="shared" ref="N20:N26" si="23">(M20*100)/M$8</f>
        <v>#DIV/0!</v>
      </c>
      <c r="O20" s="23">
        <f>+'VICTOIRE A'!C20</f>
        <v>27614.92</v>
      </c>
      <c r="P20" s="17">
        <f t="shared" ref="P20:P26" si="24">(O20*100)/O$8</f>
        <v>12.270077018894508</v>
      </c>
      <c r="Q20" s="23">
        <f>+'TH4 A'!C20</f>
        <v>59378.89</v>
      </c>
      <c r="R20" s="17">
        <f t="shared" ref="R20:R26" si="25">(Q20*100)/Q$8</f>
        <v>16.862896747671993</v>
      </c>
      <c r="S20" s="23">
        <f>+'DIVES A'!C20</f>
        <v>34545.57</v>
      </c>
      <c r="T20" s="17">
        <f t="shared" ref="T20:T26" si="26">(S20*100)/S$8</f>
        <v>14.308786427417377</v>
      </c>
      <c r="U20" s="23">
        <f>+'R314 A'!C20</f>
        <v>46251.02</v>
      </c>
      <c r="V20" s="17">
        <f t="shared" ref="V20:V26" si="27">(U20*100)/U$8</f>
        <v>14.518963294170563</v>
      </c>
      <c r="W20" s="23">
        <f>+'LYSE A'!C20</f>
        <v>56758.27</v>
      </c>
      <c r="X20" s="17">
        <f t="shared" ref="X20:X26" si="28">(W20*100)/W$8</f>
        <v>14.967011711278914</v>
      </c>
      <c r="Y20" s="23">
        <f>+'ARTHUR A'!C20</f>
        <v>71165.5</v>
      </c>
      <c r="Z20" s="17">
        <f t="shared" ref="Z20:Z26" si="29">(Y20*100)/Y$8</f>
        <v>15.586537671388291</v>
      </c>
      <c r="AA20" s="23">
        <f>+'HUGO A'!C20</f>
        <v>72086.84</v>
      </c>
      <c r="AB20" s="17">
        <f t="shared" ref="AB20:AB26" si="30">(AA20*100)/AA$8</f>
        <v>13.365404789092493</v>
      </c>
      <c r="AC20" s="23">
        <f>+'JEANCLO A'!C20</f>
        <v>37851.33</v>
      </c>
      <c r="AD20" s="17">
        <f t="shared" ref="AD20:AD26" si="31">(AC20*100)/AC$8</f>
        <v>17.388090095898953</v>
      </c>
      <c r="AE20" s="23">
        <f>+'THOMAS A'!C20</f>
        <v>27614.92</v>
      </c>
      <c r="AF20" s="17">
        <f t="shared" ref="AF20:AF26" si="32">(AE20*100)/AE$8</f>
        <v>12.270077018894508</v>
      </c>
      <c r="AG20" s="23">
        <f>+'CATALINA A'!C20</f>
        <v>31504.47</v>
      </c>
      <c r="AH20" s="17">
        <f t="shared" ref="AH20:AH26" si="33">(AG20*100)/AG$8</f>
        <v>15.153109828297779</v>
      </c>
      <c r="AI20" s="23">
        <f t="shared" ref="AI20:AI26" si="34">+C20+E20+G20+I20+K20+M20+O20+Q20+S20+U20+W20+Y20+AA20+AC20+AE20+AG20</f>
        <v>652862.68000000005</v>
      </c>
      <c r="AJ20" s="17">
        <f t="shared" ref="AJ20:AJ26" si="35">(AI20*100)/AI$8</f>
        <v>14.493153379511739</v>
      </c>
    </row>
    <row r="21" spans="1:36" s="18" customFormat="1" x14ac:dyDescent="0.2">
      <c r="A21" s="13">
        <v>9</v>
      </c>
      <c r="B21" s="14" t="s">
        <v>2968</v>
      </c>
      <c r="C21" s="23">
        <f>+'GLR5 A'!C21</f>
        <v>9096.2999999999993</v>
      </c>
      <c r="D21" s="17">
        <f t="shared" si="18"/>
        <v>2.1873724240156625</v>
      </c>
      <c r="E21" s="23">
        <f>+'HTR8 A'!C21</f>
        <v>2839.08</v>
      </c>
      <c r="F21" s="17">
        <f t="shared" si="19"/>
        <v>1.3728953983284031</v>
      </c>
      <c r="G21" s="23">
        <f>+'TIRR A'!C21</f>
        <v>4628.82</v>
      </c>
      <c r="H21" s="17">
        <f t="shared" si="20"/>
        <v>1.7726317758267731</v>
      </c>
      <c r="I21" s="23">
        <f>+'VR7 A'!C21</f>
        <v>0</v>
      </c>
      <c r="J21" s="17" t="e">
        <f t="shared" si="21"/>
        <v>#DIV/0!</v>
      </c>
      <c r="K21" s="23">
        <f>+'TURVILLA A'!C21</f>
        <v>7542.51</v>
      </c>
      <c r="L21" s="17">
        <f t="shared" si="22"/>
        <v>1.6473112312689986</v>
      </c>
      <c r="M21" s="23">
        <f>+'HART A'!C21</f>
        <v>0</v>
      </c>
      <c r="N21" s="17" t="e">
        <f t="shared" si="23"/>
        <v>#DIV/0!</v>
      </c>
      <c r="O21" s="23">
        <f>+'VICTOIRE A'!C21</f>
        <v>3379.71</v>
      </c>
      <c r="P21" s="17">
        <f t="shared" si="24"/>
        <v>1.5016991539909568</v>
      </c>
      <c r="Q21" s="23">
        <f>+'TH4 A'!C21</f>
        <v>6795.6</v>
      </c>
      <c r="R21" s="17">
        <f t="shared" si="25"/>
        <v>1.9298693717326105</v>
      </c>
      <c r="S21" s="23">
        <f>+'DIVES A'!C21</f>
        <v>5064.83</v>
      </c>
      <c r="T21" s="17">
        <f t="shared" si="26"/>
        <v>2.0978542476264352</v>
      </c>
      <c r="U21" s="23">
        <f>+'R314 A'!C21</f>
        <v>8299.73</v>
      </c>
      <c r="V21" s="17">
        <f t="shared" si="27"/>
        <v>2.6054230851887428</v>
      </c>
      <c r="W21" s="23">
        <f>+'LYSE A'!C21</f>
        <v>8575.49</v>
      </c>
      <c r="X21" s="17">
        <f t="shared" si="28"/>
        <v>2.2613349430832761</v>
      </c>
      <c r="Y21" s="23">
        <f>+'ARTHUR A'!C21</f>
        <v>10039.93</v>
      </c>
      <c r="Z21" s="17">
        <f t="shared" si="29"/>
        <v>2.1989271088252234</v>
      </c>
      <c r="AA21" s="23">
        <f>+'HUGO A'!C21</f>
        <v>10795.29</v>
      </c>
      <c r="AB21" s="17">
        <f t="shared" si="30"/>
        <v>2.0015223398007498</v>
      </c>
      <c r="AC21" s="23">
        <f>+'JEANCLO A'!C21</f>
        <v>6354.98</v>
      </c>
      <c r="AD21" s="17">
        <f t="shared" si="31"/>
        <v>2.9193416663994616</v>
      </c>
      <c r="AE21" s="23">
        <f>+'THOMAS A'!C21</f>
        <v>3379.71</v>
      </c>
      <c r="AF21" s="17">
        <f t="shared" si="32"/>
        <v>1.5016991539909568</v>
      </c>
      <c r="AG21" s="23">
        <f>+'CATALINA A'!C21</f>
        <v>4668.12</v>
      </c>
      <c r="AH21" s="17">
        <f t="shared" si="33"/>
        <v>2.2452856706262136</v>
      </c>
      <c r="AI21" s="23">
        <f t="shared" si="34"/>
        <v>91460.1</v>
      </c>
      <c r="AJ21" s="17">
        <f t="shared" si="35"/>
        <v>2.0303584475153054</v>
      </c>
    </row>
    <row r="22" spans="1:36" s="18" customFormat="1" x14ac:dyDescent="0.2">
      <c r="A22" s="13" t="s">
        <v>12</v>
      </c>
      <c r="B22" s="14" t="s">
        <v>14</v>
      </c>
      <c r="C22" s="23">
        <f>+'GLR5 A'!C22</f>
        <v>19851.349999999999</v>
      </c>
      <c r="D22" s="17">
        <f t="shared" si="18"/>
        <v>4.773621754942484</v>
      </c>
      <c r="E22" s="23">
        <f>+'HTR8 A'!C22</f>
        <v>17972.82</v>
      </c>
      <c r="F22" s="17">
        <f t="shared" si="19"/>
        <v>8.6911259538247201</v>
      </c>
      <c r="G22" s="23">
        <f>+'TIRR A'!C22</f>
        <v>15280.19</v>
      </c>
      <c r="H22" s="17">
        <f t="shared" si="20"/>
        <v>5.851631805659002</v>
      </c>
      <c r="I22" s="23">
        <f>+'VR7 A'!C22</f>
        <v>0</v>
      </c>
      <c r="J22" s="17" t="e">
        <f t="shared" si="21"/>
        <v>#DIV/0!</v>
      </c>
      <c r="K22" s="23">
        <f>+'TURVILLA A'!C22</f>
        <v>21675.87</v>
      </c>
      <c r="L22" s="17">
        <f t="shared" si="22"/>
        <v>4.73408773717592</v>
      </c>
      <c r="M22" s="23">
        <f>+'HART A'!C22</f>
        <v>0</v>
      </c>
      <c r="N22" s="17" t="e">
        <f t="shared" si="23"/>
        <v>#DIV/0!</v>
      </c>
      <c r="O22" s="23">
        <f>+'VICTOIRE A'!C22</f>
        <v>18309.689999999999</v>
      </c>
      <c r="P22" s="17">
        <f t="shared" si="24"/>
        <v>8.1355045204578733</v>
      </c>
      <c r="Q22" s="23">
        <f>+'TH4 A'!C22</f>
        <v>18922.07</v>
      </c>
      <c r="R22" s="17">
        <f t="shared" si="25"/>
        <v>5.3736422601066103</v>
      </c>
      <c r="S22" s="23">
        <f>+'DIVES A'!C22</f>
        <v>17646.900000000001</v>
      </c>
      <c r="T22" s="17">
        <f t="shared" si="26"/>
        <v>7.3093517694451631</v>
      </c>
      <c r="U22" s="23">
        <f>+'R314 A'!C22</f>
        <v>19116.21</v>
      </c>
      <c r="V22" s="17">
        <f t="shared" si="27"/>
        <v>6.0008957924313071</v>
      </c>
      <c r="W22" s="23">
        <f>+'LYSE A'!C22</f>
        <v>11976.85</v>
      </c>
      <c r="X22" s="17">
        <f t="shared" si="28"/>
        <v>3.1582649403202541</v>
      </c>
      <c r="Y22" s="23">
        <f>+'ARTHUR A'!C22</f>
        <v>18858.77</v>
      </c>
      <c r="Z22" s="17">
        <f t="shared" si="29"/>
        <v>4.1304133188279062</v>
      </c>
      <c r="AA22" s="23">
        <f>+'HUGO A'!C22</f>
        <v>24772.49</v>
      </c>
      <c r="AB22" s="17">
        <f t="shared" si="30"/>
        <v>4.5929930689671776</v>
      </c>
      <c r="AC22" s="23">
        <f>+'JEANCLO A'!C22</f>
        <v>11027.81</v>
      </c>
      <c r="AD22" s="17">
        <f t="shared" si="31"/>
        <v>5.0659396602564675</v>
      </c>
      <c r="AE22" s="23">
        <f>+'THOMAS A'!C22</f>
        <v>18309.689999999999</v>
      </c>
      <c r="AF22" s="17">
        <f t="shared" si="32"/>
        <v>8.1355045204578733</v>
      </c>
      <c r="AG22" s="23">
        <f>+'CATALINA A'!C22</f>
        <v>13629.52</v>
      </c>
      <c r="AH22" s="17">
        <f t="shared" si="33"/>
        <v>6.5555653996712584</v>
      </c>
      <c r="AI22" s="23">
        <f t="shared" si="34"/>
        <v>247350.22999999995</v>
      </c>
      <c r="AJ22" s="17">
        <f t="shared" si="35"/>
        <v>5.4910242715167987</v>
      </c>
    </row>
    <row r="23" spans="1:36" s="18" customFormat="1" x14ac:dyDescent="0.2">
      <c r="A23" s="13" t="s">
        <v>13</v>
      </c>
      <c r="B23" s="14" t="s">
        <v>2966</v>
      </c>
      <c r="C23" s="23">
        <f>+'GLR5 A'!C23</f>
        <v>5090.05</v>
      </c>
      <c r="D23" s="17">
        <f t="shared" si="18"/>
        <v>1.2239960211141809</v>
      </c>
      <c r="E23" s="23">
        <f>+'HTR8 A'!C23</f>
        <v>3279.45</v>
      </c>
      <c r="F23" s="17">
        <f t="shared" si="19"/>
        <v>1.585845349214563</v>
      </c>
      <c r="G23" s="23">
        <f>+'TIRR A'!C23</f>
        <v>3977.4</v>
      </c>
      <c r="H23" s="17">
        <f t="shared" si="20"/>
        <v>1.5231669464730553</v>
      </c>
      <c r="I23" s="23">
        <f>+'VR7 A'!C23</f>
        <v>0</v>
      </c>
      <c r="J23" s="17" t="e">
        <f t="shared" si="21"/>
        <v>#DIV/0!</v>
      </c>
      <c r="K23" s="23">
        <f>+'TURVILLA A'!C23</f>
        <v>5195.2</v>
      </c>
      <c r="L23" s="17">
        <f t="shared" si="22"/>
        <v>1.1346503098688236</v>
      </c>
      <c r="M23" s="23">
        <f>+'HART A'!C23</f>
        <v>0</v>
      </c>
      <c r="N23" s="17" t="e">
        <f t="shared" si="23"/>
        <v>#DIV/0!</v>
      </c>
      <c r="O23" s="23">
        <f>+'VICTOIRE A'!C23</f>
        <v>4405.8599999999997</v>
      </c>
      <c r="P23" s="17">
        <f t="shared" si="24"/>
        <v>1.957646139639968</v>
      </c>
      <c r="Q23" s="23">
        <f>+'TH4 A'!C23</f>
        <v>4795.1499999999996</v>
      </c>
      <c r="R23" s="17">
        <f t="shared" si="25"/>
        <v>1.361765424372186</v>
      </c>
      <c r="S23" s="23">
        <f>+'DIVES A'!C23</f>
        <v>3707.78</v>
      </c>
      <c r="T23" s="17">
        <f t="shared" si="26"/>
        <v>1.5357636924169902</v>
      </c>
      <c r="U23" s="23">
        <f>+'R314 A'!C23</f>
        <v>4953.54</v>
      </c>
      <c r="V23" s="17">
        <f t="shared" si="27"/>
        <v>1.5549984721678711</v>
      </c>
      <c r="W23" s="23">
        <f>+'LYSE A'!C23</f>
        <v>1460.65</v>
      </c>
      <c r="X23" s="17">
        <f t="shared" si="28"/>
        <v>0.38516969696362391</v>
      </c>
      <c r="Y23" s="23">
        <f>+'ARTHUR A'!C23</f>
        <v>5409.8</v>
      </c>
      <c r="Z23" s="17">
        <f t="shared" si="29"/>
        <v>1.1848445032308685</v>
      </c>
      <c r="AA23" s="23">
        <f>+'HUGO A'!C23</f>
        <v>7984.86</v>
      </c>
      <c r="AB23" s="17">
        <f t="shared" si="30"/>
        <v>1.4804489430280627</v>
      </c>
      <c r="AC23" s="23">
        <f>+'JEANCLO A'!C23</f>
        <v>3084.86</v>
      </c>
      <c r="AD23" s="17">
        <f t="shared" si="31"/>
        <v>1.4171185956539663</v>
      </c>
      <c r="AE23" s="23">
        <f>+'THOMAS A'!C23</f>
        <v>4405.8599999999997</v>
      </c>
      <c r="AF23" s="17">
        <f t="shared" si="32"/>
        <v>1.957646139639968</v>
      </c>
      <c r="AG23" s="23">
        <f>+'CATALINA A'!C23</f>
        <v>3104.39</v>
      </c>
      <c r="AH23" s="17">
        <f t="shared" si="33"/>
        <v>1.4931583556196739</v>
      </c>
      <c r="AI23" s="23">
        <f t="shared" si="34"/>
        <v>60854.850000000006</v>
      </c>
      <c r="AJ23" s="17">
        <f t="shared" si="35"/>
        <v>1.350940560635477</v>
      </c>
    </row>
    <row r="24" spans="1:36" s="18" customFormat="1" x14ac:dyDescent="0.2">
      <c r="A24" s="13" t="s">
        <v>15</v>
      </c>
      <c r="B24" s="14" t="s">
        <v>2969</v>
      </c>
      <c r="C24" s="23">
        <f>+'GLR5 A'!C24</f>
        <v>0</v>
      </c>
      <c r="D24" s="17">
        <f t="shared" si="18"/>
        <v>0</v>
      </c>
      <c r="E24" s="23">
        <f>+'HTR8 A'!C24</f>
        <v>0</v>
      </c>
      <c r="F24" s="17">
        <f t="shared" si="19"/>
        <v>0</v>
      </c>
      <c r="G24" s="23">
        <f>+'TIRR A'!C24</f>
        <v>0</v>
      </c>
      <c r="H24" s="17">
        <f t="shared" si="20"/>
        <v>0</v>
      </c>
      <c r="I24" s="23">
        <f>+'VR7 A'!C24</f>
        <v>0</v>
      </c>
      <c r="J24" s="17" t="e">
        <f t="shared" si="21"/>
        <v>#DIV/0!</v>
      </c>
      <c r="K24" s="23">
        <f>+'TURVILLA A'!C24</f>
        <v>0</v>
      </c>
      <c r="L24" s="17">
        <f t="shared" si="22"/>
        <v>0</v>
      </c>
      <c r="M24" s="23">
        <f>+'HART A'!C24</f>
        <v>0</v>
      </c>
      <c r="N24" s="17" t="e">
        <f t="shared" si="23"/>
        <v>#DIV/0!</v>
      </c>
      <c r="O24" s="23">
        <f>+'VICTOIRE A'!C24</f>
        <v>-500</v>
      </c>
      <c r="P24" s="17">
        <f t="shared" si="24"/>
        <v>-0.22216390666521046</v>
      </c>
      <c r="Q24" s="23">
        <f>+'TH4 A'!C24</f>
        <v>0</v>
      </c>
      <c r="R24" s="17">
        <f t="shared" si="25"/>
        <v>0</v>
      </c>
      <c r="S24" s="23">
        <f>+'DIVES A'!C24</f>
        <v>0</v>
      </c>
      <c r="T24" s="17">
        <f t="shared" si="26"/>
        <v>0</v>
      </c>
      <c r="U24" s="23">
        <f>+'R314 A'!C24</f>
        <v>0</v>
      </c>
      <c r="V24" s="17">
        <f t="shared" si="27"/>
        <v>0</v>
      </c>
      <c r="W24" s="23">
        <f>+'LYSE A'!C24</f>
        <v>0</v>
      </c>
      <c r="X24" s="17">
        <f t="shared" si="28"/>
        <v>0</v>
      </c>
      <c r="Y24" s="23">
        <f>+'ARTHUR A'!C24</f>
        <v>-500</v>
      </c>
      <c r="Z24" s="17">
        <f t="shared" si="29"/>
        <v>-0.10950908566221196</v>
      </c>
      <c r="AA24" s="23">
        <f>+'HUGO A'!C24</f>
        <v>-500</v>
      </c>
      <c r="AB24" s="17">
        <f t="shared" si="30"/>
        <v>-9.2703500313597406E-2</v>
      </c>
      <c r="AC24" s="23">
        <f>+'JEANCLO A'!C24</f>
        <v>0</v>
      </c>
      <c r="AD24" s="17">
        <f t="shared" si="31"/>
        <v>0</v>
      </c>
      <c r="AE24" s="23">
        <f>+'THOMAS A'!C24</f>
        <v>-500</v>
      </c>
      <c r="AF24" s="17">
        <f t="shared" si="32"/>
        <v>-0.22216390666521046</v>
      </c>
      <c r="AG24" s="23">
        <f>+'CATALINA A'!C24</f>
        <v>-500</v>
      </c>
      <c r="AH24" s="17">
        <f t="shared" si="33"/>
        <v>-0.24049142595158368</v>
      </c>
      <c r="AI24" s="23">
        <f t="shared" si="34"/>
        <v>-2500</v>
      </c>
      <c r="AJ24" s="17">
        <f t="shared" si="35"/>
        <v>-5.5498475496837014E-2</v>
      </c>
    </row>
    <row r="25" spans="1:36" s="18" customFormat="1" x14ac:dyDescent="0.2">
      <c r="A25" s="13" t="s">
        <v>16</v>
      </c>
      <c r="B25" s="14" t="s">
        <v>2970</v>
      </c>
      <c r="C25" s="23">
        <f>+'GLR5 A'!C25</f>
        <v>0</v>
      </c>
      <c r="D25" s="17">
        <f t="shared" si="18"/>
        <v>0</v>
      </c>
      <c r="E25" s="23">
        <f>+'HTR8 A'!C25</f>
        <v>0</v>
      </c>
      <c r="F25" s="17">
        <f t="shared" si="19"/>
        <v>0</v>
      </c>
      <c r="G25" s="23">
        <f>+'TIRR A'!C25</f>
        <v>0</v>
      </c>
      <c r="H25" s="17">
        <f t="shared" si="20"/>
        <v>0</v>
      </c>
      <c r="I25" s="23">
        <f>+'VR7 A'!C25</f>
        <v>0</v>
      </c>
      <c r="J25" s="17" t="e">
        <f t="shared" si="21"/>
        <v>#DIV/0!</v>
      </c>
      <c r="K25" s="23">
        <f>+'TURVILLA A'!C25</f>
        <v>0</v>
      </c>
      <c r="L25" s="17">
        <f t="shared" si="22"/>
        <v>0</v>
      </c>
      <c r="M25" s="23">
        <f>+'HART A'!C25</f>
        <v>0</v>
      </c>
      <c r="N25" s="17" t="e">
        <f t="shared" si="23"/>
        <v>#DIV/0!</v>
      </c>
      <c r="O25" s="23">
        <f>+'VICTOIRE A'!C25</f>
        <v>0</v>
      </c>
      <c r="P25" s="17">
        <f t="shared" si="24"/>
        <v>0</v>
      </c>
      <c r="Q25" s="23">
        <f>+'TH4 A'!C25</f>
        <v>0</v>
      </c>
      <c r="R25" s="17">
        <f t="shared" si="25"/>
        <v>0</v>
      </c>
      <c r="S25" s="23">
        <f>+'DIVES A'!C25</f>
        <v>0</v>
      </c>
      <c r="T25" s="17">
        <f t="shared" si="26"/>
        <v>0</v>
      </c>
      <c r="U25" s="23">
        <f>+'R314 A'!C25</f>
        <v>0</v>
      </c>
      <c r="V25" s="17">
        <f t="shared" si="27"/>
        <v>0</v>
      </c>
      <c r="W25" s="23">
        <f>+'LYSE A'!C25</f>
        <v>0</v>
      </c>
      <c r="X25" s="17">
        <f t="shared" si="28"/>
        <v>0</v>
      </c>
      <c r="Y25" s="23">
        <f>+'ARTHUR A'!C25</f>
        <v>0</v>
      </c>
      <c r="Z25" s="17">
        <f t="shared" si="29"/>
        <v>0</v>
      </c>
      <c r="AA25" s="23">
        <f>+'HUGO A'!C25</f>
        <v>0</v>
      </c>
      <c r="AB25" s="17">
        <f t="shared" si="30"/>
        <v>0</v>
      </c>
      <c r="AC25" s="23">
        <f>+'JEANCLO A'!C25</f>
        <v>0</v>
      </c>
      <c r="AD25" s="17">
        <f t="shared" si="31"/>
        <v>0</v>
      </c>
      <c r="AE25" s="23">
        <f>+'THOMAS A'!C25</f>
        <v>0</v>
      </c>
      <c r="AF25" s="17">
        <f t="shared" si="32"/>
        <v>0</v>
      </c>
      <c r="AG25" s="23">
        <f>+'CATALINA A'!C25</f>
        <v>0</v>
      </c>
      <c r="AH25" s="17">
        <f t="shared" si="33"/>
        <v>0</v>
      </c>
      <c r="AI25" s="23">
        <f t="shared" si="34"/>
        <v>0</v>
      </c>
      <c r="AJ25" s="17">
        <f t="shared" si="35"/>
        <v>0</v>
      </c>
    </row>
    <row r="26" spans="1:36" ht="13.5" thickBot="1" x14ac:dyDescent="0.25">
      <c r="A26" s="7"/>
      <c r="B26" s="63" t="s">
        <v>2971</v>
      </c>
      <c r="C26" s="49">
        <f>+'GLR5 A'!C26</f>
        <v>99058.48</v>
      </c>
      <c r="D26" s="50">
        <f t="shared" si="18"/>
        <v>23.820431111210826</v>
      </c>
      <c r="E26" s="49">
        <f>+'HTR8 A'!C26</f>
        <v>51837.59</v>
      </c>
      <c r="F26" s="50">
        <f t="shared" si="19"/>
        <v>25.067130468825972</v>
      </c>
      <c r="G26" s="49">
        <f>+'TIRR A'!C26</f>
        <v>54604.65</v>
      </c>
      <c r="H26" s="50">
        <f t="shared" si="20"/>
        <v>20.911147484218311</v>
      </c>
      <c r="I26" s="49">
        <f>+'VR7 A'!C26</f>
        <v>0</v>
      </c>
      <c r="J26" s="50" t="e">
        <f t="shared" si="21"/>
        <v>#DIV/0!</v>
      </c>
      <c r="K26" s="49">
        <f>+'TURVILLA A'!C26</f>
        <v>99019.26999999999</v>
      </c>
      <c r="L26" s="50">
        <f t="shared" si="22"/>
        <v>21.626163648845992</v>
      </c>
      <c r="M26" s="49">
        <f>+'HART A'!C26</f>
        <v>0</v>
      </c>
      <c r="N26" s="50" t="e">
        <f t="shared" si="23"/>
        <v>#DIV/0!</v>
      </c>
      <c r="O26" s="49">
        <f>+'VICTOIRE A'!C26</f>
        <v>53210.179999999993</v>
      </c>
      <c r="P26" s="50">
        <f t="shared" si="24"/>
        <v>23.642762926318092</v>
      </c>
      <c r="Q26" s="49">
        <f>+'TH4 A'!C26</f>
        <v>89891.709999999992</v>
      </c>
      <c r="R26" s="50">
        <f t="shared" si="25"/>
        <v>25.528173803883398</v>
      </c>
      <c r="S26" s="49">
        <f>+'DIVES A'!C26</f>
        <v>60965.08</v>
      </c>
      <c r="T26" s="50">
        <f t="shared" si="26"/>
        <v>25.251756136905964</v>
      </c>
      <c r="U26" s="49">
        <f>+'R314 A'!C26</f>
        <v>78620.499999999985</v>
      </c>
      <c r="V26" s="50">
        <f t="shared" si="27"/>
        <v>24.680280643958476</v>
      </c>
      <c r="W26" s="49">
        <f>+'LYSE A'!C26</f>
        <v>78771.259999999995</v>
      </c>
      <c r="X26" s="50">
        <f t="shared" si="28"/>
        <v>20.771781291646064</v>
      </c>
      <c r="Y26" s="49">
        <f>+'ARTHUR A'!C26</f>
        <v>104974</v>
      </c>
      <c r="Z26" s="50">
        <f t="shared" si="29"/>
        <v>22.991213516610074</v>
      </c>
      <c r="AA26" s="49">
        <f>+'HUGO A'!C26</f>
        <v>115139.48000000001</v>
      </c>
      <c r="AB26" s="50">
        <f t="shared" si="30"/>
        <v>21.347665640574888</v>
      </c>
      <c r="AC26" s="49">
        <f>+'JEANCLO A'!C26</f>
        <v>58318.979999999996</v>
      </c>
      <c r="AD26" s="50">
        <f t="shared" si="31"/>
        <v>26.790490018208846</v>
      </c>
      <c r="AE26" s="49">
        <f>+'THOMAS A'!C26</f>
        <v>53210.179999999993</v>
      </c>
      <c r="AF26" s="50">
        <f t="shared" si="32"/>
        <v>23.642762926318092</v>
      </c>
      <c r="AG26" s="49">
        <f>+'CATALINA A'!C26</f>
        <v>52406.5</v>
      </c>
      <c r="AH26" s="50">
        <f t="shared" si="33"/>
        <v>25.206627828263343</v>
      </c>
      <c r="AI26" s="49">
        <f t="shared" si="34"/>
        <v>1050027.8599999999</v>
      </c>
      <c r="AJ26" s="50">
        <f t="shared" si="35"/>
        <v>23.309978183682478</v>
      </c>
    </row>
    <row r="27" spans="1:36" ht="7.15" customHeight="1" thickTop="1" x14ac:dyDescent="0.2">
      <c r="A27" s="8"/>
      <c r="B27" s="11"/>
      <c r="C27" s="19"/>
      <c r="D27" s="10"/>
      <c r="E27" s="19"/>
      <c r="F27" s="10"/>
      <c r="G27" s="19"/>
      <c r="H27" s="10"/>
      <c r="I27" s="19"/>
      <c r="J27" s="10"/>
      <c r="K27" s="19"/>
      <c r="L27" s="10"/>
      <c r="M27" s="19"/>
      <c r="N27" s="10"/>
      <c r="O27" s="19"/>
      <c r="P27" s="10"/>
      <c r="Q27" s="19"/>
      <c r="R27" s="10"/>
      <c r="S27" s="19"/>
      <c r="T27" s="10"/>
      <c r="U27" s="19"/>
      <c r="V27" s="10"/>
      <c r="W27" s="19"/>
      <c r="X27" s="10"/>
      <c r="Y27" s="19"/>
      <c r="Z27" s="10"/>
      <c r="AA27" s="19"/>
      <c r="AB27" s="10"/>
      <c r="AC27" s="19"/>
      <c r="AD27" s="10"/>
      <c r="AE27" s="19"/>
      <c r="AF27" s="10"/>
      <c r="AG27" s="19"/>
      <c r="AH27" s="10"/>
      <c r="AI27" s="19"/>
      <c r="AJ27" s="10"/>
    </row>
    <row r="28" spans="1:36" s="18" customFormat="1" x14ac:dyDescent="0.2">
      <c r="A28" s="13" t="s">
        <v>18</v>
      </c>
      <c r="B28" s="14" t="s">
        <v>2174</v>
      </c>
      <c r="C28" s="23">
        <f>+'GLR5 A'!C28</f>
        <v>10700</v>
      </c>
      <c r="D28" s="17">
        <f t="shared" ref="D28:D33" si="36">(C28*100)/C$8</f>
        <v>2.5730115472189343</v>
      </c>
      <c r="E28" s="23">
        <f>+'HTR8 A'!C28</f>
        <v>76.959999999999994</v>
      </c>
      <c r="F28" s="17">
        <f t="shared" ref="F28:F33" si="37">(E28*100)/E$8</f>
        <v>3.7215587392871591E-2</v>
      </c>
      <c r="G28" s="23">
        <f>+'TIRR A'!C28</f>
        <v>9387.4699999999993</v>
      </c>
      <c r="H28" s="17">
        <f t="shared" ref="H28:H33" si="38">(G28*100)/G$8</f>
        <v>3.5949826557568789</v>
      </c>
      <c r="I28" s="23">
        <f>+'VR7 A'!C28</f>
        <v>0</v>
      </c>
      <c r="J28" s="17" t="e">
        <f t="shared" ref="J28:J33" si="39">(I28*100)/I$8</f>
        <v>#DIV/0!</v>
      </c>
      <c r="K28" s="23">
        <f>+'TURVILLA A'!C28</f>
        <v>11700</v>
      </c>
      <c r="L28" s="17">
        <f t="shared" ref="L28:L33" si="40">(K28*100)/K$8</f>
        <v>2.5553219559334073</v>
      </c>
      <c r="M28" s="23">
        <f>+'HART A'!C28</f>
        <v>0</v>
      </c>
      <c r="N28" s="17" t="e">
        <f t="shared" ref="N28:N33" si="41">(M28*100)/M$8</f>
        <v>#DIV/0!</v>
      </c>
      <c r="O28" s="23">
        <f>+'VICTOIRE A'!C28</f>
        <v>9540</v>
      </c>
      <c r="P28" s="17">
        <f t="shared" ref="P28:P33" si="42">(O28*100)/O$8</f>
        <v>4.2388873391722157</v>
      </c>
      <c r="Q28" s="23">
        <f>+'TH4 A'!C28</f>
        <v>649.16999999999996</v>
      </c>
      <c r="R28" s="17">
        <f t="shared" ref="R28:R33" si="43">(Q28*100)/Q$8</f>
        <v>0.18435653953258854</v>
      </c>
      <c r="S28" s="23">
        <f>+'DIVES A'!C28</f>
        <v>10079</v>
      </c>
      <c r="T28" s="17">
        <f t="shared" ref="T28:T33" si="44">(S28*100)/S$8</f>
        <v>4.174725106632768</v>
      </c>
      <c r="U28" s="23">
        <f>+'R314 A'!C28</f>
        <v>7257</v>
      </c>
      <c r="V28" s="17">
        <f t="shared" ref="V28:V33" si="45">(U28*100)/U$8</f>
        <v>2.2780928209971534</v>
      </c>
      <c r="W28" s="23">
        <f>+'LYSE A'!C28</f>
        <v>9078.89</v>
      </c>
      <c r="X28" s="17">
        <f t="shared" ref="X28:X33" si="46">(W28*100)/W$8</f>
        <v>2.3940802451415983</v>
      </c>
      <c r="Y28" s="23">
        <f>+'ARTHUR A'!C28</f>
        <v>10303.68</v>
      </c>
      <c r="Z28" s="17">
        <f t="shared" ref="Z28:Z33" si="47">(Y28*100)/Y$8</f>
        <v>2.2566931515120401</v>
      </c>
      <c r="AA28" s="23">
        <f>+'HUGO A'!C28</f>
        <v>10141.41</v>
      </c>
      <c r="AB28" s="17">
        <f t="shared" ref="AB28:AB33" si="48">(AA28*100)/AA$8</f>
        <v>1.8802884102306399</v>
      </c>
      <c r="AC28" s="23">
        <f>+'JEANCLO A'!C28</f>
        <v>85.23</v>
      </c>
      <c r="AD28" s="17">
        <f t="shared" ref="AD28:AD33" si="49">(AC28*100)/AC$8</f>
        <v>3.9152836079299397E-2</v>
      </c>
      <c r="AE28" s="23">
        <f>+'THOMAS A'!C28</f>
        <v>9540</v>
      </c>
      <c r="AF28" s="17">
        <f t="shared" ref="AF28:AF33" si="50">(AE28*100)/AE$8</f>
        <v>4.2388873391722157</v>
      </c>
      <c r="AG28" s="23">
        <f>+'CATALINA A'!C28</f>
        <v>8500</v>
      </c>
      <c r="AH28" s="17">
        <f t="shared" ref="AH28:AH33" si="51">(AG28*100)/AG$8</f>
        <v>4.0883542411769227</v>
      </c>
      <c r="AI28" s="23">
        <f t="shared" ref="AI28:AI33" si="52">+C28+E28+G28+I28+K28+M28+O28+Q28+S28+U28+W28+Y28+AA28+AC28+AE28+AG28</f>
        <v>107038.80999999998</v>
      </c>
      <c r="AJ28" s="17">
        <f t="shared" ref="AJ28:AJ33" si="53">(AI28*100)/AI$8</f>
        <v>2.3761963095982366</v>
      </c>
    </row>
    <row r="29" spans="1:36" s="18" customFormat="1" x14ac:dyDescent="0.2">
      <c r="A29" s="13" t="s">
        <v>20</v>
      </c>
      <c r="B29" s="14" t="s">
        <v>2972</v>
      </c>
      <c r="C29" s="23">
        <f>+'GLR5 A'!C29</f>
        <v>84.6</v>
      </c>
      <c r="D29" s="17">
        <f t="shared" si="36"/>
        <v>2.0343624008852507E-2</v>
      </c>
      <c r="E29" s="23">
        <f>+'HTR8 A'!C29</f>
        <v>83.34</v>
      </c>
      <c r="F29" s="17">
        <f t="shared" si="37"/>
        <v>4.0300767324869008E-2</v>
      </c>
      <c r="G29" s="23">
        <f>+'TIRR A'!C29</f>
        <v>36.47</v>
      </c>
      <c r="H29" s="17">
        <f t="shared" si="38"/>
        <v>1.3966384708068668E-2</v>
      </c>
      <c r="I29" s="23">
        <f>+'VR7 A'!C29</f>
        <v>0</v>
      </c>
      <c r="J29" s="17" t="e">
        <f t="shared" si="39"/>
        <v>#DIV/0!</v>
      </c>
      <c r="K29" s="23">
        <f>+'TURVILLA A'!C29</f>
        <v>33</v>
      </c>
      <c r="L29" s="17">
        <f t="shared" si="40"/>
        <v>7.2073183372480722E-3</v>
      </c>
      <c r="M29" s="23">
        <f>+'HART A'!C29</f>
        <v>0</v>
      </c>
      <c r="N29" s="17" t="e">
        <f t="shared" si="41"/>
        <v>#DIV/0!</v>
      </c>
      <c r="O29" s="23">
        <f>+'VICTOIRE A'!C29</f>
        <v>58.23</v>
      </c>
      <c r="P29" s="17">
        <f t="shared" si="42"/>
        <v>2.587320857023041E-2</v>
      </c>
      <c r="Q29" s="23">
        <f>+'TH4 A'!C29</f>
        <v>668.99</v>
      </c>
      <c r="R29" s="17">
        <f t="shared" si="43"/>
        <v>0.18998518320610383</v>
      </c>
      <c r="S29" s="23">
        <f>+'DIVES A'!C29</f>
        <v>55</v>
      </c>
      <c r="T29" s="17">
        <f t="shared" si="44"/>
        <v>2.2781018043933152E-2</v>
      </c>
      <c r="U29" s="23">
        <f>+'R314 A'!C29</f>
        <v>47.67</v>
      </c>
      <c r="V29" s="17">
        <f t="shared" si="45"/>
        <v>1.4964404681953191E-2</v>
      </c>
      <c r="W29" s="23">
        <f>+'LYSE A'!C29</f>
        <v>520.23</v>
      </c>
      <c r="X29" s="17">
        <f t="shared" si="46"/>
        <v>0.13718333033333521</v>
      </c>
      <c r="Y29" s="23">
        <f>+'ARTHUR A'!C29</f>
        <v>34.229999999999997</v>
      </c>
      <c r="Z29" s="17">
        <f t="shared" si="47"/>
        <v>7.4969920044350297E-3</v>
      </c>
      <c r="AA29" s="23">
        <f>+'HUGO A'!C29</f>
        <v>29.17</v>
      </c>
      <c r="AB29" s="17">
        <f t="shared" si="48"/>
        <v>5.4083222082952727E-3</v>
      </c>
      <c r="AC29" s="23">
        <f>+'JEANCLO A'!C29</f>
        <v>29.17</v>
      </c>
      <c r="AD29" s="17">
        <f t="shared" si="49"/>
        <v>1.3400073077943957E-2</v>
      </c>
      <c r="AE29" s="23">
        <f>+'THOMAS A'!C29</f>
        <v>58.23</v>
      </c>
      <c r="AF29" s="17">
        <f t="shared" si="50"/>
        <v>2.587320857023041E-2</v>
      </c>
      <c r="AG29" s="23">
        <f>+'CATALINA A'!C29</f>
        <v>29.17</v>
      </c>
      <c r="AH29" s="17">
        <f t="shared" si="51"/>
        <v>1.4030269790015393E-2</v>
      </c>
      <c r="AI29" s="23">
        <f t="shared" si="52"/>
        <v>1767.5000000000002</v>
      </c>
      <c r="AJ29" s="17">
        <f t="shared" si="53"/>
        <v>3.9237422176263775E-2</v>
      </c>
    </row>
    <row r="30" spans="1:36" s="18" customFormat="1" x14ac:dyDescent="0.2">
      <c r="A30" s="13" t="s">
        <v>21</v>
      </c>
      <c r="B30" s="14" t="s">
        <v>2973</v>
      </c>
      <c r="C30" s="23">
        <f>+'GLR5 A'!C30</f>
        <v>4606.21</v>
      </c>
      <c r="D30" s="17">
        <f t="shared" si="36"/>
        <v>1.1076478055061052</v>
      </c>
      <c r="E30" s="23">
        <f>+'HTR8 A'!C30</f>
        <v>2145.16</v>
      </c>
      <c r="F30" s="17">
        <f t="shared" si="37"/>
        <v>1.0373361415240701</v>
      </c>
      <c r="G30" s="23">
        <f>+'TIRR A'!C30</f>
        <v>2640.92</v>
      </c>
      <c r="H30" s="17">
        <f t="shared" si="38"/>
        <v>1.0113546669381055</v>
      </c>
      <c r="I30" s="23">
        <f>+'VR7 A'!C30</f>
        <v>0</v>
      </c>
      <c r="J30" s="17" t="e">
        <f t="shared" si="39"/>
        <v>#DIV/0!</v>
      </c>
      <c r="K30" s="23">
        <f>+'TURVILLA A'!C30</f>
        <v>4742.9799999999996</v>
      </c>
      <c r="L30" s="17">
        <f t="shared" si="40"/>
        <v>1.0358838402182078</v>
      </c>
      <c r="M30" s="23">
        <f>+'HART A'!C30</f>
        <v>0</v>
      </c>
      <c r="N30" s="17" t="e">
        <f t="shared" si="41"/>
        <v>#DIV/0!</v>
      </c>
      <c r="O30" s="23">
        <f>+'VICTOIRE A'!C30</f>
        <v>1677.22</v>
      </c>
      <c r="P30" s="17">
        <f t="shared" si="42"/>
        <v>0.74523549507404863</v>
      </c>
      <c r="Q30" s="23">
        <f>+'TH4 A'!C30</f>
        <v>2785.07</v>
      </c>
      <c r="R30" s="17">
        <f t="shared" si="43"/>
        <v>0.79092667183638554</v>
      </c>
      <c r="S30" s="23">
        <f>+'DIVES A'!C30</f>
        <v>2132.15</v>
      </c>
      <c r="T30" s="17">
        <f t="shared" si="44"/>
        <v>0.88313722949767393</v>
      </c>
      <c r="U30" s="23">
        <f>+'R314 A'!C30</f>
        <v>2404.12</v>
      </c>
      <c r="V30" s="17">
        <f t="shared" si="45"/>
        <v>0.75469319454535988</v>
      </c>
      <c r="W30" s="23">
        <f>+'LYSE A'!C30</f>
        <v>2733.75</v>
      </c>
      <c r="X30" s="17">
        <f t="shared" si="46"/>
        <v>0.72088293504556666</v>
      </c>
      <c r="Y30" s="23">
        <f>+'ARTHUR A'!C30</f>
        <v>4376.16</v>
      </c>
      <c r="Z30" s="17">
        <f t="shared" si="47"/>
        <v>0.95845856062309098</v>
      </c>
      <c r="AA30" s="23">
        <f>+'HUGO A'!C30</f>
        <v>4985.45</v>
      </c>
      <c r="AB30" s="17">
        <f t="shared" si="48"/>
        <v>0.92433733127684836</v>
      </c>
      <c r="AC30" s="23">
        <f>+'JEANCLO A'!C30</f>
        <v>1492.38</v>
      </c>
      <c r="AD30" s="17">
        <f t="shared" si="49"/>
        <v>0.68556740007068917</v>
      </c>
      <c r="AE30" s="23">
        <f>+'THOMAS A'!C30</f>
        <v>1677.22</v>
      </c>
      <c r="AF30" s="17">
        <f t="shared" si="50"/>
        <v>0.74523549507404863</v>
      </c>
      <c r="AG30" s="23">
        <f>+'CATALINA A'!C30</f>
        <v>1668.17</v>
      </c>
      <c r="AH30" s="17">
        <f t="shared" si="51"/>
        <v>0.8023611640593068</v>
      </c>
      <c r="AI30" s="23">
        <f t="shared" si="52"/>
        <v>40066.959999999999</v>
      </c>
      <c r="AJ30" s="17">
        <f t="shared" si="53"/>
        <v>0.88946207911709951</v>
      </c>
    </row>
    <row r="31" spans="1:36" s="18" customFormat="1" x14ac:dyDescent="0.2">
      <c r="A31" s="13" t="s">
        <v>23</v>
      </c>
      <c r="B31" s="14" t="s">
        <v>2974</v>
      </c>
      <c r="C31" s="23">
        <f>+'GLR5 A'!C31</f>
        <v>3620.43</v>
      </c>
      <c r="D31" s="17">
        <f t="shared" si="36"/>
        <v>0.87059889681288272</v>
      </c>
      <c r="E31" s="23">
        <f>+'HTR8 A'!C31</f>
        <v>150.06</v>
      </c>
      <c r="F31" s="17">
        <f t="shared" si="37"/>
        <v>7.2564592569832539E-2</v>
      </c>
      <c r="G31" s="23">
        <f>+'TIRR A'!C31</f>
        <v>2586.9899999999998</v>
      </c>
      <c r="H31" s="17">
        <f t="shared" si="38"/>
        <v>0.99070188033799178</v>
      </c>
      <c r="I31" s="23">
        <f>+'VR7 A'!C31</f>
        <v>0</v>
      </c>
      <c r="J31" s="17" t="e">
        <f t="shared" si="39"/>
        <v>#DIV/0!</v>
      </c>
      <c r="K31" s="23">
        <f>+'TURVILLA A'!C31</f>
        <v>1882.74</v>
      </c>
      <c r="L31" s="17">
        <f t="shared" si="40"/>
        <v>0.41119716746274043</v>
      </c>
      <c r="M31" s="23">
        <f>+'HART A'!C31</f>
        <v>0</v>
      </c>
      <c r="N31" s="17" t="e">
        <f t="shared" si="41"/>
        <v>#DIV/0!</v>
      </c>
      <c r="O31" s="23">
        <f>+'VICTOIRE A'!C31</f>
        <v>2890.53</v>
      </c>
      <c r="P31" s="17">
        <f t="shared" si="42"/>
        <v>1.2843428742659815</v>
      </c>
      <c r="Q31" s="23">
        <f>+'TH4 A'!C31</f>
        <v>1355.23</v>
      </c>
      <c r="R31" s="17">
        <f t="shared" si="43"/>
        <v>0.38486916072946992</v>
      </c>
      <c r="S31" s="23">
        <f>+'DIVES A'!C31</f>
        <v>307.05</v>
      </c>
      <c r="T31" s="17">
        <f t="shared" si="44"/>
        <v>0.1271802107343577</v>
      </c>
      <c r="U31" s="23">
        <f>+'R314 A'!C31</f>
        <v>261.52999999999997</v>
      </c>
      <c r="V31" s="17">
        <f t="shared" si="45"/>
        <v>8.2098610372796685E-2</v>
      </c>
      <c r="W31" s="23">
        <f>+'LYSE A'!C31</f>
        <v>2351.33</v>
      </c>
      <c r="X31" s="17">
        <f t="shared" si="46"/>
        <v>0.62003975186490801</v>
      </c>
      <c r="Y31" s="23">
        <f>+'ARTHUR A'!C31</f>
        <v>6206.35</v>
      </c>
      <c r="Z31" s="17">
        <f t="shared" si="47"/>
        <v>1.3593034275993383</v>
      </c>
      <c r="AA31" s="23">
        <f>+'HUGO A'!C31</f>
        <v>6110.32</v>
      </c>
      <c r="AB31" s="17">
        <f t="shared" si="48"/>
        <v>1.1328961040723611</v>
      </c>
      <c r="AC31" s="23">
        <f>+'JEANCLO A'!C31</f>
        <v>4262.08</v>
      </c>
      <c r="AD31" s="17">
        <f t="shared" si="49"/>
        <v>1.9579082435393687</v>
      </c>
      <c r="AE31" s="23">
        <f>+'THOMAS A'!C31</f>
        <v>2890.53</v>
      </c>
      <c r="AF31" s="17">
        <f t="shared" si="50"/>
        <v>1.2843428742659815</v>
      </c>
      <c r="AG31" s="23">
        <f>+'CATALINA A'!C31</f>
        <v>3217.58</v>
      </c>
      <c r="AH31" s="17">
        <f t="shared" si="51"/>
        <v>1.5476008046265932</v>
      </c>
      <c r="AI31" s="23">
        <f t="shared" si="52"/>
        <v>38092.75</v>
      </c>
      <c r="AJ31" s="17">
        <f t="shared" si="53"/>
        <v>0.84563582099285528</v>
      </c>
    </row>
    <row r="32" spans="1:36" s="18" customFormat="1" x14ac:dyDescent="0.2">
      <c r="A32" s="13" t="s">
        <v>25</v>
      </c>
      <c r="B32" s="14" t="s">
        <v>2975</v>
      </c>
      <c r="C32" s="23">
        <f>+'GLR5 A'!C32</f>
        <v>8530.6</v>
      </c>
      <c r="D32" s="17">
        <f t="shared" si="36"/>
        <v>2.0513394677295178</v>
      </c>
      <c r="E32" s="23">
        <f>+'HTR8 A'!C32</f>
        <v>6719.35</v>
      </c>
      <c r="F32" s="17">
        <f t="shared" si="37"/>
        <v>3.2492795887252051</v>
      </c>
      <c r="G32" s="23">
        <f>+'TIRR A'!C32</f>
        <v>6753.49</v>
      </c>
      <c r="H32" s="17">
        <f t="shared" si="38"/>
        <v>2.5862856995364591</v>
      </c>
      <c r="I32" s="23">
        <f>+'VR7 A'!C32</f>
        <v>0</v>
      </c>
      <c r="J32" s="17" t="e">
        <f t="shared" si="39"/>
        <v>#DIV/0!</v>
      </c>
      <c r="K32" s="23">
        <f>+'TURVILLA A'!C32</f>
        <v>8674.4</v>
      </c>
      <c r="L32" s="17">
        <f t="shared" si="40"/>
        <v>1.8945200662007478</v>
      </c>
      <c r="M32" s="23">
        <f>+'HART A'!C32</f>
        <v>0</v>
      </c>
      <c r="N32" s="17" t="e">
        <f t="shared" si="41"/>
        <v>#DIV/0!</v>
      </c>
      <c r="O32" s="23">
        <f>+'VICTOIRE A'!C32</f>
        <v>4651.0200000000004</v>
      </c>
      <c r="P32" s="17">
        <f t="shared" si="42"/>
        <v>2.0665775463560547</v>
      </c>
      <c r="Q32" s="23">
        <f>+'TH4 A'!C32</f>
        <v>5907.01</v>
      </c>
      <c r="R32" s="17">
        <f t="shared" si="43"/>
        <v>1.6775204069571852</v>
      </c>
      <c r="S32" s="23">
        <f>+'DIVES A'!C32</f>
        <v>6514.4</v>
      </c>
      <c r="T32" s="17">
        <f t="shared" si="44"/>
        <v>2.6982666171890566</v>
      </c>
      <c r="U32" s="23">
        <f>+'R314 A'!C32</f>
        <v>8140.93</v>
      </c>
      <c r="V32" s="17">
        <f t="shared" si="45"/>
        <v>2.5555731279096539</v>
      </c>
      <c r="W32" s="23">
        <f>+'LYSE A'!C32</f>
        <v>7956.45</v>
      </c>
      <c r="X32" s="17">
        <f t="shared" si="46"/>
        <v>2.0980956665910555</v>
      </c>
      <c r="Y32" s="23">
        <f>+'ARTHUR A'!C32</f>
        <v>4930.51</v>
      </c>
      <c r="Z32" s="17">
        <f t="shared" si="47"/>
        <v>1.0798712838967854</v>
      </c>
      <c r="AA32" s="23">
        <f>+'HUGO A'!C32</f>
        <v>6597.48</v>
      </c>
      <c r="AB32" s="17">
        <f t="shared" si="48"/>
        <v>1.2232189784979053</v>
      </c>
      <c r="AC32" s="23">
        <f>+'JEANCLO A'!C32</f>
        <v>2282.11</v>
      </c>
      <c r="AD32" s="17">
        <f t="shared" si="49"/>
        <v>1.0483524433289915</v>
      </c>
      <c r="AE32" s="23">
        <f>+'THOMAS A'!C32</f>
        <v>4651.0200000000004</v>
      </c>
      <c r="AF32" s="17">
        <f t="shared" si="50"/>
        <v>2.0665775463560547</v>
      </c>
      <c r="AG32" s="23">
        <f>+'CATALINA A'!C32</f>
        <v>4635.3900000000003</v>
      </c>
      <c r="AH32" s="17">
        <f t="shared" si="51"/>
        <v>2.2295431018834235</v>
      </c>
      <c r="AI32" s="23">
        <f t="shared" si="52"/>
        <v>86944.16</v>
      </c>
      <c r="AJ32" s="17">
        <f t="shared" si="53"/>
        <v>1.9301073333412306</v>
      </c>
    </row>
    <row r="33" spans="1:36" ht="13.5" thickBot="1" x14ac:dyDescent="0.25">
      <c r="A33" s="7"/>
      <c r="B33" s="63" t="s">
        <v>2976</v>
      </c>
      <c r="C33" s="49">
        <f>+'GLR5 A'!C33</f>
        <v>27541.840000000004</v>
      </c>
      <c r="D33" s="50">
        <f t="shared" si="36"/>
        <v>6.6229413412762934</v>
      </c>
      <c r="E33" s="49">
        <f>+'HTR8 A'!C33</f>
        <v>9174.8700000000008</v>
      </c>
      <c r="F33" s="50">
        <f t="shared" si="37"/>
        <v>4.4366966775368493</v>
      </c>
      <c r="G33" s="49">
        <f>+'TIRR A'!C33</f>
        <v>21405.339999999997</v>
      </c>
      <c r="H33" s="50">
        <f t="shared" si="38"/>
        <v>8.197291287277503</v>
      </c>
      <c r="I33" s="49">
        <f>+'VR7 A'!C33</f>
        <v>0</v>
      </c>
      <c r="J33" s="50" t="e">
        <f t="shared" si="39"/>
        <v>#DIV/0!</v>
      </c>
      <c r="K33" s="49">
        <f>+'TURVILLA A'!C33</f>
        <v>27033.120000000003</v>
      </c>
      <c r="L33" s="50">
        <f t="shared" si="40"/>
        <v>5.9041303481523526</v>
      </c>
      <c r="M33" s="49">
        <f>+'HART A'!C33</f>
        <v>0</v>
      </c>
      <c r="N33" s="50" t="e">
        <f t="shared" si="41"/>
        <v>#DIV/0!</v>
      </c>
      <c r="O33" s="49">
        <f>+'VICTOIRE A'!C33</f>
        <v>18817</v>
      </c>
      <c r="P33" s="50">
        <f t="shared" si="42"/>
        <v>8.3609164634385298</v>
      </c>
      <c r="Q33" s="49">
        <f>+'TH4 A'!C33</f>
        <v>11365.47</v>
      </c>
      <c r="R33" s="50">
        <f t="shared" si="43"/>
        <v>3.2276579622617332</v>
      </c>
      <c r="S33" s="49">
        <f>+'DIVES A'!C33</f>
        <v>19087.599999999999</v>
      </c>
      <c r="T33" s="50">
        <f t="shared" si="44"/>
        <v>7.9060901820977882</v>
      </c>
      <c r="U33" s="49">
        <f>+'R314 A'!C33</f>
        <v>18111.25</v>
      </c>
      <c r="V33" s="50">
        <f t="shared" si="45"/>
        <v>5.6854221585069169</v>
      </c>
      <c r="W33" s="49">
        <f>+'LYSE A'!C33</f>
        <v>22640.649999999998</v>
      </c>
      <c r="X33" s="50">
        <f t="shared" si="46"/>
        <v>5.9702819289764637</v>
      </c>
      <c r="Y33" s="49">
        <f>+'ARTHUR A'!C33</f>
        <v>25850.93</v>
      </c>
      <c r="Z33" s="50">
        <f t="shared" si="47"/>
        <v>5.6618234156356895</v>
      </c>
      <c r="AA33" s="49">
        <f>+'HUGO A'!C33</f>
        <v>27863.829999999998</v>
      </c>
      <c r="AB33" s="50">
        <f t="shared" si="48"/>
        <v>5.1661491462860498</v>
      </c>
      <c r="AC33" s="49">
        <f>+'JEANCLO A'!C33</f>
        <v>8150.9700000000012</v>
      </c>
      <c r="AD33" s="50">
        <f t="shared" si="49"/>
        <v>3.744380996096293</v>
      </c>
      <c r="AE33" s="49">
        <f>+'THOMAS A'!C33</f>
        <v>18817</v>
      </c>
      <c r="AF33" s="50">
        <f t="shared" si="50"/>
        <v>8.3609164634385298</v>
      </c>
      <c r="AG33" s="49">
        <f>+'CATALINA A'!C33</f>
        <v>18050.310000000001</v>
      </c>
      <c r="AH33" s="50">
        <f t="shared" si="51"/>
        <v>8.6818895815362627</v>
      </c>
      <c r="AI33" s="49">
        <f t="shared" si="52"/>
        <v>273910.18</v>
      </c>
      <c r="AJ33" s="50">
        <f t="shared" si="53"/>
        <v>6.0806389652256865</v>
      </c>
    </row>
    <row r="34" spans="1:36" ht="7.15" customHeight="1" thickTop="1" x14ac:dyDescent="0.2">
      <c r="A34" s="8"/>
      <c r="B34" s="11"/>
      <c r="C34" s="19"/>
      <c r="D34" s="10"/>
      <c r="E34" s="19"/>
      <c r="F34" s="10"/>
      <c r="G34" s="19"/>
      <c r="H34" s="10"/>
      <c r="I34" s="19"/>
      <c r="J34" s="10"/>
      <c r="K34" s="19"/>
      <c r="L34" s="10"/>
      <c r="M34" s="19"/>
      <c r="N34" s="10"/>
      <c r="O34" s="19"/>
      <c r="P34" s="10"/>
      <c r="Q34" s="19"/>
      <c r="R34" s="10"/>
      <c r="S34" s="19"/>
      <c r="T34" s="10"/>
      <c r="U34" s="19"/>
      <c r="V34" s="10"/>
      <c r="W34" s="19"/>
      <c r="X34" s="10"/>
      <c r="Y34" s="19"/>
      <c r="Z34" s="10"/>
      <c r="AA34" s="19"/>
      <c r="AB34" s="10"/>
      <c r="AC34" s="19"/>
      <c r="AD34" s="10"/>
      <c r="AE34" s="19"/>
      <c r="AF34" s="10"/>
      <c r="AG34" s="19"/>
      <c r="AH34" s="10"/>
      <c r="AI34" s="19"/>
      <c r="AJ34" s="10"/>
    </row>
    <row r="35" spans="1:36" s="18" customFormat="1" x14ac:dyDescent="0.2">
      <c r="A35" s="13" t="s">
        <v>29</v>
      </c>
      <c r="B35" s="14" t="s">
        <v>2977</v>
      </c>
      <c r="C35" s="23">
        <f>+'GLR5 A'!C35</f>
        <v>11073.28</v>
      </c>
      <c r="D35" s="17">
        <f t="shared" ref="D35:D42" si="54">(C35*100)/C$8</f>
        <v>2.6627735799615402</v>
      </c>
      <c r="E35" s="23">
        <f>+'HTR8 A'!C35</f>
        <v>1882.72</v>
      </c>
      <c r="F35" s="17">
        <f t="shared" ref="F35:F42" si="55">(E35*100)/E$8</f>
        <v>0.91042789366303556</v>
      </c>
      <c r="G35" s="23">
        <f>+'TIRR A'!C35</f>
        <v>6373.98</v>
      </c>
      <c r="H35" s="17">
        <f t="shared" ref="H35:H42" si="56">(G35*100)/G$8</f>
        <v>2.4409502824660141</v>
      </c>
      <c r="I35" s="23">
        <f>+'VR7 A'!C35</f>
        <v>0</v>
      </c>
      <c r="J35" s="17" t="e">
        <f t="shared" ref="J35:J42" si="57">(I35*100)/I$8</f>
        <v>#DIV/0!</v>
      </c>
      <c r="K35" s="23">
        <f>+'TURVILLA A'!C35</f>
        <v>2808.89</v>
      </c>
      <c r="L35" s="17">
        <f t="shared" ref="L35:L42" si="58">(K35*100)/K$8</f>
        <v>0.61347164861553749</v>
      </c>
      <c r="M35" s="23">
        <f>+'HART A'!C35</f>
        <v>0</v>
      </c>
      <c r="N35" s="17" t="e">
        <f t="shared" ref="N35:N42" si="59">(M35*100)/M$8</f>
        <v>#DIV/0!</v>
      </c>
      <c r="O35" s="23">
        <f>+'VICTOIRE A'!C35</f>
        <v>0</v>
      </c>
      <c r="P35" s="17">
        <f t="shared" ref="P35:P42" si="60">(O35*100)/O$8</f>
        <v>0</v>
      </c>
      <c r="Q35" s="23">
        <f>+'TH4 A'!C35</f>
        <v>2045.95</v>
      </c>
      <c r="R35" s="17">
        <f t="shared" ref="R35:R42" si="61">(Q35*100)/Q$8</f>
        <v>0.58102540483494236</v>
      </c>
      <c r="S35" s="23">
        <f>+'DIVES A'!C35</f>
        <v>215.56</v>
      </c>
      <c r="T35" s="17">
        <f t="shared" ref="T35:T42" si="62">(S35*100)/S$8</f>
        <v>8.9285022719095095E-2</v>
      </c>
      <c r="U35" s="23">
        <f>+'R314 A'!C35</f>
        <v>5112.33</v>
      </c>
      <c r="V35" s="17">
        <f t="shared" ref="V35:V42" si="63">(U35*100)/U$8</f>
        <v>1.6048452902808845</v>
      </c>
      <c r="W35" s="23">
        <f>+'LYSE A'!C35</f>
        <v>6948.62</v>
      </c>
      <c r="X35" s="17">
        <f t="shared" ref="X35:X42" si="64">(W35*100)/W$8</f>
        <v>1.8323334540891907</v>
      </c>
      <c r="Y35" s="23">
        <f>+'ARTHUR A'!C35</f>
        <v>11592.97</v>
      </c>
      <c r="Z35" s="17">
        <f t="shared" ref="Z35:Z42" si="65">(Y35*100)/Y$8</f>
        <v>2.5390710896189068</v>
      </c>
      <c r="AA35" s="23">
        <f>+'HUGO A'!C35</f>
        <v>6824.05</v>
      </c>
      <c r="AB35" s="17">
        <f t="shared" ref="AB35:AB42" si="66">(AA35*100)/AA$8</f>
        <v>1.2652266426300087</v>
      </c>
      <c r="AC35" s="23">
        <f>+'JEANCLO A'!C35</f>
        <v>11722.3</v>
      </c>
      <c r="AD35" s="17">
        <f t="shared" ref="AD35:AD42" si="67">(AC35*100)/AC$8</f>
        <v>5.3849734878842117</v>
      </c>
      <c r="AE35" s="23">
        <f>+'THOMAS A'!C35</f>
        <v>0</v>
      </c>
      <c r="AF35" s="17">
        <f t="shared" ref="AF35:AF42" si="68">(AE35*100)/AE$8</f>
        <v>0</v>
      </c>
      <c r="AG35" s="23">
        <f>+'CATALINA A'!C35</f>
        <v>0</v>
      </c>
      <c r="AH35" s="17">
        <f t="shared" ref="AH35:AH42" si="69">(AG35*100)/AG$8</f>
        <v>0</v>
      </c>
      <c r="AI35" s="23">
        <f t="shared" ref="AI35:AI42" si="70">+C35+E35+G35+I35+K35+M35+O35+Q35+S35+U35+W35+Y35+AA35+AC35+AE35+AG35</f>
        <v>66600.650000000009</v>
      </c>
      <c r="AJ35" s="17">
        <f t="shared" ref="AJ35:AJ42" si="71">(AI35*100)/AI$8</f>
        <v>1.4784938168393673</v>
      </c>
    </row>
    <row r="36" spans="1:36" s="18" customFormat="1" x14ac:dyDescent="0.2">
      <c r="A36" s="13" t="s">
        <v>30</v>
      </c>
      <c r="B36" s="14" t="s">
        <v>145</v>
      </c>
      <c r="C36" s="23">
        <f>+'GLR5 A'!C36</f>
        <v>16824.8</v>
      </c>
      <c r="D36" s="17">
        <f t="shared" si="54"/>
        <v>4.0458322130513196</v>
      </c>
      <c r="E36" s="23">
        <f>+'HTR8 A'!C36</f>
        <v>8325.16</v>
      </c>
      <c r="F36" s="17">
        <f t="shared" si="55"/>
        <v>4.0258019690701525</v>
      </c>
      <c r="G36" s="23">
        <f>+'TIRR A'!C36</f>
        <v>10534.83</v>
      </c>
      <c r="H36" s="17">
        <f t="shared" si="56"/>
        <v>4.0343704034577197</v>
      </c>
      <c r="I36" s="23">
        <f>+'VR7 A'!C36</f>
        <v>0</v>
      </c>
      <c r="J36" s="17" t="e">
        <f t="shared" si="57"/>
        <v>#DIV/0!</v>
      </c>
      <c r="K36" s="23">
        <f>+'TURVILLA A'!C36</f>
        <v>18397.91</v>
      </c>
      <c r="L36" s="17">
        <f t="shared" si="58"/>
        <v>4.0181695184860509</v>
      </c>
      <c r="M36" s="23">
        <f>+'HART A'!C36</f>
        <v>0</v>
      </c>
      <c r="N36" s="17" t="e">
        <f t="shared" si="59"/>
        <v>#DIV/0!</v>
      </c>
      <c r="O36" s="23">
        <f>+'VICTOIRE A'!C36</f>
        <v>9030.2999999999993</v>
      </c>
      <c r="P36" s="17">
        <f t="shared" si="60"/>
        <v>4.0124134527176993</v>
      </c>
      <c r="Q36" s="23">
        <f>+'TH4 A'!C36</f>
        <v>14087.42</v>
      </c>
      <c r="R36" s="17">
        <f t="shared" si="61"/>
        <v>4.0006593067180845</v>
      </c>
      <c r="S36" s="23">
        <f>+'DIVES A'!C36</f>
        <v>9708.01</v>
      </c>
      <c r="T36" s="17">
        <f t="shared" si="62"/>
        <v>4.0210609269215176</v>
      </c>
      <c r="U36" s="23">
        <f>+'R314 A'!C36</f>
        <v>12854.06</v>
      </c>
      <c r="V36" s="17">
        <f t="shared" si="63"/>
        <v>4.0351029084562038</v>
      </c>
      <c r="W36" s="23">
        <f>+'LYSE A'!C36</f>
        <v>15259.5</v>
      </c>
      <c r="X36" s="17">
        <f t="shared" si="64"/>
        <v>4.0238914119168996</v>
      </c>
      <c r="Y36" s="23">
        <f>+'ARTHUR A'!C36</f>
        <v>18521.27</v>
      </c>
      <c r="Z36" s="17">
        <f t="shared" si="65"/>
        <v>4.0564946860059132</v>
      </c>
      <c r="AA36" s="23">
        <f>+'HUGO A'!C36</f>
        <v>21734.36</v>
      </c>
      <c r="AB36" s="17">
        <f t="shared" si="66"/>
        <v>4.0297024981516776</v>
      </c>
      <c r="AC36" s="23">
        <f>+'JEANCLO A'!C36</f>
        <v>8845.31</v>
      </c>
      <c r="AD36" s="17">
        <f t="shared" si="67"/>
        <v>4.0633459169375543</v>
      </c>
      <c r="AE36" s="23">
        <f>+'THOMAS A'!C36</f>
        <v>9030.2999999999993</v>
      </c>
      <c r="AF36" s="17">
        <f t="shared" si="68"/>
        <v>4.0124134527176993</v>
      </c>
      <c r="AG36" s="23">
        <f>+'CATALINA A'!C36</f>
        <v>8344.64</v>
      </c>
      <c r="AH36" s="17">
        <f t="shared" si="69"/>
        <v>4.0136287453052466</v>
      </c>
      <c r="AI36" s="23">
        <f t="shared" si="70"/>
        <v>181497.87</v>
      </c>
      <c r="AJ36" s="17">
        <f t="shared" si="71"/>
        <v>4.0291420363692438</v>
      </c>
    </row>
    <row r="37" spans="1:36" s="18" customFormat="1" x14ac:dyDescent="0.2">
      <c r="A37" s="13" t="s">
        <v>32</v>
      </c>
      <c r="B37" s="14" t="s">
        <v>19</v>
      </c>
      <c r="C37" s="23">
        <f>+'GLR5 A'!C37</f>
        <v>8325.27</v>
      </c>
      <c r="D37" s="17">
        <f t="shared" si="54"/>
        <v>2.0019640975434929</v>
      </c>
      <c r="E37" s="23">
        <f>+'HTR8 A'!C37</f>
        <v>4112.99</v>
      </c>
      <c r="F37" s="17">
        <f t="shared" si="55"/>
        <v>1.988920722336369</v>
      </c>
      <c r="G37" s="23">
        <f>+'TIRR A'!C37</f>
        <v>5917.34</v>
      </c>
      <c r="H37" s="17">
        <f t="shared" si="56"/>
        <v>2.2660775127075143</v>
      </c>
      <c r="I37" s="23">
        <f>+'VR7 A'!C37</f>
        <v>0</v>
      </c>
      <c r="J37" s="17" t="e">
        <f t="shared" si="57"/>
        <v>#DIV/0!</v>
      </c>
      <c r="K37" s="23">
        <f>+'TURVILLA A'!C37</f>
        <v>9310.24</v>
      </c>
      <c r="L37" s="17">
        <f t="shared" si="58"/>
        <v>2.0333898023084997</v>
      </c>
      <c r="M37" s="23">
        <f>+'HART A'!C37</f>
        <v>0</v>
      </c>
      <c r="N37" s="17" t="e">
        <f t="shared" si="59"/>
        <v>#DIV/0!</v>
      </c>
      <c r="O37" s="23">
        <f>+'VICTOIRE A'!C37</f>
        <v>5162.43</v>
      </c>
      <c r="P37" s="17">
        <f t="shared" si="60"/>
        <v>2.2938112333713647</v>
      </c>
      <c r="Q37" s="23">
        <f>+'TH4 A'!C37</f>
        <v>8540.56</v>
      </c>
      <c r="R37" s="17">
        <f t="shared" si="61"/>
        <v>2.4254172054630443</v>
      </c>
      <c r="S37" s="23">
        <f>+'DIVES A'!C37</f>
        <v>4626.37</v>
      </c>
      <c r="T37" s="17">
        <f t="shared" si="62"/>
        <v>1.9162439717802002</v>
      </c>
      <c r="U37" s="23">
        <f>+'R314 A'!C37</f>
        <v>4801.78</v>
      </c>
      <c r="V37" s="17">
        <f t="shared" si="63"/>
        <v>1.5073584878059407</v>
      </c>
      <c r="W37" s="23">
        <f>+'LYSE A'!C37</f>
        <v>7139.28</v>
      </c>
      <c r="X37" s="17">
        <f t="shared" si="64"/>
        <v>1.8826100120757614</v>
      </c>
      <c r="Y37" s="23">
        <f>+'ARTHUR A'!C37</f>
        <v>6471.76</v>
      </c>
      <c r="Z37" s="17">
        <f t="shared" si="65"/>
        <v>1.4174330404505537</v>
      </c>
      <c r="AA37" s="23">
        <f>+'HUGO A'!C37</f>
        <v>9017.35</v>
      </c>
      <c r="AB37" s="17">
        <f t="shared" si="66"/>
        <v>1.6718798171056353</v>
      </c>
      <c r="AC37" s="23">
        <f>+'JEANCLO A'!C37</f>
        <v>5429.68</v>
      </c>
      <c r="AD37" s="17">
        <f t="shared" si="67"/>
        <v>2.4942786695183665</v>
      </c>
      <c r="AE37" s="23">
        <f>+'THOMAS A'!C37</f>
        <v>5162.43</v>
      </c>
      <c r="AF37" s="17">
        <f t="shared" si="68"/>
        <v>2.2938112333713647</v>
      </c>
      <c r="AG37" s="23">
        <f>+'CATALINA A'!C37</f>
        <v>4703.75</v>
      </c>
      <c r="AH37" s="17">
        <f t="shared" si="69"/>
        <v>2.2624230896395234</v>
      </c>
      <c r="AI37" s="23">
        <f t="shared" si="70"/>
        <v>88721.229999999981</v>
      </c>
      <c r="AJ37" s="17">
        <f t="shared" si="71"/>
        <v>1.969557203681696</v>
      </c>
    </row>
    <row r="38" spans="1:36" s="18" customFormat="1" x14ac:dyDescent="0.2">
      <c r="A38" s="13" t="s">
        <v>34</v>
      </c>
      <c r="B38" s="14" t="s">
        <v>28</v>
      </c>
      <c r="C38" s="23">
        <f>+'GLR5 A'!C38</f>
        <v>12046.4</v>
      </c>
      <c r="D38" s="17">
        <f t="shared" si="54"/>
        <v>2.8967781591045019</v>
      </c>
      <c r="E38" s="23">
        <f>+'HTR8 A'!C38</f>
        <v>8888.9</v>
      </c>
      <c r="F38" s="17">
        <f t="shared" si="55"/>
        <v>4.2984100152871152</v>
      </c>
      <c r="G38" s="23">
        <f>+'TIRR A'!C38</f>
        <v>8560</v>
      </c>
      <c r="H38" s="17">
        <f t="shared" si="56"/>
        <v>3.2780985221022156</v>
      </c>
      <c r="I38" s="23">
        <f>+'VR7 A'!C38</f>
        <v>0</v>
      </c>
      <c r="J38" s="17" t="e">
        <f t="shared" si="57"/>
        <v>#DIV/0!</v>
      </c>
      <c r="K38" s="23">
        <f>+'TURVILLA A'!C38</f>
        <v>12969</v>
      </c>
      <c r="L38" s="17">
        <f t="shared" si="58"/>
        <v>2.8324761065384925</v>
      </c>
      <c r="M38" s="23">
        <f>+'HART A'!C38</f>
        <v>0</v>
      </c>
      <c r="N38" s="17" t="e">
        <f t="shared" si="59"/>
        <v>#DIV/0!</v>
      </c>
      <c r="O38" s="23">
        <f>+'VICTOIRE A'!C38</f>
        <v>8650.75</v>
      </c>
      <c r="P38" s="17">
        <f t="shared" si="60"/>
        <v>3.8437688311681386</v>
      </c>
      <c r="Q38" s="23">
        <f>+'TH4 A'!C38</f>
        <v>9585</v>
      </c>
      <c r="R38" s="17">
        <f t="shared" si="61"/>
        <v>2.722025711939648</v>
      </c>
      <c r="S38" s="23">
        <f>+'DIVES A'!C38</f>
        <v>8534.9</v>
      </c>
      <c r="T38" s="17">
        <f t="shared" si="62"/>
        <v>3.5351583800575463</v>
      </c>
      <c r="U38" s="23">
        <f>+'R314 A'!C38</f>
        <v>10583</v>
      </c>
      <c r="V38" s="17">
        <f t="shared" si="63"/>
        <v>3.322179457711572</v>
      </c>
      <c r="W38" s="23">
        <f>+'LYSE A'!C38</f>
        <v>10666.98</v>
      </c>
      <c r="X38" s="17">
        <f t="shared" si="64"/>
        <v>2.8128555465833958</v>
      </c>
      <c r="Y38" s="23">
        <f>+'ARTHUR A'!C38</f>
        <v>10280.16</v>
      </c>
      <c r="Z38" s="17">
        <f t="shared" si="65"/>
        <v>2.2515418441224897</v>
      </c>
      <c r="AA38" s="23">
        <f>+'HUGO A'!C38</f>
        <v>10901.88</v>
      </c>
      <c r="AB38" s="17">
        <f t="shared" si="66"/>
        <v>2.0212848719976027</v>
      </c>
      <c r="AC38" s="23">
        <f>+'JEANCLO A'!C38</f>
        <v>6521.4</v>
      </c>
      <c r="AD38" s="17">
        <f t="shared" si="67"/>
        <v>2.9957914491088009</v>
      </c>
      <c r="AE38" s="23">
        <f>+'THOMAS A'!C38</f>
        <v>8650.75</v>
      </c>
      <c r="AF38" s="17">
        <f t="shared" si="68"/>
        <v>3.8437688311681386</v>
      </c>
      <c r="AG38" s="23">
        <f>+'CATALINA A'!C38</f>
        <v>9177.14</v>
      </c>
      <c r="AH38" s="17">
        <f t="shared" si="69"/>
        <v>4.4140469695146338</v>
      </c>
      <c r="AI38" s="23">
        <f t="shared" si="70"/>
        <v>136016.26</v>
      </c>
      <c r="AJ38" s="17">
        <f t="shared" si="71"/>
        <v>3.0194780291125651</v>
      </c>
    </row>
    <row r="39" spans="1:36" s="18" customFormat="1" x14ac:dyDescent="0.2">
      <c r="A39" s="13" t="s">
        <v>2978</v>
      </c>
      <c r="B39" s="14" t="s">
        <v>2980</v>
      </c>
      <c r="C39" s="23">
        <f>+'GLR5 A'!C39</f>
        <v>2745</v>
      </c>
      <c r="D39" s="17">
        <f t="shared" si="54"/>
        <v>0.66008567262766116</v>
      </c>
      <c r="E39" s="23">
        <f>+'HTR8 A'!C39</f>
        <v>2425.34</v>
      </c>
      <c r="F39" s="17">
        <f t="shared" si="55"/>
        <v>1.1728229304499376</v>
      </c>
      <c r="G39" s="23">
        <f>+'TIRR A'!C39</f>
        <v>2074.92</v>
      </c>
      <c r="H39" s="17">
        <f t="shared" si="56"/>
        <v>0.79460189082714128</v>
      </c>
      <c r="I39" s="23">
        <f>+'VR7 A'!C39</f>
        <v>0</v>
      </c>
      <c r="J39" s="17" t="e">
        <f t="shared" si="57"/>
        <v>#DIV/0!</v>
      </c>
      <c r="K39" s="23">
        <f>+'TURVILLA A'!C39</f>
        <v>4201.25</v>
      </c>
      <c r="L39" s="17">
        <f t="shared" si="58"/>
        <v>0.91756806558677162</v>
      </c>
      <c r="M39" s="23">
        <f>+'HART A'!C39</f>
        <v>0</v>
      </c>
      <c r="N39" s="17" t="e">
        <f t="shared" si="59"/>
        <v>#DIV/0!</v>
      </c>
      <c r="O39" s="23">
        <f>+'VICTOIRE A'!C39</f>
        <v>2492.2199999999998</v>
      </c>
      <c r="P39" s="17">
        <f t="shared" si="60"/>
        <v>1.1073626629383415</v>
      </c>
      <c r="Q39" s="23">
        <f>+'TH4 A'!C39</f>
        <v>2497.09</v>
      </c>
      <c r="R39" s="17">
        <f t="shared" si="61"/>
        <v>0.70914378560536007</v>
      </c>
      <c r="S39" s="23">
        <f>+'DIVES A'!C39</f>
        <v>633.1</v>
      </c>
      <c r="T39" s="17">
        <f t="shared" si="62"/>
        <v>0.26223022770207416</v>
      </c>
      <c r="U39" s="23">
        <f>+'R314 A'!C39</f>
        <v>519.17999999999995</v>
      </c>
      <c r="V39" s="17">
        <f t="shared" si="63"/>
        <v>0.16297922430829573</v>
      </c>
      <c r="W39" s="23">
        <f>+'LYSE A'!C39</f>
        <v>3469.14</v>
      </c>
      <c r="X39" s="17">
        <f t="shared" si="64"/>
        <v>0.91480341116926456</v>
      </c>
      <c r="Y39" s="23">
        <f>+'ARTHUR A'!C39</f>
        <v>4758.1000000000004</v>
      </c>
      <c r="Z39" s="17">
        <f t="shared" si="65"/>
        <v>1.0421103609787414</v>
      </c>
      <c r="AA39" s="23">
        <f>+'HUGO A'!C39</f>
        <v>4597.1000000000004</v>
      </c>
      <c r="AB39" s="17">
        <f t="shared" si="66"/>
        <v>0.85233452258327735</v>
      </c>
      <c r="AC39" s="23">
        <f>+'JEANCLO A'!C39</f>
        <v>1437.1</v>
      </c>
      <c r="AD39" s="17">
        <f t="shared" si="67"/>
        <v>0.66017295235904216</v>
      </c>
      <c r="AE39" s="23">
        <f>+'THOMAS A'!C39</f>
        <v>2492.2199999999998</v>
      </c>
      <c r="AF39" s="17">
        <f t="shared" si="68"/>
        <v>1.1073626629383415</v>
      </c>
      <c r="AG39" s="23">
        <f>+'CATALINA A'!C39</f>
        <v>1981.73</v>
      </c>
      <c r="AH39" s="17">
        <f t="shared" si="69"/>
        <v>0.95317814710206394</v>
      </c>
      <c r="AI39" s="23">
        <f t="shared" si="70"/>
        <v>36323.49</v>
      </c>
      <c r="AJ39" s="17">
        <f t="shared" si="71"/>
        <v>0.80635932788984166</v>
      </c>
    </row>
    <row r="40" spans="1:36" s="18" customFormat="1" x14ac:dyDescent="0.2">
      <c r="A40" s="13" t="s">
        <v>2979</v>
      </c>
      <c r="B40" s="14" t="s">
        <v>2981</v>
      </c>
      <c r="C40" s="23">
        <f>+'GLR5 A'!C40</f>
        <v>274.13</v>
      </c>
      <c r="D40" s="17">
        <f t="shared" si="54"/>
        <v>6.591959396627349E-2</v>
      </c>
      <c r="E40" s="23">
        <f>+'HTR8 A'!C40</f>
        <v>163.22</v>
      </c>
      <c r="F40" s="17">
        <f t="shared" si="55"/>
        <v>7.8928380642730014E-2</v>
      </c>
      <c r="G40" s="23">
        <f>+'TIRR A'!C40</f>
        <v>10.92</v>
      </c>
      <c r="H40" s="17">
        <f t="shared" si="56"/>
        <v>4.181873348289275E-3</v>
      </c>
      <c r="I40" s="23">
        <f>+'VR7 A'!C40</f>
        <v>0</v>
      </c>
      <c r="J40" s="17" t="e">
        <f t="shared" si="57"/>
        <v>#DIV/0!</v>
      </c>
      <c r="K40" s="23">
        <f>+'TURVILLA A'!C40</f>
        <v>314.23</v>
      </c>
      <c r="L40" s="17">
        <f t="shared" si="58"/>
        <v>6.8628958821620054E-2</v>
      </c>
      <c r="M40" s="23">
        <f>+'HART A'!C40</f>
        <v>0</v>
      </c>
      <c r="N40" s="17" t="e">
        <f t="shared" si="59"/>
        <v>#DIV/0!</v>
      </c>
      <c r="O40" s="23">
        <f>+'VICTOIRE A'!C40</f>
        <v>268.02999999999997</v>
      </c>
      <c r="P40" s="17">
        <f t="shared" si="60"/>
        <v>0.1190931838069527</v>
      </c>
      <c r="Q40" s="23">
        <f>+'TH4 A'!C40</f>
        <v>256.47000000000003</v>
      </c>
      <c r="R40" s="17">
        <f t="shared" si="61"/>
        <v>7.2834421944826463E-2</v>
      </c>
      <c r="S40" s="23">
        <f>+'DIVES A'!C40</f>
        <v>0</v>
      </c>
      <c r="T40" s="17">
        <f t="shared" si="62"/>
        <v>0</v>
      </c>
      <c r="U40" s="23">
        <f>+'R314 A'!C40</f>
        <v>82</v>
      </c>
      <c r="V40" s="17">
        <f t="shared" si="63"/>
        <v>2.5741161819176878E-2</v>
      </c>
      <c r="W40" s="23">
        <f>+'LYSE A'!C40</f>
        <v>134.59</v>
      </c>
      <c r="X40" s="17">
        <f t="shared" si="64"/>
        <v>3.5491041327035323E-2</v>
      </c>
      <c r="Y40" s="23">
        <f>+'ARTHUR A'!C40</f>
        <v>244.59</v>
      </c>
      <c r="Z40" s="17">
        <f t="shared" si="65"/>
        <v>5.3569654524240846E-2</v>
      </c>
      <c r="AA40" s="23">
        <f>+'HUGO A'!C40</f>
        <v>383.32</v>
      </c>
      <c r="AB40" s="17">
        <f t="shared" si="66"/>
        <v>7.1070211480416312E-2</v>
      </c>
      <c r="AC40" s="23">
        <f>+'JEANCLO A'!C40</f>
        <v>45</v>
      </c>
      <c r="AD40" s="17">
        <f t="shared" si="67"/>
        <v>2.0672035944719853E-2</v>
      </c>
      <c r="AE40" s="23">
        <f>+'THOMAS A'!C40</f>
        <v>268.02999999999997</v>
      </c>
      <c r="AF40" s="17">
        <f t="shared" si="68"/>
        <v>0.1190931838069527</v>
      </c>
      <c r="AG40" s="23">
        <f>+'CATALINA A'!C40</f>
        <v>224.92</v>
      </c>
      <c r="AH40" s="17">
        <f t="shared" si="69"/>
        <v>0.10818266305006041</v>
      </c>
      <c r="AI40" s="23">
        <f t="shared" si="70"/>
        <v>2669.45</v>
      </c>
      <c r="AJ40" s="17">
        <f t="shared" si="71"/>
        <v>5.9260162166012625E-2</v>
      </c>
    </row>
    <row r="41" spans="1:36" s="18" customFormat="1" x14ac:dyDescent="0.2">
      <c r="A41" s="13" t="s">
        <v>2982</v>
      </c>
      <c r="B41" s="14" t="s">
        <v>2983</v>
      </c>
      <c r="C41" s="23">
        <f>+'GLR5 A'!C41</f>
        <v>1308.1300000000001</v>
      </c>
      <c r="D41" s="17">
        <f t="shared" si="54"/>
        <v>0.31456388740780417</v>
      </c>
      <c r="E41" s="23">
        <f>+'HTR8 A'!C41</f>
        <v>540.16999999999996</v>
      </c>
      <c r="F41" s="17">
        <f t="shared" si="55"/>
        <v>0.26121028900737331</v>
      </c>
      <c r="G41" s="23">
        <f>+'TIRR A'!C41</f>
        <v>715.3</v>
      </c>
      <c r="H41" s="17">
        <f t="shared" si="56"/>
        <v>0.27392802253034054</v>
      </c>
      <c r="I41" s="23">
        <f>+'VR7 A'!C41</f>
        <v>0</v>
      </c>
      <c r="J41" s="17" t="e">
        <f t="shared" si="57"/>
        <v>#DIV/0!</v>
      </c>
      <c r="K41" s="23">
        <f>+'TURVILLA A'!C41</f>
        <v>3190.98</v>
      </c>
      <c r="L41" s="17">
        <f t="shared" si="58"/>
        <v>0.69692147478157129</v>
      </c>
      <c r="M41" s="23">
        <f>+'HART A'!C41</f>
        <v>0</v>
      </c>
      <c r="N41" s="17" t="e">
        <f t="shared" si="59"/>
        <v>#DIV/0!</v>
      </c>
      <c r="O41" s="23">
        <f>+'VICTOIRE A'!C41</f>
        <v>173.12</v>
      </c>
      <c r="P41" s="17">
        <f t="shared" si="60"/>
        <v>7.6922031043762468E-2</v>
      </c>
      <c r="Q41" s="23">
        <f>+'TH4 A'!C41</f>
        <v>1484.54</v>
      </c>
      <c r="R41" s="17">
        <f t="shared" si="61"/>
        <v>0.42159165888397343</v>
      </c>
      <c r="S41" s="23">
        <f>+'DIVES A'!C41</f>
        <v>580.19000000000005</v>
      </c>
      <c r="T41" s="17">
        <f t="shared" si="62"/>
        <v>0.24031488834381048</v>
      </c>
      <c r="U41" s="23">
        <f>+'R314 A'!C41</f>
        <v>780.4</v>
      </c>
      <c r="V41" s="17">
        <f t="shared" si="63"/>
        <v>0.24498052053275163</v>
      </c>
      <c r="W41" s="23">
        <f>+'LYSE A'!C41</f>
        <v>2092.88</v>
      </c>
      <c r="X41" s="17">
        <f t="shared" si="64"/>
        <v>0.55188714297143682</v>
      </c>
      <c r="Y41" s="23">
        <f>+'ARTHUR A'!C41</f>
        <v>737.08</v>
      </c>
      <c r="Z41" s="17">
        <f t="shared" si="65"/>
        <v>0.16143391371980637</v>
      </c>
      <c r="AA41" s="23">
        <f>+'HUGO A'!C41</f>
        <v>370.35</v>
      </c>
      <c r="AB41" s="17">
        <f t="shared" si="66"/>
        <v>6.8665482682281606E-2</v>
      </c>
      <c r="AC41" s="23">
        <f>+'JEANCLO A'!C41</f>
        <v>507.75</v>
      </c>
      <c r="AD41" s="17">
        <f t="shared" si="67"/>
        <v>0.23324947224292233</v>
      </c>
      <c r="AE41" s="23">
        <f>+'THOMAS A'!C41</f>
        <v>173.12</v>
      </c>
      <c r="AF41" s="17">
        <f t="shared" si="68"/>
        <v>7.6922031043762468E-2</v>
      </c>
      <c r="AG41" s="23">
        <f>+'CATALINA A'!C41</f>
        <v>-11.03</v>
      </c>
      <c r="AH41" s="17">
        <f t="shared" si="69"/>
        <v>-5.3052408564919365E-3</v>
      </c>
      <c r="AI41" s="23">
        <f t="shared" si="70"/>
        <v>12642.98</v>
      </c>
      <c r="AJ41" s="17">
        <f t="shared" si="71"/>
        <v>0.28066644629480014</v>
      </c>
    </row>
    <row r="42" spans="1:36" ht="13.5" thickBot="1" x14ac:dyDescent="0.25">
      <c r="A42" s="13"/>
      <c r="B42" s="63" t="s">
        <v>2984</v>
      </c>
      <c r="C42" s="49">
        <f>+'GLR5 A'!C42</f>
        <v>52597.01</v>
      </c>
      <c r="D42" s="50">
        <f t="shared" si="54"/>
        <v>12.647917203662594</v>
      </c>
      <c r="E42" s="49">
        <f>+'HTR8 A'!C42</f>
        <v>26338.499999999996</v>
      </c>
      <c r="F42" s="50">
        <f t="shared" si="55"/>
        <v>12.73652220045671</v>
      </c>
      <c r="G42" s="49">
        <f>+'TIRR A'!C42</f>
        <v>34187.29</v>
      </c>
      <c r="H42" s="50">
        <f t="shared" si="56"/>
        <v>13.092208507439235</v>
      </c>
      <c r="I42" s="49">
        <f>+'VR7 A'!C42</f>
        <v>0</v>
      </c>
      <c r="J42" s="50" t="e">
        <f t="shared" si="57"/>
        <v>#DIV/0!</v>
      </c>
      <c r="K42" s="49">
        <f>+'TURVILLA A'!C42</f>
        <v>51192.500000000007</v>
      </c>
      <c r="L42" s="50">
        <f t="shared" si="58"/>
        <v>11.180625575138546</v>
      </c>
      <c r="M42" s="49">
        <f>+'HART A'!C42</f>
        <v>0</v>
      </c>
      <c r="N42" s="50" t="e">
        <f t="shared" si="59"/>
        <v>#DIV/0!</v>
      </c>
      <c r="O42" s="49">
        <f>+'VICTOIRE A'!C42</f>
        <v>25776.85</v>
      </c>
      <c r="P42" s="50">
        <f t="shared" si="60"/>
        <v>11.453371395046261</v>
      </c>
      <c r="Q42" s="49">
        <f>+'TH4 A'!C42</f>
        <v>38497.030000000006</v>
      </c>
      <c r="R42" s="50">
        <f t="shared" si="61"/>
        <v>10.932697495389879</v>
      </c>
      <c r="S42" s="49">
        <f>+'DIVES A'!C42</f>
        <v>24298.129999999994</v>
      </c>
      <c r="T42" s="50">
        <f t="shared" si="62"/>
        <v>10.064293417524242</v>
      </c>
      <c r="U42" s="49">
        <f>+'R314 A'!C42</f>
        <v>34732.75</v>
      </c>
      <c r="V42" s="50">
        <f t="shared" si="63"/>
        <v>10.903187050914825</v>
      </c>
      <c r="W42" s="49">
        <f>+'LYSE A'!C42</f>
        <v>45710.989999999991</v>
      </c>
      <c r="X42" s="50">
        <f t="shared" si="64"/>
        <v>12.053872020132982</v>
      </c>
      <c r="Y42" s="49">
        <f>+'ARTHUR A'!C42</f>
        <v>52605.93</v>
      </c>
      <c r="Z42" s="50">
        <f t="shared" si="65"/>
        <v>11.521654589420651</v>
      </c>
      <c r="AA42" s="49">
        <f>+'HUGO A'!C42</f>
        <v>53828.409999999996</v>
      </c>
      <c r="AB42" s="50">
        <f t="shared" si="66"/>
        <v>9.9801640466309003</v>
      </c>
      <c r="AC42" s="49">
        <f>+'JEANCLO A'!C42</f>
        <v>34508.54</v>
      </c>
      <c r="AD42" s="50">
        <f t="shared" si="67"/>
        <v>15.852483983995617</v>
      </c>
      <c r="AE42" s="49">
        <f>+'THOMAS A'!C42</f>
        <v>25776.85</v>
      </c>
      <c r="AF42" s="50">
        <f t="shared" si="68"/>
        <v>11.453371395046261</v>
      </c>
      <c r="AG42" s="49">
        <f>+'CATALINA A'!C42</f>
        <v>24421.149999999998</v>
      </c>
      <c r="AH42" s="50">
        <f t="shared" si="69"/>
        <v>11.746154373755036</v>
      </c>
      <c r="AI42" s="49">
        <f t="shared" si="70"/>
        <v>524471.92999999993</v>
      </c>
      <c r="AJ42" s="50">
        <f t="shared" si="71"/>
        <v>11.642957022353524</v>
      </c>
    </row>
    <row r="43" spans="1:36" ht="7.15" customHeight="1" thickTop="1" x14ac:dyDescent="0.2">
      <c r="A43" s="13"/>
      <c r="B43" s="11"/>
      <c r="C43" s="19"/>
      <c r="D43" s="10"/>
      <c r="E43" s="19"/>
      <c r="F43" s="10"/>
      <c r="G43" s="19"/>
      <c r="H43" s="10"/>
      <c r="I43" s="19"/>
      <c r="J43" s="10"/>
      <c r="K43" s="19"/>
      <c r="L43" s="10"/>
      <c r="M43" s="19"/>
      <c r="N43" s="10"/>
      <c r="O43" s="19"/>
      <c r="P43" s="10"/>
      <c r="Q43" s="19"/>
      <c r="R43" s="10"/>
      <c r="S43" s="19"/>
      <c r="T43" s="10"/>
      <c r="U43" s="19"/>
      <c r="V43" s="10"/>
      <c r="W43" s="19"/>
      <c r="X43" s="10"/>
      <c r="Y43" s="19"/>
      <c r="Z43" s="10"/>
      <c r="AA43" s="19"/>
      <c r="AB43" s="10"/>
      <c r="AC43" s="19"/>
      <c r="AD43" s="10"/>
      <c r="AE43" s="19"/>
      <c r="AF43" s="10"/>
      <c r="AG43" s="19"/>
      <c r="AH43" s="10"/>
      <c r="AI43" s="19"/>
      <c r="AJ43" s="10"/>
    </row>
    <row r="44" spans="1:36" ht="16.899999999999999" customHeight="1" thickBot="1" x14ac:dyDescent="0.25">
      <c r="A44" s="13"/>
      <c r="B44" s="69" t="s">
        <v>59</v>
      </c>
      <c r="C44" s="70">
        <f>+'GLR5 A'!C44</f>
        <v>126343.07000000004</v>
      </c>
      <c r="D44" s="71">
        <f>(C44*100)/C$8</f>
        <v>30.381511964587869</v>
      </c>
      <c r="E44" s="70">
        <f>+'HTR8 A'!C44</f>
        <v>64483.73000000001</v>
      </c>
      <c r="F44" s="71">
        <f>(E44*100)/E$8</f>
        <v>31.182430993156657</v>
      </c>
      <c r="G44" s="70">
        <f>+'TIRR A'!C44</f>
        <v>84012.48000000001</v>
      </c>
      <c r="H44" s="71">
        <f>(G44*100)/G$8</f>
        <v>32.173035809128741</v>
      </c>
      <c r="I44" s="70">
        <f>+'VR7 A'!C44</f>
        <v>0</v>
      </c>
      <c r="J44" s="71" t="e">
        <f>(I44*100)/I$8</f>
        <v>#DIV/0!</v>
      </c>
      <c r="K44" s="70">
        <f>+'TURVILLA A'!C44</f>
        <v>163851.43000000002</v>
      </c>
      <c r="L44" s="71">
        <f>(K44*100)/K$8</f>
        <v>35.785739879494514</v>
      </c>
      <c r="M44" s="70">
        <f>+'HART A'!C44</f>
        <v>0</v>
      </c>
      <c r="N44" s="71" t="e">
        <f>(M44*100)/M$8</f>
        <v>#DIV/0!</v>
      </c>
      <c r="O44" s="70">
        <f>+'VICTOIRE A'!C44</f>
        <v>70118.359999999986</v>
      </c>
      <c r="P44" s="71">
        <f>(O44*100)/O$8</f>
        <v>31.155537573115243</v>
      </c>
      <c r="Q44" s="70">
        <f>+'TH4 A'!C44</f>
        <v>119313.22</v>
      </c>
      <c r="R44" s="71">
        <f>(Q44*100)/Q$8</f>
        <v>33.883531832479065</v>
      </c>
      <c r="S44" s="70">
        <f>+'DIVES A'!C44</f>
        <v>74556.140000000029</v>
      </c>
      <c r="T44" s="71">
        <f>(S44*100)/S$8</f>
        <v>30.881177647745577</v>
      </c>
      <c r="U44" s="70">
        <f>+'R314 A'!C44</f>
        <v>105961.33000000002</v>
      </c>
      <c r="V44" s="71">
        <f>(U44*100)/U$8</f>
        <v>33.263021245185385</v>
      </c>
      <c r="W44" s="70">
        <f>+'LYSE A'!C44</f>
        <v>134539.44000000003</v>
      </c>
      <c r="X44" s="71">
        <f>(W44*100)/W$8</f>
        <v>35.477708783387996</v>
      </c>
      <c r="Y44" s="70">
        <f>+'ARTHUR A'!C44</f>
        <v>154985.15000000002</v>
      </c>
      <c r="Z44" s="71">
        <f>(Y44*100)/Y$8</f>
        <v>33.944564135441546</v>
      </c>
      <c r="AA44" s="70">
        <f>+'HUGO A'!C44</f>
        <v>202294.70999999996</v>
      </c>
      <c r="AB44" s="71">
        <f>(AA44*100)/AA$8</f>
        <v>37.506855423848187</v>
      </c>
      <c r="AC44" s="70">
        <f>+'JEANCLO A'!C44</f>
        <v>56485.250000000022</v>
      </c>
      <c r="AD44" s="71">
        <f>(AC44*100)/AC$8</f>
        <v>25.948113741033055</v>
      </c>
      <c r="AE44" s="70">
        <f>+'THOMAS A'!C44</f>
        <v>70118.359999999986</v>
      </c>
      <c r="AF44" s="71">
        <f>(AE44*100)/AE$8</f>
        <v>31.155537573115243</v>
      </c>
      <c r="AG44" s="70">
        <f>+'CATALINA A'!C44</f>
        <v>56900.290000000008</v>
      </c>
      <c r="AH44" s="71">
        <f>(AG44*100)/AG$8</f>
        <v>27.36806375831728</v>
      </c>
      <c r="AI44" s="70">
        <f>+C44+E44+G44+I44+K44+M44+O44+Q44+S44+U44+W44+Y44+AA44+AC44+AE44+AG44</f>
        <v>1483962.96</v>
      </c>
      <c r="AJ44" s="71">
        <f>(AI44*100)/AI$8</f>
        <v>32.943072789509493</v>
      </c>
    </row>
    <row r="45" spans="1:36" ht="7.15" customHeight="1" thickTop="1" x14ac:dyDescent="0.2">
      <c r="A45" s="13"/>
      <c r="B45" s="11"/>
      <c r="C45" s="19"/>
      <c r="D45" s="10"/>
      <c r="E45" s="19"/>
      <c r="F45" s="10"/>
      <c r="G45" s="19"/>
      <c r="H45" s="10"/>
      <c r="I45" s="19"/>
      <c r="J45" s="10"/>
      <c r="K45" s="19"/>
      <c r="L45" s="10"/>
      <c r="M45" s="19"/>
      <c r="N45" s="10"/>
      <c r="O45" s="19"/>
      <c r="P45" s="10"/>
      <c r="Q45" s="19"/>
      <c r="R45" s="10"/>
      <c r="S45" s="19"/>
      <c r="T45" s="10"/>
      <c r="U45" s="19"/>
      <c r="V45" s="10"/>
      <c r="W45" s="19"/>
      <c r="X45" s="10"/>
      <c r="Y45" s="19"/>
      <c r="Z45" s="10"/>
      <c r="AA45" s="19"/>
      <c r="AB45" s="10"/>
      <c r="AC45" s="19"/>
      <c r="AD45" s="10"/>
      <c r="AE45" s="19"/>
      <c r="AF45" s="10"/>
      <c r="AG45" s="19"/>
      <c r="AH45" s="10"/>
      <c r="AI45" s="19"/>
      <c r="AJ45" s="10"/>
    </row>
    <row r="46" spans="1:36" s="18" customFormat="1" x14ac:dyDescent="0.2">
      <c r="A46" s="13" t="s">
        <v>2985</v>
      </c>
      <c r="B46" s="14" t="s">
        <v>36</v>
      </c>
      <c r="C46" s="23">
        <f>+'GLR5 A'!C46</f>
        <v>65999.259999999995</v>
      </c>
      <c r="D46" s="17">
        <f>(C46*100)/C$8</f>
        <v>15.870734400738755</v>
      </c>
      <c r="E46" s="23">
        <f>+'HTR8 A'!C46</f>
        <v>34702.769999999997</v>
      </c>
      <c r="F46" s="17">
        <f>(E46*100)/E$8</f>
        <v>16.781236612652322</v>
      </c>
      <c r="G46" s="23">
        <f>+'TIRR A'!C46</f>
        <v>38690.46</v>
      </c>
      <c r="H46" s="17">
        <f>(G46*100)/G$8</f>
        <v>14.816721932880244</v>
      </c>
      <c r="I46" s="23">
        <f>+'VR7 A'!C46</f>
        <v>0</v>
      </c>
      <c r="J46" s="17" t="e">
        <f>(I46*100)/I$8</f>
        <v>#DIV/0!</v>
      </c>
      <c r="K46" s="23">
        <f>+'TURVILLA A'!C46</f>
        <v>65303.63</v>
      </c>
      <c r="L46" s="17">
        <f>(K46*100)/K$8</f>
        <v>14.262546969329192</v>
      </c>
      <c r="M46" s="23">
        <f>+'HART A'!C46</f>
        <v>0</v>
      </c>
      <c r="N46" s="17" t="e">
        <f>(M46*100)/M$8</f>
        <v>#DIV/0!</v>
      </c>
      <c r="O46" s="23">
        <f>+'VICTOIRE A'!C46</f>
        <v>28522.12</v>
      </c>
      <c r="P46" s="17">
        <f>(O46*100)/O$8</f>
        <v>12.673171211147865</v>
      </c>
      <c r="Q46" s="23">
        <f>+'TH4 A'!C46</f>
        <v>49965.19</v>
      </c>
      <c r="R46" s="17">
        <f>(Q46*100)/Q$8</f>
        <v>14.189518193213331</v>
      </c>
      <c r="S46" s="23">
        <f>+'DIVES A'!C46</f>
        <v>31894.48</v>
      </c>
      <c r="T46" s="17">
        <f>(S46*100)/S$8</f>
        <v>13.210704079670274</v>
      </c>
      <c r="U46" s="23">
        <f>+'R314 A'!C46</f>
        <v>53454.080000000002</v>
      </c>
      <c r="V46" s="17">
        <f>(U46*100)/U$8</f>
        <v>16.780123453356417</v>
      </c>
      <c r="W46" s="23">
        <f>+'LYSE A'!C46</f>
        <v>54120.39</v>
      </c>
      <c r="X46" s="17">
        <f>(W46*100)/W$8</f>
        <v>14.271409451855778</v>
      </c>
      <c r="Y46" s="23">
        <f>+'ARTHUR A'!C46</f>
        <v>70348.47</v>
      </c>
      <c r="Z46" s="17">
        <f>(Y46*100)/Y$8</f>
        <v>15.407593254871095</v>
      </c>
      <c r="AA46" s="23">
        <f>+'HUGO A'!C46</f>
        <v>82739.990000000005</v>
      </c>
      <c r="AB46" s="17">
        <f>(AA46*100)/AA$8</f>
        <v>15.340573377824095</v>
      </c>
      <c r="AC46" s="23">
        <f>+'JEANCLO A'!C46</f>
        <v>22406.16</v>
      </c>
      <c r="AD46" s="17">
        <f>(AC46*100)/AC$8</f>
        <v>10.292909886736537</v>
      </c>
      <c r="AE46" s="23">
        <f>+'THOMAS A'!C46</f>
        <v>28522.12</v>
      </c>
      <c r="AF46" s="17">
        <f>(AE46*100)/AE$8</f>
        <v>12.673171211147865</v>
      </c>
      <c r="AG46" s="23">
        <f>+'CATALINA A'!C46</f>
        <v>28459.119999999999</v>
      </c>
      <c r="AH46" s="17">
        <f>(AG46*100)/AG$8</f>
        <v>13.688348700254469</v>
      </c>
      <c r="AI46" s="23">
        <f t="shared" ref="AI46:AI49" si="72">+C46+E46+G46+I46+K46+M46+O46+Q46+S46+U46+W46+Y46+AA46+AC46+AE46+AG46</f>
        <v>655128.24</v>
      </c>
      <c r="AJ46" s="17">
        <f>(AI46*100)/AI$8</f>
        <v>14.543447429970383</v>
      </c>
    </row>
    <row r="47" spans="1:36" s="18" customFormat="1" x14ac:dyDescent="0.2">
      <c r="A47" s="13" t="s">
        <v>35</v>
      </c>
      <c r="B47" s="14" t="s">
        <v>2986</v>
      </c>
      <c r="C47" s="23">
        <f>+'GLR5 A'!C47</f>
        <v>0</v>
      </c>
      <c r="D47" s="17">
        <f>(C47*100)/C$8</f>
        <v>0</v>
      </c>
      <c r="E47" s="23">
        <f>+'HTR8 A'!C47</f>
        <v>616.76</v>
      </c>
      <c r="F47" s="17">
        <f>(E47*100)/E$8</f>
        <v>0.29824695530700995</v>
      </c>
      <c r="G47" s="23">
        <f>+'TIRR A'!C47</f>
        <v>0</v>
      </c>
      <c r="H47" s="17">
        <f>(G47*100)/G$8</f>
        <v>0</v>
      </c>
      <c r="I47" s="23">
        <f>+'VR7 A'!C47</f>
        <v>0</v>
      </c>
      <c r="J47" s="17" t="e">
        <f>(I47*100)/I$8</f>
        <v>#DIV/0!</v>
      </c>
      <c r="K47" s="23">
        <f>+'TURVILLA A'!C47</f>
        <v>1813.68</v>
      </c>
      <c r="L47" s="17">
        <f>(K47*100)/K$8</f>
        <v>0.39611421581515405</v>
      </c>
      <c r="M47" s="23">
        <f>+'HART A'!C47</f>
        <v>0</v>
      </c>
      <c r="N47" s="17" t="e">
        <f>(M47*100)/M$8</f>
        <v>#DIV/0!</v>
      </c>
      <c r="O47" s="23">
        <f>+'VICTOIRE A'!C47</f>
        <v>0</v>
      </c>
      <c r="P47" s="17">
        <f>(O47*100)/O$8</f>
        <v>0</v>
      </c>
      <c r="Q47" s="23">
        <f>+'TH4 A'!C47</f>
        <v>0</v>
      </c>
      <c r="R47" s="17">
        <f>(Q47*100)/Q$8</f>
        <v>0</v>
      </c>
      <c r="S47" s="23">
        <f>+'DIVES A'!C47</f>
        <v>0</v>
      </c>
      <c r="T47" s="17">
        <f>(S47*100)/S$8</f>
        <v>0</v>
      </c>
      <c r="U47" s="23">
        <f>+'R314 A'!C47</f>
        <v>0</v>
      </c>
      <c r="V47" s="17">
        <f>(U47*100)/U$8</f>
        <v>0</v>
      </c>
      <c r="W47" s="23">
        <f>+'LYSE A'!C47</f>
        <v>0</v>
      </c>
      <c r="X47" s="17">
        <f>(W47*100)/W$8</f>
        <v>0</v>
      </c>
      <c r="Y47" s="23">
        <f>+'ARTHUR A'!C47</f>
        <v>0</v>
      </c>
      <c r="Z47" s="17">
        <f>(Y47*100)/Y$8</f>
        <v>0</v>
      </c>
      <c r="AA47" s="23">
        <f>+'HUGO A'!C47</f>
        <v>0</v>
      </c>
      <c r="AB47" s="17">
        <f>(AA47*100)/AA$8</f>
        <v>0</v>
      </c>
      <c r="AC47" s="23">
        <f>+'JEANCLO A'!C47</f>
        <v>0</v>
      </c>
      <c r="AD47" s="17">
        <f>(AC47*100)/AC$8</f>
        <v>0</v>
      </c>
      <c r="AE47" s="23">
        <f>+'THOMAS A'!C47</f>
        <v>0</v>
      </c>
      <c r="AF47" s="17">
        <f>(AE47*100)/AE$8</f>
        <v>0</v>
      </c>
      <c r="AG47" s="23">
        <f>+'CATALINA A'!C47</f>
        <v>0</v>
      </c>
      <c r="AH47" s="17">
        <f>(AG47*100)/AG$8</f>
        <v>0</v>
      </c>
      <c r="AI47" s="23">
        <f t="shared" si="72"/>
        <v>2430.44</v>
      </c>
      <c r="AJ47" s="17">
        <f>(AI47*100)/AI$8</f>
        <v>5.3954285914613022E-2</v>
      </c>
    </row>
    <row r="48" spans="1:36" s="18" customFormat="1" x14ac:dyDescent="0.2">
      <c r="A48" s="13" t="s">
        <v>37</v>
      </c>
      <c r="B48" s="14" t="s">
        <v>2987</v>
      </c>
      <c r="C48" s="23">
        <f>+'GLR5 A'!C48</f>
        <v>-1061.6500000000001</v>
      </c>
      <c r="D48" s="17">
        <f>(C48*100)/C$8</f>
        <v>-0.25529324384158708</v>
      </c>
      <c r="E48" s="23">
        <f>+'HTR8 A'!C48</f>
        <v>-470.3</v>
      </c>
      <c r="F48" s="17">
        <f>(E48*100)/E$8</f>
        <v>-0.22742321661730136</v>
      </c>
      <c r="G48" s="23">
        <f>+'TIRR A'!C48</f>
        <v>-674.11</v>
      </c>
      <c r="H48" s="17">
        <f>(G48*100)/G$8</f>
        <v>-0.25815408816989771</v>
      </c>
      <c r="I48" s="23">
        <f>+'VR7 A'!C48</f>
        <v>0</v>
      </c>
      <c r="J48" s="17" t="e">
        <f>(I48*100)/I$8</f>
        <v>#DIV/0!</v>
      </c>
      <c r="K48" s="23">
        <f>+'TURVILLA A'!C48</f>
        <v>-3945.49</v>
      </c>
      <c r="L48" s="17">
        <f>(K48*100)/K$8</f>
        <v>-0.86170916443723922</v>
      </c>
      <c r="M48" s="23">
        <f>+'HART A'!C48</f>
        <v>0</v>
      </c>
      <c r="N48" s="17" t="e">
        <f>(M48*100)/M$8</f>
        <v>#DIV/0!</v>
      </c>
      <c r="O48" s="23">
        <f>+'VICTOIRE A'!C48</f>
        <v>-423.42</v>
      </c>
      <c r="P48" s="17">
        <f>(O48*100)/O$8</f>
        <v>-0.18813728272036684</v>
      </c>
      <c r="Q48" s="23">
        <f>+'TH4 A'!C48</f>
        <v>-894.19</v>
      </c>
      <c r="R48" s="17">
        <f>(Q48*100)/Q$8</f>
        <v>-0.25393929800305831</v>
      </c>
      <c r="S48" s="23">
        <f>+'DIVES A'!C48</f>
        <v>-475.1</v>
      </c>
      <c r="T48" s="17">
        <f>(S48*100)/S$8</f>
        <v>-0.19678657586677528</v>
      </c>
      <c r="U48" s="23">
        <f>+'R314 A'!C48</f>
        <v>-561.09</v>
      </c>
      <c r="V48" s="17">
        <f>(U48*100)/U$8</f>
        <v>-0.17613546933075552</v>
      </c>
      <c r="W48" s="23">
        <f>+'LYSE A'!C48</f>
        <v>-965.86</v>
      </c>
      <c r="X48" s="17">
        <f>(W48*100)/W$8</f>
        <v>-0.25469483004777721</v>
      </c>
      <c r="Y48" s="23">
        <f>+'ARTHUR A'!C48</f>
        <v>-2397.6799999999998</v>
      </c>
      <c r="Z48" s="17">
        <f>(Y48*100)/Y$8</f>
        <v>-0.52513548902114471</v>
      </c>
      <c r="AA48" s="23">
        <f>+'HUGO A'!C48</f>
        <v>-2407.3000000000002</v>
      </c>
      <c r="AB48" s="17">
        <f>(AA48*100)/AA$8</f>
        <v>-0.44633027260984615</v>
      </c>
      <c r="AC48" s="23">
        <f>+'JEANCLO A'!C48</f>
        <v>-3403.9</v>
      </c>
      <c r="AD48" s="17">
        <f>(AC48*100)/AC$8</f>
        <v>-1.5636787367162646</v>
      </c>
      <c r="AE48" s="23">
        <f>+'THOMAS A'!C48</f>
        <v>-423.42</v>
      </c>
      <c r="AF48" s="17">
        <f>(AE48*100)/AE$8</f>
        <v>-0.18813728272036684</v>
      </c>
      <c r="AG48" s="23">
        <f>+'CATALINA A'!C48</f>
        <v>-405.56</v>
      </c>
      <c r="AH48" s="17">
        <f>(AG48*100)/AG$8</f>
        <v>-0.19506740541784856</v>
      </c>
      <c r="AI48" s="23">
        <f t="shared" si="72"/>
        <v>-18509.070000000003</v>
      </c>
      <c r="AJ48" s="17">
        <f>(AI48*100)/AI$8</f>
        <v>-0.41089006714569648</v>
      </c>
    </row>
    <row r="49" spans="1:36" ht="13.5" thickBot="1" x14ac:dyDescent="0.25">
      <c r="A49" s="13"/>
      <c r="B49" s="63" t="s">
        <v>2988</v>
      </c>
      <c r="C49" s="49">
        <f>+'GLR5 A'!C49</f>
        <v>64937.609999999993</v>
      </c>
      <c r="D49" s="50">
        <f>(C49*100)/C$8</f>
        <v>15.615441156897168</v>
      </c>
      <c r="E49" s="49">
        <f>+'HTR8 A'!C49</f>
        <v>34849.229999999996</v>
      </c>
      <c r="F49" s="50">
        <f>(E49*100)/E$8</f>
        <v>16.852060351342029</v>
      </c>
      <c r="G49" s="49">
        <f>+'TIRR A'!C49</f>
        <v>38016.35</v>
      </c>
      <c r="H49" s="50">
        <f>(G49*100)/G$8</f>
        <v>14.558567844710346</v>
      </c>
      <c r="I49" s="49">
        <f>+'VR7 A'!C49</f>
        <v>0</v>
      </c>
      <c r="J49" s="50" t="e">
        <f>(I49*100)/I$8</f>
        <v>#DIV/0!</v>
      </c>
      <c r="K49" s="49">
        <f>+'TURVILLA A'!C49</f>
        <v>63171.82</v>
      </c>
      <c r="L49" s="50">
        <f>(K49*100)/K$8</f>
        <v>13.796952020707106</v>
      </c>
      <c r="M49" s="49">
        <f>+'HART A'!C49</f>
        <v>0</v>
      </c>
      <c r="N49" s="50" t="e">
        <f>(M49*100)/M$8</f>
        <v>#DIV/0!</v>
      </c>
      <c r="O49" s="49">
        <f>+'VICTOIRE A'!C49</f>
        <v>28098.7</v>
      </c>
      <c r="P49" s="50">
        <f>(O49*100)/O$8</f>
        <v>12.485033928427498</v>
      </c>
      <c r="Q49" s="49">
        <f>+'TH4 A'!C49</f>
        <v>49071</v>
      </c>
      <c r="R49" s="50">
        <f>(Q49*100)/Q$8</f>
        <v>13.935578895210273</v>
      </c>
      <c r="S49" s="49">
        <f>+'DIVES A'!C49</f>
        <v>31419.38</v>
      </c>
      <c r="T49" s="50">
        <f>(S49*100)/S$8</f>
        <v>13.013917503803498</v>
      </c>
      <c r="U49" s="49">
        <f>+'R314 A'!C49</f>
        <v>52892.990000000005</v>
      </c>
      <c r="V49" s="50">
        <f>(U49*100)/U$8</f>
        <v>16.603987984025665</v>
      </c>
      <c r="W49" s="49">
        <f>+'LYSE A'!C49</f>
        <v>53154.53</v>
      </c>
      <c r="X49" s="50">
        <f>(W49*100)/W$8</f>
        <v>14.016714621808001</v>
      </c>
      <c r="Y49" s="49">
        <f>+'ARTHUR A'!C49</f>
        <v>67950.790000000008</v>
      </c>
      <c r="Z49" s="50">
        <f>(Y49*100)/Y$8</f>
        <v>14.882457765849953</v>
      </c>
      <c r="AA49" s="49">
        <f>+'HUGO A'!C49</f>
        <v>80332.69</v>
      </c>
      <c r="AB49" s="50">
        <f>(AA49*100)/AA$8</f>
        <v>14.894243105214247</v>
      </c>
      <c r="AC49" s="49">
        <f>+'JEANCLO A'!C49</f>
        <v>19002.259999999998</v>
      </c>
      <c r="AD49" s="50">
        <f>(AC49*100)/AC$8</f>
        <v>8.7292311500202704</v>
      </c>
      <c r="AE49" s="49">
        <f>+'THOMAS A'!C49</f>
        <v>28098.7</v>
      </c>
      <c r="AF49" s="50">
        <f>(AE49*100)/AE$8</f>
        <v>12.485033928427498</v>
      </c>
      <c r="AG49" s="49">
        <f>+'CATALINA A'!C49</f>
        <v>28053.559999999998</v>
      </c>
      <c r="AH49" s="50">
        <f>(AG49*100)/AG$8</f>
        <v>13.493281294836621</v>
      </c>
      <c r="AI49" s="49">
        <f t="shared" si="72"/>
        <v>639049.6100000001</v>
      </c>
      <c r="AJ49" s="50">
        <f>(AI49*100)/AI$8</f>
        <v>14.186511648739302</v>
      </c>
    </row>
    <row r="50" spans="1:36" ht="7.15" customHeight="1" thickTop="1" x14ac:dyDescent="0.2">
      <c r="A50" s="13"/>
      <c r="B50" s="11"/>
      <c r="C50" s="19"/>
      <c r="D50" s="10"/>
      <c r="E50" s="19"/>
      <c r="F50" s="10"/>
      <c r="G50" s="19"/>
      <c r="H50" s="10"/>
      <c r="I50" s="19"/>
      <c r="J50" s="10"/>
      <c r="K50" s="19"/>
      <c r="L50" s="10"/>
      <c r="M50" s="19"/>
      <c r="N50" s="10"/>
      <c r="O50" s="19"/>
      <c r="P50" s="10"/>
      <c r="Q50" s="19"/>
      <c r="R50" s="10"/>
      <c r="S50" s="19"/>
      <c r="T50" s="10"/>
      <c r="U50" s="19"/>
      <c r="V50" s="10"/>
      <c r="W50" s="19"/>
      <c r="X50" s="10"/>
      <c r="Y50" s="19"/>
      <c r="Z50" s="10"/>
      <c r="AA50" s="19"/>
      <c r="AB50" s="10"/>
      <c r="AC50" s="19"/>
      <c r="AD50" s="10"/>
      <c r="AE50" s="19"/>
      <c r="AF50" s="10"/>
      <c r="AG50" s="19"/>
      <c r="AH50" s="10"/>
      <c r="AI50" s="19"/>
      <c r="AJ50" s="10"/>
    </row>
    <row r="51" spans="1:36" s="18" customFormat="1" x14ac:dyDescent="0.2">
      <c r="A51" s="13" t="s">
        <v>40</v>
      </c>
      <c r="B51" s="14" t="s">
        <v>2989</v>
      </c>
      <c r="C51" s="23">
        <f>+'GLR5 A'!C51</f>
        <v>789</v>
      </c>
      <c r="D51" s="17">
        <f t="shared" ref="D51:D59" si="73">(C51*100)/C$8</f>
        <v>0.18972954306128401</v>
      </c>
      <c r="E51" s="23">
        <f>+'HTR8 A'!C51</f>
        <v>465</v>
      </c>
      <c r="F51" s="17">
        <f t="shared" ref="F51:F59" si="74">(E51*100)/E$8</f>
        <v>0.22486029284934114</v>
      </c>
      <c r="G51" s="23">
        <f>+'TIRR A'!C51</f>
        <v>690</v>
      </c>
      <c r="H51" s="17">
        <f t="shared" ref="H51:H59" si="75">(G51*100)/G$8</f>
        <v>0.2642392500292674</v>
      </c>
      <c r="I51" s="23">
        <f>+'VR7 A'!C51</f>
        <v>0</v>
      </c>
      <c r="J51" s="17" t="e">
        <f t="shared" ref="J51:J59" si="76">(I51*100)/I$8</f>
        <v>#DIV/0!</v>
      </c>
      <c r="K51" s="23">
        <f>+'TURVILLA A'!C51</f>
        <v>816</v>
      </c>
      <c r="L51" s="17">
        <f t="shared" ref="L51:L59" si="77">(K51*100)/K$8</f>
        <v>0.17821732615740687</v>
      </c>
      <c r="M51" s="23">
        <f>+'HART A'!C51</f>
        <v>0</v>
      </c>
      <c r="N51" s="17" t="e">
        <f t="shared" ref="N51:N59" si="78">(M51*100)/M$8</f>
        <v>#DIV/0!</v>
      </c>
      <c r="O51" s="23">
        <f>+'VICTOIRE A'!C51</f>
        <v>0</v>
      </c>
      <c r="P51" s="17">
        <f t="shared" ref="P51:P59" si="79">(O51*100)/O$8</f>
        <v>0</v>
      </c>
      <c r="Q51" s="23">
        <f>+'TH4 A'!C51</f>
        <v>550</v>
      </c>
      <c r="R51" s="17">
        <f t="shared" ref="R51:R59" si="80">(Q51*100)/Q$8</f>
        <v>0.15619344199966681</v>
      </c>
      <c r="S51" s="23">
        <f>+'DIVES A'!C51</f>
        <v>520</v>
      </c>
      <c r="T51" s="17">
        <f t="shared" ref="T51:T59" si="81">(S51*100)/S$8</f>
        <v>0.21538417059718615</v>
      </c>
      <c r="U51" s="23">
        <f>+'R314 A'!C51</f>
        <v>349</v>
      </c>
      <c r="V51" s="17">
        <f t="shared" ref="V51:V59" si="82">(U51*100)/U$8</f>
        <v>0.1095568960352772</v>
      </c>
      <c r="W51" s="23">
        <f>+'LYSE A'!C51</f>
        <v>563</v>
      </c>
      <c r="X51" s="17">
        <f t="shared" ref="X51:X59" si="83">(W51*100)/W$8</f>
        <v>0.14846167075652639</v>
      </c>
      <c r="Y51" s="23">
        <f>+'ARTHUR A'!C51</f>
        <v>0</v>
      </c>
      <c r="Z51" s="17">
        <f t="shared" ref="Z51:Z59" si="84">(Y51*100)/Y$8</f>
        <v>0</v>
      </c>
      <c r="AA51" s="23">
        <f>+'HUGO A'!C51</f>
        <v>0</v>
      </c>
      <c r="AB51" s="17">
        <f t="shared" ref="AB51:AB59" si="85">(AA51*100)/AA$8</f>
        <v>0</v>
      </c>
      <c r="AC51" s="23">
        <f>+'JEANCLO A'!C51</f>
        <v>0</v>
      </c>
      <c r="AD51" s="17">
        <f t="shared" ref="AD51:AD59" si="86">(AC51*100)/AC$8</f>
        <v>0</v>
      </c>
      <c r="AE51" s="23">
        <f>+'THOMAS A'!C51</f>
        <v>0</v>
      </c>
      <c r="AF51" s="17">
        <f t="shared" ref="AF51:AF59" si="87">(AE51*100)/AE$8</f>
        <v>0</v>
      </c>
      <c r="AG51" s="23">
        <f>+'CATALINA A'!C51</f>
        <v>250</v>
      </c>
      <c r="AH51" s="17">
        <f t="shared" ref="AH51:AH59" si="88">(AG51*100)/AG$8</f>
        <v>0.12024571297579184</v>
      </c>
      <c r="AI51" s="23">
        <f t="shared" ref="AI51:AI59" si="89">+C51+E51+G51+I51+K51+M51+O51+Q51+S51+U51+W51+Y51+AA51+AC51+AE51+AG51</f>
        <v>4992</v>
      </c>
      <c r="AJ51" s="17">
        <f t="shared" ref="AJ51:AJ59" si="90">(AI51*100)/AI$8</f>
        <v>0.11081935587208415</v>
      </c>
    </row>
    <row r="52" spans="1:36" s="18" customFormat="1" x14ac:dyDescent="0.2">
      <c r="A52" s="13" t="s">
        <v>42</v>
      </c>
      <c r="B52" s="14" t="s">
        <v>38</v>
      </c>
      <c r="C52" s="23">
        <f>+'GLR5 A'!C52</f>
        <v>21289.41</v>
      </c>
      <c r="D52" s="17">
        <f t="shared" si="73"/>
        <v>5.1194296975213316</v>
      </c>
      <c r="E52" s="23">
        <f>+'HTR8 A'!C52</f>
        <v>10515.29</v>
      </c>
      <c r="F52" s="17">
        <f t="shared" si="74"/>
        <v>5.0848842769801035</v>
      </c>
      <c r="G52" s="23">
        <f>+'TIRR A'!C52</f>
        <v>13340.88</v>
      </c>
      <c r="H52" s="17">
        <f t="shared" si="75"/>
        <v>5.1089625013484818</v>
      </c>
      <c r="I52" s="23">
        <f>+'VR7 A'!C52</f>
        <v>0</v>
      </c>
      <c r="J52" s="17" t="e">
        <f t="shared" si="76"/>
        <v>#DIV/0!</v>
      </c>
      <c r="K52" s="23">
        <f>+'TURVILLA A'!C52</f>
        <v>23322.080000000002</v>
      </c>
      <c r="L52" s="17">
        <f t="shared" si="77"/>
        <v>5.0936259044474701</v>
      </c>
      <c r="M52" s="23">
        <f>+'HART A'!C52</f>
        <v>0</v>
      </c>
      <c r="N52" s="17" t="e">
        <f t="shared" si="78"/>
        <v>#DIV/0!</v>
      </c>
      <c r="O52" s="23">
        <f>+'VICTOIRE A'!C52</f>
        <v>11408.85</v>
      </c>
      <c r="P52" s="17">
        <f t="shared" si="79"/>
        <v>5.0692693731147731</v>
      </c>
      <c r="Q52" s="23">
        <f>+'TH4 A'!C52</f>
        <v>17844.07</v>
      </c>
      <c r="R52" s="17">
        <f t="shared" si="80"/>
        <v>5.0675031137872626</v>
      </c>
      <c r="S52" s="23">
        <f>+'DIVES A'!C52</f>
        <v>12266.49</v>
      </c>
      <c r="T52" s="17">
        <f t="shared" si="81"/>
        <v>5.0807841822859192</v>
      </c>
      <c r="U52" s="23">
        <f>+'R314 A'!C52</f>
        <v>16197.51</v>
      </c>
      <c r="V52" s="17">
        <f t="shared" si="82"/>
        <v>5.0846673899723855</v>
      </c>
      <c r="W52" s="23">
        <f>+'LYSE A'!C52</f>
        <v>19328.07</v>
      </c>
      <c r="X52" s="17">
        <f t="shared" si="83"/>
        <v>5.0967629923607367</v>
      </c>
      <c r="Y52" s="23">
        <f>+'ARTHUR A'!C52</f>
        <v>23449.49</v>
      </c>
      <c r="Z52" s="17">
        <f t="shared" si="84"/>
        <v>5.1358644182903657</v>
      </c>
      <c r="AA52" s="23">
        <f>+'HUGO A'!C52</f>
        <v>27580</v>
      </c>
      <c r="AB52" s="17">
        <f t="shared" si="85"/>
        <v>5.113525077298033</v>
      </c>
      <c r="AC52" s="23">
        <f>+'JEANCLO A'!C52</f>
        <v>11203.08</v>
      </c>
      <c r="AD52" s="17">
        <f t="shared" si="86"/>
        <v>5.1464549433682683</v>
      </c>
      <c r="AE52" s="23">
        <f>+'THOMAS A'!C52</f>
        <v>11408.85</v>
      </c>
      <c r="AF52" s="17">
        <f t="shared" si="87"/>
        <v>5.0692693731147731</v>
      </c>
      <c r="AG52" s="23">
        <f>+'CATALINA A'!C52</f>
        <v>10540.41</v>
      </c>
      <c r="AH52" s="17">
        <f t="shared" si="88"/>
        <v>5.0697564620286641</v>
      </c>
      <c r="AI52" s="23">
        <f t="shared" si="89"/>
        <v>229694.48</v>
      </c>
      <c r="AJ52" s="17">
        <f t="shared" si="90"/>
        <v>5.0990773880154876</v>
      </c>
    </row>
    <row r="53" spans="1:36" s="18" customFormat="1" x14ac:dyDescent="0.2">
      <c r="A53" s="13" t="s">
        <v>44</v>
      </c>
      <c r="B53" s="14" t="s">
        <v>62</v>
      </c>
      <c r="C53" s="23">
        <f>+'GLR5 A'!C53</f>
        <v>1621.29</v>
      </c>
      <c r="D53" s="17">
        <f t="shared" si="73"/>
        <v>0.38986896181220426</v>
      </c>
      <c r="E53" s="23">
        <f>+'HTR8 A'!C53</f>
        <v>1029.0899999999999</v>
      </c>
      <c r="F53" s="17">
        <f t="shared" si="74"/>
        <v>0.49763758874909342</v>
      </c>
      <c r="G53" s="23">
        <f>+'TIRR A'!C53</f>
        <v>1053.69</v>
      </c>
      <c r="H53" s="17">
        <f t="shared" si="75"/>
        <v>0.40351631212078076</v>
      </c>
      <c r="I53" s="23">
        <f>+'VR7 A'!C53</f>
        <v>0</v>
      </c>
      <c r="J53" s="17" t="e">
        <f t="shared" si="76"/>
        <v>#DIV/0!</v>
      </c>
      <c r="K53" s="23">
        <f>+'TURVILLA A'!C53</f>
        <v>1689.33</v>
      </c>
      <c r="L53" s="17">
        <f t="shared" si="77"/>
        <v>0.36895572989888742</v>
      </c>
      <c r="M53" s="23">
        <f>+'HART A'!C53</f>
        <v>0</v>
      </c>
      <c r="N53" s="17" t="e">
        <f t="shared" si="78"/>
        <v>#DIV/0!</v>
      </c>
      <c r="O53" s="23">
        <f>+'VICTOIRE A'!C53</f>
        <v>1588</v>
      </c>
      <c r="P53" s="17">
        <f t="shared" si="79"/>
        <v>0.70559256756870836</v>
      </c>
      <c r="Q53" s="23">
        <f>+'TH4 A'!C53</f>
        <v>1552.74</v>
      </c>
      <c r="R53" s="17">
        <f t="shared" si="80"/>
        <v>0.44095964569193208</v>
      </c>
      <c r="S53" s="23">
        <f>+'DIVES A'!C53</f>
        <v>1091.28</v>
      </c>
      <c r="T53" s="17">
        <f t="shared" si="81"/>
        <v>0.45200853401787944</v>
      </c>
      <c r="U53" s="23">
        <f>+'R314 A'!C53</f>
        <v>1590.68</v>
      </c>
      <c r="V53" s="17">
        <f t="shared" si="82"/>
        <v>0.4993408692991253</v>
      </c>
      <c r="W53" s="23">
        <f>+'LYSE A'!C53</f>
        <v>2779</v>
      </c>
      <c r="X53" s="17">
        <f t="shared" si="83"/>
        <v>0.73281524517297836</v>
      </c>
      <c r="Y53" s="23">
        <f>+'ARTHUR A'!C53</f>
        <v>1696</v>
      </c>
      <c r="Z53" s="17">
        <f t="shared" si="84"/>
        <v>0.37145481856622298</v>
      </c>
      <c r="AA53" s="23">
        <f>+'HUGO A'!C53</f>
        <v>1661</v>
      </c>
      <c r="AB53" s="17">
        <f t="shared" si="85"/>
        <v>0.30796102804177061</v>
      </c>
      <c r="AC53" s="23">
        <f>+'JEANCLO A'!C53</f>
        <v>1286</v>
      </c>
      <c r="AD53" s="17">
        <f t="shared" si="86"/>
        <v>0.59076084944243845</v>
      </c>
      <c r="AE53" s="23">
        <f>+'THOMAS A'!C53</f>
        <v>1588</v>
      </c>
      <c r="AF53" s="17">
        <f t="shared" si="87"/>
        <v>0.70559256756870836</v>
      </c>
      <c r="AG53" s="23">
        <f>+'CATALINA A'!C53</f>
        <v>1000</v>
      </c>
      <c r="AH53" s="17">
        <f t="shared" si="88"/>
        <v>0.48098285190316736</v>
      </c>
      <c r="AI53" s="23">
        <f t="shared" si="89"/>
        <v>21226.1</v>
      </c>
      <c r="AJ53" s="17">
        <f t="shared" si="90"/>
        <v>0.47120647629736484</v>
      </c>
    </row>
    <row r="54" spans="1:36" s="18" customFormat="1" x14ac:dyDescent="0.2">
      <c r="A54" s="13" t="s">
        <v>45</v>
      </c>
      <c r="B54" s="14" t="s">
        <v>41</v>
      </c>
      <c r="C54" s="23">
        <f>+'GLR5 A'!C54</f>
        <v>2023.17</v>
      </c>
      <c r="D54" s="17">
        <f t="shared" si="73"/>
        <v>0.48650838990532064</v>
      </c>
      <c r="E54" s="23">
        <f>+'HTR8 A'!C54</f>
        <v>1000</v>
      </c>
      <c r="F54" s="17">
        <f t="shared" si="74"/>
        <v>0.48357052225664759</v>
      </c>
      <c r="G54" s="23">
        <f>+'TIRR A'!C54</f>
        <v>1250</v>
      </c>
      <c r="H54" s="17">
        <f t="shared" si="75"/>
        <v>0.47869429353128146</v>
      </c>
      <c r="I54" s="23">
        <f>+'VR7 A'!C54</f>
        <v>0</v>
      </c>
      <c r="J54" s="17" t="e">
        <f t="shared" si="76"/>
        <v>#DIV/0!</v>
      </c>
      <c r="K54" s="23">
        <f>+'TURVILLA A'!C54</f>
        <v>2119.56</v>
      </c>
      <c r="L54" s="17">
        <f t="shared" si="77"/>
        <v>0.46291950469386434</v>
      </c>
      <c r="M54" s="23">
        <f>+'HART A'!C54</f>
        <v>0</v>
      </c>
      <c r="N54" s="17" t="e">
        <f t="shared" si="78"/>
        <v>#DIV/0!</v>
      </c>
      <c r="O54" s="23">
        <f>+'VICTOIRE A'!C54</f>
        <v>1380.05</v>
      </c>
      <c r="P54" s="17">
        <f t="shared" si="79"/>
        <v>0.61319459878664739</v>
      </c>
      <c r="Q54" s="23">
        <f>+'TH4 A'!C54</f>
        <v>1615</v>
      </c>
      <c r="R54" s="17">
        <f t="shared" si="80"/>
        <v>0.4586407433262944</v>
      </c>
      <c r="S54" s="23">
        <f>+'DIVES A'!C54</f>
        <v>1400</v>
      </c>
      <c r="T54" s="17">
        <f t="shared" si="81"/>
        <v>0.57988045930011656</v>
      </c>
      <c r="U54" s="23">
        <f>+'R314 A'!C54</f>
        <v>1966</v>
      </c>
      <c r="V54" s="17">
        <f t="shared" si="82"/>
        <v>0.61716005044514322</v>
      </c>
      <c r="W54" s="23">
        <f>+'LYSE A'!C54</f>
        <v>2219.58</v>
      </c>
      <c r="X54" s="17">
        <f t="shared" si="83"/>
        <v>0.5852976113281898</v>
      </c>
      <c r="Y54" s="23">
        <f>+'ARTHUR A'!C54</f>
        <v>2135.29</v>
      </c>
      <c r="Z54" s="17">
        <f t="shared" si="84"/>
        <v>0.46766731104732912</v>
      </c>
      <c r="AA54" s="23">
        <f>+'HUGO A'!C54</f>
        <v>2554.36</v>
      </c>
      <c r="AB54" s="17">
        <f t="shared" si="85"/>
        <v>0.47359622612208135</v>
      </c>
      <c r="AC54" s="23">
        <f>+'JEANCLO A'!C54</f>
        <v>1018.29</v>
      </c>
      <c r="AD54" s="17">
        <f t="shared" si="86"/>
        <v>0.46778061071441729</v>
      </c>
      <c r="AE54" s="23">
        <f>+'THOMAS A'!C54</f>
        <v>1380.05</v>
      </c>
      <c r="AF54" s="17">
        <f t="shared" si="87"/>
        <v>0.61319459878664739</v>
      </c>
      <c r="AG54" s="23">
        <f>+'CATALINA A'!C54</f>
        <v>664.44</v>
      </c>
      <c r="AH54" s="17">
        <f t="shared" si="88"/>
        <v>0.31958424611854053</v>
      </c>
      <c r="AI54" s="23">
        <f t="shared" si="89"/>
        <v>22725.789999999997</v>
      </c>
      <c r="AJ54" s="17">
        <f t="shared" si="90"/>
        <v>0.50449867978450535</v>
      </c>
    </row>
    <row r="55" spans="1:36" s="18" customFormat="1" x14ac:dyDescent="0.2">
      <c r="A55" s="13" t="s">
        <v>47</v>
      </c>
      <c r="B55" s="14" t="s">
        <v>43</v>
      </c>
      <c r="C55" s="23">
        <f>+'GLR5 A'!C55</f>
        <v>3480.17</v>
      </c>
      <c r="D55" s="17">
        <f t="shared" si="73"/>
        <v>0.83687080339111386</v>
      </c>
      <c r="E55" s="23">
        <f>+'HTR8 A'!C55</f>
        <v>1847.83</v>
      </c>
      <c r="F55" s="17">
        <f t="shared" si="74"/>
        <v>0.89355611814150115</v>
      </c>
      <c r="G55" s="23">
        <f>+'TIRR A'!C55</f>
        <v>1948.03</v>
      </c>
      <c r="H55" s="17">
        <f t="shared" si="75"/>
        <v>0.74600867570219387</v>
      </c>
      <c r="I55" s="23">
        <f>+'VR7 A'!C55</f>
        <v>0</v>
      </c>
      <c r="J55" s="17" t="e">
        <f t="shared" si="76"/>
        <v>#DIV/0!</v>
      </c>
      <c r="K55" s="23">
        <f>+'TURVILLA A'!C55</f>
        <v>3625.3</v>
      </c>
      <c r="L55" s="17">
        <f t="shared" si="77"/>
        <v>0.79177852024319506</v>
      </c>
      <c r="M55" s="23">
        <f>+'HART A'!C55</f>
        <v>0</v>
      </c>
      <c r="N55" s="17" t="e">
        <f t="shared" si="78"/>
        <v>#DIV/0!</v>
      </c>
      <c r="O55" s="23">
        <f>+'VICTOIRE A'!C55</f>
        <v>2010.55</v>
      </c>
      <c r="P55" s="17">
        <f t="shared" si="79"/>
        <v>0.89334328509147776</v>
      </c>
      <c r="Q55" s="23">
        <f>+'TH4 A'!C55</f>
        <v>2540.71</v>
      </c>
      <c r="R55" s="17">
        <f t="shared" si="80"/>
        <v>0.72153134549631537</v>
      </c>
      <c r="S55" s="23">
        <f>+'DIVES A'!C55</f>
        <v>3007.32</v>
      </c>
      <c r="T55" s="17">
        <f t="shared" si="81"/>
        <v>1.245632930616019</v>
      </c>
      <c r="U55" s="23">
        <f>+'R314 A'!C55</f>
        <v>4549.05</v>
      </c>
      <c r="V55" s="17">
        <f t="shared" si="82"/>
        <v>1.4280223435795922</v>
      </c>
      <c r="W55" s="23">
        <f>+'LYSE A'!C55</f>
        <v>3063.1</v>
      </c>
      <c r="X55" s="17">
        <f t="shared" si="83"/>
        <v>0.80773169395082767</v>
      </c>
      <c r="Y55" s="23">
        <f>+'ARTHUR A'!C55</f>
        <v>4065.82</v>
      </c>
      <c r="Z55" s="17">
        <f t="shared" si="84"/>
        <v>0.89048846133426918</v>
      </c>
      <c r="AA55" s="23">
        <f>+'HUGO A'!C55</f>
        <v>5381.01</v>
      </c>
      <c r="AB55" s="17">
        <f t="shared" si="85"/>
        <v>0.9976769244449416</v>
      </c>
      <c r="AC55" s="23">
        <f>+'JEANCLO A'!C55</f>
        <v>2048.69</v>
      </c>
      <c r="AD55" s="17">
        <f t="shared" si="86"/>
        <v>0.9411242959908469</v>
      </c>
      <c r="AE55" s="23">
        <f>+'THOMAS A'!C55</f>
        <v>2010.55</v>
      </c>
      <c r="AF55" s="17">
        <f t="shared" si="87"/>
        <v>0.89334328509147776</v>
      </c>
      <c r="AG55" s="23">
        <f>+'CATALINA A'!C55</f>
        <v>2160.5100000000002</v>
      </c>
      <c r="AH55" s="17">
        <f t="shared" si="88"/>
        <v>1.0391682613653124</v>
      </c>
      <c r="AI55" s="23">
        <f t="shared" si="89"/>
        <v>41738.640000000007</v>
      </c>
      <c r="AJ55" s="17">
        <f t="shared" si="90"/>
        <v>0.92657235572452057</v>
      </c>
    </row>
    <row r="56" spans="1:36" s="18" customFormat="1" x14ac:dyDescent="0.2">
      <c r="A56" s="13" t="s">
        <v>48</v>
      </c>
      <c r="B56" s="14" t="s">
        <v>46</v>
      </c>
      <c r="C56" s="23">
        <f>+'GLR5 A'!C56</f>
        <v>10063.49</v>
      </c>
      <c r="D56" s="17">
        <f t="shared" si="73"/>
        <v>2.4199510257310535</v>
      </c>
      <c r="E56" s="23">
        <f>+'HTR8 A'!C56</f>
        <v>5500</v>
      </c>
      <c r="F56" s="17">
        <f t="shared" si="74"/>
        <v>2.6596378724115617</v>
      </c>
      <c r="G56" s="23">
        <f>+'TIRR A'!C56</f>
        <v>11675</v>
      </c>
      <c r="H56" s="17">
        <f t="shared" si="75"/>
        <v>4.471004701582169</v>
      </c>
      <c r="I56" s="23">
        <f>+'VR7 A'!C56</f>
        <v>0</v>
      </c>
      <c r="J56" s="17" t="e">
        <f t="shared" si="76"/>
        <v>#DIV/0!</v>
      </c>
      <c r="K56" s="23">
        <f>+'TURVILLA A'!C56</f>
        <v>24500</v>
      </c>
      <c r="L56" s="17">
        <f t="shared" si="77"/>
        <v>5.3508878564417506</v>
      </c>
      <c r="M56" s="23">
        <f>+'HART A'!C56</f>
        <v>0</v>
      </c>
      <c r="N56" s="17" t="e">
        <f t="shared" si="78"/>
        <v>#DIV/0!</v>
      </c>
      <c r="O56" s="23">
        <f>+'VICTOIRE A'!C56</f>
        <v>6110</v>
      </c>
      <c r="P56" s="17">
        <f t="shared" si="79"/>
        <v>2.714842939448872</v>
      </c>
      <c r="Q56" s="23">
        <f>+'TH4 A'!C56</f>
        <v>11000</v>
      </c>
      <c r="R56" s="17">
        <f t="shared" si="80"/>
        <v>3.1238688399933365</v>
      </c>
      <c r="S56" s="23">
        <f>+'DIVES A'!C56</f>
        <v>10000</v>
      </c>
      <c r="T56" s="17">
        <f t="shared" si="81"/>
        <v>4.1420032807151186</v>
      </c>
      <c r="U56" s="23">
        <f>+'R314 A'!C56</f>
        <v>17300</v>
      </c>
      <c r="V56" s="17">
        <f t="shared" si="82"/>
        <v>5.4307573106312192</v>
      </c>
      <c r="W56" s="23">
        <f>+'LYSE A'!C56</f>
        <v>20000</v>
      </c>
      <c r="X56" s="17">
        <f t="shared" si="83"/>
        <v>5.273949227585307</v>
      </c>
      <c r="Y56" s="23">
        <f>+'ARTHUR A'!C56</f>
        <v>7700</v>
      </c>
      <c r="Z56" s="17">
        <f t="shared" si="84"/>
        <v>1.6864399191980641</v>
      </c>
      <c r="AA56" s="23">
        <f>+'HUGO A'!C56</f>
        <v>6200</v>
      </c>
      <c r="AB56" s="17">
        <f t="shared" si="85"/>
        <v>1.1495234038886077</v>
      </c>
      <c r="AC56" s="23">
        <f>+'JEANCLO A'!C56</f>
        <v>9200</v>
      </c>
      <c r="AD56" s="17">
        <f t="shared" si="86"/>
        <v>4.2262829042538366</v>
      </c>
      <c r="AE56" s="23">
        <f>+'THOMAS A'!C56</f>
        <v>6110</v>
      </c>
      <c r="AF56" s="17">
        <f t="shared" si="87"/>
        <v>2.714842939448872</v>
      </c>
      <c r="AG56" s="23">
        <f>+'CATALINA A'!C56</f>
        <v>9000</v>
      </c>
      <c r="AH56" s="17">
        <f t="shared" si="88"/>
        <v>4.3288456671285065</v>
      </c>
      <c r="AI56" s="23">
        <f t="shared" si="89"/>
        <v>154358.49</v>
      </c>
      <c r="AJ56" s="17">
        <f t="shared" si="90"/>
        <v>3.4266643499975045</v>
      </c>
    </row>
    <row r="57" spans="1:36" s="18" customFormat="1" x14ac:dyDescent="0.2">
      <c r="A57" s="13" t="s">
        <v>50</v>
      </c>
      <c r="B57" s="14" t="s">
        <v>2990</v>
      </c>
      <c r="C57" s="23">
        <f>+'GLR5 A'!C57</f>
        <v>696.65</v>
      </c>
      <c r="D57" s="17">
        <f t="shared" si="73"/>
        <v>0.16752228919346454</v>
      </c>
      <c r="E57" s="23">
        <f>+'HTR8 A'!C57</f>
        <v>676.38</v>
      </c>
      <c r="F57" s="17">
        <f t="shared" si="74"/>
        <v>0.32707742984395127</v>
      </c>
      <c r="G57" s="23">
        <f>+'TIRR A'!C57</f>
        <v>758.22</v>
      </c>
      <c r="H57" s="17">
        <f t="shared" si="75"/>
        <v>0.2903644697930306</v>
      </c>
      <c r="I57" s="23">
        <f>+'VR7 A'!C57</f>
        <v>0</v>
      </c>
      <c r="J57" s="17" t="e">
        <f t="shared" si="76"/>
        <v>#DIV/0!</v>
      </c>
      <c r="K57" s="23">
        <f>+'TURVILLA A'!C57</f>
        <v>709.71</v>
      </c>
      <c r="L57" s="17">
        <f t="shared" si="77"/>
        <v>0.15500320900388875</v>
      </c>
      <c r="M57" s="23">
        <f>+'HART A'!C57</f>
        <v>0</v>
      </c>
      <c r="N57" s="17" t="e">
        <f t="shared" si="78"/>
        <v>#DIV/0!</v>
      </c>
      <c r="O57" s="23">
        <f>+'VICTOIRE A'!C57</f>
        <v>218.56</v>
      </c>
      <c r="P57" s="17">
        <f t="shared" si="79"/>
        <v>9.7112286881496798E-2</v>
      </c>
      <c r="Q57" s="23">
        <f>+'TH4 A'!C57</f>
        <v>365.61</v>
      </c>
      <c r="R57" s="17">
        <f t="shared" si="80"/>
        <v>0.10382888059908761</v>
      </c>
      <c r="S57" s="23">
        <f>+'DIVES A'!C57</f>
        <v>710.32</v>
      </c>
      <c r="T57" s="17">
        <f t="shared" si="81"/>
        <v>0.29421477703575627</v>
      </c>
      <c r="U57" s="23">
        <f>+'R314 A'!C57</f>
        <v>321.35000000000002</v>
      </c>
      <c r="V57" s="17">
        <f t="shared" si="82"/>
        <v>0.10087710183649379</v>
      </c>
      <c r="W57" s="23">
        <f>+'LYSE A'!C57</f>
        <v>547.49</v>
      </c>
      <c r="X57" s="17">
        <f t="shared" si="83"/>
        <v>0.14437172313053398</v>
      </c>
      <c r="Y57" s="23">
        <f>+'ARTHUR A'!C57</f>
        <v>1020.5</v>
      </c>
      <c r="Z57" s="17">
        <f t="shared" si="84"/>
        <v>0.2235080438365746</v>
      </c>
      <c r="AA57" s="23">
        <f>+'HUGO A'!C57</f>
        <v>1156.72</v>
      </c>
      <c r="AB57" s="17">
        <f t="shared" si="85"/>
        <v>0.21446398576548878</v>
      </c>
      <c r="AC57" s="23">
        <f>+'JEANCLO A'!C57</f>
        <v>668.65</v>
      </c>
      <c r="AD57" s="17">
        <f t="shared" si="86"/>
        <v>0.30716348520970954</v>
      </c>
      <c r="AE57" s="23">
        <f>+'THOMAS A'!C57</f>
        <v>218.56</v>
      </c>
      <c r="AF57" s="17">
        <f t="shared" si="87"/>
        <v>9.7112286881496798E-2</v>
      </c>
      <c r="AG57" s="23">
        <f>+'CATALINA A'!C57</f>
        <v>781.35</v>
      </c>
      <c r="AH57" s="17">
        <f t="shared" si="88"/>
        <v>0.37581595133453982</v>
      </c>
      <c r="AI57" s="23">
        <f t="shared" si="89"/>
        <v>8850.07</v>
      </c>
      <c r="AJ57" s="17">
        <f t="shared" si="90"/>
        <v>0.19646615721611693</v>
      </c>
    </row>
    <row r="58" spans="1:36" s="18" customFormat="1" x14ac:dyDescent="0.2">
      <c r="A58" s="13" t="s">
        <v>52</v>
      </c>
      <c r="B58" s="14" t="s">
        <v>51</v>
      </c>
      <c r="C58" s="23">
        <f>+'GLR5 A'!C58</f>
        <v>276.39999999999998</v>
      </c>
      <c r="D58" s="17">
        <f t="shared" si="73"/>
        <v>6.6465457163674135E-2</v>
      </c>
      <c r="E58" s="23">
        <f>+'HTR8 A'!C58</f>
        <v>427.59</v>
      </c>
      <c r="F58" s="17">
        <f t="shared" si="74"/>
        <v>0.20676991961171995</v>
      </c>
      <c r="G58" s="23">
        <f>+'TIRR A'!C58</f>
        <v>430.62</v>
      </c>
      <c r="H58" s="17">
        <f t="shared" si="75"/>
        <v>0.16490826934435235</v>
      </c>
      <c r="I58" s="23">
        <f>+'VR7 A'!C58</f>
        <v>0</v>
      </c>
      <c r="J58" s="17" t="e">
        <f t="shared" si="76"/>
        <v>#DIV/0!</v>
      </c>
      <c r="K58" s="23">
        <f>+'TURVILLA A'!C58</f>
        <v>429.58</v>
      </c>
      <c r="L58" s="17">
        <f t="shared" si="77"/>
        <v>9.3821812464091714E-2</v>
      </c>
      <c r="M58" s="23">
        <f>+'HART A'!C58</f>
        <v>0</v>
      </c>
      <c r="N58" s="17" t="e">
        <f t="shared" si="78"/>
        <v>#DIV/0!</v>
      </c>
      <c r="O58" s="23">
        <f>+'VICTOIRE A'!C58</f>
        <v>2121.58</v>
      </c>
      <c r="P58" s="17">
        <f t="shared" si="79"/>
        <v>0.94267700220555439</v>
      </c>
      <c r="Q58" s="23">
        <f>+'TH4 A'!C58</f>
        <v>429.58</v>
      </c>
      <c r="R58" s="17">
        <f t="shared" si="80"/>
        <v>0.12199559784403068</v>
      </c>
      <c r="S58" s="23">
        <f>+'DIVES A'!C58</f>
        <v>429.62</v>
      </c>
      <c r="T58" s="17">
        <f t="shared" si="81"/>
        <v>0.17794874494608293</v>
      </c>
      <c r="U58" s="23">
        <f>+'R314 A'!C58</f>
        <v>4048.89</v>
      </c>
      <c r="V58" s="17">
        <f t="shared" si="82"/>
        <v>1.2710138131469153</v>
      </c>
      <c r="W58" s="23">
        <f>+'LYSE A'!C58</f>
        <v>1893.2</v>
      </c>
      <c r="X58" s="17">
        <f t="shared" si="83"/>
        <v>0.49923203388322512</v>
      </c>
      <c r="Y58" s="23">
        <f>+'ARTHUR A'!C58</f>
        <v>0</v>
      </c>
      <c r="Z58" s="17">
        <f t="shared" si="84"/>
        <v>0</v>
      </c>
      <c r="AA58" s="23">
        <f>+'HUGO A'!C58</f>
        <v>-655.5</v>
      </c>
      <c r="AB58" s="17">
        <f t="shared" si="85"/>
        <v>-0.12153428891112621</v>
      </c>
      <c r="AC58" s="23">
        <f>+'JEANCLO A'!C58</f>
        <v>0</v>
      </c>
      <c r="AD58" s="17">
        <f t="shared" si="86"/>
        <v>0</v>
      </c>
      <c r="AE58" s="23">
        <f>+'THOMAS A'!C58</f>
        <v>2121.58</v>
      </c>
      <c r="AF58" s="17">
        <f t="shared" si="87"/>
        <v>0.94267700220555439</v>
      </c>
      <c r="AG58" s="23">
        <f>+'CATALINA A'!C58</f>
        <v>429.58</v>
      </c>
      <c r="AH58" s="17">
        <f t="shared" si="88"/>
        <v>0.20662061352056266</v>
      </c>
      <c r="AI58" s="23">
        <f t="shared" si="89"/>
        <v>12382.720000000001</v>
      </c>
      <c r="AJ58" s="17">
        <f t="shared" si="90"/>
        <v>0.27488883300167744</v>
      </c>
    </row>
    <row r="59" spans="1:36" ht="13.5" thickBot="1" x14ac:dyDescent="0.25">
      <c r="A59" s="13"/>
      <c r="B59" s="63" t="s">
        <v>2994</v>
      </c>
      <c r="C59" s="49">
        <f>+'GLR5 A'!C59</f>
        <v>40239.58</v>
      </c>
      <c r="D59" s="50">
        <f t="shared" si="73"/>
        <v>9.676346167779446</v>
      </c>
      <c r="E59" s="49">
        <f>+'HTR8 A'!C59</f>
        <v>21461.18</v>
      </c>
      <c r="F59" s="50">
        <f t="shared" si="74"/>
        <v>10.37799402084392</v>
      </c>
      <c r="G59" s="49">
        <f>+'TIRR A'!C59</f>
        <v>31146.44</v>
      </c>
      <c r="H59" s="50">
        <f t="shared" si="75"/>
        <v>11.927698473451558</v>
      </c>
      <c r="I59" s="49">
        <f>+'VR7 A'!C59</f>
        <v>0</v>
      </c>
      <c r="J59" s="50" t="e">
        <f t="shared" si="76"/>
        <v>#DIV/0!</v>
      </c>
      <c r="K59" s="49">
        <f>+'TURVILLA A'!C59</f>
        <v>57211.560000000005</v>
      </c>
      <c r="L59" s="50">
        <f t="shared" si="77"/>
        <v>12.495209863350556</v>
      </c>
      <c r="M59" s="49">
        <f>+'HART A'!C59</f>
        <v>0</v>
      </c>
      <c r="N59" s="50" t="e">
        <f t="shared" si="78"/>
        <v>#DIV/0!</v>
      </c>
      <c r="O59" s="49">
        <f>+'VICTOIRE A'!C59</f>
        <v>24837.590000000004</v>
      </c>
      <c r="P59" s="50">
        <f t="shared" si="79"/>
        <v>11.036032053097532</v>
      </c>
      <c r="Q59" s="49">
        <f>+'TH4 A'!C59</f>
        <v>35897.710000000006</v>
      </c>
      <c r="R59" s="50">
        <f t="shared" si="80"/>
        <v>10.194521608737928</v>
      </c>
      <c r="S59" s="49">
        <f>+'DIVES A'!C59</f>
        <v>29425.03</v>
      </c>
      <c r="T59" s="50">
        <f t="shared" si="81"/>
        <v>12.187857079514078</v>
      </c>
      <c r="U59" s="49">
        <f>+'R314 A'!C59</f>
        <v>46322.48</v>
      </c>
      <c r="V59" s="50">
        <f t="shared" si="82"/>
        <v>14.541395774946153</v>
      </c>
      <c r="W59" s="49">
        <f>+'LYSE A'!C59</f>
        <v>50393.439999999995</v>
      </c>
      <c r="X59" s="50">
        <f t="shared" si="83"/>
        <v>13.288622198168323</v>
      </c>
      <c r="Y59" s="49">
        <f>+'ARTHUR A'!C59</f>
        <v>40067.100000000006</v>
      </c>
      <c r="Z59" s="50">
        <f t="shared" si="84"/>
        <v>8.7754229722728265</v>
      </c>
      <c r="AA59" s="49">
        <f>+'HUGO A'!C59</f>
        <v>43877.590000000004</v>
      </c>
      <c r="AB59" s="50">
        <f t="shared" si="85"/>
        <v>8.1352123566497969</v>
      </c>
      <c r="AC59" s="49">
        <f>+'JEANCLO A'!C59</f>
        <v>25424.71</v>
      </c>
      <c r="AD59" s="50">
        <f t="shared" si="86"/>
        <v>11.679567088979518</v>
      </c>
      <c r="AE59" s="49">
        <f>+'THOMAS A'!C59</f>
        <v>24837.590000000004</v>
      </c>
      <c r="AF59" s="50">
        <f t="shared" si="87"/>
        <v>11.036032053097532</v>
      </c>
      <c r="AG59" s="49">
        <f>+'CATALINA A'!C59</f>
        <v>24826.29</v>
      </c>
      <c r="AH59" s="50">
        <f t="shared" si="88"/>
        <v>11.941019766375085</v>
      </c>
      <c r="AI59" s="49">
        <f t="shared" si="89"/>
        <v>495968.29000000004</v>
      </c>
      <c r="AJ59" s="50">
        <f t="shared" si="90"/>
        <v>11.010193595909261</v>
      </c>
    </row>
    <row r="60" spans="1:36" ht="7.15" customHeight="1" thickTop="1" x14ac:dyDescent="0.2">
      <c r="A60" s="13"/>
      <c r="B60" s="11"/>
      <c r="C60" s="19"/>
      <c r="D60" s="10"/>
      <c r="E60" s="19"/>
      <c r="F60" s="10"/>
      <c r="G60" s="19"/>
      <c r="H60" s="10"/>
      <c r="I60" s="19"/>
      <c r="J60" s="10"/>
      <c r="K60" s="19"/>
      <c r="L60" s="10"/>
      <c r="M60" s="19"/>
      <c r="N60" s="10"/>
      <c r="O60" s="19"/>
      <c r="P60" s="10"/>
      <c r="Q60" s="19"/>
      <c r="R60" s="10"/>
      <c r="S60" s="19"/>
      <c r="T60" s="10"/>
      <c r="U60" s="19"/>
      <c r="V60" s="10"/>
      <c r="W60" s="19"/>
      <c r="X60" s="10"/>
      <c r="Y60" s="19"/>
      <c r="Z60" s="10"/>
      <c r="AA60" s="19"/>
      <c r="AB60" s="10"/>
      <c r="AC60" s="19"/>
      <c r="AD60" s="10"/>
      <c r="AE60" s="19"/>
      <c r="AF60" s="10"/>
      <c r="AG60" s="19"/>
      <c r="AH60" s="10"/>
      <c r="AI60" s="19"/>
      <c r="AJ60" s="10"/>
    </row>
    <row r="61" spans="1:36" ht="16.899999999999999" customHeight="1" thickBot="1" x14ac:dyDescent="0.25">
      <c r="A61" s="13"/>
      <c r="B61" s="69" t="s">
        <v>60</v>
      </c>
      <c r="C61" s="70">
        <f>+'GLR5 A'!C61</f>
        <v>284374.52</v>
      </c>
      <c r="D61" s="71">
        <f>(C61*100)/C$8</f>
        <v>68.383076980826331</v>
      </c>
      <c r="E61" s="70">
        <f>+'HTR8 A'!C61</f>
        <v>143661.37</v>
      </c>
      <c r="F61" s="71">
        <f>(E61*100)/E$8</f>
        <v>69.470403719005489</v>
      </c>
      <c r="G61" s="70">
        <f>+'TIRR A'!C61</f>
        <v>179360.06999999998</v>
      </c>
      <c r="H61" s="71">
        <f>(G61*100)/G$8</f>
        <v>68.686913597096947</v>
      </c>
      <c r="I61" s="70">
        <f>+'VR7 A'!C61</f>
        <v>0</v>
      </c>
      <c r="J61" s="71" t="e">
        <f>(I61*100)/I$8</f>
        <v>#DIV/0!</v>
      </c>
      <c r="K61" s="70">
        <f>+'TURVILLA A'!C61</f>
        <v>297628.27</v>
      </c>
      <c r="L61" s="71">
        <f>(K61*100)/K$8</f>
        <v>65.00308145619455</v>
      </c>
      <c r="M61" s="70">
        <f>+'HART A'!C61</f>
        <v>0</v>
      </c>
      <c r="N61" s="71" t="e">
        <f>(M61*100)/M$8</f>
        <v>#DIV/0!</v>
      </c>
      <c r="O61" s="70">
        <f>+'VICTOIRE A'!C61</f>
        <v>150740.32</v>
      </c>
      <c r="P61" s="71">
        <f>(O61*100)/O$8</f>
        <v>66.978116766327915</v>
      </c>
      <c r="Q61" s="70">
        <f>+'TH4 A'!C61</f>
        <v>224722.92</v>
      </c>
      <c r="R61" s="71">
        <f>(Q61*100)/Q$8</f>
        <v>63.818629765483209</v>
      </c>
      <c r="S61" s="70">
        <f>+'DIVES A'!C61</f>
        <v>165195.21999999997</v>
      </c>
      <c r="T61" s="71">
        <f>(S61*100)/S$8</f>
        <v>68.423914319845565</v>
      </c>
      <c r="U61" s="70">
        <f>+'R314 A'!C61</f>
        <v>230679.96999999997</v>
      </c>
      <c r="V61" s="71">
        <f>(U61*100)/U$8</f>
        <v>72.414273612352034</v>
      </c>
      <c r="W61" s="70">
        <f>+'LYSE A'!C61</f>
        <v>250670.87</v>
      </c>
      <c r="X61" s="71">
        <f>(W61*100)/W$8</f>
        <v>66.101272060731844</v>
      </c>
      <c r="Y61" s="70">
        <f>+'ARTHUR A'!C61</f>
        <v>291448.75</v>
      </c>
      <c r="Z61" s="71">
        <f>(Y61*100)/Y$8</f>
        <v>63.832572259789195</v>
      </c>
      <c r="AA61" s="70">
        <f>+'HUGO A'!C61</f>
        <v>321042</v>
      </c>
      <c r="AB61" s="71">
        <f>(AA61*100)/AA$8</f>
        <v>59.523434295355877</v>
      </c>
      <c r="AC61" s="70">
        <f>+'JEANCLO A'!C61</f>
        <v>145405.46000000002</v>
      </c>
      <c r="AD61" s="71">
        <f>(AC61*100)/AC$8</f>
        <v>66.796153237300558</v>
      </c>
      <c r="AE61" s="70">
        <f>+'THOMAS A'!C61</f>
        <v>150740.32</v>
      </c>
      <c r="AF61" s="71">
        <f>(AE61*100)/AE$8</f>
        <v>66.978116766327915</v>
      </c>
      <c r="AG61" s="70">
        <f>+'CATALINA A'!C61</f>
        <v>147757.81</v>
      </c>
      <c r="AH61" s="71">
        <f>(AG61*100)/AG$8</f>
        <v>71.06897284476635</v>
      </c>
      <c r="AI61" s="70">
        <f>+C61+E61+G61+I61+K61+M61+O61+Q61+S61+U61+W61+Y61+AA61+AC61+AE61+AG61</f>
        <v>2983427.8699999996</v>
      </c>
      <c r="AJ61" s="71">
        <f>(AI61*100)/AI$8</f>
        <v>66.230279415910246</v>
      </c>
    </row>
    <row r="62" spans="1:36" ht="7.15" customHeight="1" thickTop="1" x14ac:dyDescent="0.2">
      <c r="A62" s="13"/>
      <c r="B62" s="11"/>
      <c r="C62" s="19"/>
      <c r="D62" s="10"/>
      <c r="E62" s="19"/>
      <c r="F62" s="10"/>
      <c r="G62" s="19"/>
      <c r="H62" s="10"/>
      <c r="I62" s="19"/>
      <c r="J62" s="10"/>
      <c r="K62" s="19"/>
      <c r="L62" s="10"/>
      <c r="M62" s="19"/>
      <c r="N62" s="10"/>
      <c r="O62" s="19"/>
      <c r="P62" s="10"/>
      <c r="Q62" s="19"/>
      <c r="R62" s="10"/>
      <c r="S62" s="19"/>
      <c r="T62" s="10"/>
      <c r="U62" s="19"/>
      <c r="V62" s="10"/>
      <c r="W62" s="19"/>
      <c r="X62" s="10"/>
      <c r="Y62" s="19"/>
      <c r="Z62" s="10"/>
      <c r="AA62" s="19"/>
      <c r="AB62" s="10"/>
      <c r="AC62" s="19"/>
      <c r="AD62" s="10"/>
      <c r="AE62" s="19"/>
      <c r="AF62" s="10"/>
      <c r="AG62" s="19"/>
      <c r="AH62" s="10"/>
      <c r="AI62" s="19"/>
      <c r="AJ62" s="10"/>
    </row>
    <row r="63" spans="1:36" x14ac:dyDescent="0.2">
      <c r="A63" s="13" t="s">
        <v>2991</v>
      </c>
      <c r="B63" s="14" t="s">
        <v>64</v>
      </c>
      <c r="C63" s="23">
        <f>+'GLR5 A'!C63</f>
        <v>9953.01</v>
      </c>
      <c r="D63" s="17">
        <f>(C63*100)/C$8</f>
        <v>2.3933840803350956</v>
      </c>
      <c r="E63" s="23">
        <f>+'HTR8 A'!C63</f>
        <v>3530.78</v>
      </c>
      <c r="F63" s="17">
        <f>(E63*100)/E$8</f>
        <v>1.7073811285733262</v>
      </c>
      <c r="G63" s="23">
        <f>+'TIRR A'!C63</f>
        <v>5710.64</v>
      </c>
      <c r="H63" s="17">
        <f>(G63*100)/G$8</f>
        <v>2.1869206243291819</v>
      </c>
      <c r="I63" s="23">
        <f>+'VR7 A'!C63</f>
        <v>0</v>
      </c>
      <c r="J63" s="17" t="e">
        <f>(I63*100)/I$8</f>
        <v>#DIV/0!</v>
      </c>
      <c r="K63" s="23">
        <f>+'TURVILLA A'!C63</f>
        <v>8593.67</v>
      </c>
      <c r="L63" s="17">
        <f>(K63*100)/K$8</f>
        <v>1.8768883447048073</v>
      </c>
      <c r="M63" s="23">
        <f>+'HART A'!C63</f>
        <v>0</v>
      </c>
      <c r="N63" s="17" t="e">
        <f>(M63*100)/M$8</f>
        <v>#DIV/0!</v>
      </c>
      <c r="O63" s="23">
        <f>+'VICTOIRE A'!C63</f>
        <v>3117.88</v>
      </c>
      <c r="P63" s="17">
        <f>(O63*100)/O$8</f>
        <v>1.3853608026266528</v>
      </c>
      <c r="Q63" s="23">
        <f>+'TH4 A'!C63</f>
        <v>4773.92</v>
      </c>
      <c r="R63" s="17">
        <f>(Q63*100)/Q$8</f>
        <v>1.3557363575109989</v>
      </c>
      <c r="S63" s="23">
        <f>+'DIVES A'!C63</f>
        <v>3920.76</v>
      </c>
      <c r="T63" s="17">
        <f>(S63*100)/S$8</f>
        <v>1.6239800782896607</v>
      </c>
      <c r="U63" s="23">
        <f>+'R314 A'!C63</f>
        <v>5735.69</v>
      </c>
      <c r="V63" s="17">
        <f>(U63*100)/U$8</f>
        <v>1.8005283467638369</v>
      </c>
      <c r="W63" s="23">
        <f>+'LYSE A'!C63</f>
        <v>7358.87</v>
      </c>
      <c r="X63" s="17">
        <f>(W63*100)/W$8</f>
        <v>1.9405153376200344</v>
      </c>
      <c r="Y63" s="23">
        <f>+'ARTHUR A'!C63</f>
        <v>6808.18</v>
      </c>
      <c r="Z63" s="17">
        <f>(Y63*100)/Y$8</f>
        <v>1.4911151336475164</v>
      </c>
      <c r="AA63" s="23">
        <f>+'HUGO A'!C63</f>
        <v>8824.31</v>
      </c>
      <c r="AB63" s="17">
        <f>(AA63*100)/AA$8</f>
        <v>1.6360888497045614</v>
      </c>
      <c r="AC63" s="23">
        <f>+'JEANCLO A'!C63</f>
        <v>3055.46</v>
      </c>
      <c r="AD63" s="17">
        <f>(AC63*100)/AC$8</f>
        <v>1.4036128655034159</v>
      </c>
      <c r="AE63" s="23">
        <f>+'THOMAS A'!C63</f>
        <v>3117.88</v>
      </c>
      <c r="AF63" s="17">
        <f>(AE63*100)/AE$8</f>
        <v>1.3853608026266528</v>
      </c>
      <c r="AG63" s="23">
        <f>+'CATALINA A'!C63</f>
        <v>2900.64</v>
      </c>
      <c r="AH63" s="17">
        <f>(AG63*100)/AG$8</f>
        <v>1.3951580995444035</v>
      </c>
      <c r="AI63" s="23">
        <f t="shared" ref="AI63:AI65" si="91">+C63+E63+G63+I63+K63+M63+O63+Q63+S63+U63+W63+Y63+AA63+AC63+AE63+AG63</f>
        <v>77401.690000000017</v>
      </c>
      <c r="AJ63" s="17">
        <f>(AI63*100)/AI$8</f>
        <v>1.7182703183515102</v>
      </c>
    </row>
    <row r="64" spans="1:36" s="18" customFormat="1" x14ac:dyDescent="0.2">
      <c r="A64" s="13" t="s">
        <v>2992</v>
      </c>
      <c r="B64" s="68" t="s">
        <v>65</v>
      </c>
      <c r="C64" s="23">
        <f>+'GLR5 A'!C64</f>
        <v>5244.59</v>
      </c>
      <c r="D64" s="17">
        <f>(C64*100)/C$8</f>
        <v>1.2611580028438272</v>
      </c>
      <c r="E64" s="23">
        <f>+'HTR8 A'!C64</f>
        <v>3932.54</v>
      </c>
      <c r="F64" s="17">
        <f>(E64*100)/E$8</f>
        <v>1.9016604215951569</v>
      </c>
      <c r="G64" s="23">
        <f>+'TIRR A'!C64</f>
        <v>4037.5</v>
      </c>
      <c r="H64" s="17">
        <f>(G64*100)/G$8</f>
        <v>1.5461825681060393</v>
      </c>
      <c r="I64" s="23">
        <f>+'VR7 A'!C64</f>
        <v>0</v>
      </c>
      <c r="J64" s="17" t="e">
        <f>(I64*100)/I$8</f>
        <v>#DIV/0!</v>
      </c>
      <c r="K64" s="23">
        <f>+'TURVILLA A'!C64</f>
        <v>6616.1</v>
      </c>
      <c r="L64" s="17">
        <f>(K64*100)/K$8</f>
        <v>1.4449799651838475</v>
      </c>
      <c r="M64" s="23">
        <f>+'HART A'!C64</f>
        <v>0</v>
      </c>
      <c r="N64" s="17" t="e">
        <f>(M64*100)/M$8</f>
        <v>#DIV/0!</v>
      </c>
      <c r="O64" s="23">
        <f>+'VICTOIRE A'!C64</f>
        <v>2975.81</v>
      </c>
      <c r="P64" s="17">
        <f>(O64*100)/O$8</f>
        <v>1.3222351501867999</v>
      </c>
      <c r="Q64" s="23">
        <f>+'TH4 A'!C64</f>
        <v>5422.02</v>
      </c>
      <c r="R64" s="17">
        <f>(Q64*100)/Q$8</f>
        <v>1.539789029801879</v>
      </c>
      <c r="S64" s="23">
        <f>+'DIVES A'!C64</f>
        <v>2547.63</v>
      </c>
      <c r="T64" s="17">
        <f>(S64*100)/S$8</f>
        <v>1.0552291818048256</v>
      </c>
      <c r="U64" s="23">
        <f>+'R314 A'!C64</f>
        <v>1009.42</v>
      </c>
      <c r="V64" s="17">
        <f>(U64*100)/U$8</f>
        <v>0.31687370199406734</v>
      </c>
      <c r="W64" s="23">
        <f>+'LYSE A'!C64</f>
        <v>3552.17</v>
      </c>
      <c r="X64" s="17">
        <f>(W64*100)/W$8</f>
        <v>0.93669821138758491</v>
      </c>
      <c r="Y64" s="23">
        <f>+'ARTHUR A'!C64</f>
        <v>6548.99</v>
      </c>
      <c r="Z64" s="17">
        <f>(Y64*100)/Y$8</f>
        <v>1.434347813821939</v>
      </c>
      <c r="AA64" s="23">
        <f>+'HUGO A'!C64</f>
        <v>6935.79</v>
      </c>
      <c r="AB64" s="17">
        <f>(AA64*100)/AA$8</f>
        <v>1.2859440208800916</v>
      </c>
      <c r="AC64" s="23">
        <f>+'JEANCLO A'!C64</f>
        <v>2657.05</v>
      </c>
      <c r="AD64" s="17">
        <f>(AC64*100)/AC$8</f>
        <v>1.2205918468203973</v>
      </c>
      <c r="AE64" s="23">
        <f>+'THOMAS A'!C64</f>
        <v>2975.81</v>
      </c>
      <c r="AF64" s="17">
        <f>(AE64*100)/AE$8</f>
        <v>1.3222351501867999</v>
      </c>
      <c r="AG64" s="23">
        <f>+'CATALINA A'!C64</f>
        <v>1227.1099999999999</v>
      </c>
      <c r="AH64" s="17">
        <f>(AG64*100)/AG$8</f>
        <v>0.59021886739889562</v>
      </c>
      <c r="AI64" s="23">
        <f t="shared" si="91"/>
        <v>55682.530000000006</v>
      </c>
      <c r="AJ64" s="17">
        <f>(AI64*100)/AI$8</f>
        <v>1.2361182107227568</v>
      </c>
    </row>
    <row r="65" spans="1:36" s="59" customFormat="1" ht="13.5" x14ac:dyDescent="0.2">
      <c r="A65" s="13"/>
      <c r="B65" s="62" t="s">
        <v>53</v>
      </c>
      <c r="C65" s="67">
        <f>+C63-C64</f>
        <v>4708.42</v>
      </c>
      <c r="D65" s="56">
        <f>(C65*100)/C$8</f>
        <v>1.1322260774912685</v>
      </c>
      <c r="E65" s="67">
        <f>+E63-E64</f>
        <v>-401.75999999999976</v>
      </c>
      <c r="F65" s="56">
        <f>(E65*100)/E$8</f>
        <v>-0.19427929302183064</v>
      </c>
      <c r="G65" s="67">
        <f>+G63-G64</f>
        <v>1673.1400000000003</v>
      </c>
      <c r="H65" s="56">
        <f>(G65*100)/G$8</f>
        <v>0.64073805622314273</v>
      </c>
      <c r="I65" s="67">
        <f>+I63-I64</f>
        <v>0</v>
      </c>
      <c r="J65" s="56" t="e">
        <f>(I65*100)/I$8</f>
        <v>#DIV/0!</v>
      </c>
      <c r="K65" s="67">
        <f>+K63-K64</f>
        <v>1977.5699999999997</v>
      </c>
      <c r="L65" s="56">
        <f>(K65*100)/K$8</f>
        <v>0.43190837952095962</v>
      </c>
      <c r="M65" s="67">
        <f>+M63-M64</f>
        <v>0</v>
      </c>
      <c r="N65" s="56" t="e">
        <f>(M65*100)/M$8</f>
        <v>#DIV/0!</v>
      </c>
      <c r="O65" s="67">
        <f>+O63-O64</f>
        <v>142.07000000000016</v>
      </c>
      <c r="P65" s="56">
        <f>(O65*100)/O$8</f>
        <v>6.3125652439852978E-2</v>
      </c>
      <c r="Q65" s="67">
        <f>+Q63-Q64</f>
        <v>-648.10000000000036</v>
      </c>
      <c r="R65" s="56">
        <f>(Q65*100)/Q$8</f>
        <v>-0.18405267229088021</v>
      </c>
      <c r="S65" s="67">
        <f>+S63-S64</f>
        <v>1373.13</v>
      </c>
      <c r="T65" s="56">
        <f>(S65*100)/S$8</f>
        <v>0.56875089648483501</v>
      </c>
      <c r="U65" s="67">
        <f>+U63-U64</f>
        <v>4726.2699999999995</v>
      </c>
      <c r="V65" s="56">
        <f>(U65*100)/U$8</f>
        <v>1.4836546447697694</v>
      </c>
      <c r="W65" s="67">
        <f>+W63-W64</f>
        <v>3806.7</v>
      </c>
      <c r="X65" s="56">
        <f>(W65*100)/W$8</f>
        <v>1.0038171262324493</v>
      </c>
      <c r="Y65" s="67">
        <f>+'ARTHUR A'!C65</f>
        <v>259.19000000000051</v>
      </c>
      <c r="Z65" s="56">
        <f>(Y65*100)/Y$8</f>
        <v>5.6767319825577547E-2</v>
      </c>
      <c r="AA65" s="67">
        <f>+'HUGO A'!C65</f>
        <v>1888.5199999999995</v>
      </c>
      <c r="AB65" s="56">
        <f>(AA65*100)/AA$8</f>
        <v>0.35014482882446984</v>
      </c>
      <c r="AC65" s="67">
        <f>+'JEANCLO A'!C65</f>
        <v>398.40999999999985</v>
      </c>
      <c r="AD65" s="56">
        <f>(AC65*100)/AC$8</f>
        <v>0.18302101868301851</v>
      </c>
      <c r="AE65" s="67">
        <f>+'THOMAS A'!C65</f>
        <v>142.07000000000016</v>
      </c>
      <c r="AF65" s="56">
        <f>(AE65*100)/AE$8</f>
        <v>6.3125652439852978E-2</v>
      </c>
      <c r="AG65" s="67">
        <f>+'CATALINA A'!C65</f>
        <v>1673.53</v>
      </c>
      <c r="AH65" s="56">
        <f>(AG65*100)/AG$8</f>
        <v>0.80493923214550767</v>
      </c>
      <c r="AI65" s="67">
        <f t="shared" si="91"/>
        <v>21719.160000000003</v>
      </c>
      <c r="AJ65" s="56">
        <f>(AI65*100)/AI$8</f>
        <v>0.48215210762875316</v>
      </c>
    </row>
    <row r="66" spans="1:36" s="18" customFormat="1" ht="7.15" customHeight="1" x14ac:dyDescent="0.2">
      <c r="A66" s="13"/>
      <c r="B66" s="14"/>
      <c r="C66" s="15"/>
      <c r="D66" s="17"/>
      <c r="E66" s="15"/>
      <c r="F66" s="17"/>
      <c r="G66" s="15"/>
      <c r="H66" s="17"/>
      <c r="I66" s="15"/>
      <c r="J66" s="17"/>
      <c r="K66" s="15"/>
      <c r="L66" s="17"/>
      <c r="M66" s="15"/>
      <c r="N66" s="17"/>
      <c r="O66" s="15"/>
      <c r="P66" s="17"/>
      <c r="Q66" s="15"/>
      <c r="R66" s="17"/>
      <c r="S66" s="15"/>
      <c r="T66" s="17"/>
      <c r="U66" s="15"/>
      <c r="V66" s="17"/>
      <c r="W66" s="15"/>
      <c r="X66" s="17"/>
      <c r="Y66" s="15"/>
      <c r="Z66" s="17"/>
      <c r="AA66" s="15"/>
      <c r="AB66" s="17"/>
      <c r="AC66" s="15"/>
      <c r="AD66" s="17"/>
      <c r="AE66" s="15"/>
      <c r="AF66" s="17"/>
      <c r="AG66" s="15"/>
      <c r="AH66" s="17"/>
      <c r="AI66" s="15"/>
      <c r="AJ66" s="17"/>
    </row>
    <row r="67" spans="1:36" s="18" customFormat="1" x14ac:dyDescent="0.2">
      <c r="A67" s="13" t="s">
        <v>286</v>
      </c>
      <c r="B67" s="14" t="s">
        <v>2993</v>
      </c>
      <c r="C67" s="15">
        <f>+'GLR5 A'!C67</f>
        <v>0</v>
      </c>
      <c r="D67" s="17">
        <f>(C67*100)/C$8</f>
        <v>0</v>
      </c>
      <c r="E67" s="15">
        <f>+'HTR8 A'!C67</f>
        <v>0</v>
      </c>
      <c r="F67" s="17">
        <f>(E67*100)/E$8</f>
        <v>0</v>
      </c>
      <c r="G67" s="15">
        <f>+'TIRR A'!C67</f>
        <v>-3.34</v>
      </c>
      <c r="H67" s="17">
        <f>(G67*100)/G$8</f>
        <v>-1.2790711523155841E-3</v>
      </c>
      <c r="I67" s="15">
        <f>+'VR7 A'!C67</f>
        <v>0</v>
      </c>
      <c r="J67" s="17" t="e">
        <f>(I67*100)/I$8</f>
        <v>#DIV/0!</v>
      </c>
      <c r="K67" s="15">
        <f>+'TURVILLA A'!C67</f>
        <v>-559.09</v>
      </c>
      <c r="L67" s="17">
        <f>(K67*100)/K$8</f>
        <v>-0.12210726088400074</v>
      </c>
      <c r="M67" s="15">
        <f>+'HART A'!C67</f>
        <v>0</v>
      </c>
      <c r="N67" s="17" t="e">
        <f>(M67*100)/M$8</f>
        <v>#DIV/0!</v>
      </c>
      <c r="O67" s="15">
        <f>+'VICTOIRE A'!C67</f>
        <v>-12.74</v>
      </c>
      <c r="P67" s="17">
        <f>(O67*100)/O$8</f>
        <v>-5.6607363418295625E-3</v>
      </c>
      <c r="Q67" s="15">
        <f>+'TH4 A'!C67</f>
        <v>0</v>
      </c>
      <c r="R67" s="17">
        <f>(Q67*100)/Q$8</f>
        <v>0</v>
      </c>
      <c r="S67" s="15">
        <f>+'DIVES A'!C67</f>
        <v>-0.91</v>
      </c>
      <c r="T67" s="17">
        <f>(S67*100)/S$8</f>
        <v>-3.7692229854507578E-4</v>
      </c>
      <c r="U67" s="15">
        <f>+'R314 A'!C67</f>
        <v>-276.07</v>
      </c>
      <c r="V67" s="17">
        <f>(U67*100)/U$8</f>
        <v>-8.6662957846587327E-2</v>
      </c>
      <c r="W67" s="15">
        <f>+'LYSE A'!C67</f>
        <v>-306.69</v>
      </c>
      <c r="X67" s="17">
        <f>(W67*100)/W$8</f>
        <v>-8.0873374430406889E-2</v>
      </c>
      <c r="Y67" s="15">
        <f>+'ARTHUR A'!C67</f>
        <v>-18.14</v>
      </c>
      <c r="Z67" s="17">
        <f>(Y67*100)/Y$8</f>
        <v>-3.9729896278250494E-3</v>
      </c>
      <c r="AA67" s="15">
        <f>+'HUGO A'!C67</f>
        <v>496.14</v>
      </c>
      <c r="AB67" s="17">
        <f>(AA67*100)/AA$8</f>
        <v>9.1987829291176437E-2</v>
      </c>
      <c r="AC67" s="15">
        <f>+'JEANCLO A'!C67</f>
        <v>-218.69</v>
      </c>
      <c r="AD67" s="17">
        <f>(AC67*100)/AC$8</f>
        <v>-0.10046150090557299</v>
      </c>
      <c r="AE67" s="15">
        <f>+'THOMAS A'!C67</f>
        <v>-12.74</v>
      </c>
      <c r="AF67" s="17">
        <f>(AE67*100)/AE$8</f>
        <v>-5.6607363418295625E-3</v>
      </c>
      <c r="AG67" s="15">
        <f>+'CATALINA A'!C67</f>
        <v>-2620.83</v>
      </c>
      <c r="AH67" s="17">
        <f>(AG67*100)/AG$8</f>
        <v>-1.2605742877533781</v>
      </c>
      <c r="AI67" s="15">
        <f>+C67+E67+G67+I67+K67+M67+O67+Q67+S67+U67+W67+Y67+AA67+AC67+AE67+AG67</f>
        <v>-3533.1000000000004</v>
      </c>
      <c r="AJ67" s="17">
        <f>(AI67*100)/AI$8</f>
        <v>-7.8432665511149954E-2</v>
      </c>
    </row>
    <row r="68" spans="1:36" s="18" customFormat="1" ht="7.15" customHeight="1" x14ac:dyDescent="0.2">
      <c r="A68" s="13"/>
      <c r="B68" s="14"/>
      <c r="C68" s="15"/>
      <c r="D68" s="17"/>
      <c r="E68" s="15"/>
      <c r="F68" s="17"/>
      <c r="G68" s="15"/>
      <c r="H68" s="17"/>
      <c r="I68" s="15"/>
      <c r="J68" s="17"/>
      <c r="K68" s="15"/>
      <c r="L68" s="17"/>
      <c r="M68" s="15"/>
      <c r="N68" s="17"/>
      <c r="O68" s="15"/>
      <c r="P68" s="17"/>
      <c r="Q68" s="15"/>
      <c r="R68" s="17"/>
      <c r="S68" s="15"/>
      <c r="T68" s="17"/>
      <c r="U68" s="15"/>
      <c r="V68" s="17"/>
      <c r="W68" s="15"/>
      <c r="X68" s="17"/>
      <c r="Y68" s="15"/>
      <c r="Z68" s="17"/>
      <c r="AA68" s="15"/>
      <c r="AB68" s="17"/>
      <c r="AC68" s="15"/>
      <c r="AD68" s="17"/>
      <c r="AE68" s="15"/>
      <c r="AF68" s="17"/>
      <c r="AG68" s="15"/>
      <c r="AH68" s="17"/>
      <c r="AI68" s="15"/>
      <c r="AJ68" s="17"/>
    </row>
    <row r="69" spans="1:36" s="18" customFormat="1" x14ac:dyDescent="0.2">
      <c r="A69" s="13"/>
      <c r="B69" s="11" t="s">
        <v>55</v>
      </c>
      <c r="C69" s="22">
        <f>+'GLR5 A'!C69</f>
        <v>25874.300000000003</v>
      </c>
      <c r="D69" s="10">
        <f>(C69*100)/C$8</f>
        <v>6.2219507174025122</v>
      </c>
      <c r="E69" s="22">
        <f>+'HTR8 A'!C69</f>
        <v>7771.5600000000068</v>
      </c>
      <c r="F69" s="10">
        <f>(E69*100)/E$8</f>
        <v>3.7580973279488754</v>
      </c>
      <c r="G69" s="22">
        <f>+'TIRR A'!C69</f>
        <v>16519.490000000031</v>
      </c>
      <c r="H69" s="10">
        <f>(G69*100)/G$8</f>
        <v>6.3262284760376666</v>
      </c>
      <c r="I69" s="22">
        <f>+'VR7 A'!C69</f>
        <v>0</v>
      </c>
      <c r="J69" s="10" t="e">
        <f>(I69*100)/I$8</f>
        <v>#DIV/0!</v>
      </c>
      <c r="K69" s="22">
        <f>+'TURVILLA A'!C69</f>
        <v>44886.529999999992</v>
      </c>
      <c r="L69" s="10">
        <f>(K69*100)/K$8</f>
        <v>9.8033791140738078</v>
      </c>
      <c r="M69" s="22">
        <f>+'HART A'!C69</f>
        <v>0</v>
      </c>
      <c r="N69" s="10" t="e">
        <f>(M69*100)/M$8</f>
        <v>#DIV/0!</v>
      </c>
      <c r="O69" s="22">
        <f>+'VICTOIRE A'!C69</f>
        <v>17311.399999999976</v>
      </c>
      <c r="P69" s="10">
        <f>(O69*100)/O$8</f>
        <v>7.6919365076882382</v>
      </c>
      <c r="Q69" s="22">
        <f>+'TH4 A'!C69</f>
        <v>33696.409999999982</v>
      </c>
      <c r="R69" s="10">
        <f>(Q69*100)/Q$8</f>
        <v>9.5693786562399819</v>
      </c>
      <c r="S69" s="22">
        <f>+'DIVES A'!C69</f>
        <v>15083.950000000041</v>
      </c>
      <c r="T69" s="10">
        <f>(S69*100)/S$8</f>
        <v>6.2477770386142986</v>
      </c>
      <c r="U69" s="22">
        <f>+'R314 A'!C69</f>
        <v>11196.060000000045</v>
      </c>
      <c r="V69" s="10">
        <f>(U69*100)/U$8</f>
        <v>3.5146291731367634</v>
      </c>
      <c r="W69" s="22">
        <f>+'LYSE A'!C69</f>
        <v>34491.480000000025</v>
      </c>
      <c r="X69" s="10">
        <f>(W69*100)/W$8</f>
        <v>9.0953157152137081</v>
      </c>
      <c r="Y69" s="22">
        <f>+'ARTHUR A'!C69</f>
        <v>47208.310000000012</v>
      </c>
      <c r="Z69" s="10">
        <f>(Y69*100)/Y$8</f>
        <v>10.339477727516517</v>
      </c>
      <c r="AA69" s="22">
        <f>+'HUGO A'!C69</f>
        <v>80469.089999999938</v>
      </c>
      <c r="AB69" s="10">
        <f>(AA69*100)/AA$8</f>
        <v>14.919532620099783</v>
      </c>
      <c r="AC69" s="22">
        <f>+'JEANCLO A'!C69</f>
        <v>12237.999999999998</v>
      </c>
      <c r="AD69" s="10">
        <f>(AC69*100)/AC$8</f>
        <v>5.6218750198106999</v>
      </c>
      <c r="AE69" s="22">
        <f>+'THOMAS A'!C69</f>
        <v>17311.399999999976</v>
      </c>
      <c r="AF69" s="10">
        <f>(AE69*100)/AE$8</f>
        <v>7.6919365076882382</v>
      </c>
      <c r="AG69" s="22">
        <f>+'CATALINA A'!C69</f>
        <v>3073.1400000000021</v>
      </c>
      <c r="AH69" s="10">
        <f>(AG69*100)/AG$8</f>
        <v>1.4781276414977009</v>
      </c>
      <c r="AI69" s="22">
        <f>+C69+E69+G69+I69+K69+M69+O69+Q69+S69+U69+W69+Y69+AA69+AC69+AE69+AG69</f>
        <v>367131.12000000005</v>
      </c>
      <c r="AJ69" s="10">
        <f>(AI69*100)/AI$8</f>
        <v>8.1500869869785326</v>
      </c>
    </row>
    <row r="70" spans="1:36" ht="13.5" thickBot="1" x14ac:dyDescent="0.25">
      <c r="A70" s="13"/>
      <c r="B70" s="63" t="s">
        <v>3034</v>
      </c>
      <c r="C70" s="49">
        <f>+'GLR5 A'!C70</f>
        <v>36634.44</v>
      </c>
      <c r="D70" s="50">
        <f>(C70*100)/C$8</f>
        <v>8.8094240323270281</v>
      </c>
      <c r="E70" s="49">
        <f>+'HTR8 A'!C70</f>
        <v>13947.940000000006</v>
      </c>
      <c r="F70" s="50">
        <f>(E70*100)/E$8</f>
        <v>6.7448126302043887</v>
      </c>
      <c r="G70" s="49">
        <f>+'TIRR A'!C70</f>
        <v>28956.050000000032</v>
      </c>
      <c r="H70" s="50">
        <f>(G70*100)/G$8</f>
        <v>11.088876718565183</v>
      </c>
      <c r="I70" s="49">
        <f>+'VR7 A'!C70</f>
        <v>0</v>
      </c>
      <c r="J70" s="50" t="e">
        <f>(I70*100)/I$8</f>
        <v>#DIV/0!</v>
      </c>
      <c r="K70" s="49">
        <f>+'TURVILLA A'!C70</f>
        <v>70655.329999999987</v>
      </c>
      <c r="L70" s="50">
        <f>(K70*100)/K$8</f>
        <v>15.431377440403446</v>
      </c>
      <c r="M70" s="49">
        <f>+'HART A'!C70</f>
        <v>0</v>
      </c>
      <c r="N70" s="50" t="e">
        <f>(M70*100)/M$8</f>
        <v>#DIV/0!</v>
      </c>
      <c r="O70" s="49">
        <f>+'VICTOIRE A'!C70</f>
        <v>23652.699999999979</v>
      </c>
      <c r="P70" s="50">
        <f>(O70*100)/O$8</f>
        <v>10.509552470360436</v>
      </c>
      <c r="Q70" s="49">
        <f>+'TH4 A'!C70</f>
        <v>45062.019999999982</v>
      </c>
      <c r="R70" s="50">
        <f>(Q70*100)/Q$8</f>
        <v>12.797076376832406</v>
      </c>
      <c r="S70" s="49">
        <f>+'DIVES A'!C70</f>
        <v>25795.18000000004</v>
      </c>
      <c r="T70" s="50">
        <f>(S70*100)/S$8</f>
        <v>10.684372018663717</v>
      </c>
      <c r="U70" s="49">
        <f>+'R314 A'!C70</f>
        <v>29093.480000000047</v>
      </c>
      <c r="V70" s="50">
        <f>(U70*100)/U$8</f>
        <v>9.1329265434510649</v>
      </c>
      <c r="W70" s="49">
        <f>+'LYSE A'!C70</f>
        <v>55345.660000000025</v>
      </c>
      <c r="X70" s="50">
        <f>(W70*100)/W$8</f>
        <v>14.594510040359959</v>
      </c>
      <c r="Y70" s="49">
        <f>+'ARTHUR A'!C70</f>
        <v>55946.950000000012</v>
      </c>
      <c r="Z70" s="50">
        <f>(Y70*100)/Y$8</f>
        <v>12.25339868017898</v>
      </c>
      <c r="AA70" s="49">
        <f>+'HUGO A'!C70</f>
        <v>87329.66999999994</v>
      </c>
      <c r="AB70" s="50">
        <f>(AA70*100)/AA$8</f>
        <v>16.191532180462705</v>
      </c>
      <c r="AC70" s="49">
        <f>+'JEANCLO A'!C70</f>
        <v>22325.339999999997</v>
      </c>
      <c r="AD70" s="50">
        <f>(AC70*100)/AC$8</f>
        <v>10.255782910179818</v>
      </c>
      <c r="AE70" s="49">
        <f>+'THOMAS A'!C70</f>
        <v>23652.699999999979</v>
      </c>
      <c r="AF70" s="50">
        <f>(AE70*100)/AE$8</f>
        <v>10.509552470360436</v>
      </c>
      <c r="AG70" s="49">
        <f>+'CATALINA A'!C70</f>
        <v>15475.320000000003</v>
      </c>
      <c r="AH70" s="50">
        <f>(AG70*100)/AG$8</f>
        <v>7.4433635477141253</v>
      </c>
      <c r="AI70" s="49">
        <f>+C70+E70+G70+I70+K70+M70+O70+Q70+S70+U70+W70+Y70+AA70+AC70+AE70+AG70</f>
        <v>533872.77999999991</v>
      </c>
      <c r="AJ70" s="50">
        <f>(AI70*100)/AI$8</f>
        <v>11.851650159703301</v>
      </c>
    </row>
    <row r="71" spans="1:36" ht="7.15" customHeight="1" thickTop="1" x14ac:dyDescent="0.2">
      <c r="A71" s="13"/>
      <c r="B71" s="11"/>
      <c r="C71" s="12"/>
      <c r="D71" s="10"/>
      <c r="E71" s="12"/>
      <c r="F71" s="10"/>
      <c r="G71" s="12"/>
      <c r="H71" s="10"/>
      <c r="I71" s="12"/>
      <c r="J71" s="10"/>
      <c r="K71" s="12"/>
      <c r="L71" s="10"/>
      <c r="M71" s="12"/>
      <c r="N71" s="10"/>
      <c r="O71" s="12"/>
      <c r="P71" s="10"/>
      <c r="Q71" s="12"/>
      <c r="R71" s="10"/>
      <c r="S71" s="12"/>
      <c r="T71" s="10"/>
      <c r="U71" s="12"/>
      <c r="V71" s="10"/>
      <c r="W71" s="12"/>
      <c r="X71" s="10"/>
      <c r="Y71" s="12"/>
      <c r="Z71" s="10"/>
      <c r="AA71" s="12"/>
      <c r="AB71" s="10"/>
      <c r="AC71" s="12"/>
      <c r="AD71" s="10"/>
      <c r="AE71" s="12"/>
      <c r="AF71" s="10"/>
      <c r="AG71" s="12"/>
      <c r="AH71" s="10"/>
      <c r="AI71" s="12"/>
      <c r="AJ71" s="10"/>
    </row>
    <row r="72" spans="1:36" x14ac:dyDescent="0.2">
      <c r="A72" s="13" t="s">
        <v>2995</v>
      </c>
      <c r="B72" s="14" t="s">
        <v>2996</v>
      </c>
      <c r="C72" s="15">
        <f>+'GLR5 A'!C72</f>
        <v>1</v>
      </c>
      <c r="D72" s="17">
        <f>(C72*100)/C$8</f>
        <v>2.4046836889896579E-4</v>
      </c>
      <c r="E72" s="15">
        <f>+'HTR8 A'!C72</f>
        <v>0</v>
      </c>
      <c r="F72" s="17">
        <f>(E72*100)/E$8</f>
        <v>0</v>
      </c>
      <c r="G72" s="15">
        <f>+'TIRR A'!C72</f>
        <v>-18.46</v>
      </c>
      <c r="H72" s="17">
        <f>(G72*100)/G$8</f>
        <v>-7.0693573268699652E-3</v>
      </c>
      <c r="I72" s="15">
        <f>+'VR7 A'!C72</f>
        <v>0</v>
      </c>
      <c r="J72" s="17" t="e">
        <f>(I72*100)/I$8</f>
        <v>#DIV/0!</v>
      </c>
      <c r="K72" s="15">
        <f>+'TURVILLA A'!C72</f>
        <v>0</v>
      </c>
      <c r="L72" s="17">
        <f>(K72*100)/K$8</f>
        <v>0</v>
      </c>
      <c r="M72" s="15">
        <f>+'HART A'!C72</f>
        <v>0</v>
      </c>
      <c r="N72" s="17" t="e">
        <f>(M72*100)/M$8</f>
        <v>#DIV/0!</v>
      </c>
      <c r="O72" s="15">
        <f>+'VICTOIRE A'!C72</f>
        <v>0</v>
      </c>
      <c r="P72" s="17">
        <f>(O72*100)/O$8</f>
        <v>0</v>
      </c>
      <c r="Q72" s="15">
        <f>+'TH4 A'!C72</f>
        <v>0</v>
      </c>
      <c r="R72" s="17">
        <f>(Q72*100)/Q$8</f>
        <v>0</v>
      </c>
      <c r="S72" s="15">
        <f>+'DIVES A'!C72</f>
        <v>0</v>
      </c>
      <c r="T72" s="17">
        <f>(S72*100)/S$8</f>
        <v>0</v>
      </c>
      <c r="U72" s="15">
        <f>+'R314 A'!C72</f>
        <v>0</v>
      </c>
      <c r="V72" s="17">
        <f>(U72*100)/U$8</f>
        <v>0</v>
      </c>
      <c r="W72" s="15">
        <f>+'LYSE A'!C72</f>
        <v>0</v>
      </c>
      <c r="X72" s="17">
        <f>(W72*100)/W$8</f>
        <v>0</v>
      </c>
      <c r="Y72" s="15">
        <f>+'ARTHUR A'!C72</f>
        <v>0</v>
      </c>
      <c r="Z72" s="17">
        <f>(Y72*100)/Y$8</f>
        <v>0</v>
      </c>
      <c r="AA72" s="15">
        <f>+'HUGO A'!C72</f>
        <v>0</v>
      </c>
      <c r="AB72" s="17">
        <f>(AA72*100)/AA$8</f>
        <v>0</v>
      </c>
      <c r="AC72" s="15">
        <f>+'JEANCLO A'!C72</f>
        <v>0</v>
      </c>
      <c r="AD72" s="17">
        <f>(AC72*100)/AC$8</f>
        <v>0</v>
      </c>
      <c r="AE72" s="15">
        <f>+'THOMAS A'!C72</f>
        <v>0</v>
      </c>
      <c r="AF72" s="17">
        <f>(AE72*100)/AE$8</f>
        <v>0</v>
      </c>
      <c r="AG72" s="15">
        <f>+'CATALINA A'!C72</f>
        <v>0</v>
      </c>
      <c r="AH72" s="17">
        <f>(AG72*100)/AG$8</f>
        <v>0</v>
      </c>
      <c r="AI72" s="15">
        <f>+C72+E72+G72+I72+K72+M72+O72+Q72+S72+U72+W72+Y72+AA72+AC72+AE72+AG72</f>
        <v>-17.46</v>
      </c>
      <c r="AJ72" s="17">
        <f>(AI72*100)/AI$8</f>
        <v>-3.8760135286990967E-4</v>
      </c>
    </row>
    <row r="73" spans="1:36" ht="7.15" customHeight="1" x14ac:dyDescent="0.2">
      <c r="A73" s="13"/>
      <c r="B73" s="11"/>
      <c r="C73" s="12"/>
      <c r="D73" s="10"/>
      <c r="E73" s="12"/>
      <c r="F73" s="10"/>
      <c r="G73" s="12"/>
      <c r="H73" s="10"/>
      <c r="I73" s="12"/>
      <c r="J73" s="10"/>
      <c r="K73" s="12"/>
      <c r="L73" s="10"/>
      <c r="M73" s="12"/>
      <c r="N73" s="10"/>
      <c r="O73" s="12"/>
      <c r="P73" s="10"/>
      <c r="Q73" s="12"/>
      <c r="R73" s="10"/>
      <c r="S73" s="12"/>
      <c r="T73" s="10"/>
      <c r="U73" s="12"/>
      <c r="V73" s="10"/>
      <c r="W73" s="12"/>
      <c r="X73" s="10"/>
      <c r="Y73" s="12"/>
      <c r="Z73" s="10"/>
      <c r="AA73" s="12"/>
      <c r="AB73" s="10"/>
      <c r="AC73" s="12"/>
      <c r="AD73" s="10"/>
      <c r="AE73" s="12"/>
      <c r="AF73" s="10"/>
      <c r="AG73" s="12"/>
      <c r="AH73" s="10"/>
      <c r="AI73" s="12"/>
      <c r="AJ73" s="10"/>
    </row>
    <row r="74" spans="1:36" x14ac:dyDescent="0.2">
      <c r="A74" s="13" t="s">
        <v>288</v>
      </c>
      <c r="B74" s="11" t="s">
        <v>63</v>
      </c>
      <c r="C74" s="22">
        <f>+'GLR5 A'!C74</f>
        <v>27007</v>
      </c>
      <c r="D74" s="10">
        <f>(C74*100)/C$8</f>
        <v>6.4943292388543696</v>
      </c>
      <c r="E74" s="22">
        <f>+'HTR8 A'!C74</f>
        <v>14934.33</v>
      </c>
      <c r="F74" s="10">
        <f>(E74*100)/E$8</f>
        <v>7.2218017576531199</v>
      </c>
      <c r="G74" s="22">
        <f>+'TIRR A'!C74</f>
        <v>18111.330000000002</v>
      </c>
      <c r="H74" s="10">
        <f>(G74*100)/G$8</f>
        <v>6.9358322554095242</v>
      </c>
      <c r="I74" s="22">
        <f>+'VR7 A'!C74</f>
        <v>0</v>
      </c>
      <c r="J74" s="10" t="e">
        <f>(I74*100)/I$8</f>
        <v>#DIV/0!</v>
      </c>
      <c r="K74" s="22">
        <f>+'TURVILLA A'!C74</f>
        <v>31887</v>
      </c>
      <c r="L74" s="10">
        <f>(K74*100)/K$8</f>
        <v>6.9642351460554321</v>
      </c>
      <c r="M74" s="22">
        <f>+'HART A'!C74</f>
        <v>0</v>
      </c>
      <c r="N74" s="10" t="e">
        <f>(M74*100)/M$8</f>
        <v>#DIV/0!</v>
      </c>
      <c r="O74" s="22">
        <f>+'VICTOIRE A'!C74</f>
        <v>18396</v>
      </c>
      <c r="P74" s="10">
        <f>(O74*100)/O$8</f>
        <v>8.173854454026424</v>
      </c>
      <c r="Q74" s="22">
        <f>+'TH4 A'!C74</f>
        <v>23967.33</v>
      </c>
      <c r="R74" s="10">
        <f>(Q74*100)/Q$8</f>
        <v>6.8064359422579539</v>
      </c>
      <c r="S74" s="22">
        <f>+'DIVES A'!C74</f>
        <v>20020.330000000002</v>
      </c>
      <c r="T74" s="10">
        <f>(S74*100)/S$8</f>
        <v>8.2924272540999322</v>
      </c>
      <c r="U74" s="22">
        <f>+'R314 A'!C74</f>
        <v>28052.33</v>
      </c>
      <c r="V74" s="10">
        <f>(U74*100)/U$8</f>
        <v>8.8060922674993911</v>
      </c>
      <c r="W74" s="22">
        <f>+'LYSE A'!C74</f>
        <v>26129.33</v>
      </c>
      <c r="X74" s="10">
        <f>(W74*100)/W$8</f>
        <v>6.8902379885410792</v>
      </c>
      <c r="Y74" s="22">
        <f>+'ARTHUR A'!C74</f>
        <v>29505</v>
      </c>
      <c r="Z74" s="10">
        <f>(Y74*100)/Y$8</f>
        <v>6.4621311449271275</v>
      </c>
      <c r="AA74" s="22">
        <f>+'HUGO A'!C74</f>
        <v>35146</v>
      </c>
      <c r="AB74" s="10">
        <f>(AA74*100)/AA$8</f>
        <v>6.5163144440433891</v>
      </c>
      <c r="AC74" s="22">
        <f>+'JEANCLO A'!C74</f>
        <v>14618</v>
      </c>
      <c r="AD74" s="10">
        <f>(AC74*100)/AC$8</f>
        <v>6.7151960319981061</v>
      </c>
      <c r="AE74" s="22">
        <f>+'THOMAS A'!C74</f>
        <v>18396</v>
      </c>
      <c r="AF74" s="10">
        <f>(AE74*100)/AE$8</f>
        <v>8.173854454026424</v>
      </c>
      <c r="AG74" s="22">
        <f>+'CATALINA A'!C74</f>
        <v>17040</v>
      </c>
      <c r="AH74" s="10">
        <f>(AG74*100)/AG$8</f>
        <v>8.195947796429973</v>
      </c>
      <c r="AI74" s="22">
        <f>+C74+E74+G74+I74+K74+M74+O74+Q74+S74+U74+W74+Y74+AA74+AC74+AE74+AG74</f>
        <v>323209.98000000004</v>
      </c>
      <c r="AJ74" s="10">
        <f>(AI74*100)/AI$8</f>
        <v>7.175064462145273</v>
      </c>
    </row>
    <row r="75" spans="1:36" ht="7.15" customHeight="1" x14ac:dyDescent="0.2">
      <c r="A75" s="13"/>
      <c r="B75" s="11"/>
      <c r="C75" s="12"/>
      <c r="D75" s="10"/>
      <c r="E75" s="12"/>
      <c r="F75" s="10"/>
      <c r="G75" s="12"/>
      <c r="H75" s="10"/>
      <c r="I75" s="12"/>
      <c r="J75" s="10"/>
      <c r="K75" s="12"/>
      <c r="L75" s="10"/>
      <c r="M75" s="12"/>
      <c r="N75" s="10"/>
      <c r="O75" s="12"/>
      <c r="P75" s="10"/>
      <c r="Q75" s="12"/>
      <c r="R75" s="10"/>
      <c r="S75" s="12"/>
      <c r="T75" s="10"/>
      <c r="U75" s="12"/>
      <c r="V75" s="10"/>
      <c r="W75" s="12"/>
      <c r="X75" s="10"/>
      <c r="Y75" s="12"/>
      <c r="Z75" s="10"/>
      <c r="AA75" s="12"/>
      <c r="AB75" s="10"/>
      <c r="AC75" s="12"/>
      <c r="AD75" s="10"/>
      <c r="AE75" s="12"/>
      <c r="AF75" s="10"/>
      <c r="AG75" s="12"/>
      <c r="AH75" s="10"/>
      <c r="AI75" s="12"/>
      <c r="AJ75" s="10"/>
    </row>
    <row r="76" spans="1:36" ht="16.899999999999999" customHeight="1" thickBot="1" x14ac:dyDescent="0.25">
      <c r="A76" s="13"/>
      <c r="B76" s="69" t="s">
        <v>61</v>
      </c>
      <c r="C76" s="70">
        <f>C69-C74+C72</f>
        <v>-1131.6999999999971</v>
      </c>
      <c r="D76" s="71">
        <f>(C76*100)/C$8</f>
        <v>-0.27213805308295891</v>
      </c>
      <c r="E76" s="70">
        <f>E69-E74+E72</f>
        <v>-7162.7699999999932</v>
      </c>
      <c r="F76" s="71">
        <f>(E76*100)/E$8</f>
        <v>-3.4637044297042441</v>
      </c>
      <c r="G76" s="70">
        <f>G69-G74+G72</f>
        <v>-1610.2999999999711</v>
      </c>
      <c r="H76" s="71">
        <f>(G76*100)/G$8</f>
        <v>-0.61667313669872703</v>
      </c>
      <c r="I76" s="70">
        <f>I69-I74+I72</f>
        <v>0</v>
      </c>
      <c r="J76" s="71" t="e">
        <f>(I76*100)/I$8</f>
        <v>#DIV/0!</v>
      </c>
      <c r="K76" s="70">
        <f>K69-K74+K72</f>
        <v>12999.529999999992</v>
      </c>
      <c r="L76" s="71">
        <f>(K76*100)/K$8</f>
        <v>2.8391439680183748</v>
      </c>
      <c r="M76" s="70">
        <f>M69-M74+M72</f>
        <v>0</v>
      </c>
      <c r="N76" s="71" t="e">
        <f>(M76*100)/M$8</f>
        <v>#DIV/0!</v>
      </c>
      <c r="O76" s="70">
        <f>O69-O74+O72</f>
        <v>-1084.600000000024</v>
      </c>
      <c r="P76" s="71">
        <f>(O76*100)/O$8</f>
        <v>-0.48191794633818519</v>
      </c>
      <c r="Q76" s="70">
        <f>Q69-Q74+Q72</f>
        <v>9729.0799999999799</v>
      </c>
      <c r="R76" s="71">
        <f>(Q76*100)/Q$8</f>
        <v>2.762942713982028</v>
      </c>
      <c r="S76" s="70">
        <f>S69-S74+S72</f>
        <v>-4936.379999999961</v>
      </c>
      <c r="T76" s="71">
        <f>(S76*100)/S$8</f>
        <v>-2.0446502154856336</v>
      </c>
      <c r="U76" s="70">
        <f>U69-U74+U72</f>
        <v>-16856.269999999957</v>
      </c>
      <c r="V76" s="71">
        <f>(U76*100)/U$8</f>
        <v>-5.2914630943626273</v>
      </c>
      <c r="W76" s="70">
        <f>W69-W74+W72</f>
        <v>8362.1500000000233</v>
      </c>
      <c r="X76" s="71">
        <f>(W76*100)/W$8</f>
        <v>2.2050777266726298</v>
      </c>
      <c r="Y76" s="70">
        <f>+'ARTHUR A'!C76</f>
        <v>17703.310000000012</v>
      </c>
      <c r="Z76" s="71">
        <f>(Y76*100)/Y$8</f>
        <v>3.8773465825893898</v>
      </c>
      <c r="AA76" s="70">
        <f>+'HUGO A'!C76</f>
        <v>45323.089999999938</v>
      </c>
      <c r="AB76" s="71">
        <f>(AA76*100)/AA$8</f>
        <v>8.4032181760563951</v>
      </c>
      <c r="AC76" s="70">
        <f>+'JEANCLO A'!C76</f>
        <v>-2380.0000000000018</v>
      </c>
      <c r="AD76" s="71">
        <f>(AC76*100)/AC$8</f>
        <v>-1.0933210121874062</v>
      </c>
      <c r="AE76" s="70">
        <f>+'THOMAS A'!C76</f>
        <v>-1084.600000000024</v>
      </c>
      <c r="AF76" s="71">
        <f>(AE76*100)/AE$8</f>
        <v>-0.48191794633818519</v>
      </c>
      <c r="AG76" s="70">
        <f>+'CATALINA A'!C76</f>
        <v>-13966.859999999997</v>
      </c>
      <c r="AH76" s="71">
        <f>(AG76*100)/AG$8</f>
        <v>-6.7178201549322711</v>
      </c>
      <c r="AI76" s="70">
        <f>+C76+E76+G76+I76+K76+M76+O76+Q76+S76+U76+W76+Y76+AA76+AC76+AE76+AG76</f>
        <v>43903.680000000022</v>
      </c>
      <c r="AJ76" s="71">
        <f>(AI76*100)/AI$8</f>
        <v>0.97463492348038971</v>
      </c>
    </row>
    <row r="77" spans="1:36" ht="13.5" customHeight="1" thickTop="1" x14ac:dyDescent="0.2">
      <c r="A77" s="13"/>
      <c r="B77" s="11"/>
      <c r="C77" s="319"/>
      <c r="D77" s="320"/>
      <c r="E77" s="319"/>
      <c r="F77" s="320"/>
      <c r="G77" s="319"/>
      <c r="H77" s="320"/>
      <c r="I77" s="319"/>
      <c r="J77" s="320"/>
      <c r="K77" s="319"/>
      <c r="L77" s="320"/>
      <c r="M77" s="319"/>
      <c r="N77" s="320"/>
      <c r="O77" s="319"/>
      <c r="P77" s="320"/>
      <c r="Q77" s="319"/>
      <c r="R77" s="320"/>
      <c r="S77" s="319"/>
      <c r="T77" s="320"/>
      <c r="U77" s="319"/>
      <c r="V77" s="320"/>
      <c r="W77" s="319"/>
      <c r="X77" s="320"/>
      <c r="Y77" s="319"/>
      <c r="Z77" s="320"/>
      <c r="AA77" s="319"/>
      <c r="AB77" s="320"/>
      <c r="AC77" s="319"/>
      <c r="AD77" s="320"/>
      <c r="AE77" s="319"/>
      <c r="AF77" s="320"/>
      <c r="AG77" s="319"/>
      <c r="AH77" s="320"/>
      <c r="AI77" s="319"/>
      <c r="AJ77" s="320"/>
    </row>
    <row r="78" spans="1:36" ht="16.899999999999999" customHeight="1" thickBot="1" x14ac:dyDescent="0.25">
      <c r="A78" s="13"/>
      <c r="B78" s="73" t="s">
        <v>85</v>
      </c>
      <c r="C78" s="323">
        <f>VLOOKUP(PARAMETRES!$C$2,DONNÉES!$J$188:$P$199,2,FALSE)</f>
        <v>24859</v>
      </c>
      <c r="D78" s="324"/>
      <c r="E78" s="323">
        <f>VLOOKUP(PARAMETRES!$C$2,DONNÉES!$R$188:$X$199,2,FALSE)</f>
        <v>12710</v>
      </c>
      <c r="F78" s="324"/>
      <c r="G78" s="323">
        <f>VLOOKUP(PARAMETRES!$C$2,DONNÉES!$Z$188:$AF$199,2,FALSE)</f>
        <v>16773</v>
      </c>
      <c r="H78" s="324"/>
      <c r="I78" s="323">
        <f>VLOOKUP(PARAMETRES!$C$2,DONNÉES!$AH$188:$AN$199,2,FALSE)</f>
        <v>0</v>
      </c>
      <c r="J78" s="324"/>
      <c r="K78" s="323">
        <f>VLOOKUP(PARAMETRES!$C$2,DONNÉES!$AP$188:$AV$199,2,FALSE)</f>
        <v>27135</v>
      </c>
      <c r="L78" s="324"/>
      <c r="M78" s="323">
        <f>VLOOKUP(PARAMETRES!$C$2,DONNÉES!$AX$188:$BD$199,2,FALSE)</f>
        <v>0</v>
      </c>
      <c r="N78" s="324"/>
      <c r="O78" s="323">
        <f>VLOOKUP(PARAMETRES!$C$2,DONNÉES!$BF$188:$BL$199,2,FALSE)</f>
        <v>12604</v>
      </c>
      <c r="P78" s="324"/>
      <c r="Q78" s="323">
        <f>VLOOKUP(PARAMETRES!$C$2,DONNÉES!$BN$188:$BT$199,2,FALSE)</f>
        <v>21816</v>
      </c>
      <c r="R78" s="324"/>
      <c r="S78" s="323">
        <f>VLOOKUP(PARAMETRES!$C$2,DONNÉES!$BV$188:$CB$199,2,FALSE)</f>
        <v>13437</v>
      </c>
      <c r="T78" s="324"/>
      <c r="U78" s="323">
        <f>VLOOKUP(PARAMETRES!$C$2,DONNÉES!$CD$188:$CJ$199,2,FALSE)</f>
        <v>20186</v>
      </c>
      <c r="V78" s="324"/>
      <c r="W78" s="323">
        <f>VLOOKUP(PARAMETRES!$C$2,DONNÉES!$CL$188:$CR$199,2,FALSE)</f>
        <v>21593</v>
      </c>
      <c r="X78" s="324"/>
      <c r="Y78" s="323">
        <f>VLOOKUP(PARAMETRES!$C$2,DONNÉES!$CT$188:$CZ$199,2,FALSE)</f>
        <v>28852</v>
      </c>
      <c r="Z78" s="324"/>
      <c r="AA78" s="323">
        <f>VLOOKUP(PARAMETRES!$C$2,DONNÉES!$DB$188:$DH$199,2,FALSE)</f>
        <v>28506</v>
      </c>
      <c r="AB78" s="324"/>
      <c r="AC78" s="323">
        <f>VLOOKUP(PARAMETRES!$C$2,DONNÉES!$DJ$188:$DP$199,2,FALSE)</f>
        <v>12917</v>
      </c>
      <c r="AD78" s="324"/>
      <c r="AE78" s="323">
        <f>VLOOKUP(PARAMETRES!$C$2,DONNÉES!$DR$188:$DX$199,2,FALSE)</f>
        <v>19144</v>
      </c>
      <c r="AF78" s="324"/>
      <c r="AG78" s="323">
        <f>VLOOKUP(PARAMETRES!$C$2,DONNÉES!$DZ$188:$EF$199,2,FALSE)</f>
        <v>11403</v>
      </c>
      <c r="AH78" s="324"/>
      <c r="AI78" s="323">
        <f>SUM(C78:AG78)</f>
        <v>271935</v>
      </c>
      <c r="AJ78" s="324"/>
    </row>
    <row r="79" spans="1:36" ht="13.5" customHeight="1" thickTop="1" x14ac:dyDescent="0.2">
      <c r="A79" s="13"/>
      <c r="B79" s="65"/>
      <c r="C79" s="25"/>
      <c r="D79" s="26"/>
      <c r="E79" s="25"/>
      <c r="F79" s="26"/>
      <c r="G79" s="25"/>
      <c r="H79" s="26"/>
      <c r="I79" s="25"/>
      <c r="J79" s="26"/>
      <c r="K79" s="25"/>
      <c r="L79" s="26"/>
      <c r="M79" s="25"/>
      <c r="N79" s="26"/>
      <c r="O79" s="25"/>
      <c r="P79" s="26"/>
      <c r="Q79" s="25"/>
      <c r="R79" s="26"/>
      <c r="S79" s="25"/>
      <c r="T79" s="26"/>
      <c r="U79" s="25"/>
      <c r="V79" s="26"/>
      <c r="W79" s="25"/>
      <c r="X79" s="26"/>
      <c r="Y79" s="25"/>
      <c r="Z79" s="26"/>
      <c r="AA79" s="25"/>
      <c r="AB79" s="26"/>
      <c r="AC79" s="25"/>
      <c r="AD79" s="26"/>
      <c r="AE79" s="25"/>
      <c r="AF79" s="26"/>
      <c r="AG79" s="25"/>
      <c r="AH79" s="26"/>
      <c r="AI79" s="25"/>
      <c r="AJ79" s="26"/>
    </row>
    <row r="80" spans="1:36" ht="16.899999999999999" customHeight="1" thickBot="1" x14ac:dyDescent="0.25">
      <c r="A80" s="13"/>
      <c r="B80" s="73" t="s">
        <v>86</v>
      </c>
      <c r="C80" s="315">
        <f>VLOOKUP(PARAMETRES!$C$2,DONNÉES!$J$284:$P$295,2,FALSE)</f>
        <v>17.13</v>
      </c>
      <c r="D80" s="316"/>
      <c r="E80" s="315">
        <f>VLOOKUP(PARAMETRES!$C$2,DONNÉES!$R$284:$X$295,2,FALSE)</f>
        <v>16.55</v>
      </c>
      <c r="F80" s="316"/>
      <c r="G80" s="315">
        <f>VLOOKUP(PARAMETRES!$C$2,DONNÉES!$Z$284:$AF$295,2,FALSE)</f>
        <v>15.91</v>
      </c>
      <c r="H80" s="316"/>
      <c r="I80" s="315" t="e">
        <f>VLOOKUP(PARAMETRES!$C$2,DONNÉES!$AH$284:$AN$295,2,FALSE)</f>
        <v>#DIV/0!</v>
      </c>
      <c r="J80" s="316"/>
      <c r="K80" s="315">
        <f>VLOOKUP(PARAMETRES!$C$2,DONNÉES!$AP$284:$AV$295,2,FALSE)</f>
        <v>17.190000000000001</v>
      </c>
      <c r="L80" s="316"/>
      <c r="M80" s="315" t="e">
        <f>VLOOKUP(PARAMETRES!$C$2,DONNÉES!$AX$284:$BD$295,2,FALSE)</f>
        <v>#DIV/0!</v>
      </c>
      <c r="N80" s="316"/>
      <c r="O80" s="315">
        <f>VLOOKUP(PARAMETRES!$C$2,DONNÉES!$BF$284:$BL$295,2,FALSE)</f>
        <v>18.100000000000001</v>
      </c>
      <c r="P80" s="316"/>
      <c r="Q80" s="315">
        <f>VLOOKUP(PARAMETRES!$C$2,DONNÉES!$BN$284:$BT$295,2,FALSE)</f>
        <v>16.36</v>
      </c>
      <c r="R80" s="316"/>
      <c r="S80" s="315">
        <f>VLOOKUP(PARAMETRES!$C$2,DONNÉES!$BV$284:$CB$295,2,FALSE)</f>
        <v>18.260000000000002</v>
      </c>
      <c r="T80" s="316"/>
      <c r="U80" s="315">
        <f>VLOOKUP(PARAMETRES!$C$2,DONNÉES!$CD$284:$CJ$295,2,FALSE)</f>
        <v>16.05</v>
      </c>
      <c r="V80" s="316"/>
      <c r="W80" s="315">
        <f>VLOOKUP(PARAMETRES!$C$2,DONNÉES!$CL$284:$CR$295,2,FALSE)</f>
        <v>17.899999999999999</v>
      </c>
      <c r="X80" s="316"/>
      <c r="Y80" s="315">
        <f>VLOOKUP(PARAMETRES!$C$2,DONNÉES!$CT$284:$ZR$295,2,FALSE)</f>
        <v>16.260000000000002</v>
      </c>
      <c r="Z80" s="316"/>
      <c r="AA80" s="315">
        <f>VLOOKUP(PARAMETRES!$C$2,DONNÉES!$DB$284:$DH$295,2,FALSE)</f>
        <v>19.350000000000001</v>
      </c>
      <c r="AB80" s="316"/>
      <c r="AC80" s="315">
        <f>VLOOKUP(PARAMETRES!$C$2,DONNÉES!$DJ$284:$DP$295,2,FALSE)</f>
        <v>13.91</v>
      </c>
      <c r="AD80" s="316"/>
      <c r="AE80" s="315">
        <f>VLOOKUP(PARAMETRES!$C$2,DONNÉES!$DR$284:$DX$295,2,FALSE)</f>
        <v>18.66</v>
      </c>
      <c r="AF80" s="316"/>
      <c r="AG80" s="315">
        <f>VLOOKUP(PARAMETRES!$C$2,DONNÉES!$DZ$284:$EF$295,2,FALSE)</f>
        <v>18.489999999999998</v>
      </c>
      <c r="AH80" s="316"/>
      <c r="AI80" s="315">
        <f>VLOOKUP(PARAMETRES!$C$2,DONNÉES!$B$236:$H$247,2,FALSE)</f>
        <v>15.830714285714285</v>
      </c>
      <c r="AJ80" s="316"/>
    </row>
    <row r="81" spans="1:36" ht="14.25" thickTop="1" thickBot="1" x14ac:dyDescent="0.25">
      <c r="A81" s="13"/>
      <c r="B81" s="66"/>
      <c r="C81" s="29"/>
      <c r="D81" s="30"/>
      <c r="E81" s="29"/>
      <c r="F81" s="30"/>
      <c r="G81" s="29"/>
      <c r="H81" s="30"/>
      <c r="I81" s="29"/>
      <c r="J81" s="30"/>
      <c r="K81" s="29"/>
      <c r="L81" s="30"/>
      <c r="M81" s="29"/>
      <c r="N81" s="30"/>
      <c r="O81" s="29"/>
      <c r="P81" s="30"/>
      <c r="Q81" s="29"/>
      <c r="R81" s="30"/>
      <c r="S81" s="29"/>
      <c r="T81" s="30"/>
      <c r="U81" s="29"/>
      <c r="V81" s="30"/>
      <c r="W81" s="29"/>
      <c r="X81" s="30"/>
      <c r="Y81" s="29"/>
      <c r="Z81" s="30"/>
      <c r="AA81" s="29"/>
      <c r="AB81" s="30"/>
      <c r="AC81" s="29"/>
      <c r="AD81" s="30"/>
      <c r="AE81" s="29"/>
      <c r="AF81" s="30"/>
      <c r="AG81" s="29"/>
      <c r="AH81" s="30"/>
      <c r="AI81" s="29"/>
      <c r="AJ81" s="30"/>
    </row>
  </sheetData>
  <mergeCells count="71">
    <mergeCell ref="AG5:AH5"/>
    <mergeCell ref="AG77:AH77"/>
    <mergeCell ref="AG78:AH78"/>
    <mergeCell ref="AG80:AH80"/>
    <mergeCell ref="AA5:AB5"/>
    <mergeCell ref="AA77:AB77"/>
    <mergeCell ref="AA78:AB78"/>
    <mergeCell ref="AA80:AB80"/>
    <mergeCell ref="Y5:Z5"/>
    <mergeCell ref="Y77:Z77"/>
    <mergeCell ref="Y78:Z78"/>
    <mergeCell ref="Y80:Z80"/>
    <mergeCell ref="AE5:AF5"/>
    <mergeCell ref="AE77:AF77"/>
    <mergeCell ref="AE78:AF78"/>
    <mergeCell ref="AE80:AF80"/>
    <mergeCell ref="AC5:AD5"/>
    <mergeCell ref="AC77:AD77"/>
    <mergeCell ref="AC78:AD78"/>
    <mergeCell ref="AC80:AD80"/>
    <mergeCell ref="U80:V80"/>
    <mergeCell ref="W80:X80"/>
    <mergeCell ref="AI80:AJ80"/>
    <mergeCell ref="B3:AJ3"/>
    <mergeCell ref="AI78:AJ78"/>
    <mergeCell ref="C80:D80"/>
    <mergeCell ref="E80:F80"/>
    <mergeCell ref="G80:H80"/>
    <mergeCell ref="I80:J80"/>
    <mergeCell ref="K80:L80"/>
    <mergeCell ref="M80:N80"/>
    <mergeCell ref="O80:P80"/>
    <mergeCell ref="Q80:R80"/>
    <mergeCell ref="S80:T80"/>
    <mergeCell ref="M78:N78"/>
    <mergeCell ref="O78:P78"/>
    <mergeCell ref="AI77:AJ77"/>
    <mergeCell ref="C78:D78"/>
    <mergeCell ref="E78:F78"/>
    <mergeCell ref="G78:H78"/>
    <mergeCell ref="I78:J78"/>
    <mergeCell ref="K78:L78"/>
    <mergeCell ref="Q78:R78"/>
    <mergeCell ref="S78:T78"/>
    <mergeCell ref="U78:V78"/>
    <mergeCell ref="W78:X78"/>
    <mergeCell ref="Q77:R77"/>
    <mergeCell ref="S77:T77"/>
    <mergeCell ref="U77:V77"/>
    <mergeCell ref="W77:X77"/>
    <mergeCell ref="U5:V5"/>
    <mergeCell ref="W5:X5"/>
    <mergeCell ref="AI5:AJ5"/>
    <mergeCell ref="C77:D77"/>
    <mergeCell ref="E77:F77"/>
    <mergeCell ref="G77:H77"/>
    <mergeCell ref="I77:J77"/>
    <mergeCell ref="K77:L77"/>
    <mergeCell ref="M77:N77"/>
    <mergeCell ref="O77:P77"/>
    <mergeCell ref="I5:J5"/>
    <mergeCell ref="K5:L5"/>
    <mergeCell ref="M5:N5"/>
    <mergeCell ref="O5:P5"/>
    <mergeCell ref="Q5:R5"/>
    <mergeCell ref="S5:T5"/>
    <mergeCell ref="A5:A6"/>
    <mergeCell ref="B5:B6"/>
    <mergeCell ref="C5:D5"/>
    <mergeCell ref="E5:F5"/>
    <mergeCell ref="G5:H5"/>
  </mergeCells>
  <pageMargins left="0.70866141732283472" right="0.70866141732283472" top="0.74803149606299213" bottom="0.74803149606299213" header="0.31496062992125984" footer="0.31496062992125984"/>
  <pageSetup paperSize="9" scale="49" fitToWidth="2" orientation="landscape" r:id="rId1"/>
  <headerFooter>
    <oddFooter>&amp;C&amp;"Helv,Gras"&amp;11Page &amp;P / &amp;N</oddFooter>
  </headerFooter>
  <rowBreaks count="1" manualBreakCount="1">
    <brk id="50" max="33" man="1"/>
  </rowBreaks>
  <colBreaks count="1" manualBreakCount="1">
    <brk id="16" max="80" man="1"/>
  </colBreaks>
  <ignoredErrors>
    <ignoredError sqref="AI9 F69:X69 E70:X76 E8:X68 AI17 AI34 AI43 AI45 AI50 AI60 AI62 AI66 AI68 AI71 AI73 AI75" 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337F-9EEA-4C4A-8860-228B6DDAFD3D}">
  <sheetPr>
    <tabColor rgb="FFFFFF00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 x14ac:dyDescent="0.2"/>
  <sheetData>
    <row r="1" spans="1:8" x14ac:dyDescent="0.2">
      <c r="A1" s="74"/>
      <c r="B1" s="44"/>
      <c r="C1" s="44"/>
      <c r="D1" s="44"/>
      <c r="E1" s="44"/>
      <c r="F1" s="44"/>
      <c r="G1" s="44"/>
      <c r="H1" s="75"/>
    </row>
    <row r="2" spans="1:8" x14ac:dyDescent="0.2">
      <c r="C2" s="280"/>
      <c r="E2" s="280"/>
      <c r="G2" s="280"/>
    </row>
    <row r="3" spans="1:8" x14ac:dyDescent="0.2">
      <c r="C3" s="280"/>
      <c r="E3" s="280"/>
      <c r="G3" s="280"/>
    </row>
    <row r="4" spans="1:8" ht="15" x14ac:dyDescent="0.35">
      <c r="A4" s="281"/>
    </row>
    <row r="5" spans="1:8" x14ac:dyDescent="0.2">
      <c r="A5" s="44"/>
    </row>
    <row r="6" spans="1:8" ht="27" customHeight="1" x14ac:dyDescent="0.2">
      <c r="A6" s="303"/>
      <c r="B6" s="303"/>
      <c r="C6" s="303"/>
      <c r="D6" s="303"/>
      <c r="E6" s="303"/>
      <c r="F6" s="303"/>
      <c r="G6" s="303"/>
      <c r="H6" s="303"/>
    </row>
    <row r="7" spans="1:8" x14ac:dyDescent="0.2">
      <c r="A7" s="44"/>
    </row>
    <row r="8" spans="1:8" ht="26.25" customHeight="1" x14ac:dyDescent="0.2">
      <c r="A8" s="303"/>
      <c r="B8" s="303"/>
      <c r="C8" s="303"/>
      <c r="D8" s="303"/>
      <c r="E8" s="303"/>
      <c r="F8" s="303"/>
      <c r="G8" s="303"/>
      <c r="H8" s="303"/>
    </row>
    <row r="9" spans="1:8" x14ac:dyDescent="0.2">
      <c r="A9" s="44"/>
    </row>
    <row r="10" spans="1:8" x14ac:dyDescent="0.2">
      <c r="A10" s="44"/>
    </row>
    <row r="11" spans="1:8" x14ac:dyDescent="0.2">
      <c r="A11" s="44"/>
    </row>
    <row r="12" spans="1:8" x14ac:dyDescent="0.2">
      <c r="A12" s="44"/>
    </row>
    <row r="13" spans="1:8" x14ac:dyDescent="0.2">
      <c r="A13" s="44"/>
    </row>
    <row r="14" spans="1:8" x14ac:dyDescent="0.2">
      <c r="A14" s="44"/>
    </row>
    <row r="15" spans="1:8" x14ac:dyDescent="0.2">
      <c r="A15" s="44"/>
    </row>
    <row r="16" spans="1:8" x14ac:dyDescent="0.2">
      <c r="A16" s="44"/>
    </row>
    <row r="17" spans="1:1" x14ac:dyDescent="0.2">
      <c r="A17" s="44"/>
    </row>
    <row r="18" spans="1:1" x14ac:dyDescent="0.2">
      <c r="A18" s="44"/>
    </row>
    <row r="19" spans="1:1" x14ac:dyDescent="0.2">
      <c r="A19" s="44"/>
    </row>
    <row r="20" spans="1:1" x14ac:dyDescent="0.2">
      <c r="A20" s="44"/>
    </row>
    <row r="21" spans="1:1" x14ac:dyDescent="0.2">
      <c r="A21" s="44"/>
    </row>
    <row r="22" spans="1:1" x14ac:dyDescent="0.2">
      <c r="A22" s="44"/>
    </row>
    <row r="23" spans="1:1" x14ac:dyDescent="0.2">
      <c r="A23" s="44"/>
    </row>
    <row r="24" spans="1:1" x14ac:dyDescent="0.2">
      <c r="A24" s="44"/>
    </row>
    <row r="25" spans="1:1" x14ac:dyDescent="0.2">
      <c r="A25" s="44"/>
    </row>
    <row r="26" spans="1:1" x14ac:dyDescent="0.2">
      <c r="A26" s="44"/>
    </row>
    <row r="27" spans="1:1" x14ac:dyDescent="0.2">
      <c r="A27" s="44"/>
    </row>
    <row r="28" spans="1:1" x14ac:dyDescent="0.2">
      <c r="A28" s="44"/>
    </row>
    <row r="29" spans="1:1" x14ac:dyDescent="0.2">
      <c r="A29" s="44"/>
    </row>
  </sheetData>
  <mergeCells count="2">
    <mergeCell ref="A6:H6"/>
    <mergeCell ref="A8:H8"/>
  </mergeCells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&amp;C&amp;"Helv,Gras"&amp;11&amp;K00+000Page &amp;P /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25702-4D1B-421A-8F52-B2469BA27146}">
  <sheetPr>
    <tabColor rgb="FFFFFF00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 x14ac:dyDescent="0.25"/>
  <cols>
    <col min="1" max="1" width="4.5703125" style="31" customWidth="1"/>
    <col min="2" max="2" width="13" style="31" bestFit="1" customWidth="1"/>
    <col min="3" max="7" width="11.42578125" style="31"/>
    <col min="8" max="8" width="0.28515625" style="31" hidden="1" customWidth="1"/>
    <col min="9" max="16384" width="11.42578125" style="31"/>
  </cols>
  <sheetData>
    <row r="2" spans="1:8" x14ac:dyDescent="0.25">
      <c r="C2" s="41"/>
      <c r="E2" s="41"/>
      <c r="G2" s="41"/>
    </row>
    <row r="3" spans="1:8" s="34" customFormat="1" ht="25.5" x14ac:dyDescent="0.35">
      <c r="A3" s="32"/>
      <c r="B3" s="33"/>
      <c r="C3" s="40"/>
      <c r="D3" s="33"/>
      <c r="E3" s="40"/>
      <c r="F3" s="33"/>
      <c r="G3" s="40"/>
      <c r="H3" s="33"/>
    </row>
    <row r="4" spans="1:8" x14ac:dyDescent="0.25">
      <c r="A4" s="35"/>
      <c r="B4" s="36"/>
      <c r="C4" s="36"/>
      <c r="D4" s="36"/>
      <c r="E4" s="36"/>
      <c r="F4" s="36"/>
      <c r="G4" s="36"/>
      <c r="H4" s="36"/>
    </row>
    <row r="5" spans="1:8" x14ac:dyDescent="0.25">
      <c r="A5" s="35"/>
      <c r="B5" s="36"/>
      <c r="C5" s="37"/>
      <c r="D5" s="36"/>
      <c r="E5" s="36"/>
      <c r="F5" s="36"/>
      <c r="G5" s="36"/>
      <c r="H5" s="36"/>
    </row>
    <row r="6" spans="1:8" x14ac:dyDescent="0.25">
      <c r="A6" s="35"/>
      <c r="B6" s="36"/>
      <c r="C6" s="36"/>
      <c r="D6" s="36"/>
      <c r="E6" s="36"/>
      <c r="F6" s="36"/>
      <c r="G6" s="36"/>
      <c r="H6" s="36"/>
    </row>
    <row r="7" spans="1:8" x14ac:dyDescent="0.25">
      <c r="A7" s="35"/>
      <c r="B7" s="36"/>
      <c r="C7" s="36"/>
      <c r="D7" s="36"/>
      <c r="E7" s="36"/>
      <c r="F7" s="36"/>
      <c r="G7" s="36"/>
      <c r="H7" s="36"/>
    </row>
    <row r="8" spans="1:8" x14ac:dyDescent="0.25">
      <c r="A8" s="35"/>
      <c r="B8" s="36"/>
      <c r="C8" s="36"/>
      <c r="D8" s="36"/>
      <c r="E8" s="36"/>
      <c r="F8" s="36"/>
      <c r="G8" s="36"/>
      <c r="H8" s="36"/>
    </row>
    <row r="9" spans="1:8" x14ac:dyDescent="0.25">
      <c r="A9" s="35"/>
      <c r="B9" s="36"/>
      <c r="C9" s="36"/>
      <c r="D9" s="36"/>
      <c r="E9" s="36"/>
      <c r="F9" s="36"/>
      <c r="G9" s="36"/>
      <c r="H9" s="36"/>
    </row>
    <row r="10" spans="1:8" x14ac:dyDescent="0.25">
      <c r="A10" s="35"/>
      <c r="B10" s="36"/>
      <c r="C10" s="36"/>
      <c r="D10" s="36"/>
      <c r="E10" s="36"/>
      <c r="F10" s="36"/>
      <c r="G10" s="36"/>
      <c r="H10" s="36"/>
    </row>
    <row r="11" spans="1:8" x14ac:dyDescent="0.25">
      <c r="A11" s="36"/>
      <c r="B11" s="36"/>
      <c r="C11" s="36"/>
      <c r="D11" s="36"/>
      <c r="E11" s="36"/>
      <c r="F11" s="36"/>
      <c r="G11" s="36"/>
    </row>
    <row r="12" spans="1:8" x14ac:dyDescent="0.25">
      <c r="A12" s="36"/>
      <c r="B12" s="36"/>
      <c r="C12" s="36"/>
      <c r="D12" s="36"/>
      <c r="E12" s="36"/>
      <c r="F12" s="36"/>
      <c r="G12" s="36"/>
    </row>
    <row r="13" spans="1:8" x14ac:dyDescent="0.25">
      <c r="A13" s="36"/>
      <c r="B13" s="36"/>
      <c r="C13" s="36"/>
      <c r="D13" s="36"/>
      <c r="E13" s="36"/>
      <c r="F13" s="36"/>
      <c r="G13" s="36"/>
    </row>
    <row r="14" spans="1:8" x14ac:dyDescent="0.25">
      <c r="A14" s="36"/>
      <c r="B14" s="36"/>
      <c r="C14" s="36"/>
      <c r="D14" s="36"/>
      <c r="E14" s="36"/>
      <c r="F14" s="36"/>
      <c r="G14" s="36"/>
    </row>
    <row r="15" spans="1:8" x14ac:dyDescent="0.25">
      <c r="A15" s="36"/>
      <c r="B15" s="36"/>
      <c r="C15" s="36"/>
      <c r="D15" s="36"/>
      <c r="E15" s="36"/>
      <c r="F15" s="36"/>
      <c r="G15" s="36"/>
    </row>
    <row r="16" spans="1:8" x14ac:dyDescent="0.25">
      <c r="A16" s="36"/>
      <c r="B16" s="36"/>
      <c r="C16" s="36"/>
      <c r="D16" s="36"/>
      <c r="E16" s="36"/>
      <c r="F16" s="36"/>
      <c r="G16" s="36"/>
    </row>
    <row r="17" spans="1:9" x14ac:dyDescent="0.25">
      <c r="A17" s="36"/>
      <c r="B17" s="36"/>
      <c r="C17" s="36"/>
      <c r="D17" s="36"/>
      <c r="E17" s="36"/>
      <c r="F17" s="36"/>
      <c r="G17" s="36"/>
    </row>
    <row r="18" spans="1:9" ht="7.5" customHeight="1" x14ac:dyDescent="0.25">
      <c r="A18" s="38"/>
      <c r="B18" s="36"/>
      <c r="C18" s="36"/>
      <c r="D18" s="36"/>
      <c r="E18" s="36"/>
      <c r="F18" s="36"/>
      <c r="G18" s="36"/>
    </row>
    <row r="19" spans="1:9" x14ac:dyDescent="0.25">
      <c r="A19" s="36"/>
      <c r="B19" s="36"/>
      <c r="C19" s="36"/>
      <c r="D19" s="36"/>
      <c r="E19" s="36"/>
      <c r="F19" s="36"/>
      <c r="G19" s="36"/>
      <c r="I19" s="31" t="s">
        <v>97</v>
      </c>
    </row>
    <row r="20" spans="1:9" ht="58.5" customHeight="1" x14ac:dyDescent="0.25">
      <c r="A20" s="306"/>
      <c r="B20" s="306"/>
      <c r="C20" s="306"/>
      <c r="D20" s="306"/>
      <c r="E20" s="306"/>
      <c r="F20" s="306"/>
      <c r="G20" s="306"/>
      <c r="H20" s="306"/>
      <c r="I20" s="306"/>
    </row>
    <row r="21" spans="1:9" ht="6" customHeight="1" x14ac:dyDescent="0.25">
      <c r="A21" s="36"/>
      <c r="B21" s="36"/>
      <c r="C21" s="36"/>
      <c r="D21" s="36"/>
      <c r="E21" s="36"/>
      <c r="F21" s="36"/>
      <c r="G21" s="36"/>
    </row>
    <row r="22" spans="1:9" x14ac:dyDescent="0.25">
      <c r="A22" s="36"/>
      <c r="B22" s="36"/>
      <c r="C22" s="36"/>
      <c r="D22" s="36"/>
      <c r="E22" s="36"/>
      <c r="F22" s="36"/>
      <c r="G22" s="36"/>
    </row>
    <row r="23" spans="1:9" x14ac:dyDescent="0.25">
      <c r="A23" s="36"/>
      <c r="B23" s="36"/>
      <c r="C23" s="36"/>
      <c r="D23" s="36"/>
      <c r="E23" s="36"/>
      <c r="F23" s="36"/>
      <c r="G23" s="36"/>
    </row>
    <row r="39" spans="1:8" x14ac:dyDescent="0.25">
      <c r="A39" s="39"/>
      <c r="B39" s="307"/>
      <c r="C39" s="307"/>
      <c r="D39" s="307"/>
      <c r="E39" s="307"/>
      <c r="F39" s="307"/>
      <c r="G39" s="307"/>
      <c r="H39" s="36" t="s">
        <v>98</v>
      </c>
    </row>
  </sheetData>
  <mergeCells count="2">
    <mergeCell ref="A20:I20"/>
    <mergeCell ref="B39:G39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&amp;C&amp;"Helv,Gras"&amp;11&amp;K00+000Page &amp;P / &amp;N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99B29-EE88-4C9B-B1A0-A8D46D9274C0}">
  <sheetPr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4081-DEF7-420A-B84D-D72C06135F1F}">
  <sheetPr>
    <tabColor rgb="FFFFFF00"/>
    <pageSetUpPr fitToPage="1"/>
  </sheetPr>
  <dimension ref="A1:I81"/>
  <sheetViews>
    <sheetView showGridLines="0" topLeftCell="B36" zoomScale="85" zoomScaleNormal="85" zoomScaleSheetLayoutView="115" zoomScalePageLayoutView="85" workbookViewId="0">
      <selection activeCell="E76" sqref="E7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6850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2999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GLR5'!$G:$G,'BAL N GLR5'!$I:$I,$A8,'BAL N GLR5'!$J:$J,"T")</f>
        <v>415855.11</v>
      </c>
      <c r="D8" s="71">
        <f>(C8*100)/C$8</f>
        <v>100</v>
      </c>
      <c r="E8" s="72">
        <f>-SUMIFS(DONNEES_N1_NOUVEAU[MONTANT],DONNEES_N1_NOUVEAU[TL2],A8,DONNEES_N1_NOUVEAU[MOIS],DONNÉES!$C$5,DONNEES_N1_NOUVEAU[SOCIETE],"GLR5")</f>
        <v>370437.56</v>
      </c>
      <c r="F8" s="71">
        <f>(E8*100)/E$8</f>
        <v>100</v>
      </c>
      <c r="G8" s="72">
        <f>+C8-E8</f>
        <v>45417.549999999988</v>
      </c>
      <c r="H8" s="71">
        <f>IF(E8=0,0,G8/E8*100)</f>
        <v>12.260514295580608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GLR5'!$G:$G,'BAL N GLR5'!$I:$I,$A10,'BAL N GLR5'!$J:$J,"T")</f>
        <v>93925.95</v>
      </c>
      <c r="D10" s="17">
        <f t="shared" ref="D10:F16" si="0">(C10*100)/C$8</f>
        <v>22.586219993785818</v>
      </c>
      <c r="E10" s="16">
        <f>SUMIFS(DONNEES_N1_NOUVEAU[MONTANT],DONNEES_N1_NOUVEAU[TL2],A10,DONNEES_N1_NOUVEAU[MOIS],DONNÉES!$C$5,DONNEES_N1_NOUVEAU[SOCIETE],"GLR5")</f>
        <v>84010.21</v>
      </c>
      <c r="F10" s="17">
        <f t="shared" si="0"/>
        <v>22.678642522102781</v>
      </c>
      <c r="G10" s="16">
        <f>+C10-E10</f>
        <v>9915.7399999999907</v>
      </c>
      <c r="H10" s="17">
        <f t="shared" ref="H10:H16" si="1">IF(E10=0,0,G10/E10*100)</f>
        <v>11.803017752247007</v>
      </c>
    </row>
    <row r="11" spans="1:8" s="18" customFormat="1" x14ac:dyDescent="0.2">
      <c r="A11" s="13" t="s">
        <v>124</v>
      </c>
      <c r="B11" s="14" t="s">
        <v>4</v>
      </c>
      <c r="C11" s="23">
        <f>SUMIFS('BAL N GLR5'!$G:$G,'BAL N GLR5'!$I:$I,$A11,'BAL N GLR5'!$J:$J,"T")</f>
        <v>1729.73</v>
      </c>
      <c r="D11" s="17">
        <f t="shared" si="0"/>
        <v>0.41594535173560809</v>
      </c>
      <c r="E11" s="16">
        <f>SUMIFS(DONNEES_N1_NOUVEAU[MONTANT],DONNEES_N1_NOUVEAU[TL2],A11,DONNEES_N1_NOUVEAU[MOIS],DONNÉES!$C$5,DONNEES_N1_NOUVEAU[SOCIETE],"GLR5")</f>
        <v>1628.56</v>
      </c>
      <c r="F11" s="17">
        <f t="shared" si="0"/>
        <v>0.4396314455801944</v>
      </c>
      <c r="G11" s="16">
        <f>+C11-E11</f>
        <v>101.17000000000007</v>
      </c>
      <c r="H11" s="17">
        <f t="shared" si="1"/>
        <v>6.2122365770987908</v>
      </c>
    </row>
    <row r="12" spans="1:8" s="18" customFormat="1" x14ac:dyDescent="0.2">
      <c r="A12" s="13" t="s">
        <v>125</v>
      </c>
      <c r="B12" s="14" t="s">
        <v>2</v>
      </c>
      <c r="C12" s="23">
        <f>SUMIFS('BAL N GLR5'!$G:$G,'BAL N GLR5'!$I:$I,$A12,'BAL N GLR5'!$J:$J,"T")</f>
        <v>2065.16</v>
      </c>
      <c r="D12" s="17">
        <f t="shared" si="0"/>
        <v>0.4966056567153882</v>
      </c>
      <c r="E12" s="16">
        <f>SUMIFS(DONNEES_N1_NOUVEAU[MONTANT],DONNEES_N1_NOUVEAU[TL2],A12,DONNEES_N1_NOUVEAU[MOIS],DONNÉES!$C$5,DONNEES_N1_NOUVEAU[SOCIETE],"GLR5")</f>
        <v>1931.15</v>
      </c>
      <c r="F12" s="17">
        <f t="shared" si="0"/>
        <v>0.5213159270350447</v>
      </c>
      <c r="G12" s="16">
        <f>+C12-E12</f>
        <v>134.00999999999976</v>
      </c>
      <c r="H12" s="17">
        <f t="shared" si="1"/>
        <v>6.9393884472982297</v>
      </c>
    </row>
    <row r="13" spans="1:8" s="59" customFormat="1" ht="13.5" x14ac:dyDescent="0.2">
      <c r="A13" s="60"/>
      <c r="B13" s="62" t="s">
        <v>6</v>
      </c>
      <c r="C13" s="55">
        <f>SUM(C10:C12)</f>
        <v>97720.84</v>
      </c>
      <c r="D13" s="56">
        <f t="shared" si="0"/>
        <v>23.498771002236815</v>
      </c>
      <c r="E13" s="55">
        <f>SUM(E10:E12)</f>
        <v>87569.919999999998</v>
      </c>
      <c r="F13" s="56">
        <f t="shared" si="0"/>
        <v>23.639589894718018</v>
      </c>
      <c r="G13" s="55">
        <f>SUM(G10:G12)</f>
        <v>10150.919999999991</v>
      </c>
      <c r="H13" s="56">
        <f t="shared" si="1"/>
        <v>11.591788595901413</v>
      </c>
    </row>
    <row r="14" spans="1:8" s="18" customFormat="1" x14ac:dyDescent="0.2">
      <c r="A14" s="13" t="s">
        <v>126</v>
      </c>
      <c r="B14" s="14" t="s">
        <v>8</v>
      </c>
      <c r="C14" s="23">
        <f>SUMIFS('BAL N GLR5'!$G:$G,'BAL N GLR5'!$I:$I,$A14,'BAL N GLR5'!$J:$J,"T")</f>
        <v>10345.09</v>
      </c>
      <c r="D14" s="17">
        <f t="shared" si="0"/>
        <v>2.487666918413002</v>
      </c>
      <c r="E14" s="16">
        <f>SUMIFS(DONNEES_N1_NOUVEAU[MONTANT],DONNEES_N1_NOUVEAU[TL2],A14,DONNEES_N1_NOUVEAU[MOIS],DONNÉES!$C$5,DONNEES_N1_NOUVEAU[SOCIETE],"GLR5")</f>
        <v>8915.7199999999993</v>
      </c>
      <c r="F14" s="17">
        <f t="shared" si="0"/>
        <v>2.4068077761877058</v>
      </c>
      <c r="G14" s="16">
        <f>+C14-E14</f>
        <v>1429.3700000000008</v>
      </c>
      <c r="H14" s="17">
        <f t="shared" si="1"/>
        <v>16.032019848088556</v>
      </c>
    </row>
    <row r="15" spans="1:8" s="18" customFormat="1" x14ac:dyDescent="0.2">
      <c r="A15" s="13" t="s">
        <v>2964</v>
      </c>
      <c r="B15" s="14" t="s">
        <v>2965</v>
      </c>
      <c r="C15" s="23">
        <f>SUMIFS('BAL N GLR5'!$G:$G,'BAL N GLR5'!$I:$I,$A15,'BAL N GLR5'!$J:$J,"T")</f>
        <v>2248.7800000000002</v>
      </c>
      <c r="D15" s="17">
        <f t="shared" si="0"/>
        <v>0.54076045861261635</v>
      </c>
      <c r="E15" s="16">
        <f>SUMIFS(DONNEES_N1_NOUVEAU[MONTANT],DONNEES_N1_NOUVEAU[TL2],A15,DONNEES_N1_NOUVEAU[MOIS],DONNÉES!$C$5,DONNEES_N1_NOUVEAU[SOCIETE],"GLR5")</f>
        <v>1300.76</v>
      </c>
      <c r="F15" s="17">
        <f t="shared" si="0"/>
        <v>0.35114149871843447</v>
      </c>
      <c r="G15" s="16">
        <f>+C15-E15</f>
        <v>948.02000000000021</v>
      </c>
      <c r="H15" s="17">
        <f t="shared" si="1"/>
        <v>72.882007441803268</v>
      </c>
    </row>
    <row r="16" spans="1:8" ht="13.5" thickBot="1" x14ac:dyDescent="0.25">
      <c r="A16" s="7"/>
      <c r="B16" s="63" t="s">
        <v>10</v>
      </c>
      <c r="C16" s="49">
        <f>+C13+SUM(C14:C15)</f>
        <v>110314.70999999999</v>
      </c>
      <c r="D16" s="50">
        <f t="shared" si="0"/>
        <v>26.527198379262433</v>
      </c>
      <c r="E16" s="49">
        <f>+E13+SUM(E14:E15)</f>
        <v>97786.4</v>
      </c>
      <c r="F16" s="50">
        <f t="shared" si="0"/>
        <v>26.39753916962416</v>
      </c>
      <c r="G16" s="49">
        <f>+G13+SUM(G14:G15)</f>
        <v>12528.309999999992</v>
      </c>
      <c r="H16" s="50">
        <f t="shared" si="1"/>
        <v>12.811914540263261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305540.40000000002</v>
      </c>
      <c r="D18" s="71">
        <f>(C18*100)/C$8</f>
        <v>73.472801620737584</v>
      </c>
      <c r="E18" s="70">
        <f>E8-E16</f>
        <v>272651.16000000003</v>
      </c>
      <c r="F18" s="71">
        <f>(E18*100)/E$8</f>
        <v>73.602460830375847</v>
      </c>
      <c r="G18" s="70">
        <f>G8-G16</f>
        <v>32889.24</v>
      </c>
      <c r="H18" s="71">
        <f>IF(E18=0,0,G18/E18*100)</f>
        <v>12.062754473518469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GLR5'!$G:$G,'BAL N GLR5'!$I:$I,$A20,'BAL N GLR5'!$J:$J,"T")</f>
        <v>65020.78</v>
      </c>
      <c r="D20" s="17">
        <f t="shared" ref="D20:F26" si="2">(C20*100)/C$8</f>
        <v>15.635440911138497</v>
      </c>
      <c r="E20" s="16">
        <f>SUMIFS(DONNEES_N1_NOUVEAU[MONTANT],DONNEES_N1_NOUVEAU[TL2],A20,DONNEES_N1_NOUVEAU[MOIS],DONNÉES!$C$5,DONNEES_N1_NOUVEAU[SOCIETE],"GLR5")</f>
        <v>66031.399999999994</v>
      </c>
      <c r="F20" s="17">
        <f t="shared" si="2"/>
        <v>17.825244286783445</v>
      </c>
      <c r="G20" s="16">
        <f t="shared" ref="G20:G25" si="3">+C20-E20</f>
        <v>-1010.6199999999953</v>
      </c>
      <c r="H20" s="17">
        <f t="shared" ref="H20:H26" si="4">IF(E20=0,0,G20/E20*100)</f>
        <v>-1.5305142704834298</v>
      </c>
    </row>
    <row r="21" spans="1:8" s="18" customFormat="1" x14ac:dyDescent="0.2">
      <c r="A21" s="13">
        <v>9</v>
      </c>
      <c r="B21" s="14" t="s">
        <v>2968</v>
      </c>
      <c r="C21" s="23">
        <f>SUMIFS('BAL N GLR5'!$G:$G,'BAL N GLR5'!$I:$I,$A21,'BAL N GLR5'!$J:$J,"T")</f>
        <v>9096.2999999999993</v>
      </c>
      <c r="D21" s="17">
        <f t="shared" si="2"/>
        <v>2.1873724240156625</v>
      </c>
      <c r="E21" s="16">
        <f>SUMIFS(DONNEES_N1_NOUVEAU[MONTANT],DONNEES_N1_NOUVEAU[TL2],A21,DONNEES_N1_NOUVEAU[MOIS],DONNÉES!$C$5,DONNEES_N1_NOUVEAU[SOCIETE],"GLR5")</f>
        <v>7904.13</v>
      </c>
      <c r="F21" s="17">
        <f t="shared" si="2"/>
        <v>2.1337280161331371</v>
      </c>
      <c r="G21" s="16">
        <f t="shared" si="3"/>
        <v>1192.1699999999992</v>
      </c>
      <c r="H21" s="17">
        <f t="shared" si="4"/>
        <v>15.082874396043577</v>
      </c>
    </row>
    <row r="22" spans="1:8" s="18" customFormat="1" x14ac:dyDescent="0.2">
      <c r="A22" s="13" t="s">
        <v>12</v>
      </c>
      <c r="B22" s="14" t="s">
        <v>14</v>
      </c>
      <c r="C22" s="23">
        <f>SUMIFS('BAL N GLR5'!$G:$G,'BAL N GLR5'!$I:$I,$A22,'BAL N GLR5'!$J:$J,"T")</f>
        <v>19851.349999999999</v>
      </c>
      <c r="D22" s="17">
        <f t="shared" si="2"/>
        <v>4.773621754942484</v>
      </c>
      <c r="E22" s="16">
        <f>SUMIFS(DONNEES_N1_NOUVEAU[MONTANT],DONNEES_N1_NOUVEAU[TL2],A22,DONNEES_N1_NOUVEAU[MOIS],DONNÉES!$C$5,DONNEES_N1_NOUVEAU[SOCIETE],"GLR5")</f>
        <v>21061.18</v>
      </c>
      <c r="F22" s="17">
        <f t="shared" si="2"/>
        <v>5.6854871843989034</v>
      </c>
      <c r="G22" s="16">
        <f t="shared" si="3"/>
        <v>-1209.8300000000017</v>
      </c>
      <c r="H22" s="17">
        <f t="shared" si="4"/>
        <v>-5.7443600026209438</v>
      </c>
    </row>
    <row r="23" spans="1:8" s="18" customFormat="1" x14ac:dyDescent="0.2">
      <c r="A23" s="13" t="s">
        <v>13</v>
      </c>
      <c r="B23" s="14" t="s">
        <v>2966</v>
      </c>
      <c r="C23" s="23">
        <f>SUMIFS('BAL N GLR5'!$G:$G,'BAL N GLR5'!$I:$I,$A23,'BAL N GLR5'!$J:$J,"T")</f>
        <v>5090.05</v>
      </c>
      <c r="D23" s="17">
        <f t="shared" si="2"/>
        <v>1.2239960211141809</v>
      </c>
      <c r="E23" s="16">
        <f>SUMIFS(DONNEES_N1_NOUVEAU[MONTANT],DONNEES_N1_NOUVEAU[TL2],A23,DONNEES_N1_NOUVEAU[MOIS],DONNÉES!$C$5,DONNEES_N1_NOUVEAU[SOCIETE],"GLR5")</f>
        <v>4919.95</v>
      </c>
      <c r="F23" s="17">
        <f t="shared" si="2"/>
        <v>1.3281455584579491</v>
      </c>
      <c r="G23" s="16">
        <f t="shared" si="3"/>
        <v>170.10000000000036</v>
      </c>
      <c r="H23" s="17">
        <f t="shared" si="4"/>
        <v>3.4573522088639188</v>
      </c>
    </row>
    <row r="24" spans="1:8" s="18" customFormat="1" x14ac:dyDescent="0.2">
      <c r="A24" s="13" t="s">
        <v>15</v>
      </c>
      <c r="B24" s="14" t="s">
        <v>2969</v>
      </c>
      <c r="C24" s="23">
        <f>SUMIFS('BAL N GLR5'!$G:$G,'BAL N GLR5'!$I:$I,$A24,'BAL N GLR5'!$J:$J,"T")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SUMIFS(DONNEES_N1_NOUVEAU[MONTANT],DONNEES_N1_NOUVEAU[TL2],A24,DONNEES_N1_NOUVEAU[MOIS],DONNÉES!$C$5,DONNEES_N1_NOUVEAU[SOCIETE],"GLR5")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GLR5'!$G:$G,'BAL N GLR5'!$I:$I,$A25,'BAL N GLR5'!$J:$J,"T")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SUMIFS(DONNEES_N1_NOUVEAU[MONTANT],DONNEES_N1_NOUVEAU[TL2],A25,DONNEES_N1_NOUVEAU[MOIS],DONNÉES!$C$5,DONNEES_N1_NOUVEAU[SOCIETE],"GLR5")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99058.48</v>
      </c>
      <c r="D26" s="50">
        <f t="shared" si="2"/>
        <v>23.820431111210826</v>
      </c>
      <c r="E26" s="51">
        <f>SUM(E20:E25)</f>
        <v>99916.659999999989</v>
      </c>
      <c r="F26" s="50">
        <f t="shared" si="2"/>
        <v>26.972605045773431</v>
      </c>
      <c r="G26" s="51">
        <f>SUM(G20:G25)</f>
        <v>-858.17999999999756</v>
      </c>
      <c r="H26" s="50">
        <f t="shared" si="4"/>
        <v>-0.85889580376285368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GLR5'!$G:$G,'BAL N GLR5'!$I:$I,$A28,'BAL N GLR5'!$J:$J,"T")</f>
        <v>10700</v>
      </c>
      <c r="D28" s="17">
        <f t="shared" ref="D28:F33" si="5">(C28*100)/C$8</f>
        <v>2.5730115472189343</v>
      </c>
      <c r="E28" s="16">
        <f>SUMIFS(DONNEES_N1_NOUVEAU[MONTANT],DONNEES_N1_NOUVEAU[TL2],A28,DONNEES_N1_NOUVEAU[MOIS],DONNÉES!$C$5,DONNEES_N1_NOUVEAU[SOCIETE],"GLR5")</f>
        <v>140</v>
      </c>
      <c r="F28" s="17">
        <f t="shared" si="5"/>
        <v>3.7793143870184225E-2</v>
      </c>
      <c r="G28" s="16">
        <f>+C28-E28</f>
        <v>10560</v>
      </c>
      <c r="H28" s="17">
        <f t="shared" ref="H28:H33" si="6">IF(E28=0,0,G28/E28*100)</f>
        <v>7542.8571428571431</v>
      </c>
    </row>
    <row r="29" spans="1:8" s="18" customFormat="1" x14ac:dyDescent="0.2">
      <c r="A29" s="13" t="s">
        <v>20</v>
      </c>
      <c r="B29" s="14" t="s">
        <v>2972</v>
      </c>
      <c r="C29" s="23">
        <f>SUMIFS('BAL N GLR5'!$G:$G,'BAL N GLR5'!$I:$I,$A29,'BAL N GLR5'!$J:$J,"T")</f>
        <v>84.6</v>
      </c>
      <c r="D29" s="17">
        <f t="shared" si="5"/>
        <v>2.0343624008852507E-2</v>
      </c>
      <c r="E29" s="16">
        <f>SUMIFS(DONNEES_N1_NOUVEAU[MONTANT],DONNEES_N1_NOUVEAU[TL2],A29,DONNEES_N1_NOUVEAU[MOIS],DONNÉES!$C$5,DONNEES_N1_NOUVEAU[SOCIETE],"GLR5")</f>
        <v>82.3</v>
      </c>
      <c r="F29" s="17">
        <f t="shared" si="5"/>
        <v>2.2216969575115441E-2</v>
      </c>
      <c r="G29" s="16">
        <f>+C29-E29</f>
        <v>2.2999999999999972</v>
      </c>
      <c r="H29" s="17">
        <f t="shared" si="6"/>
        <v>2.7946537059538241</v>
      </c>
    </row>
    <row r="30" spans="1:8" s="18" customFormat="1" x14ac:dyDescent="0.2">
      <c r="A30" s="13" t="s">
        <v>21</v>
      </c>
      <c r="B30" s="14" t="s">
        <v>2973</v>
      </c>
      <c r="C30" s="23">
        <f>SUMIFS('BAL N GLR5'!$G:$G,'BAL N GLR5'!$I:$I,$A30,'BAL N GLR5'!$J:$J,"T")</f>
        <v>4606.21</v>
      </c>
      <c r="D30" s="17">
        <f t="shared" si="5"/>
        <v>1.1076478055061052</v>
      </c>
      <c r="E30" s="16">
        <f>SUMIFS(DONNEES_N1_NOUVEAU[MONTANT],DONNEES_N1_NOUVEAU[TL2],A30,DONNEES_N1_NOUVEAU[MOIS],DONNÉES!$C$5,DONNEES_N1_NOUVEAU[SOCIETE],"GLR5")</f>
        <v>3123.78</v>
      </c>
      <c r="F30" s="17">
        <f t="shared" si="5"/>
        <v>0.84326762113431475</v>
      </c>
      <c r="G30" s="16">
        <f>+C30-E30</f>
        <v>1482.4299999999998</v>
      </c>
      <c r="H30" s="17">
        <f t="shared" si="6"/>
        <v>47.45628693441919</v>
      </c>
    </row>
    <row r="31" spans="1:8" s="18" customFormat="1" x14ac:dyDescent="0.2">
      <c r="A31" s="13" t="s">
        <v>23</v>
      </c>
      <c r="B31" s="14" t="s">
        <v>2974</v>
      </c>
      <c r="C31" s="23">
        <f>SUMIFS('BAL N GLR5'!$G:$G,'BAL N GLR5'!$I:$I,$A31,'BAL N GLR5'!$J:$J,"T")</f>
        <v>3620.43</v>
      </c>
      <c r="D31" s="17">
        <f t="shared" si="5"/>
        <v>0.87059889681288272</v>
      </c>
      <c r="E31" s="16">
        <f>SUMIFS(DONNEES_N1_NOUVEAU[MONTANT],DONNEES_N1_NOUVEAU[TL2],A31,DONNEES_N1_NOUVEAU[MOIS],DONNÉES!$C$5,DONNEES_N1_NOUVEAU[SOCIETE],"GLR5")</f>
        <v>-2870.94</v>
      </c>
      <c r="F31" s="17">
        <f t="shared" si="5"/>
        <v>-0.77501320330476209</v>
      </c>
      <c r="G31" s="16">
        <f>+C31-E31</f>
        <v>6491.37</v>
      </c>
      <c r="H31" s="17">
        <f t="shared" si="6"/>
        <v>-226.10608372170788</v>
      </c>
    </row>
    <row r="32" spans="1:8" s="18" customFormat="1" x14ac:dyDescent="0.2">
      <c r="A32" s="13" t="s">
        <v>25</v>
      </c>
      <c r="B32" s="14" t="s">
        <v>2975</v>
      </c>
      <c r="C32" s="23">
        <f>SUMIFS('BAL N GLR5'!$G:$G,'BAL N GLR5'!$I:$I,$A32,'BAL N GLR5'!$J:$J,"T")</f>
        <v>8530.6</v>
      </c>
      <c r="D32" s="17">
        <f t="shared" si="5"/>
        <v>2.0513394677295178</v>
      </c>
      <c r="E32" s="16">
        <f>SUMIFS(DONNEES_N1_NOUVEAU[MONTANT],DONNEES_N1_NOUVEAU[TL2],A32,DONNEES_N1_NOUVEAU[MOIS],DONNÉES!$C$5,DONNEES_N1_NOUVEAU[SOCIETE],"GLR5")</f>
        <v>8968.77</v>
      </c>
      <c r="F32" s="17">
        <f t="shared" si="5"/>
        <v>2.4211286782042296</v>
      </c>
      <c r="G32" s="16">
        <f>+C32-E32</f>
        <v>-438.17000000000007</v>
      </c>
      <c r="H32" s="17">
        <f t="shared" si="6"/>
        <v>-4.8855082692498533</v>
      </c>
    </row>
    <row r="33" spans="1:8" ht="13.5" thickBot="1" x14ac:dyDescent="0.25">
      <c r="A33" s="7"/>
      <c r="B33" s="63" t="s">
        <v>2976</v>
      </c>
      <c r="C33" s="49">
        <f>SUM(C28:C32)</f>
        <v>27541.840000000004</v>
      </c>
      <c r="D33" s="50">
        <f t="shared" si="5"/>
        <v>6.6229413412762934</v>
      </c>
      <c r="E33" s="51">
        <f>SUM(E28:E32)</f>
        <v>9443.91</v>
      </c>
      <c r="F33" s="50">
        <f t="shared" si="5"/>
        <v>2.5493932094790819</v>
      </c>
      <c r="G33" s="51">
        <f>SUM(G28:G32)</f>
        <v>18097.93</v>
      </c>
      <c r="H33" s="50">
        <f t="shared" si="6"/>
        <v>191.63598551870996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GLR5'!$G:$G,'BAL N GLR5'!$I:$I,$A35,'BAL N GLR5'!$J:$J,"T")</f>
        <v>11073.28</v>
      </c>
      <c r="D35" s="17">
        <f t="shared" ref="D35:F42" si="7">(C35*100)/C$8</f>
        <v>2.6627735799615402</v>
      </c>
      <c r="E35" s="16">
        <f>SUMIFS(DONNEES_N1_NOUVEAU[MONTANT],DONNEES_N1_NOUVEAU[TL2],A35,DONNEES_N1_NOUVEAU[MOIS],DONNÉES!$C$5,DONNEES_N1_NOUVEAU[SOCIETE],"GLR5")</f>
        <v>2169.64</v>
      </c>
      <c r="F35" s="17">
        <f t="shared" si="7"/>
        <v>0.58569654761790357</v>
      </c>
      <c r="G35" s="16">
        <f t="shared" ref="G35:G41" si="8">+C35-E35</f>
        <v>8903.6400000000012</v>
      </c>
      <c r="H35" s="17">
        <f t="shared" ref="H35:H42" si="9">IF(E35=0,0,G35/E35*100)</f>
        <v>410.37407127449728</v>
      </c>
    </row>
    <row r="36" spans="1:8" s="18" customFormat="1" x14ac:dyDescent="0.2">
      <c r="A36" s="13" t="s">
        <v>30</v>
      </c>
      <c r="B36" s="14" t="s">
        <v>145</v>
      </c>
      <c r="C36" s="23">
        <f>SUMIFS('BAL N GLR5'!$G:$G,'BAL N GLR5'!$I:$I,$A36,'BAL N GLR5'!$J:$J,"T")</f>
        <v>16824.8</v>
      </c>
      <c r="D36" s="17">
        <f t="shared" si="7"/>
        <v>4.0458322130513196</v>
      </c>
      <c r="E36" s="16">
        <f>SUMIFS(DONNEES_N1_NOUVEAU[MONTANT],DONNEES_N1_NOUVEAU[TL2],A36,DONNEES_N1_NOUVEAU[MOIS],DONNÉES!$C$5,DONNEES_N1_NOUVEAU[SOCIETE],"GLR5")</f>
        <v>14946.67</v>
      </c>
      <c r="F36" s="17">
        <f t="shared" si="7"/>
        <v>4.0348689263583317</v>
      </c>
      <c r="G36" s="16">
        <f t="shared" si="8"/>
        <v>1878.1299999999992</v>
      </c>
      <c r="H36" s="17">
        <f t="shared" si="9"/>
        <v>12.565541354696391</v>
      </c>
    </row>
    <row r="37" spans="1:8" s="18" customFormat="1" x14ac:dyDescent="0.2">
      <c r="A37" s="13" t="s">
        <v>32</v>
      </c>
      <c r="B37" s="14" t="s">
        <v>19</v>
      </c>
      <c r="C37" s="23">
        <f>SUMIFS('BAL N GLR5'!$G:$G,'BAL N GLR5'!$I:$I,$A37,'BAL N GLR5'!$J:$J,"T")</f>
        <v>8325.27</v>
      </c>
      <c r="D37" s="17">
        <f t="shared" si="7"/>
        <v>2.0019640975434929</v>
      </c>
      <c r="E37" s="16">
        <f>SUMIFS(DONNEES_N1_NOUVEAU[MONTANT],DONNEES_N1_NOUVEAU[TL2],A37,DONNEES_N1_NOUVEAU[MOIS],DONNÉES!$C$5,DONNEES_N1_NOUVEAU[SOCIETE],"GLR5")</f>
        <v>6675.63</v>
      </c>
      <c r="F37" s="17">
        <f t="shared" si="7"/>
        <v>1.8020931786722707</v>
      </c>
      <c r="G37" s="16">
        <f t="shared" si="8"/>
        <v>1649.6400000000003</v>
      </c>
      <c r="H37" s="17">
        <f t="shared" si="9"/>
        <v>24.711375555565546</v>
      </c>
    </row>
    <row r="38" spans="1:8" s="18" customFormat="1" x14ac:dyDescent="0.2">
      <c r="A38" s="13" t="s">
        <v>34</v>
      </c>
      <c r="B38" s="14" t="s">
        <v>28</v>
      </c>
      <c r="C38" s="23">
        <f>SUMIFS('BAL N GLR5'!$G:$G,'BAL N GLR5'!$I:$I,$A38,'BAL N GLR5'!$J:$J,"T")</f>
        <v>12046.4</v>
      </c>
      <c r="D38" s="17">
        <f t="shared" si="7"/>
        <v>2.8967781591045019</v>
      </c>
      <c r="E38" s="16">
        <f>SUMIFS(DONNEES_N1_NOUVEAU[MONTANT],DONNEES_N1_NOUVEAU[TL2],A38,DONNEES_N1_NOUVEAU[MOIS],DONNÉES!$C$5,DONNEES_N1_NOUVEAU[SOCIETE],"GLR5")</f>
        <v>12395.8</v>
      </c>
      <c r="F38" s="17">
        <f t="shared" si="7"/>
        <v>3.3462589484716401</v>
      </c>
      <c r="G38" s="16">
        <f t="shared" si="8"/>
        <v>-349.39999999999964</v>
      </c>
      <c r="H38" s="17">
        <f t="shared" si="9"/>
        <v>-2.8186966553187345</v>
      </c>
    </row>
    <row r="39" spans="1:8" s="18" customFormat="1" x14ac:dyDescent="0.2">
      <c r="A39" s="13" t="s">
        <v>2978</v>
      </c>
      <c r="B39" s="14" t="s">
        <v>2980</v>
      </c>
      <c r="C39" s="23">
        <f>SUMIFS('BAL N GLR5'!$G:$G,'BAL N GLR5'!$I:$I,$A39,'BAL N GLR5'!$J:$J,"T")</f>
        <v>2745</v>
      </c>
      <c r="D39" s="17">
        <f t="shared" si="7"/>
        <v>0.66008567262766116</v>
      </c>
      <c r="E39" s="16">
        <f>SUMIFS(DONNEES_N1_NOUVEAU[MONTANT],DONNEES_N1_NOUVEAU[TL2],A39,DONNEES_N1_NOUVEAU[MOIS],DONNÉES!$C$5,DONNEES_N1_NOUVEAU[SOCIETE],"GLR5")</f>
        <v>5008.83</v>
      </c>
      <c r="F39" s="17">
        <f t="shared" si="7"/>
        <v>1.352138805794963</v>
      </c>
      <c r="G39" s="16">
        <f t="shared" si="8"/>
        <v>-2263.83</v>
      </c>
      <c r="H39" s="17">
        <f t="shared" si="9"/>
        <v>-45.196782482136541</v>
      </c>
    </row>
    <row r="40" spans="1:8" s="18" customFormat="1" x14ac:dyDescent="0.2">
      <c r="A40" s="13" t="s">
        <v>2979</v>
      </c>
      <c r="B40" s="14" t="s">
        <v>2981</v>
      </c>
      <c r="C40" s="23">
        <f>SUMIFS('BAL N GLR5'!$G:$G,'BAL N GLR5'!$I:$I,$A40,'BAL N GLR5'!$J:$J,"T")</f>
        <v>274.13</v>
      </c>
      <c r="D40" s="17">
        <f t="shared" si="7"/>
        <v>6.591959396627349E-2</v>
      </c>
      <c r="E40" s="16">
        <f>SUMIFS(DONNEES_N1_NOUVEAU[MONTANT],DONNEES_N1_NOUVEAU[TL2],A40,DONNEES_N1_NOUVEAU[MOIS],DONNÉES!$C$5,DONNEES_N1_NOUVEAU[SOCIETE],"GLR5")</f>
        <v>0</v>
      </c>
      <c r="F40" s="17">
        <f t="shared" si="7"/>
        <v>0</v>
      </c>
      <c r="G40" s="16">
        <f t="shared" si="8"/>
        <v>274.13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GLR5'!$G:$G,'BAL N GLR5'!$I:$I,$A41,'BAL N GLR5'!$J:$J,"T")</f>
        <v>1308.1300000000001</v>
      </c>
      <c r="D41" s="17">
        <f t="shared" si="7"/>
        <v>0.31456388740780417</v>
      </c>
      <c r="E41" s="16">
        <f>SUMIFS(DONNEES_N1_NOUVEAU[MONTANT],DONNEES_N1_NOUVEAU[TL2],A41,DONNEES_N1_NOUVEAU[MOIS],DONNÉES!$C$5,DONNEES_N1_NOUVEAU[SOCIETE],"GLR5")</f>
        <v>879.6</v>
      </c>
      <c r="F41" s="17">
        <f t="shared" si="7"/>
        <v>0.2374489239158146</v>
      </c>
      <c r="G41" s="16">
        <f t="shared" si="8"/>
        <v>428.53000000000009</v>
      </c>
      <c r="H41" s="17">
        <f t="shared" si="9"/>
        <v>48.718735788995005</v>
      </c>
    </row>
    <row r="42" spans="1:8" ht="13.5" thickBot="1" x14ac:dyDescent="0.25">
      <c r="A42" s="13"/>
      <c r="B42" s="63" t="s">
        <v>2984</v>
      </c>
      <c r="C42" s="49">
        <f>+SUM(C35:C41)</f>
        <v>52597.01</v>
      </c>
      <c r="D42" s="50">
        <f t="shared" si="7"/>
        <v>12.647917203662594</v>
      </c>
      <c r="E42" s="51">
        <f>+SUM(E35:E41)</f>
        <v>42076.170000000006</v>
      </c>
      <c r="F42" s="50">
        <f t="shared" si="7"/>
        <v>11.358505330830926</v>
      </c>
      <c r="G42" s="51">
        <f>+SUM(G35:G41)</f>
        <v>10520.84</v>
      </c>
      <c r="H42" s="50">
        <f t="shared" si="9"/>
        <v>25.00427201430168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126343.07000000004</v>
      </c>
      <c r="D44" s="71">
        <f>(C44*100)/C$8</f>
        <v>30.381511964587869</v>
      </c>
      <c r="E44" s="72">
        <f>E18-E26-E33-E42</f>
        <v>121214.42000000004</v>
      </c>
      <c r="F44" s="71">
        <f>(E44*100)/E$8</f>
        <v>32.721957244292412</v>
      </c>
      <c r="G44" s="72">
        <f>G18-G26-G33-G42</f>
        <v>5128.6499999999978</v>
      </c>
      <c r="H44" s="71">
        <f>IF(E44=0,0,G44/E44*100)</f>
        <v>4.2310560080228043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GLR5'!$G:$G,'BAL N GLR5'!$I:$I,$A46,'BAL N GLR5'!$J:$J,"T")</f>
        <v>65999.259999999995</v>
      </c>
      <c r="D46" s="17">
        <f t="shared" ref="D46:F49" si="10">(C46*100)/C$8</f>
        <v>15.870734400738755</v>
      </c>
      <c r="E46" s="16">
        <f>SUMIFS(DONNEES_N1_NOUVEAU[MONTANT],DONNEES_N1_NOUVEAU[TL2],A46,DONNEES_N1_NOUVEAU[MOIS],DONNÉES!$C$5,DONNEES_N1_NOUVEAU[SOCIETE],"GLR5")</f>
        <v>58602.82</v>
      </c>
      <c r="F46" s="17">
        <f t="shared" si="10"/>
        <v>15.819891481846495</v>
      </c>
      <c r="G46" s="16">
        <f>+C46-E46</f>
        <v>7396.4399999999951</v>
      </c>
      <c r="H46" s="17">
        <f>IF(E46=0,0,G46/E46*100)</f>
        <v>12.621303889471521</v>
      </c>
    </row>
    <row r="47" spans="1:8" s="18" customFormat="1" x14ac:dyDescent="0.2">
      <c r="A47" s="13" t="s">
        <v>35</v>
      </c>
      <c r="B47" s="14" t="s">
        <v>2986</v>
      </c>
      <c r="C47" s="23">
        <f>SUMIFS('BAL N GLR5'!$G:$G,'BAL N GLR5'!$I:$I,$A47,'BAL N GLR5'!$J:$J,"T")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SUMIFS(DONNEES_N1_NOUVEAU[MONTANT],DONNEES_N1_NOUVEAU[TL2],A47,DONNEES_N1_NOUVEAU[MOIS],DONNÉES!$C$5,DONNEES_N1_NOUVEAU[SOCIETE],"GLR5")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GLR5'!$G:$G,'BAL N GLR5'!$I:$I,$A48,'BAL N GLR5'!$J:$J,"T")</f>
        <v>-1061.6500000000001</v>
      </c>
      <c r="D48" s="17">
        <f t="shared" si="10"/>
        <v>-0.25529324384158708</v>
      </c>
      <c r="E48" s="16">
        <f>SUMIFS(DONNEES_N1_NOUVEAU[MONTANT],DONNEES_N1_NOUVEAU[TL2],A48,DONNEES_N1_NOUVEAU[MOIS],DONNÉES!$C$5,DONNEES_N1_NOUVEAU[SOCIETE],"GLR5")</f>
        <v>-905.28</v>
      </c>
      <c r="F48" s="17">
        <f t="shared" si="10"/>
        <v>-0.24438126630571694</v>
      </c>
      <c r="G48" s="16">
        <f>+C48-E48</f>
        <v>-156.37000000000012</v>
      </c>
      <c r="H48" s="17">
        <f>IF(E48=0,0,G48/E48*100)</f>
        <v>17.273108872393088</v>
      </c>
    </row>
    <row r="49" spans="1:8" ht="13.5" thickBot="1" x14ac:dyDescent="0.25">
      <c r="A49" s="13"/>
      <c r="B49" s="63" t="s">
        <v>2988</v>
      </c>
      <c r="C49" s="49">
        <f>SUM(C46:C48)</f>
        <v>64937.609999999993</v>
      </c>
      <c r="D49" s="50">
        <f t="shared" si="10"/>
        <v>15.615441156897168</v>
      </c>
      <c r="E49" s="51">
        <f>SUM(E46:E48)</f>
        <v>57697.54</v>
      </c>
      <c r="F49" s="50">
        <f t="shared" si="10"/>
        <v>15.575510215540778</v>
      </c>
      <c r="G49" s="51">
        <f>SUM(G46:G48)</f>
        <v>7240.0699999999952</v>
      </c>
      <c r="H49" s="50">
        <f>IF(E49=0,0,G49/E49*100)</f>
        <v>12.548316618004849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GLR5'!$G:$G,'BAL N GLR5'!$I:$I,$A51,'BAL N GLR5'!$J:$J,"T")</f>
        <v>789</v>
      </c>
      <c r="D51" s="17">
        <f t="shared" ref="D51:F59" si="11">(C51*100)/C$8</f>
        <v>0.18972954306128401</v>
      </c>
      <c r="E51" s="16">
        <f>SUMIFS(DONNEES_N1_NOUVEAU[MONTANT],DONNEES_N1_NOUVEAU[TL2],A51,DONNEES_N1_NOUVEAU[MOIS],DONNÉES!$C$5,DONNEES_N1_NOUVEAU[SOCIETE],"GLR5")</f>
        <v>789</v>
      </c>
      <c r="F51" s="17">
        <f t="shared" si="11"/>
        <v>0.2129913608112525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GLR5'!$G:$G,'BAL N GLR5'!$I:$I,$A52,'BAL N GLR5'!$J:$J,"T")</f>
        <v>21289.41</v>
      </c>
      <c r="D52" s="17">
        <f t="shared" si="11"/>
        <v>5.1194296975213316</v>
      </c>
      <c r="E52" s="16">
        <f>SUMIFS(DONNEES_N1_NOUVEAU[MONTANT],DONNEES_N1_NOUVEAU[TL2],A52,DONNEES_N1_NOUVEAU[MOIS],DONNÉES!$C$5,DONNEES_N1_NOUVEAU[SOCIETE],"GLR5")</f>
        <v>18904.14</v>
      </c>
      <c r="F52" s="17">
        <f t="shared" si="11"/>
        <v>5.1031920197293168</v>
      </c>
      <c r="G52" s="16">
        <f t="shared" si="12"/>
        <v>2385.2700000000004</v>
      </c>
      <c r="H52" s="17">
        <f t="shared" si="13"/>
        <v>12.617712310636719</v>
      </c>
    </row>
    <row r="53" spans="1:8" s="18" customFormat="1" x14ac:dyDescent="0.2">
      <c r="A53" s="13" t="s">
        <v>44</v>
      </c>
      <c r="B53" s="14" t="s">
        <v>62</v>
      </c>
      <c r="C53" s="23">
        <f>SUMIFS('BAL N GLR5'!$G:$G,'BAL N GLR5'!$I:$I,$A53,'BAL N GLR5'!$J:$J,"T")</f>
        <v>1621.29</v>
      </c>
      <c r="D53" s="17">
        <f t="shared" si="11"/>
        <v>0.38986896181220426</v>
      </c>
      <c r="E53" s="16">
        <f>SUMIFS(DONNEES_N1_NOUVEAU[MONTANT],DONNEES_N1_NOUVEAU[TL2],A53,DONNEES_N1_NOUVEAU[MOIS],DONNÉES!$C$5,DONNEES_N1_NOUVEAU[SOCIETE],"GLR5")</f>
        <v>1460.33</v>
      </c>
      <c r="F53" s="17">
        <f t="shared" si="11"/>
        <v>0.39421758419961517</v>
      </c>
      <c r="G53" s="16">
        <f t="shared" si="12"/>
        <v>160.96000000000004</v>
      </c>
      <c r="H53" s="17">
        <f t="shared" si="13"/>
        <v>11.02216622270309</v>
      </c>
    </row>
    <row r="54" spans="1:8" s="18" customFormat="1" x14ac:dyDescent="0.2">
      <c r="A54" s="13" t="s">
        <v>45</v>
      </c>
      <c r="B54" s="14" t="s">
        <v>41</v>
      </c>
      <c r="C54" s="23">
        <f>SUMIFS('BAL N GLR5'!$G:$G,'BAL N GLR5'!$I:$I,$A54,'BAL N GLR5'!$J:$J,"T")</f>
        <v>2023.17</v>
      </c>
      <c r="D54" s="17">
        <f t="shared" si="11"/>
        <v>0.48650838990532064</v>
      </c>
      <c r="E54" s="16">
        <f>SUMIFS(DONNEES_N1_NOUVEAU[MONTANT],DONNEES_N1_NOUVEAU[TL2],A54,DONNEES_N1_NOUVEAU[MOIS],DONNÉES!$C$5,DONNEES_N1_NOUVEAU[SOCIETE],"GLR5")</f>
        <v>1845.97</v>
      </c>
      <c r="F54" s="17">
        <f t="shared" si="11"/>
        <v>0.49832149850031404</v>
      </c>
      <c r="G54" s="16">
        <f t="shared" si="12"/>
        <v>177.20000000000005</v>
      </c>
      <c r="H54" s="17">
        <f t="shared" si="13"/>
        <v>9.5992892625557324</v>
      </c>
    </row>
    <row r="55" spans="1:8" s="18" customFormat="1" x14ac:dyDescent="0.2">
      <c r="A55" s="13" t="s">
        <v>47</v>
      </c>
      <c r="B55" s="14" t="s">
        <v>43</v>
      </c>
      <c r="C55" s="23">
        <f>SUMIFS('BAL N GLR5'!$G:$G,'BAL N GLR5'!$I:$I,$A55,'BAL N GLR5'!$J:$J,"T")</f>
        <v>3480.17</v>
      </c>
      <c r="D55" s="17">
        <f t="shared" si="11"/>
        <v>0.83687080339111386</v>
      </c>
      <c r="E55" s="16">
        <f>SUMIFS(DONNEES_N1_NOUVEAU[MONTANT],DONNEES_N1_NOUVEAU[TL2],A55,DONNEES_N1_NOUVEAU[MOIS],DONNÉES!$C$5,DONNEES_N1_NOUVEAU[SOCIETE],"GLR5")</f>
        <v>3665.93</v>
      </c>
      <c r="F55" s="17">
        <f t="shared" si="11"/>
        <v>0.98962157077160318</v>
      </c>
      <c r="G55" s="16">
        <f t="shared" si="12"/>
        <v>-185.75999999999976</v>
      </c>
      <c r="H55" s="17">
        <f t="shared" si="13"/>
        <v>-5.0671998647000835</v>
      </c>
    </row>
    <row r="56" spans="1:8" s="18" customFormat="1" x14ac:dyDescent="0.2">
      <c r="A56" s="13" t="s">
        <v>48</v>
      </c>
      <c r="B56" s="14" t="s">
        <v>46</v>
      </c>
      <c r="C56" s="23">
        <f>SUMIFS('BAL N GLR5'!$G:$G,'BAL N GLR5'!$I:$I,$A56,'BAL N GLR5'!$J:$J,"T")</f>
        <v>10063.49</v>
      </c>
      <c r="D56" s="17">
        <f t="shared" si="11"/>
        <v>2.4199510257310535</v>
      </c>
      <c r="E56" s="16">
        <f>SUMIFS(DONNEES_N1_NOUVEAU[MONTANT],DONNEES_N1_NOUVEAU[TL2],A56,DONNEES_N1_NOUVEAU[MOIS],DONNÉES!$C$5,DONNEES_N1_NOUVEAU[SOCIETE],"GLR5")</f>
        <v>10063.49</v>
      </c>
      <c r="F56" s="17">
        <f t="shared" si="11"/>
        <v>2.7166494671868588</v>
      </c>
      <c r="G56" s="16">
        <f t="shared" si="12"/>
        <v>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GLR5'!$G:$G,'BAL N GLR5'!$I:$I,$A57,'BAL N GLR5'!$J:$J,"T")</f>
        <v>696.65</v>
      </c>
      <c r="D57" s="17">
        <f t="shared" si="11"/>
        <v>0.16752228919346454</v>
      </c>
      <c r="E57" s="16">
        <f>SUMIFS(DONNEES_N1_NOUVEAU[MONTANT],DONNEES_N1_NOUVEAU[TL2],A57,DONNEES_N1_NOUVEAU[MOIS],DONNÉES!$C$5,DONNEES_N1_NOUVEAU[SOCIETE],"GLR5")</f>
        <v>0</v>
      </c>
      <c r="F57" s="17">
        <f t="shared" si="11"/>
        <v>0</v>
      </c>
      <c r="G57" s="16">
        <f t="shared" si="12"/>
        <v>696.65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GLR5'!$G:$G,'BAL N GLR5'!$I:$I,$A58,'BAL N GLR5'!$J:$J,"T")</f>
        <v>276.39999999999998</v>
      </c>
      <c r="D58" s="17">
        <f t="shared" si="11"/>
        <v>6.6465457163674135E-2</v>
      </c>
      <c r="E58" s="16">
        <f>SUMIFS(DONNEES_N1_NOUVEAU[MONTANT],DONNEES_N1_NOUVEAU[TL2],A58,DONNEES_N1_NOUVEAU[MOIS],DONNÉES!$C$5,DONNEES_N1_NOUVEAU[SOCIETE],"GLR5")</f>
        <v>1259.1300000000001</v>
      </c>
      <c r="F58" s="17">
        <f t="shared" si="11"/>
        <v>0.33990343743760759</v>
      </c>
      <c r="G58" s="16">
        <f t="shared" si="12"/>
        <v>-982.73000000000013</v>
      </c>
      <c r="H58" s="17">
        <f t="shared" si="13"/>
        <v>-78.04833496144164</v>
      </c>
    </row>
    <row r="59" spans="1:8" ht="13.5" thickBot="1" x14ac:dyDescent="0.25">
      <c r="A59" s="13"/>
      <c r="B59" s="63" t="s">
        <v>2994</v>
      </c>
      <c r="C59" s="49">
        <f>SUM(C51:C58)</f>
        <v>40239.58</v>
      </c>
      <c r="D59" s="50">
        <f t="shared" si="11"/>
        <v>9.676346167779446</v>
      </c>
      <c r="E59" s="51">
        <f>SUM(E51:E58)</f>
        <v>37987.99</v>
      </c>
      <c r="F59" s="50">
        <f t="shared" si="11"/>
        <v>10.254896938636568</v>
      </c>
      <c r="G59" s="51">
        <f>SUM(G51:G58)</f>
        <v>2251.5900000000006</v>
      </c>
      <c r="H59" s="50">
        <f t="shared" si="13"/>
        <v>5.9271101208566197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284374.52</v>
      </c>
      <c r="D61" s="71">
        <f>(C61*100)/C$8</f>
        <v>68.383076980826331</v>
      </c>
      <c r="E61" s="72">
        <f>E59+E49+E42+E33+E26</f>
        <v>247122.27000000002</v>
      </c>
      <c r="F61" s="71">
        <f>(E61*100)/E$8</f>
        <v>66.710910740260786</v>
      </c>
      <c r="G61" s="72">
        <f>G59+G49+G42+G33+G26</f>
        <v>37252.249999999993</v>
      </c>
      <c r="H61" s="71">
        <f>IF(E61=0,0,G61/E61*100)</f>
        <v>15.074420447821229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GLR5'!$G:$G,'BAL N GLR5'!$I:$I,$A63,'BAL N GLR5'!$J:$J,"T")</f>
        <v>9953.01</v>
      </c>
      <c r="D63" s="17">
        <f t="shared" ref="D63:F65" si="14">(C63*100)/C$8</f>
        <v>2.3933840803350956</v>
      </c>
      <c r="E63" s="16">
        <f>-SUMIFS(DONNEES_N1_NOUVEAU[MONTANT],DONNEES_N1_NOUVEAU[TL2],A63,DONNEES_N1_NOUVEAU[MOIS],DONNÉES!$C$5,DONNEES_N1_NOUVEAU[SOCIETE],"GLR5")</f>
        <v>7645.14</v>
      </c>
      <c r="F63" s="17">
        <f t="shared" si="14"/>
        <v>2.063813399483573</v>
      </c>
      <c r="G63" s="16">
        <f>+C63-E63</f>
        <v>2307.87</v>
      </c>
      <c r="H63" s="17">
        <f>IF(E63=0,0,G63/E63*100)</f>
        <v>30.187413180137966</v>
      </c>
    </row>
    <row r="64" spans="1:8" s="18" customFormat="1" x14ac:dyDescent="0.2">
      <c r="A64" s="13" t="s">
        <v>2992</v>
      </c>
      <c r="B64" s="68" t="s">
        <v>65</v>
      </c>
      <c r="C64" s="23">
        <f>SUMIFS('BAL N GLR5'!$G:$G,'BAL N GLR5'!$I:$I,$A64,'BAL N GLR5'!$J:$J,"T")</f>
        <v>5244.59</v>
      </c>
      <c r="D64" s="17">
        <f t="shared" si="14"/>
        <v>1.2611580028438272</v>
      </c>
      <c r="E64" s="24">
        <f>SUMIFS(DONNEES_N1_NOUVEAU[MONTANT],DONNEES_N1_NOUVEAU[TL2],A64,DONNEES_N1_NOUVEAU[MOIS],DONNÉES!$C$5,DONNEES_N1_NOUVEAU[SOCIETE],"GLR5")</f>
        <v>7852.76</v>
      </c>
      <c r="F64" s="17">
        <f t="shared" si="14"/>
        <v>2.1198606318430562</v>
      </c>
      <c r="G64" s="16">
        <f>+C64-E64</f>
        <v>-2608.17</v>
      </c>
      <c r="H64" s="17">
        <f>IF(E64=0,0,G64/E64*100)</f>
        <v>-33.213417957507936</v>
      </c>
    </row>
    <row r="65" spans="1:9" s="59" customFormat="1" ht="13.5" x14ac:dyDescent="0.2">
      <c r="A65" s="13"/>
      <c r="B65" s="62" t="s">
        <v>53</v>
      </c>
      <c r="C65" s="67">
        <f>+C63-C64</f>
        <v>4708.42</v>
      </c>
      <c r="D65" s="56">
        <f t="shared" si="14"/>
        <v>1.1322260774912685</v>
      </c>
      <c r="E65" s="57">
        <f>+E63-E64</f>
        <v>-207.61999999999989</v>
      </c>
      <c r="F65" s="56">
        <f t="shared" si="14"/>
        <v>-5.6047232359483175E-2</v>
      </c>
      <c r="G65" s="58">
        <f>+G63-G64</f>
        <v>4916.04</v>
      </c>
      <c r="H65" s="56">
        <f>IF(E65=0,0,G65/E65*100)</f>
        <v>-2367.8065696946355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GLR5'!$G:$G,'BAL N GLR5'!$I:$I,$A67,'BAL N GLR5'!$J:$J,"T")</f>
        <v>0</v>
      </c>
      <c r="D67" s="17">
        <f>(C67*100)/C$8</f>
        <v>0</v>
      </c>
      <c r="E67" s="16">
        <f>-SUMIFS(DONNEES_N1_NOUVEAU[MONTANT],DONNEES_N1_NOUVEAU[TL2],A67,DONNEES_N1_NOUVEAU[MOIS],DONNÉES!$C$5,DONNEES_N1_NOUVEAU[SOCIETE],"GLR5")</f>
        <v>0</v>
      </c>
      <c r="F67" s="17">
        <f>(E67*100)/E$8</f>
        <v>0</v>
      </c>
      <c r="G67" s="16">
        <f>+C67-E67</f>
        <v>0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25874.300000000003</v>
      </c>
      <c r="D69" s="10">
        <f>(C69*100)/C$8</f>
        <v>6.2219507174025122</v>
      </c>
      <c r="E69" s="9">
        <f>E18-E61+E65+E67</f>
        <v>25321.270000000015</v>
      </c>
      <c r="F69" s="10">
        <f>(E69*100)/E$8</f>
        <v>6.8355028577555723</v>
      </c>
      <c r="G69" s="9">
        <f>G18-G61+G65+G67</f>
        <v>553.0300000000052</v>
      </c>
      <c r="H69" s="10">
        <f>IF(E69=0,0,G69/E69*100)</f>
        <v>2.1840531695290357</v>
      </c>
    </row>
    <row r="70" spans="1:9" ht="13.5" thickBot="1" x14ac:dyDescent="0.25">
      <c r="A70" s="13"/>
      <c r="B70" s="63" t="s">
        <v>3034</v>
      </c>
      <c r="C70" s="49">
        <f>+C69-C67+C57+C56</f>
        <v>36634.44</v>
      </c>
      <c r="D70" s="50">
        <f>(C70*100)/C$8</f>
        <v>8.8094240323270281</v>
      </c>
      <c r="E70" s="49">
        <f>+E69-E67+E57+E56</f>
        <v>35384.760000000017</v>
      </c>
      <c r="F70" s="50">
        <f>(E70*100)/E$8</f>
        <v>9.5521523249424334</v>
      </c>
      <c r="G70" s="49">
        <f>+G69-G67+G57+G56</f>
        <v>1249.6800000000053</v>
      </c>
      <c r="H70" s="50">
        <f>IF(E70=0,0,G70/E70*100)</f>
        <v>3.5316899139629738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GLR5'!$G:$G,'BAL N GLR5'!$I:$I,$A72,'BAL N GLR5'!$J:$J,"T")</f>
        <v>1</v>
      </c>
      <c r="D72" s="17">
        <f>(C72*100)/C$8</f>
        <v>2.4046836889896579E-4</v>
      </c>
      <c r="E72" s="16">
        <f>-SUMIFS(DONNEES_N1_NOUVEAU[MONTANT],DONNEES_N1_NOUVEAU[TL2],A72,DONNEES_N1_NOUVEAU[MOIS],DONNÉES!$C$5,DONNEES_N1_NOUVEAU[SOCIETE],"GLR5")</f>
        <v>0</v>
      </c>
      <c r="F72" s="17">
        <f>(E72*100)/E$8</f>
        <v>0</v>
      </c>
      <c r="G72" s="16">
        <f>+C72-E72</f>
        <v>1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GLR5'!$G:$G,'BAL N GLR5'!$I:$I,$A74,'BAL N GLR5'!$J:$J,"T")</f>
        <v>27007</v>
      </c>
      <c r="D74" s="10">
        <f>(C74*100)/C$8</f>
        <v>6.4943292388543696</v>
      </c>
      <c r="E74" s="9">
        <f>SUMIFS(DONNEES_N1_NOUVEAU[MONTANT],DONNEES_N1_NOUVEAU[TL2],A74,DONNEES_N1_NOUVEAU[MOIS],DONNÉES!$C$5,DONNEES_N1_NOUVEAU[SOCIETE],"GLR5")</f>
        <v>26033</v>
      </c>
      <c r="F74" s="10">
        <f>(E74*100)/E$8</f>
        <v>7.0276351026607564</v>
      </c>
      <c r="G74" s="9">
        <f>+C74-E74</f>
        <v>974</v>
      </c>
      <c r="H74" s="10">
        <f>IF(E74=0,0,G74/E74*100)</f>
        <v>3.7414051396304688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-1131.6999999999971</v>
      </c>
      <c r="D76" s="71">
        <f>(C76*100)/C$8</f>
        <v>-0.27213805308295891</v>
      </c>
      <c r="E76" s="72">
        <f>E69-E74+E72</f>
        <v>-711.72999999998501</v>
      </c>
      <c r="F76" s="71">
        <f>(E76*100)/E$8</f>
        <v>-0.19213224490518321</v>
      </c>
      <c r="G76" s="72">
        <f>G69-G74+G72</f>
        <v>-419.9699999999948</v>
      </c>
      <c r="H76" s="71">
        <f>IF(E76=0,0,G76/E76*100)</f>
        <v>59.006926784033787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VLOOKUP(PARAMETRES!$C$2,TRANSGLR5[],2,FALSE)</f>
        <v>24859</v>
      </c>
      <c r="D78" s="324"/>
      <c r="E78" s="323">
        <f>VLOOKUP(PARAMETRES!$C$2,TRANSGLR5[],3,FALSE)</f>
        <v>23552</v>
      </c>
      <c r="F78" s="324"/>
      <c r="G78" s="325">
        <f>C78-E78</f>
        <v>1307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VLOOKUP(PARAMETRES!$C$2,PMGLR5[],2,FALSE)</f>
        <v>17.13</v>
      </c>
      <c r="D80" s="316"/>
      <c r="E80" s="315">
        <f>VLOOKUP(PARAMETRES!$C$2,PMGLR5[],3,FALSE)</f>
        <v>16.05</v>
      </c>
      <c r="F80" s="316"/>
      <c r="G80" s="317">
        <f>(C80-E80)/E80</f>
        <v>6.7289719626168115E-2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5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B473-0978-4765-AC1B-603B47E8E2E8}">
  <sheetPr>
    <tabColor rgb="FFFFFF00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6A031-2A0A-4D40-8345-79D1A1ED5088}">
  <sheetPr>
    <tabColor rgb="FFFFFF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6851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3001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HTR8'!$G:$G,'BAL N HTR8'!$I:$I,$A8,'BAL N HTR8'!$J:$J,"T")</f>
        <v>206795.07</v>
      </c>
      <c r="D8" s="71">
        <f>(C8*100)/C$8</f>
        <v>100</v>
      </c>
      <c r="E8" s="72">
        <f>-SUMIFS(DONNEES_N1_NOUVEAU[MONTANT],DONNEES_N1_NOUVEAU[TL2],A8,DONNEES_N1_NOUVEAU[MOIS],DONNÉES!$C$5,DONNEES_N1_NOUVEAU[SOCIETE],"HTR8")</f>
        <v>191414.29</v>
      </c>
      <c r="F8" s="71">
        <f>(E8*100)/E$8</f>
        <v>100</v>
      </c>
      <c r="G8" s="72">
        <f>+C8-E8</f>
        <v>15380.779999999999</v>
      </c>
      <c r="H8" s="71">
        <f>IF(E8=0,0,G8/E8*100)</f>
        <v>8.0353352928874848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HTR8'!$G:$G,'BAL N HTR8'!$I:$I,$A10,'BAL N HTR8'!$J:$J,"T")</f>
        <v>47716.75</v>
      </c>
      <c r="D10" s="17">
        <f t="shared" ref="D10:F16" si="0">(C10*100)/C$8</f>
        <v>23.07441371788989</v>
      </c>
      <c r="E10" s="16">
        <f>SUMIFS(DONNEES_N1_NOUVEAU[MONTANT],DONNEES_N1_NOUVEAU[TL2],A10,DONNEES_N1_NOUVEAU[MOIS],DONNÉES!$C$5,DONNEES_N1_NOUVEAU[SOCIETE],"HTR8")</f>
        <v>43012.07</v>
      </c>
      <c r="F10" s="17">
        <f t="shared" si="0"/>
        <v>22.470668203507689</v>
      </c>
      <c r="G10" s="16">
        <f>+C10-E10</f>
        <v>4704.68</v>
      </c>
      <c r="H10" s="17">
        <f t="shared" ref="H10:H16" si="1">IF(E10=0,0,G10/E10*100)</f>
        <v>10.938045994996289</v>
      </c>
    </row>
    <row r="11" spans="1:8" s="18" customFormat="1" x14ac:dyDescent="0.2">
      <c r="A11" s="13" t="s">
        <v>124</v>
      </c>
      <c r="B11" s="14" t="s">
        <v>4</v>
      </c>
      <c r="C11" s="23">
        <f>SUMIFS('BAL N HTR8'!$G:$G,'BAL N HTR8'!$I:$I,$A11,'BAL N HTR8'!$J:$J,"T")</f>
        <v>1143.1600000000001</v>
      </c>
      <c r="D11" s="17">
        <f t="shared" si="0"/>
        <v>0.55279847822290928</v>
      </c>
      <c r="E11" s="16">
        <f>SUMIFS(DONNEES_N1_NOUVEAU[MONTANT],DONNEES_N1_NOUVEAU[TL2],A11,DONNEES_N1_NOUVEAU[MOIS],DONNÉES!$C$5,DONNEES_N1_NOUVEAU[SOCIETE],"HTR8")</f>
        <v>1168.3800000000001</v>
      </c>
      <c r="F11" s="17">
        <f t="shared" si="0"/>
        <v>0.6103932992672596</v>
      </c>
      <c r="G11" s="16">
        <f>+C11-E11</f>
        <v>-25.220000000000027</v>
      </c>
      <c r="H11" s="17">
        <f t="shared" si="1"/>
        <v>-2.15854430921447</v>
      </c>
    </row>
    <row r="12" spans="1:8" s="18" customFormat="1" x14ac:dyDescent="0.2">
      <c r="A12" s="13" t="s">
        <v>125</v>
      </c>
      <c r="B12" s="14" t="s">
        <v>2</v>
      </c>
      <c r="C12" s="23">
        <f>SUMIFS('BAL N HTR8'!$G:$G,'BAL N HTR8'!$I:$I,$A12,'BAL N HTR8'!$J:$J,"T")</f>
        <v>1221.5</v>
      </c>
      <c r="D12" s="17">
        <f t="shared" si="0"/>
        <v>0.59068139293649502</v>
      </c>
      <c r="E12" s="16">
        <f>SUMIFS(DONNEES_N1_NOUVEAU[MONTANT],DONNEES_N1_NOUVEAU[TL2],A12,DONNEES_N1_NOUVEAU[MOIS],DONNÉES!$C$5,DONNEES_N1_NOUVEAU[SOCIETE],"HTR8")</f>
        <v>1391.89</v>
      </c>
      <c r="F12" s="17">
        <f t="shared" si="0"/>
        <v>0.72716096588190982</v>
      </c>
      <c r="G12" s="16">
        <f>+C12-E12</f>
        <v>-170.3900000000001</v>
      </c>
      <c r="H12" s="17">
        <f t="shared" si="1"/>
        <v>-12.241628289591857</v>
      </c>
    </row>
    <row r="13" spans="1:8" s="59" customFormat="1" ht="13.5" x14ac:dyDescent="0.2">
      <c r="A13" s="60"/>
      <c r="B13" s="62" t="s">
        <v>6</v>
      </c>
      <c r="C13" s="55">
        <f>SUM(C10:C12)</f>
        <v>50081.41</v>
      </c>
      <c r="D13" s="56">
        <f t="shared" si="0"/>
        <v>24.217893589049293</v>
      </c>
      <c r="E13" s="55">
        <f>SUM(E10:E12)</f>
        <v>45572.34</v>
      </c>
      <c r="F13" s="56">
        <f t="shared" si="0"/>
        <v>23.808222468656858</v>
      </c>
      <c r="G13" s="55">
        <f>SUM(G10:G12)</f>
        <v>4509.07</v>
      </c>
      <c r="H13" s="56">
        <f t="shared" si="1"/>
        <v>9.8943130855251233</v>
      </c>
    </row>
    <row r="14" spans="1:8" s="18" customFormat="1" x14ac:dyDescent="0.2">
      <c r="A14" s="13" t="s">
        <v>126</v>
      </c>
      <c r="B14" s="14" t="s">
        <v>8</v>
      </c>
      <c r="C14" s="23">
        <f>SUMIFS('BAL N HTR8'!$G:$G,'BAL N HTR8'!$I:$I,$A14,'BAL N HTR8'!$J:$J,"T")</f>
        <v>4766.1099999999997</v>
      </c>
      <c r="D14" s="17">
        <f t="shared" si="0"/>
        <v>2.3047503018326303</v>
      </c>
      <c r="E14" s="16">
        <f>SUMIFS(DONNEES_N1_NOUVEAU[MONTANT],DONNEES_N1_NOUVEAU[TL2],A14,DONNEES_N1_NOUVEAU[MOIS],DONNÉES!$C$5,DONNEES_N1_NOUVEAU[SOCIETE],"HTR8")</f>
        <v>4752.79</v>
      </c>
      <c r="F14" s="17">
        <f t="shared" si="0"/>
        <v>2.4829859881412197</v>
      </c>
      <c r="G14" s="16">
        <f>+C14-E14</f>
        <v>13.319999999999709</v>
      </c>
      <c r="H14" s="17">
        <f t="shared" si="1"/>
        <v>0.28025643884959589</v>
      </c>
    </row>
    <row r="15" spans="1:8" s="18" customFormat="1" x14ac:dyDescent="0.2">
      <c r="A15" s="13" t="s">
        <v>2964</v>
      </c>
      <c r="B15" s="14" t="s">
        <v>2965</v>
      </c>
      <c r="C15" s="23">
        <f>SUMIFS('BAL N HTR8'!$G:$G,'BAL N HTR8'!$I:$I,$A15,'BAL N HTR8'!$J:$J,"T")</f>
        <v>112.86</v>
      </c>
      <c r="D15" s="17">
        <f t="shared" si="0"/>
        <v>5.457576914188525E-2</v>
      </c>
      <c r="E15" s="16">
        <f>SUMIFS(DONNEES_N1_NOUVEAU[MONTANT],DONNEES_N1_NOUVEAU[TL2],A15,DONNEES_N1_NOUVEAU[MOIS],DONNÉES!$C$5,DONNEES_N1_NOUVEAU[SOCIETE],"HTR8")</f>
        <v>188.39</v>
      </c>
      <c r="F15" s="17">
        <f t="shared" si="0"/>
        <v>9.842002914202487E-2</v>
      </c>
      <c r="G15" s="16">
        <f>+C15-E15</f>
        <v>-75.529999999999987</v>
      </c>
      <c r="H15" s="17">
        <f t="shared" si="1"/>
        <v>-40.092361590317957</v>
      </c>
    </row>
    <row r="16" spans="1:8" ht="13.5" thickBot="1" x14ac:dyDescent="0.25">
      <c r="A16" s="7"/>
      <c r="B16" s="63" t="s">
        <v>10</v>
      </c>
      <c r="C16" s="49">
        <f>+C13+SUM(C14:C15)</f>
        <v>54960.380000000005</v>
      </c>
      <c r="D16" s="50">
        <f t="shared" si="0"/>
        <v>26.577219660023808</v>
      </c>
      <c r="E16" s="49">
        <f>+E13+SUM(E14:E15)</f>
        <v>50513.52</v>
      </c>
      <c r="F16" s="50">
        <f t="shared" si="0"/>
        <v>26.389628485940104</v>
      </c>
      <c r="G16" s="49">
        <f>+G13+SUM(G14:G15)</f>
        <v>4446.8599999999997</v>
      </c>
      <c r="H16" s="50">
        <f t="shared" si="1"/>
        <v>8.8033065207097021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151834.69</v>
      </c>
      <c r="D18" s="71">
        <f>(C18*100)/C$8</f>
        <v>73.422780339976185</v>
      </c>
      <c r="E18" s="70">
        <f>E8-E16</f>
        <v>140900.77000000002</v>
      </c>
      <c r="F18" s="71">
        <f>(E18*100)/E$8</f>
        <v>73.610371514059906</v>
      </c>
      <c r="G18" s="70">
        <f>G8-G16</f>
        <v>10933.919999999998</v>
      </c>
      <c r="H18" s="71">
        <f>IF(E18=0,0,G18/E18*100)</f>
        <v>7.7600143703969797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HTR8'!$G:$G,'BAL N HTR8'!$I:$I,$A20,'BAL N HTR8'!$J:$J,"T")</f>
        <v>27746.240000000002</v>
      </c>
      <c r="D20" s="17">
        <f t="shared" ref="D20:F26" si="2">(C20*100)/C$8</f>
        <v>13.417263767458286</v>
      </c>
      <c r="E20" s="16">
        <f>SUMIFS(DONNEES_N1_NOUVEAU[MONTANT],DONNEES_N1_NOUVEAU[TL2],A20,DONNEES_N1_NOUVEAU[MOIS],DONNÉES!$C$5,DONNEES_N1_NOUVEAU[SOCIETE],"HTR8")</f>
        <v>32367.49</v>
      </c>
      <c r="F20" s="17">
        <f t="shared" si="2"/>
        <v>16.909651834249157</v>
      </c>
      <c r="G20" s="16">
        <f t="shared" ref="G20:G25" si="3">+C20-E20</f>
        <v>-4621.25</v>
      </c>
      <c r="H20" s="17">
        <f t="shared" ref="H20:H26" si="4">IF(E20=0,0,G20/E20*100)</f>
        <v>-14.277443199951556</v>
      </c>
    </row>
    <row r="21" spans="1:8" s="18" customFormat="1" x14ac:dyDescent="0.2">
      <c r="A21" s="13">
        <v>9</v>
      </c>
      <c r="B21" s="14" t="s">
        <v>2968</v>
      </c>
      <c r="C21" s="23">
        <f>SUMIFS('BAL N HTR8'!$G:$G,'BAL N HTR8'!$I:$I,$A21,'BAL N HTR8'!$J:$J,"T")</f>
        <v>2839.08</v>
      </c>
      <c r="D21" s="17">
        <f t="shared" si="2"/>
        <v>1.3728953983284031</v>
      </c>
      <c r="E21" s="16">
        <f>SUMIFS(DONNEES_N1_NOUVEAU[MONTANT],DONNEES_N1_NOUVEAU[TL2],A21,DONNEES_N1_NOUVEAU[MOIS],DONNÉES!$C$5,DONNEES_N1_NOUVEAU[SOCIETE],"HTR8")</f>
        <v>4091.35</v>
      </c>
      <c r="F21" s="17">
        <f t="shared" si="2"/>
        <v>2.1374318500463052</v>
      </c>
      <c r="G21" s="16">
        <f t="shared" si="3"/>
        <v>-1252.27</v>
      </c>
      <c r="H21" s="17">
        <f t="shared" si="4"/>
        <v>-30.607745609639853</v>
      </c>
    </row>
    <row r="22" spans="1:8" s="18" customFormat="1" x14ac:dyDescent="0.2">
      <c r="A22" s="13" t="s">
        <v>12</v>
      </c>
      <c r="B22" s="14" t="s">
        <v>14</v>
      </c>
      <c r="C22" s="23">
        <f>SUMIFS('BAL N HTR8'!$G:$G,'BAL N HTR8'!$I:$I,$A22,'BAL N HTR8'!$J:$J,"T")</f>
        <v>17972.82</v>
      </c>
      <c r="D22" s="17">
        <f t="shared" si="2"/>
        <v>8.6911259538247201</v>
      </c>
      <c r="E22" s="16">
        <f>SUMIFS(DONNEES_N1_NOUVEAU[MONTANT],DONNEES_N1_NOUVEAU[TL2],A22,DONNEES_N1_NOUVEAU[MOIS],DONNÉES!$C$5,DONNEES_N1_NOUVEAU[SOCIETE],"HTR8")</f>
        <v>16439.97</v>
      </c>
      <c r="F22" s="17">
        <f t="shared" si="2"/>
        <v>8.588684784192445</v>
      </c>
      <c r="G22" s="16">
        <f t="shared" si="3"/>
        <v>1532.8499999999985</v>
      </c>
      <c r="H22" s="17">
        <f t="shared" si="4"/>
        <v>9.3239221239454722</v>
      </c>
    </row>
    <row r="23" spans="1:8" s="18" customFormat="1" x14ac:dyDescent="0.2">
      <c r="A23" s="13" t="s">
        <v>13</v>
      </c>
      <c r="B23" s="14" t="s">
        <v>2966</v>
      </c>
      <c r="C23" s="23">
        <f>SUMIFS('BAL N HTR8'!$G:$G,'BAL N HTR8'!$I:$I,$A23,'BAL N HTR8'!$J:$J,"T")</f>
        <v>3279.45</v>
      </c>
      <c r="D23" s="17">
        <f t="shared" si="2"/>
        <v>1.585845349214563</v>
      </c>
      <c r="E23" s="16">
        <f>SUMIFS(DONNEES_N1_NOUVEAU[MONTANT],DONNEES_N1_NOUVEAU[TL2],A23,DONNEES_N1_NOUVEAU[MOIS],DONNÉES!$C$5,DONNEES_N1_NOUVEAU[SOCIETE],"HTR8")</f>
        <v>3301.84</v>
      </c>
      <c r="F23" s="17">
        <f t="shared" si="2"/>
        <v>1.7249704815664493</v>
      </c>
      <c r="G23" s="16">
        <f t="shared" si="3"/>
        <v>-22.390000000000327</v>
      </c>
      <c r="H23" s="17">
        <f t="shared" si="4"/>
        <v>-0.67810675259856101</v>
      </c>
    </row>
    <row r="24" spans="1:8" s="18" customFormat="1" x14ac:dyDescent="0.2">
      <c r="A24" s="13" t="s">
        <v>15</v>
      </c>
      <c r="B24" s="14" t="s">
        <v>2969</v>
      </c>
      <c r="C24" s="23">
        <f>SUMIFS('BAL N HTR8'!$G:$G,'BAL N HTR8'!$I:$I,$A24,'BAL N HTR8'!$J:$J,"T")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SUMIFS(DONNEES_N1_NOUVEAU[MONTANT],DONNEES_N1_NOUVEAU[TL2],A24,DONNEES_N1_NOUVEAU[MOIS],DONNÉES!$C$5,DONNEES_N1_NOUVEAU[SOCIETE],"HTR8")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HTR8'!$G:$G,'BAL N HTR8'!$I:$I,$A25,'BAL N HTR8'!$J:$J,"T")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SUMIFS(DONNEES_N1_NOUVEAU[MONTANT],DONNEES_N1_NOUVEAU[TL2],A25,DONNEES_N1_NOUVEAU[MOIS],DONNÉES!$C$5,DONNEES_N1_NOUVEAU[SOCIETE],"HTR8")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51837.59</v>
      </c>
      <c r="D26" s="50">
        <f t="shared" si="2"/>
        <v>25.067130468825972</v>
      </c>
      <c r="E26" s="51">
        <f>SUM(E20:E25)</f>
        <v>56200.650000000009</v>
      </c>
      <c r="F26" s="50">
        <f t="shared" si="2"/>
        <v>29.360738950054358</v>
      </c>
      <c r="G26" s="51">
        <f>SUM(G20:G25)</f>
        <v>-4363.0600000000022</v>
      </c>
      <c r="H26" s="50">
        <f t="shared" si="4"/>
        <v>-7.7633621675194178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HTR8'!$G:$G,'BAL N HTR8'!$I:$I,$A28,'BAL N HTR8'!$J:$J,"T")</f>
        <v>76.959999999999994</v>
      </c>
      <c r="D28" s="17">
        <f t="shared" ref="D28:F33" si="5">(C28*100)/C$8</f>
        <v>3.7215587392871591E-2</v>
      </c>
      <c r="E28" s="16">
        <f>SUMIFS(DONNEES_N1_NOUVEAU[MONTANT],DONNEES_N1_NOUVEAU[TL2],A28,DONNEES_N1_NOUVEAU[MOIS],DONNÉES!$C$5,DONNEES_N1_NOUVEAU[SOCIETE],"HTR8")</f>
        <v>142.58000000000001</v>
      </c>
      <c r="F28" s="17">
        <f t="shared" si="5"/>
        <v>7.4487646664206736E-2</v>
      </c>
      <c r="G28" s="16">
        <f>+C28-E28</f>
        <v>-65.620000000000019</v>
      </c>
      <c r="H28" s="17">
        <f t="shared" ref="H28:H33" si="6">IF(E28=0,0,G28/E28*100)</f>
        <v>-46.02328517323609</v>
      </c>
    </row>
    <row r="29" spans="1:8" s="18" customFormat="1" x14ac:dyDescent="0.2">
      <c r="A29" s="13" t="s">
        <v>20</v>
      </c>
      <c r="B29" s="14" t="s">
        <v>2972</v>
      </c>
      <c r="C29" s="23">
        <f>SUMIFS('BAL N HTR8'!$G:$G,'BAL N HTR8'!$I:$I,$A29,'BAL N HTR8'!$J:$J,"T")</f>
        <v>83.34</v>
      </c>
      <c r="D29" s="17">
        <f t="shared" si="5"/>
        <v>4.0300767324869008E-2</v>
      </c>
      <c r="E29" s="16">
        <f>SUMIFS(DONNEES_N1_NOUVEAU[MONTANT],DONNEES_N1_NOUVEAU[TL2],A29,DONNEES_N1_NOUVEAU[MOIS],DONNÉES!$C$5,DONNEES_N1_NOUVEAU[SOCIETE],"HTR8")</f>
        <v>84.34</v>
      </c>
      <c r="F29" s="17">
        <f t="shared" si="5"/>
        <v>4.4061496140126215E-2</v>
      </c>
      <c r="G29" s="16">
        <f>+C29-E29</f>
        <v>-1</v>
      </c>
      <c r="H29" s="17">
        <f t="shared" si="6"/>
        <v>-1.1856770215793218</v>
      </c>
    </row>
    <row r="30" spans="1:8" s="18" customFormat="1" x14ac:dyDescent="0.2">
      <c r="A30" s="13" t="s">
        <v>21</v>
      </c>
      <c r="B30" s="14" t="s">
        <v>2973</v>
      </c>
      <c r="C30" s="23">
        <f>SUMIFS('BAL N HTR8'!$G:$G,'BAL N HTR8'!$I:$I,$A30,'BAL N HTR8'!$J:$J,"T")</f>
        <v>2145.16</v>
      </c>
      <c r="D30" s="17">
        <f t="shared" si="5"/>
        <v>1.0373361415240701</v>
      </c>
      <c r="E30" s="16">
        <f>SUMIFS(DONNEES_N1_NOUVEAU[MONTANT],DONNEES_N1_NOUVEAU[TL2],A30,DONNEES_N1_NOUVEAU[MOIS],DONNÉES!$C$5,DONNEES_N1_NOUVEAU[SOCIETE],"HTR8")</f>
        <v>1491.67</v>
      </c>
      <c r="F30" s="17">
        <f t="shared" si="5"/>
        <v>0.77928873544394206</v>
      </c>
      <c r="G30" s="16">
        <f>+C30-E30</f>
        <v>653.48999999999978</v>
      </c>
      <c r="H30" s="17">
        <f t="shared" si="6"/>
        <v>43.809287577010984</v>
      </c>
    </row>
    <row r="31" spans="1:8" s="18" customFormat="1" x14ac:dyDescent="0.2">
      <c r="A31" s="13" t="s">
        <v>23</v>
      </c>
      <c r="B31" s="14" t="s">
        <v>2974</v>
      </c>
      <c r="C31" s="23">
        <f>SUMIFS('BAL N HTR8'!$G:$G,'BAL N HTR8'!$I:$I,$A31,'BAL N HTR8'!$J:$J,"T")</f>
        <v>150.06</v>
      </c>
      <c r="D31" s="17">
        <f t="shared" si="5"/>
        <v>7.2564592569832539E-2</v>
      </c>
      <c r="E31" s="16">
        <f>SUMIFS(DONNEES_N1_NOUVEAU[MONTANT],DONNEES_N1_NOUVEAU[TL2],A31,DONNEES_N1_NOUVEAU[MOIS],DONNÉES!$C$5,DONNEES_N1_NOUVEAU[SOCIETE],"HTR8")</f>
        <v>2543.9699999999998</v>
      </c>
      <c r="F31" s="17">
        <f t="shared" si="5"/>
        <v>1.3290387044770793</v>
      </c>
      <c r="G31" s="16">
        <f>+C31-E31</f>
        <v>-2393.91</v>
      </c>
      <c r="H31" s="17">
        <f t="shared" si="6"/>
        <v>-94.101345534735088</v>
      </c>
    </row>
    <row r="32" spans="1:8" s="18" customFormat="1" x14ac:dyDescent="0.2">
      <c r="A32" s="13" t="s">
        <v>25</v>
      </c>
      <c r="B32" s="14" t="s">
        <v>2975</v>
      </c>
      <c r="C32" s="23">
        <f>SUMIFS('BAL N HTR8'!$G:$G,'BAL N HTR8'!$I:$I,$A32,'BAL N HTR8'!$J:$J,"T")</f>
        <v>6719.35</v>
      </c>
      <c r="D32" s="17">
        <f t="shared" si="5"/>
        <v>3.2492795887252051</v>
      </c>
      <c r="E32" s="16">
        <f>SUMIFS(DONNEES_N1_NOUVEAU[MONTANT],DONNEES_N1_NOUVEAU[TL2],A32,DONNEES_N1_NOUVEAU[MOIS],DONNÉES!$C$5,DONNEES_N1_NOUVEAU[SOCIETE],"HTR8")</f>
        <v>7707.87</v>
      </c>
      <c r="F32" s="17">
        <f t="shared" si="5"/>
        <v>4.0267996710172476</v>
      </c>
      <c r="G32" s="16">
        <f>+C32-E32</f>
        <v>-988.51999999999953</v>
      </c>
      <c r="H32" s="17">
        <f t="shared" si="6"/>
        <v>-12.824814118556743</v>
      </c>
    </row>
    <row r="33" spans="1:8" ht="13.5" thickBot="1" x14ac:dyDescent="0.25">
      <c r="A33" s="7"/>
      <c r="B33" s="63" t="s">
        <v>2976</v>
      </c>
      <c r="C33" s="49">
        <f>SUM(C28:C32)</f>
        <v>9174.8700000000008</v>
      </c>
      <c r="D33" s="50">
        <f t="shared" si="5"/>
        <v>4.4366966775368493</v>
      </c>
      <c r="E33" s="51">
        <f>SUM(E28:E32)</f>
        <v>11970.43</v>
      </c>
      <c r="F33" s="50">
        <f t="shared" si="5"/>
        <v>6.2536762537426016</v>
      </c>
      <c r="G33" s="51">
        <f>SUM(G28:G32)</f>
        <v>-2795.5599999999995</v>
      </c>
      <c r="H33" s="50">
        <f t="shared" si="6"/>
        <v>-23.353881188896299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HTR8'!$G:$G,'BAL N HTR8'!$I:$I,$A35,'BAL N HTR8'!$J:$J,"T")</f>
        <v>1882.72</v>
      </c>
      <c r="D35" s="17">
        <f t="shared" ref="D35:F42" si="7">(C35*100)/C$8</f>
        <v>0.91042789366303556</v>
      </c>
      <c r="E35" s="16">
        <f>SUMIFS(DONNEES_N1_NOUVEAU[MONTANT],DONNEES_N1_NOUVEAU[TL2],A35,DONNEES_N1_NOUVEAU[MOIS],DONNÉES!$C$5,DONNEES_N1_NOUVEAU[SOCIETE],"HTR8")</f>
        <v>0</v>
      </c>
      <c r="F35" s="17">
        <f t="shared" si="7"/>
        <v>0</v>
      </c>
      <c r="G35" s="16">
        <f t="shared" ref="G35:G41" si="8">+C35-E35</f>
        <v>1882.72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HTR8'!$G:$G,'BAL N HTR8'!$I:$I,$A36,'BAL N HTR8'!$J:$J,"T")</f>
        <v>8325.16</v>
      </c>
      <c r="D36" s="17">
        <f t="shared" si="7"/>
        <v>4.0258019690701525</v>
      </c>
      <c r="E36" s="16">
        <f>SUMIFS(DONNEES_N1_NOUVEAU[MONTANT],DONNEES_N1_NOUVEAU[TL2],A36,DONNEES_N1_NOUVEAU[MOIS],DONNÉES!$C$5,DONNEES_N1_NOUVEAU[SOCIETE],"HTR8")</f>
        <v>7686.7</v>
      </c>
      <c r="F36" s="17">
        <f t="shared" si="7"/>
        <v>4.0157398906842321</v>
      </c>
      <c r="G36" s="16">
        <f t="shared" si="8"/>
        <v>638.46</v>
      </c>
      <c r="H36" s="17">
        <f t="shared" si="9"/>
        <v>8.3060350995876</v>
      </c>
    </row>
    <row r="37" spans="1:8" s="18" customFormat="1" x14ac:dyDescent="0.2">
      <c r="A37" s="13" t="s">
        <v>32</v>
      </c>
      <c r="B37" s="14" t="s">
        <v>19</v>
      </c>
      <c r="C37" s="23">
        <f>SUMIFS('BAL N HTR8'!$G:$G,'BAL N HTR8'!$I:$I,$A37,'BAL N HTR8'!$J:$J,"T")</f>
        <v>4112.99</v>
      </c>
      <c r="D37" s="17">
        <f t="shared" si="7"/>
        <v>1.988920722336369</v>
      </c>
      <c r="E37" s="16">
        <f>SUMIFS(DONNEES_N1_NOUVEAU[MONTANT],DONNEES_N1_NOUVEAU[TL2],A37,DONNEES_N1_NOUVEAU[MOIS],DONNÉES!$C$5,DONNEES_N1_NOUVEAU[SOCIETE],"HTR8")</f>
        <v>3657.71</v>
      </c>
      <c r="F37" s="17">
        <f t="shared" si="7"/>
        <v>1.9108865905466095</v>
      </c>
      <c r="G37" s="16">
        <f t="shared" si="8"/>
        <v>455.27999999999975</v>
      </c>
      <c r="H37" s="17">
        <f t="shared" si="9"/>
        <v>12.447132222073366</v>
      </c>
    </row>
    <row r="38" spans="1:8" s="18" customFormat="1" x14ac:dyDescent="0.2">
      <c r="A38" s="13" t="s">
        <v>34</v>
      </c>
      <c r="B38" s="14" t="s">
        <v>28</v>
      </c>
      <c r="C38" s="23">
        <f>SUMIFS('BAL N HTR8'!$G:$G,'BAL N HTR8'!$I:$I,$A38,'BAL N HTR8'!$J:$J,"T")</f>
        <v>8888.9</v>
      </c>
      <c r="D38" s="17">
        <f t="shared" si="7"/>
        <v>4.2984100152871152</v>
      </c>
      <c r="E38" s="16">
        <f>SUMIFS(DONNEES_N1_NOUVEAU[MONTANT],DONNEES_N1_NOUVEAU[TL2],A38,DONNEES_N1_NOUVEAU[MOIS],DONNÉES!$C$5,DONNEES_N1_NOUVEAU[SOCIETE],"HTR8")</f>
        <v>10289.59</v>
      </c>
      <c r="F38" s="17">
        <f t="shared" si="7"/>
        <v>5.375559996069259</v>
      </c>
      <c r="G38" s="16">
        <f t="shared" si="8"/>
        <v>-1400.6900000000005</v>
      </c>
      <c r="H38" s="17">
        <f t="shared" si="9"/>
        <v>-13.612690107186005</v>
      </c>
    </row>
    <row r="39" spans="1:8" s="18" customFormat="1" x14ac:dyDescent="0.2">
      <c r="A39" s="13" t="s">
        <v>2978</v>
      </c>
      <c r="B39" s="14" t="s">
        <v>2980</v>
      </c>
      <c r="C39" s="23">
        <f>SUMIFS('BAL N HTR8'!$G:$G,'BAL N HTR8'!$I:$I,$A39,'BAL N HTR8'!$J:$J,"T")</f>
        <v>2425.34</v>
      </c>
      <c r="D39" s="17">
        <f t="shared" si="7"/>
        <v>1.1728229304499376</v>
      </c>
      <c r="E39" s="16">
        <f>SUMIFS(DONNEES_N1_NOUVEAU[MONTANT],DONNEES_N1_NOUVEAU[TL2],A39,DONNEES_N1_NOUVEAU[MOIS],DONNÉES!$C$5,DONNEES_N1_NOUVEAU[SOCIETE],"HTR8")</f>
        <v>2747.15</v>
      </c>
      <c r="F39" s="17">
        <f t="shared" si="7"/>
        <v>1.4351854294681969</v>
      </c>
      <c r="G39" s="16">
        <f t="shared" si="8"/>
        <v>-321.80999999999995</v>
      </c>
      <c r="H39" s="17">
        <f t="shared" si="9"/>
        <v>-11.714322115647123</v>
      </c>
    </row>
    <row r="40" spans="1:8" s="18" customFormat="1" x14ac:dyDescent="0.2">
      <c r="A40" s="13" t="s">
        <v>2979</v>
      </c>
      <c r="B40" s="14" t="s">
        <v>2981</v>
      </c>
      <c r="C40" s="23">
        <f>SUMIFS('BAL N HTR8'!$G:$G,'BAL N HTR8'!$I:$I,$A40,'BAL N HTR8'!$J:$J,"T")</f>
        <v>163.22</v>
      </c>
      <c r="D40" s="17">
        <f t="shared" si="7"/>
        <v>7.8928380642730014E-2</v>
      </c>
      <c r="E40" s="16">
        <f>SUMIFS(DONNEES_N1_NOUVEAU[MONTANT],DONNEES_N1_NOUVEAU[TL2],A40,DONNEES_N1_NOUVEAU[MOIS],DONNÉES!$C$5,DONNEES_N1_NOUVEAU[SOCIETE],"HTR8")</f>
        <v>31.35</v>
      </c>
      <c r="F40" s="17">
        <f t="shared" si="7"/>
        <v>1.6378087550307764E-2</v>
      </c>
      <c r="G40" s="16">
        <f t="shared" si="8"/>
        <v>131.87</v>
      </c>
      <c r="H40" s="17">
        <f t="shared" si="9"/>
        <v>420.63795853269539</v>
      </c>
    </row>
    <row r="41" spans="1:8" s="18" customFormat="1" x14ac:dyDescent="0.2">
      <c r="A41" s="13" t="s">
        <v>2982</v>
      </c>
      <c r="B41" s="14" t="s">
        <v>2983</v>
      </c>
      <c r="C41" s="23">
        <f>SUMIFS('BAL N HTR8'!$G:$G,'BAL N HTR8'!$I:$I,$A41,'BAL N HTR8'!$J:$J,"T")</f>
        <v>540.16999999999996</v>
      </c>
      <c r="D41" s="17">
        <f t="shared" si="7"/>
        <v>0.26121028900737331</v>
      </c>
      <c r="E41" s="16">
        <f>SUMIFS(DONNEES_N1_NOUVEAU[MONTANT],DONNEES_N1_NOUVEAU[TL2],A41,DONNEES_N1_NOUVEAU[MOIS],DONNÉES!$C$5,DONNEES_N1_NOUVEAU[SOCIETE],"HTR8")</f>
        <v>393.76</v>
      </c>
      <c r="F41" s="17">
        <f t="shared" si="7"/>
        <v>0.2057108693400059</v>
      </c>
      <c r="G41" s="16">
        <f t="shared" si="8"/>
        <v>146.40999999999997</v>
      </c>
      <c r="H41" s="17">
        <f t="shared" si="9"/>
        <v>37.182547744819175</v>
      </c>
    </row>
    <row r="42" spans="1:8" ht="13.5" thickBot="1" x14ac:dyDescent="0.25">
      <c r="A42" s="13"/>
      <c r="B42" s="63" t="s">
        <v>2984</v>
      </c>
      <c r="C42" s="49">
        <f>+SUM(C35:C41)</f>
        <v>26338.499999999996</v>
      </c>
      <c r="D42" s="50">
        <f t="shared" si="7"/>
        <v>12.73652220045671</v>
      </c>
      <c r="E42" s="51">
        <f>+SUM(E35:E41)</f>
        <v>24806.26</v>
      </c>
      <c r="F42" s="50">
        <f t="shared" si="7"/>
        <v>12.959460863658611</v>
      </c>
      <c r="G42" s="51">
        <f>+SUM(G35:G41)</f>
        <v>1532.2399999999993</v>
      </c>
      <c r="H42" s="50">
        <f t="shared" si="9"/>
        <v>6.1768279458491504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64483.73000000001</v>
      </c>
      <c r="D44" s="71">
        <f>(C44*100)/C$8</f>
        <v>31.182430993156657</v>
      </c>
      <c r="E44" s="72">
        <f>E18-E26-E33-E42</f>
        <v>47923.430000000008</v>
      </c>
      <c r="F44" s="71">
        <f>(E44*100)/E$8</f>
        <v>25.036495446604331</v>
      </c>
      <c r="G44" s="72">
        <f>G18-G26-G33-G42</f>
        <v>16560.300000000003</v>
      </c>
      <c r="H44" s="71">
        <f>IF(E44=0,0,G44/E44*100)</f>
        <v>34.555748618160258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HTR8'!$G:$G,'BAL N HTR8'!$I:$I,$A46,'BAL N HTR8'!$J:$J,"T")</f>
        <v>34702.769999999997</v>
      </c>
      <c r="D46" s="17">
        <f t="shared" ref="D46:F49" si="10">(C46*100)/C$8</f>
        <v>16.781236612652322</v>
      </c>
      <c r="E46" s="16">
        <f>SUMIFS(DONNEES_N1_NOUVEAU[MONTANT],DONNEES_N1_NOUVEAU[TL2],A46,DONNEES_N1_NOUVEAU[MOIS],DONNÉES!$C$5,DONNEES_N1_NOUVEAU[SOCIETE],"HTR8")</f>
        <v>32032.240000000002</v>
      </c>
      <c r="F46" s="17">
        <f t="shared" si="10"/>
        <v>16.734508170732706</v>
      </c>
      <c r="G46" s="16">
        <f>+C46-E46</f>
        <v>2670.5299999999952</v>
      </c>
      <c r="H46" s="17">
        <f>IF(E46=0,0,G46/E46*100)</f>
        <v>8.3370067157338834</v>
      </c>
    </row>
    <row r="47" spans="1:8" s="18" customFormat="1" x14ac:dyDescent="0.2">
      <c r="A47" s="13" t="s">
        <v>35</v>
      </c>
      <c r="B47" s="14" t="s">
        <v>2986</v>
      </c>
      <c r="C47" s="23">
        <f>SUMIFS('BAL N HTR8'!$G:$G,'BAL N HTR8'!$I:$I,$A47,'BAL N HTR8'!$J:$J,"T")</f>
        <v>616.76</v>
      </c>
      <c r="D47" s="17">
        <f t="shared" si="10"/>
        <v>0.29824695530700995</v>
      </c>
      <c r="E47" s="16">
        <f>SUMIFS(DONNEES_N1_NOUVEAU[MONTANT],DONNEES_N1_NOUVEAU[TL2],A47,DONNEES_N1_NOUVEAU[MOIS],DONNÉES!$C$5,DONNEES_N1_NOUVEAU[SOCIETE],"HTR8")</f>
        <v>0</v>
      </c>
      <c r="F47" s="17">
        <f t="shared" si="10"/>
        <v>0</v>
      </c>
      <c r="G47" s="16">
        <f>+C47-E47</f>
        <v>616.76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HTR8'!$G:$G,'BAL N HTR8'!$I:$I,$A48,'BAL N HTR8'!$J:$J,"T")</f>
        <v>-470.3</v>
      </c>
      <c r="D48" s="17">
        <f t="shared" si="10"/>
        <v>-0.22742321661730136</v>
      </c>
      <c r="E48" s="16">
        <f>SUMIFS(DONNEES_N1_NOUVEAU[MONTANT],DONNEES_N1_NOUVEAU[TL2],A48,DONNEES_N1_NOUVEAU[MOIS],DONNÉES!$C$5,DONNEES_N1_NOUVEAU[SOCIETE],"HTR8")</f>
        <v>-423.12</v>
      </c>
      <c r="F48" s="17">
        <f t="shared" si="10"/>
        <v>-0.22104932709046957</v>
      </c>
      <c r="G48" s="16">
        <f>+C48-E48</f>
        <v>-47.180000000000007</v>
      </c>
      <c r="H48" s="17">
        <f>IF(E48=0,0,G48/E48*100)</f>
        <v>11.150501039894122</v>
      </c>
    </row>
    <row r="49" spans="1:8" ht="13.5" thickBot="1" x14ac:dyDescent="0.25">
      <c r="A49" s="13"/>
      <c r="B49" s="63" t="s">
        <v>2988</v>
      </c>
      <c r="C49" s="49">
        <f>SUM(C46:C48)</f>
        <v>34849.229999999996</v>
      </c>
      <c r="D49" s="50">
        <f t="shared" si="10"/>
        <v>16.852060351342029</v>
      </c>
      <c r="E49" s="51">
        <f>SUM(E46:E48)</f>
        <v>31609.120000000003</v>
      </c>
      <c r="F49" s="50">
        <f t="shared" si="10"/>
        <v>16.51345884364224</v>
      </c>
      <c r="G49" s="51">
        <f>SUM(G46:G48)</f>
        <v>3240.1099999999956</v>
      </c>
      <c r="H49" s="50">
        <f>IF(E49=0,0,G49/E49*100)</f>
        <v>10.250554270413081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HTR8'!$G:$G,'BAL N HTR8'!$I:$I,$A51,'BAL N HTR8'!$J:$J,"T")</f>
        <v>465</v>
      </c>
      <c r="D51" s="17">
        <f t="shared" ref="D51:F59" si="11">(C51*100)/C$8</f>
        <v>0.22486029284934114</v>
      </c>
      <c r="E51" s="16">
        <f>SUMIFS(DONNEES_N1_NOUVEAU[MONTANT],DONNEES_N1_NOUVEAU[TL2],A51,DONNEES_N1_NOUVEAU[MOIS],DONNÉES!$C$5,DONNEES_N1_NOUVEAU[SOCIETE],"HTR8")</f>
        <v>465</v>
      </c>
      <c r="F51" s="17">
        <f t="shared" si="11"/>
        <v>0.24292857132035439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HTR8'!$G:$G,'BAL N HTR8'!$I:$I,$A52,'BAL N HTR8'!$J:$J,"T")</f>
        <v>10515.29</v>
      </c>
      <c r="D52" s="17">
        <f t="shared" si="11"/>
        <v>5.0848842769801035</v>
      </c>
      <c r="E52" s="16">
        <f>SUMIFS(DONNEES_N1_NOUVEAU[MONTANT],DONNEES_N1_NOUVEAU[TL2],A52,DONNEES_N1_NOUVEAU[MOIS],DONNÉES!$C$5,DONNEES_N1_NOUVEAU[SOCIETE],"HTR8")</f>
        <v>9706.74</v>
      </c>
      <c r="F52" s="17">
        <f t="shared" si="11"/>
        <v>5.0710633986626599</v>
      </c>
      <c r="G52" s="16">
        <f t="shared" si="12"/>
        <v>808.55000000000109</v>
      </c>
      <c r="H52" s="17">
        <f t="shared" si="13"/>
        <v>8.3297791019436094</v>
      </c>
    </row>
    <row r="53" spans="1:8" s="18" customFormat="1" x14ac:dyDescent="0.2">
      <c r="A53" s="13" t="s">
        <v>44</v>
      </c>
      <c r="B53" s="14" t="s">
        <v>62</v>
      </c>
      <c r="C53" s="23">
        <f>SUMIFS('BAL N HTR8'!$G:$G,'BAL N HTR8'!$I:$I,$A53,'BAL N HTR8'!$J:$J,"T")</f>
        <v>1029.0899999999999</v>
      </c>
      <c r="D53" s="17">
        <f t="shared" si="11"/>
        <v>0.49763758874909342</v>
      </c>
      <c r="E53" s="16">
        <f>SUMIFS(DONNEES_N1_NOUVEAU[MONTANT],DONNEES_N1_NOUVEAU[TL2],A53,DONNEES_N1_NOUVEAU[MOIS],DONNÉES!$C$5,DONNEES_N1_NOUVEAU[SOCIETE],"HTR8")</f>
        <v>986</v>
      </c>
      <c r="F53" s="17">
        <f t="shared" si="11"/>
        <v>0.51511305660617079</v>
      </c>
      <c r="G53" s="16">
        <f t="shared" si="12"/>
        <v>43.089999999999918</v>
      </c>
      <c r="H53" s="17">
        <f t="shared" si="13"/>
        <v>4.3701825557809251</v>
      </c>
    </row>
    <row r="54" spans="1:8" s="18" customFormat="1" x14ac:dyDescent="0.2">
      <c r="A54" s="13" t="s">
        <v>45</v>
      </c>
      <c r="B54" s="14" t="s">
        <v>41</v>
      </c>
      <c r="C54" s="23">
        <f>SUMIFS('BAL N HTR8'!$G:$G,'BAL N HTR8'!$I:$I,$A54,'BAL N HTR8'!$J:$J,"T")</f>
        <v>1000</v>
      </c>
      <c r="D54" s="17">
        <f t="shared" si="11"/>
        <v>0.48357052225664759</v>
      </c>
      <c r="E54" s="16">
        <f>SUMIFS(DONNEES_N1_NOUVEAU[MONTANT],DONNEES_N1_NOUVEAU[TL2],A54,DONNEES_N1_NOUVEAU[MOIS],DONNÉES!$C$5,DONNEES_N1_NOUVEAU[SOCIETE],"HTR8")</f>
        <v>1121.8599999999999</v>
      </c>
      <c r="F54" s="17">
        <f t="shared" si="11"/>
        <v>0.58608999359452207</v>
      </c>
      <c r="G54" s="16">
        <f t="shared" si="12"/>
        <v>-121.8599999999999</v>
      </c>
      <c r="H54" s="17">
        <f t="shared" si="13"/>
        <v>-10.862317936284377</v>
      </c>
    </row>
    <row r="55" spans="1:8" s="18" customFormat="1" x14ac:dyDescent="0.2">
      <c r="A55" s="13" t="s">
        <v>47</v>
      </c>
      <c r="B55" s="14" t="s">
        <v>43</v>
      </c>
      <c r="C55" s="23">
        <f>SUMIFS('BAL N HTR8'!$G:$G,'BAL N HTR8'!$I:$I,$A55,'BAL N HTR8'!$J:$J,"T")</f>
        <v>1847.83</v>
      </c>
      <c r="D55" s="17">
        <f t="shared" si="11"/>
        <v>0.89355611814150115</v>
      </c>
      <c r="E55" s="16">
        <f>SUMIFS(DONNEES_N1_NOUVEAU[MONTANT],DONNEES_N1_NOUVEAU[TL2],A55,DONNEES_N1_NOUVEAU[MOIS],DONNÉES!$C$5,DONNEES_N1_NOUVEAU[SOCIETE],"HTR8")</f>
        <v>2075.25</v>
      </c>
      <c r="F55" s="17">
        <f t="shared" si="11"/>
        <v>1.0841667045861623</v>
      </c>
      <c r="G55" s="16">
        <f t="shared" si="12"/>
        <v>-227.42000000000007</v>
      </c>
      <c r="H55" s="17">
        <f t="shared" si="13"/>
        <v>-10.958679677147336</v>
      </c>
    </row>
    <row r="56" spans="1:8" s="18" customFormat="1" x14ac:dyDescent="0.2">
      <c r="A56" s="13" t="s">
        <v>48</v>
      </c>
      <c r="B56" s="14" t="s">
        <v>46</v>
      </c>
      <c r="C56" s="23">
        <f>SUMIFS('BAL N HTR8'!$G:$G,'BAL N HTR8'!$I:$I,$A56,'BAL N HTR8'!$J:$J,"T")</f>
        <v>5500</v>
      </c>
      <c r="D56" s="17">
        <f t="shared" si="11"/>
        <v>2.6596378724115617</v>
      </c>
      <c r="E56" s="16">
        <f>SUMIFS(DONNEES_N1_NOUVEAU[MONTANT],DONNEES_N1_NOUVEAU[TL2],A56,DONNEES_N1_NOUVEAU[MOIS],DONNÉES!$C$5,DONNEES_N1_NOUVEAU[SOCIETE],"HTR8")</f>
        <v>5620</v>
      </c>
      <c r="F56" s="17">
        <f t="shared" si="11"/>
        <v>2.9360399372481543</v>
      </c>
      <c r="G56" s="16">
        <f t="shared" si="12"/>
        <v>-120</v>
      </c>
      <c r="H56" s="17">
        <f t="shared" si="13"/>
        <v>-2.1352313167259789</v>
      </c>
    </row>
    <row r="57" spans="1:8" s="18" customFormat="1" x14ac:dyDescent="0.2">
      <c r="A57" s="13" t="s">
        <v>50</v>
      </c>
      <c r="B57" s="14" t="s">
        <v>2990</v>
      </c>
      <c r="C57" s="23">
        <f>SUMIFS('BAL N HTR8'!$G:$G,'BAL N HTR8'!$I:$I,$A57,'BAL N HTR8'!$J:$J,"T")</f>
        <v>676.38</v>
      </c>
      <c r="D57" s="17">
        <f t="shared" si="11"/>
        <v>0.32707742984395127</v>
      </c>
      <c r="E57" s="16">
        <f>SUMIFS(DONNEES_N1_NOUVEAU[MONTANT],DONNEES_N1_NOUVEAU[TL2],A57,DONNEES_N1_NOUVEAU[MOIS],DONNÉES!$C$5,DONNEES_N1_NOUVEAU[SOCIETE],"HTR8")</f>
        <v>0</v>
      </c>
      <c r="F57" s="17">
        <f t="shared" si="11"/>
        <v>0</v>
      </c>
      <c r="G57" s="16">
        <f t="shared" si="12"/>
        <v>676.38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HTR8'!$G:$G,'BAL N HTR8'!$I:$I,$A58,'BAL N HTR8'!$J:$J,"T")</f>
        <v>427.59</v>
      </c>
      <c r="D58" s="17">
        <f t="shared" si="11"/>
        <v>0.20676991961171995</v>
      </c>
      <c r="E58" s="16">
        <f>SUMIFS(DONNEES_N1_NOUVEAU[MONTANT],DONNEES_N1_NOUVEAU[TL2],A58,DONNEES_N1_NOUVEAU[MOIS],DONNÉES!$C$5,DONNEES_N1_NOUVEAU[SOCIETE],"HTR8")</f>
        <v>3032.3</v>
      </c>
      <c r="F58" s="17">
        <f t="shared" si="11"/>
        <v>1.5841554985262594</v>
      </c>
      <c r="G58" s="16">
        <f t="shared" si="12"/>
        <v>-2604.71</v>
      </c>
      <c r="H58" s="17">
        <f t="shared" si="13"/>
        <v>-85.898822675856607</v>
      </c>
    </row>
    <row r="59" spans="1:8" ht="13.5" thickBot="1" x14ac:dyDescent="0.25">
      <c r="A59" s="13"/>
      <c r="B59" s="63" t="s">
        <v>2994</v>
      </c>
      <c r="C59" s="49">
        <f>SUM(C51:C58)</f>
        <v>21461.18</v>
      </c>
      <c r="D59" s="50">
        <f t="shared" si="11"/>
        <v>10.37799402084392</v>
      </c>
      <c r="E59" s="51">
        <f>SUM(E51:E58)</f>
        <v>23007.149999999998</v>
      </c>
      <c r="F59" s="50">
        <f t="shared" si="11"/>
        <v>12.019557160544283</v>
      </c>
      <c r="G59" s="51">
        <f>SUM(G51:G58)</f>
        <v>-1545.9699999999989</v>
      </c>
      <c r="H59" s="50">
        <f t="shared" si="13"/>
        <v>-6.7195198014530222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143661.37</v>
      </c>
      <c r="D61" s="71">
        <f>(C61*100)/C$8</f>
        <v>69.470403719005489</v>
      </c>
      <c r="E61" s="72">
        <f>E59+E49+E42+E33+E26</f>
        <v>147593.60999999999</v>
      </c>
      <c r="F61" s="71">
        <f>(E61*100)/E$8</f>
        <v>77.106892071642079</v>
      </c>
      <c r="G61" s="72">
        <f>G59+G49+G42+G33+G26</f>
        <v>-3932.2400000000057</v>
      </c>
      <c r="H61" s="71">
        <f>IF(E61=0,0,G61/E61*100)</f>
        <v>-2.664234583055463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HTR8'!$G:$G,'BAL N HTR8'!$I:$I,$A63,'BAL N HTR8'!$J:$J,"T")</f>
        <v>3530.78</v>
      </c>
      <c r="D63" s="17">
        <f t="shared" ref="D63:F65" si="14">(C63*100)/C$8</f>
        <v>1.7073811285733262</v>
      </c>
      <c r="E63" s="16">
        <f>-SUMIFS(DONNEES_N1_NOUVEAU[MONTANT],DONNEES_N1_NOUVEAU[TL2],A63,DONNEES_N1_NOUVEAU[MOIS],DONNÉES!$C$5,DONNEES_N1_NOUVEAU[SOCIETE],"HTR8")</f>
        <v>2720.48</v>
      </c>
      <c r="F63" s="17">
        <f t="shared" si="14"/>
        <v>1.4212523004421456</v>
      </c>
      <c r="G63" s="16">
        <f>+C63-E63</f>
        <v>810.30000000000018</v>
      </c>
      <c r="H63" s="17">
        <f>IF(E63=0,0,G63/E63*100)</f>
        <v>29.785184967358706</v>
      </c>
    </row>
    <row r="64" spans="1:8" s="18" customFormat="1" x14ac:dyDescent="0.2">
      <c r="A64" s="13" t="s">
        <v>2992</v>
      </c>
      <c r="B64" s="68" t="s">
        <v>65</v>
      </c>
      <c r="C64" s="23">
        <f>SUMIFS('BAL N HTR8'!$G:$G,'BAL N HTR8'!$I:$I,$A64,'BAL N HTR8'!$J:$J,"T")</f>
        <v>3932.54</v>
      </c>
      <c r="D64" s="17">
        <f t="shared" si="14"/>
        <v>1.9016604215951569</v>
      </c>
      <c r="E64" s="24">
        <f>SUMIFS(DONNEES_N1_NOUVEAU[MONTANT],DONNEES_N1_NOUVEAU[TL2],A64,DONNEES_N1_NOUVEAU[MOIS],DONNÉES!$C$5,DONNEES_N1_NOUVEAU[SOCIETE],"HTR8")</f>
        <v>2182.52</v>
      </c>
      <c r="F64" s="17">
        <f t="shared" si="14"/>
        <v>1.140207452641075</v>
      </c>
      <c r="G64" s="16">
        <f>+C64-E64</f>
        <v>1750.02</v>
      </c>
      <c r="H64" s="17">
        <f>IF(E64=0,0,G64/E64*100)</f>
        <v>80.183457654454486</v>
      </c>
    </row>
    <row r="65" spans="1:9" s="59" customFormat="1" ht="13.5" x14ac:dyDescent="0.2">
      <c r="A65" s="13"/>
      <c r="B65" s="62" t="s">
        <v>53</v>
      </c>
      <c r="C65" s="67">
        <f>+C63-C64</f>
        <v>-401.75999999999976</v>
      </c>
      <c r="D65" s="56">
        <f t="shared" si="14"/>
        <v>-0.19427929302183064</v>
      </c>
      <c r="E65" s="57">
        <f>+E63-E64</f>
        <v>537.96</v>
      </c>
      <c r="F65" s="56">
        <f t="shared" si="14"/>
        <v>0.28104484780107064</v>
      </c>
      <c r="G65" s="58">
        <f>+G63-G64</f>
        <v>-939.7199999999998</v>
      </c>
      <c r="H65" s="56">
        <f>IF(E65=0,0,G65/E65*100)</f>
        <v>-174.68213250055763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HTR8'!$G:$G,'BAL N HTR8'!$I:$I,$A67,'BAL N HTR8'!$J:$J,"T")</f>
        <v>0</v>
      </c>
      <c r="D67" s="17">
        <f>(C67*100)/C$8</f>
        <v>0</v>
      </c>
      <c r="E67" s="16">
        <f>-SUMIFS(DONNEES_N1_NOUVEAU[MONTANT],DONNEES_N1_NOUVEAU[TL2],A67,DONNEES_N1_NOUVEAU[MOIS],DONNÉES!$C$5,DONNEES_N1_NOUVEAU[SOCIETE],"HTR8")</f>
        <v>-21.24</v>
      </c>
      <c r="F67" s="17">
        <f>(E67*100)/E$8</f>
        <v>-1.1096350225471672E-2</v>
      </c>
      <c r="G67" s="16">
        <f>+C67-E67</f>
        <v>21.24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7771.5600000000068</v>
      </c>
      <c r="D69" s="10">
        <f>(C69*100)/C$8</f>
        <v>3.7580973279488754</v>
      </c>
      <c r="E69" s="9">
        <f>E18-E61+E65+E67</f>
        <v>-6176.1199999999671</v>
      </c>
      <c r="F69" s="10">
        <f>(E69*100)/E$8</f>
        <v>-3.2265720600065788</v>
      </c>
      <c r="G69" s="9">
        <f>G18-G61+G65+G67</f>
        <v>13947.680000000004</v>
      </c>
      <c r="H69" s="10">
        <f>IF(E69=0,0,G69/E69*100)</f>
        <v>-225.83239962954215</v>
      </c>
    </row>
    <row r="70" spans="1:9" ht="13.5" thickBot="1" x14ac:dyDescent="0.25">
      <c r="A70" s="13"/>
      <c r="B70" s="63" t="s">
        <v>3034</v>
      </c>
      <c r="C70" s="49">
        <f>+C69-C67+C57+C56</f>
        <v>13947.940000000006</v>
      </c>
      <c r="D70" s="50">
        <f>(C70*100)/C$8</f>
        <v>6.7448126302043887</v>
      </c>
      <c r="E70" s="49">
        <f>+E69-E67+E57+E56</f>
        <v>-534.87999999996737</v>
      </c>
      <c r="F70" s="50">
        <f>(E70*100)/E$8</f>
        <v>-0.27943577253295321</v>
      </c>
      <c r="G70" s="49">
        <f>+G69-G67+G57+G56</f>
        <v>14482.820000000003</v>
      </c>
      <c r="H70" s="50">
        <f>IF(E70=0,0,G70/E70*100)</f>
        <v>-2707.6764881844315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HTR8'!$G:$G,'BAL N HTR8'!$I:$I,$A72,'BAL N HTR8'!$J:$J,"T")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-SUMIFS(DONNEES_N1_NOUVEAU[MONTANT],DONNEES_N1_NOUVEAU[TL2],A72,DONNEES_N1_NOUVEAU[MOIS],DONNÉES!$C$5,DONNEES_N1_NOUVEAU[SOCIETE],"HTR8")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HTR8'!$G:$G,'BAL N HTR8'!$I:$I,$A74,'BAL N HTR8'!$J:$J,"T")</f>
        <v>14934.33</v>
      </c>
      <c r="D74" s="10">
        <f>(C74*100)/C$8</f>
        <v>7.2218017576531199</v>
      </c>
      <c r="E74" s="9">
        <f>SUMIFS(DONNEES_N1_NOUVEAU[MONTANT],DONNEES_N1_NOUVEAU[TL2],A74,DONNEES_N1_NOUVEAU[MOIS],DONNÉES!$C$5,DONNEES_N1_NOUVEAU[SOCIETE],"HTR8")</f>
        <v>12933.33</v>
      </c>
      <c r="F74" s="10">
        <f>(E74*100)/E$8</f>
        <v>6.756721245838019</v>
      </c>
      <c r="G74" s="9">
        <f>+C74-E74</f>
        <v>2001</v>
      </c>
      <c r="H74" s="10">
        <f>IF(E74=0,0,G74/E74*100)</f>
        <v>15.471653472075635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-7162.7699999999932</v>
      </c>
      <c r="D76" s="71">
        <f>(C76*100)/C$8</f>
        <v>-3.4637044297042441</v>
      </c>
      <c r="E76" s="72">
        <f>E69-E74+E72</f>
        <v>-19109.449999999968</v>
      </c>
      <c r="F76" s="71">
        <f>(E76*100)/E$8</f>
        <v>-9.9832933058445992</v>
      </c>
      <c r="G76" s="72">
        <f>G69-G74+G72</f>
        <v>11946.680000000004</v>
      </c>
      <c r="H76" s="71">
        <f>IF(E76=0,0,G76/E76*100)</f>
        <v>-62.51713157626213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VLOOKUP(PARAMETRES!$C$2,TRANSHTR8[],2,FALSE)</f>
        <v>12710</v>
      </c>
      <c r="D78" s="324"/>
      <c r="E78" s="323">
        <f>VLOOKUP(PARAMETRES!$C$2,TRANSHTR8[],3,FALSE)</f>
        <v>11959</v>
      </c>
      <c r="F78" s="324"/>
      <c r="G78" s="325">
        <f>C78-E78</f>
        <v>751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VLOOKUP(PARAMETRES!$C$2,PMHTR8[],2,FALSE)</f>
        <v>16.55</v>
      </c>
      <c r="D80" s="316"/>
      <c r="E80" s="315">
        <f>VLOOKUP(PARAMETRES!$C$2,PMHTR8[],3,FALSE)</f>
        <v>16.23</v>
      </c>
      <c r="F80" s="316"/>
      <c r="G80" s="317">
        <f>(C80-E80)/E80</f>
        <v>1.971657424522491E-2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6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9520-D4A4-4D9B-9835-9DE487C76FFE}">
  <sheetPr>
    <tabColor rgb="FFFFFF00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A862-9EBA-4E8B-A815-632555AC0524}">
  <sheetPr>
    <tabColor rgb="FFFFFF00"/>
    <pageSetUpPr fitToPage="1"/>
  </sheetPr>
  <dimension ref="A1:I81"/>
  <sheetViews>
    <sheetView showGridLines="0" topLeftCell="B6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6852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210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TIRR'!$G:$G,'BAL N TIRR'!$I:$I,$A8,'BAL N TIRR'!$J:$J,"T")</f>
        <v>261126.99</v>
      </c>
      <c r="D8" s="71">
        <f>(C8*100)/C$8</f>
        <v>100</v>
      </c>
      <c r="E8" s="72">
        <f>-SUMIFS(DONNEES_N1_NOUVEAU[MONTANT],DONNEES_N1_NOUVEAU[TL2],A8,DONNEES_N1_NOUVEAU[MOIS],DONNÉES!$C$5,DONNEES_N1_NOUVEAU[SOCIETE],"TIRR")</f>
        <v>258424.23</v>
      </c>
      <c r="F8" s="71">
        <f>(E8*100)/E$8</f>
        <v>100</v>
      </c>
      <c r="G8" s="72">
        <f>+C8-E8</f>
        <v>2702.7599999999802</v>
      </c>
      <c r="H8" s="71">
        <f>IF(E8=0,0,G8/E8*100)</f>
        <v>1.0458616825519729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TIRR'!$G:$G,'BAL N TIRR'!$I:$I,$A10,'BAL N TIRR'!$J:$J,"T")</f>
        <v>58132.49</v>
      </c>
      <c r="D10" s="17">
        <f t="shared" ref="D10:F16" si="0">(C10*100)/C$8</f>
        <v>22.262152985411429</v>
      </c>
      <c r="E10" s="16">
        <f>SUMIFS(DONNEES_N1_NOUVEAU[MONTANT],DONNEES_N1_NOUVEAU[TL2],A10,DONNEES_N1_NOUVEAU[MOIS],DONNÉES!$C$5,DONNEES_N1_NOUVEAU[SOCIETE],"TIRR")</f>
        <v>55349.04</v>
      </c>
      <c r="F10" s="17">
        <f t="shared" si="0"/>
        <v>21.417898778299541</v>
      </c>
      <c r="G10" s="16">
        <f>+C10-E10</f>
        <v>2783.4499999999971</v>
      </c>
      <c r="H10" s="17">
        <f t="shared" ref="H10:H16" si="1">IF(E10=0,0,G10/E10*100)</f>
        <v>5.0289038436800295</v>
      </c>
    </row>
    <row r="11" spans="1:8" s="18" customFormat="1" x14ac:dyDescent="0.2">
      <c r="A11" s="13" t="s">
        <v>124</v>
      </c>
      <c r="B11" s="14" t="s">
        <v>4</v>
      </c>
      <c r="C11" s="23">
        <f>SUMIFS('BAL N TIRR'!$G:$G,'BAL N TIRR'!$I:$I,$A11,'BAL N TIRR'!$J:$J,"T")</f>
        <v>832.65</v>
      </c>
      <c r="D11" s="17">
        <f t="shared" si="0"/>
        <v>0.31886784280705721</v>
      </c>
      <c r="E11" s="16">
        <f>SUMIFS(DONNEES_N1_NOUVEAU[MONTANT],DONNEES_N1_NOUVEAU[TL2],A11,DONNEES_N1_NOUVEAU[MOIS],DONNÉES!$C$5,DONNEES_N1_NOUVEAU[SOCIETE],"TIRR")</f>
        <v>901.77</v>
      </c>
      <c r="F11" s="17">
        <f t="shared" si="0"/>
        <v>0.34894947737679238</v>
      </c>
      <c r="G11" s="16">
        <f>+C11-E11</f>
        <v>-69.12</v>
      </c>
      <c r="H11" s="17">
        <f t="shared" si="1"/>
        <v>-7.6649256462290829</v>
      </c>
    </row>
    <row r="12" spans="1:8" s="18" customFormat="1" x14ac:dyDescent="0.2">
      <c r="A12" s="13" t="s">
        <v>125</v>
      </c>
      <c r="B12" s="14" t="s">
        <v>2</v>
      </c>
      <c r="C12" s="23">
        <f>SUMIFS('BAL N TIRR'!$G:$G,'BAL N TIRR'!$I:$I,$A12,'BAL N TIRR'!$J:$J,"T")</f>
        <v>1711.68</v>
      </c>
      <c r="D12" s="17">
        <f t="shared" si="0"/>
        <v>0.6554971586812991</v>
      </c>
      <c r="E12" s="16">
        <f>SUMIFS(DONNEES_N1_NOUVEAU[MONTANT],DONNEES_N1_NOUVEAU[TL2],A12,DONNEES_N1_NOUVEAU[MOIS],DONNÉES!$C$5,DONNEES_N1_NOUVEAU[SOCIETE],"TIRR")</f>
        <v>1196.79</v>
      </c>
      <c r="F12" s="17">
        <f t="shared" si="0"/>
        <v>0.46311059918800956</v>
      </c>
      <c r="G12" s="16">
        <f>+C12-E12</f>
        <v>514.8900000000001</v>
      </c>
      <c r="H12" s="17">
        <f t="shared" si="1"/>
        <v>43.022585415987777</v>
      </c>
    </row>
    <row r="13" spans="1:8" s="59" customFormat="1" ht="13.5" x14ac:dyDescent="0.2">
      <c r="A13" s="60"/>
      <c r="B13" s="62" t="s">
        <v>6</v>
      </c>
      <c r="C13" s="55">
        <f>SUM(C10:C12)</f>
        <v>60676.82</v>
      </c>
      <c r="D13" s="56">
        <f t="shared" si="0"/>
        <v>23.236517986899784</v>
      </c>
      <c r="E13" s="55">
        <f>SUM(E10:E12)</f>
        <v>57447.6</v>
      </c>
      <c r="F13" s="56">
        <f t="shared" si="0"/>
        <v>22.229958854864343</v>
      </c>
      <c r="G13" s="55">
        <f>SUM(G10:G12)</f>
        <v>3229.2199999999975</v>
      </c>
      <c r="H13" s="56">
        <f t="shared" si="1"/>
        <v>5.6211573677577436</v>
      </c>
    </row>
    <row r="14" spans="1:8" s="18" customFormat="1" x14ac:dyDescent="0.2">
      <c r="A14" s="13" t="s">
        <v>126</v>
      </c>
      <c r="B14" s="14" t="s">
        <v>8</v>
      </c>
      <c r="C14" s="23">
        <f>SUMIFS('BAL N TIRR'!$G:$G,'BAL N TIRR'!$I:$I,$A14,'BAL N TIRR'!$J:$J,"T")</f>
        <v>5799.9</v>
      </c>
      <c r="D14" s="17">
        <f t="shared" si="0"/>
        <v>2.2211032264416635</v>
      </c>
      <c r="E14" s="16">
        <f>SUMIFS(DONNEES_N1_NOUVEAU[MONTANT],DONNEES_N1_NOUVEAU[TL2],A14,DONNEES_N1_NOUVEAU[MOIS],DONNÉES!$C$5,DONNEES_N1_NOUVEAU[SOCIETE],"TIRR")</f>
        <v>5465.52</v>
      </c>
      <c r="F14" s="17">
        <f t="shared" si="0"/>
        <v>2.1149410022427078</v>
      </c>
      <c r="G14" s="16">
        <f>+C14-E14</f>
        <v>334.3799999999992</v>
      </c>
      <c r="H14" s="17">
        <f t="shared" si="1"/>
        <v>6.1179906029069366</v>
      </c>
    </row>
    <row r="15" spans="1:8" s="18" customFormat="1" x14ac:dyDescent="0.2">
      <c r="A15" s="13" t="s">
        <v>2964</v>
      </c>
      <c r="B15" s="14" t="s">
        <v>2965</v>
      </c>
      <c r="C15" s="23">
        <f>SUMIFS('BAL N TIRR'!$G:$G,'BAL N TIRR'!$I:$I,$A15,'BAL N TIRR'!$J:$J,"T")</f>
        <v>440.51</v>
      </c>
      <c r="D15" s="17">
        <f t="shared" si="0"/>
        <v>0.16869569859477185</v>
      </c>
      <c r="E15" s="16">
        <f>SUMIFS(DONNEES_N1_NOUVEAU[MONTANT],DONNEES_N1_NOUVEAU[TL2],A15,DONNEES_N1_NOUVEAU[MOIS],DONNÉES!$C$5,DONNEES_N1_NOUVEAU[SOCIETE],"TIRR")</f>
        <v>654.27</v>
      </c>
      <c r="F15" s="17">
        <f t="shared" si="0"/>
        <v>0.25317672417946258</v>
      </c>
      <c r="G15" s="16">
        <f>+C15-E15</f>
        <v>-213.76</v>
      </c>
      <c r="H15" s="17">
        <f t="shared" si="1"/>
        <v>-32.671527045409391</v>
      </c>
    </row>
    <row r="16" spans="1:8" ht="13.5" thickBot="1" x14ac:dyDescent="0.25">
      <c r="A16" s="7"/>
      <c r="B16" s="63" t="s">
        <v>10</v>
      </c>
      <c r="C16" s="49">
        <f>+C13+SUM(C14:C15)</f>
        <v>66917.23</v>
      </c>
      <c r="D16" s="50">
        <f t="shared" si="0"/>
        <v>25.626316911936222</v>
      </c>
      <c r="E16" s="49">
        <f>+E13+SUM(E14:E15)</f>
        <v>63567.39</v>
      </c>
      <c r="F16" s="50">
        <f t="shared" si="0"/>
        <v>24.598076581286513</v>
      </c>
      <c r="G16" s="49">
        <f>+G13+SUM(G14:G15)</f>
        <v>3349.8399999999965</v>
      </c>
      <c r="H16" s="50">
        <f t="shared" si="1"/>
        <v>5.2697460128534397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194209.76</v>
      </c>
      <c r="D18" s="71">
        <f>(C18*100)/C$8</f>
        <v>74.373683088063785</v>
      </c>
      <c r="E18" s="70">
        <f>E8-E16</f>
        <v>194856.84000000003</v>
      </c>
      <c r="F18" s="71">
        <f>(E18*100)/E$8</f>
        <v>75.401923418713494</v>
      </c>
      <c r="G18" s="70">
        <f>G8-G16</f>
        <v>-647.0800000000163</v>
      </c>
      <c r="H18" s="71">
        <f>IF(E18=0,0,G18/E18*100)</f>
        <v>-0.33207969502123519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TIRR'!$G:$G,'BAL N TIRR'!$I:$I,$A20,'BAL N TIRR'!$J:$J,"T")</f>
        <v>30718.240000000002</v>
      </c>
      <c r="D20" s="17">
        <f t="shared" ref="D20:F26" si="2">(C20*100)/C$8</f>
        <v>11.763716956259481</v>
      </c>
      <c r="E20" s="16">
        <f>SUMIFS(DONNEES_N1_NOUVEAU[MONTANT],DONNEES_N1_NOUVEAU[TL2],A20,DONNEES_N1_NOUVEAU[MOIS],DONNÉES!$C$5,DONNEES_N1_NOUVEAU[SOCIETE],"TIRR")</f>
        <v>32358.41</v>
      </c>
      <c r="F20" s="17">
        <f t="shared" si="2"/>
        <v>12.521430362779837</v>
      </c>
      <c r="G20" s="16">
        <f t="shared" ref="G20:G25" si="3">+C20-E20</f>
        <v>-1640.1699999999983</v>
      </c>
      <c r="H20" s="17">
        <f t="shared" ref="H20:H26" si="4">IF(E20=0,0,G20/E20*100)</f>
        <v>-5.0687595589523662</v>
      </c>
    </row>
    <row r="21" spans="1:8" s="18" customFormat="1" x14ac:dyDescent="0.2">
      <c r="A21" s="13">
        <v>9</v>
      </c>
      <c r="B21" s="14" t="s">
        <v>2968</v>
      </c>
      <c r="C21" s="23">
        <f>SUMIFS('BAL N TIRR'!$G:$G,'BAL N TIRR'!$I:$I,$A21,'BAL N TIRR'!$J:$J,"T")</f>
        <v>4628.82</v>
      </c>
      <c r="D21" s="17">
        <f t="shared" si="2"/>
        <v>1.7726317758267731</v>
      </c>
      <c r="E21" s="16">
        <f>SUMIFS(DONNEES_N1_NOUVEAU[MONTANT],DONNEES_N1_NOUVEAU[TL2],A21,DONNEES_N1_NOUVEAU[MOIS],DONNÉES!$C$5,DONNEES_N1_NOUVEAU[SOCIETE],"TIRR")</f>
        <v>4005.03</v>
      </c>
      <c r="F21" s="17">
        <f t="shared" si="2"/>
        <v>1.5497888878299066</v>
      </c>
      <c r="G21" s="16">
        <f t="shared" si="3"/>
        <v>623.78999999999951</v>
      </c>
      <c r="H21" s="17">
        <f t="shared" si="4"/>
        <v>15.57516423097953</v>
      </c>
    </row>
    <row r="22" spans="1:8" s="18" customFormat="1" x14ac:dyDescent="0.2">
      <c r="A22" s="13" t="s">
        <v>12</v>
      </c>
      <c r="B22" s="14" t="s">
        <v>14</v>
      </c>
      <c r="C22" s="23">
        <f>SUMIFS('BAL N TIRR'!$G:$G,'BAL N TIRR'!$I:$I,$A22,'BAL N TIRR'!$J:$J,"T")</f>
        <v>15280.19</v>
      </c>
      <c r="D22" s="17">
        <f t="shared" si="2"/>
        <v>5.851631805659002</v>
      </c>
      <c r="E22" s="16">
        <f>SUMIFS(DONNEES_N1_NOUVEAU[MONTANT],DONNEES_N1_NOUVEAU[TL2],A22,DONNEES_N1_NOUVEAU[MOIS],DONNÉES!$C$5,DONNEES_N1_NOUVEAU[SOCIETE],"TIRR")</f>
        <v>32370.71</v>
      </c>
      <c r="F22" s="17">
        <f t="shared" si="2"/>
        <v>12.52618997839328</v>
      </c>
      <c r="G22" s="16">
        <f t="shared" si="3"/>
        <v>-17090.519999999997</v>
      </c>
      <c r="H22" s="17">
        <f t="shared" si="4"/>
        <v>-52.796246977591778</v>
      </c>
    </row>
    <row r="23" spans="1:8" s="18" customFormat="1" x14ac:dyDescent="0.2">
      <c r="A23" s="13" t="s">
        <v>13</v>
      </c>
      <c r="B23" s="14" t="s">
        <v>2966</v>
      </c>
      <c r="C23" s="23">
        <f>SUMIFS('BAL N TIRR'!$G:$G,'BAL N TIRR'!$I:$I,$A23,'BAL N TIRR'!$J:$J,"T")</f>
        <v>3977.4</v>
      </c>
      <c r="D23" s="17">
        <f t="shared" si="2"/>
        <v>1.5231669464730553</v>
      </c>
      <c r="E23" s="16">
        <f>SUMIFS(DONNEES_N1_NOUVEAU[MONTANT],DONNEES_N1_NOUVEAU[TL2],A23,DONNEES_N1_NOUVEAU[MOIS],DONNÉES!$C$5,DONNEES_N1_NOUVEAU[SOCIETE],"TIRR")</f>
        <v>4559.72</v>
      </c>
      <c r="F23" s="17">
        <f t="shared" si="2"/>
        <v>1.7644320735714294</v>
      </c>
      <c r="G23" s="16">
        <f t="shared" si="3"/>
        <v>-582.32000000000016</v>
      </c>
      <c r="H23" s="17">
        <f t="shared" si="4"/>
        <v>-12.770959620327565</v>
      </c>
    </row>
    <row r="24" spans="1:8" s="18" customFormat="1" x14ac:dyDescent="0.2">
      <c r="A24" s="13" t="s">
        <v>15</v>
      </c>
      <c r="B24" s="14" t="s">
        <v>2969</v>
      </c>
      <c r="C24" s="23">
        <f>SUMIFS('BAL N TIRR'!$G:$G,'BAL N TIRR'!$I:$I,$A24,'BAL N TIRR'!$J:$J,"T")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SUMIFS(DONNEES_N1_NOUVEAU[MONTANT],DONNEES_N1_NOUVEAU[TL2],A24,DONNEES_N1_NOUVEAU[MOIS],DONNÉES!$C$5,DONNEES_N1_NOUVEAU[SOCIETE],"TIRR")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TIRR'!$G:$G,'BAL N TIRR'!$I:$I,$A25,'BAL N TIRR'!$J:$J,"T")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SUMIFS(DONNEES_N1_NOUVEAU[MONTANT],DONNEES_N1_NOUVEAU[TL2],A25,DONNEES_N1_NOUVEAU[MOIS],DONNÉES!$C$5,DONNEES_N1_NOUVEAU[SOCIETE],"TIRR")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54604.65</v>
      </c>
      <c r="D26" s="50">
        <f t="shared" si="2"/>
        <v>20.911147484218311</v>
      </c>
      <c r="E26" s="51">
        <f>SUM(E20:E25)</f>
        <v>73293.87</v>
      </c>
      <c r="F26" s="50">
        <f t="shared" si="2"/>
        <v>28.361841302574451</v>
      </c>
      <c r="G26" s="51">
        <f>SUM(G20:G25)</f>
        <v>-18689.219999999994</v>
      </c>
      <c r="H26" s="50">
        <f t="shared" si="4"/>
        <v>-25.499021950948965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TIRR'!$G:$G,'BAL N TIRR'!$I:$I,$A28,'BAL N TIRR'!$J:$J,"T")</f>
        <v>9387.4699999999993</v>
      </c>
      <c r="D28" s="17">
        <f t="shared" ref="D28:F33" si="5">(C28*100)/C$8</f>
        <v>3.5949826557568789</v>
      </c>
      <c r="E28" s="16">
        <f>SUMIFS(DONNEES_N1_NOUVEAU[MONTANT],DONNEES_N1_NOUVEAU[TL2],A28,DONNEES_N1_NOUVEAU[MOIS],DONNÉES!$C$5,DONNEES_N1_NOUVEAU[SOCIETE],"TIRR")</f>
        <v>325</v>
      </c>
      <c r="F28" s="17">
        <f t="shared" si="5"/>
        <v>0.12576220116821088</v>
      </c>
      <c r="G28" s="16">
        <f>+C28-E28</f>
        <v>9062.4699999999993</v>
      </c>
      <c r="H28" s="17">
        <f t="shared" ref="H28:H33" si="6">IF(E28=0,0,G28/E28*100)</f>
        <v>2788.4523076923074</v>
      </c>
    </row>
    <row r="29" spans="1:8" s="18" customFormat="1" x14ac:dyDescent="0.2">
      <c r="A29" s="13" t="s">
        <v>20</v>
      </c>
      <c r="B29" s="14" t="s">
        <v>2972</v>
      </c>
      <c r="C29" s="23">
        <f>SUMIFS('BAL N TIRR'!$G:$G,'BAL N TIRR'!$I:$I,$A29,'BAL N TIRR'!$J:$J,"T")</f>
        <v>36.47</v>
      </c>
      <c r="D29" s="17">
        <f t="shared" si="5"/>
        <v>1.3966384708068668E-2</v>
      </c>
      <c r="E29" s="16">
        <f>SUMIFS(DONNEES_N1_NOUVEAU[MONTANT],DONNEES_N1_NOUVEAU[TL2],A29,DONNEES_N1_NOUVEAU[MOIS],DONNÉES!$C$5,DONNEES_N1_NOUVEAU[SOCIETE],"TIRR")</f>
        <v>206.47</v>
      </c>
      <c r="F29" s="17">
        <f t="shared" si="5"/>
        <v>7.9895759000616934E-2</v>
      </c>
      <c r="G29" s="16">
        <f>+C29-E29</f>
        <v>-170</v>
      </c>
      <c r="H29" s="17">
        <f t="shared" si="6"/>
        <v>-82.3364169128687</v>
      </c>
    </row>
    <row r="30" spans="1:8" s="18" customFormat="1" x14ac:dyDescent="0.2">
      <c r="A30" s="13" t="s">
        <v>21</v>
      </c>
      <c r="B30" s="14" t="s">
        <v>2973</v>
      </c>
      <c r="C30" s="23">
        <f>SUMIFS('BAL N TIRR'!$G:$G,'BAL N TIRR'!$I:$I,$A30,'BAL N TIRR'!$J:$J,"T")</f>
        <v>2640.92</v>
      </c>
      <c r="D30" s="17">
        <f t="shared" si="5"/>
        <v>1.0113546669381055</v>
      </c>
      <c r="E30" s="16">
        <f>SUMIFS(DONNEES_N1_NOUVEAU[MONTANT],DONNEES_N1_NOUVEAU[TL2],A30,DONNEES_N1_NOUVEAU[MOIS],DONNÉES!$C$5,DONNEES_N1_NOUVEAU[SOCIETE],"TIRR")</f>
        <v>1871.06</v>
      </c>
      <c r="F30" s="17">
        <f t="shared" si="5"/>
        <v>0.72402653574705433</v>
      </c>
      <c r="G30" s="16">
        <f>+C30-E30</f>
        <v>769.86000000000013</v>
      </c>
      <c r="H30" s="17">
        <f t="shared" si="6"/>
        <v>41.145660748452755</v>
      </c>
    </row>
    <row r="31" spans="1:8" s="18" customFormat="1" x14ac:dyDescent="0.2">
      <c r="A31" s="13" t="s">
        <v>23</v>
      </c>
      <c r="B31" s="14" t="s">
        <v>2974</v>
      </c>
      <c r="C31" s="23">
        <f>SUMIFS('BAL N TIRR'!$G:$G,'BAL N TIRR'!$I:$I,$A31,'BAL N TIRR'!$J:$J,"T")</f>
        <v>2586.9899999999998</v>
      </c>
      <c r="D31" s="17">
        <f t="shared" si="5"/>
        <v>0.99070188033799178</v>
      </c>
      <c r="E31" s="16">
        <f>SUMIFS(DONNEES_N1_NOUVEAU[MONTANT],DONNEES_N1_NOUVEAU[TL2],A31,DONNEES_N1_NOUVEAU[MOIS],DONNÉES!$C$5,DONNEES_N1_NOUVEAU[SOCIETE],"TIRR")</f>
        <v>1469.65</v>
      </c>
      <c r="F31" s="17">
        <f t="shared" si="5"/>
        <v>0.56869667368264964</v>
      </c>
      <c r="G31" s="16">
        <f>+C31-E31</f>
        <v>1117.3399999999997</v>
      </c>
      <c r="H31" s="17">
        <f t="shared" si="6"/>
        <v>76.027625625148815</v>
      </c>
    </row>
    <row r="32" spans="1:8" s="18" customFormat="1" x14ac:dyDescent="0.2">
      <c r="A32" s="13" t="s">
        <v>25</v>
      </c>
      <c r="B32" s="14" t="s">
        <v>2975</v>
      </c>
      <c r="C32" s="23">
        <f>SUMIFS('BAL N TIRR'!$G:$G,'BAL N TIRR'!$I:$I,$A32,'BAL N TIRR'!$J:$J,"T")</f>
        <v>6753.49</v>
      </c>
      <c r="D32" s="17">
        <f t="shared" si="5"/>
        <v>2.5862856995364591</v>
      </c>
      <c r="E32" s="16">
        <f>SUMIFS(DONNEES_N1_NOUVEAU[MONTANT],DONNEES_N1_NOUVEAU[TL2],A32,DONNEES_N1_NOUVEAU[MOIS],DONNÉES!$C$5,DONNEES_N1_NOUVEAU[SOCIETE],"TIRR")</f>
        <v>6942.23</v>
      </c>
      <c r="F32" s="17">
        <f t="shared" si="5"/>
        <v>2.6863696178953496</v>
      </c>
      <c r="G32" s="16">
        <f>+C32-E32</f>
        <v>-188.73999999999978</v>
      </c>
      <c r="H32" s="17">
        <f t="shared" si="6"/>
        <v>-2.7187229463731368</v>
      </c>
    </row>
    <row r="33" spans="1:8" ht="13.5" thickBot="1" x14ac:dyDescent="0.25">
      <c r="A33" s="7"/>
      <c r="B33" s="63" t="s">
        <v>2976</v>
      </c>
      <c r="C33" s="49">
        <f>SUM(C28:C32)</f>
        <v>21405.339999999997</v>
      </c>
      <c r="D33" s="50">
        <f t="shared" si="5"/>
        <v>8.197291287277503</v>
      </c>
      <c r="E33" s="51">
        <f>SUM(E28:E32)</f>
        <v>10814.41</v>
      </c>
      <c r="F33" s="50">
        <f t="shared" si="5"/>
        <v>4.1847507874938819</v>
      </c>
      <c r="G33" s="51">
        <f>SUM(G28:G32)</f>
        <v>10590.93</v>
      </c>
      <c r="H33" s="50">
        <f t="shared" si="6"/>
        <v>97.933497990181621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TIRR'!$G:$G,'BAL N TIRR'!$I:$I,$A35,'BAL N TIRR'!$J:$J,"T")</f>
        <v>6373.98</v>
      </c>
      <c r="D35" s="17">
        <f t="shared" ref="D35:F42" si="7">(C35*100)/C$8</f>
        <v>2.4409502824660141</v>
      </c>
      <c r="E35" s="16">
        <f>SUMIFS(DONNEES_N1_NOUVEAU[MONTANT],DONNEES_N1_NOUVEAU[TL2],A35,DONNEES_N1_NOUVEAU[MOIS],DONNÉES!$C$5,DONNEES_N1_NOUVEAU[SOCIETE],"TIRR")</f>
        <v>5911.41</v>
      </c>
      <c r="F35" s="17">
        <f t="shared" si="7"/>
        <v>2.2874828726393033</v>
      </c>
      <c r="G35" s="16">
        <f t="shared" ref="G35:G41" si="8">+C35-E35</f>
        <v>462.56999999999971</v>
      </c>
      <c r="H35" s="17">
        <f t="shared" ref="H35:H42" si="9">IF(E35=0,0,G35/E35*100)</f>
        <v>7.8250366663790833</v>
      </c>
    </row>
    <row r="36" spans="1:8" s="18" customFormat="1" x14ac:dyDescent="0.2">
      <c r="A36" s="13" t="s">
        <v>30</v>
      </c>
      <c r="B36" s="14" t="s">
        <v>145</v>
      </c>
      <c r="C36" s="23">
        <f>SUMIFS('BAL N TIRR'!$G:$G,'BAL N TIRR'!$I:$I,$A36,'BAL N TIRR'!$J:$J,"T")</f>
        <v>10534.83</v>
      </c>
      <c r="D36" s="17">
        <f t="shared" si="7"/>
        <v>4.0343704034577197</v>
      </c>
      <c r="E36" s="16">
        <f>SUMIFS(DONNEES_N1_NOUVEAU[MONTANT],DONNEES_N1_NOUVEAU[TL2],A36,DONNEES_N1_NOUVEAU[MOIS],DONNÉES!$C$5,DONNEES_N1_NOUVEAU[SOCIETE],"TIRR")</f>
        <v>10343.530000000001</v>
      </c>
      <c r="F36" s="17">
        <f t="shared" si="7"/>
        <v>4.0025387712289984</v>
      </c>
      <c r="G36" s="16">
        <f t="shared" si="8"/>
        <v>191.29999999999927</v>
      </c>
      <c r="H36" s="17">
        <f t="shared" si="9"/>
        <v>1.8494653179330391</v>
      </c>
    </row>
    <row r="37" spans="1:8" s="18" customFormat="1" x14ac:dyDescent="0.2">
      <c r="A37" s="13" t="s">
        <v>32</v>
      </c>
      <c r="B37" s="14" t="s">
        <v>19</v>
      </c>
      <c r="C37" s="23">
        <f>SUMIFS('BAL N TIRR'!$G:$G,'BAL N TIRR'!$I:$I,$A37,'BAL N TIRR'!$J:$J,"T")</f>
        <v>5917.34</v>
      </c>
      <c r="D37" s="17">
        <f t="shared" si="7"/>
        <v>2.2660775127075143</v>
      </c>
      <c r="E37" s="16">
        <f>SUMIFS(DONNEES_N1_NOUVEAU[MONTANT],DONNEES_N1_NOUVEAU[TL2],A37,DONNEES_N1_NOUVEAU[MOIS],DONNÉES!$C$5,DONNEES_N1_NOUVEAU[SOCIETE],"TIRR")</f>
        <v>5259.47</v>
      </c>
      <c r="F37" s="17">
        <f t="shared" si="7"/>
        <v>2.035207766702062</v>
      </c>
      <c r="G37" s="16">
        <f t="shared" si="8"/>
        <v>657.86999999999989</v>
      </c>
      <c r="H37" s="17">
        <f t="shared" si="9"/>
        <v>12.508294561999591</v>
      </c>
    </row>
    <row r="38" spans="1:8" s="18" customFormat="1" x14ac:dyDescent="0.2">
      <c r="A38" s="13" t="s">
        <v>34</v>
      </c>
      <c r="B38" s="14" t="s">
        <v>28</v>
      </c>
      <c r="C38" s="23">
        <f>SUMIFS('BAL N TIRR'!$G:$G,'BAL N TIRR'!$I:$I,$A38,'BAL N TIRR'!$J:$J,"T")</f>
        <v>8560</v>
      </c>
      <c r="D38" s="17">
        <f t="shared" si="7"/>
        <v>3.2780985221022156</v>
      </c>
      <c r="E38" s="16">
        <f>SUMIFS(DONNEES_N1_NOUVEAU[MONTANT],DONNEES_N1_NOUVEAU[TL2],A38,DONNEES_N1_NOUVEAU[MOIS],DONNÉES!$C$5,DONNEES_N1_NOUVEAU[SOCIETE],"TIRR")</f>
        <v>12540</v>
      </c>
      <c r="F38" s="17">
        <f t="shared" si="7"/>
        <v>4.8524861619980451</v>
      </c>
      <c r="G38" s="16">
        <f t="shared" si="8"/>
        <v>-3980</v>
      </c>
      <c r="H38" s="17">
        <f t="shared" si="9"/>
        <v>-31.738437001594892</v>
      </c>
    </row>
    <row r="39" spans="1:8" s="18" customFormat="1" x14ac:dyDescent="0.2">
      <c r="A39" s="13" t="s">
        <v>2978</v>
      </c>
      <c r="B39" s="14" t="s">
        <v>2980</v>
      </c>
      <c r="C39" s="23">
        <f>SUMIFS('BAL N TIRR'!$G:$G,'BAL N TIRR'!$I:$I,$A39,'BAL N TIRR'!$J:$J,"T")</f>
        <v>2074.92</v>
      </c>
      <c r="D39" s="17">
        <f t="shared" si="7"/>
        <v>0.79460189082714128</v>
      </c>
      <c r="E39" s="16">
        <f>SUMIFS(DONNEES_N1_NOUVEAU[MONTANT],DONNEES_N1_NOUVEAU[TL2],A39,DONNEES_N1_NOUVEAU[MOIS],DONNÉES!$C$5,DONNEES_N1_NOUVEAU[SOCIETE],"TIRR")</f>
        <v>818.31</v>
      </c>
      <c r="F39" s="17">
        <f t="shared" si="7"/>
        <v>0.31665374411679587</v>
      </c>
      <c r="G39" s="16">
        <f t="shared" si="8"/>
        <v>1256.6100000000001</v>
      </c>
      <c r="H39" s="17">
        <f t="shared" si="9"/>
        <v>153.56160868130661</v>
      </c>
    </row>
    <row r="40" spans="1:8" s="18" customFormat="1" x14ac:dyDescent="0.2">
      <c r="A40" s="13" t="s">
        <v>2979</v>
      </c>
      <c r="B40" s="14" t="s">
        <v>2981</v>
      </c>
      <c r="C40" s="23">
        <f>SUMIFS('BAL N TIRR'!$G:$G,'BAL N TIRR'!$I:$I,$A40,'BAL N TIRR'!$J:$J,"T")</f>
        <v>10.92</v>
      </c>
      <c r="D40" s="17">
        <f t="shared" si="7"/>
        <v>4.181873348289275E-3</v>
      </c>
      <c r="E40" s="16">
        <f>SUMIFS(DONNEES_N1_NOUVEAU[MONTANT],DONNEES_N1_NOUVEAU[TL2],A40,DONNEES_N1_NOUVEAU[MOIS],DONNÉES!$C$5,DONNEES_N1_NOUVEAU[SOCIETE],"TIRR")</f>
        <v>40.799999999999997</v>
      </c>
      <c r="F40" s="17">
        <f t="shared" si="7"/>
        <v>1.5787993254347703E-2</v>
      </c>
      <c r="G40" s="16">
        <f t="shared" si="8"/>
        <v>-29.879999999999995</v>
      </c>
      <c r="H40" s="17">
        <f t="shared" si="9"/>
        <v>-73.235294117647058</v>
      </c>
    </row>
    <row r="41" spans="1:8" s="18" customFormat="1" x14ac:dyDescent="0.2">
      <c r="A41" s="13" t="s">
        <v>2982</v>
      </c>
      <c r="B41" s="14" t="s">
        <v>2983</v>
      </c>
      <c r="C41" s="23">
        <f>SUMIFS('BAL N TIRR'!$G:$G,'BAL N TIRR'!$I:$I,$A41,'BAL N TIRR'!$J:$J,"T")</f>
        <v>715.3</v>
      </c>
      <c r="D41" s="17">
        <f t="shared" si="7"/>
        <v>0.27392802253034054</v>
      </c>
      <c r="E41" s="16">
        <f>SUMIFS(DONNEES_N1_NOUVEAU[MONTANT],DONNEES_N1_NOUVEAU[TL2],A41,DONNEES_N1_NOUVEAU[MOIS],DONNÉES!$C$5,DONNEES_N1_NOUVEAU[SOCIETE],"TIRR")</f>
        <v>615.83000000000004</v>
      </c>
      <c r="F41" s="17">
        <f t="shared" si="7"/>
        <v>0.23830195798590559</v>
      </c>
      <c r="G41" s="16">
        <f t="shared" si="8"/>
        <v>99.469999999999914</v>
      </c>
      <c r="H41" s="17">
        <f t="shared" si="9"/>
        <v>16.152184856210301</v>
      </c>
    </row>
    <row r="42" spans="1:8" ht="13.5" thickBot="1" x14ac:dyDescent="0.25">
      <c r="A42" s="13"/>
      <c r="B42" s="63" t="s">
        <v>2984</v>
      </c>
      <c r="C42" s="49">
        <f>+SUM(C35:C41)</f>
        <v>34187.29</v>
      </c>
      <c r="D42" s="50">
        <f t="shared" si="7"/>
        <v>13.092208507439235</v>
      </c>
      <c r="E42" s="51">
        <f>+SUM(E35:E41)</f>
        <v>35529.350000000006</v>
      </c>
      <c r="F42" s="50">
        <f t="shared" si="7"/>
        <v>13.748459267925458</v>
      </c>
      <c r="G42" s="51">
        <f>+SUM(G35:G41)</f>
        <v>-1342.0600000000013</v>
      </c>
      <c r="H42" s="50">
        <f t="shared" si="9"/>
        <v>-3.7773277585995837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84012.48000000001</v>
      </c>
      <c r="D44" s="71">
        <f>(C44*100)/C$8</f>
        <v>32.173035809128741</v>
      </c>
      <c r="E44" s="72">
        <f>E18-E26-E33-E42</f>
        <v>75219.210000000021</v>
      </c>
      <c r="F44" s="71">
        <f>(E44*100)/E$8</f>
        <v>29.106872060719699</v>
      </c>
      <c r="G44" s="72">
        <f>G18-G26-G33-G42</f>
        <v>8793.2699999999786</v>
      </c>
      <c r="H44" s="71">
        <f>IF(E44=0,0,G44/E44*100)</f>
        <v>11.690191907093913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TIRR'!$G:$G,'BAL N TIRR'!$I:$I,$A46,'BAL N TIRR'!$J:$J,"T")</f>
        <v>38690.46</v>
      </c>
      <c r="D46" s="17">
        <f t="shared" ref="D46:F49" si="10">(C46*100)/C$8</f>
        <v>14.816721932880244</v>
      </c>
      <c r="E46" s="16">
        <f>SUMIFS(DONNEES_N1_NOUVEAU[MONTANT],DONNEES_N1_NOUVEAU[TL2],A46,DONNEES_N1_NOUVEAU[MOIS],DONNÉES!$C$5,DONNEES_N1_NOUVEAU[SOCIETE],"TIRR")</f>
        <v>37968.89</v>
      </c>
      <c r="F46" s="17">
        <f t="shared" si="10"/>
        <v>14.692465176349756</v>
      </c>
      <c r="G46" s="16">
        <f>+C46-E46</f>
        <v>721.56999999999971</v>
      </c>
      <c r="H46" s="17">
        <f>IF(E46=0,0,G46/E46*100)</f>
        <v>1.9004242683944665</v>
      </c>
    </row>
    <row r="47" spans="1:8" s="18" customFormat="1" x14ac:dyDescent="0.2">
      <c r="A47" s="13" t="s">
        <v>35</v>
      </c>
      <c r="B47" s="14" t="s">
        <v>2986</v>
      </c>
      <c r="C47" s="23">
        <f>SUMIFS('BAL N TIRR'!$G:$G,'BAL N TIRR'!$I:$I,$A47,'BAL N TIRR'!$J:$J,"T")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SUMIFS(DONNEES_N1_NOUVEAU[MONTANT],DONNEES_N1_NOUVEAU[TL2],A47,DONNEES_N1_NOUVEAU[MOIS],DONNÉES!$C$5,DONNEES_N1_NOUVEAU[SOCIETE],"TIRR")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TIRR'!$G:$G,'BAL N TIRR'!$I:$I,$A48,'BAL N TIRR'!$J:$J,"T")</f>
        <v>-674.11</v>
      </c>
      <c r="D48" s="17">
        <f t="shared" si="10"/>
        <v>-0.25815408816989771</v>
      </c>
      <c r="E48" s="16">
        <f>SUMIFS(DONNEES_N1_NOUVEAU[MONTANT],DONNEES_N1_NOUVEAU[TL2],A48,DONNEES_N1_NOUVEAU[MOIS],DONNÉES!$C$5,DONNEES_N1_NOUVEAU[SOCIETE],"TIRR")</f>
        <v>-980.37</v>
      </c>
      <c r="F48" s="17">
        <f t="shared" si="10"/>
        <v>-0.3793645820285505</v>
      </c>
      <c r="G48" s="16">
        <f>+C48-E48</f>
        <v>306.26</v>
      </c>
      <c r="H48" s="17">
        <f>IF(E48=0,0,G48/E48*100)</f>
        <v>-31.239226006507749</v>
      </c>
    </row>
    <row r="49" spans="1:8" ht="13.5" thickBot="1" x14ac:dyDescent="0.25">
      <c r="A49" s="13"/>
      <c r="B49" s="63" t="s">
        <v>2988</v>
      </c>
      <c r="C49" s="49">
        <f>SUM(C46:C48)</f>
        <v>38016.35</v>
      </c>
      <c r="D49" s="50">
        <f t="shared" si="10"/>
        <v>14.558567844710346</v>
      </c>
      <c r="E49" s="51">
        <f>SUM(E46:E48)</f>
        <v>36988.519999999997</v>
      </c>
      <c r="F49" s="50">
        <f t="shared" si="10"/>
        <v>14.313100594321204</v>
      </c>
      <c r="G49" s="51">
        <f>SUM(G46:G48)</f>
        <v>1027.8299999999997</v>
      </c>
      <c r="H49" s="50">
        <f>IF(E49=0,0,G49/E49*100)</f>
        <v>2.7787810920793801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TIRR'!$G:$G,'BAL N TIRR'!$I:$I,$A51,'BAL N TIRR'!$J:$J,"T")</f>
        <v>690</v>
      </c>
      <c r="D51" s="17">
        <f t="shared" ref="D51:F59" si="11">(C51*100)/C$8</f>
        <v>0.2642392500292674</v>
      </c>
      <c r="E51" s="16">
        <f>SUMIFS(DONNEES_N1_NOUVEAU[MONTANT],DONNEES_N1_NOUVEAU[TL2],A51,DONNEES_N1_NOUVEAU[MOIS],DONNÉES!$C$5,DONNEES_N1_NOUVEAU[SOCIETE],"TIRR")</f>
        <v>690</v>
      </c>
      <c r="F51" s="17">
        <f t="shared" si="11"/>
        <v>0.2670028270955862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TIRR'!$G:$G,'BAL N TIRR'!$I:$I,$A52,'BAL N TIRR'!$J:$J,"T")</f>
        <v>13340.88</v>
      </c>
      <c r="D52" s="17">
        <f t="shared" si="11"/>
        <v>5.1089625013484818</v>
      </c>
      <c r="E52" s="16">
        <f>SUMIFS(DONNEES_N1_NOUVEAU[MONTANT],DONNEES_N1_NOUVEAU[TL2],A52,DONNEES_N1_NOUVEAU[MOIS],DONNÉES!$C$5,DONNEES_N1_NOUVEAU[SOCIETE],"TIRR")</f>
        <v>13092.72</v>
      </c>
      <c r="F52" s="17">
        <f t="shared" si="11"/>
        <v>5.0663670353201784</v>
      </c>
      <c r="G52" s="16">
        <f t="shared" si="12"/>
        <v>248.15999999999985</v>
      </c>
      <c r="H52" s="17">
        <f t="shared" si="13"/>
        <v>1.8954044690484471</v>
      </c>
    </row>
    <row r="53" spans="1:8" s="18" customFormat="1" x14ac:dyDescent="0.2">
      <c r="A53" s="13" t="s">
        <v>44</v>
      </c>
      <c r="B53" s="14" t="s">
        <v>62</v>
      </c>
      <c r="C53" s="23">
        <f>SUMIFS('BAL N TIRR'!$G:$G,'BAL N TIRR'!$I:$I,$A53,'BAL N TIRR'!$J:$J,"T")</f>
        <v>1053.69</v>
      </c>
      <c r="D53" s="17">
        <f t="shared" si="11"/>
        <v>0.40351631212078076</v>
      </c>
      <c r="E53" s="16">
        <f>SUMIFS(DONNEES_N1_NOUVEAU[MONTANT],DONNEES_N1_NOUVEAU[TL2],A53,DONNEES_N1_NOUVEAU[MOIS],DONNÉES!$C$5,DONNEES_N1_NOUVEAU[SOCIETE],"TIRR")</f>
        <v>977</v>
      </c>
      <c r="F53" s="17">
        <f t="shared" si="11"/>
        <v>0.37806052474259089</v>
      </c>
      <c r="G53" s="16">
        <f t="shared" si="12"/>
        <v>76.690000000000055</v>
      </c>
      <c r="H53" s="17">
        <f t="shared" si="13"/>
        <v>7.8495394063459623</v>
      </c>
    </row>
    <row r="54" spans="1:8" s="18" customFormat="1" x14ac:dyDescent="0.2">
      <c r="A54" s="13" t="s">
        <v>45</v>
      </c>
      <c r="B54" s="14" t="s">
        <v>41</v>
      </c>
      <c r="C54" s="23">
        <f>SUMIFS('BAL N TIRR'!$G:$G,'BAL N TIRR'!$I:$I,$A54,'BAL N TIRR'!$J:$J,"T")</f>
        <v>1250</v>
      </c>
      <c r="D54" s="17">
        <f t="shared" si="11"/>
        <v>0.47869429353128146</v>
      </c>
      <c r="E54" s="16">
        <f>SUMIFS(DONNEES_N1_NOUVEAU[MONTANT],DONNEES_N1_NOUVEAU[TL2],A54,DONNEES_N1_NOUVEAU[MOIS],DONNÉES!$C$5,DONNEES_N1_NOUVEAU[SOCIETE],"TIRR")</f>
        <v>1300</v>
      </c>
      <c r="F54" s="17">
        <f t="shared" si="11"/>
        <v>0.50304880467284352</v>
      </c>
      <c r="G54" s="16">
        <f t="shared" si="12"/>
        <v>-50</v>
      </c>
      <c r="H54" s="17">
        <f t="shared" si="13"/>
        <v>-3.8461538461538463</v>
      </c>
    </row>
    <row r="55" spans="1:8" s="18" customFormat="1" x14ac:dyDescent="0.2">
      <c r="A55" s="13" t="s">
        <v>47</v>
      </c>
      <c r="B55" s="14" t="s">
        <v>43</v>
      </c>
      <c r="C55" s="23">
        <f>SUMIFS('BAL N TIRR'!$G:$G,'BAL N TIRR'!$I:$I,$A55,'BAL N TIRR'!$J:$J,"T")</f>
        <v>1948.03</v>
      </c>
      <c r="D55" s="17">
        <f t="shared" si="11"/>
        <v>0.74600867570219387</v>
      </c>
      <c r="E55" s="16">
        <f>SUMIFS(DONNEES_N1_NOUVEAU[MONTANT],DONNEES_N1_NOUVEAU[TL2],A55,DONNEES_N1_NOUVEAU[MOIS],DONNÉES!$C$5,DONNEES_N1_NOUVEAU[SOCIETE],"TIRR")</f>
        <v>2273.1999999999998</v>
      </c>
      <c r="F55" s="17">
        <f t="shared" si="11"/>
        <v>0.87963887906331373</v>
      </c>
      <c r="G55" s="16">
        <f t="shared" si="12"/>
        <v>-325.16999999999985</v>
      </c>
      <c r="H55" s="17">
        <f t="shared" si="13"/>
        <v>-14.304504663030086</v>
      </c>
    </row>
    <row r="56" spans="1:8" s="18" customFormat="1" x14ac:dyDescent="0.2">
      <c r="A56" s="13" t="s">
        <v>48</v>
      </c>
      <c r="B56" s="14" t="s">
        <v>46</v>
      </c>
      <c r="C56" s="23">
        <f>SUMIFS('BAL N TIRR'!$G:$G,'BAL N TIRR'!$I:$I,$A56,'BAL N TIRR'!$J:$J,"T")</f>
        <v>11675</v>
      </c>
      <c r="D56" s="17">
        <f t="shared" si="11"/>
        <v>4.471004701582169</v>
      </c>
      <c r="E56" s="16">
        <f>SUMIFS(DONNEES_N1_NOUVEAU[MONTANT],DONNEES_N1_NOUVEAU[TL2],A56,DONNEES_N1_NOUVEAU[MOIS],DONNÉES!$C$5,DONNEES_N1_NOUVEAU[SOCIETE],"TIRR")</f>
        <v>12458</v>
      </c>
      <c r="F56" s="17">
        <f t="shared" si="11"/>
        <v>4.8207553912417573</v>
      </c>
      <c r="G56" s="16">
        <f t="shared" si="12"/>
        <v>-783</v>
      </c>
      <c r="H56" s="17">
        <f t="shared" si="13"/>
        <v>-6.2851179964681325</v>
      </c>
    </row>
    <row r="57" spans="1:8" s="18" customFormat="1" x14ac:dyDescent="0.2">
      <c r="A57" s="13" t="s">
        <v>50</v>
      </c>
      <c r="B57" s="14" t="s">
        <v>2990</v>
      </c>
      <c r="C57" s="23">
        <f>SUMIFS('BAL N TIRR'!$G:$G,'BAL N TIRR'!$I:$I,$A57,'BAL N TIRR'!$J:$J,"T")</f>
        <v>758.22</v>
      </c>
      <c r="D57" s="17">
        <f t="shared" si="11"/>
        <v>0.2903644697930306</v>
      </c>
      <c r="E57" s="16">
        <f>SUMIFS(DONNEES_N1_NOUVEAU[MONTANT],DONNEES_N1_NOUVEAU[TL2],A57,DONNEES_N1_NOUVEAU[MOIS],DONNÉES!$C$5,DONNEES_N1_NOUVEAU[SOCIETE],"TIRR")</f>
        <v>0</v>
      </c>
      <c r="F57" s="17">
        <f t="shared" si="11"/>
        <v>0</v>
      </c>
      <c r="G57" s="16">
        <f t="shared" si="12"/>
        <v>758.22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TIRR'!$G:$G,'BAL N TIRR'!$I:$I,$A58,'BAL N TIRR'!$J:$J,"T")</f>
        <v>430.62</v>
      </c>
      <c r="D58" s="17">
        <f t="shared" si="11"/>
        <v>0.16490826934435235</v>
      </c>
      <c r="E58" s="16">
        <f>SUMIFS(DONNEES_N1_NOUVEAU[MONTANT],DONNEES_N1_NOUVEAU[TL2],A58,DONNEES_N1_NOUVEAU[MOIS],DONNÉES!$C$5,DONNEES_N1_NOUVEAU[SOCIETE],"TIRR")</f>
        <v>3467.3</v>
      </c>
      <c r="F58" s="17">
        <f t="shared" si="11"/>
        <v>1.3417085541862697</v>
      </c>
      <c r="G58" s="16">
        <f t="shared" si="12"/>
        <v>-3036.6800000000003</v>
      </c>
      <c r="H58" s="17">
        <f t="shared" si="13"/>
        <v>-87.580538170911083</v>
      </c>
    </row>
    <row r="59" spans="1:8" ht="13.5" thickBot="1" x14ac:dyDescent="0.25">
      <c r="A59" s="13"/>
      <c r="B59" s="63" t="s">
        <v>2994</v>
      </c>
      <c r="C59" s="49">
        <f>SUM(C51:C58)</f>
        <v>31146.44</v>
      </c>
      <c r="D59" s="50">
        <f t="shared" si="11"/>
        <v>11.927698473451558</v>
      </c>
      <c r="E59" s="51">
        <f>SUM(E51:E58)</f>
        <v>34258.22</v>
      </c>
      <c r="F59" s="50">
        <f t="shared" si="11"/>
        <v>13.25658201632254</v>
      </c>
      <c r="G59" s="51">
        <f>SUM(G51:G58)</f>
        <v>-3111.78</v>
      </c>
      <c r="H59" s="50">
        <f t="shared" si="13"/>
        <v>-9.0833090569212303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179360.06999999998</v>
      </c>
      <c r="D61" s="71">
        <f>(C61*100)/C$8</f>
        <v>68.686913597096947</v>
      </c>
      <c r="E61" s="72">
        <f>E59+E49+E42+E33+E26</f>
        <v>190884.37</v>
      </c>
      <c r="F61" s="71">
        <f>(E61*100)/E$8</f>
        <v>73.864733968637537</v>
      </c>
      <c r="G61" s="72">
        <f>G59+G49+G42+G33+G26</f>
        <v>-11524.299999999996</v>
      </c>
      <c r="H61" s="71">
        <f>IF(E61=0,0,G61/E61*100)</f>
        <v>-6.03731987066306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TIRR'!$G:$G,'BAL N TIRR'!$I:$I,$A63,'BAL N TIRR'!$J:$J,"T")</f>
        <v>5710.64</v>
      </c>
      <c r="D63" s="17">
        <f t="shared" ref="D63:F65" si="14">(C63*100)/C$8</f>
        <v>2.1869206243291819</v>
      </c>
      <c r="E63" s="16">
        <f>-SUMIFS(DONNEES_N1_NOUVEAU[MONTANT],DONNEES_N1_NOUVEAU[TL2],A63,DONNEES_N1_NOUVEAU[MOIS],DONNÉES!$C$5,DONNEES_N1_NOUVEAU[SOCIETE],"TIRR")</f>
        <v>3430.18</v>
      </c>
      <c r="F63" s="17">
        <f t="shared" si="14"/>
        <v>1.3273445760097651</v>
      </c>
      <c r="G63" s="16">
        <f>+C63-E63</f>
        <v>2280.4600000000005</v>
      </c>
      <c r="H63" s="17">
        <f>IF(E63=0,0,G63/E63*100)</f>
        <v>66.482225422572597</v>
      </c>
    </row>
    <row r="64" spans="1:8" s="18" customFormat="1" x14ac:dyDescent="0.2">
      <c r="A64" s="13" t="s">
        <v>2992</v>
      </c>
      <c r="B64" s="68" t="s">
        <v>65</v>
      </c>
      <c r="C64" s="23">
        <f>SUMIFS('BAL N TIRR'!$G:$G,'BAL N TIRR'!$I:$I,$A64,'BAL N TIRR'!$J:$J,"T")</f>
        <v>4037.5</v>
      </c>
      <c r="D64" s="17">
        <f t="shared" si="14"/>
        <v>1.5461825681060393</v>
      </c>
      <c r="E64" s="24">
        <f>SUMIFS(DONNEES_N1_NOUVEAU[MONTANT],DONNEES_N1_NOUVEAU[TL2],A64,DONNEES_N1_NOUVEAU[MOIS],DONNÉES!$C$5,DONNEES_N1_NOUVEAU[SOCIETE],"TIRR")</f>
        <v>3626.97</v>
      </c>
      <c r="F64" s="17">
        <f t="shared" si="14"/>
        <v>1.403494556218664</v>
      </c>
      <c r="G64" s="16">
        <f>+C64-E64</f>
        <v>410.5300000000002</v>
      </c>
      <c r="H64" s="17">
        <f>IF(E64=0,0,G64/E64*100)</f>
        <v>11.318814327110514</v>
      </c>
    </row>
    <row r="65" spans="1:9" s="59" customFormat="1" ht="13.5" x14ac:dyDescent="0.2">
      <c r="A65" s="13"/>
      <c r="B65" s="62" t="s">
        <v>53</v>
      </c>
      <c r="C65" s="67">
        <f>+C63-C64</f>
        <v>1673.1400000000003</v>
      </c>
      <c r="D65" s="56">
        <f t="shared" si="14"/>
        <v>0.64073805622314273</v>
      </c>
      <c r="E65" s="57">
        <f>+E63-E64</f>
        <v>-196.78999999999996</v>
      </c>
      <c r="F65" s="56">
        <f t="shared" si="14"/>
        <v>-7.6149980208899126E-2</v>
      </c>
      <c r="G65" s="58">
        <f>+G63-G64</f>
        <v>1869.9300000000003</v>
      </c>
      <c r="H65" s="56">
        <f>IF(E65=0,0,G65/E65*100)</f>
        <v>-950.21596625844836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TIRR'!$G:$G,'BAL N TIRR'!$I:$I,$A67,'BAL N TIRR'!$J:$J,"T")</f>
        <v>-3.34</v>
      </c>
      <c r="D67" s="17">
        <f>(C67*100)/C$8</f>
        <v>-1.2790711523155841E-3</v>
      </c>
      <c r="E67" s="16">
        <f>-SUMIFS(DONNEES_N1_NOUVEAU[MONTANT],DONNEES_N1_NOUVEAU[TL2],A67,DONNEES_N1_NOUVEAU[MOIS],DONNÉES!$C$5,DONNEES_N1_NOUVEAU[SOCIETE],"TIRR")</f>
        <v>-82.28</v>
      </c>
      <c r="F67" s="17">
        <f>(E67*100)/E$8</f>
        <v>-3.1839119729601205E-2</v>
      </c>
      <c r="G67" s="16">
        <f>+C67-E67</f>
        <v>78.94</v>
      </c>
      <c r="H67" s="17">
        <f>IF(E67=0,0,G67/E67*100)</f>
        <v>-95.940690325717057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16519.490000000031</v>
      </c>
      <c r="D69" s="10">
        <f>(C69*100)/C$8</f>
        <v>6.3262284760376666</v>
      </c>
      <c r="E69" s="9">
        <f>E18-E61+E65+E67</f>
        <v>3693.4000000000301</v>
      </c>
      <c r="F69" s="10">
        <f>(E69*100)/E$8</f>
        <v>1.4292003501374582</v>
      </c>
      <c r="G69" s="9">
        <f>G18-G61+G65+G67</f>
        <v>12826.08999999998</v>
      </c>
      <c r="H69" s="10">
        <f>IF(E69=0,0,G69/E69*100)</f>
        <v>347.2705366329094</v>
      </c>
    </row>
    <row r="70" spans="1:9" ht="13.5" thickBot="1" x14ac:dyDescent="0.25">
      <c r="A70" s="13"/>
      <c r="B70" s="63" t="s">
        <v>3034</v>
      </c>
      <c r="C70" s="49">
        <f>+C69-C67+C57+C56</f>
        <v>28956.050000000032</v>
      </c>
      <c r="D70" s="50">
        <f>(C70*100)/C$8</f>
        <v>11.088876718565183</v>
      </c>
      <c r="E70" s="49">
        <f>+E69-E67+E57+E56</f>
        <v>16233.680000000029</v>
      </c>
      <c r="F70" s="50">
        <f>(E70*100)/E$8</f>
        <v>6.2817948611088168</v>
      </c>
      <c r="G70" s="49">
        <f>+G69-G67+G57+G56</f>
        <v>12722.369999999979</v>
      </c>
      <c r="H70" s="50">
        <f>IF(E70=0,0,G70/E70*100)</f>
        <v>78.370215502584486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TIRR'!$G:$G,'BAL N TIRR'!$I:$I,$A72,'BAL N TIRR'!$J:$J,"T")</f>
        <v>-18.46</v>
      </c>
      <c r="D72" s="17">
        <f>(C72*100)/C$8</f>
        <v>-7.0693573268699652E-3</v>
      </c>
      <c r="E72" s="16">
        <f>-SUMIFS(DONNEES_N1_NOUVEAU[MONTANT],DONNEES_N1_NOUVEAU[TL2],A72,DONNEES_N1_NOUVEAU[MOIS],DONNÉES!$C$5,DONNEES_N1_NOUVEAU[SOCIETE],"TIRR")</f>
        <v>0</v>
      </c>
      <c r="F72" s="17">
        <f>(E72*100)/E$8</f>
        <v>0</v>
      </c>
      <c r="G72" s="16">
        <f>+C72-E72</f>
        <v>-18.46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TIRR'!$G:$G,'BAL N TIRR'!$I:$I,$A74,'BAL N TIRR'!$J:$J,"T")</f>
        <v>18111.330000000002</v>
      </c>
      <c r="D74" s="10">
        <f>(C74*100)/C$8</f>
        <v>6.9358322554095242</v>
      </c>
      <c r="E74" s="9">
        <f>SUMIFS(DONNEES_N1_NOUVEAU[MONTANT],DONNEES_N1_NOUVEAU[TL2],A74,DONNEES_N1_NOUVEAU[MOIS],DONNÉES!$C$5,DONNEES_N1_NOUVEAU[SOCIETE],"TIRR")</f>
        <v>18958.330000000002</v>
      </c>
      <c r="F74" s="10">
        <f>(E74*100)/E$8</f>
        <v>7.3361271116102396</v>
      </c>
      <c r="G74" s="9">
        <f>+C74-E74</f>
        <v>-847</v>
      </c>
      <c r="H74" s="10">
        <f>IF(E74=0,0,G74/E74*100)</f>
        <v>-4.4676930932207632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-1610.2999999999711</v>
      </c>
      <c r="D76" s="71">
        <f>(C76*100)/C$8</f>
        <v>-0.61667313669872703</v>
      </c>
      <c r="E76" s="72">
        <f>E69-E74+E72</f>
        <v>-15264.929999999971</v>
      </c>
      <c r="F76" s="71">
        <f>(E76*100)/E$8</f>
        <v>-5.9069267614727812</v>
      </c>
      <c r="G76" s="72">
        <f>G69-G74+G72</f>
        <v>13654.629999999981</v>
      </c>
      <c r="H76" s="71">
        <f>IF(E76=0,0,G76/E76*100)</f>
        <v>-89.450983397893125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VLOOKUP(PARAMETRES!$C$2,TRANSTIRR[],2,FALSE)</f>
        <v>16773</v>
      </c>
      <c r="D78" s="324"/>
      <c r="E78" s="323">
        <f>VLOOKUP(PARAMETRES!$C$2,TRANSTIRR[],3,FALSE)</f>
        <v>16102</v>
      </c>
      <c r="F78" s="324"/>
      <c r="G78" s="325">
        <f>C78-E78</f>
        <v>671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VLOOKUP(PARAMETRES!$C$2,PMTIRR[],2,FALSE)</f>
        <v>15.91</v>
      </c>
      <c r="D80" s="316"/>
      <c r="E80" s="315">
        <f>VLOOKUP(PARAMETRES!$C$2,PMTIRR[],3,FALSE)</f>
        <v>16.260000000000002</v>
      </c>
      <c r="F80" s="316"/>
      <c r="G80" s="317">
        <f>(C80-E80)/E80</f>
        <v>-2.1525215252152608E-2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5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BEEF-29A6-4659-969C-7685942B26E9}">
  <sheetPr>
    <tabColor rgb="FFFFFF00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3E1AA-1143-4CC5-8712-7793D8C79C4C}">
  <sheetPr>
    <tabColor rgb="FFFFFF00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6853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3003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VR7'!$G:$G,'BAL N VR7'!$I:$I,$A8,'BAL N VR7'!$J:$J,"T")</f>
        <v>0</v>
      </c>
      <c r="D8" s="71" t="e">
        <f>(C8*100)/C$8</f>
        <v>#DIV/0!</v>
      </c>
      <c r="E8" s="72">
        <f>-SUMIFS(DONNEES_N1_NOUVEAU[MONTANT],DONNEES_N1_NOUVEAU[TL2],A8,DONNEES_N1_NOUVEAU[MOIS],DONNÉES!$C$5,DONNEES_N1_NOUVEAU[SOCIETE],"VR7")</f>
        <v>382463.66</v>
      </c>
      <c r="F8" s="71">
        <f>(E8*100)/E$8</f>
        <v>100</v>
      </c>
      <c r="G8" s="72">
        <f>+C8-E8</f>
        <v>-382463.66</v>
      </c>
      <c r="H8" s="71">
        <f>IF(E8=0,0,G8/E8*100)</f>
        <v>-100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VR7'!$G:$G,'BAL N VR7'!$I:$I,$A10,'BAL N VR7'!$J:$J,"T")</f>
        <v>0</v>
      </c>
      <c r="D10" s="17" t="e">
        <f t="shared" ref="D10:F16" si="0">(C10*100)/C$8</f>
        <v>#DIV/0!</v>
      </c>
      <c r="E10" s="16">
        <f>SUMIFS(DONNEES_N1_NOUVEAU[MONTANT],DONNEES_N1_NOUVEAU[TL2],A10,DONNEES_N1_NOUVEAU[MOIS],DONNÉES!$C$5,DONNEES_N1_NOUVEAU[SOCIETE],"VR7")</f>
        <v>78619.38</v>
      </c>
      <c r="F10" s="17">
        <f t="shared" si="0"/>
        <v>20.556039232590098</v>
      </c>
      <c r="G10" s="16">
        <f>+C10-E10</f>
        <v>-78619.38</v>
      </c>
      <c r="H10" s="17">
        <f t="shared" ref="H10:H16" si="1">IF(E10=0,0,G10/E10*100)</f>
        <v>-100</v>
      </c>
    </row>
    <row r="11" spans="1:8" s="18" customFormat="1" x14ac:dyDescent="0.2">
      <c r="A11" s="13" t="s">
        <v>124</v>
      </c>
      <c r="B11" s="14" t="s">
        <v>4</v>
      </c>
      <c r="C11" s="23">
        <f>SUMIFS('BAL N VR7'!$G:$G,'BAL N VR7'!$I:$I,$A11,'BAL N VR7'!$J:$J,"T")</f>
        <v>0</v>
      </c>
      <c r="D11" s="17" t="e">
        <f t="shared" si="0"/>
        <v>#DIV/0!</v>
      </c>
      <c r="E11" s="16">
        <f>SUMIFS(DONNEES_N1_NOUVEAU[MONTANT],DONNEES_N1_NOUVEAU[TL2],A11,DONNEES_N1_NOUVEAU[MOIS],DONNÉES!$C$5,DONNEES_N1_NOUVEAU[SOCIETE],"VR7")</f>
        <v>1705.16</v>
      </c>
      <c r="F11" s="17">
        <f t="shared" si="0"/>
        <v>0.4458358213692773</v>
      </c>
      <c r="G11" s="16">
        <f>+C11-E11</f>
        <v>-1705.16</v>
      </c>
      <c r="H11" s="17">
        <f t="shared" si="1"/>
        <v>-100</v>
      </c>
    </row>
    <row r="12" spans="1:8" s="18" customFormat="1" x14ac:dyDescent="0.2">
      <c r="A12" s="13" t="s">
        <v>125</v>
      </c>
      <c r="B12" s="14" t="s">
        <v>2</v>
      </c>
      <c r="C12" s="23">
        <f>SUMIFS('BAL N VR7'!$G:$G,'BAL N VR7'!$I:$I,$A12,'BAL N VR7'!$J:$J,"T")</f>
        <v>0</v>
      </c>
      <c r="D12" s="17" t="e">
        <f t="shared" si="0"/>
        <v>#DIV/0!</v>
      </c>
      <c r="E12" s="16">
        <f>SUMIFS(DONNEES_N1_NOUVEAU[MONTANT],DONNEES_N1_NOUVEAU[TL2],A12,DONNEES_N1_NOUVEAU[MOIS],DONNÉES!$C$5,DONNEES_N1_NOUVEAU[SOCIETE],"VR7")</f>
        <v>1608.8</v>
      </c>
      <c r="F12" s="17">
        <f t="shared" si="0"/>
        <v>0.42064127085956354</v>
      </c>
      <c r="G12" s="16">
        <f>+C12-E12</f>
        <v>-1608.8</v>
      </c>
      <c r="H12" s="17">
        <f t="shared" si="1"/>
        <v>-100</v>
      </c>
    </row>
    <row r="13" spans="1:8" s="59" customFormat="1" ht="13.5" x14ac:dyDescent="0.2">
      <c r="A13" s="60"/>
      <c r="B13" s="62" t="s">
        <v>6</v>
      </c>
      <c r="C13" s="55">
        <f>SUM(C10:C12)</f>
        <v>0</v>
      </c>
      <c r="D13" s="56" t="e">
        <f t="shared" si="0"/>
        <v>#DIV/0!</v>
      </c>
      <c r="E13" s="55">
        <f>SUM(E10:E12)</f>
        <v>81933.340000000011</v>
      </c>
      <c r="F13" s="56">
        <f t="shared" si="0"/>
        <v>21.422516324818943</v>
      </c>
      <c r="G13" s="55">
        <f>SUM(G10:G12)</f>
        <v>-81933.340000000011</v>
      </c>
      <c r="H13" s="56">
        <f t="shared" si="1"/>
        <v>-100</v>
      </c>
    </row>
    <row r="14" spans="1:8" s="18" customFormat="1" x14ac:dyDescent="0.2">
      <c r="A14" s="13" t="s">
        <v>126</v>
      </c>
      <c r="B14" s="14" t="s">
        <v>8</v>
      </c>
      <c r="C14" s="23">
        <f>SUMIFS('BAL N VR7'!$G:$G,'BAL N VR7'!$I:$I,$A14,'BAL N VR7'!$J:$J,"T")</f>
        <v>0</v>
      </c>
      <c r="D14" s="17" t="e">
        <f t="shared" si="0"/>
        <v>#DIV/0!</v>
      </c>
      <c r="E14" s="16">
        <f>SUMIFS(DONNEES_N1_NOUVEAU[MONTANT],DONNEES_N1_NOUVEAU[TL2],A14,DONNEES_N1_NOUVEAU[MOIS],DONNÉES!$C$5,DONNEES_N1_NOUVEAU[SOCIETE],"VR7")</f>
        <v>8425.2199999999993</v>
      </c>
      <c r="F14" s="17">
        <f t="shared" si="0"/>
        <v>2.2028811835351885</v>
      </c>
      <c r="G14" s="16">
        <f>+C14-E14</f>
        <v>-8425.2199999999993</v>
      </c>
      <c r="H14" s="17">
        <f t="shared" si="1"/>
        <v>-100</v>
      </c>
    </row>
    <row r="15" spans="1:8" s="18" customFormat="1" x14ac:dyDescent="0.2">
      <c r="A15" s="13" t="s">
        <v>2964</v>
      </c>
      <c r="B15" s="14" t="s">
        <v>2965</v>
      </c>
      <c r="C15" s="23">
        <f>SUMIFS('BAL N VR7'!$G:$G,'BAL N VR7'!$I:$I,$A15,'BAL N VR7'!$J:$J,"T")</f>
        <v>0</v>
      </c>
      <c r="D15" s="17" t="e">
        <f t="shared" si="0"/>
        <v>#DIV/0!</v>
      </c>
      <c r="E15" s="16">
        <f>SUMIFS(DONNEES_N1_NOUVEAU[MONTANT],DONNEES_N1_NOUVEAU[TL2],A15,DONNEES_N1_NOUVEAU[MOIS],DONNÉES!$C$5,DONNEES_N1_NOUVEAU[SOCIETE],"VR7")</f>
        <v>317.51</v>
      </c>
      <c r="F15" s="17">
        <f t="shared" si="0"/>
        <v>8.3017037487953763E-2</v>
      </c>
      <c r="G15" s="16">
        <f>+C15-E15</f>
        <v>-317.51</v>
      </c>
      <c r="H15" s="17">
        <f t="shared" si="1"/>
        <v>-100</v>
      </c>
    </row>
    <row r="16" spans="1:8" ht="13.5" thickBot="1" x14ac:dyDescent="0.25">
      <c r="A16" s="7"/>
      <c r="B16" s="63" t="s">
        <v>10</v>
      </c>
      <c r="C16" s="49">
        <f>+C13+SUM(C14:C15)</f>
        <v>0</v>
      </c>
      <c r="D16" s="50" t="e">
        <f t="shared" si="0"/>
        <v>#DIV/0!</v>
      </c>
      <c r="E16" s="49">
        <f>+E13+SUM(E14:E15)</f>
        <v>90676.07</v>
      </c>
      <c r="F16" s="50">
        <f t="shared" si="0"/>
        <v>23.708414545842082</v>
      </c>
      <c r="G16" s="49">
        <f>+G13+SUM(G14:G15)</f>
        <v>-90676.07</v>
      </c>
      <c r="H16" s="50">
        <f t="shared" si="1"/>
        <v>-100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0</v>
      </c>
      <c r="D18" s="71" t="e">
        <f>(C18*100)/C$8</f>
        <v>#DIV/0!</v>
      </c>
      <c r="E18" s="70">
        <f>E8-E16</f>
        <v>291787.58999999997</v>
      </c>
      <c r="F18" s="71">
        <f>(E18*100)/E$8</f>
        <v>76.291585454157911</v>
      </c>
      <c r="G18" s="70">
        <f>G8-G16</f>
        <v>-291787.58999999997</v>
      </c>
      <c r="H18" s="71">
        <f>IF(E18=0,0,G18/E18*100)</f>
        <v>-100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VR7'!$G:$G,'BAL N VR7'!$I:$I,$A20,'BAL N VR7'!$J:$J,"T")</f>
        <v>0</v>
      </c>
      <c r="D20" s="17" t="e">
        <f t="shared" ref="D20:F26" si="2">(C20*100)/C$8</f>
        <v>#DIV/0!</v>
      </c>
      <c r="E20" s="16">
        <f>SUMIFS(DONNEES_N1_NOUVEAU[MONTANT],DONNEES_N1_NOUVEAU[TL2],A20,DONNEES_N1_NOUVEAU[MOIS],DONNÉES!$C$5,DONNEES_N1_NOUVEAU[SOCIETE],"VR7")</f>
        <v>61266.04</v>
      </c>
      <c r="F20" s="17">
        <f t="shared" si="2"/>
        <v>16.018787248963733</v>
      </c>
      <c r="G20" s="16">
        <f t="shared" ref="G20:G25" si="3">+C20-E20</f>
        <v>-61266.04</v>
      </c>
      <c r="H20" s="17">
        <f t="shared" ref="H20:H26" si="4">IF(E20=0,0,G20/E20*100)</f>
        <v>-100</v>
      </c>
    </row>
    <row r="21" spans="1:8" s="18" customFormat="1" x14ac:dyDescent="0.2">
      <c r="A21" s="13">
        <v>9</v>
      </c>
      <c r="B21" s="14" t="s">
        <v>2968</v>
      </c>
      <c r="C21" s="23">
        <f>SUMIFS('BAL N VR7'!$G:$G,'BAL N VR7'!$I:$I,$A21,'BAL N VR7'!$J:$J,"T")</f>
        <v>0</v>
      </c>
      <c r="D21" s="17" t="e">
        <f t="shared" si="2"/>
        <v>#DIV/0!</v>
      </c>
      <c r="E21" s="16">
        <f>SUMIFS(DONNEES_N1_NOUVEAU[MONTANT],DONNEES_N1_NOUVEAU[TL2],A21,DONNEES_N1_NOUVEAU[MOIS],DONNÉES!$C$5,DONNEES_N1_NOUVEAU[SOCIETE],"VR7")</f>
        <v>8219.2900000000009</v>
      </c>
      <c r="F21" s="17">
        <f t="shared" si="2"/>
        <v>2.149038159599268</v>
      </c>
      <c r="G21" s="16">
        <f t="shared" si="3"/>
        <v>-8219.2900000000009</v>
      </c>
      <c r="H21" s="17">
        <f t="shared" si="4"/>
        <v>-100</v>
      </c>
    </row>
    <row r="22" spans="1:8" s="18" customFormat="1" x14ac:dyDescent="0.2">
      <c r="A22" s="13" t="s">
        <v>12</v>
      </c>
      <c r="B22" s="14" t="s">
        <v>14</v>
      </c>
      <c r="C22" s="23">
        <f>SUMIFS('BAL N VR7'!$G:$G,'BAL N VR7'!$I:$I,$A22,'BAL N VR7'!$J:$J,"T")</f>
        <v>0</v>
      </c>
      <c r="D22" s="17" t="e">
        <f t="shared" si="2"/>
        <v>#DIV/0!</v>
      </c>
      <c r="E22" s="16">
        <f>SUMIFS(DONNEES_N1_NOUVEAU[MONTANT],DONNEES_N1_NOUVEAU[TL2],A22,DONNEES_N1_NOUVEAU[MOIS],DONNÉES!$C$5,DONNEES_N1_NOUVEAU[SOCIETE],"VR7")</f>
        <v>27377.73</v>
      </c>
      <c r="F22" s="17">
        <f t="shared" si="2"/>
        <v>7.1582565517466419</v>
      </c>
      <c r="G22" s="16">
        <f t="shared" si="3"/>
        <v>-27377.73</v>
      </c>
      <c r="H22" s="17">
        <f t="shared" si="4"/>
        <v>-100</v>
      </c>
    </row>
    <row r="23" spans="1:8" s="18" customFormat="1" x14ac:dyDescent="0.2">
      <c r="A23" s="13" t="s">
        <v>13</v>
      </c>
      <c r="B23" s="14" t="s">
        <v>2966</v>
      </c>
      <c r="C23" s="23">
        <f>SUMIFS('BAL N VR7'!$G:$G,'BAL N VR7'!$I:$I,$A23,'BAL N VR7'!$J:$J,"T")</f>
        <v>0</v>
      </c>
      <c r="D23" s="17" t="e">
        <f t="shared" si="2"/>
        <v>#DIV/0!</v>
      </c>
      <c r="E23" s="16">
        <f>SUMIFS(DONNEES_N1_NOUVEAU[MONTANT],DONNEES_N1_NOUVEAU[TL2],A23,DONNEES_N1_NOUVEAU[MOIS],DONNÉES!$C$5,DONNEES_N1_NOUVEAU[SOCIETE],"VR7")</f>
        <v>5340.29</v>
      </c>
      <c r="F23" s="17">
        <f t="shared" si="2"/>
        <v>1.3962869047480224</v>
      </c>
      <c r="G23" s="16">
        <f t="shared" si="3"/>
        <v>-5340.29</v>
      </c>
      <c r="H23" s="17">
        <f t="shared" si="4"/>
        <v>-100</v>
      </c>
    </row>
    <row r="24" spans="1:8" s="18" customFormat="1" x14ac:dyDescent="0.2">
      <c r="A24" s="13" t="s">
        <v>15</v>
      </c>
      <c r="B24" s="14" t="s">
        <v>2969</v>
      </c>
      <c r="C24" s="23">
        <f>SUMIFS('BAL N VR7'!$G:$G,'BAL N VR7'!$I:$I,$A24,'BAL N VR7'!$J:$J,"T")</f>
        <v>0</v>
      </c>
      <c r="D24" s="17" t="e">
        <f t="shared" si="2"/>
        <v>#DIV/0!</v>
      </c>
      <c r="E24" s="16">
        <f>SUMIFS(DONNEES_N1_NOUVEAU[MONTANT],DONNEES_N1_NOUVEAU[TL2],A24,DONNEES_N1_NOUVEAU[MOIS],DONNÉES!$C$5,DONNEES_N1_NOUVEAU[SOCIETE],"VR7")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VR7'!$G:$G,'BAL N VR7'!$I:$I,$A25,'BAL N VR7'!$J:$J,"T")</f>
        <v>0</v>
      </c>
      <c r="D25" s="17" t="e">
        <f t="shared" si="2"/>
        <v>#DIV/0!</v>
      </c>
      <c r="E25" s="16">
        <f>SUMIFS(DONNEES_N1_NOUVEAU[MONTANT],DONNEES_N1_NOUVEAU[TL2],A25,DONNEES_N1_NOUVEAU[MOIS],DONNÉES!$C$5,DONNEES_N1_NOUVEAU[SOCIETE],"VR7")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0</v>
      </c>
      <c r="D26" s="50" t="e">
        <f t="shared" si="2"/>
        <v>#DIV/0!</v>
      </c>
      <c r="E26" s="51">
        <f>SUM(E20:E25)</f>
        <v>102203.34999999999</v>
      </c>
      <c r="F26" s="50">
        <f t="shared" si="2"/>
        <v>26.722368865057664</v>
      </c>
      <c r="G26" s="51">
        <f>SUM(G20:G25)</f>
        <v>-102203.34999999999</v>
      </c>
      <c r="H26" s="50">
        <f t="shared" si="4"/>
        <v>-100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VR7'!$G:$G,'BAL N VR7'!$I:$I,$A28,'BAL N VR7'!$J:$J,"T")</f>
        <v>0</v>
      </c>
      <c r="D28" s="17" t="e">
        <f t="shared" ref="D28:F33" si="5">(C28*100)/C$8</f>
        <v>#DIV/0!</v>
      </c>
      <c r="E28" s="16">
        <f>SUMIFS(DONNEES_N1_NOUVEAU[MONTANT],DONNEES_N1_NOUVEAU[TL2],A28,DONNEES_N1_NOUVEAU[MOIS],DONNÉES!$C$5,DONNEES_N1_NOUVEAU[SOCIETE],"VR7")</f>
        <v>281.25</v>
      </c>
      <c r="F28" s="17">
        <f t="shared" si="5"/>
        <v>7.3536398203165237E-2</v>
      </c>
      <c r="G28" s="16">
        <f>+C28-E28</f>
        <v>-281.25</v>
      </c>
      <c r="H28" s="17">
        <f t="shared" ref="H28:H33" si="6">IF(E28=0,0,G28/E28*100)</f>
        <v>-100</v>
      </c>
    </row>
    <row r="29" spans="1:8" s="18" customFormat="1" x14ac:dyDescent="0.2">
      <c r="A29" s="13" t="s">
        <v>20</v>
      </c>
      <c r="B29" s="14" t="s">
        <v>2972</v>
      </c>
      <c r="C29" s="23">
        <f>SUMIFS('BAL N VR7'!$G:$G,'BAL N VR7'!$I:$I,$A29,'BAL N VR7'!$J:$J,"T")</f>
        <v>0</v>
      </c>
      <c r="D29" s="17" t="e">
        <f t="shared" si="5"/>
        <v>#DIV/0!</v>
      </c>
      <c r="E29" s="16">
        <f>SUMIFS(DONNEES_N1_NOUVEAU[MONTANT],DONNEES_N1_NOUVEAU[TL2],A29,DONNEES_N1_NOUVEAU[MOIS],DONNÉES!$C$5,DONNEES_N1_NOUVEAU[SOCIETE],"VR7")</f>
        <v>81.47</v>
      </c>
      <c r="F29" s="17">
        <f t="shared" si="5"/>
        <v>2.1301370174619989E-2</v>
      </c>
      <c r="G29" s="16">
        <f>+C29-E29</f>
        <v>-81.47</v>
      </c>
      <c r="H29" s="17">
        <f t="shared" si="6"/>
        <v>-100</v>
      </c>
    </row>
    <row r="30" spans="1:8" s="18" customFormat="1" x14ac:dyDescent="0.2">
      <c r="A30" s="13" t="s">
        <v>21</v>
      </c>
      <c r="B30" s="14" t="s">
        <v>2973</v>
      </c>
      <c r="C30" s="23">
        <f>SUMIFS('BAL N VR7'!$G:$G,'BAL N VR7'!$I:$I,$A30,'BAL N VR7'!$J:$J,"T")</f>
        <v>0</v>
      </c>
      <c r="D30" s="17" t="e">
        <f t="shared" si="5"/>
        <v>#DIV/0!</v>
      </c>
      <c r="E30" s="16">
        <f>SUMIFS(DONNEES_N1_NOUVEAU[MONTANT],DONNEES_N1_NOUVEAU[TL2],A30,DONNEES_N1_NOUVEAU[MOIS],DONNÉES!$C$5,DONNEES_N1_NOUVEAU[SOCIETE],"VR7")</f>
        <v>2864.41</v>
      </c>
      <c r="F30" s="17">
        <f t="shared" si="5"/>
        <v>0.7489365133409015</v>
      </c>
      <c r="G30" s="16">
        <f>+C30-E30</f>
        <v>-2864.41</v>
      </c>
      <c r="H30" s="17">
        <f t="shared" si="6"/>
        <v>-100</v>
      </c>
    </row>
    <row r="31" spans="1:8" s="18" customFormat="1" x14ac:dyDescent="0.2">
      <c r="A31" s="13" t="s">
        <v>23</v>
      </c>
      <c r="B31" s="14" t="s">
        <v>2974</v>
      </c>
      <c r="C31" s="23">
        <f>SUMIFS('BAL N VR7'!$G:$G,'BAL N VR7'!$I:$I,$A31,'BAL N VR7'!$J:$J,"T")</f>
        <v>0</v>
      </c>
      <c r="D31" s="17" t="e">
        <f t="shared" si="5"/>
        <v>#DIV/0!</v>
      </c>
      <c r="E31" s="16">
        <f>SUMIFS(DONNEES_N1_NOUVEAU[MONTANT],DONNEES_N1_NOUVEAU[TL2],A31,DONNEES_N1_NOUVEAU[MOIS],DONNÉES!$C$5,DONNEES_N1_NOUVEAU[SOCIETE],"VR7")</f>
        <v>1074.6400000000001</v>
      </c>
      <c r="F31" s="17">
        <f t="shared" si="5"/>
        <v>0.28097832876462048</v>
      </c>
      <c r="G31" s="16">
        <f>+C31-E31</f>
        <v>-1074.6400000000001</v>
      </c>
      <c r="H31" s="17">
        <f t="shared" si="6"/>
        <v>-100</v>
      </c>
    </row>
    <row r="32" spans="1:8" s="18" customFormat="1" x14ac:dyDescent="0.2">
      <c r="A32" s="13" t="s">
        <v>25</v>
      </c>
      <c r="B32" s="14" t="s">
        <v>2975</v>
      </c>
      <c r="C32" s="23">
        <f>SUMIFS('BAL N VR7'!$G:$G,'BAL N VR7'!$I:$I,$A32,'BAL N VR7'!$J:$J,"T")</f>
        <v>0</v>
      </c>
      <c r="D32" s="17" t="e">
        <f t="shared" si="5"/>
        <v>#DIV/0!</v>
      </c>
      <c r="E32" s="16">
        <f>SUMIFS(DONNEES_N1_NOUVEAU[MONTANT],DONNEES_N1_NOUVEAU[TL2],A32,DONNEES_N1_NOUVEAU[MOIS],DONNÉES!$C$5,DONNEES_N1_NOUVEAU[SOCIETE],"VR7")</f>
        <v>7886.51</v>
      </c>
      <c r="F32" s="17">
        <f t="shared" si="5"/>
        <v>2.0620285859315368</v>
      </c>
      <c r="G32" s="16">
        <f>+C32-E32</f>
        <v>-7886.51</v>
      </c>
      <c r="H32" s="17">
        <f t="shared" si="6"/>
        <v>-100</v>
      </c>
    </row>
    <row r="33" spans="1:8" ht="13.5" thickBot="1" x14ac:dyDescent="0.25">
      <c r="A33" s="7"/>
      <c r="B33" s="63" t="s">
        <v>2976</v>
      </c>
      <c r="C33" s="49">
        <f>SUM(C28:C32)</f>
        <v>0</v>
      </c>
      <c r="D33" s="50" t="e">
        <f t="shared" si="5"/>
        <v>#DIV/0!</v>
      </c>
      <c r="E33" s="51">
        <f>SUM(E28:E32)</f>
        <v>12188.28</v>
      </c>
      <c r="F33" s="50">
        <f t="shared" si="5"/>
        <v>3.1867811964148438</v>
      </c>
      <c r="G33" s="51">
        <f>SUM(G28:G32)</f>
        <v>-12188.28</v>
      </c>
      <c r="H33" s="50">
        <f t="shared" si="6"/>
        <v>-100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VR7'!$G:$G,'BAL N VR7'!$I:$I,$A35,'BAL N VR7'!$J:$J,"T")</f>
        <v>0</v>
      </c>
      <c r="D35" s="17" t="e">
        <f t="shared" ref="D35:F42" si="7">(C35*100)/C$8</f>
        <v>#DIV/0!</v>
      </c>
      <c r="E35" s="16">
        <f>SUMIFS(DONNEES_N1_NOUVEAU[MONTANT],DONNEES_N1_NOUVEAU[TL2],A35,DONNEES_N1_NOUVEAU[MOIS],DONNÉES!$C$5,DONNEES_N1_NOUVEAU[SOCIETE],"VR7")</f>
        <v>3907.89</v>
      </c>
      <c r="F35" s="17">
        <f t="shared" si="7"/>
        <v>1.0217676628414842</v>
      </c>
      <c r="G35" s="16">
        <f t="shared" ref="G35:G41" si="8">+C35-E35</f>
        <v>-3907.89</v>
      </c>
      <c r="H35" s="17">
        <f t="shared" ref="H35:H42" si="9">IF(E35=0,0,G35/E35*100)</f>
        <v>-100</v>
      </c>
    </row>
    <row r="36" spans="1:8" s="18" customFormat="1" x14ac:dyDescent="0.2">
      <c r="A36" s="13" t="s">
        <v>30</v>
      </c>
      <c r="B36" s="14" t="s">
        <v>145</v>
      </c>
      <c r="C36" s="23">
        <f>SUMIFS('BAL N VR7'!$G:$G,'BAL N VR7'!$I:$I,$A36,'BAL N VR7'!$J:$J,"T")</f>
        <v>0</v>
      </c>
      <c r="D36" s="17" t="e">
        <f t="shared" si="7"/>
        <v>#DIV/0!</v>
      </c>
      <c r="E36" s="16">
        <f>SUMIFS(DONNEES_N1_NOUVEAU[MONTANT],DONNEES_N1_NOUVEAU[TL2],A36,DONNEES_N1_NOUVEAU[MOIS],DONNÉES!$C$5,DONNEES_N1_NOUVEAU[SOCIETE],"VR7")</f>
        <v>15282.82</v>
      </c>
      <c r="F36" s="17">
        <f t="shared" si="7"/>
        <v>3.9958881322215034</v>
      </c>
      <c r="G36" s="16">
        <f t="shared" si="8"/>
        <v>-15282.82</v>
      </c>
      <c r="H36" s="17">
        <f t="shared" si="9"/>
        <v>-100</v>
      </c>
    </row>
    <row r="37" spans="1:8" s="18" customFormat="1" x14ac:dyDescent="0.2">
      <c r="A37" s="13" t="s">
        <v>32</v>
      </c>
      <c r="B37" s="14" t="s">
        <v>19</v>
      </c>
      <c r="C37" s="23">
        <f>SUMIFS('BAL N VR7'!$G:$G,'BAL N VR7'!$I:$I,$A37,'BAL N VR7'!$J:$J,"T")</f>
        <v>0</v>
      </c>
      <c r="D37" s="17" t="e">
        <f t="shared" si="7"/>
        <v>#DIV/0!</v>
      </c>
      <c r="E37" s="16">
        <f>SUMIFS(DONNEES_N1_NOUVEAU[MONTANT],DONNEES_N1_NOUVEAU[TL2],A37,DONNEES_N1_NOUVEAU[MOIS],DONNÉES!$C$5,DONNEES_N1_NOUVEAU[SOCIETE],"VR7")</f>
        <v>6491.47</v>
      </c>
      <c r="F37" s="17">
        <f t="shared" si="7"/>
        <v>1.6972775923338705</v>
      </c>
      <c r="G37" s="16">
        <f t="shared" si="8"/>
        <v>-6491.47</v>
      </c>
      <c r="H37" s="17">
        <f t="shared" si="9"/>
        <v>-100</v>
      </c>
    </row>
    <row r="38" spans="1:8" s="18" customFormat="1" x14ac:dyDescent="0.2">
      <c r="A38" s="13" t="s">
        <v>34</v>
      </c>
      <c r="B38" s="14" t="s">
        <v>28</v>
      </c>
      <c r="C38" s="23">
        <f>SUMIFS('BAL N VR7'!$G:$G,'BAL N VR7'!$I:$I,$A38,'BAL N VR7'!$J:$J,"T")</f>
        <v>0</v>
      </c>
      <c r="D38" s="17" t="e">
        <f t="shared" si="7"/>
        <v>#DIV/0!</v>
      </c>
      <c r="E38" s="16">
        <f>SUMIFS(DONNEES_N1_NOUVEAU[MONTANT],DONNEES_N1_NOUVEAU[TL2],A38,DONNEES_N1_NOUVEAU[MOIS],DONNÉES!$C$5,DONNEES_N1_NOUVEAU[SOCIETE],"VR7")</f>
        <v>11356.53</v>
      </c>
      <c r="F38" s="17">
        <f t="shared" si="7"/>
        <v>2.9693095547953501</v>
      </c>
      <c r="G38" s="16">
        <f t="shared" si="8"/>
        <v>-11356.53</v>
      </c>
      <c r="H38" s="17">
        <f t="shared" si="9"/>
        <v>-100</v>
      </c>
    </row>
    <row r="39" spans="1:8" s="18" customFormat="1" x14ac:dyDescent="0.2">
      <c r="A39" s="13" t="s">
        <v>2978</v>
      </c>
      <c r="B39" s="14" t="s">
        <v>2980</v>
      </c>
      <c r="C39" s="23">
        <f>SUMIFS('BAL N VR7'!$G:$G,'BAL N VR7'!$I:$I,$A39,'BAL N VR7'!$J:$J,"T")</f>
        <v>0</v>
      </c>
      <c r="D39" s="17" t="e">
        <f t="shared" si="7"/>
        <v>#DIV/0!</v>
      </c>
      <c r="E39" s="16">
        <f>SUMIFS(DONNEES_N1_NOUVEAU[MONTANT],DONNEES_N1_NOUVEAU[TL2],A39,DONNEES_N1_NOUVEAU[MOIS],DONNÉES!$C$5,DONNEES_N1_NOUVEAU[SOCIETE],"VR7")</f>
        <v>2187.75</v>
      </c>
      <c r="F39" s="17">
        <f t="shared" si="7"/>
        <v>0.57201512948968802</v>
      </c>
      <c r="G39" s="16">
        <f t="shared" si="8"/>
        <v>-2187.75</v>
      </c>
      <c r="H39" s="17">
        <f t="shared" si="9"/>
        <v>-100</v>
      </c>
    </row>
    <row r="40" spans="1:8" s="18" customFormat="1" x14ac:dyDescent="0.2">
      <c r="A40" s="13" t="s">
        <v>2979</v>
      </c>
      <c r="B40" s="14" t="s">
        <v>2981</v>
      </c>
      <c r="C40" s="23">
        <f>SUMIFS('BAL N VR7'!$G:$G,'BAL N VR7'!$I:$I,$A40,'BAL N VR7'!$J:$J,"T")</f>
        <v>0</v>
      </c>
      <c r="D40" s="17" t="e">
        <f t="shared" si="7"/>
        <v>#DIV/0!</v>
      </c>
      <c r="E40" s="16">
        <f>SUMIFS(DONNEES_N1_NOUVEAU[MONTANT],DONNEES_N1_NOUVEAU[TL2],A40,DONNEES_N1_NOUVEAU[MOIS],DONNÉES!$C$5,DONNEES_N1_NOUVEAU[SOCIETE],"VR7")</f>
        <v>0</v>
      </c>
      <c r="F40" s="17">
        <f t="shared" si="7"/>
        <v>0</v>
      </c>
      <c r="G40" s="16">
        <f t="shared" si="8"/>
        <v>0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VR7'!$G:$G,'BAL N VR7'!$I:$I,$A41,'BAL N VR7'!$J:$J,"T")</f>
        <v>0</v>
      </c>
      <c r="D41" s="17" t="e">
        <f t="shared" si="7"/>
        <v>#DIV/0!</v>
      </c>
      <c r="E41" s="16">
        <f>SUMIFS(DONNEES_N1_NOUVEAU[MONTANT],DONNEES_N1_NOUVEAU[TL2],A41,DONNEES_N1_NOUVEAU[MOIS],DONNÉES!$C$5,DONNEES_N1_NOUVEAU[SOCIETE],"VR7")</f>
        <v>460.73</v>
      </c>
      <c r="F41" s="17">
        <f t="shared" si="7"/>
        <v>0.12046373242362425</v>
      </c>
      <c r="G41" s="16">
        <f t="shared" si="8"/>
        <v>-460.73</v>
      </c>
      <c r="H41" s="17">
        <f t="shared" si="9"/>
        <v>-100</v>
      </c>
    </row>
    <row r="42" spans="1:8" ht="13.5" thickBot="1" x14ac:dyDescent="0.25">
      <c r="A42" s="13"/>
      <c r="B42" s="63" t="s">
        <v>2984</v>
      </c>
      <c r="C42" s="49">
        <f>+SUM(C35:C41)</f>
        <v>0</v>
      </c>
      <c r="D42" s="50" t="e">
        <f t="shared" si="7"/>
        <v>#DIV/0!</v>
      </c>
      <c r="E42" s="51">
        <f>+SUM(E35:E41)</f>
        <v>39687.19</v>
      </c>
      <c r="F42" s="50">
        <f t="shared" si="7"/>
        <v>10.37672180410552</v>
      </c>
      <c r="G42" s="51">
        <f>+SUM(G35:G41)</f>
        <v>-39687.19</v>
      </c>
      <c r="H42" s="50">
        <f t="shared" si="9"/>
        <v>-100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0</v>
      </c>
      <c r="D44" s="71" t="e">
        <f>(C44*100)/C$8</f>
        <v>#DIV/0!</v>
      </c>
      <c r="E44" s="72">
        <f>E18-E26-E33-E42</f>
        <v>137708.76999999999</v>
      </c>
      <c r="F44" s="71">
        <f>(E44*100)/E$8</f>
        <v>36.005713588579887</v>
      </c>
      <c r="G44" s="72">
        <f>G18-G26-G33-G42</f>
        <v>-137708.76999999999</v>
      </c>
      <c r="H44" s="71">
        <f>IF(E44=0,0,G44/E44*100)</f>
        <v>-100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VR7'!$G:$G,'BAL N VR7'!$I:$I,$A46,'BAL N VR7'!$J:$J,"T")</f>
        <v>0</v>
      </c>
      <c r="D46" s="17" t="e">
        <f t="shared" ref="D46:F49" si="10">(C46*100)/C$8</f>
        <v>#DIV/0!</v>
      </c>
      <c r="E46" s="16">
        <f>SUMIFS(DONNEES_N1_NOUVEAU[MONTANT],DONNEES_N1_NOUVEAU[TL2],A46,DONNEES_N1_NOUVEAU[MOIS],DONNÉES!$C$5,DONNEES_N1_NOUVEAU[SOCIETE],"VR7")</f>
        <v>59949.17</v>
      </c>
      <c r="F46" s="17">
        <f t="shared" si="10"/>
        <v>15.674474798468436</v>
      </c>
      <c r="G46" s="16">
        <f>+C46-E46</f>
        <v>-59949.17</v>
      </c>
      <c r="H46" s="17">
        <f>IF(E46=0,0,G46/E46*100)</f>
        <v>-100</v>
      </c>
    </row>
    <row r="47" spans="1:8" s="18" customFormat="1" x14ac:dyDescent="0.2">
      <c r="A47" s="13" t="s">
        <v>35</v>
      </c>
      <c r="B47" s="14" t="s">
        <v>2986</v>
      </c>
      <c r="C47" s="23">
        <f>SUMIFS('BAL N VR7'!$G:$G,'BAL N VR7'!$I:$I,$A47,'BAL N VR7'!$J:$J,"T")</f>
        <v>0</v>
      </c>
      <c r="D47" s="17" t="e">
        <f t="shared" si="10"/>
        <v>#DIV/0!</v>
      </c>
      <c r="E47" s="16">
        <f>SUMIFS(DONNEES_N1_NOUVEAU[MONTANT],DONNEES_N1_NOUVEAU[TL2],A47,DONNEES_N1_NOUVEAU[MOIS],DONNÉES!$C$5,DONNEES_N1_NOUVEAU[SOCIETE],"VR7")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VR7'!$G:$G,'BAL N VR7'!$I:$I,$A48,'BAL N VR7'!$J:$J,"T")</f>
        <v>0</v>
      </c>
      <c r="D48" s="17" t="e">
        <f t="shared" si="10"/>
        <v>#DIV/0!</v>
      </c>
      <c r="E48" s="16">
        <f>SUMIFS(DONNEES_N1_NOUVEAU[MONTANT],DONNEES_N1_NOUVEAU[TL2],A48,DONNEES_N1_NOUVEAU[MOIS],DONNÉES!$C$5,DONNEES_N1_NOUVEAU[SOCIETE],"VR7")</f>
        <v>-963.25</v>
      </c>
      <c r="F48" s="17">
        <f t="shared" si="10"/>
        <v>-0.25185399313492951</v>
      </c>
      <c r="G48" s="16">
        <f>+C48-E48</f>
        <v>963.25</v>
      </c>
      <c r="H48" s="17">
        <f>IF(E48=0,0,G48/E48*100)</f>
        <v>-100</v>
      </c>
    </row>
    <row r="49" spans="1:8" ht="13.5" thickBot="1" x14ac:dyDescent="0.25">
      <c r="A49" s="13" t="s">
        <v>56</v>
      </c>
      <c r="B49" s="63" t="s">
        <v>2988</v>
      </c>
      <c r="C49" s="49">
        <f>SUM(C46:C48)</f>
        <v>0</v>
      </c>
      <c r="D49" s="50" t="e">
        <f t="shared" si="10"/>
        <v>#DIV/0!</v>
      </c>
      <c r="E49" s="51">
        <f>SUM(E46:E48)</f>
        <v>58985.919999999998</v>
      </c>
      <c r="F49" s="50">
        <f t="shared" si="10"/>
        <v>15.422620805333507</v>
      </c>
      <c r="G49" s="51">
        <f>SUM(G46:G48)</f>
        <v>-58985.919999999998</v>
      </c>
      <c r="H49" s="50">
        <f>IF(E49=0,0,G49/E49*100)</f>
        <v>-100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VR7'!$G:$G,'BAL N VR7'!$I:$I,$A51,'BAL N VR7'!$J:$J,"T")</f>
        <v>0</v>
      </c>
      <c r="D51" s="17" t="e">
        <f t="shared" ref="D51:F59" si="11">(C51*100)/C$8</f>
        <v>#DIV/0!</v>
      </c>
      <c r="E51" s="16">
        <f>SUMIFS(DONNEES_N1_NOUVEAU[MONTANT],DONNEES_N1_NOUVEAU[TL2],A51,DONNEES_N1_NOUVEAU[MOIS],DONNÉES!$C$5,DONNEES_N1_NOUVEAU[SOCIETE],"VR7")</f>
        <v>1100</v>
      </c>
      <c r="F51" s="17">
        <f t="shared" si="11"/>
        <v>0.28760902408349071</v>
      </c>
      <c r="G51" s="16">
        <f t="shared" ref="G51:G58" si="12">+C51-E51</f>
        <v>-1100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VR7'!$G:$G,'BAL N VR7'!$I:$I,$A52,'BAL N VR7'!$J:$J,"T")</f>
        <v>0</v>
      </c>
      <c r="D52" s="17" t="e">
        <f t="shared" si="11"/>
        <v>#DIV/0!</v>
      </c>
      <c r="E52" s="16">
        <f>SUMIFS(DONNEES_N1_NOUVEAU[MONTANT],DONNEES_N1_NOUVEAU[TL2],A52,DONNEES_N1_NOUVEAU[MOIS],DONNÉES!$C$5,DONNEES_N1_NOUVEAU[SOCIETE],"VR7")</f>
        <v>19338.439999999999</v>
      </c>
      <c r="F52" s="17">
        <f t="shared" si="11"/>
        <v>5.0562816869973997</v>
      </c>
      <c r="G52" s="16">
        <f t="shared" si="12"/>
        <v>-19338.439999999999</v>
      </c>
      <c r="H52" s="17">
        <f t="shared" si="13"/>
        <v>-100</v>
      </c>
    </row>
    <row r="53" spans="1:8" s="18" customFormat="1" x14ac:dyDescent="0.2">
      <c r="A53" s="13" t="s">
        <v>44</v>
      </c>
      <c r="B53" s="14" t="s">
        <v>62</v>
      </c>
      <c r="C53" s="23">
        <f>SUMIFS('BAL N VR7'!$G:$G,'BAL N VR7'!$I:$I,$A53,'BAL N VR7'!$J:$J,"T")</f>
        <v>0</v>
      </c>
      <c r="D53" s="17" t="e">
        <f t="shared" si="11"/>
        <v>#DIV/0!</v>
      </c>
      <c r="E53" s="16">
        <f>SUMIFS(DONNEES_N1_NOUVEAU[MONTANT],DONNEES_N1_NOUVEAU[TL2],A53,DONNEES_N1_NOUVEAU[MOIS],DONNÉES!$C$5,DONNEES_N1_NOUVEAU[SOCIETE],"VR7")</f>
        <v>1649</v>
      </c>
      <c r="F53" s="17">
        <f t="shared" si="11"/>
        <v>0.43115207337606926</v>
      </c>
      <c r="G53" s="16">
        <f t="shared" si="12"/>
        <v>-1649</v>
      </c>
      <c r="H53" s="17">
        <f t="shared" si="13"/>
        <v>-100</v>
      </c>
    </row>
    <row r="54" spans="1:8" s="18" customFormat="1" x14ac:dyDescent="0.2">
      <c r="A54" s="13" t="s">
        <v>45</v>
      </c>
      <c r="B54" s="14" t="s">
        <v>41</v>
      </c>
      <c r="C54" s="23">
        <f>SUMIFS('BAL N VR7'!$G:$G,'BAL N VR7'!$I:$I,$A54,'BAL N VR7'!$J:$J,"T")</f>
        <v>0</v>
      </c>
      <c r="D54" s="17" t="e">
        <f t="shared" si="11"/>
        <v>#DIV/0!</v>
      </c>
      <c r="E54" s="16">
        <f>SUMIFS(DONNEES_N1_NOUVEAU[MONTANT],DONNEES_N1_NOUVEAU[TL2],A54,DONNEES_N1_NOUVEAU[MOIS],DONNÉES!$C$5,DONNEES_N1_NOUVEAU[SOCIETE],"VR7")</f>
        <v>1541.86</v>
      </c>
      <c r="F54" s="17">
        <f t="shared" si="11"/>
        <v>0.40313895443033726</v>
      </c>
      <c r="G54" s="16">
        <f t="shared" si="12"/>
        <v>-1541.86</v>
      </c>
      <c r="H54" s="17">
        <f t="shared" si="13"/>
        <v>-100</v>
      </c>
    </row>
    <row r="55" spans="1:8" s="18" customFormat="1" x14ac:dyDescent="0.2">
      <c r="A55" s="13" t="s">
        <v>47</v>
      </c>
      <c r="B55" s="14" t="s">
        <v>43</v>
      </c>
      <c r="C55" s="23">
        <f>SUMIFS('BAL N VR7'!$G:$G,'BAL N VR7'!$I:$I,$A55,'BAL N VR7'!$J:$J,"T")</f>
        <v>0</v>
      </c>
      <c r="D55" s="17" t="e">
        <f t="shared" si="11"/>
        <v>#DIV/0!</v>
      </c>
      <c r="E55" s="16">
        <f>SUMIFS(DONNEES_N1_NOUVEAU[MONTANT],DONNEES_N1_NOUVEAU[TL2],A55,DONNEES_N1_NOUVEAU[MOIS],DONNÉES!$C$5,DONNEES_N1_NOUVEAU[SOCIETE],"VR7")</f>
        <v>4006.61</v>
      </c>
      <c r="F55" s="17">
        <f t="shared" si="11"/>
        <v>1.0475792654392315</v>
      </c>
      <c r="G55" s="16">
        <f t="shared" si="12"/>
        <v>-4006.61</v>
      </c>
      <c r="H55" s="17">
        <f t="shared" si="13"/>
        <v>-100</v>
      </c>
    </row>
    <row r="56" spans="1:8" s="18" customFormat="1" x14ac:dyDescent="0.2">
      <c r="A56" s="13" t="s">
        <v>48</v>
      </c>
      <c r="B56" s="14" t="s">
        <v>46</v>
      </c>
      <c r="C56" s="23">
        <f>SUMIFS('BAL N VR7'!$G:$G,'BAL N VR7'!$I:$I,$A56,'BAL N VR7'!$J:$J,"T")</f>
        <v>0</v>
      </c>
      <c r="D56" s="17" t="e">
        <f t="shared" si="11"/>
        <v>#DIV/0!</v>
      </c>
      <c r="E56" s="16">
        <f>SUMIFS(DONNEES_N1_NOUVEAU[MONTANT],DONNEES_N1_NOUVEAU[TL2],A56,DONNEES_N1_NOUVEAU[MOIS],DONNÉES!$C$5,DONNEES_N1_NOUVEAU[SOCIETE],"VR7")</f>
        <v>23000</v>
      </c>
      <c r="F56" s="17">
        <f t="shared" si="11"/>
        <v>6.0136432308366246</v>
      </c>
      <c r="G56" s="16">
        <f t="shared" si="12"/>
        <v>-23000</v>
      </c>
      <c r="H56" s="17">
        <f t="shared" si="13"/>
        <v>-100</v>
      </c>
    </row>
    <row r="57" spans="1:8" s="18" customFormat="1" x14ac:dyDescent="0.2">
      <c r="A57" s="13" t="s">
        <v>50</v>
      </c>
      <c r="B57" s="14" t="s">
        <v>2990</v>
      </c>
      <c r="C57" s="23">
        <f>SUMIFS('BAL N VR7'!$G:$G,'BAL N VR7'!$I:$I,$A57,'BAL N VR7'!$J:$J,"T")</f>
        <v>0</v>
      </c>
      <c r="D57" s="17" t="e">
        <f t="shared" si="11"/>
        <v>#DIV/0!</v>
      </c>
      <c r="E57" s="16">
        <f>SUMIFS(DONNEES_N1_NOUVEAU[MONTANT],DONNEES_N1_NOUVEAU[TL2],A57,DONNEES_N1_NOUVEAU[MOIS],DONNÉES!$C$5,DONNEES_N1_NOUVEAU[SOCIETE],"VR7")</f>
        <v>0</v>
      </c>
      <c r="F57" s="17">
        <f t="shared" si="11"/>
        <v>0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VR7'!$G:$G,'BAL N VR7'!$I:$I,$A58,'BAL N VR7'!$J:$J,"T")</f>
        <v>0</v>
      </c>
      <c r="D58" s="17" t="e">
        <f t="shared" si="11"/>
        <v>#DIV/0!</v>
      </c>
      <c r="E58" s="16">
        <f>SUMIFS(DONNEES_N1_NOUVEAU[MONTANT],DONNEES_N1_NOUVEAU[TL2],A58,DONNEES_N1_NOUVEAU[MOIS],DONNÉES!$C$5,DONNEES_N1_NOUVEAU[SOCIETE],"VR7")</f>
        <v>2279.71</v>
      </c>
      <c r="F58" s="17">
        <f t="shared" si="11"/>
        <v>0.59605924390306786</v>
      </c>
      <c r="G58" s="16">
        <f t="shared" si="12"/>
        <v>-2279.71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0</v>
      </c>
      <c r="D59" s="50" t="e">
        <f t="shared" si="11"/>
        <v>#DIV/0!</v>
      </c>
      <c r="E59" s="51">
        <f>SUM(E51:E58)</f>
        <v>52915.62</v>
      </c>
      <c r="F59" s="50">
        <f t="shared" si="11"/>
        <v>13.835463479066222</v>
      </c>
      <c r="G59" s="51">
        <f>SUM(G51:G58)</f>
        <v>-52915.62</v>
      </c>
      <c r="H59" s="50">
        <f t="shared" si="13"/>
        <v>-100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0</v>
      </c>
      <c r="D61" s="71" t="e">
        <f>(C61*100)/C$8</f>
        <v>#DIV/0!</v>
      </c>
      <c r="E61" s="72">
        <f>E59+E49+E42+E33+E26</f>
        <v>265980.36</v>
      </c>
      <c r="F61" s="71">
        <f>(E61*100)/E$8</f>
        <v>69.54395614997776</v>
      </c>
      <c r="G61" s="72">
        <f>G59+G49+G42+G33+G26</f>
        <v>-265980.36</v>
      </c>
      <c r="H61" s="71">
        <f>IF(E61=0,0,G61/E61*100)</f>
        <v>-100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VR7'!$G:$G,'BAL N VR7'!$I:$I,$A63,'BAL N VR7'!$J:$J,"T")</f>
        <v>0</v>
      </c>
      <c r="D63" s="17" t="e">
        <f t="shared" ref="D63:F65" si="14">(C63*100)/C$8</f>
        <v>#DIV/0!</v>
      </c>
      <c r="E63" s="16">
        <f>-SUMIFS(DONNEES_N1_NOUVEAU[MONTANT],DONNEES_N1_NOUVEAU[TL2],A63,DONNEES_N1_NOUVEAU[MOIS],DONNÉES!$C$5,DONNEES_N1_NOUVEAU[SOCIETE],"VR7")</f>
        <v>4305.17</v>
      </c>
      <c r="F63" s="17">
        <f t="shared" si="14"/>
        <v>1.1256415838304743</v>
      </c>
      <c r="G63" s="16">
        <f>+C63-E63</f>
        <v>-4305.17</v>
      </c>
      <c r="H63" s="17">
        <f>IF(E63=0,0,G63/E63*100)</f>
        <v>-100</v>
      </c>
    </row>
    <row r="64" spans="1:8" s="18" customFormat="1" x14ac:dyDescent="0.2">
      <c r="A64" s="13" t="s">
        <v>2992</v>
      </c>
      <c r="B64" s="68" t="s">
        <v>65</v>
      </c>
      <c r="C64" s="23">
        <f>SUMIFS('BAL N VR7'!$G:$G,'BAL N VR7'!$I:$I,$A64,'BAL N VR7'!$J:$J,"T")</f>
        <v>0</v>
      </c>
      <c r="D64" s="17" t="e">
        <f t="shared" si="14"/>
        <v>#DIV/0!</v>
      </c>
      <c r="E64" s="24">
        <f>SUMIFS(DONNEES_N1_NOUVEAU[MONTANT],DONNEES_N1_NOUVEAU[TL2],A64,DONNEES_N1_NOUVEAU[MOIS],DONNÉES!$C$5,DONNEES_N1_NOUVEAU[SOCIETE],"VR7")</f>
        <v>2820.3</v>
      </c>
      <c r="F64" s="17">
        <f t="shared" si="14"/>
        <v>0.73740339147515355</v>
      </c>
      <c r="G64" s="16">
        <f>+C64-E64</f>
        <v>-2820.3</v>
      </c>
      <c r="H64" s="17">
        <f>IF(E64=0,0,G64/E64*100)</f>
        <v>-100</v>
      </c>
    </row>
    <row r="65" spans="1:9" s="59" customFormat="1" ht="13.5" x14ac:dyDescent="0.2">
      <c r="A65" s="13"/>
      <c r="B65" s="62" t="s">
        <v>53</v>
      </c>
      <c r="C65" s="67">
        <f>+C63-C64</f>
        <v>0</v>
      </c>
      <c r="D65" s="56" t="e">
        <f t="shared" si="14"/>
        <v>#DIV/0!</v>
      </c>
      <c r="E65" s="57">
        <f>+E63-E64</f>
        <v>1484.87</v>
      </c>
      <c r="F65" s="56">
        <f t="shared" si="14"/>
        <v>0.38823819235532081</v>
      </c>
      <c r="G65" s="58">
        <f>+G63-G64</f>
        <v>-1484.87</v>
      </c>
      <c r="H65" s="56">
        <f>IF(E65=0,0,G65/E65*100)</f>
        <v>-100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VR7'!$G:$G,'BAL N VR7'!$I:$I,$A67,'BAL N VR7'!$J:$J,"T")</f>
        <v>0</v>
      </c>
      <c r="D67" s="17" t="e">
        <f>(C67*100)/C$8</f>
        <v>#DIV/0!</v>
      </c>
      <c r="E67" s="16">
        <f>-SUMIFS(DONNEES_N1_NOUVEAU[MONTANT],DONNEES_N1_NOUVEAU[TL2],A67,DONNEES_N1_NOUVEAU[MOIS],DONNÉES!$C$5,DONNEES_N1_NOUVEAU[SOCIETE],"VR7")</f>
        <v>-438.64</v>
      </c>
      <c r="F67" s="17">
        <f>(E67*100)/E$8</f>
        <v>-0.11468802029452943</v>
      </c>
      <c r="G67" s="16">
        <f>+C67-E67</f>
        <v>438.64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0</v>
      </c>
      <c r="D69" s="10" t="e">
        <f>(C69*100)/C$8</f>
        <v>#DIV/0!</v>
      </c>
      <c r="E69" s="9">
        <f>E18-E61+E65+E67</f>
        <v>26853.459999999981</v>
      </c>
      <c r="F69" s="10">
        <f>(E69*100)/E$8</f>
        <v>7.0211794762409543</v>
      </c>
      <c r="G69" s="9">
        <f>G18-G61+G65+G67</f>
        <v>-26853.459999999981</v>
      </c>
      <c r="H69" s="10">
        <f>IF(E69=0,0,G69/E69*100)</f>
        <v>-100</v>
      </c>
    </row>
    <row r="70" spans="1:9" ht="13.5" thickBot="1" x14ac:dyDescent="0.25">
      <c r="A70" s="13"/>
      <c r="B70" s="63" t="s">
        <v>3034</v>
      </c>
      <c r="C70" s="49">
        <f>+C69-C67+C57+C56</f>
        <v>0</v>
      </c>
      <c r="D70" s="50" t="e">
        <f>(C70*100)/C$8</f>
        <v>#DIV/0!</v>
      </c>
      <c r="E70" s="49">
        <f>+E69-E67+E57+E56</f>
        <v>50292.099999999977</v>
      </c>
      <c r="F70" s="50">
        <f>(E70*100)/E$8</f>
        <v>13.149510727372107</v>
      </c>
      <c r="G70" s="49">
        <f>+G69-G67+G57+G56</f>
        <v>-50292.099999999977</v>
      </c>
      <c r="H70" s="50">
        <f>IF(E70=0,0,G70/E70*100)</f>
        <v>-100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VR7'!$G:$G,'BAL N VR7'!$I:$I,$A72,'BAL N VR7'!$J:$J,"T")</f>
        <v>0</v>
      </c>
      <c r="D72" s="17" t="e">
        <f>(C72*100)/C$8</f>
        <v>#DIV/0!</v>
      </c>
      <c r="E72" s="16">
        <f>-SUMIFS(DONNEES_N1_NOUVEAU[MONTANT],DONNEES_N1_NOUVEAU[TL2],A72,DONNEES_N1_NOUVEAU[MOIS],DONNÉES!$C$5,DONNEES_N1_NOUVEAU[SOCIETE],"VR7")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VR7'!$G:$G,'BAL N VR7'!$I:$I,$A74,'BAL N VR7'!$J:$J,"T")</f>
        <v>0</v>
      </c>
      <c r="D74" s="10" t="e">
        <f>(C74*100)/C$8</f>
        <v>#DIV/0!</v>
      </c>
      <c r="E74" s="9">
        <f>SUMIFS(DONNEES_N1_NOUVEAU[MONTANT],DONNEES_N1_NOUVEAU[TL2],A74,DONNEES_N1_NOUVEAU[MOIS],DONNÉES!$C$5,DONNEES_N1_NOUVEAU[SOCIETE],"VR7")</f>
        <v>26891.75</v>
      </c>
      <c r="F74" s="10">
        <f>(E74*100)/E$8</f>
        <v>7.0311908849065556</v>
      </c>
      <c r="G74" s="9">
        <f>+C74-E74</f>
        <v>-26891.75</v>
      </c>
      <c r="H74" s="10">
        <f>IF(E74=0,0,G74/E74*100)</f>
        <v>-100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0</v>
      </c>
      <c r="D76" s="71" t="e">
        <f>(C76*100)/C$8</f>
        <v>#DIV/0!</v>
      </c>
      <c r="E76" s="72">
        <f>E69-E74+E72</f>
        <v>-38.290000000019063</v>
      </c>
      <c r="F76" s="71">
        <f>(E76*100)/E$8</f>
        <v>-1.001140866560213E-2</v>
      </c>
      <c r="G76" s="72">
        <f>G69-G74+G72</f>
        <v>38.290000000019063</v>
      </c>
      <c r="H76" s="71">
        <f>IF(E76=0,0,G76/E76*100)</f>
        <v>-100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VLOOKUP(PARAMETRES!$C$2,TRANSVR7[],2,FALSE)</f>
        <v>0</v>
      </c>
      <c r="D78" s="324"/>
      <c r="E78" s="323">
        <f>VLOOKUP(PARAMETRES!$C$2,TRANSVR7[],3,FALSE)</f>
        <v>21218</v>
      </c>
      <c r="F78" s="324"/>
      <c r="G78" s="325">
        <f>C78-E78</f>
        <v>-21218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VLOOKUP(PARAMETRES!$C$2,PMVR7[],2,FALSE)</f>
        <v>0</v>
      </c>
      <c r="D80" s="316"/>
      <c r="E80" s="315">
        <f>VLOOKUP(PARAMETRES!$C$2,PMVR7[],3,FALSE)</f>
        <v>18.23</v>
      </c>
      <c r="F80" s="316"/>
      <c r="G80" s="317">
        <f>(C80-E80)/E80</f>
        <v>-1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10:E58 E63:E74" 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77150-12B9-47A1-B78D-AC7FEC3F3B7F}">
  <sheetPr>
    <tabColor rgb="FFFFFF00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904B-4C05-46FA-90DF-87010578134E}">
  <sheetPr>
    <tabColor rgb="FFFFFF00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6854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2156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TURVILLA'!$G:$G,'BAL N TURVILLA'!$I:$I,$A8,'BAL N TURVILLA'!$J:$J,"T")</f>
        <v>457867.94</v>
      </c>
      <c r="D8" s="71">
        <f>(C8*100)/C$8</f>
        <v>100</v>
      </c>
      <c r="E8" s="72">
        <f>-SUMIFS(DONNEES_N1_NOUVEAU[MONTANT],DONNEES_N1_NOUVEAU[TL2],A8,DONNEES_N1_NOUVEAU[MOIS],DONNÉES!$C$5,DONNEES_N1_NOUVEAU[SOCIETE],"TURVILLA")</f>
        <v>448803.22</v>
      </c>
      <c r="F8" s="71">
        <f>(E8*100)/E$8</f>
        <v>100</v>
      </c>
      <c r="G8" s="72">
        <f>+C8-E8</f>
        <v>9064.7200000000303</v>
      </c>
      <c r="H8" s="71">
        <f>IF(E8=0,0,G8/E8*100)</f>
        <v>2.0197537798414258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TURVILLA'!$G:$G,'BAL N TURVILLA'!$I:$I,$A10,'BAL N TURVILLA'!$J:$J,"T")</f>
        <v>104319.25</v>
      </c>
      <c r="D10" s="17">
        <f t="shared" ref="D10:F16" si="0">(C10*100)/C$8</f>
        <v>22.783698286453514</v>
      </c>
      <c r="E10" s="16">
        <f>SUMIFS(DONNEES_N1_NOUVEAU[MONTANT],DONNEES_N1_NOUVEAU[TL2],A10,DONNEES_N1_NOUVEAU[MOIS],DONNÉES!$C$5,DONNEES_N1_NOUVEAU[SOCIETE],"TURVILLA")</f>
        <v>99520.28</v>
      </c>
      <c r="F10" s="17">
        <f t="shared" si="0"/>
        <v>22.174591349857071</v>
      </c>
      <c r="G10" s="16">
        <f>+C10-E10</f>
        <v>4798.9700000000012</v>
      </c>
      <c r="H10" s="17">
        <f t="shared" ref="H10:H16" si="1">IF(E10=0,0,G10/E10*100)</f>
        <v>4.8221025905473756</v>
      </c>
    </row>
    <row r="11" spans="1:8" s="18" customFormat="1" x14ac:dyDescent="0.2">
      <c r="A11" s="13" t="s">
        <v>124</v>
      </c>
      <c r="B11" s="14" t="s">
        <v>4</v>
      </c>
      <c r="C11" s="23">
        <f>SUMIFS('BAL N TURVILLA'!$G:$G,'BAL N TURVILLA'!$I:$I,$A11,'BAL N TURVILLA'!$J:$J,"T")</f>
        <v>1982.79</v>
      </c>
      <c r="D11" s="17">
        <f t="shared" si="0"/>
        <v>0.43304844623976074</v>
      </c>
      <c r="E11" s="16">
        <f>SUMIFS(DONNEES_N1_NOUVEAU[MONTANT],DONNEES_N1_NOUVEAU[TL2],A11,DONNEES_N1_NOUVEAU[MOIS],DONNÉES!$C$5,DONNEES_N1_NOUVEAU[SOCIETE],"TURVILLA")</f>
        <v>1842.96</v>
      </c>
      <c r="F11" s="17">
        <f t="shared" si="0"/>
        <v>0.41063876502490337</v>
      </c>
      <c r="G11" s="16">
        <f>+C11-E11</f>
        <v>139.82999999999993</v>
      </c>
      <c r="H11" s="17">
        <f t="shared" si="1"/>
        <v>7.5872509441333458</v>
      </c>
    </row>
    <row r="12" spans="1:8" s="18" customFormat="1" x14ac:dyDescent="0.2">
      <c r="A12" s="13" t="s">
        <v>125</v>
      </c>
      <c r="B12" s="14" t="s">
        <v>2</v>
      </c>
      <c r="C12" s="23">
        <f>SUMIFS('BAL N TURVILLA'!$G:$G,'BAL N TURVILLA'!$I:$I,$A12,'BAL N TURVILLA'!$J:$J,"T")</f>
        <v>2641.78</v>
      </c>
      <c r="D12" s="17">
        <f t="shared" si="0"/>
        <v>0.57697422536288523</v>
      </c>
      <c r="E12" s="16">
        <f>SUMIFS(DONNEES_N1_NOUVEAU[MONTANT],DONNEES_N1_NOUVEAU[TL2],A12,DONNEES_N1_NOUVEAU[MOIS],DONNÉES!$C$5,DONNEES_N1_NOUVEAU[SOCIETE],"TURVILLA")</f>
        <v>1770.54</v>
      </c>
      <c r="F12" s="17">
        <f t="shared" si="0"/>
        <v>0.39450251716108459</v>
      </c>
      <c r="G12" s="16">
        <f>+C12-E12</f>
        <v>871.24000000000024</v>
      </c>
      <c r="H12" s="17">
        <f t="shared" si="1"/>
        <v>49.207586386074318</v>
      </c>
    </row>
    <row r="13" spans="1:8" s="59" customFormat="1" ht="13.5" x14ac:dyDescent="0.2">
      <c r="A13" s="60"/>
      <c r="B13" s="62" t="s">
        <v>6</v>
      </c>
      <c r="C13" s="55">
        <f>SUM(C10:C12)</f>
        <v>108943.81999999999</v>
      </c>
      <c r="D13" s="56">
        <f t="shared" si="0"/>
        <v>23.793720958056159</v>
      </c>
      <c r="E13" s="55">
        <f>SUM(E10:E12)</f>
        <v>103133.78</v>
      </c>
      <c r="F13" s="56">
        <f t="shared" si="0"/>
        <v>22.97973263204306</v>
      </c>
      <c r="G13" s="55">
        <f>SUM(G10:G12)</f>
        <v>5810.0400000000009</v>
      </c>
      <c r="H13" s="56">
        <f t="shared" si="1"/>
        <v>5.6334985491659477</v>
      </c>
    </row>
    <row r="14" spans="1:8" s="18" customFormat="1" x14ac:dyDescent="0.2">
      <c r="A14" s="13" t="s">
        <v>126</v>
      </c>
      <c r="B14" s="14" t="s">
        <v>8</v>
      </c>
      <c r="C14" s="23">
        <f>SUMIFS('BAL N TURVILLA'!$G:$G,'BAL N TURVILLA'!$I:$I,$A14,'BAL N TURVILLA'!$J:$J,"T")</f>
        <v>9613.99</v>
      </c>
      <c r="D14" s="17">
        <f t="shared" si="0"/>
        <v>2.0997298915490785</v>
      </c>
      <c r="E14" s="16">
        <f>SUMIFS(DONNEES_N1_NOUVEAU[MONTANT],DONNEES_N1_NOUVEAU[TL2],A14,DONNEES_N1_NOUVEAU[MOIS],DONNÉES!$C$5,DONNEES_N1_NOUVEAU[SOCIETE],"TURVILLA")</f>
        <v>9144.11</v>
      </c>
      <c r="F14" s="17">
        <f t="shared" si="0"/>
        <v>2.0374430468658402</v>
      </c>
      <c r="G14" s="16">
        <f>+C14-E14</f>
        <v>469.8799999999992</v>
      </c>
      <c r="H14" s="17">
        <f t="shared" si="1"/>
        <v>5.1386083500745192</v>
      </c>
    </row>
    <row r="15" spans="1:8" s="18" customFormat="1" x14ac:dyDescent="0.2">
      <c r="A15" s="13" t="s">
        <v>2964</v>
      </c>
      <c r="B15" s="14" t="s">
        <v>2965</v>
      </c>
      <c r="C15" s="23">
        <f>SUMIFS('BAL N TURVILLA'!$G:$G,'BAL N TURVILLA'!$I:$I,$A15,'BAL N TURVILLA'!$J:$J,"T")</f>
        <v>-1786.19</v>
      </c>
      <c r="D15" s="17">
        <f t="shared" si="0"/>
        <v>-0.39011030123664042</v>
      </c>
      <c r="E15" s="16">
        <f>SUMIFS(DONNEES_N1_NOUVEAU[MONTANT],DONNEES_N1_NOUVEAU[TL2],A15,DONNEES_N1_NOUVEAU[MOIS],DONNÉES!$C$5,DONNEES_N1_NOUVEAU[SOCIETE],"TURVILLA")</f>
        <v>3089.11</v>
      </c>
      <c r="F15" s="17">
        <f t="shared" si="0"/>
        <v>0.6882994288677341</v>
      </c>
      <c r="G15" s="16">
        <f>+C15-E15</f>
        <v>-4875.3</v>
      </c>
      <c r="H15" s="17">
        <f t="shared" si="1"/>
        <v>-157.82215589603479</v>
      </c>
    </row>
    <row r="16" spans="1:8" ht="13.5" thickBot="1" x14ac:dyDescent="0.25">
      <c r="A16" s="7"/>
      <c r="B16" s="63" t="s">
        <v>10</v>
      </c>
      <c r="C16" s="49">
        <f>+C13+SUM(C14:C15)</f>
        <v>116771.62</v>
      </c>
      <c r="D16" s="50">
        <f t="shared" si="0"/>
        <v>25.503340548368598</v>
      </c>
      <c r="E16" s="49">
        <f>+E13+SUM(E14:E15)</f>
        <v>115367</v>
      </c>
      <c r="F16" s="50">
        <f t="shared" si="0"/>
        <v>25.705475107776635</v>
      </c>
      <c r="G16" s="49">
        <f>+G13+SUM(G14:G15)</f>
        <v>1404.62</v>
      </c>
      <c r="H16" s="50">
        <f t="shared" si="1"/>
        <v>1.2175232085431709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341096.32</v>
      </c>
      <c r="D18" s="71">
        <f>(C18*100)/C$8</f>
        <v>74.496659451631402</v>
      </c>
      <c r="E18" s="70">
        <f>E8-E16</f>
        <v>333436.21999999997</v>
      </c>
      <c r="F18" s="71">
        <f>(E18*100)/E$8</f>
        <v>74.294524892223365</v>
      </c>
      <c r="G18" s="70">
        <f>G8-G16</f>
        <v>7660.1000000000304</v>
      </c>
      <c r="H18" s="71">
        <f>IF(E18=0,0,G18/E18*100)</f>
        <v>2.2973209089282598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TURVILLA'!$G:$G,'BAL N TURVILLA'!$I:$I,$A20,'BAL N TURVILLA'!$J:$J,"T")</f>
        <v>64605.69</v>
      </c>
      <c r="D20" s="17">
        <f t="shared" ref="D20:F26" si="2">(C20*100)/C$8</f>
        <v>14.110114370532255</v>
      </c>
      <c r="E20" s="16">
        <f>SUMIFS(DONNEES_N1_NOUVEAU[MONTANT],DONNEES_N1_NOUVEAU[TL2],A20,DONNEES_N1_NOUVEAU[MOIS],DONNÉES!$C$5,DONNEES_N1_NOUVEAU[SOCIETE],"TURVILLA")</f>
        <v>79042.67</v>
      </c>
      <c r="F20" s="17">
        <f t="shared" si="2"/>
        <v>17.611876759707741</v>
      </c>
      <c r="G20" s="16">
        <f t="shared" ref="G20:G25" si="3">+C20-E20</f>
        <v>-14436.979999999996</v>
      </c>
      <c r="H20" s="17">
        <f t="shared" ref="H20:H26" si="4">IF(E20=0,0,G20/E20*100)</f>
        <v>-18.264792927668051</v>
      </c>
    </row>
    <row r="21" spans="1:8" s="18" customFormat="1" x14ac:dyDescent="0.2">
      <c r="A21" s="13">
        <v>9</v>
      </c>
      <c r="B21" s="14" t="s">
        <v>2968</v>
      </c>
      <c r="C21" s="23">
        <f>SUMIFS('BAL N TURVILLA'!$G:$G,'BAL N TURVILLA'!$I:$I,$A21,'BAL N TURVILLA'!$J:$J,"T")</f>
        <v>7542.51</v>
      </c>
      <c r="D21" s="17">
        <f t="shared" si="2"/>
        <v>1.6473112312689986</v>
      </c>
      <c r="E21" s="16">
        <f>SUMIFS(DONNEES_N1_NOUVEAU[MONTANT],DONNEES_N1_NOUVEAU[TL2],A21,DONNEES_N1_NOUVEAU[MOIS],DONNÉES!$C$5,DONNEES_N1_NOUVEAU[SOCIETE],"TURVILLA")</f>
        <v>8981.56</v>
      </c>
      <c r="F21" s="17">
        <f t="shared" si="2"/>
        <v>2.001224501018509</v>
      </c>
      <c r="G21" s="16">
        <f t="shared" si="3"/>
        <v>-1439.0499999999993</v>
      </c>
      <c r="H21" s="17">
        <f t="shared" si="4"/>
        <v>-16.022272300134937</v>
      </c>
    </row>
    <row r="22" spans="1:8" s="18" customFormat="1" x14ac:dyDescent="0.2">
      <c r="A22" s="13" t="s">
        <v>12</v>
      </c>
      <c r="B22" s="14" t="s">
        <v>14</v>
      </c>
      <c r="C22" s="23">
        <f>SUMIFS('BAL N TURVILLA'!$G:$G,'BAL N TURVILLA'!$I:$I,$A22,'BAL N TURVILLA'!$J:$J,"T")</f>
        <v>21675.87</v>
      </c>
      <c r="D22" s="17">
        <f t="shared" si="2"/>
        <v>4.73408773717592</v>
      </c>
      <c r="E22" s="16">
        <f>SUMIFS(DONNEES_N1_NOUVEAU[MONTANT],DONNEES_N1_NOUVEAU[TL2],A22,DONNEES_N1_NOUVEAU[MOIS],DONNÉES!$C$5,DONNEES_N1_NOUVEAU[SOCIETE],"TURVILLA")</f>
        <v>17063.32</v>
      </c>
      <c r="F22" s="17">
        <f t="shared" si="2"/>
        <v>3.8019602444028813</v>
      </c>
      <c r="G22" s="16">
        <f t="shared" si="3"/>
        <v>4612.5499999999993</v>
      </c>
      <c r="H22" s="17">
        <f t="shared" si="4"/>
        <v>27.031960954843488</v>
      </c>
    </row>
    <row r="23" spans="1:8" s="18" customFormat="1" x14ac:dyDescent="0.2">
      <c r="A23" s="13" t="s">
        <v>13</v>
      </c>
      <c r="B23" s="14" t="s">
        <v>2966</v>
      </c>
      <c r="C23" s="23">
        <f>SUMIFS('BAL N TURVILLA'!$G:$G,'BAL N TURVILLA'!$I:$I,$A23,'BAL N TURVILLA'!$J:$J,"T")</f>
        <v>5195.2</v>
      </c>
      <c r="D23" s="17">
        <f t="shared" si="2"/>
        <v>1.1346503098688236</v>
      </c>
      <c r="E23" s="16">
        <f>SUMIFS(DONNEES_N1_NOUVEAU[MONTANT],DONNEES_N1_NOUVEAU[TL2],A23,DONNEES_N1_NOUVEAU[MOIS],DONNÉES!$C$5,DONNEES_N1_NOUVEAU[SOCIETE],"TURVILLA")</f>
        <v>4516.0600000000004</v>
      </c>
      <c r="F23" s="17">
        <f t="shared" si="2"/>
        <v>1.0062450086699468</v>
      </c>
      <c r="G23" s="16">
        <f t="shared" si="3"/>
        <v>679.13999999999942</v>
      </c>
      <c r="H23" s="17">
        <f t="shared" si="4"/>
        <v>15.038329871613737</v>
      </c>
    </row>
    <row r="24" spans="1:8" s="18" customFormat="1" x14ac:dyDescent="0.2">
      <c r="A24" s="13" t="s">
        <v>15</v>
      </c>
      <c r="B24" s="14" t="s">
        <v>2969</v>
      </c>
      <c r="C24" s="23">
        <f>SUMIFS('BAL N TURVILLA'!$G:$G,'BAL N TURVILLA'!$I:$I,$A24,'BAL N TURVILLA'!$J:$J,"T")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SUMIFS(DONNEES_N1_NOUVEAU[MONTANT],DONNEES_N1_NOUVEAU[TL2],A24,DONNEES_N1_NOUVEAU[MOIS],DONNÉES!$C$5,DONNEES_N1_NOUVEAU[SOCIETE],"TURVILLA")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TURVILLA'!$G:$G,'BAL N TURVILLA'!$I:$I,$A25,'BAL N TURVILLA'!$J:$J,"T")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SUMIFS(DONNEES_N1_NOUVEAU[MONTANT],DONNEES_N1_NOUVEAU[TL2],A25,DONNEES_N1_NOUVEAU[MOIS],DONNÉES!$C$5,DONNEES_N1_NOUVEAU[SOCIETE],"TURVILLA")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99019.26999999999</v>
      </c>
      <c r="D26" s="50">
        <f t="shared" si="2"/>
        <v>21.626163648845992</v>
      </c>
      <c r="E26" s="51">
        <f>SUM(E20:E25)</f>
        <v>109603.60999999999</v>
      </c>
      <c r="F26" s="50">
        <f t="shared" si="2"/>
        <v>24.421306513799074</v>
      </c>
      <c r="G26" s="51">
        <f>SUM(G20:G25)</f>
        <v>-10584.339999999997</v>
      </c>
      <c r="H26" s="50">
        <f t="shared" si="4"/>
        <v>-9.6569264461270912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TURVILLA'!$G:$G,'BAL N TURVILLA'!$I:$I,$A28,'BAL N TURVILLA'!$J:$J,"T")</f>
        <v>11700</v>
      </c>
      <c r="D28" s="17">
        <f t="shared" ref="D28:F33" si="5">(C28*100)/C$8</f>
        <v>2.5553219559334073</v>
      </c>
      <c r="E28" s="16">
        <f>SUMIFS(DONNEES_N1_NOUVEAU[MONTANT],DONNEES_N1_NOUVEAU[TL2],A28,DONNEES_N1_NOUVEAU[MOIS],DONNÉES!$C$5,DONNEES_N1_NOUVEAU[SOCIETE],"TURVILLA")</f>
        <v>0</v>
      </c>
      <c r="F28" s="17">
        <f t="shared" si="5"/>
        <v>0</v>
      </c>
      <c r="G28" s="16">
        <f>+C28-E28</f>
        <v>11700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TURVILLA'!$G:$G,'BAL N TURVILLA'!$I:$I,$A29,'BAL N TURVILLA'!$J:$J,"T")</f>
        <v>33</v>
      </c>
      <c r="D29" s="17">
        <f t="shared" si="5"/>
        <v>7.2073183372480722E-3</v>
      </c>
      <c r="E29" s="16">
        <f>SUMIFS(DONNEES_N1_NOUVEAU[MONTANT],DONNEES_N1_NOUVEAU[TL2],A29,DONNEES_N1_NOUVEAU[MOIS],DONNÉES!$C$5,DONNEES_N1_NOUVEAU[SOCIETE],"TURVILLA")</f>
        <v>29</v>
      </c>
      <c r="F29" s="17">
        <f t="shared" si="5"/>
        <v>6.4616292191486506E-3</v>
      </c>
      <c r="G29" s="16">
        <f>+C29-E29</f>
        <v>4</v>
      </c>
      <c r="H29" s="17">
        <f t="shared" si="6"/>
        <v>13.793103448275861</v>
      </c>
    </row>
    <row r="30" spans="1:8" s="18" customFormat="1" x14ac:dyDescent="0.2">
      <c r="A30" s="13" t="s">
        <v>21</v>
      </c>
      <c r="B30" s="14" t="s">
        <v>2973</v>
      </c>
      <c r="C30" s="23">
        <f>SUMIFS('BAL N TURVILLA'!$G:$G,'BAL N TURVILLA'!$I:$I,$A30,'BAL N TURVILLA'!$J:$J,"T")</f>
        <v>4742.9799999999996</v>
      </c>
      <c r="D30" s="17">
        <f t="shared" si="5"/>
        <v>1.0358838402182078</v>
      </c>
      <c r="E30" s="16">
        <f>SUMIFS(DONNEES_N1_NOUVEAU[MONTANT],DONNEES_N1_NOUVEAU[TL2],A30,DONNEES_N1_NOUVEAU[MOIS],DONNÉES!$C$5,DONNEES_N1_NOUVEAU[SOCIETE],"TURVILLA")</f>
        <v>4199.6899999999996</v>
      </c>
      <c r="F30" s="17">
        <f t="shared" si="5"/>
        <v>0.93575309018504804</v>
      </c>
      <c r="G30" s="16">
        <f>+C30-E30</f>
        <v>543.29</v>
      </c>
      <c r="H30" s="17">
        <f t="shared" si="6"/>
        <v>12.936431022289741</v>
      </c>
    </row>
    <row r="31" spans="1:8" s="18" customFormat="1" x14ac:dyDescent="0.2">
      <c r="A31" s="13" t="s">
        <v>23</v>
      </c>
      <c r="B31" s="14" t="s">
        <v>2974</v>
      </c>
      <c r="C31" s="23">
        <f>SUMIFS('BAL N TURVILLA'!$G:$G,'BAL N TURVILLA'!$I:$I,$A31,'BAL N TURVILLA'!$J:$J,"T")</f>
        <v>1882.74</v>
      </c>
      <c r="D31" s="17">
        <f t="shared" si="5"/>
        <v>0.41119716746274043</v>
      </c>
      <c r="E31" s="16">
        <f>SUMIFS(DONNEES_N1_NOUVEAU[MONTANT],DONNEES_N1_NOUVEAU[TL2],A31,DONNEES_N1_NOUVEAU[MOIS],DONNÉES!$C$5,DONNEES_N1_NOUVEAU[SOCIETE],"TURVILLA")</f>
        <v>1632.07</v>
      </c>
      <c r="F31" s="17">
        <f t="shared" si="5"/>
        <v>0.36364935171365304</v>
      </c>
      <c r="G31" s="16">
        <f>+C31-E31</f>
        <v>250.67000000000007</v>
      </c>
      <c r="H31" s="17">
        <f t="shared" si="6"/>
        <v>15.359022590942795</v>
      </c>
    </row>
    <row r="32" spans="1:8" s="18" customFormat="1" x14ac:dyDescent="0.2">
      <c r="A32" s="13" t="s">
        <v>25</v>
      </c>
      <c r="B32" s="14" t="s">
        <v>2975</v>
      </c>
      <c r="C32" s="23">
        <f>SUMIFS('BAL N TURVILLA'!$G:$G,'BAL N TURVILLA'!$I:$I,$A32,'BAL N TURVILLA'!$J:$J,"T")</f>
        <v>8674.4</v>
      </c>
      <c r="D32" s="17">
        <f t="shared" si="5"/>
        <v>1.8945200662007478</v>
      </c>
      <c r="E32" s="16">
        <f>SUMIFS(DONNEES_N1_NOUVEAU[MONTANT],DONNEES_N1_NOUVEAU[TL2],A32,DONNEES_N1_NOUVEAU[MOIS],DONNÉES!$C$5,DONNEES_N1_NOUVEAU[SOCIETE],"TURVILLA")</f>
        <v>9083.8799999999992</v>
      </c>
      <c r="F32" s="17">
        <f t="shared" si="5"/>
        <v>2.0240229114220702</v>
      </c>
      <c r="G32" s="16">
        <f>+C32-E32</f>
        <v>-409.47999999999956</v>
      </c>
      <c r="H32" s="17">
        <f t="shared" si="6"/>
        <v>-4.5077654042105317</v>
      </c>
    </row>
    <row r="33" spans="1:8" ht="13.5" thickBot="1" x14ac:dyDescent="0.25">
      <c r="A33" s="7"/>
      <c r="B33" s="63" t="s">
        <v>2976</v>
      </c>
      <c r="C33" s="49">
        <f>SUM(C28:C32)</f>
        <v>27033.120000000003</v>
      </c>
      <c r="D33" s="50">
        <f t="shared" si="5"/>
        <v>5.9041303481523526</v>
      </c>
      <c r="E33" s="51">
        <f>SUM(E28:E32)</f>
        <v>14944.64</v>
      </c>
      <c r="F33" s="50">
        <f t="shared" si="5"/>
        <v>3.3298869825399207</v>
      </c>
      <c r="G33" s="51">
        <f>SUM(G28:G32)</f>
        <v>12088.480000000001</v>
      </c>
      <c r="H33" s="50">
        <f t="shared" si="6"/>
        <v>80.888398783778001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TURVILLA'!$G:$G,'BAL N TURVILLA'!$I:$I,$A35,'BAL N TURVILLA'!$J:$J,"T")</f>
        <v>2808.89</v>
      </c>
      <c r="D35" s="17">
        <f t="shared" ref="D35:F42" si="7">(C35*100)/C$8</f>
        <v>0.61347164861553749</v>
      </c>
      <c r="E35" s="16">
        <f>SUMIFS(DONNEES_N1_NOUVEAU[MONTANT],DONNEES_N1_NOUVEAU[TL2],A35,DONNEES_N1_NOUVEAU[MOIS],DONNÉES!$C$5,DONNEES_N1_NOUVEAU[SOCIETE],"TURVILLA")</f>
        <v>1308.83</v>
      </c>
      <c r="F35" s="17">
        <f t="shared" si="7"/>
        <v>0.29162669554821824</v>
      </c>
      <c r="G35" s="16">
        <f t="shared" ref="G35:G41" si="8">+C35-E35</f>
        <v>1500.06</v>
      </c>
      <c r="H35" s="17">
        <f t="shared" ref="H35:H42" si="9">IF(E35=0,0,G35/E35*100)</f>
        <v>114.61075922770718</v>
      </c>
    </row>
    <row r="36" spans="1:8" s="18" customFormat="1" x14ac:dyDescent="0.2">
      <c r="A36" s="13" t="s">
        <v>30</v>
      </c>
      <c r="B36" s="14" t="s">
        <v>145</v>
      </c>
      <c r="C36" s="23">
        <f>SUMIFS('BAL N TURVILLA'!$G:$G,'BAL N TURVILLA'!$I:$I,$A36,'BAL N TURVILLA'!$J:$J,"T")</f>
        <v>18397.91</v>
      </c>
      <c r="D36" s="17">
        <f t="shared" si="7"/>
        <v>4.0181695184860509</v>
      </c>
      <c r="E36" s="16">
        <f>SUMIFS(DONNEES_N1_NOUVEAU[MONTANT],DONNEES_N1_NOUVEAU[TL2],A36,DONNEES_N1_NOUVEAU[MOIS],DONNÉES!$C$5,DONNEES_N1_NOUVEAU[SOCIETE],"TURVILLA")</f>
        <v>17994.57</v>
      </c>
      <c r="F36" s="17">
        <f t="shared" si="7"/>
        <v>4.0094565275177843</v>
      </c>
      <c r="G36" s="16">
        <f t="shared" si="8"/>
        <v>403.34000000000015</v>
      </c>
      <c r="H36" s="17">
        <f t="shared" si="9"/>
        <v>2.2414539497192774</v>
      </c>
    </row>
    <row r="37" spans="1:8" s="18" customFormat="1" x14ac:dyDescent="0.2">
      <c r="A37" s="13" t="s">
        <v>32</v>
      </c>
      <c r="B37" s="14" t="s">
        <v>19</v>
      </c>
      <c r="C37" s="23">
        <f>SUMIFS('BAL N TURVILLA'!$G:$G,'BAL N TURVILLA'!$I:$I,$A37,'BAL N TURVILLA'!$J:$J,"T")</f>
        <v>9310.24</v>
      </c>
      <c r="D37" s="17">
        <f t="shared" si="7"/>
        <v>2.0333898023084997</v>
      </c>
      <c r="E37" s="16">
        <f>SUMIFS(DONNEES_N1_NOUVEAU[MONTANT],DONNEES_N1_NOUVEAU[TL2],A37,DONNEES_N1_NOUVEAU[MOIS],DONNÉES!$C$5,DONNEES_N1_NOUVEAU[SOCIETE],"TURVILLA")</f>
        <v>7457.26</v>
      </c>
      <c r="F37" s="17">
        <f t="shared" si="7"/>
        <v>1.6615879003720162</v>
      </c>
      <c r="G37" s="16">
        <f t="shared" si="8"/>
        <v>1852.9799999999996</v>
      </c>
      <c r="H37" s="17">
        <f t="shared" si="9"/>
        <v>24.84800047202323</v>
      </c>
    </row>
    <row r="38" spans="1:8" s="18" customFormat="1" x14ac:dyDescent="0.2">
      <c r="A38" s="13" t="s">
        <v>34</v>
      </c>
      <c r="B38" s="14" t="s">
        <v>28</v>
      </c>
      <c r="C38" s="23">
        <f>SUMIFS('BAL N TURVILLA'!$G:$G,'BAL N TURVILLA'!$I:$I,$A38,'BAL N TURVILLA'!$J:$J,"T")</f>
        <v>12969</v>
      </c>
      <c r="D38" s="17">
        <f t="shared" si="7"/>
        <v>2.8324761065384925</v>
      </c>
      <c r="E38" s="16">
        <f>SUMIFS(DONNEES_N1_NOUVEAU[MONTANT],DONNEES_N1_NOUVEAU[TL2],A38,DONNEES_N1_NOUVEAU[MOIS],DONNÉES!$C$5,DONNEES_N1_NOUVEAU[SOCIETE],"TURVILLA")</f>
        <v>13424</v>
      </c>
      <c r="F38" s="17">
        <f t="shared" si="7"/>
        <v>2.9910658840638447</v>
      </c>
      <c r="G38" s="16">
        <f t="shared" si="8"/>
        <v>-455</v>
      </c>
      <c r="H38" s="17">
        <f t="shared" si="9"/>
        <v>-3.3894517282479142</v>
      </c>
    </row>
    <row r="39" spans="1:8" s="18" customFormat="1" x14ac:dyDescent="0.2">
      <c r="A39" s="13" t="s">
        <v>2978</v>
      </c>
      <c r="B39" s="14" t="s">
        <v>2980</v>
      </c>
      <c r="C39" s="23">
        <f>SUMIFS('BAL N TURVILLA'!$G:$G,'BAL N TURVILLA'!$I:$I,$A39,'BAL N TURVILLA'!$J:$J,"T")</f>
        <v>4201.25</v>
      </c>
      <c r="D39" s="17">
        <f t="shared" si="7"/>
        <v>0.91756806558677162</v>
      </c>
      <c r="E39" s="16">
        <f>SUMIFS(DONNEES_N1_NOUVEAU[MONTANT],DONNEES_N1_NOUVEAU[TL2],A39,DONNEES_N1_NOUVEAU[MOIS],DONNÉES!$C$5,DONNEES_N1_NOUVEAU[SOCIETE],"TURVILLA")</f>
        <v>4207.96</v>
      </c>
      <c r="F39" s="17">
        <f t="shared" si="7"/>
        <v>0.93759576858650884</v>
      </c>
      <c r="G39" s="16">
        <f t="shared" si="8"/>
        <v>-6.7100000000000364</v>
      </c>
      <c r="H39" s="17">
        <f t="shared" si="9"/>
        <v>-0.15945969068147123</v>
      </c>
    </row>
    <row r="40" spans="1:8" s="18" customFormat="1" x14ac:dyDescent="0.2">
      <c r="A40" s="13" t="s">
        <v>2979</v>
      </c>
      <c r="B40" s="14" t="s">
        <v>2981</v>
      </c>
      <c r="C40" s="23">
        <f>SUMIFS('BAL N TURVILLA'!$G:$G,'BAL N TURVILLA'!$I:$I,$A40,'BAL N TURVILLA'!$J:$J,"T")</f>
        <v>314.23</v>
      </c>
      <c r="D40" s="17">
        <f t="shared" si="7"/>
        <v>6.8628958821620054E-2</v>
      </c>
      <c r="E40" s="16">
        <f>SUMIFS(DONNEES_N1_NOUVEAU[MONTANT],DONNEES_N1_NOUVEAU[TL2],A40,DONNEES_N1_NOUVEAU[MOIS],DONNÉES!$C$5,DONNEES_N1_NOUVEAU[SOCIETE],"TURVILLA")</f>
        <v>20.32</v>
      </c>
      <c r="F40" s="17">
        <f t="shared" si="7"/>
        <v>4.5275967494172618E-3</v>
      </c>
      <c r="G40" s="16">
        <f t="shared" si="8"/>
        <v>293.91000000000003</v>
      </c>
      <c r="H40" s="17">
        <f t="shared" si="9"/>
        <v>1446.4074803149608</v>
      </c>
    </row>
    <row r="41" spans="1:8" s="18" customFormat="1" x14ac:dyDescent="0.2">
      <c r="A41" s="13" t="s">
        <v>2982</v>
      </c>
      <c r="B41" s="14" t="s">
        <v>2983</v>
      </c>
      <c r="C41" s="23">
        <f>SUMIFS('BAL N TURVILLA'!$G:$G,'BAL N TURVILLA'!$I:$I,$A41,'BAL N TURVILLA'!$J:$J,"T")</f>
        <v>3190.98</v>
      </c>
      <c r="D41" s="17">
        <f t="shared" si="7"/>
        <v>0.69692147478157129</v>
      </c>
      <c r="E41" s="16">
        <f>SUMIFS(DONNEES_N1_NOUVEAU[MONTANT],DONNEES_N1_NOUVEAU[TL2],A41,DONNEES_N1_NOUVEAU[MOIS],DONNÉES!$C$5,DONNEES_N1_NOUVEAU[SOCIETE],"TURVILLA")</f>
        <v>2809.24</v>
      </c>
      <c r="F41" s="17">
        <f t="shared" si="7"/>
        <v>0.62594025060693637</v>
      </c>
      <c r="G41" s="16">
        <f t="shared" si="8"/>
        <v>381.74000000000024</v>
      </c>
      <c r="H41" s="17">
        <f t="shared" si="9"/>
        <v>13.588728624111868</v>
      </c>
    </row>
    <row r="42" spans="1:8" ht="13.5" thickBot="1" x14ac:dyDescent="0.25">
      <c r="A42" s="13"/>
      <c r="B42" s="63" t="s">
        <v>2984</v>
      </c>
      <c r="C42" s="49">
        <f>+SUM(C35:C41)</f>
        <v>51192.500000000007</v>
      </c>
      <c r="D42" s="50">
        <f t="shared" si="7"/>
        <v>11.180625575138546</v>
      </c>
      <c r="E42" s="51">
        <f>+SUM(E35:E41)</f>
        <v>47222.18</v>
      </c>
      <c r="F42" s="50">
        <f t="shared" si="7"/>
        <v>10.521800623444726</v>
      </c>
      <c r="G42" s="51">
        <f>+SUM(G35:G41)</f>
        <v>3970.3199999999997</v>
      </c>
      <c r="H42" s="50">
        <f t="shared" si="9"/>
        <v>8.4077439881005063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163851.43000000002</v>
      </c>
      <c r="D44" s="71">
        <f>(C44*100)/C$8</f>
        <v>35.785739879494514</v>
      </c>
      <c r="E44" s="72">
        <f>E18-E26-E33-E42</f>
        <v>161665.78999999998</v>
      </c>
      <c r="F44" s="71">
        <f>(E44*100)/E$8</f>
        <v>36.021530772439647</v>
      </c>
      <c r="G44" s="72">
        <f>G18-G26-G33-G42</f>
        <v>2185.6400000000267</v>
      </c>
      <c r="H44" s="71">
        <f>IF(E44=0,0,G44/E44*100)</f>
        <v>1.351949599231864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TURVILLA'!$G:$G,'BAL N TURVILLA'!$I:$I,$A46,'BAL N TURVILLA'!$J:$J,"T")</f>
        <v>65303.63</v>
      </c>
      <c r="D46" s="17">
        <f t="shared" ref="D46:F49" si="10">(C46*100)/C$8</f>
        <v>14.262546969329192</v>
      </c>
      <c r="E46" s="16">
        <f>SUMIFS(DONNEES_N1_NOUVEAU[MONTANT],DONNEES_N1_NOUVEAU[TL2],A46,DONNEES_N1_NOUVEAU[MOIS],DONNÉES!$C$5,DONNEES_N1_NOUVEAU[SOCIETE],"TURVILLA")</f>
        <v>63901.78</v>
      </c>
      <c r="F46" s="17">
        <f t="shared" si="10"/>
        <v>14.238262372538237</v>
      </c>
      <c r="G46" s="16">
        <f>+C46-E46</f>
        <v>1401.8499999999985</v>
      </c>
      <c r="H46" s="17">
        <f>IF(E46=0,0,G46/E46*100)</f>
        <v>2.1937573569938094</v>
      </c>
    </row>
    <row r="47" spans="1:8" s="18" customFormat="1" x14ac:dyDescent="0.2">
      <c r="A47" s="13" t="s">
        <v>35</v>
      </c>
      <c r="B47" s="14" t="s">
        <v>2986</v>
      </c>
      <c r="C47" s="23">
        <f>SUMIFS('BAL N TURVILLA'!$G:$G,'BAL N TURVILLA'!$I:$I,$A47,'BAL N TURVILLA'!$J:$J,"T")</f>
        <v>1813.68</v>
      </c>
      <c r="D47" s="17">
        <f t="shared" si="10"/>
        <v>0.39611421581515405</v>
      </c>
      <c r="E47" s="16">
        <f>SUMIFS(DONNEES_N1_NOUVEAU[MONTANT],DONNEES_N1_NOUVEAU[TL2],A47,DONNEES_N1_NOUVEAU[MOIS],DONNÉES!$C$5,DONNEES_N1_NOUVEAU[SOCIETE],"TURVILLA")</f>
        <v>1624.14</v>
      </c>
      <c r="F47" s="17">
        <f t="shared" si="10"/>
        <v>0.36188243034441692</v>
      </c>
      <c r="G47" s="16">
        <f>+C47-E47</f>
        <v>189.53999999999996</v>
      </c>
      <c r="H47" s="17">
        <f>IF(E47=0,0,G47/E47*100)</f>
        <v>11.670176216336028</v>
      </c>
    </row>
    <row r="48" spans="1:8" s="18" customFormat="1" x14ac:dyDescent="0.2">
      <c r="A48" s="13" t="s">
        <v>37</v>
      </c>
      <c r="B48" s="14" t="s">
        <v>2987</v>
      </c>
      <c r="C48" s="23">
        <f>SUMIFS('BAL N TURVILLA'!$G:$G,'BAL N TURVILLA'!$I:$I,$A48,'BAL N TURVILLA'!$J:$J,"T")</f>
        <v>-3945.49</v>
      </c>
      <c r="D48" s="17">
        <f t="shared" si="10"/>
        <v>-0.86170916443723922</v>
      </c>
      <c r="E48" s="16">
        <f>SUMIFS(DONNEES_N1_NOUVEAU[MONTANT],DONNEES_N1_NOUVEAU[TL2],A48,DONNEES_N1_NOUVEAU[MOIS],DONNÉES!$C$5,DONNEES_N1_NOUVEAU[SOCIETE],"TURVILLA")</f>
        <v>-3959.6</v>
      </c>
      <c r="F48" s="17">
        <f t="shared" si="10"/>
        <v>-0.88225748469451715</v>
      </c>
      <c r="G48" s="16">
        <f>+C48-E48</f>
        <v>14.110000000000127</v>
      </c>
      <c r="H48" s="17">
        <f>IF(E48=0,0,G48/E48*100)</f>
        <v>-0.35634912617436426</v>
      </c>
    </row>
    <row r="49" spans="1:8" ht="13.5" thickBot="1" x14ac:dyDescent="0.25">
      <c r="A49" s="13"/>
      <c r="B49" s="63" t="s">
        <v>2988</v>
      </c>
      <c r="C49" s="49">
        <f>SUM(C46:C48)</f>
        <v>63171.82</v>
      </c>
      <c r="D49" s="50">
        <f t="shared" si="10"/>
        <v>13.796952020707106</v>
      </c>
      <c r="E49" s="51">
        <f>SUM(E46:E48)</f>
        <v>61566.32</v>
      </c>
      <c r="F49" s="50">
        <f t="shared" si="10"/>
        <v>13.717887318188136</v>
      </c>
      <c r="G49" s="51">
        <f>SUM(G46:G48)</f>
        <v>1605.4999999999986</v>
      </c>
      <c r="H49" s="50">
        <f>IF(E49=0,0,G49/E49*100)</f>
        <v>2.6077569684203938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TURVILLA'!$G:$G,'BAL N TURVILLA'!$I:$I,$A51,'BAL N TURVILLA'!$J:$J,"T")</f>
        <v>816</v>
      </c>
      <c r="D51" s="17">
        <f t="shared" ref="D51:F59" si="11">(C51*100)/C$8</f>
        <v>0.17821732615740687</v>
      </c>
      <c r="E51" s="16">
        <f>SUMIFS(DONNEES_N1_NOUVEAU[MONTANT],DONNEES_N1_NOUVEAU[TL2],A51,DONNEES_N1_NOUVEAU[MOIS],DONNÉES!$C$5,DONNEES_N1_NOUVEAU[SOCIETE],"TURVILLA")</f>
        <v>816</v>
      </c>
      <c r="F51" s="17">
        <f t="shared" si="11"/>
        <v>0.18181687733880342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TURVILLA'!$G:$G,'BAL N TURVILLA'!$I:$I,$A52,'BAL N TURVILLA'!$J:$J,"T")</f>
        <v>23322.080000000002</v>
      </c>
      <c r="D52" s="17">
        <f t="shared" si="11"/>
        <v>5.0936259044474701</v>
      </c>
      <c r="E52" s="16">
        <f>SUMIFS(DONNEES_N1_NOUVEAU[MONTANT],DONNEES_N1_NOUVEAU[TL2],A52,DONNEES_N1_NOUVEAU[MOIS],DONNÉES!$C$5,DONNEES_N1_NOUVEAU[SOCIETE],"TURVILLA")</f>
        <v>22822.06</v>
      </c>
      <c r="F52" s="17">
        <f t="shared" si="11"/>
        <v>5.0850927495573677</v>
      </c>
      <c r="G52" s="16">
        <f t="shared" si="12"/>
        <v>500.02000000000044</v>
      </c>
      <c r="H52" s="17">
        <f t="shared" si="13"/>
        <v>2.1909503348952741</v>
      </c>
    </row>
    <row r="53" spans="1:8" s="18" customFormat="1" x14ac:dyDescent="0.2">
      <c r="A53" s="13" t="s">
        <v>44</v>
      </c>
      <c r="B53" s="14" t="s">
        <v>62</v>
      </c>
      <c r="C53" s="23">
        <f>SUMIFS('BAL N TURVILLA'!$G:$G,'BAL N TURVILLA'!$I:$I,$A53,'BAL N TURVILLA'!$J:$J,"T")</f>
        <v>1689.33</v>
      </c>
      <c r="D53" s="17">
        <f t="shared" si="11"/>
        <v>0.36895572989888742</v>
      </c>
      <c r="E53" s="16">
        <f>SUMIFS(DONNEES_N1_NOUVEAU[MONTANT],DONNEES_N1_NOUVEAU[TL2],A53,DONNEES_N1_NOUVEAU[MOIS],DONNÉES!$C$5,DONNEES_N1_NOUVEAU[SOCIETE],"TURVILLA")</f>
        <v>1502</v>
      </c>
      <c r="F53" s="17">
        <f t="shared" si="11"/>
        <v>0.33466783059176808</v>
      </c>
      <c r="G53" s="16">
        <f t="shared" si="12"/>
        <v>187.32999999999993</v>
      </c>
      <c r="H53" s="17">
        <f t="shared" si="13"/>
        <v>12.472037283621832</v>
      </c>
    </row>
    <row r="54" spans="1:8" s="18" customFormat="1" x14ac:dyDescent="0.2">
      <c r="A54" s="13" t="s">
        <v>45</v>
      </c>
      <c r="B54" s="14" t="s">
        <v>41</v>
      </c>
      <c r="C54" s="23">
        <f>SUMIFS('BAL N TURVILLA'!$G:$G,'BAL N TURVILLA'!$I:$I,$A54,'BAL N TURVILLA'!$J:$J,"T")</f>
        <v>2119.56</v>
      </c>
      <c r="D54" s="17">
        <f t="shared" si="11"/>
        <v>0.46291950469386434</v>
      </c>
      <c r="E54" s="16">
        <f>SUMIFS(DONNEES_N1_NOUVEAU[MONTANT],DONNEES_N1_NOUVEAU[TL2],A54,DONNEES_N1_NOUVEAU[MOIS],DONNÉES!$C$5,DONNEES_N1_NOUVEAU[SOCIETE],"TURVILLA")</f>
        <v>1798.64</v>
      </c>
      <c r="F54" s="17">
        <f t="shared" si="11"/>
        <v>0.40076361305963892</v>
      </c>
      <c r="G54" s="16">
        <f t="shared" si="12"/>
        <v>320.91999999999985</v>
      </c>
      <c r="H54" s="17">
        <f t="shared" si="13"/>
        <v>17.842369790508375</v>
      </c>
    </row>
    <row r="55" spans="1:8" s="18" customFormat="1" x14ac:dyDescent="0.2">
      <c r="A55" s="13" t="s">
        <v>47</v>
      </c>
      <c r="B55" s="14" t="s">
        <v>43</v>
      </c>
      <c r="C55" s="23">
        <f>SUMIFS('BAL N TURVILLA'!$G:$G,'BAL N TURVILLA'!$I:$I,$A55,'BAL N TURVILLA'!$J:$J,"T")</f>
        <v>3625.3</v>
      </c>
      <c r="D55" s="17">
        <f t="shared" si="11"/>
        <v>0.79177852024319506</v>
      </c>
      <c r="E55" s="16">
        <f>SUMIFS(DONNEES_N1_NOUVEAU[MONTANT],DONNEES_N1_NOUVEAU[TL2],A55,DONNEES_N1_NOUVEAU[MOIS],DONNÉES!$C$5,DONNEES_N1_NOUVEAU[SOCIETE],"TURVILLA")</f>
        <v>3809.51</v>
      </c>
      <c r="F55" s="17">
        <f t="shared" si="11"/>
        <v>0.84881521126341297</v>
      </c>
      <c r="G55" s="16">
        <f t="shared" si="12"/>
        <v>-184.21000000000004</v>
      </c>
      <c r="H55" s="17">
        <f t="shared" si="13"/>
        <v>-4.835530028796355</v>
      </c>
    </row>
    <row r="56" spans="1:8" s="18" customFormat="1" x14ac:dyDescent="0.2">
      <c r="A56" s="13" t="s">
        <v>48</v>
      </c>
      <c r="B56" s="14" t="s">
        <v>46</v>
      </c>
      <c r="C56" s="23">
        <f>SUMIFS('BAL N TURVILLA'!$G:$G,'BAL N TURVILLA'!$I:$I,$A56,'BAL N TURVILLA'!$J:$J,"T")</f>
        <v>24500</v>
      </c>
      <c r="D56" s="17">
        <f t="shared" si="11"/>
        <v>5.3508878564417506</v>
      </c>
      <c r="E56" s="16">
        <f>SUMIFS(DONNEES_N1_NOUVEAU[MONTANT],DONNEES_N1_NOUVEAU[TL2],A56,DONNEES_N1_NOUVEAU[MOIS],DONNÉES!$C$5,DONNEES_N1_NOUVEAU[SOCIETE],"TURVILLA")</f>
        <v>27578.74</v>
      </c>
      <c r="F56" s="17">
        <f t="shared" si="11"/>
        <v>6.1449514555621949</v>
      </c>
      <c r="G56" s="16">
        <f t="shared" si="12"/>
        <v>-3078.7400000000016</v>
      </c>
      <c r="H56" s="17">
        <f t="shared" si="13"/>
        <v>-11.163454167956917</v>
      </c>
    </row>
    <row r="57" spans="1:8" s="18" customFormat="1" x14ac:dyDescent="0.2">
      <c r="A57" s="13" t="s">
        <v>50</v>
      </c>
      <c r="B57" s="14" t="s">
        <v>2990</v>
      </c>
      <c r="C57" s="23">
        <f>SUMIFS('BAL N TURVILLA'!$G:$G,'BAL N TURVILLA'!$I:$I,$A57,'BAL N TURVILLA'!$J:$J,"T")</f>
        <v>709.71</v>
      </c>
      <c r="D57" s="17">
        <f t="shared" si="11"/>
        <v>0.15500320900388875</v>
      </c>
      <c r="E57" s="16">
        <f>SUMIFS(DONNEES_N1_NOUVEAU[MONTANT],DONNEES_N1_NOUVEAU[TL2],A57,DONNEES_N1_NOUVEAU[MOIS],DONNÉES!$C$5,DONNEES_N1_NOUVEAU[SOCIETE],"TURVILLA")</f>
        <v>0</v>
      </c>
      <c r="F57" s="17">
        <f t="shared" si="11"/>
        <v>0</v>
      </c>
      <c r="G57" s="16">
        <f t="shared" si="12"/>
        <v>709.71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TURVILLA'!$G:$G,'BAL N TURVILLA'!$I:$I,$A58,'BAL N TURVILLA'!$J:$J,"T")</f>
        <v>429.58</v>
      </c>
      <c r="D58" s="17">
        <f t="shared" si="11"/>
        <v>9.3821812464091714E-2</v>
      </c>
      <c r="E58" s="16">
        <f>SUMIFS(DONNEES_N1_NOUVEAU[MONTANT],DONNEES_N1_NOUVEAU[TL2],A58,DONNEES_N1_NOUVEAU[MOIS],DONNÉES!$C$5,DONNEES_N1_NOUVEAU[SOCIETE],"TURVILLA")</f>
        <v>1162.94</v>
      </c>
      <c r="F58" s="17">
        <f t="shared" si="11"/>
        <v>0.25912024427988734</v>
      </c>
      <c r="G58" s="16">
        <f t="shared" si="12"/>
        <v>-733.36000000000013</v>
      </c>
      <c r="H58" s="17">
        <f t="shared" si="13"/>
        <v>-63.060862985192713</v>
      </c>
    </row>
    <row r="59" spans="1:8" ht="13.5" thickBot="1" x14ac:dyDescent="0.25">
      <c r="A59" s="13"/>
      <c r="B59" s="63" t="s">
        <v>2994</v>
      </c>
      <c r="C59" s="49">
        <f>SUM(C51:C58)</f>
        <v>57211.560000000005</v>
      </c>
      <c r="D59" s="50">
        <f t="shared" si="11"/>
        <v>12.495209863350556</v>
      </c>
      <c r="E59" s="51">
        <f>SUM(E51:E58)</f>
        <v>59489.89</v>
      </c>
      <c r="F59" s="50">
        <f t="shared" si="11"/>
        <v>13.255227981653073</v>
      </c>
      <c r="G59" s="51">
        <f>SUM(G51:G58)</f>
        <v>-2278.3300000000013</v>
      </c>
      <c r="H59" s="50">
        <f t="shared" si="13"/>
        <v>-3.8297767906445976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297628.27</v>
      </c>
      <c r="D61" s="71">
        <f>(C61*100)/C$8</f>
        <v>65.00308145619455</v>
      </c>
      <c r="E61" s="72">
        <f>E59+E49+E42+E33+E26</f>
        <v>292826.63999999996</v>
      </c>
      <c r="F61" s="71">
        <f>(E61*100)/E$8</f>
        <v>65.246109419624929</v>
      </c>
      <c r="G61" s="72">
        <f>G59+G49+G42+G33+G26</f>
        <v>4801.630000000001</v>
      </c>
      <c r="H61" s="71">
        <f>IF(E61=0,0,G61/E61*100)</f>
        <v>1.6397517657546465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TURVILLA'!$G:$G,'BAL N TURVILLA'!$I:$I,$A63,'BAL N TURVILLA'!$J:$J,"T")</f>
        <v>8593.67</v>
      </c>
      <c r="D63" s="17">
        <f t="shared" ref="D63:F65" si="14">(C63*100)/C$8</f>
        <v>1.8768883447048073</v>
      </c>
      <c r="E63" s="16">
        <f>-SUMIFS(DONNEES_N1_NOUVEAU[MONTANT],DONNEES_N1_NOUVEAU[TL2],A63,DONNEES_N1_NOUVEAU[MOIS],DONNÉES!$C$5,DONNEES_N1_NOUVEAU[SOCIETE],"TURVILLA")</f>
        <v>7638.04</v>
      </c>
      <c r="F63" s="17">
        <f t="shared" si="14"/>
        <v>1.7018683600353848</v>
      </c>
      <c r="G63" s="16">
        <f>+C63-E63</f>
        <v>955.63000000000011</v>
      </c>
      <c r="H63" s="17">
        <f>IF(E63=0,0,G63/E63*100)</f>
        <v>12.511455818508416</v>
      </c>
    </row>
    <row r="64" spans="1:8" s="18" customFormat="1" x14ac:dyDescent="0.2">
      <c r="A64" s="13" t="s">
        <v>2992</v>
      </c>
      <c r="B64" s="68" t="s">
        <v>65</v>
      </c>
      <c r="C64" s="23">
        <f>SUMIFS('BAL N TURVILLA'!$G:$G,'BAL N TURVILLA'!$I:$I,$A64,'BAL N TURVILLA'!$J:$J,"T")</f>
        <v>6616.1</v>
      </c>
      <c r="D64" s="17">
        <f t="shared" si="14"/>
        <v>1.4449799651838475</v>
      </c>
      <c r="E64" s="24">
        <f>SUMIFS(DONNEES_N1_NOUVEAU[MONTANT],DONNEES_N1_NOUVEAU[TL2],A64,DONNEES_N1_NOUVEAU[MOIS],DONNÉES!$C$5,DONNEES_N1_NOUVEAU[SOCIETE],"TURVILLA")</f>
        <v>7088.84</v>
      </c>
      <c r="F64" s="17">
        <f t="shared" si="14"/>
        <v>1.5794984715127491</v>
      </c>
      <c r="G64" s="16">
        <f>+C64-E64</f>
        <v>-472.73999999999978</v>
      </c>
      <c r="H64" s="17">
        <f>IF(E64=0,0,G64/E64*100)</f>
        <v>-6.6687920731741697</v>
      </c>
    </row>
    <row r="65" spans="1:9" s="59" customFormat="1" ht="13.5" x14ac:dyDescent="0.2">
      <c r="A65" s="13"/>
      <c r="B65" s="62" t="s">
        <v>53</v>
      </c>
      <c r="C65" s="67">
        <f>+C63-C64</f>
        <v>1977.5699999999997</v>
      </c>
      <c r="D65" s="56">
        <f t="shared" si="14"/>
        <v>0.43190837952095962</v>
      </c>
      <c r="E65" s="57">
        <f>+E63-E64</f>
        <v>549.19999999999982</v>
      </c>
      <c r="F65" s="56">
        <f t="shared" si="14"/>
        <v>0.12236988852263579</v>
      </c>
      <c r="G65" s="58">
        <f>+G63-G64</f>
        <v>1428.37</v>
      </c>
      <c r="H65" s="56">
        <f>IF(E65=0,0,G65/E65*100)</f>
        <v>260.08193736343782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TURVILLA'!$G:$G,'BAL N TURVILLA'!$I:$I,$A67,'BAL N TURVILLA'!$J:$J,"T")</f>
        <v>-559.09</v>
      </c>
      <c r="D67" s="17">
        <f>(C67*100)/C$8</f>
        <v>-0.12210726088400074</v>
      </c>
      <c r="E67" s="16">
        <f>-SUMIFS(DONNEES_N1_NOUVEAU[MONTANT],DONNEES_N1_NOUVEAU[TL2],A67,DONNEES_N1_NOUVEAU[MOIS],DONNÉES!$C$5,DONNEES_N1_NOUVEAU[SOCIETE],"TURVILLA")</f>
        <v>-722.56</v>
      </c>
      <c r="F67" s="17">
        <f>(E67*100)/E$8</f>
        <v>-0.16099706236510514</v>
      </c>
      <c r="G67" s="16">
        <f>+C67-E67</f>
        <v>163.46999999999991</v>
      </c>
      <c r="H67" s="17">
        <f>IF(E67=0,0,G67/E67*100)</f>
        <v>-22.623726749335685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44886.529999999992</v>
      </c>
      <c r="D69" s="10">
        <f>(C69*100)/C$8</f>
        <v>9.8033791140738078</v>
      </c>
      <c r="E69" s="9">
        <f>E18-E61+E65+E67</f>
        <v>40436.220000000016</v>
      </c>
      <c r="F69" s="10">
        <f>(E69*100)/E$8</f>
        <v>9.0097882987559714</v>
      </c>
      <c r="G69" s="9">
        <f>G18-G61+G65+G67</f>
        <v>4450.3100000000295</v>
      </c>
      <c r="H69" s="10">
        <f>IF(E69=0,0,G69/E69*100)</f>
        <v>11.005751774028402</v>
      </c>
    </row>
    <row r="70" spans="1:9" ht="13.5" thickBot="1" x14ac:dyDescent="0.25">
      <c r="A70" s="13"/>
      <c r="B70" s="63" t="s">
        <v>3034</v>
      </c>
      <c r="C70" s="49">
        <f>+C69-C67+C57+C56</f>
        <v>70655.329999999987</v>
      </c>
      <c r="D70" s="50">
        <f>(C70*100)/C$8</f>
        <v>15.431377440403446</v>
      </c>
      <c r="E70" s="49">
        <f>+E69-E67+E57+E56</f>
        <v>68737.520000000019</v>
      </c>
      <c r="F70" s="50">
        <f>(E70*100)/E$8</f>
        <v>15.315736816683271</v>
      </c>
      <c r="G70" s="49">
        <f>+G69-G67+G57+G56</f>
        <v>1917.8100000000277</v>
      </c>
      <c r="H70" s="50">
        <f>IF(E70=0,0,G70/E70*100)</f>
        <v>2.7900482880383626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TURVILLA'!$G:$G,'BAL N TURVILLA'!$I:$I,$A72,'BAL N TURVILLA'!$J:$J,"T")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-SUMIFS(DONNEES_N1_NOUVEAU[MONTANT],DONNEES_N1_NOUVEAU[TL2],A72,DONNEES_N1_NOUVEAU[MOIS],DONNÉES!$C$5,DONNEES_N1_NOUVEAU[SOCIETE],"TURVILLA")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TURVILLA'!$G:$G,'BAL N TURVILLA'!$I:$I,$A74,'BAL N TURVILLA'!$J:$J,"T")</f>
        <v>31887</v>
      </c>
      <c r="D74" s="10">
        <f>(C74*100)/C$8</f>
        <v>6.9642351460554321</v>
      </c>
      <c r="E74" s="9">
        <f>SUMIFS(DONNEES_N1_NOUVEAU[MONTANT],DONNEES_N1_NOUVEAU[TL2],A74,DONNEES_N1_NOUVEAU[MOIS],DONNÉES!$C$5,DONNEES_N1_NOUVEAU[SOCIETE],"TURVILLA")</f>
        <v>32952</v>
      </c>
      <c r="F74" s="10">
        <f>(E74*100)/E$8</f>
        <v>7.3421933113581499</v>
      </c>
      <c r="G74" s="9">
        <f>+C74-E74</f>
        <v>-1065</v>
      </c>
      <c r="H74" s="10">
        <f>IF(E74=0,0,G74/E74*100)</f>
        <v>-3.2319737800437003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12999.529999999992</v>
      </c>
      <c r="D76" s="71">
        <f>(C76*100)/C$8</f>
        <v>2.8391439680183748</v>
      </c>
      <c r="E76" s="72">
        <f>E69-E74+E72</f>
        <v>7484.2200000000157</v>
      </c>
      <c r="F76" s="71">
        <f>(E76*100)/E$8</f>
        <v>1.6675949873978215</v>
      </c>
      <c r="G76" s="72">
        <f>G69-G74+G72</f>
        <v>5515.3100000000295</v>
      </c>
      <c r="H76" s="71">
        <f>IF(E76=0,0,G76/E76*100)</f>
        <v>73.692515719741237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VLOOKUP(PARAMETRES!$C$2,TRANSTURV[],2,FALSE)</f>
        <v>27135</v>
      </c>
      <c r="D78" s="324"/>
      <c r="E78" s="323">
        <f>VLOOKUP(PARAMETRES!$C$2,TRANSTURV[],3,FALSE)</f>
        <v>27149</v>
      </c>
      <c r="F78" s="324"/>
      <c r="G78" s="325">
        <f>C78-E78</f>
        <v>-14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VLOOKUP(PARAMETRES!$C$2,PMTURV[],2,FALSE)</f>
        <v>17.190000000000001</v>
      </c>
      <c r="D80" s="316"/>
      <c r="E80" s="315">
        <f>VLOOKUP(PARAMETRES!$C$2,PMTURV[],3,FALSE)</f>
        <v>16.809999999999999</v>
      </c>
      <c r="F80" s="316"/>
      <c r="G80" s="317">
        <f>(C80-E80)/E80</f>
        <v>2.2605591909577786E-2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5" formula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1307-3DD0-47DD-BD3C-945F9A3B1435}">
  <sheetPr>
    <tabColor rgb="FFFFFF00"/>
    <pageSetUpPr fitToPage="1"/>
  </sheetPr>
  <dimension ref="A1:H1"/>
  <sheetViews>
    <sheetView showGridLines="0" view="pageBreakPreview" topLeftCell="A25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9FDAC-AD61-4DBC-8AD4-251C6D3BE51C}">
  <sheetPr>
    <tabColor rgb="FFFFFF00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6855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HART'!$G:$G,'BAL N HART'!$I:$I,$A8,'BAL N HART'!$J:$J,"T")</f>
        <v>0</v>
      </c>
      <c r="D8" s="71" t="e">
        <f>(C8*100)/C$8</f>
        <v>#DIV/0!</v>
      </c>
      <c r="E8" s="72">
        <f>-SUMIFS(DONNEES_N1_NOUVEAU[MONTANT],DONNEES_N1_NOUVEAU[TL2],A8,DONNEES_N1_NOUVEAU[MOIS],DONNÉES!$C$5,DONNEES_N1_NOUVEAU[SOCIETE],"HART")</f>
        <v>242390</v>
      </c>
      <c r="F8" s="71">
        <f>(E8*100)/E$8</f>
        <v>100</v>
      </c>
      <c r="G8" s="72">
        <f>+C8-E8</f>
        <v>-242390</v>
      </c>
      <c r="H8" s="71">
        <f>IF(E8=0,0,G8/E8*100)</f>
        <v>-100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HART'!$G:$G,'BAL N HART'!$I:$I,$A10,'BAL N HART'!$J:$J,"T")</f>
        <v>0</v>
      </c>
      <c r="D10" s="17" t="e">
        <f t="shared" ref="D10:F16" si="0">(C10*100)/C$8</f>
        <v>#DIV/0!</v>
      </c>
      <c r="E10" s="16">
        <f>SUMIFS(DONNEES_N1_NOUVEAU[MONTANT],DONNEES_N1_NOUVEAU[TL2],A10,DONNEES_N1_NOUVEAU[MOIS],DONNÉES!$C$5,DONNEES_N1_NOUVEAU[SOCIETE],"HART")</f>
        <v>52826.01</v>
      </c>
      <c r="F10" s="17">
        <f t="shared" si="0"/>
        <v>21.79380750030942</v>
      </c>
      <c r="G10" s="16">
        <f>+C10-E10</f>
        <v>-52826.01</v>
      </c>
      <c r="H10" s="17">
        <f t="shared" ref="H10:H16" si="1">IF(E10=0,0,G10/E10*100)</f>
        <v>-100</v>
      </c>
    </row>
    <row r="11" spans="1:8" s="18" customFormat="1" x14ac:dyDescent="0.2">
      <c r="A11" s="13" t="s">
        <v>124</v>
      </c>
      <c r="B11" s="14" t="s">
        <v>4</v>
      </c>
      <c r="C11" s="23">
        <f>SUMIFS('BAL N HART'!$G:$G,'BAL N HART'!$I:$I,$A11,'BAL N HART'!$J:$J,"T")</f>
        <v>0</v>
      </c>
      <c r="D11" s="17" t="e">
        <f t="shared" si="0"/>
        <v>#DIV/0!</v>
      </c>
      <c r="E11" s="16">
        <f>SUMIFS(DONNEES_N1_NOUVEAU[MONTANT],DONNEES_N1_NOUVEAU[TL2],A11,DONNEES_N1_NOUVEAU[MOIS],DONNÉES!$C$5,DONNEES_N1_NOUVEAU[SOCIETE],"HART")</f>
        <v>1231.93</v>
      </c>
      <c r="F11" s="17">
        <f t="shared" si="0"/>
        <v>0.50824291431164648</v>
      </c>
      <c r="G11" s="16">
        <f>+C11-E11</f>
        <v>-1231.93</v>
      </c>
      <c r="H11" s="17">
        <f t="shared" si="1"/>
        <v>-100</v>
      </c>
    </row>
    <row r="12" spans="1:8" s="18" customFormat="1" x14ac:dyDescent="0.2">
      <c r="A12" s="13" t="s">
        <v>125</v>
      </c>
      <c r="B12" s="14" t="s">
        <v>2</v>
      </c>
      <c r="C12" s="23">
        <f>SUMIFS('BAL N HART'!$G:$G,'BAL N HART'!$I:$I,$A12,'BAL N HART'!$J:$J,"T")</f>
        <v>0</v>
      </c>
      <c r="D12" s="17" t="e">
        <f t="shared" si="0"/>
        <v>#DIV/0!</v>
      </c>
      <c r="E12" s="16">
        <f>SUMIFS(DONNEES_N1_NOUVEAU[MONTANT],DONNEES_N1_NOUVEAU[TL2],A12,DONNEES_N1_NOUVEAU[MOIS],DONNÉES!$C$5,DONNEES_N1_NOUVEAU[SOCIETE],"HART")</f>
        <v>1503.01</v>
      </c>
      <c r="F12" s="17">
        <f t="shared" si="0"/>
        <v>0.62007921118858034</v>
      </c>
      <c r="G12" s="16">
        <f>+C12-E12</f>
        <v>-1503.01</v>
      </c>
      <c r="H12" s="17">
        <f t="shared" si="1"/>
        <v>-100</v>
      </c>
    </row>
    <row r="13" spans="1:8" s="59" customFormat="1" ht="13.5" x14ac:dyDescent="0.2">
      <c r="A13" s="60"/>
      <c r="B13" s="62" t="s">
        <v>6</v>
      </c>
      <c r="C13" s="55">
        <f>SUM(C10:C12)</f>
        <v>0</v>
      </c>
      <c r="D13" s="56" t="e">
        <f t="shared" si="0"/>
        <v>#DIV/0!</v>
      </c>
      <c r="E13" s="55">
        <f>SUM(E10:E12)</f>
        <v>55560.950000000004</v>
      </c>
      <c r="F13" s="56">
        <f t="shared" si="0"/>
        <v>22.922129625809646</v>
      </c>
      <c r="G13" s="55">
        <f>SUM(G10:G12)</f>
        <v>-55560.950000000004</v>
      </c>
      <c r="H13" s="56">
        <f t="shared" si="1"/>
        <v>-100</v>
      </c>
    </row>
    <row r="14" spans="1:8" s="18" customFormat="1" x14ac:dyDescent="0.2">
      <c r="A14" s="13" t="s">
        <v>126</v>
      </c>
      <c r="B14" s="14" t="s">
        <v>8</v>
      </c>
      <c r="C14" s="23">
        <f>SUMIFS('BAL N HART'!$G:$G,'BAL N HART'!$I:$I,$A14,'BAL N HART'!$J:$J,"T")</f>
        <v>0</v>
      </c>
      <c r="D14" s="17" t="e">
        <f t="shared" si="0"/>
        <v>#DIV/0!</v>
      </c>
      <c r="E14" s="16">
        <f>SUMIFS(DONNEES_N1_NOUVEAU[MONTANT],DONNEES_N1_NOUVEAU[TL2],A14,DONNEES_N1_NOUVEAU[MOIS],DONNÉES!$C$5,DONNEES_N1_NOUVEAU[SOCIETE],"HART")</f>
        <v>4996.8100000000004</v>
      </c>
      <c r="F14" s="17">
        <f t="shared" si="0"/>
        <v>2.0614753083873101</v>
      </c>
      <c r="G14" s="16">
        <f>+C14-E14</f>
        <v>-4996.8100000000004</v>
      </c>
      <c r="H14" s="17">
        <f t="shared" si="1"/>
        <v>-100</v>
      </c>
    </row>
    <row r="15" spans="1:8" s="18" customFormat="1" x14ac:dyDescent="0.2">
      <c r="A15" s="13" t="s">
        <v>2964</v>
      </c>
      <c r="B15" s="14" t="s">
        <v>2965</v>
      </c>
      <c r="C15" s="23">
        <f>SUMIFS('BAL N HART'!$G:$G,'BAL N HART'!$I:$I,$A15,'BAL N HART'!$J:$J,"T")</f>
        <v>0</v>
      </c>
      <c r="D15" s="17" t="e">
        <f t="shared" si="0"/>
        <v>#DIV/0!</v>
      </c>
      <c r="E15" s="16">
        <f>SUMIFS(DONNEES_N1_NOUVEAU[MONTANT],DONNEES_N1_NOUVEAU[TL2],A15,DONNEES_N1_NOUVEAU[MOIS],DONNÉES!$C$5,DONNEES_N1_NOUVEAU[SOCIETE],"HART")</f>
        <v>-24.32</v>
      </c>
      <c r="F15" s="17">
        <f t="shared" si="0"/>
        <v>-1.0033417220182351E-2</v>
      </c>
      <c r="G15" s="16">
        <f>+C15-E15</f>
        <v>24.32</v>
      </c>
      <c r="H15" s="17">
        <f t="shared" si="1"/>
        <v>-100</v>
      </c>
    </row>
    <row r="16" spans="1:8" ht="13.5" thickBot="1" x14ac:dyDescent="0.25">
      <c r="A16" s="7"/>
      <c r="B16" s="63" t="s">
        <v>10</v>
      </c>
      <c r="C16" s="49">
        <f>+C13+SUM(C14:C15)</f>
        <v>0</v>
      </c>
      <c r="D16" s="50" t="e">
        <f t="shared" si="0"/>
        <v>#DIV/0!</v>
      </c>
      <c r="E16" s="49">
        <f>+E13+SUM(E14:E15)</f>
        <v>60533.440000000002</v>
      </c>
      <c r="F16" s="50">
        <f t="shared" si="0"/>
        <v>24.973571516976772</v>
      </c>
      <c r="G16" s="49">
        <f>+G13+SUM(G14:G15)</f>
        <v>-60533.440000000002</v>
      </c>
      <c r="H16" s="50">
        <f t="shared" si="1"/>
        <v>-100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0</v>
      </c>
      <c r="D18" s="71" t="e">
        <f>(C18*100)/C$8</f>
        <v>#DIV/0!</v>
      </c>
      <c r="E18" s="70">
        <f>E8-E16</f>
        <v>181856.56</v>
      </c>
      <c r="F18" s="71">
        <f>(E18*100)/E$8</f>
        <v>75.026428483023224</v>
      </c>
      <c r="G18" s="70">
        <f>G8-G16</f>
        <v>-181856.56</v>
      </c>
      <c r="H18" s="71">
        <f>IF(E18=0,0,G18/E18*100)</f>
        <v>-100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HART'!$G:$G,'BAL N HART'!$I:$I,$A20,'BAL N HART'!$J:$J,"T")</f>
        <v>0</v>
      </c>
      <c r="D20" s="17" t="e">
        <f t="shared" ref="D20:F26" si="2">(C20*100)/C$8</f>
        <v>#DIV/0!</v>
      </c>
      <c r="E20" s="16">
        <f>SUMIFS(DONNEES_N1_NOUVEAU[MONTANT],DONNEES_N1_NOUVEAU[TL2],A20,DONNEES_N1_NOUVEAU[MOIS],DONNÉES!$C$5,DONNEES_N1_NOUVEAU[SOCIETE],"HART")</f>
        <v>43283.99</v>
      </c>
      <c r="F20" s="17">
        <f t="shared" si="2"/>
        <v>17.85716820000825</v>
      </c>
      <c r="G20" s="16">
        <f t="shared" ref="G20:G25" si="3">+C20-E20</f>
        <v>-43283.99</v>
      </c>
      <c r="H20" s="17">
        <f t="shared" ref="H20:H26" si="4">IF(E20=0,0,G20/E20*100)</f>
        <v>-100</v>
      </c>
    </row>
    <row r="21" spans="1:8" s="18" customFormat="1" x14ac:dyDescent="0.2">
      <c r="A21" s="13">
        <v>9</v>
      </c>
      <c r="B21" s="14" t="s">
        <v>2968</v>
      </c>
      <c r="C21" s="23">
        <f>SUMIFS('BAL N HART'!$G:$G,'BAL N HART'!$I:$I,$A21,'BAL N HART'!$J:$J,"T")</f>
        <v>0</v>
      </c>
      <c r="D21" s="17" t="e">
        <f t="shared" si="2"/>
        <v>#DIV/0!</v>
      </c>
      <c r="E21" s="16">
        <f>SUMIFS(DONNEES_N1_NOUVEAU[MONTANT],DONNEES_N1_NOUVEAU[TL2],A21,DONNEES_N1_NOUVEAU[MOIS],DONNÉES!$C$5,DONNEES_N1_NOUVEAU[SOCIETE],"HART")</f>
        <v>4934.9399999999996</v>
      </c>
      <c r="F21" s="17">
        <f t="shared" si="2"/>
        <v>2.0359503279838274</v>
      </c>
      <c r="G21" s="16">
        <f t="shared" si="3"/>
        <v>-4934.9399999999996</v>
      </c>
      <c r="H21" s="17">
        <f t="shared" si="4"/>
        <v>-100</v>
      </c>
    </row>
    <row r="22" spans="1:8" s="18" customFormat="1" x14ac:dyDescent="0.2">
      <c r="A22" s="13" t="s">
        <v>12</v>
      </c>
      <c r="B22" s="14" t="s">
        <v>14</v>
      </c>
      <c r="C22" s="23">
        <f>SUMIFS('BAL N HART'!$G:$G,'BAL N HART'!$I:$I,$A22,'BAL N HART'!$J:$J,"T")</f>
        <v>0</v>
      </c>
      <c r="D22" s="17" t="e">
        <f t="shared" si="2"/>
        <v>#DIV/0!</v>
      </c>
      <c r="E22" s="16">
        <f>SUMIFS(DONNEES_N1_NOUVEAU[MONTANT],DONNEES_N1_NOUVEAU[TL2],A22,DONNEES_N1_NOUVEAU[MOIS],DONNÉES!$C$5,DONNEES_N1_NOUVEAU[SOCIETE],"HART")</f>
        <v>15393.56</v>
      </c>
      <c r="F22" s="17">
        <f t="shared" si="2"/>
        <v>6.3507405421015717</v>
      </c>
      <c r="G22" s="16">
        <f t="shared" si="3"/>
        <v>-15393.56</v>
      </c>
      <c r="H22" s="17">
        <f t="shared" si="4"/>
        <v>-100</v>
      </c>
    </row>
    <row r="23" spans="1:8" s="18" customFormat="1" x14ac:dyDescent="0.2">
      <c r="A23" s="13" t="s">
        <v>13</v>
      </c>
      <c r="B23" s="14" t="s">
        <v>2966</v>
      </c>
      <c r="C23" s="23">
        <f>SUMIFS('BAL N HART'!$G:$G,'BAL N HART'!$I:$I,$A23,'BAL N HART'!$J:$J,"T")</f>
        <v>0</v>
      </c>
      <c r="D23" s="17" t="e">
        <f t="shared" si="2"/>
        <v>#DIV/0!</v>
      </c>
      <c r="E23" s="16">
        <f>SUMIFS(DONNEES_N1_NOUVEAU[MONTANT],DONNEES_N1_NOUVEAU[TL2],A23,DONNEES_N1_NOUVEAU[MOIS],DONNÉES!$C$5,DONNEES_N1_NOUVEAU[SOCIETE],"HART")</f>
        <v>3484.86</v>
      </c>
      <c r="F23" s="17">
        <f t="shared" si="2"/>
        <v>1.437707826230455</v>
      </c>
      <c r="G23" s="16">
        <f t="shared" si="3"/>
        <v>-3484.86</v>
      </c>
      <c r="H23" s="17">
        <f t="shared" si="4"/>
        <v>-100</v>
      </c>
    </row>
    <row r="24" spans="1:8" s="18" customFormat="1" x14ac:dyDescent="0.2">
      <c r="A24" s="13" t="s">
        <v>15</v>
      </c>
      <c r="B24" s="14" t="s">
        <v>2969</v>
      </c>
      <c r="C24" s="23">
        <f>SUMIFS('BAL N HART'!$G:$G,'BAL N HART'!$I:$I,$A24,'BAL N HART'!$J:$J,"T")</f>
        <v>0</v>
      </c>
      <c r="D24" s="17" t="e">
        <f t="shared" si="2"/>
        <v>#DIV/0!</v>
      </c>
      <c r="E24" s="16">
        <f>SUMIFS(DONNEES_N1_NOUVEAU[MONTANT],DONNEES_N1_NOUVEAU[TL2],A24,DONNEES_N1_NOUVEAU[MOIS],DONNÉES!$C$5,DONNEES_N1_NOUVEAU[SOCIETE],"HART")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HART'!$G:$G,'BAL N HART'!$I:$I,$A25,'BAL N HART'!$J:$J,"T")</f>
        <v>0</v>
      </c>
      <c r="D25" s="17" t="e">
        <f t="shared" si="2"/>
        <v>#DIV/0!</v>
      </c>
      <c r="E25" s="16">
        <f>SUMIFS(DONNEES_N1_NOUVEAU[MONTANT],DONNEES_N1_NOUVEAU[TL2],A25,DONNEES_N1_NOUVEAU[MOIS],DONNÉES!$C$5,DONNEES_N1_NOUVEAU[SOCIETE],"HART")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0</v>
      </c>
      <c r="D26" s="50" t="e">
        <f t="shared" si="2"/>
        <v>#DIV/0!</v>
      </c>
      <c r="E26" s="51">
        <f>SUM(E20:E25)</f>
        <v>67097.349999999991</v>
      </c>
      <c r="F26" s="50">
        <f t="shared" si="2"/>
        <v>27.681566896324103</v>
      </c>
      <c r="G26" s="51">
        <f>SUM(G20:G25)</f>
        <v>-67097.349999999991</v>
      </c>
      <c r="H26" s="50">
        <f t="shared" si="4"/>
        <v>-100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HART'!$G:$G,'BAL N HART'!$I:$I,$A28,'BAL N HART'!$J:$J,"T")</f>
        <v>0</v>
      </c>
      <c r="D28" s="17" t="e">
        <f t="shared" ref="D28:F33" si="5">(C28*100)/C$8</f>
        <v>#DIV/0!</v>
      </c>
      <c r="E28" s="16">
        <f>SUMIFS(DONNEES_N1_NOUVEAU[MONTANT],DONNEES_N1_NOUVEAU[TL2],A28,DONNEES_N1_NOUVEAU[MOIS],DONNÉES!$C$5,DONNEES_N1_NOUVEAU[SOCIETE],"HART")</f>
        <v>280</v>
      </c>
      <c r="F28" s="17">
        <f t="shared" si="5"/>
        <v>0.11551631667973102</v>
      </c>
      <c r="G28" s="16">
        <f>+C28-E28</f>
        <v>-280</v>
      </c>
      <c r="H28" s="17">
        <f t="shared" ref="H28:H33" si="6">IF(E28=0,0,G28/E28*100)</f>
        <v>-100</v>
      </c>
    </row>
    <row r="29" spans="1:8" s="18" customFormat="1" x14ac:dyDescent="0.2">
      <c r="A29" s="13" t="s">
        <v>20</v>
      </c>
      <c r="B29" s="14" t="s">
        <v>2972</v>
      </c>
      <c r="C29" s="23">
        <f>SUMIFS('BAL N HART'!$G:$G,'BAL N HART'!$I:$I,$A29,'BAL N HART'!$J:$J,"T")</f>
        <v>0</v>
      </c>
      <c r="D29" s="17" t="e">
        <f t="shared" si="5"/>
        <v>#DIV/0!</v>
      </c>
      <c r="E29" s="16">
        <f>SUMIFS(DONNEES_N1_NOUVEAU[MONTANT],DONNEES_N1_NOUVEAU[TL2],A29,DONNEES_N1_NOUVEAU[MOIS],DONNÉES!$C$5,DONNEES_N1_NOUVEAU[SOCIETE],"HART")</f>
        <v>77.44</v>
      </c>
      <c r="F29" s="17">
        <f t="shared" si="5"/>
        <v>3.1948512727422745E-2</v>
      </c>
      <c r="G29" s="16">
        <f>+C29-E29</f>
        <v>-77.44</v>
      </c>
      <c r="H29" s="17">
        <f t="shared" si="6"/>
        <v>-100</v>
      </c>
    </row>
    <row r="30" spans="1:8" s="18" customFormat="1" x14ac:dyDescent="0.2">
      <c r="A30" s="13" t="s">
        <v>21</v>
      </c>
      <c r="B30" s="14" t="s">
        <v>2973</v>
      </c>
      <c r="C30" s="23">
        <f>SUMIFS('BAL N HART'!$G:$G,'BAL N HART'!$I:$I,$A30,'BAL N HART'!$J:$J,"T")</f>
        <v>0</v>
      </c>
      <c r="D30" s="17" t="e">
        <f t="shared" si="5"/>
        <v>#DIV/0!</v>
      </c>
      <c r="E30" s="16">
        <f>SUMIFS(DONNEES_N1_NOUVEAU[MONTANT],DONNEES_N1_NOUVEAU[TL2],A30,DONNEES_N1_NOUVEAU[MOIS],DONNÉES!$C$5,DONNEES_N1_NOUVEAU[SOCIETE],"HART")</f>
        <v>2128.66</v>
      </c>
      <c r="F30" s="17">
        <f t="shared" si="5"/>
        <v>0.87819629522670073</v>
      </c>
      <c r="G30" s="16">
        <f>+C30-E30</f>
        <v>-2128.66</v>
      </c>
      <c r="H30" s="17">
        <f t="shared" si="6"/>
        <v>-100</v>
      </c>
    </row>
    <row r="31" spans="1:8" s="18" customFormat="1" x14ac:dyDescent="0.2">
      <c r="A31" s="13" t="s">
        <v>23</v>
      </c>
      <c r="B31" s="14" t="s">
        <v>2974</v>
      </c>
      <c r="C31" s="23">
        <f>SUMIFS('BAL N HART'!$G:$G,'BAL N HART'!$I:$I,$A31,'BAL N HART'!$J:$J,"T")</f>
        <v>0</v>
      </c>
      <c r="D31" s="17" t="e">
        <f t="shared" si="5"/>
        <v>#DIV/0!</v>
      </c>
      <c r="E31" s="16">
        <f>SUMIFS(DONNEES_N1_NOUVEAU[MONTANT],DONNEES_N1_NOUVEAU[TL2],A31,DONNEES_N1_NOUVEAU[MOIS],DONNÉES!$C$5,DONNEES_N1_NOUVEAU[SOCIETE],"HART")</f>
        <v>1022.47</v>
      </c>
      <c r="F31" s="17">
        <f t="shared" si="5"/>
        <v>0.42182845826973059</v>
      </c>
      <c r="G31" s="16">
        <f>+C31-E31</f>
        <v>-1022.47</v>
      </c>
      <c r="H31" s="17">
        <f t="shared" si="6"/>
        <v>-100</v>
      </c>
    </row>
    <row r="32" spans="1:8" s="18" customFormat="1" x14ac:dyDescent="0.2">
      <c r="A32" s="13" t="s">
        <v>25</v>
      </c>
      <c r="B32" s="14" t="s">
        <v>2975</v>
      </c>
      <c r="C32" s="23">
        <f>SUMIFS('BAL N HART'!$G:$G,'BAL N HART'!$I:$I,$A32,'BAL N HART'!$J:$J,"T")</f>
        <v>0</v>
      </c>
      <c r="D32" s="17" t="e">
        <f t="shared" si="5"/>
        <v>#DIV/0!</v>
      </c>
      <c r="E32" s="16">
        <f>SUMIFS(DONNEES_N1_NOUVEAU[MONTANT],DONNEES_N1_NOUVEAU[TL2],A32,DONNEES_N1_NOUVEAU[MOIS],DONNÉES!$C$5,DONNEES_N1_NOUVEAU[SOCIETE],"HART")</f>
        <v>8960.9699999999993</v>
      </c>
      <c r="F32" s="17">
        <f t="shared" si="5"/>
        <v>3.6969223152770323</v>
      </c>
      <c r="G32" s="16">
        <f>+C32-E32</f>
        <v>-8960.9699999999993</v>
      </c>
      <c r="H32" s="17">
        <f t="shared" si="6"/>
        <v>-100</v>
      </c>
    </row>
    <row r="33" spans="1:8" ht="13.5" thickBot="1" x14ac:dyDescent="0.25">
      <c r="A33" s="7"/>
      <c r="B33" s="63" t="s">
        <v>2976</v>
      </c>
      <c r="C33" s="49">
        <f>SUM(C28:C32)</f>
        <v>0</v>
      </c>
      <c r="D33" s="50" t="e">
        <f t="shared" si="5"/>
        <v>#DIV/0!</v>
      </c>
      <c r="E33" s="51">
        <f>SUM(E28:E32)</f>
        <v>12469.539999999999</v>
      </c>
      <c r="F33" s="50">
        <f t="shared" si="5"/>
        <v>5.1444118981806177</v>
      </c>
      <c r="G33" s="51">
        <f>SUM(G28:G32)</f>
        <v>-12469.539999999999</v>
      </c>
      <c r="H33" s="50">
        <f t="shared" si="6"/>
        <v>-100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HART'!$G:$G,'BAL N HART'!$I:$I,$A35,'BAL N HART'!$J:$J,"T")</f>
        <v>0</v>
      </c>
      <c r="D35" s="17" t="e">
        <f t="shared" ref="D35:F42" si="7">(C35*100)/C$8</f>
        <v>#DIV/0!</v>
      </c>
      <c r="E35" s="16">
        <f>SUMIFS(DONNEES_N1_NOUVEAU[MONTANT],DONNEES_N1_NOUVEAU[TL2],A35,DONNEES_N1_NOUVEAU[MOIS],DONNÉES!$C$5,DONNEES_N1_NOUVEAU[SOCIETE],"HART")</f>
        <v>0</v>
      </c>
      <c r="F35" s="17">
        <f t="shared" si="7"/>
        <v>0</v>
      </c>
      <c r="G35" s="16">
        <f t="shared" ref="G35:G41" si="8">+C35-E35</f>
        <v>0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HART'!$G:$G,'BAL N HART'!$I:$I,$A36,'BAL N HART'!$J:$J,"T")</f>
        <v>0</v>
      </c>
      <c r="D36" s="17" t="e">
        <f t="shared" si="7"/>
        <v>#DIV/0!</v>
      </c>
      <c r="E36" s="16">
        <f>SUMIFS(DONNEES_N1_NOUVEAU[MONTANT],DONNEES_N1_NOUVEAU[TL2],A36,DONNEES_N1_NOUVEAU[MOIS],DONNÉES!$C$5,DONNEES_N1_NOUVEAU[SOCIETE],"HART")</f>
        <v>9716.9500000000007</v>
      </c>
      <c r="F36" s="17">
        <f t="shared" si="7"/>
        <v>4.0088081191468303</v>
      </c>
      <c r="G36" s="16">
        <f t="shared" si="8"/>
        <v>-9716.9500000000007</v>
      </c>
      <c r="H36" s="17">
        <f t="shared" si="9"/>
        <v>-100</v>
      </c>
    </row>
    <row r="37" spans="1:8" s="18" customFormat="1" x14ac:dyDescent="0.2">
      <c r="A37" s="13" t="s">
        <v>32</v>
      </c>
      <c r="B37" s="14" t="s">
        <v>19</v>
      </c>
      <c r="C37" s="23">
        <f>SUMIFS('BAL N HART'!$G:$G,'BAL N HART'!$I:$I,$A37,'BAL N HART'!$J:$J,"T")</f>
        <v>0</v>
      </c>
      <c r="D37" s="17" t="e">
        <f t="shared" si="7"/>
        <v>#DIV/0!</v>
      </c>
      <c r="E37" s="16">
        <f>SUMIFS(DONNEES_N1_NOUVEAU[MONTANT],DONNEES_N1_NOUVEAU[TL2],A37,DONNEES_N1_NOUVEAU[MOIS],DONNÉES!$C$5,DONNEES_N1_NOUVEAU[SOCIETE],"HART")</f>
        <v>6144.66</v>
      </c>
      <c r="F37" s="17">
        <f t="shared" si="7"/>
        <v>2.5350303230331286</v>
      </c>
      <c r="G37" s="16">
        <f t="shared" si="8"/>
        <v>-6144.66</v>
      </c>
      <c r="H37" s="17">
        <f t="shared" si="9"/>
        <v>-100</v>
      </c>
    </row>
    <row r="38" spans="1:8" s="18" customFormat="1" x14ac:dyDescent="0.2">
      <c r="A38" s="13" t="s">
        <v>34</v>
      </c>
      <c r="B38" s="14" t="s">
        <v>28</v>
      </c>
      <c r="C38" s="23">
        <f>SUMIFS('BAL N HART'!$G:$G,'BAL N HART'!$I:$I,$A38,'BAL N HART'!$J:$J,"T")</f>
        <v>0</v>
      </c>
      <c r="D38" s="17" t="e">
        <f t="shared" si="7"/>
        <v>#DIV/0!</v>
      </c>
      <c r="E38" s="16">
        <f>SUMIFS(DONNEES_N1_NOUVEAU[MONTANT],DONNEES_N1_NOUVEAU[TL2],A38,DONNEES_N1_NOUVEAU[MOIS],DONNÉES!$C$5,DONNEES_N1_NOUVEAU[SOCIETE],"HART")</f>
        <v>10150</v>
      </c>
      <c r="F38" s="17">
        <f t="shared" si="7"/>
        <v>4.187466479640249</v>
      </c>
      <c r="G38" s="16">
        <f t="shared" si="8"/>
        <v>-10150</v>
      </c>
      <c r="H38" s="17">
        <f t="shared" si="9"/>
        <v>-100</v>
      </c>
    </row>
    <row r="39" spans="1:8" s="18" customFormat="1" x14ac:dyDescent="0.2">
      <c r="A39" s="13" t="s">
        <v>2978</v>
      </c>
      <c r="B39" s="14" t="s">
        <v>2980</v>
      </c>
      <c r="C39" s="23">
        <f>SUMIFS('BAL N HART'!$G:$G,'BAL N HART'!$I:$I,$A39,'BAL N HART'!$J:$J,"T")</f>
        <v>0</v>
      </c>
      <c r="D39" s="17" t="e">
        <f t="shared" si="7"/>
        <v>#DIV/0!</v>
      </c>
      <c r="E39" s="16">
        <f>SUMIFS(DONNEES_N1_NOUVEAU[MONTANT],DONNEES_N1_NOUVEAU[TL2],A39,DONNEES_N1_NOUVEAU[MOIS],DONNÉES!$C$5,DONNEES_N1_NOUVEAU[SOCIETE],"HART")</f>
        <v>2218.4499999999998</v>
      </c>
      <c r="F39" s="17">
        <f t="shared" si="7"/>
        <v>0.91523990263624722</v>
      </c>
      <c r="G39" s="16">
        <f t="shared" si="8"/>
        <v>-2218.4499999999998</v>
      </c>
      <c r="H39" s="17">
        <f t="shared" si="9"/>
        <v>-100</v>
      </c>
    </row>
    <row r="40" spans="1:8" s="18" customFormat="1" x14ac:dyDescent="0.2">
      <c r="A40" s="13" t="s">
        <v>2979</v>
      </c>
      <c r="B40" s="14" t="s">
        <v>2981</v>
      </c>
      <c r="C40" s="23">
        <f>SUMIFS('BAL N HART'!$G:$G,'BAL N HART'!$I:$I,$A40,'BAL N HART'!$J:$J,"T")</f>
        <v>0</v>
      </c>
      <c r="D40" s="17" t="e">
        <f t="shared" si="7"/>
        <v>#DIV/0!</v>
      </c>
      <c r="E40" s="16">
        <f>SUMIFS(DONNEES_N1_NOUVEAU[MONTANT],DONNEES_N1_NOUVEAU[TL2],A40,DONNEES_N1_NOUVEAU[MOIS],DONNÉES!$C$5,DONNEES_N1_NOUVEAU[SOCIETE],"HART")</f>
        <v>0</v>
      </c>
      <c r="F40" s="17">
        <f t="shared" si="7"/>
        <v>0</v>
      </c>
      <c r="G40" s="16">
        <f t="shared" si="8"/>
        <v>0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HART'!$G:$G,'BAL N HART'!$I:$I,$A41,'BAL N HART'!$J:$J,"T")</f>
        <v>0</v>
      </c>
      <c r="D41" s="17" t="e">
        <f t="shared" si="7"/>
        <v>#DIV/0!</v>
      </c>
      <c r="E41" s="16">
        <f>SUMIFS(DONNEES_N1_NOUVEAU[MONTANT],DONNEES_N1_NOUVEAU[TL2],A41,DONNEES_N1_NOUVEAU[MOIS],DONNÉES!$C$5,DONNEES_N1_NOUVEAU[SOCIETE],"HART")</f>
        <v>317.89</v>
      </c>
      <c r="F41" s="17">
        <f t="shared" si="7"/>
        <v>0.13114814967614175</v>
      </c>
      <c r="G41" s="16">
        <f t="shared" si="8"/>
        <v>-317.89</v>
      </c>
      <c r="H41" s="17">
        <f t="shared" si="9"/>
        <v>-100</v>
      </c>
    </row>
    <row r="42" spans="1:8" ht="13.5" thickBot="1" x14ac:dyDescent="0.25">
      <c r="A42" s="13"/>
      <c r="B42" s="63" t="s">
        <v>2984</v>
      </c>
      <c r="C42" s="49">
        <f>+SUM(C35:C41)</f>
        <v>0</v>
      </c>
      <c r="D42" s="50" t="e">
        <f t="shared" si="7"/>
        <v>#DIV/0!</v>
      </c>
      <c r="E42" s="51">
        <f>+SUM(E35:E41)</f>
        <v>28547.95</v>
      </c>
      <c r="F42" s="50">
        <f t="shared" si="7"/>
        <v>11.777692974132597</v>
      </c>
      <c r="G42" s="51">
        <f>+SUM(G35:G41)</f>
        <v>-28547.95</v>
      </c>
      <c r="H42" s="50">
        <f t="shared" si="9"/>
        <v>-100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0</v>
      </c>
      <c r="D44" s="71" t="e">
        <f>(C44*100)/C$8</f>
        <v>#DIV/0!</v>
      </c>
      <c r="E44" s="72">
        <f>E18-E26-E33-E42</f>
        <v>73741.720000000016</v>
      </c>
      <c r="F44" s="71">
        <f>(E44*100)/E$8</f>
        <v>30.422756714385915</v>
      </c>
      <c r="G44" s="72">
        <f>G18-G26-G33-G42</f>
        <v>-73741.720000000016</v>
      </c>
      <c r="H44" s="71">
        <f>IF(E44=0,0,G44/E44*100)</f>
        <v>-100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HART'!$G:$G,'BAL N HART'!$I:$I,$A46,'BAL N HART'!$J:$J,"T")</f>
        <v>0</v>
      </c>
      <c r="D46" s="17" t="e">
        <f t="shared" ref="D46:F49" si="10">(C46*100)/C$8</f>
        <v>#DIV/0!</v>
      </c>
      <c r="E46" s="16">
        <f>SUMIFS(DONNEES_N1_NOUVEAU[MONTANT],DONNEES_N1_NOUVEAU[TL2],A46,DONNEES_N1_NOUVEAU[MOIS],DONNÉES!$C$5,DONNEES_N1_NOUVEAU[SOCIETE],"HART")</f>
        <v>35628.19</v>
      </c>
      <c r="F46" s="17">
        <f t="shared" si="10"/>
        <v>14.698704567020092</v>
      </c>
      <c r="G46" s="16">
        <f>+C46-E46</f>
        <v>-35628.19</v>
      </c>
      <c r="H46" s="17">
        <f>IF(E46=0,0,G46/E46*100)</f>
        <v>-100</v>
      </c>
    </row>
    <row r="47" spans="1:8" s="18" customFormat="1" x14ac:dyDescent="0.2">
      <c r="A47" s="13" t="s">
        <v>35</v>
      </c>
      <c r="B47" s="14" t="s">
        <v>2986</v>
      </c>
      <c r="C47" s="23">
        <f>SUMIFS('BAL N HART'!$G:$G,'BAL N HART'!$I:$I,$A47,'BAL N HART'!$J:$J,"T")</f>
        <v>0</v>
      </c>
      <c r="D47" s="17" t="e">
        <f t="shared" si="10"/>
        <v>#DIV/0!</v>
      </c>
      <c r="E47" s="16">
        <f>SUMIFS(DONNEES_N1_NOUVEAU[MONTANT],DONNEES_N1_NOUVEAU[TL2],A47,DONNEES_N1_NOUVEAU[MOIS],DONNÉES!$C$5,DONNEES_N1_NOUVEAU[SOCIETE],"HART")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HART'!$G:$G,'BAL N HART'!$I:$I,$A48,'BAL N HART'!$J:$J,"T")</f>
        <v>0</v>
      </c>
      <c r="D48" s="17" t="e">
        <f t="shared" si="10"/>
        <v>#DIV/0!</v>
      </c>
      <c r="E48" s="16">
        <f>SUMIFS(DONNEES_N1_NOUVEAU[MONTANT],DONNEES_N1_NOUVEAU[TL2],A48,DONNEES_N1_NOUVEAU[MOIS],DONNÉES!$C$5,DONNEES_N1_NOUVEAU[SOCIETE],"HART")</f>
        <v>-543.76</v>
      </c>
      <c r="F48" s="17">
        <f t="shared" si="10"/>
        <v>-0.22433268699203762</v>
      </c>
      <c r="G48" s="16">
        <f>+C48-E48</f>
        <v>543.76</v>
      </c>
      <c r="H48" s="17">
        <f>IF(E48=0,0,G48/E48*100)</f>
        <v>-100</v>
      </c>
    </row>
    <row r="49" spans="1:8" ht="13.5" thickBot="1" x14ac:dyDescent="0.25">
      <c r="A49" s="13"/>
      <c r="B49" s="63" t="s">
        <v>2988</v>
      </c>
      <c r="C49" s="49">
        <f>SUM(C46:C48)</f>
        <v>0</v>
      </c>
      <c r="D49" s="50" t="e">
        <f t="shared" si="10"/>
        <v>#DIV/0!</v>
      </c>
      <c r="E49" s="51">
        <f>SUM(E46:E48)</f>
        <v>35084.43</v>
      </c>
      <c r="F49" s="50">
        <f t="shared" si="10"/>
        <v>14.474371880028054</v>
      </c>
      <c r="G49" s="51">
        <f>SUM(G46:G48)</f>
        <v>-35084.43</v>
      </c>
      <c r="H49" s="50">
        <f>IF(E49=0,0,G49/E49*100)</f>
        <v>-100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HART'!$G:$G,'BAL N HART'!$I:$I,$A51,'BAL N HART'!$J:$J,"T")</f>
        <v>0</v>
      </c>
      <c r="D51" s="17" t="e">
        <f t="shared" ref="D51:F59" si="11">(C51*100)/C$8</f>
        <v>#DIV/0!</v>
      </c>
      <c r="E51" s="16">
        <f>SUMIFS(DONNEES_N1_NOUVEAU[MONTANT],DONNEES_N1_NOUVEAU[TL2],A51,DONNEES_N1_NOUVEAU[MOIS],DONNÉES!$C$5,DONNEES_N1_NOUVEAU[SOCIETE],"HART")</f>
        <v>545</v>
      </c>
      <c r="F51" s="17">
        <f t="shared" si="11"/>
        <v>0.2248442592516193</v>
      </c>
      <c r="G51" s="16">
        <f t="shared" ref="G51:G58" si="12">+C51-E51</f>
        <v>-545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HART'!$G:$G,'BAL N HART'!$I:$I,$A52,'BAL N HART'!$J:$J,"T")</f>
        <v>0</v>
      </c>
      <c r="D52" s="17" t="e">
        <f t="shared" si="11"/>
        <v>#DIV/0!</v>
      </c>
      <c r="E52" s="16">
        <f>SUMIFS(DONNEES_N1_NOUVEAU[MONTANT],DONNEES_N1_NOUVEAU[TL2],A52,DONNEES_N1_NOUVEAU[MOIS],DONNÉES!$C$5,DONNEES_N1_NOUVEAU[SOCIETE],"HART")</f>
        <v>12285.58</v>
      </c>
      <c r="F52" s="17">
        <f t="shared" si="11"/>
        <v>5.0685176781220349</v>
      </c>
      <c r="G52" s="16">
        <f t="shared" si="12"/>
        <v>-12285.58</v>
      </c>
      <c r="H52" s="17">
        <f t="shared" si="13"/>
        <v>-100</v>
      </c>
    </row>
    <row r="53" spans="1:8" s="18" customFormat="1" x14ac:dyDescent="0.2">
      <c r="A53" s="13" t="s">
        <v>44</v>
      </c>
      <c r="B53" s="14" t="s">
        <v>62</v>
      </c>
      <c r="C53" s="23">
        <f>SUMIFS('BAL N HART'!$G:$G,'BAL N HART'!$I:$I,$A53,'BAL N HART'!$J:$J,"T")</f>
        <v>0</v>
      </c>
      <c r="D53" s="17" t="e">
        <f t="shared" si="11"/>
        <v>#DIV/0!</v>
      </c>
      <c r="E53" s="16">
        <f>SUMIFS(DONNEES_N1_NOUVEAU[MONTANT],DONNEES_N1_NOUVEAU[TL2],A53,DONNEES_N1_NOUVEAU[MOIS],DONNÉES!$C$5,DONNEES_N1_NOUVEAU[SOCIETE],"HART")</f>
        <v>1086.5</v>
      </c>
      <c r="F53" s="17">
        <f t="shared" si="11"/>
        <v>0.44824456454474193</v>
      </c>
      <c r="G53" s="16">
        <f t="shared" si="12"/>
        <v>-1086.5</v>
      </c>
      <c r="H53" s="17">
        <f t="shared" si="13"/>
        <v>-100</v>
      </c>
    </row>
    <row r="54" spans="1:8" s="18" customFormat="1" x14ac:dyDescent="0.2">
      <c r="A54" s="13" t="s">
        <v>45</v>
      </c>
      <c r="B54" s="14" t="s">
        <v>41</v>
      </c>
      <c r="C54" s="23">
        <f>SUMIFS('BAL N HART'!$G:$G,'BAL N HART'!$I:$I,$A54,'BAL N HART'!$J:$J,"T")</f>
        <v>0</v>
      </c>
      <c r="D54" s="17" t="e">
        <f t="shared" si="11"/>
        <v>#DIV/0!</v>
      </c>
      <c r="E54" s="16">
        <f>SUMIFS(DONNEES_N1_NOUVEAU[MONTANT],DONNEES_N1_NOUVEAU[TL2],A54,DONNEES_N1_NOUVEAU[MOIS],DONNÉES!$C$5,DONNEES_N1_NOUVEAU[SOCIETE],"HART")</f>
        <v>1000</v>
      </c>
      <c r="F54" s="17">
        <f t="shared" si="11"/>
        <v>0.41255827385618221</v>
      </c>
      <c r="G54" s="16">
        <f t="shared" si="12"/>
        <v>-1000</v>
      </c>
      <c r="H54" s="17">
        <f t="shared" si="13"/>
        <v>-100</v>
      </c>
    </row>
    <row r="55" spans="1:8" s="18" customFormat="1" x14ac:dyDescent="0.2">
      <c r="A55" s="13" t="s">
        <v>47</v>
      </c>
      <c r="B55" s="14" t="s">
        <v>43</v>
      </c>
      <c r="C55" s="23">
        <f>SUMIFS('BAL N HART'!$G:$G,'BAL N HART'!$I:$I,$A55,'BAL N HART'!$J:$J,"T")</f>
        <v>0</v>
      </c>
      <c r="D55" s="17" t="e">
        <f t="shared" si="11"/>
        <v>#DIV/0!</v>
      </c>
      <c r="E55" s="16">
        <f>SUMIFS(DONNEES_N1_NOUVEAU[MONTANT],DONNEES_N1_NOUVEAU[TL2],A55,DONNEES_N1_NOUVEAU[MOIS],DONNÉES!$C$5,DONNEES_N1_NOUVEAU[SOCIETE],"HART")</f>
        <v>1998.74</v>
      </c>
      <c r="F55" s="17">
        <f t="shared" si="11"/>
        <v>0.82459672428730557</v>
      </c>
      <c r="G55" s="16">
        <f t="shared" si="12"/>
        <v>-1998.74</v>
      </c>
      <c r="H55" s="17">
        <f t="shared" si="13"/>
        <v>-100</v>
      </c>
    </row>
    <row r="56" spans="1:8" s="18" customFormat="1" x14ac:dyDescent="0.2">
      <c r="A56" s="13" t="s">
        <v>48</v>
      </c>
      <c r="B56" s="14" t="s">
        <v>46</v>
      </c>
      <c r="C56" s="23">
        <f>SUMIFS('BAL N HART'!$G:$G,'BAL N HART'!$I:$I,$A56,'BAL N HART'!$J:$J,"T")</f>
        <v>0</v>
      </c>
      <c r="D56" s="17" t="e">
        <f t="shared" si="11"/>
        <v>#DIV/0!</v>
      </c>
      <c r="E56" s="16">
        <f>SUMIFS(DONNEES_N1_NOUVEAU[MONTANT],DONNEES_N1_NOUVEAU[TL2],A56,DONNEES_N1_NOUVEAU[MOIS],DONNÉES!$C$5,DONNEES_N1_NOUVEAU[SOCIETE],"HART")</f>
        <v>10000</v>
      </c>
      <c r="F56" s="17">
        <f t="shared" si="11"/>
        <v>4.125582738561822</v>
      </c>
      <c r="G56" s="16">
        <f t="shared" si="12"/>
        <v>-10000</v>
      </c>
      <c r="H56" s="17">
        <f t="shared" si="13"/>
        <v>-100</v>
      </c>
    </row>
    <row r="57" spans="1:8" s="18" customFormat="1" x14ac:dyDescent="0.2">
      <c r="A57" s="13" t="s">
        <v>50</v>
      </c>
      <c r="B57" s="14" t="s">
        <v>2990</v>
      </c>
      <c r="C57" s="23">
        <f>SUMIFS('BAL N HART'!$G:$G,'BAL N HART'!$I:$I,$A57,'BAL N HART'!$J:$J,"T")</f>
        <v>0</v>
      </c>
      <c r="D57" s="17" t="e">
        <f t="shared" si="11"/>
        <v>#DIV/0!</v>
      </c>
      <c r="E57" s="16">
        <f>SUMIFS(DONNEES_N1_NOUVEAU[MONTANT],DONNEES_N1_NOUVEAU[TL2],A57,DONNEES_N1_NOUVEAU[MOIS],DONNÉES!$C$5,DONNEES_N1_NOUVEAU[SOCIETE],"HART")</f>
        <v>0</v>
      </c>
      <c r="F57" s="17">
        <f t="shared" si="11"/>
        <v>0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HART'!$G:$G,'BAL N HART'!$I:$I,$A58,'BAL N HART'!$J:$J,"T")</f>
        <v>0</v>
      </c>
      <c r="D58" s="17" t="e">
        <f t="shared" si="11"/>
        <v>#DIV/0!</v>
      </c>
      <c r="E58" s="16">
        <f>SUMIFS(DONNEES_N1_NOUVEAU[MONTANT],DONNEES_N1_NOUVEAU[TL2],A58,DONNEES_N1_NOUVEAU[MOIS],DONNÉES!$C$5,DONNEES_N1_NOUVEAU[SOCIETE],"HART")</f>
        <v>0</v>
      </c>
      <c r="F58" s="17">
        <f t="shared" si="11"/>
        <v>0</v>
      </c>
      <c r="G58" s="16">
        <f t="shared" si="12"/>
        <v>0</v>
      </c>
      <c r="H58" s="17">
        <f t="shared" si="13"/>
        <v>0</v>
      </c>
    </row>
    <row r="59" spans="1:8" ht="13.5" thickBot="1" x14ac:dyDescent="0.25">
      <c r="A59" s="13"/>
      <c r="B59" s="63" t="s">
        <v>2994</v>
      </c>
      <c r="C59" s="49">
        <f>SUM(C51:C58)</f>
        <v>0</v>
      </c>
      <c r="D59" s="50" t="e">
        <f t="shared" si="11"/>
        <v>#DIV/0!</v>
      </c>
      <c r="E59" s="51">
        <f>SUM(E51:E58)</f>
        <v>26915.82</v>
      </c>
      <c r="F59" s="50">
        <f t="shared" si="11"/>
        <v>11.104344238623705</v>
      </c>
      <c r="G59" s="51">
        <f>SUM(G51:G58)</f>
        <v>-26915.82</v>
      </c>
      <c r="H59" s="50">
        <f t="shared" si="13"/>
        <v>-100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0</v>
      </c>
      <c r="D61" s="71" t="e">
        <f>(C61*100)/C$8</f>
        <v>#DIV/0!</v>
      </c>
      <c r="E61" s="72">
        <f>E59+E49+E42+E33+E26</f>
        <v>170115.08999999997</v>
      </c>
      <c r="F61" s="71">
        <f>(E61*100)/E$8</f>
        <v>70.182387887289067</v>
      </c>
      <c r="G61" s="72">
        <f>G59+G49+G42+G33+G26</f>
        <v>-170115.08999999997</v>
      </c>
      <c r="H61" s="71">
        <f>IF(E61=0,0,G61/E61*100)</f>
        <v>-100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HART'!$G:$G,'BAL N HART'!$I:$I,$A63,'BAL N HART'!$J:$J,"T")</f>
        <v>0</v>
      </c>
      <c r="D63" s="17" t="e">
        <f t="shared" ref="D63:F65" si="14">(C63*100)/C$8</f>
        <v>#DIV/0!</v>
      </c>
      <c r="E63" s="16">
        <f>-SUMIFS(DONNEES_N1_NOUVEAU[MONTANT],DONNEES_N1_NOUVEAU[TL2],A63,DONNEES_N1_NOUVEAU[MOIS],DONNÉES!$C$5,DONNEES_N1_NOUVEAU[SOCIETE],"HART")</f>
        <v>3321.64</v>
      </c>
      <c r="F63" s="17">
        <f t="shared" si="14"/>
        <v>1.370370064771649</v>
      </c>
      <c r="G63" s="16">
        <f>+C63-E63</f>
        <v>-3321.64</v>
      </c>
      <c r="H63" s="17">
        <f>IF(E63=0,0,G63/E63*100)</f>
        <v>-100</v>
      </c>
    </row>
    <row r="64" spans="1:8" s="18" customFormat="1" x14ac:dyDescent="0.2">
      <c r="A64" s="13" t="s">
        <v>2992</v>
      </c>
      <c r="B64" s="68" t="s">
        <v>65</v>
      </c>
      <c r="C64" s="23">
        <f>SUMIFS('BAL N HART'!$G:$G,'BAL N HART'!$I:$I,$A64,'BAL N HART'!$J:$J,"T")</f>
        <v>0</v>
      </c>
      <c r="D64" s="17" t="e">
        <f t="shared" si="14"/>
        <v>#DIV/0!</v>
      </c>
      <c r="E64" s="24">
        <f>SUMIFS(DONNEES_N1_NOUVEAU[MONTANT],DONNEES_N1_NOUVEAU[TL2],A64,DONNEES_N1_NOUVEAU[MOIS],DONNÉES!$C$5,DONNEES_N1_NOUVEAU[SOCIETE],"HART")</f>
        <v>1446.43</v>
      </c>
      <c r="F64" s="17">
        <f t="shared" si="14"/>
        <v>0.59673666405379755</v>
      </c>
      <c r="G64" s="16">
        <f>+C64-E64</f>
        <v>-1446.43</v>
      </c>
      <c r="H64" s="17">
        <f>IF(E64=0,0,G64/E64*100)</f>
        <v>-100</v>
      </c>
    </row>
    <row r="65" spans="1:9" s="59" customFormat="1" ht="13.5" x14ac:dyDescent="0.2">
      <c r="A65" s="13"/>
      <c r="B65" s="62" t="s">
        <v>53</v>
      </c>
      <c r="C65" s="67">
        <f>+C63-C64</f>
        <v>0</v>
      </c>
      <c r="D65" s="56" t="e">
        <f t="shared" si="14"/>
        <v>#DIV/0!</v>
      </c>
      <c r="E65" s="57">
        <f>+E63-E64</f>
        <v>1875.2099999999998</v>
      </c>
      <c r="F65" s="56">
        <f t="shared" si="14"/>
        <v>0.77363340071785125</v>
      </c>
      <c r="G65" s="58">
        <f>+G63-G64</f>
        <v>-1875.2099999999998</v>
      </c>
      <c r="H65" s="56">
        <f>IF(E65=0,0,G65/E65*100)</f>
        <v>-100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HART'!$G:$G,'BAL N HART'!$I:$I,$A67,'BAL N HART'!$J:$J,"T")</f>
        <v>0</v>
      </c>
      <c r="D67" s="17" t="e">
        <f>(C67*100)/C$8</f>
        <v>#DIV/0!</v>
      </c>
      <c r="E67" s="16">
        <f>-SUMIFS(DONNEES_N1_NOUVEAU[MONTANT],DONNEES_N1_NOUVEAU[TL2],A67,DONNEES_N1_NOUVEAU[MOIS],DONNÉES!$C$5,DONNEES_N1_NOUVEAU[SOCIETE],"HART")</f>
        <v>0</v>
      </c>
      <c r="F67" s="17">
        <f>(E67*100)/E$8</f>
        <v>0</v>
      </c>
      <c r="G67" s="16">
        <f>+C67-E67</f>
        <v>0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0</v>
      </c>
      <c r="D69" s="10" t="e">
        <f>(C69*100)/C$8</f>
        <v>#DIV/0!</v>
      </c>
      <c r="E69" s="9">
        <f>E18-E61+E65+E67</f>
        <v>13616.680000000029</v>
      </c>
      <c r="F69" s="10">
        <f>(E69*100)/E$8</f>
        <v>5.6176739964520115</v>
      </c>
      <c r="G69" s="9">
        <f>G18-G61+G65+G67</f>
        <v>-13616.680000000029</v>
      </c>
      <c r="H69" s="10">
        <f>IF(E69=0,0,G69/E69*100)</f>
        <v>-100</v>
      </c>
    </row>
    <row r="70" spans="1:9" ht="13.5" thickBot="1" x14ac:dyDescent="0.25">
      <c r="A70" s="13"/>
      <c r="B70" s="63" t="s">
        <v>3034</v>
      </c>
      <c r="C70" s="49">
        <f>+C69-C67+C57+C56</f>
        <v>0</v>
      </c>
      <c r="D70" s="50" t="e">
        <f>(C70*100)/C$8</f>
        <v>#DIV/0!</v>
      </c>
      <c r="E70" s="49">
        <f>+E69-E67+E57+E56</f>
        <v>23616.680000000029</v>
      </c>
      <c r="F70" s="50">
        <f>(E70*100)/E$8</f>
        <v>9.7432567350138317</v>
      </c>
      <c r="G70" s="49">
        <f>+G69-G67+G57+G56</f>
        <v>-23616.680000000029</v>
      </c>
      <c r="H70" s="50">
        <f>IF(E70=0,0,G70/E70*100)</f>
        <v>-100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HART'!$G:$G,'BAL N HART'!$I:$I,$A72,'BAL N HART'!$J:$J,"T")</f>
        <v>0</v>
      </c>
      <c r="D72" s="17" t="e">
        <f>(C72*100)/C$8</f>
        <v>#DIV/0!</v>
      </c>
      <c r="E72" s="16">
        <f>-SUMIFS(DONNEES_N1_NOUVEAU[MONTANT],DONNEES_N1_NOUVEAU[TL2],A72,DONNEES_N1_NOUVEAU[MOIS],DONNÉES!$C$5,DONNEES_N1_NOUVEAU[SOCIETE],"HART")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HART'!$G:$G,'BAL N HART'!$I:$I,$A74,'BAL N HART'!$J:$J,"T")</f>
        <v>0</v>
      </c>
      <c r="D74" s="10" t="e">
        <f>(C74*100)/C$8</f>
        <v>#DIV/0!</v>
      </c>
      <c r="E74" s="9">
        <f>SUMIFS(DONNEES_N1_NOUVEAU[MONTANT],DONNEES_N1_NOUVEAU[TL2],A74,DONNEES_N1_NOUVEAU[MOIS],DONNÉES!$C$5,DONNEES_N1_NOUVEAU[SOCIETE],"HART")</f>
        <v>16333.33</v>
      </c>
      <c r="F74" s="10">
        <f>(E74*100)/E$8</f>
        <v>6.7384504311233959</v>
      </c>
      <c r="G74" s="9">
        <f>+C74-E74</f>
        <v>-16333.33</v>
      </c>
      <c r="H74" s="10">
        <f>IF(E74=0,0,G74/E74*100)</f>
        <v>-100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0</v>
      </c>
      <c r="D76" s="71" t="e">
        <f>(C76*100)/C$8</f>
        <v>#DIV/0!</v>
      </c>
      <c r="E76" s="72">
        <f>E69-E74+E72</f>
        <v>-2716.6499999999705</v>
      </c>
      <c r="F76" s="71">
        <f>(E76*100)/E$8</f>
        <v>-1.1207764346713851</v>
      </c>
      <c r="G76" s="72">
        <f>G69-G74+G72</f>
        <v>2716.6499999999705</v>
      </c>
      <c r="H76" s="71">
        <f>IF(E76=0,0,G76/E76*100)</f>
        <v>-100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VLOOKUP(PARAMETRES!$C$2,TRANSHART[],2,FALSE)</f>
        <v>0</v>
      </c>
      <c r="D78" s="324"/>
      <c r="E78" s="323">
        <f>VLOOKUP(PARAMETRES!$C$2,TRANSHART[],3,FALSE)</f>
        <v>12467</v>
      </c>
      <c r="F78" s="324"/>
      <c r="G78" s="325">
        <f>C78-E78</f>
        <v>-12467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VLOOKUP(PARAMETRES!$C$2,PMHART[],2,FALSE)</f>
        <v>0</v>
      </c>
      <c r="D80" s="316"/>
      <c r="E80" s="315">
        <f>VLOOKUP(PARAMETRES!$C$2,PMHART[],3,FALSE)</f>
        <v>19.8</v>
      </c>
      <c r="F80" s="316"/>
      <c r="G80" s="317">
        <f>(C80-E80)/E80</f>
        <v>-1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4" formula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77AC-B011-44EB-B40A-CB435F2AC2C5}">
  <sheetPr>
    <tabColor rgb="FFFFFF00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D1268-7F0F-4DC0-A162-49E5B3AFEFB4}">
  <sheetPr>
    <tabColor rgb="FFFFFF00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6902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6900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VICTOIRE'!$G:$G,'BAL N VICTOIRE'!$I:$I,$A8,'BAL N VICTOIRE'!$J:$J,"T")</f>
        <v>225059.06</v>
      </c>
      <c r="D8" s="71">
        <f>(C8*100)/C$8</f>
        <v>100</v>
      </c>
      <c r="E8" s="72">
        <f>-SUMIFS(DONNEES_N1_NOUVEAU[MONTANT],DONNEES_N1_NOUVEAU[TL2],A8,DONNEES_N1_NOUVEAU[MOIS],DONNÉES!$C$5,DONNEES_N1_NOUVEAU[SOCIETE],"VICTOIRE")</f>
        <v>246524.07</v>
      </c>
      <c r="F8" s="71">
        <f>(E8*100)/E$8</f>
        <v>100</v>
      </c>
      <c r="G8" s="72">
        <f>+C8-E8</f>
        <v>-21465.010000000009</v>
      </c>
      <c r="H8" s="71">
        <f>IF(E8=0,0,G8/E8*100)</f>
        <v>-8.7070645880542248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VICTOIRE'!$G:$G,'BAL N VICTOIRE'!$I:$I,$A10,'BAL N VICTOIRE'!$J:$J,"T")</f>
        <v>49662.43</v>
      </c>
      <c r="D10" s="17">
        <f t="shared" ref="D10:D16" si="0">(C10*100)/C$8</f>
        <v>22.066398926575097</v>
      </c>
      <c r="E10" s="16">
        <f>SUMIFS(DONNEES_N1_NOUVEAU[MONTANT],DONNEES_N1_NOUVEAU[TL2],A10,DONNEES_N1_NOUVEAU[MOIS],DONNÉES!$C$5,DONNEES_N1_NOUVEAU[SOCIETE],"VICTOIRE")</f>
        <v>51504.92</v>
      </c>
      <c r="F10" s="17">
        <f t="shared" ref="F10:F16" si="1">(E10*100)/E$8</f>
        <v>20.892450785840101</v>
      </c>
      <c r="G10" s="16">
        <f>+C10-E10</f>
        <v>-1842.489999999998</v>
      </c>
      <c r="H10" s="17">
        <f t="shared" ref="H10:H16" si="2">IF(E10=0,0,G10/E10*100)</f>
        <v>-3.5773087308940541</v>
      </c>
    </row>
    <row r="11" spans="1:8" s="18" customFormat="1" x14ac:dyDescent="0.2">
      <c r="A11" s="13" t="s">
        <v>124</v>
      </c>
      <c r="B11" s="14" t="s">
        <v>4</v>
      </c>
      <c r="C11" s="23">
        <f>SUMIFS('BAL N VICTOIRE'!$G:$G,'BAL N VICTOIRE'!$I:$I,$A11,'BAL N VICTOIRE'!$J:$J,"T")</f>
        <v>1353.01</v>
      </c>
      <c r="D11" s="17">
        <f t="shared" si="0"/>
        <v>0.60117997471419282</v>
      </c>
      <c r="E11" s="16">
        <f>SUMIFS(DONNEES_N1_NOUVEAU[MONTANT],DONNEES_N1_NOUVEAU[TL2],A11,DONNEES_N1_NOUVEAU[MOIS],DONNÉES!$C$5,DONNEES_N1_NOUVEAU[SOCIETE],"VICTOIRE")</f>
        <v>1422.71</v>
      </c>
      <c r="F11" s="17">
        <f t="shared" si="1"/>
        <v>0.57710794730916126</v>
      </c>
      <c r="G11" s="16">
        <f>+C11-E11</f>
        <v>-69.700000000000045</v>
      </c>
      <c r="H11" s="17">
        <f t="shared" si="2"/>
        <v>-4.8991010114499822</v>
      </c>
    </row>
    <row r="12" spans="1:8" s="18" customFormat="1" x14ac:dyDescent="0.2">
      <c r="A12" s="13" t="s">
        <v>125</v>
      </c>
      <c r="B12" s="14" t="s">
        <v>2</v>
      </c>
      <c r="C12" s="23">
        <f>SUMIFS('BAL N VICTOIRE'!$G:$G,'BAL N VICTOIRE'!$I:$I,$A12,'BAL N VICTOIRE'!$J:$J,"T")</f>
        <v>1893.68</v>
      </c>
      <c r="D12" s="17">
        <f t="shared" si="0"/>
        <v>0.8414146935475515</v>
      </c>
      <c r="E12" s="16">
        <f>SUMIFS(DONNEES_N1_NOUVEAU[MONTANT],DONNEES_N1_NOUVEAU[TL2],A12,DONNEES_N1_NOUVEAU[MOIS],DONNÉES!$C$5,DONNEES_N1_NOUVEAU[SOCIETE],"VICTOIRE")</f>
        <v>1576.58</v>
      </c>
      <c r="F12" s="17">
        <f t="shared" si="1"/>
        <v>0.63952375928241001</v>
      </c>
      <c r="G12" s="16">
        <f>+C12-E12</f>
        <v>317.10000000000014</v>
      </c>
      <c r="H12" s="17">
        <f t="shared" si="2"/>
        <v>20.1131563257177</v>
      </c>
    </row>
    <row r="13" spans="1:8" s="59" customFormat="1" ht="13.5" x14ac:dyDescent="0.2">
      <c r="A13" s="60"/>
      <c r="B13" s="62" t="s">
        <v>6</v>
      </c>
      <c r="C13" s="55">
        <f>SUM(C10:C12)</f>
        <v>52909.120000000003</v>
      </c>
      <c r="D13" s="56">
        <f t="shared" si="0"/>
        <v>23.508993594836841</v>
      </c>
      <c r="E13" s="55">
        <f>SUM(E10:E12)</f>
        <v>54504.21</v>
      </c>
      <c r="F13" s="56">
        <f t="shared" si="1"/>
        <v>22.109082492431671</v>
      </c>
      <c r="G13" s="55">
        <f>SUM(G10:G12)</f>
        <v>-1595.0899999999979</v>
      </c>
      <c r="H13" s="56">
        <f t="shared" si="2"/>
        <v>-2.9265445733457982</v>
      </c>
    </row>
    <row r="14" spans="1:8" s="18" customFormat="1" x14ac:dyDescent="0.2">
      <c r="A14" s="13" t="s">
        <v>126</v>
      </c>
      <c r="B14" s="14" t="s">
        <v>8</v>
      </c>
      <c r="C14" s="23">
        <f>SUMIFS('BAL N VICTOIRE'!$G:$G,'BAL N VICTOIRE'!$I:$I,$A14,'BAL N VICTOIRE'!$J:$J,"T")</f>
        <v>4062.77</v>
      </c>
      <c r="D14" s="17">
        <f t="shared" si="0"/>
        <v>1.8052017101644342</v>
      </c>
      <c r="E14" s="16">
        <f>SUMIFS(DONNEES_N1_NOUVEAU[MONTANT],DONNEES_N1_NOUVEAU[TL2],A14,DONNEES_N1_NOUVEAU[MOIS],DONNÉES!$C$5,DONNEES_N1_NOUVEAU[SOCIETE],"VICTOIRE")</f>
        <v>4918.43</v>
      </c>
      <c r="F14" s="17">
        <f t="shared" si="1"/>
        <v>1.9951114712652602</v>
      </c>
      <c r="G14" s="16">
        <f>+C14-E14</f>
        <v>-855.66000000000031</v>
      </c>
      <c r="H14" s="17">
        <f t="shared" si="2"/>
        <v>-17.397014901096494</v>
      </c>
    </row>
    <row r="15" spans="1:8" s="18" customFormat="1" x14ac:dyDescent="0.2">
      <c r="A15" s="13" t="s">
        <v>2964</v>
      </c>
      <c r="B15" s="14" t="s">
        <v>2965</v>
      </c>
      <c r="C15" s="23">
        <f>SUMIFS('BAL N VICTOIRE'!$G:$G,'BAL N VICTOIRE'!$I:$I,$A15,'BAL N VICTOIRE'!$J:$J,"T")</f>
        <v>164.78</v>
      </c>
      <c r="D15" s="17">
        <f t="shared" si="0"/>
        <v>7.3216337080586752E-2</v>
      </c>
      <c r="E15" s="16">
        <f>SUMIFS(DONNEES_N1_NOUVEAU[MONTANT],DONNEES_N1_NOUVEAU[TL2],A15,DONNEES_N1_NOUVEAU[MOIS],DONNÉES!$C$5,DONNEES_N1_NOUVEAU[SOCIETE],"VICTOIRE")</f>
        <v>-82.49</v>
      </c>
      <c r="F15" s="17">
        <f t="shared" si="1"/>
        <v>-3.3461235651350389E-2</v>
      </c>
      <c r="G15" s="16">
        <f>+C15-E15</f>
        <v>247.26999999999998</v>
      </c>
      <c r="H15" s="17">
        <f t="shared" si="2"/>
        <v>-299.75754636925689</v>
      </c>
    </row>
    <row r="16" spans="1:8" ht="13.5" thickBot="1" x14ac:dyDescent="0.25">
      <c r="A16" s="7"/>
      <c r="B16" s="63" t="s">
        <v>10</v>
      </c>
      <c r="C16" s="49">
        <f>+C13+SUM(C14:C15)</f>
        <v>57136.670000000006</v>
      </c>
      <c r="D16" s="50">
        <f t="shared" si="0"/>
        <v>25.387411642081865</v>
      </c>
      <c r="E16" s="49">
        <f>+E13+SUM(E14:E15)</f>
        <v>59340.15</v>
      </c>
      <c r="F16" s="50">
        <f t="shared" si="1"/>
        <v>24.070732728045581</v>
      </c>
      <c r="G16" s="49">
        <f>+G13+SUM(G14:G15)</f>
        <v>-2203.4799999999982</v>
      </c>
      <c r="H16" s="50">
        <f t="shared" si="2"/>
        <v>-3.713303724375483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167922.38999999998</v>
      </c>
      <c r="D18" s="71">
        <f>(C18*100)/C$8</f>
        <v>74.612588357918142</v>
      </c>
      <c r="E18" s="70">
        <f>E8-E16</f>
        <v>187183.92</v>
      </c>
      <c r="F18" s="71">
        <f>(E18*100)/E$8</f>
        <v>75.929267271954416</v>
      </c>
      <c r="G18" s="70">
        <f>G8-G16</f>
        <v>-19261.53000000001</v>
      </c>
      <c r="H18" s="71">
        <f>IF(E18=0,0,G18/E18*100)</f>
        <v>-10.290162744748592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VICTOIRE'!$G:$G,'BAL N VICTOIRE'!$I:$I,$A20,'BAL N VICTOIRE'!$J:$J,"T")</f>
        <v>27614.92</v>
      </c>
      <c r="D20" s="17">
        <f t="shared" ref="D20:D26" si="3">(C20*100)/C$8</f>
        <v>12.270077018894508</v>
      </c>
      <c r="E20" s="16">
        <f>SUMIFS(DONNEES_N1_NOUVEAU[MONTANT],DONNEES_N1_NOUVEAU[TL2],A20,DONNEES_N1_NOUVEAU[MOIS],DONNÉES!$C$5,DONNEES_N1_NOUVEAU[SOCIETE],"VICTOIRE")</f>
        <v>35682.36</v>
      </c>
      <c r="F20" s="17">
        <f t="shared" ref="F20:F26" si="4">(E20*100)/E$8</f>
        <v>14.474189072085334</v>
      </c>
      <c r="G20" s="16">
        <f t="shared" ref="G20:G25" si="5">+C20-E20</f>
        <v>-8067.4400000000023</v>
      </c>
      <c r="H20" s="17">
        <f t="shared" ref="H20:H26" si="6">IF(E20=0,0,G20/E20*100)</f>
        <v>-22.609042675428427</v>
      </c>
    </row>
    <row r="21" spans="1:8" s="18" customFormat="1" x14ac:dyDescent="0.2">
      <c r="A21" s="13">
        <v>9</v>
      </c>
      <c r="B21" s="14" t="s">
        <v>2968</v>
      </c>
      <c r="C21" s="23">
        <f>SUMIFS('BAL N VICTOIRE'!$G:$G,'BAL N VICTOIRE'!$I:$I,$A21,'BAL N VICTOIRE'!$J:$J,"T")</f>
        <v>3379.71</v>
      </c>
      <c r="D21" s="17">
        <f t="shared" si="3"/>
        <v>1.5016991539909568</v>
      </c>
      <c r="E21" s="16">
        <f>SUMIFS(DONNEES_N1_NOUVEAU[MONTANT],DONNEES_N1_NOUVEAU[TL2],A21,DONNEES_N1_NOUVEAU[MOIS],DONNÉES!$C$5,DONNEES_N1_NOUVEAU[SOCIETE],"VICTOIRE")</f>
        <v>3798.85</v>
      </c>
      <c r="F21" s="17">
        <f t="shared" si="4"/>
        <v>1.5409651479468109</v>
      </c>
      <c r="G21" s="16">
        <f t="shared" si="5"/>
        <v>-419.13999999999987</v>
      </c>
      <c r="H21" s="17">
        <f t="shared" si="6"/>
        <v>-11.03333903681377</v>
      </c>
    </row>
    <row r="22" spans="1:8" s="18" customFormat="1" x14ac:dyDescent="0.2">
      <c r="A22" s="13" t="s">
        <v>12</v>
      </c>
      <c r="B22" s="14" t="s">
        <v>14</v>
      </c>
      <c r="C22" s="23">
        <f>SUMIFS('BAL N VICTOIRE'!$G:$G,'BAL N VICTOIRE'!$I:$I,$A22,'BAL N VICTOIRE'!$J:$J,"T")</f>
        <v>18309.689999999999</v>
      </c>
      <c r="D22" s="17">
        <f t="shared" si="3"/>
        <v>8.1355045204578733</v>
      </c>
      <c r="E22" s="16">
        <f>SUMIFS(DONNEES_N1_NOUVEAU[MONTANT],DONNEES_N1_NOUVEAU[TL2],A22,DONNEES_N1_NOUVEAU[MOIS],DONNÉES!$C$5,DONNEES_N1_NOUVEAU[SOCIETE],"VICTOIRE")</f>
        <v>21454.04</v>
      </c>
      <c r="F22" s="17">
        <f t="shared" si="4"/>
        <v>8.7026147183112794</v>
      </c>
      <c r="G22" s="16">
        <f t="shared" si="5"/>
        <v>-3144.3500000000022</v>
      </c>
      <c r="H22" s="17">
        <f t="shared" si="6"/>
        <v>-14.656213934531687</v>
      </c>
    </row>
    <row r="23" spans="1:8" s="18" customFormat="1" x14ac:dyDescent="0.2">
      <c r="A23" s="13" t="s">
        <v>13</v>
      </c>
      <c r="B23" s="14" t="s">
        <v>2966</v>
      </c>
      <c r="C23" s="23">
        <f>SUMIFS('BAL N VICTOIRE'!$G:$G,'BAL N VICTOIRE'!$I:$I,$A23,'BAL N VICTOIRE'!$J:$J,"T")</f>
        <v>4405.8599999999997</v>
      </c>
      <c r="D23" s="17">
        <f t="shared" si="3"/>
        <v>1.957646139639968</v>
      </c>
      <c r="E23" s="16">
        <f>SUMIFS(DONNEES_N1_NOUVEAU[MONTANT],DONNEES_N1_NOUVEAU[TL2],A23,DONNEES_N1_NOUVEAU[MOIS],DONNÉES!$C$5,DONNEES_N1_NOUVEAU[SOCIETE],"VICTOIRE")</f>
        <v>5237.3500000000004</v>
      </c>
      <c r="F23" s="17">
        <f t="shared" si="4"/>
        <v>2.1244781493344647</v>
      </c>
      <c r="G23" s="16">
        <f t="shared" si="5"/>
        <v>-831.49000000000069</v>
      </c>
      <c r="H23" s="17">
        <f t="shared" si="6"/>
        <v>-15.876158744403194</v>
      </c>
    </row>
    <row r="24" spans="1:8" s="18" customFormat="1" x14ac:dyDescent="0.2">
      <c r="A24" s="13" t="s">
        <v>15</v>
      </c>
      <c r="B24" s="14" t="s">
        <v>2969</v>
      </c>
      <c r="C24" s="23">
        <f>SUMIFS('BAL N VICTOIRE'!$G:$G,'BAL N VICTOIRE'!$I:$I,$A24,'BAL N VICTOIRE'!$J:$J,"T")</f>
        <v>-500</v>
      </c>
      <c r="D24" s="17">
        <f t="shared" si="3"/>
        <v>-0.22216390666521046</v>
      </c>
      <c r="E24" s="16">
        <f>SUMIFS(DONNEES_N1_NOUVEAU[MONTANT],DONNEES_N1_NOUVEAU[TL2],A24,DONNEES_N1_NOUVEAU[MOIS],DONNÉES!$C$5,DONNEES_N1_NOUVEAU[SOCIETE],"VICTOIRE")</f>
        <v>0</v>
      </c>
      <c r="F24" s="17">
        <f t="shared" si="4"/>
        <v>0</v>
      </c>
      <c r="G24" s="16">
        <f t="shared" si="5"/>
        <v>-500</v>
      </c>
      <c r="H24" s="17">
        <f t="shared" si="6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VICTOIRE'!$G:$G,'BAL N VICTOIRE'!$I:$I,$A25,'BAL N VICTOIRE'!$J:$J,"T")</f>
        <v>0</v>
      </c>
      <c r="D25" s="17">
        <f t="shared" si="3"/>
        <v>0</v>
      </c>
      <c r="E25" s="16">
        <f>SUMIFS(DONNEES_N1_NOUVEAU[MONTANT],DONNEES_N1_NOUVEAU[TL2],A25,DONNEES_N1_NOUVEAU[MOIS],DONNÉES!$C$5,DONNEES_N1_NOUVEAU[SOCIETE],"VICTOIRE")</f>
        <v>0</v>
      </c>
      <c r="F25" s="17">
        <f t="shared" si="4"/>
        <v>0</v>
      </c>
      <c r="G25" s="16">
        <f t="shared" si="5"/>
        <v>0</v>
      </c>
      <c r="H25" s="17">
        <f t="shared" si="6"/>
        <v>0</v>
      </c>
    </row>
    <row r="26" spans="1:8" ht="13.5" thickBot="1" x14ac:dyDescent="0.25">
      <c r="A26" s="7"/>
      <c r="B26" s="63" t="s">
        <v>2971</v>
      </c>
      <c r="C26" s="49">
        <f>SUM(C20:C25)</f>
        <v>53210.179999999993</v>
      </c>
      <c r="D26" s="50">
        <f t="shared" si="3"/>
        <v>23.642762926318092</v>
      </c>
      <c r="E26" s="51">
        <f>SUM(E20:E25)</f>
        <v>66172.600000000006</v>
      </c>
      <c r="F26" s="50">
        <f t="shared" si="4"/>
        <v>26.84224708767789</v>
      </c>
      <c r="G26" s="51">
        <f>SUM(G20:G25)</f>
        <v>-12962.420000000006</v>
      </c>
      <c r="H26" s="50">
        <f t="shared" si="6"/>
        <v>-19.58880261618858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VICTOIRE'!$G:$G,'BAL N VICTOIRE'!$I:$I,$A28,'BAL N VICTOIRE'!$J:$J,"T")</f>
        <v>9540</v>
      </c>
      <c r="D28" s="17">
        <f t="shared" ref="D28:D33" si="7">(C28*100)/C$8</f>
        <v>4.2388873391722157</v>
      </c>
      <c r="E28" s="16">
        <f>SUMIFS(DONNEES_N1_NOUVEAU[MONTANT],DONNEES_N1_NOUVEAU[TL2],A28,DONNEES_N1_NOUVEAU[MOIS],DONNÉES!$C$5,DONNEES_N1_NOUVEAU[SOCIETE],"VICTOIRE")</f>
        <v>0</v>
      </c>
      <c r="F28" s="17">
        <f t="shared" ref="F28:F33" si="8">(E28*100)/E$8</f>
        <v>0</v>
      </c>
      <c r="G28" s="16">
        <f>+C28-E28</f>
        <v>9540</v>
      </c>
      <c r="H28" s="17">
        <f t="shared" ref="H28:H33" si="9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VICTOIRE'!$G:$G,'BAL N VICTOIRE'!$I:$I,$A29,'BAL N VICTOIRE'!$J:$J,"T")</f>
        <v>58.23</v>
      </c>
      <c r="D29" s="17">
        <f t="shared" si="7"/>
        <v>2.587320857023041E-2</v>
      </c>
      <c r="E29" s="16">
        <f>SUMIFS(DONNEES_N1_NOUVEAU[MONTANT],DONNEES_N1_NOUVEAU[TL2],A29,DONNEES_N1_NOUVEAU[MOIS],DONNÉES!$C$5,DONNEES_N1_NOUVEAU[SOCIETE],"VICTOIRE")</f>
        <v>57</v>
      </c>
      <c r="F29" s="17">
        <f t="shared" si="8"/>
        <v>2.3121474507539971E-2</v>
      </c>
      <c r="G29" s="16">
        <f>+C29-E29</f>
        <v>1.2299999999999969</v>
      </c>
      <c r="H29" s="17">
        <f t="shared" si="9"/>
        <v>2.1578947368420995</v>
      </c>
    </row>
    <row r="30" spans="1:8" s="18" customFormat="1" x14ac:dyDescent="0.2">
      <c r="A30" s="13" t="s">
        <v>21</v>
      </c>
      <c r="B30" s="14" t="s">
        <v>2973</v>
      </c>
      <c r="C30" s="23">
        <f>SUMIFS('BAL N VICTOIRE'!$G:$G,'BAL N VICTOIRE'!$I:$I,$A30,'BAL N VICTOIRE'!$J:$J,"T")</f>
        <v>1677.22</v>
      </c>
      <c r="D30" s="17">
        <f t="shared" si="7"/>
        <v>0.74523549507404863</v>
      </c>
      <c r="E30" s="16">
        <f>SUMIFS(DONNEES_N1_NOUVEAU[MONTANT],DONNEES_N1_NOUVEAU[TL2],A30,DONNEES_N1_NOUVEAU[MOIS],DONNÉES!$C$5,DONNEES_N1_NOUVEAU[SOCIETE],"VICTOIRE")</f>
        <v>2042.52</v>
      </c>
      <c r="F30" s="17">
        <f t="shared" si="8"/>
        <v>0.82852761598492186</v>
      </c>
      <c r="G30" s="16">
        <f>+C30-E30</f>
        <v>-365.29999999999995</v>
      </c>
      <c r="H30" s="17">
        <f t="shared" si="9"/>
        <v>-17.884769794175821</v>
      </c>
    </row>
    <row r="31" spans="1:8" s="18" customFormat="1" x14ac:dyDescent="0.2">
      <c r="A31" s="13" t="s">
        <v>23</v>
      </c>
      <c r="B31" s="14" t="s">
        <v>2974</v>
      </c>
      <c r="C31" s="23">
        <f>SUMIFS('BAL N VICTOIRE'!$G:$G,'BAL N VICTOIRE'!$I:$I,$A31,'BAL N VICTOIRE'!$J:$J,"T")</f>
        <v>2890.53</v>
      </c>
      <c r="D31" s="17">
        <f t="shared" si="7"/>
        <v>1.2843428742659815</v>
      </c>
      <c r="E31" s="16">
        <f>SUMIFS(DONNEES_N1_NOUVEAU[MONTANT],DONNEES_N1_NOUVEAU[TL2],A31,DONNEES_N1_NOUVEAU[MOIS],DONNÉES!$C$5,DONNEES_N1_NOUVEAU[SOCIETE],"VICTOIRE")</f>
        <v>3331.04</v>
      </c>
      <c r="F31" s="17">
        <f t="shared" si="8"/>
        <v>1.3512027446244903</v>
      </c>
      <c r="G31" s="16">
        <f>+C31-E31</f>
        <v>-440.50999999999976</v>
      </c>
      <c r="H31" s="17">
        <f t="shared" si="9"/>
        <v>-13.224398386089623</v>
      </c>
    </row>
    <row r="32" spans="1:8" s="18" customFormat="1" x14ac:dyDescent="0.2">
      <c r="A32" s="13" t="s">
        <v>25</v>
      </c>
      <c r="B32" s="14" t="s">
        <v>2975</v>
      </c>
      <c r="C32" s="23">
        <f>SUMIFS('BAL N VICTOIRE'!$G:$G,'BAL N VICTOIRE'!$I:$I,$A32,'BAL N VICTOIRE'!$J:$J,"T")</f>
        <v>4651.0200000000004</v>
      </c>
      <c r="D32" s="17">
        <f t="shared" si="7"/>
        <v>2.0665775463560547</v>
      </c>
      <c r="E32" s="16">
        <f>SUMIFS(DONNEES_N1_NOUVEAU[MONTANT],DONNEES_N1_NOUVEAU[TL2],A32,DONNEES_N1_NOUVEAU[MOIS],DONNÉES!$C$5,DONNEES_N1_NOUVEAU[SOCIETE],"VICTOIRE")</f>
        <v>8689.08</v>
      </c>
      <c r="F32" s="17">
        <f t="shared" si="8"/>
        <v>3.5246375739293936</v>
      </c>
      <c r="G32" s="16">
        <f>+C32-E32</f>
        <v>-4038.0599999999995</v>
      </c>
      <c r="H32" s="17">
        <f t="shared" si="9"/>
        <v>-46.472814152936785</v>
      </c>
    </row>
    <row r="33" spans="1:8" ht="13.5" thickBot="1" x14ac:dyDescent="0.25">
      <c r="A33" s="7"/>
      <c r="B33" s="63" t="s">
        <v>2976</v>
      </c>
      <c r="C33" s="49">
        <f>SUM(C28:C32)</f>
        <v>18817</v>
      </c>
      <c r="D33" s="50">
        <f t="shared" si="7"/>
        <v>8.3609164634385298</v>
      </c>
      <c r="E33" s="51">
        <f>SUM(E28:E32)</f>
        <v>14119.64</v>
      </c>
      <c r="F33" s="50">
        <f t="shared" si="8"/>
        <v>5.7274894090463455</v>
      </c>
      <c r="G33" s="51">
        <f>SUM(G28:G32)</f>
        <v>4697.3600000000006</v>
      </c>
      <c r="H33" s="50">
        <f t="shared" si="9"/>
        <v>33.268270295843244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VICTOIRE'!$G:$G,'BAL N VICTOIRE'!$I:$I,$A35,'BAL N VICTOIRE'!$J:$J,"T")</f>
        <v>0</v>
      </c>
      <c r="D35" s="17">
        <f t="shared" ref="D35:D42" si="10">(C35*100)/C$8</f>
        <v>0</v>
      </c>
      <c r="E35" s="16">
        <f>SUMIFS(DONNEES_N1_NOUVEAU[MONTANT],DONNEES_N1_NOUVEAU[TL2],A35,DONNEES_N1_NOUVEAU[MOIS],DONNÉES!$C$5,DONNEES_N1_NOUVEAU[SOCIETE],"VICTOIRE")</f>
        <v>0</v>
      </c>
      <c r="F35" s="17">
        <f t="shared" ref="F35:F42" si="11">(E35*100)/E$8</f>
        <v>0</v>
      </c>
      <c r="G35" s="16">
        <f t="shared" ref="G35:G41" si="12">+C35-E35</f>
        <v>0</v>
      </c>
      <c r="H35" s="17">
        <f t="shared" ref="H35:H42" si="13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VICTOIRE'!$G:$G,'BAL N VICTOIRE'!$I:$I,$A36,'BAL N VICTOIRE'!$J:$J,"T")</f>
        <v>9030.2999999999993</v>
      </c>
      <c r="D36" s="17">
        <f t="shared" si="10"/>
        <v>4.0124134527176993</v>
      </c>
      <c r="E36" s="16">
        <f>SUMIFS(DONNEES_N1_NOUVEAU[MONTANT],DONNEES_N1_NOUVEAU[TL2],A36,DONNEES_N1_NOUVEAU[MOIS],DONNÉES!$C$5,DONNEES_N1_NOUVEAU[SOCIETE],"VICTOIRE")</f>
        <v>9870.25</v>
      </c>
      <c r="F36" s="17">
        <f t="shared" si="11"/>
        <v>4.0037672589130953</v>
      </c>
      <c r="G36" s="16">
        <f t="shared" si="12"/>
        <v>-839.95000000000073</v>
      </c>
      <c r="H36" s="17">
        <f t="shared" si="13"/>
        <v>-8.5099161622046111</v>
      </c>
    </row>
    <row r="37" spans="1:8" s="18" customFormat="1" x14ac:dyDescent="0.2">
      <c r="A37" s="13" t="s">
        <v>32</v>
      </c>
      <c r="B37" s="14" t="s">
        <v>19</v>
      </c>
      <c r="C37" s="23">
        <f>SUMIFS('BAL N VICTOIRE'!$G:$G,'BAL N VICTOIRE'!$I:$I,$A37,'BAL N VICTOIRE'!$J:$J,"T")</f>
        <v>5162.43</v>
      </c>
      <c r="D37" s="17">
        <f t="shared" si="10"/>
        <v>2.2938112333713647</v>
      </c>
      <c r="E37" s="16">
        <f>SUMIFS(DONNEES_N1_NOUVEAU[MONTANT],DONNEES_N1_NOUVEAU[TL2],A37,DONNEES_N1_NOUVEAU[MOIS],DONNÉES!$C$5,DONNEES_N1_NOUVEAU[SOCIETE],"VICTOIRE")</f>
        <v>5333.37</v>
      </c>
      <c r="F37" s="17">
        <f t="shared" si="11"/>
        <v>2.1634276928820784</v>
      </c>
      <c r="G37" s="16">
        <f t="shared" si="12"/>
        <v>-170.9399999999996</v>
      </c>
      <c r="H37" s="17">
        <f t="shared" si="13"/>
        <v>-3.2051029649171086</v>
      </c>
    </row>
    <row r="38" spans="1:8" s="18" customFormat="1" x14ac:dyDescent="0.2">
      <c r="A38" s="13" t="s">
        <v>34</v>
      </c>
      <c r="B38" s="14" t="s">
        <v>28</v>
      </c>
      <c r="C38" s="23">
        <f>SUMIFS('BAL N VICTOIRE'!$G:$G,'BAL N VICTOIRE'!$I:$I,$A38,'BAL N VICTOIRE'!$J:$J,"T")</f>
        <v>8650.75</v>
      </c>
      <c r="D38" s="17">
        <f t="shared" si="10"/>
        <v>3.8437688311681386</v>
      </c>
      <c r="E38" s="16">
        <f>SUMIFS(DONNEES_N1_NOUVEAU[MONTANT],DONNEES_N1_NOUVEAU[TL2],A38,DONNEES_N1_NOUVEAU[MOIS],DONNÉES!$C$5,DONNEES_N1_NOUVEAU[SOCIETE],"VICTOIRE")</f>
        <v>9078.49</v>
      </c>
      <c r="F38" s="17">
        <f t="shared" si="11"/>
        <v>3.6825978088062556</v>
      </c>
      <c r="G38" s="16">
        <f t="shared" si="12"/>
        <v>-427.73999999999978</v>
      </c>
      <c r="H38" s="17">
        <f t="shared" si="13"/>
        <v>-4.7115764846356587</v>
      </c>
    </row>
    <row r="39" spans="1:8" s="18" customFormat="1" x14ac:dyDescent="0.2">
      <c r="A39" s="13" t="s">
        <v>2978</v>
      </c>
      <c r="B39" s="14" t="s">
        <v>2980</v>
      </c>
      <c r="C39" s="23">
        <f>SUMIFS('BAL N VICTOIRE'!$G:$G,'BAL N VICTOIRE'!$I:$I,$A39,'BAL N VICTOIRE'!$J:$J,"T")</f>
        <v>2492.2199999999998</v>
      </c>
      <c r="D39" s="17">
        <f t="shared" si="10"/>
        <v>1.1073626629383415</v>
      </c>
      <c r="E39" s="16">
        <f>SUMIFS(DONNEES_N1_NOUVEAU[MONTANT],DONNEES_N1_NOUVEAU[TL2],A39,DONNEES_N1_NOUVEAU[MOIS],DONNÉES!$C$5,DONNEES_N1_NOUVEAU[SOCIETE],"VICTOIRE")</f>
        <v>2315.11</v>
      </c>
      <c r="F39" s="17">
        <f t="shared" si="11"/>
        <v>0.93910099731843621</v>
      </c>
      <c r="G39" s="16">
        <f t="shared" si="12"/>
        <v>177.10999999999967</v>
      </c>
      <c r="H39" s="17">
        <f t="shared" si="13"/>
        <v>7.6501764494991447</v>
      </c>
    </row>
    <row r="40" spans="1:8" s="18" customFormat="1" x14ac:dyDescent="0.2">
      <c r="A40" s="13" t="s">
        <v>2979</v>
      </c>
      <c r="B40" s="14" t="s">
        <v>2981</v>
      </c>
      <c r="C40" s="23">
        <f>SUMIFS('BAL N VICTOIRE'!$G:$G,'BAL N VICTOIRE'!$I:$I,$A40,'BAL N VICTOIRE'!$J:$J,"T")</f>
        <v>268.02999999999997</v>
      </c>
      <c r="D40" s="17">
        <f t="shared" si="10"/>
        <v>0.1190931838069527</v>
      </c>
      <c r="E40" s="16">
        <f>SUMIFS(DONNEES_N1_NOUVEAU[MONTANT],DONNEES_N1_NOUVEAU[TL2],A40,DONNEES_N1_NOUVEAU[MOIS],DONNÉES!$C$5,DONNEES_N1_NOUVEAU[SOCIETE],"VICTOIRE")</f>
        <v>221.43</v>
      </c>
      <c r="F40" s="17">
        <f t="shared" si="11"/>
        <v>8.9820843863238173E-2</v>
      </c>
      <c r="G40" s="16">
        <f t="shared" si="12"/>
        <v>46.599999999999966</v>
      </c>
      <c r="H40" s="17">
        <f t="shared" si="13"/>
        <v>21.045025515964397</v>
      </c>
    </row>
    <row r="41" spans="1:8" s="18" customFormat="1" x14ac:dyDescent="0.2">
      <c r="A41" s="13" t="s">
        <v>2982</v>
      </c>
      <c r="B41" s="14" t="s">
        <v>2983</v>
      </c>
      <c r="C41" s="23">
        <f>SUMIFS('BAL N VICTOIRE'!$G:$G,'BAL N VICTOIRE'!$I:$I,$A41,'BAL N VICTOIRE'!$J:$J,"T")</f>
        <v>173.12</v>
      </c>
      <c r="D41" s="17">
        <f t="shared" si="10"/>
        <v>7.6922031043762468E-2</v>
      </c>
      <c r="E41" s="16">
        <f>SUMIFS(DONNEES_N1_NOUVEAU[MONTANT],DONNEES_N1_NOUVEAU[TL2],A41,DONNEES_N1_NOUVEAU[MOIS],DONNÉES!$C$5,DONNEES_N1_NOUVEAU[SOCIETE],"VICTOIRE")</f>
        <v>1222.55</v>
      </c>
      <c r="F41" s="17">
        <f t="shared" si="11"/>
        <v>0.49591506419636833</v>
      </c>
      <c r="G41" s="16">
        <f t="shared" si="12"/>
        <v>-1049.4299999999998</v>
      </c>
      <c r="H41" s="17">
        <f t="shared" si="13"/>
        <v>-85.839433969980774</v>
      </c>
    </row>
    <row r="42" spans="1:8" ht="13.5" thickBot="1" x14ac:dyDescent="0.25">
      <c r="A42" s="13"/>
      <c r="B42" s="63" t="s">
        <v>2984</v>
      </c>
      <c r="C42" s="49">
        <f>+SUM(C35:C41)</f>
        <v>25776.85</v>
      </c>
      <c r="D42" s="50">
        <f t="shared" si="10"/>
        <v>11.453371395046261</v>
      </c>
      <c r="E42" s="51">
        <f>+SUM(E35:E41)</f>
        <v>28041.200000000001</v>
      </c>
      <c r="F42" s="50">
        <f t="shared" si="11"/>
        <v>11.374629665979471</v>
      </c>
      <c r="G42" s="51">
        <f>+SUM(G35:G41)</f>
        <v>-2264.3500000000004</v>
      </c>
      <c r="H42" s="50">
        <f t="shared" si="13"/>
        <v>-8.0750823787855026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70118.359999999986</v>
      </c>
      <c r="D44" s="71">
        <f>(C44*100)/C$8</f>
        <v>31.155537573115243</v>
      </c>
      <c r="E44" s="72">
        <f>E18-E26-E33-E42</f>
        <v>78850.48000000001</v>
      </c>
      <c r="F44" s="71">
        <f>(E44*100)/E$8</f>
        <v>31.984901109250714</v>
      </c>
      <c r="G44" s="72">
        <f>G18-G26-G33-G42</f>
        <v>-8732.1200000000044</v>
      </c>
      <c r="H44" s="71">
        <f>IF(E44=0,0,G44/E44*100)</f>
        <v>-11.074276275807076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VICTOIRE'!$G:$G,'BAL N VICTOIRE'!$I:$I,$A46,'BAL N VICTOIRE'!$J:$J,"T")</f>
        <v>28522.12</v>
      </c>
      <c r="D46" s="17">
        <f t="shared" ref="D46:D49" si="14">(C46*100)/C$8</f>
        <v>12.673171211147865</v>
      </c>
      <c r="E46" s="16">
        <f>SUMIFS(DONNEES_N1_NOUVEAU[MONTANT],DONNEES_N1_NOUVEAU[TL2],A46,DONNEES_N1_NOUVEAU[MOIS],DONNÉES!$C$5,DONNEES_N1_NOUVEAU[SOCIETE],"VICTOIRE")</f>
        <v>31131.42</v>
      </c>
      <c r="F46" s="17">
        <f t="shared" ref="F46:F49" si="15">(E46*100)/E$8</f>
        <v>12.628146209009124</v>
      </c>
      <c r="G46" s="16">
        <f>+C46-E46</f>
        <v>-2609.2999999999993</v>
      </c>
      <c r="H46" s="17">
        <f>IF(E46=0,0,G46/E46*100)</f>
        <v>-8.3815643488154379</v>
      </c>
    </row>
    <row r="47" spans="1:8" s="18" customFormat="1" x14ac:dyDescent="0.2">
      <c r="A47" s="13" t="s">
        <v>35</v>
      </c>
      <c r="B47" s="14" t="s">
        <v>2986</v>
      </c>
      <c r="C47" s="23">
        <f>SUMIFS('BAL N VICTOIRE'!$G:$G,'BAL N VICTOIRE'!$I:$I,$A47,'BAL N VICTOIRE'!$J:$J,"T")</f>
        <v>0</v>
      </c>
      <c r="D47" s="17">
        <f t="shared" si="14"/>
        <v>0</v>
      </c>
      <c r="E47" s="16">
        <f>SUMIFS(DONNEES_N1_NOUVEAU[MONTANT],DONNEES_N1_NOUVEAU[TL2],A47,DONNEES_N1_NOUVEAU[MOIS],DONNÉES!$C$5,DONNEES_N1_NOUVEAU[SOCIETE],"VICTOIRE")</f>
        <v>0</v>
      </c>
      <c r="F47" s="17">
        <f t="shared" si="15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VICTOIRE'!$G:$G,'BAL N VICTOIRE'!$I:$I,$A48,'BAL N VICTOIRE'!$J:$J,"T")</f>
        <v>-423.42</v>
      </c>
      <c r="D48" s="17">
        <f t="shared" si="14"/>
        <v>-0.18813728272036684</v>
      </c>
      <c r="E48" s="16">
        <f>SUMIFS(DONNEES_N1_NOUVEAU[MONTANT],DONNEES_N1_NOUVEAU[TL2],A48,DONNEES_N1_NOUVEAU[MOIS],DONNÉES!$C$5,DONNEES_N1_NOUVEAU[SOCIETE],"VICTOIRE")</f>
        <v>-401.63</v>
      </c>
      <c r="F48" s="17">
        <f t="shared" si="15"/>
        <v>-0.16291715449935579</v>
      </c>
      <c r="G48" s="16">
        <f>+C48-E48</f>
        <v>-21.79000000000002</v>
      </c>
      <c r="H48" s="17">
        <f>IF(E48=0,0,G48/E48*100)</f>
        <v>5.4253915295172224</v>
      </c>
    </row>
    <row r="49" spans="1:8" ht="13.5" thickBot="1" x14ac:dyDescent="0.25">
      <c r="A49" s="13"/>
      <c r="B49" s="63" t="s">
        <v>2988</v>
      </c>
      <c r="C49" s="49">
        <f>SUM(C46:C48)</f>
        <v>28098.7</v>
      </c>
      <c r="D49" s="50">
        <f t="shared" si="14"/>
        <v>12.485033928427498</v>
      </c>
      <c r="E49" s="51">
        <f>SUM(E46:E48)</f>
        <v>30729.789999999997</v>
      </c>
      <c r="F49" s="50">
        <f t="shared" si="15"/>
        <v>12.465229054509766</v>
      </c>
      <c r="G49" s="51">
        <f>SUM(G46:G48)</f>
        <v>-2631.0899999999992</v>
      </c>
      <c r="H49" s="50">
        <f>IF(E49=0,0,G49/E49*100)</f>
        <v>-8.5620175080923087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VICTOIRE'!$G:$G,'BAL N VICTOIRE'!$I:$I,$A51,'BAL N VICTOIRE'!$J:$J,"T")</f>
        <v>0</v>
      </c>
      <c r="D51" s="17">
        <f t="shared" ref="D51:D59" si="16">(C51*100)/C$8</f>
        <v>0</v>
      </c>
      <c r="E51" s="16">
        <f>SUMIFS(DONNEES_N1_NOUVEAU[MONTANT],DONNEES_N1_NOUVEAU[TL2],A51,DONNEES_N1_NOUVEAU[MOIS],DONNÉES!$C$5,DONNEES_N1_NOUVEAU[SOCIETE],"VICTOIRE")</f>
        <v>301.08</v>
      </c>
      <c r="F51" s="17">
        <f t="shared" ref="F51:F59" si="17">(E51*100)/E$8</f>
        <v>0.12213006218824798</v>
      </c>
      <c r="G51" s="16">
        <f t="shared" ref="G51:G58" si="18">+C51-E51</f>
        <v>-301.08</v>
      </c>
      <c r="H51" s="17">
        <f t="shared" ref="H51:H59" si="19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VICTOIRE'!$G:$G,'BAL N VICTOIRE'!$I:$I,$A52,'BAL N VICTOIRE'!$J:$J,"T")</f>
        <v>11408.85</v>
      </c>
      <c r="D52" s="17">
        <f t="shared" si="16"/>
        <v>5.0692693731147731</v>
      </c>
      <c r="E52" s="16">
        <f>SUMIFS(DONNEES_N1_NOUVEAU[MONTANT],DONNEES_N1_NOUVEAU[TL2],A52,DONNEES_N1_NOUVEAU[MOIS],DONNÉES!$C$5,DONNEES_N1_NOUVEAU[SOCIETE],"VICTOIRE")</f>
        <v>12452.57</v>
      </c>
      <c r="F52" s="17">
        <f t="shared" si="17"/>
        <v>5.0512592948834572</v>
      </c>
      <c r="G52" s="16">
        <f t="shared" si="18"/>
        <v>-1043.7199999999993</v>
      </c>
      <c r="H52" s="17">
        <f t="shared" si="19"/>
        <v>-8.3815630026572769</v>
      </c>
    </row>
    <row r="53" spans="1:8" s="18" customFormat="1" x14ac:dyDescent="0.2">
      <c r="A53" s="13" t="s">
        <v>44</v>
      </c>
      <c r="B53" s="14" t="s">
        <v>62</v>
      </c>
      <c r="C53" s="23">
        <f>SUMIFS('BAL N VICTOIRE'!$G:$G,'BAL N VICTOIRE'!$I:$I,$A53,'BAL N VICTOIRE'!$J:$J,"T")</f>
        <v>1588</v>
      </c>
      <c r="D53" s="17">
        <f t="shared" si="16"/>
        <v>0.70559256756870836</v>
      </c>
      <c r="E53" s="16">
        <f>SUMIFS(DONNEES_N1_NOUVEAU[MONTANT],DONNEES_N1_NOUVEAU[TL2],A53,DONNEES_N1_NOUVEAU[MOIS],DONNÉES!$C$5,DONNEES_N1_NOUVEAU[SOCIETE],"VICTOIRE")</f>
        <v>1302</v>
      </c>
      <c r="F53" s="17">
        <f t="shared" si="17"/>
        <v>0.52814315454064986</v>
      </c>
      <c r="G53" s="16">
        <f t="shared" si="18"/>
        <v>286</v>
      </c>
      <c r="H53" s="17">
        <f t="shared" si="19"/>
        <v>21.966205837173579</v>
      </c>
    </row>
    <row r="54" spans="1:8" s="18" customFormat="1" x14ac:dyDescent="0.2">
      <c r="A54" s="13" t="s">
        <v>45</v>
      </c>
      <c r="B54" s="14" t="s">
        <v>41</v>
      </c>
      <c r="C54" s="23">
        <f>SUMIFS('BAL N VICTOIRE'!$G:$G,'BAL N VICTOIRE'!$I:$I,$A54,'BAL N VICTOIRE'!$J:$J,"T")</f>
        <v>1380.05</v>
      </c>
      <c r="D54" s="17">
        <f t="shared" si="16"/>
        <v>0.61319459878664739</v>
      </c>
      <c r="E54" s="16">
        <f>SUMIFS(DONNEES_N1_NOUVEAU[MONTANT],DONNEES_N1_NOUVEAU[TL2],A54,DONNEES_N1_NOUVEAU[MOIS],DONNÉES!$C$5,DONNEES_N1_NOUVEAU[SOCIETE],"VICTOIRE")</f>
        <v>1040</v>
      </c>
      <c r="F54" s="17">
        <f t="shared" si="17"/>
        <v>0.42186549978669424</v>
      </c>
      <c r="G54" s="16">
        <f t="shared" si="18"/>
        <v>340.04999999999995</v>
      </c>
      <c r="H54" s="17">
        <f t="shared" si="19"/>
        <v>32.69711538461538</v>
      </c>
    </row>
    <row r="55" spans="1:8" s="18" customFormat="1" x14ac:dyDescent="0.2">
      <c r="A55" s="13" t="s">
        <v>47</v>
      </c>
      <c r="B55" s="14" t="s">
        <v>43</v>
      </c>
      <c r="C55" s="23">
        <f>SUMIFS('BAL N VICTOIRE'!$G:$G,'BAL N VICTOIRE'!$I:$I,$A55,'BAL N VICTOIRE'!$J:$J,"T")</f>
        <v>2010.55</v>
      </c>
      <c r="D55" s="17">
        <f t="shared" si="16"/>
        <v>0.89334328509147776</v>
      </c>
      <c r="E55" s="16">
        <f>SUMIFS(DONNEES_N1_NOUVEAU[MONTANT],DONNEES_N1_NOUVEAU[TL2],A55,DONNEES_N1_NOUVEAU[MOIS],DONNÉES!$C$5,DONNEES_N1_NOUVEAU[SOCIETE],"VICTOIRE")</f>
        <v>1671.7</v>
      </c>
      <c r="F55" s="17">
        <f t="shared" si="17"/>
        <v>0.67810822691674688</v>
      </c>
      <c r="G55" s="16">
        <f t="shared" si="18"/>
        <v>338.84999999999991</v>
      </c>
      <c r="H55" s="17">
        <f t="shared" si="19"/>
        <v>20.269785248549375</v>
      </c>
    </row>
    <row r="56" spans="1:8" s="18" customFormat="1" x14ac:dyDescent="0.2">
      <c r="A56" s="13" t="s">
        <v>48</v>
      </c>
      <c r="B56" s="14" t="s">
        <v>46</v>
      </c>
      <c r="C56" s="23">
        <f>SUMIFS('BAL N VICTOIRE'!$G:$G,'BAL N VICTOIRE'!$I:$I,$A56,'BAL N VICTOIRE'!$J:$J,"T")</f>
        <v>6110</v>
      </c>
      <c r="D56" s="17">
        <f t="shared" si="16"/>
        <v>2.714842939448872</v>
      </c>
      <c r="E56" s="16">
        <f>SUMIFS(DONNEES_N1_NOUVEAU[MONTANT],DONNEES_N1_NOUVEAU[TL2],A56,DONNEES_N1_NOUVEAU[MOIS],DONNÉES!$C$5,DONNEES_N1_NOUVEAU[SOCIETE],"VICTOIRE")</f>
        <v>6110</v>
      </c>
      <c r="F56" s="17">
        <f t="shared" si="17"/>
        <v>2.4784598112468288</v>
      </c>
      <c r="G56" s="16">
        <f t="shared" si="18"/>
        <v>0</v>
      </c>
      <c r="H56" s="17">
        <f t="shared" si="19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VICTOIRE'!$G:$G,'BAL N VICTOIRE'!$I:$I,$A57,'BAL N VICTOIRE'!$J:$J,"T")</f>
        <v>218.56</v>
      </c>
      <c r="D57" s="17">
        <f t="shared" si="16"/>
        <v>9.7112286881496798E-2</v>
      </c>
      <c r="E57" s="16">
        <f>SUMIFS(DONNEES_N1_NOUVEAU[MONTANT],DONNEES_N1_NOUVEAU[TL2],A57,DONNEES_N1_NOUVEAU[MOIS],DONNÉES!$C$5,DONNEES_N1_NOUVEAU[SOCIETE],"VICTOIRE")</f>
        <v>0</v>
      </c>
      <c r="F57" s="17">
        <f t="shared" si="17"/>
        <v>0</v>
      </c>
      <c r="G57" s="16">
        <f t="shared" si="18"/>
        <v>218.56</v>
      </c>
      <c r="H57" s="17">
        <f t="shared" si="19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VICTOIRE'!$G:$G,'BAL N VICTOIRE'!$I:$I,$A58,'BAL N VICTOIRE'!$J:$J,"T")</f>
        <v>2121.58</v>
      </c>
      <c r="D58" s="17">
        <f t="shared" si="16"/>
        <v>0.94267700220555439</v>
      </c>
      <c r="E58" s="16">
        <f>SUMIFS(DONNEES_N1_NOUVEAU[MONTANT],DONNEES_N1_NOUVEAU[TL2],A58,DONNEES_N1_NOUVEAU[MOIS],DONNÉES!$C$5,DONNEES_N1_NOUVEAU[SOCIETE],"VICTOIRE")</f>
        <v>3209.12</v>
      </c>
      <c r="F58" s="17">
        <f t="shared" si="17"/>
        <v>1.3017471275725734</v>
      </c>
      <c r="G58" s="16">
        <f t="shared" si="18"/>
        <v>-1087.54</v>
      </c>
      <c r="H58" s="17">
        <f t="shared" si="19"/>
        <v>-33.889041232487408</v>
      </c>
    </row>
    <row r="59" spans="1:8" ht="13.5" thickBot="1" x14ac:dyDescent="0.25">
      <c r="A59" s="13"/>
      <c r="B59" s="63" t="s">
        <v>2994</v>
      </c>
      <c r="C59" s="49">
        <f>SUM(C51:C58)</f>
        <v>24837.590000000004</v>
      </c>
      <c r="D59" s="50">
        <f t="shared" si="16"/>
        <v>11.036032053097532</v>
      </c>
      <c r="E59" s="51">
        <f>SUM(E51:E58)</f>
        <v>26086.469999999998</v>
      </c>
      <c r="F59" s="50">
        <f t="shared" si="17"/>
        <v>10.581713177135196</v>
      </c>
      <c r="G59" s="51">
        <f>SUM(G51:G58)</f>
        <v>-1248.8799999999994</v>
      </c>
      <c r="H59" s="50">
        <f t="shared" si="19"/>
        <v>-4.7874626195111851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150740.32</v>
      </c>
      <c r="D61" s="71">
        <f>(C61*100)/C$8</f>
        <v>66.978116766327915</v>
      </c>
      <c r="E61" s="72">
        <f>E59+E49+E42+E33+E26</f>
        <v>165149.70000000001</v>
      </c>
      <c r="F61" s="71">
        <f>(E61*100)/E$8</f>
        <v>66.991308394348678</v>
      </c>
      <c r="G61" s="72">
        <f>G59+G49+G42+G33+G26</f>
        <v>-14409.380000000005</v>
      </c>
      <c r="H61" s="71">
        <f>IF(E61=0,0,G61/E61*100)</f>
        <v>-8.7250415834845629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VICTOIRE'!$G:$G,'BAL N VICTOIRE'!$I:$I,$A63,'BAL N VICTOIRE'!$J:$J,"T")</f>
        <v>3117.88</v>
      </c>
      <c r="D63" s="17">
        <f t="shared" ref="D63:D65" si="20">(C63*100)/C$8</f>
        <v>1.3853608026266528</v>
      </c>
      <c r="E63" s="16">
        <f>-SUMIFS(DONNEES_N1_NOUVEAU[MONTANT],DONNEES_N1_NOUVEAU[TL2],A63,DONNEES_N1_NOUVEAU[MOIS],DONNÉES!$C$5,DONNEES_N1_NOUVEAU[SOCIETE],"VICTOIRE")</f>
        <v>2527.3000000000002</v>
      </c>
      <c r="F63" s="17">
        <f t="shared" ref="F63:F65" si="21">(E63*100)/E$8</f>
        <v>1.0251737284720313</v>
      </c>
      <c r="G63" s="16">
        <f>+C63-E63</f>
        <v>590.57999999999993</v>
      </c>
      <c r="H63" s="17">
        <f>IF(E63=0,0,G63/E63*100)</f>
        <v>23.368021208404222</v>
      </c>
    </row>
    <row r="64" spans="1:8" s="18" customFormat="1" x14ac:dyDescent="0.2">
      <c r="A64" s="13" t="s">
        <v>2992</v>
      </c>
      <c r="B64" s="68" t="s">
        <v>65</v>
      </c>
      <c r="C64" s="23">
        <f>SUMIFS('BAL N VICTOIRE'!$G:$G,'BAL N VICTOIRE'!$I:$I,$A64,'BAL N VICTOIRE'!$J:$J,"T")</f>
        <v>2975.81</v>
      </c>
      <c r="D64" s="17">
        <f t="shared" si="20"/>
        <v>1.3222351501867999</v>
      </c>
      <c r="E64" s="24">
        <f>SUMIFS(DONNEES_N1_NOUVEAU[MONTANT],DONNEES_N1_NOUVEAU[TL2],A64,DONNEES_N1_NOUVEAU[MOIS],DONNÉES!$C$5,DONNEES_N1_NOUVEAU[SOCIETE],"VICTOIRE")</f>
        <v>2458.4699999999998</v>
      </c>
      <c r="F64" s="17">
        <f t="shared" si="21"/>
        <v>0.9972535339044174</v>
      </c>
      <c r="G64" s="16">
        <f>+C64-E64</f>
        <v>517.34000000000015</v>
      </c>
      <c r="H64" s="17">
        <f>IF(E64=0,0,G64/E64*100)</f>
        <v>21.043169125513032</v>
      </c>
    </row>
    <row r="65" spans="1:9" s="59" customFormat="1" ht="13.5" x14ac:dyDescent="0.2">
      <c r="A65" s="13"/>
      <c r="B65" s="62" t="s">
        <v>53</v>
      </c>
      <c r="C65" s="67">
        <f>+C63-C64</f>
        <v>142.07000000000016</v>
      </c>
      <c r="D65" s="56">
        <f t="shared" si="20"/>
        <v>6.3125652439852978E-2</v>
      </c>
      <c r="E65" s="57">
        <f>+E63-E64</f>
        <v>68.830000000000382</v>
      </c>
      <c r="F65" s="56">
        <f t="shared" si="21"/>
        <v>2.7920194567613774E-2</v>
      </c>
      <c r="G65" s="58">
        <f>+G63-G64</f>
        <v>73.239999999999782</v>
      </c>
      <c r="H65" s="56">
        <f>IF(E65=0,0,G65/E65*100)</f>
        <v>106.40708993171491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VICTOIRE'!$G:$G,'BAL N VICTOIRE'!$I:$I,$A67,'BAL N VICTOIRE'!$J:$J,"T")</f>
        <v>-12.74</v>
      </c>
      <c r="D67" s="17">
        <f>(C67*100)/C$8</f>
        <v>-5.6607363418295625E-3</v>
      </c>
      <c r="E67" s="16">
        <f>SUMIFS(DONNEES_N1_NOUVEAU[MONTANT],DONNEES_N1_NOUVEAU[TL2],A67,DONNEES_N1_NOUVEAU[MOIS],DONNÉES!$C$5,DONNEES_N1_NOUVEAU[SOCIETE],"VICTOIRE")</f>
        <v>23.7</v>
      </c>
      <c r="F67" s="17">
        <f>(E67*100)/E$8</f>
        <v>9.6136657162929368E-3</v>
      </c>
      <c r="G67" s="16">
        <f>+C67-E67</f>
        <v>-36.44</v>
      </c>
      <c r="H67" s="17">
        <f>IF(E67=0,0,G67/E67*100)</f>
        <v>-153.75527426160338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17311.399999999976</v>
      </c>
      <c r="D69" s="10">
        <f>(C69*100)/C$8</f>
        <v>7.6919365076882382</v>
      </c>
      <c r="E69" s="9">
        <f>E18-E61+E65-E67</f>
        <v>22079.350000000002</v>
      </c>
      <c r="F69" s="10">
        <f>(E69*100)/E$8</f>
        <v>8.9562654064570655</v>
      </c>
      <c r="G69" s="9">
        <f>G18-G61+G65+G67</f>
        <v>-4815.3500000000049</v>
      </c>
      <c r="H69" s="10">
        <f>IF(E69=0,0,G69/E69*100)</f>
        <v>-21.809292393118476</v>
      </c>
    </row>
    <row r="70" spans="1:9" ht="13.5" thickBot="1" x14ac:dyDescent="0.25">
      <c r="A70" s="13"/>
      <c r="B70" s="63" t="s">
        <v>3034</v>
      </c>
      <c r="C70" s="49">
        <f>+C69-C67+C57+C56</f>
        <v>23652.699999999979</v>
      </c>
      <c r="D70" s="50">
        <f>(C70*100)/C$8</f>
        <v>10.509552470360436</v>
      </c>
      <c r="E70" s="49">
        <f>+E69-E67+E57+E56</f>
        <v>28165.65</v>
      </c>
      <c r="F70" s="50">
        <f>(E70*100)/E$8</f>
        <v>11.4251115519876</v>
      </c>
      <c r="G70" s="49">
        <f>+G69-G67+G57+G56</f>
        <v>-4560.3500000000049</v>
      </c>
      <c r="H70" s="50">
        <f>IF(E70=0,0,G70/E70*100)</f>
        <v>-16.191176131209488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VICTOIRE'!$G:$G,'BAL N VICTOIRE'!$I:$I,$A72,'BAL N VICTOIRE'!$J:$J,"T")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-SUMIFS(DONNEES_N1_NOUVEAU[MONTANT],DONNEES_N1_NOUVEAU[TL2],A72,DONNEES_N1_NOUVEAU[MOIS],DONNÉES!$C$5,DONNEES_N1_NOUVEAU[SOCIETE],"VICTOIRE")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VICTOIRE'!$G:$G,'BAL N VICTOIRE'!$I:$I,$A74,'BAL N VICTOIRE'!$J:$J,"T")</f>
        <v>18396</v>
      </c>
      <c r="D74" s="10">
        <f>(C74*100)/C$8</f>
        <v>8.173854454026424</v>
      </c>
      <c r="E74" s="9">
        <f>SUMIFS(DONNEES_N1_NOUVEAU[MONTANT],DONNEES_N1_NOUVEAU[TL2],A74,DONNEES_N1_NOUVEAU[MOIS],DONNÉES!$C$5,DONNEES_N1_NOUVEAU[SOCIETE],"VICTOIRE")</f>
        <v>17033</v>
      </c>
      <c r="F74" s="10">
        <f>(E74*100)/E$8</f>
        <v>6.9092644787180415</v>
      </c>
      <c r="G74" s="9">
        <f>+C74-E74</f>
        <v>1363</v>
      </c>
      <c r="H74" s="10">
        <f>IF(E74=0,0,G74/E74*100)</f>
        <v>8.0021135442963658</v>
      </c>
    </row>
    <row r="75" spans="1:9" ht="7.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-1084.600000000024</v>
      </c>
      <c r="D76" s="71">
        <f>(C76*100)/C$8</f>
        <v>-0.48191794633818519</v>
      </c>
      <c r="E76" s="72">
        <f>E69-E74+E72</f>
        <v>5046.3500000000022</v>
      </c>
      <c r="F76" s="71">
        <f>(E76*100)/E$8</f>
        <v>2.0470009277390244</v>
      </c>
      <c r="G76" s="72">
        <f>G69-G74+G72</f>
        <v>-6178.3500000000049</v>
      </c>
      <c r="H76" s="71">
        <f>IF(E76=0,0,G76/E76*100)</f>
        <v>-122.4320548515264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VLOOKUP(PARAMETRES!$C$2,TRANSVICT[],2,FALSE)</f>
        <v>12604</v>
      </c>
      <c r="D78" s="324"/>
      <c r="E78" s="323">
        <f>VLOOKUP(PARAMETRES!$C$2,TRANSVICT[],3,FALSE)</f>
        <v>13598</v>
      </c>
      <c r="F78" s="324"/>
      <c r="G78" s="325">
        <f>C78-E78</f>
        <v>-994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VLOOKUP(PARAMETRES!$C$2,PMVICT[],2,FALSE)</f>
        <v>18.100000000000001</v>
      </c>
      <c r="D80" s="316"/>
      <c r="E80" s="315">
        <f>VLOOKUP(PARAMETRES!$C$2,PMVICT[],3,FALSE)</f>
        <v>18.32</v>
      </c>
      <c r="F80" s="316"/>
      <c r="G80" s="317">
        <f>(C80-E80)/E80</f>
        <v>-1.2008733624454086E-2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88EA-9C91-449B-9D2E-6EE7CF08FA98}">
  <sheetPr codeName="Feuil51"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874B-33FD-48BE-9D53-8087728A685A}">
  <sheetPr>
    <tabColor rgb="FFFFFF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6891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297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TH4'!$G:$G,'BAL N TH4'!$I:$I,$A8,'BAL N TH4'!$J:$J,"T")</f>
        <v>352127.46</v>
      </c>
      <c r="D8" s="71">
        <f>(C8*100)/C$8</f>
        <v>100</v>
      </c>
      <c r="E8" s="72">
        <f>-SUMIFS(DONNEES_N1_NOUVEAU[MONTANT],DONNEES_N1_NOUVEAU[TL2],A8,DONNEES_N1_NOUVEAU[MOIS],DONNÉES!$C$5,DONNEES_N1_NOUVEAU[SOCIETE],"th4")</f>
        <v>335149.37</v>
      </c>
      <c r="F8" s="71">
        <f>(E8*100)/E$8</f>
        <v>100</v>
      </c>
      <c r="G8" s="72">
        <f>+C8-E8</f>
        <v>16978.090000000026</v>
      </c>
      <c r="H8" s="71">
        <f>IF(E8=0,0,G8/E8*100)</f>
        <v>5.065827812834625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TH4'!$G:$G,'BAL N TH4'!$I:$I,$A10,'BAL N TH4'!$J:$J,"T")</f>
        <v>79368.210000000006</v>
      </c>
      <c r="D10" s="17">
        <f t="shared" ref="D10:F16" si="0">(C10*100)/C$8</f>
        <v>22.539625282277051</v>
      </c>
      <c r="E10" s="16">
        <f>SUMIFS(DONNEES_N1_NOUVEAU[MONTANT],DONNEES_N1_NOUVEAU[TL2],A10,DONNEES_N1_NOUVEAU[MOIS],DONNÉES!$C$5,DONNEES_N1_NOUVEAU[SOCIETE],"th4")</f>
        <v>73811.55</v>
      </c>
      <c r="F10" s="17">
        <f t="shared" si="0"/>
        <v>22.023478665646902</v>
      </c>
      <c r="G10" s="16">
        <f>+C10-E10</f>
        <v>5556.6600000000035</v>
      </c>
      <c r="H10" s="17">
        <f t="shared" ref="H10:H16" si="1">IF(E10=0,0,G10/E10*100)</f>
        <v>7.5281714040688801</v>
      </c>
    </row>
    <row r="11" spans="1:8" s="18" customFormat="1" x14ac:dyDescent="0.2">
      <c r="A11" s="13" t="s">
        <v>124</v>
      </c>
      <c r="B11" s="14" t="s">
        <v>4</v>
      </c>
      <c r="C11" s="23">
        <f>SUMIFS('BAL N TH4'!$G:$G,'BAL N TH4'!$I:$I,$A11,'BAL N TH4'!$J:$J,"T")</f>
        <v>1708.71</v>
      </c>
      <c r="D11" s="17">
        <f t="shared" si="0"/>
        <v>0.48525326596227397</v>
      </c>
      <c r="E11" s="16">
        <f>SUMIFS(DONNEES_N1_NOUVEAU[MONTANT],DONNEES_N1_NOUVEAU[TL2],A11,DONNEES_N1_NOUVEAU[MOIS],DONNÉES!$C$5,DONNEES_N1_NOUVEAU[SOCIETE],"th4")</f>
        <v>1373.44</v>
      </c>
      <c r="F11" s="17">
        <f t="shared" si="0"/>
        <v>0.40979936796539407</v>
      </c>
      <c r="G11" s="16">
        <f>+C11-E11</f>
        <v>335.27</v>
      </c>
      <c r="H11" s="17">
        <f t="shared" si="1"/>
        <v>24.410968080149111</v>
      </c>
    </row>
    <row r="12" spans="1:8" s="18" customFormat="1" x14ac:dyDescent="0.2">
      <c r="A12" s="13" t="s">
        <v>125</v>
      </c>
      <c r="B12" s="14" t="s">
        <v>2</v>
      </c>
      <c r="C12" s="23">
        <f>SUMIFS('BAL N TH4'!$G:$G,'BAL N TH4'!$I:$I,$A12,'BAL N TH4'!$J:$J,"T")</f>
        <v>2849.78</v>
      </c>
      <c r="D12" s="17">
        <f t="shared" si="0"/>
        <v>0.80930354025783724</v>
      </c>
      <c r="E12" s="16">
        <f>SUMIFS(DONNEES_N1_NOUVEAU[MONTANT],DONNEES_N1_NOUVEAU[TL2],A12,DONNEES_N1_NOUVEAU[MOIS],DONNÉES!$C$5,DONNEES_N1_NOUVEAU[SOCIETE],"th4")</f>
        <v>2226.6999999999998</v>
      </c>
      <c r="F12" s="17">
        <f t="shared" si="0"/>
        <v>0.66439032840789758</v>
      </c>
      <c r="G12" s="16">
        <f>+C12-E12</f>
        <v>623.08000000000038</v>
      </c>
      <c r="H12" s="17">
        <f t="shared" si="1"/>
        <v>27.982215835092312</v>
      </c>
    </row>
    <row r="13" spans="1:8" s="59" customFormat="1" ht="13.5" x14ac:dyDescent="0.2">
      <c r="A13" s="60"/>
      <c r="B13" s="62" t="s">
        <v>6</v>
      </c>
      <c r="C13" s="55">
        <f>SUM(C10:C12)</f>
        <v>83926.700000000012</v>
      </c>
      <c r="D13" s="56">
        <f t="shared" si="0"/>
        <v>23.834182088497162</v>
      </c>
      <c r="E13" s="55">
        <f>SUM(E10:E12)</f>
        <v>77411.69</v>
      </c>
      <c r="F13" s="56">
        <f t="shared" si="0"/>
        <v>23.097668362020194</v>
      </c>
      <c r="G13" s="55">
        <f>SUM(G10:G12)</f>
        <v>6515.0100000000039</v>
      </c>
      <c r="H13" s="56">
        <f t="shared" si="1"/>
        <v>8.4160544744598695</v>
      </c>
    </row>
    <row r="14" spans="1:8" s="18" customFormat="1" x14ac:dyDescent="0.2">
      <c r="A14" s="13" t="s">
        <v>126</v>
      </c>
      <c r="B14" s="14" t="s">
        <v>8</v>
      </c>
      <c r="C14" s="23">
        <f>SUMIFS('BAL N TH4'!$G:$G,'BAL N TH4'!$I:$I,$A14,'BAL N TH4'!$J:$J,"T")</f>
        <v>8180.9</v>
      </c>
      <c r="D14" s="17">
        <f t="shared" si="0"/>
        <v>2.3232780539183167</v>
      </c>
      <c r="E14" s="16">
        <f>SUMIFS(DONNEES_N1_NOUVEAU[MONTANT],DONNEES_N1_NOUVEAU[TL2],A14,DONNEES_N1_NOUVEAU[MOIS],DONNÉES!$C$5,DONNEES_N1_NOUVEAU[SOCIETE],"th4")</f>
        <v>7311.17</v>
      </c>
      <c r="F14" s="17">
        <f t="shared" si="0"/>
        <v>2.1814661325486009</v>
      </c>
      <c r="G14" s="16">
        <f>+C14-E14</f>
        <v>869.72999999999956</v>
      </c>
      <c r="H14" s="17">
        <f t="shared" si="1"/>
        <v>11.895907221415991</v>
      </c>
    </row>
    <row r="15" spans="1:8" s="18" customFormat="1" x14ac:dyDescent="0.2">
      <c r="A15" s="13" t="s">
        <v>2964</v>
      </c>
      <c r="B15" s="14" t="s">
        <v>2965</v>
      </c>
      <c r="C15" s="23">
        <f>SUMIFS('BAL N TH4'!$G:$G,'BAL N TH4'!$I:$I,$A15,'BAL N TH4'!$J:$J,"T")</f>
        <v>952.43</v>
      </c>
      <c r="D15" s="17">
        <f t="shared" si="0"/>
        <v>0.27047876357044121</v>
      </c>
      <c r="E15" s="16">
        <f>SUMIFS(DONNEES_N1_NOUVEAU[MONTANT],DONNEES_N1_NOUVEAU[TL2],A15,DONNEES_N1_NOUVEAU[MOIS],DONNÉES!$C$5,DONNEES_N1_NOUVEAU[SOCIETE],"th4")</f>
        <v>564.77</v>
      </c>
      <c r="F15" s="17">
        <f t="shared" si="0"/>
        <v>0.16851292305875437</v>
      </c>
      <c r="G15" s="16">
        <f>+C15-E15</f>
        <v>387.65999999999997</v>
      </c>
      <c r="H15" s="17">
        <f t="shared" si="1"/>
        <v>68.640331462365211</v>
      </c>
    </row>
    <row r="16" spans="1:8" ht="13.5" thickBot="1" x14ac:dyDescent="0.25">
      <c r="A16" s="7"/>
      <c r="B16" s="63" t="s">
        <v>10</v>
      </c>
      <c r="C16" s="49">
        <f>+C13+SUM(C14:C15)</f>
        <v>93060.030000000013</v>
      </c>
      <c r="D16" s="50">
        <f t="shared" si="0"/>
        <v>26.427938905985922</v>
      </c>
      <c r="E16" s="49">
        <f>+E13+SUM(E14:E15)</f>
        <v>85287.63</v>
      </c>
      <c r="F16" s="50">
        <f t="shared" si="0"/>
        <v>25.44764741762755</v>
      </c>
      <c r="G16" s="49">
        <f>+G13+SUM(G14:G15)</f>
        <v>7772.4000000000033</v>
      </c>
      <c r="H16" s="50">
        <f t="shared" si="1"/>
        <v>9.113162131483783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259067.43</v>
      </c>
      <c r="D18" s="71">
        <f>(C18*100)/C$8</f>
        <v>73.572061094014074</v>
      </c>
      <c r="E18" s="70">
        <f>E8-E16</f>
        <v>249861.74</v>
      </c>
      <c r="F18" s="71">
        <f>(E18*100)/E$8</f>
        <v>74.55235258237245</v>
      </c>
      <c r="G18" s="70">
        <f>G8-G16</f>
        <v>9205.6900000000223</v>
      </c>
      <c r="H18" s="71">
        <f>IF(E18=0,0,G18/E18*100)</f>
        <v>3.6843135727782985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TH4'!$G:$G,'BAL N TH4'!$I:$I,$A20,'BAL N TH4'!$J:$J,"T")</f>
        <v>59378.89</v>
      </c>
      <c r="D20" s="17">
        <f t="shared" ref="D20:F26" si="2">(C20*100)/C$8</f>
        <v>16.862896747671993</v>
      </c>
      <c r="E20" s="16">
        <f>SUMIFS(DONNEES_N1_NOUVEAU[MONTANT],DONNEES_N1_NOUVEAU[TL2],A20,DONNEES_N1_NOUVEAU[MOIS],DONNÉES!$C$5,DONNEES_N1_NOUVEAU[SOCIETE],"th4")</f>
        <v>49568.02</v>
      </c>
      <c r="F20" s="17">
        <f t="shared" si="2"/>
        <v>14.789829382642134</v>
      </c>
      <c r="G20" s="16">
        <f t="shared" ref="G20:G25" si="3">+C20-E20</f>
        <v>9810.8700000000026</v>
      </c>
      <c r="H20" s="17">
        <f t="shared" ref="H20:H26" si="4">IF(E20=0,0,G20/E20*100)</f>
        <v>19.792741368325796</v>
      </c>
    </row>
    <row r="21" spans="1:8" s="18" customFormat="1" x14ac:dyDescent="0.2">
      <c r="A21" s="13">
        <v>9</v>
      </c>
      <c r="B21" s="14" t="s">
        <v>2968</v>
      </c>
      <c r="C21" s="23">
        <f>SUMIFS('BAL N TH4'!$G:$G,'BAL N TH4'!$I:$I,$A21,'BAL N TH4'!$J:$J,"T")</f>
        <v>6795.6</v>
      </c>
      <c r="D21" s="17">
        <f t="shared" si="2"/>
        <v>1.9298693717326105</v>
      </c>
      <c r="E21" s="16">
        <f>SUMIFS(DONNEES_N1_NOUVEAU[MONTANT],DONNEES_N1_NOUVEAU[TL2],A21,DONNEES_N1_NOUVEAU[MOIS],DONNÉES!$C$5,DONNEES_N1_NOUVEAU[SOCIETE],"th4")</f>
        <v>5728.4</v>
      </c>
      <c r="F21" s="17">
        <f t="shared" si="2"/>
        <v>1.7092080465495132</v>
      </c>
      <c r="G21" s="16">
        <f t="shared" si="3"/>
        <v>1067.2000000000007</v>
      </c>
      <c r="H21" s="17">
        <f t="shared" si="4"/>
        <v>18.629983939669032</v>
      </c>
    </row>
    <row r="22" spans="1:8" s="18" customFormat="1" x14ac:dyDescent="0.2">
      <c r="A22" s="13" t="s">
        <v>12</v>
      </c>
      <c r="B22" s="14" t="s">
        <v>14</v>
      </c>
      <c r="C22" s="23">
        <f>SUMIFS('BAL N TH4'!$G:$G,'BAL N TH4'!$I:$I,$A22,'BAL N TH4'!$J:$J,"T")</f>
        <v>18922.07</v>
      </c>
      <c r="D22" s="17">
        <f t="shared" si="2"/>
        <v>5.3736422601066103</v>
      </c>
      <c r="E22" s="16">
        <f>SUMIFS(DONNEES_N1_NOUVEAU[MONTANT],DONNEES_N1_NOUVEAU[TL2],A22,DONNEES_N1_NOUVEAU[MOIS],DONNÉES!$C$5,DONNEES_N1_NOUVEAU[SOCIETE],"th4")</f>
        <v>21188.22</v>
      </c>
      <c r="F22" s="17">
        <f t="shared" si="2"/>
        <v>6.3220229236892198</v>
      </c>
      <c r="G22" s="16">
        <f t="shared" si="3"/>
        <v>-2266.1500000000015</v>
      </c>
      <c r="H22" s="17">
        <f t="shared" si="4"/>
        <v>-10.695329763425153</v>
      </c>
    </row>
    <row r="23" spans="1:8" s="18" customFormat="1" x14ac:dyDescent="0.2">
      <c r="A23" s="13" t="s">
        <v>13</v>
      </c>
      <c r="B23" s="14" t="s">
        <v>2966</v>
      </c>
      <c r="C23" s="23">
        <f>SUMIFS('BAL N TH4'!$G:$G,'BAL N TH4'!$I:$I,$A23,'BAL N TH4'!$J:$J,"T")</f>
        <v>4795.1499999999996</v>
      </c>
      <c r="D23" s="17">
        <f t="shared" si="2"/>
        <v>1.361765424372186</v>
      </c>
      <c r="E23" s="16">
        <f>SUMIFS(DONNEES_N1_NOUVEAU[MONTANT],DONNEES_N1_NOUVEAU[TL2],A23,DONNEES_N1_NOUVEAU[MOIS],DONNÉES!$C$5,DONNEES_N1_NOUVEAU[SOCIETE],"th4")</f>
        <v>5110.6099999999997</v>
      </c>
      <c r="F23" s="17">
        <f t="shared" si="2"/>
        <v>1.5248753115663023</v>
      </c>
      <c r="G23" s="16">
        <f t="shared" si="3"/>
        <v>-315.46000000000004</v>
      </c>
      <c r="H23" s="17">
        <f t="shared" si="4"/>
        <v>-6.1726486662061886</v>
      </c>
    </row>
    <row r="24" spans="1:8" s="18" customFormat="1" x14ac:dyDescent="0.2">
      <c r="A24" s="13" t="s">
        <v>15</v>
      </c>
      <c r="B24" s="14" t="s">
        <v>2969</v>
      </c>
      <c r="C24" s="23">
        <f>SUMIFS('BAL N TH4'!$G:$G,'BAL N TH4'!$I:$I,$A24,'BAL N TH4'!$J:$J,"T")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SUMIFS(DONNEES_N1_NOUVEAU[MONTANT],DONNEES_N1_NOUVEAU[TL2],A24,DONNEES_N1_NOUVEAU[MOIS],DONNÉES!$C$5,DONNEES_N1_NOUVEAU[SOCIETE],"th4")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TH4'!$G:$G,'BAL N TH4'!$I:$I,$A25,'BAL N TH4'!$J:$J,"T")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SUMIFS(DONNEES_N1_NOUVEAU[MONTANT],DONNEES_N1_NOUVEAU[TL2],A25,DONNEES_N1_NOUVEAU[MOIS],DONNÉES!$C$5,DONNEES_N1_NOUVEAU[SOCIETE],"th4")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89891.709999999992</v>
      </c>
      <c r="D26" s="50">
        <f t="shared" si="2"/>
        <v>25.528173803883398</v>
      </c>
      <c r="E26" s="51">
        <f>SUM(E20:E25)</f>
        <v>81595.25</v>
      </c>
      <c r="F26" s="50">
        <f t="shared" si="2"/>
        <v>24.345935664447168</v>
      </c>
      <c r="G26" s="51">
        <f>SUM(G20:G25)</f>
        <v>8296.4600000000028</v>
      </c>
      <c r="H26" s="50">
        <f t="shared" si="4"/>
        <v>10.167822269065912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TH4'!$G:$G,'BAL N TH4'!$I:$I,$A28,'BAL N TH4'!$J:$J,"T")</f>
        <v>649.16999999999996</v>
      </c>
      <c r="D28" s="17">
        <f t="shared" ref="D28:F33" si="5">(C28*100)/C$8</f>
        <v>0.18435653953258854</v>
      </c>
      <c r="E28" s="16">
        <f>SUMIFS(DONNEES_N1_NOUVEAU[MONTANT],DONNEES_N1_NOUVEAU[TL2],A28,DONNEES_N1_NOUVEAU[MOIS],DONNÉES!$C$5,DONNEES_N1_NOUVEAU[SOCIETE],"th4")</f>
        <v>549.16999999999996</v>
      </c>
      <c r="F28" s="17">
        <f t="shared" si="5"/>
        <v>0.16385828205495356</v>
      </c>
      <c r="G28" s="16">
        <f>+C28-E28</f>
        <v>100</v>
      </c>
      <c r="H28" s="17">
        <f t="shared" ref="H28:H33" si="6">IF(E28=0,0,G28/E28*100)</f>
        <v>18.20929766738897</v>
      </c>
    </row>
    <row r="29" spans="1:8" s="18" customFormat="1" x14ac:dyDescent="0.2">
      <c r="A29" s="13" t="s">
        <v>20</v>
      </c>
      <c r="B29" s="14" t="s">
        <v>2972</v>
      </c>
      <c r="C29" s="23">
        <f>SUMIFS('BAL N TH4'!$G:$G,'BAL N TH4'!$I:$I,$A29,'BAL N TH4'!$J:$J,"T")</f>
        <v>668.99</v>
      </c>
      <c r="D29" s="17">
        <f t="shared" si="5"/>
        <v>0.18998518320610383</v>
      </c>
      <c r="E29" s="16">
        <f>SUMIFS(DONNEES_N1_NOUVEAU[MONTANT],DONNEES_N1_NOUVEAU[TL2],A29,DONNEES_N1_NOUVEAU[MOIS],DONNÉES!$C$5,DONNEES_N1_NOUVEAU[SOCIETE],"th4")</f>
        <v>591.32000000000005</v>
      </c>
      <c r="F29" s="17">
        <f t="shared" si="5"/>
        <v>0.17643476399791533</v>
      </c>
      <c r="G29" s="16">
        <f>+C29-E29</f>
        <v>77.669999999999959</v>
      </c>
      <c r="H29" s="17">
        <f t="shared" si="6"/>
        <v>13.135019955354116</v>
      </c>
    </row>
    <row r="30" spans="1:8" s="18" customFormat="1" x14ac:dyDescent="0.2">
      <c r="A30" s="13" t="s">
        <v>21</v>
      </c>
      <c r="B30" s="14" t="s">
        <v>2973</v>
      </c>
      <c r="C30" s="23">
        <f>SUMIFS('BAL N TH4'!$G:$G,'BAL N TH4'!$I:$I,$A30,'BAL N TH4'!$J:$J,"T")</f>
        <v>2785.07</v>
      </c>
      <c r="D30" s="17">
        <f t="shared" si="5"/>
        <v>0.79092667183638554</v>
      </c>
      <c r="E30" s="16">
        <f>SUMIFS(DONNEES_N1_NOUVEAU[MONTANT],DONNEES_N1_NOUVEAU[TL2],A30,DONNEES_N1_NOUVEAU[MOIS],DONNÉES!$C$5,DONNEES_N1_NOUVEAU[SOCIETE],"th4")</f>
        <v>2586.3200000000002</v>
      </c>
      <c r="F30" s="17">
        <f t="shared" si="5"/>
        <v>0.77169173852243866</v>
      </c>
      <c r="G30" s="16">
        <f>+C30-E30</f>
        <v>198.75</v>
      </c>
      <c r="H30" s="17">
        <f t="shared" si="6"/>
        <v>7.6846639240310557</v>
      </c>
    </row>
    <row r="31" spans="1:8" s="18" customFormat="1" x14ac:dyDescent="0.2">
      <c r="A31" s="13" t="s">
        <v>23</v>
      </c>
      <c r="B31" s="14" t="s">
        <v>2974</v>
      </c>
      <c r="C31" s="23">
        <f>SUMIFS('BAL N TH4'!$G:$G,'BAL N TH4'!$I:$I,$A31,'BAL N TH4'!$J:$J,"T")</f>
        <v>1355.23</v>
      </c>
      <c r="D31" s="17">
        <f t="shared" si="5"/>
        <v>0.38486916072946992</v>
      </c>
      <c r="E31" s="16">
        <f>SUMIFS(DONNEES_N1_NOUVEAU[MONTANT],DONNEES_N1_NOUVEAU[TL2],A31,DONNEES_N1_NOUVEAU[MOIS],DONNÉES!$C$5,DONNEES_N1_NOUVEAU[SOCIETE],"th4")</f>
        <v>2795.93</v>
      </c>
      <c r="F31" s="17">
        <f t="shared" si="5"/>
        <v>0.83423400139466175</v>
      </c>
      <c r="G31" s="16">
        <f>+C31-E31</f>
        <v>-1440.6999999999998</v>
      </c>
      <c r="H31" s="17">
        <f t="shared" si="6"/>
        <v>-51.528471742854784</v>
      </c>
    </row>
    <row r="32" spans="1:8" s="18" customFormat="1" x14ac:dyDescent="0.2">
      <c r="A32" s="13" t="s">
        <v>25</v>
      </c>
      <c r="B32" s="14" t="s">
        <v>2975</v>
      </c>
      <c r="C32" s="23">
        <f>SUMIFS('BAL N TH4'!$G:$G,'BAL N TH4'!$I:$I,$A32,'BAL N TH4'!$J:$J,"T")</f>
        <v>5907.01</v>
      </c>
      <c r="D32" s="17">
        <f t="shared" si="5"/>
        <v>1.6775204069571852</v>
      </c>
      <c r="E32" s="16">
        <f>SUMIFS(DONNEES_N1_NOUVEAU[MONTANT],DONNEES_N1_NOUVEAU[TL2],A32,DONNEES_N1_NOUVEAU[MOIS],DONNÉES!$C$5,DONNEES_N1_NOUVEAU[SOCIETE],"th4")</f>
        <v>6464.59</v>
      </c>
      <c r="F32" s="17">
        <f t="shared" si="5"/>
        <v>1.9288683132538784</v>
      </c>
      <c r="G32" s="16">
        <f>+C32-E32</f>
        <v>-557.57999999999993</v>
      </c>
      <c r="H32" s="17">
        <f t="shared" si="6"/>
        <v>-8.6251409602155729</v>
      </c>
    </row>
    <row r="33" spans="1:8" ht="13.5" thickBot="1" x14ac:dyDescent="0.25">
      <c r="A33" s="7"/>
      <c r="B33" s="63" t="s">
        <v>2976</v>
      </c>
      <c r="C33" s="49">
        <f>SUM(C28:C32)</f>
        <v>11365.47</v>
      </c>
      <c r="D33" s="50">
        <f t="shared" si="5"/>
        <v>3.2276579622617332</v>
      </c>
      <c r="E33" s="51">
        <f>SUM(E28:E32)</f>
        <v>12987.33</v>
      </c>
      <c r="F33" s="50">
        <f t="shared" si="5"/>
        <v>3.8750870992238475</v>
      </c>
      <c r="G33" s="51">
        <f>SUM(G28:G32)</f>
        <v>-1621.8599999999997</v>
      </c>
      <c r="H33" s="50">
        <f t="shared" si="6"/>
        <v>-12.488017167500939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TH4'!$G:$G,'BAL N TH4'!$I:$I,$A35,'BAL N TH4'!$J:$J,"T")</f>
        <v>2045.95</v>
      </c>
      <c r="D35" s="17">
        <f t="shared" ref="D35:F42" si="7">(C35*100)/C$8</f>
        <v>0.58102540483494236</v>
      </c>
      <c r="E35" s="16">
        <f>SUMIFS(DONNEES_N1_NOUVEAU[MONTANT],DONNEES_N1_NOUVEAU[TL2],A35,DONNEES_N1_NOUVEAU[MOIS],DONNÉES!$C$5,DONNEES_N1_NOUVEAU[SOCIETE],"th4")</f>
        <v>0</v>
      </c>
      <c r="F35" s="17">
        <f t="shared" si="7"/>
        <v>0</v>
      </c>
      <c r="G35" s="16">
        <f t="shared" ref="G35:G41" si="8">+C35-E35</f>
        <v>2045.95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TH4'!$G:$G,'BAL N TH4'!$I:$I,$A36,'BAL N TH4'!$J:$J,"T")</f>
        <v>14087.42</v>
      </c>
      <c r="D36" s="17">
        <f t="shared" si="7"/>
        <v>4.0006593067180845</v>
      </c>
      <c r="E36" s="16">
        <f>SUMIFS(DONNEES_N1_NOUVEAU[MONTANT],DONNEES_N1_NOUVEAU[TL2],A36,DONNEES_N1_NOUVEAU[MOIS],DONNÉES!$C$5,DONNEES_N1_NOUVEAU[SOCIETE],"th4")</f>
        <v>13394.96</v>
      </c>
      <c r="F36" s="17">
        <f t="shared" si="7"/>
        <v>3.9967134654020087</v>
      </c>
      <c r="G36" s="16">
        <f t="shared" si="8"/>
        <v>692.46000000000095</v>
      </c>
      <c r="H36" s="17">
        <f t="shared" si="9"/>
        <v>5.1695563107318048</v>
      </c>
    </row>
    <row r="37" spans="1:8" s="18" customFormat="1" x14ac:dyDescent="0.2">
      <c r="A37" s="13" t="s">
        <v>32</v>
      </c>
      <c r="B37" s="14" t="s">
        <v>19</v>
      </c>
      <c r="C37" s="23">
        <f>SUMIFS('BAL N TH4'!$G:$G,'BAL N TH4'!$I:$I,$A37,'BAL N TH4'!$J:$J,"T")</f>
        <v>8540.56</v>
      </c>
      <c r="D37" s="17">
        <f t="shared" si="7"/>
        <v>2.4254172054630443</v>
      </c>
      <c r="E37" s="16">
        <f>SUMIFS(DONNEES_N1_NOUVEAU[MONTANT],DONNEES_N1_NOUVEAU[TL2],A37,DONNEES_N1_NOUVEAU[MOIS],DONNÉES!$C$5,DONNEES_N1_NOUVEAU[SOCIETE],"th4")</f>
        <v>7551.07</v>
      </c>
      <c r="F37" s="17">
        <f t="shared" si="7"/>
        <v>2.2530461567032036</v>
      </c>
      <c r="G37" s="16">
        <f t="shared" si="8"/>
        <v>989.48999999999978</v>
      </c>
      <c r="H37" s="17">
        <f t="shared" si="9"/>
        <v>13.103970695543806</v>
      </c>
    </row>
    <row r="38" spans="1:8" s="18" customFormat="1" x14ac:dyDescent="0.2">
      <c r="A38" s="13" t="s">
        <v>34</v>
      </c>
      <c r="B38" s="14" t="s">
        <v>28</v>
      </c>
      <c r="C38" s="23">
        <f>SUMIFS('BAL N TH4'!$G:$G,'BAL N TH4'!$I:$I,$A38,'BAL N TH4'!$J:$J,"T")</f>
        <v>9585</v>
      </c>
      <c r="D38" s="17">
        <f t="shared" si="7"/>
        <v>2.722025711939648</v>
      </c>
      <c r="E38" s="16">
        <f>SUMIFS(DONNEES_N1_NOUVEAU[MONTANT],DONNEES_N1_NOUVEAU[TL2],A38,DONNEES_N1_NOUVEAU[MOIS],DONNÉES!$C$5,DONNEES_N1_NOUVEAU[SOCIETE],"th4")</f>
        <v>10821.79</v>
      </c>
      <c r="F38" s="17">
        <f t="shared" si="7"/>
        <v>3.2289453505462355</v>
      </c>
      <c r="G38" s="16">
        <f t="shared" si="8"/>
        <v>-1236.7900000000009</v>
      </c>
      <c r="H38" s="17">
        <f t="shared" si="9"/>
        <v>-11.428700797187902</v>
      </c>
    </row>
    <row r="39" spans="1:8" s="18" customFormat="1" x14ac:dyDescent="0.2">
      <c r="A39" s="13" t="s">
        <v>2978</v>
      </c>
      <c r="B39" s="14" t="s">
        <v>2980</v>
      </c>
      <c r="C39" s="23">
        <f>SUMIFS('BAL N TH4'!$G:$G,'BAL N TH4'!$I:$I,$A39,'BAL N TH4'!$J:$J,"T")</f>
        <v>2497.09</v>
      </c>
      <c r="D39" s="17">
        <f t="shared" si="7"/>
        <v>0.70914378560536007</v>
      </c>
      <c r="E39" s="16">
        <f>SUMIFS(DONNEES_N1_NOUVEAU[MONTANT],DONNEES_N1_NOUVEAU[TL2],A39,DONNEES_N1_NOUVEAU[MOIS],DONNÉES!$C$5,DONNEES_N1_NOUVEAU[SOCIETE],"th4")</f>
        <v>2261.69</v>
      </c>
      <c r="F39" s="17">
        <f t="shared" si="7"/>
        <v>0.67483044947988413</v>
      </c>
      <c r="G39" s="16">
        <f t="shared" si="8"/>
        <v>235.40000000000009</v>
      </c>
      <c r="H39" s="17">
        <f t="shared" si="9"/>
        <v>10.40814612082116</v>
      </c>
    </row>
    <row r="40" spans="1:8" s="18" customFormat="1" x14ac:dyDescent="0.2">
      <c r="A40" s="13" t="s">
        <v>2979</v>
      </c>
      <c r="B40" s="14" t="s">
        <v>2981</v>
      </c>
      <c r="C40" s="23">
        <f>SUMIFS('BAL N TH4'!$G:$G,'BAL N TH4'!$I:$I,$A40,'BAL N TH4'!$J:$J,"T")</f>
        <v>256.47000000000003</v>
      </c>
      <c r="D40" s="17">
        <f t="shared" si="7"/>
        <v>7.2834421944826463E-2</v>
      </c>
      <c r="E40" s="16">
        <f>SUMIFS(DONNEES_N1_NOUVEAU[MONTANT],DONNEES_N1_NOUVEAU[TL2],A40,DONNEES_N1_NOUVEAU[MOIS],DONNÉES!$C$5,DONNEES_N1_NOUVEAU[SOCIETE],"th4")</f>
        <v>410.44</v>
      </c>
      <c r="F40" s="17">
        <f t="shared" si="7"/>
        <v>0.12246479830769189</v>
      </c>
      <c r="G40" s="16">
        <f t="shared" si="8"/>
        <v>-153.96999999999997</v>
      </c>
      <c r="H40" s="17">
        <f t="shared" si="9"/>
        <v>-37.5134002533866</v>
      </c>
    </row>
    <row r="41" spans="1:8" s="18" customFormat="1" x14ac:dyDescent="0.2">
      <c r="A41" s="13" t="s">
        <v>2982</v>
      </c>
      <c r="B41" s="14" t="s">
        <v>2983</v>
      </c>
      <c r="C41" s="23">
        <f>SUMIFS('BAL N TH4'!$G:$G,'BAL N TH4'!$I:$I,$A41,'BAL N TH4'!$J:$J,"T")</f>
        <v>1484.54</v>
      </c>
      <c r="D41" s="17">
        <f t="shared" si="7"/>
        <v>0.42159165888397343</v>
      </c>
      <c r="E41" s="16">
        <f>SUMIFS(DONNEES_N1_NOUVEAU[MONTANT],DONNEES_N1_NOUVEAU[TL2],A41,DONNEES_N1_NOUVEAU[MOIS],DONNÉES!$C$5,DONNEES_N1_NOUVEAU[SOCIETE],"th4")</f>
        <v>1070</v>
      </c>
      <c r="F41" s="17">
        <f t="shared" si="7"/>
        <v>0.31926063295300244</v>
      </c>
      <c r="G41" s="16">
        <f t="shared" si="8"/>
        <v>414.53999999999996</v>
      </c>
      <c r="H41" s="17">
        <f t="shared" si="9"/>
        <v>38.742056074766353</v>
      </c>
    </row>
    <row r="42" spans="1:8" ht="13.5" thickBot="1" x14ac:dyDescent="0.25">
      <c r="A42" s="13"/>
      <c r="B42" s="63" t="s">
        <v>2984</v>
      </c>
      <c r="C42" s="49">
        <f>+SUM(C35:C41)</f>
        <v>38497.030000000006</v>
      </c>
      <c r="D42" s="50">
        <f t="shared" si="7"/>
        <v>10.932697495389879</v>
      </c>
      <c r="E42" s="51">
        <f>+SUM(E35:E41)</f>
        <v>35509.950000000004</v>
      </c>
      <c r="F42" s="50">
        <f t="shared" si="7"/>
        <v>10.595260853392029</v>
      </c>
      <c r="G42" s="51">
        <f>+SUM(G35:G41)</f>
        <v>2987.08</v>
      </c>
      <c r="H42" s="50">
        <f t="shared" si="9"/>
        <v>8.4119521429909074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119313.22</v>
      </c>
      <c r="D44" s="71">
        <f>(C44*100)/C$8</f>
        <v>33.883531832479065</v>
      </c>
      <c r="E44" s="72">
        <f>E18-E26-E33-E42</f>
        <v>119769.20999999999</v>
      </c>
      <c r="F44" s="71">
        <f>(E44*100)/E$8</f>
        <v>35.736068965309407</v>
      </c>
      <c r="G44" s="72">
        <f>G18-G26-G33-G42</f>
        <v>-455.98999999998068</v>
      </c>
      <c r="H44" s="71">
        <f>IF(E44=0,0,G44/E44*100)</f>
        <v>-0.38072389389558531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TH4'!$G:$G,'BAL N TH4'!$I:$I,$A46,'BAL N TH4'!$J:$J,"T")</f>
        <v>49965.19</v>
      </c>
      <c r="D46" s="17">
        <f t="shared" ref="D46:F49" si="10">(C46*100)/C$8</f>
        <v>14.189518193213331</v>
      </c>
      <c r="E46" s="16">
        <f>SUMIFS(DONNEES_N1_NOUVEAU[MONTANT],DONNEES_N1_NOUVEAU[TL2],A46,DONNEES_N1_NOUVEAU[MOIS],DONNÉES!$C$5,DONNEES_N1_NOUVEAU[SOCIETE],"th4")</f>
        <v>47488.38</v>
      </c>
      <c r="F46" s="17">
        <f t="shared" si="10"/>
        <v>14.169317996927758</v>
      </c>
      <c r="G46" s="16">
        <f>+C46-E46</f>
        <v>2476.8100000000049</v>
      </c>
      <c r="H46" s="17">
        <f>IF(E46=0,0,G46/E46*100)</f>
        <v>5.2156127456864292</v>
      </c>
    </row>
    <row r="47" spans="1:8" s="18" customFormat="1" x14ac:dyDescent="0.2">
      <c r="A47" s="13" t="s">
        <v>35</v>
      </c>
      <c r="B47" s="14" t="s">
        <v>2986</v>
      </c>
      <c r="C47" s="23">
        <f>SUMIFS('BAL N TH4'!$G:$G,'BAL N TH4'!$I:$I,$A47,'BAL N TH4'!$J:$J,"T")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SUMIFS(DONNEES_N1_NOUVEAU[MONTANT],DONNEES_N1_NOUVEAU[TL2],A47,DONNEES_N1_NOUVEAU[MOIS],DONNÉES!$C$5,DONNEES_N1_NOUVEAU[SOCIETE],"th4")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TH4'!$G:$G,'BAL N TH4'!$I:$I,$A48,'BAL N TH4'!$J:$J,"T")</f>
        <v>-894.19</v>
      </c>
      <c r="D48" s="17">
        <f t="shared" si="10"/>
        <v>-0.25393929800305831</v>
      </c>
      <c r="E48" s="16">
        <f>SUMIFS(DONNEES_N1_NOUVEAU[MONTANT],DONNEES_N1_NOUVEAU[TL2],A48,DONNEES_N1_NOUVEAU[MOIS],DONNÉES!$C$5,DONNEES_N1_NOUVEAU[SOCIETE],"th4")</f>
        <v>-839.85</v>
      </c>
      <c r="F48" s="17">
        <f t="shared" si="10"/>
        <v>-0.25058975942577483</v>
      </c>
      <c r="G48" s="16">
        <f>+C48-E48</f>
        <v>-54.340000000000032</v>
      </c>
      <c r="H48" s="17">
        <f>IF(E48=0,0,G48/E48*100)</f>
        <v>6.4702030124427017</v>
      </c>
    </row>
    <row r="49" spans="1:8" ht="13.5" thickBot="1" x14ac:dyDescent="0.25">
      <c r="A49" s="13"/>
      <c r="B49" s="63" t="s">
        <v>2988</v>
      </c>
      <c r="C49" s="49">
        <f>SUM(C46:C48)</f>
        <v>49071</v>
      </c>
      <c r="D49" s="50">
        <f t="shared" si="10"/>
        <v>13.935578895210273</v>
      </c>
      <c r="E49" s="51">
        <f>SUM(E46:E48)</f>
        <v>46648.53</v>
      </c>
      <c r="F49" s="50">
        <f t="shared" si="10"/>
        <v>13.918728237501984</v>
      </c>
      <c r="G49" s="51">
        <f>SUM(G46:G48)</f>
        <v>2422.4700000000048</v>
      </c>
      <c r="H49" s="50">
        <f>IF(E49=0,0,G49/E49*100)</f>
        <v>5.1930253750761377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TH4'!$G:$G,'BAL N TH4'!$I:$I,$A51,'BAL N TH4'!$J:$J,"T")</f>
        <v>550</v>
      </c>
      <c r="D51" s="17">
        <f t="shared" ref="D51:F59" si="11">(C51*100)/C$8</f>
        <v>0.15619344199966681</v>
      </c>
      <c r="E51" s="16">
        <f>SUMIFS(DONNEES_N1_NOUVEAU[MONTANT],DONNEES_N1_NOUVEAU[TL2],A51,DONNEES_N1_NOUVEAU[MOIS],DONNÉES!$C$5,DONNEES_N1_NOUVEAU[SOCIETE],"th4")</f>
        <v>550</v>
      </c>
      <c r="F51" s="17">
        <f t="shared" si="11"/>
        <v>0.16410593282630967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TH4'!$G:$G,'BAL N TH4'!$I:$I,$A52,'BAL N TH4'!$J:$J,"T")</f>
        <v>17844.07</v>
      </c>
      <c r="D52" s="17">
        <f t="shared" si="11"/>
        <v>5.0675031137872626</v>
      </c>
      <c r="E52" s="16">
        <f>SUMIFS(DONNEES_N1_NOUVEAU[MONTANT],DONNEES_N1_NOUVEAU[TL2],A52,DONNEES_N1_NOUVEAU[MOIS],DONNÉES!$C$5,DONNEES_N1_NOUVEAU[SOCIETE],"th4")</f>
        <v>16960.13</v>
      </c>
      <c r="F52" s="17">
        <f t="shared" si="11"/>
        <v>5.06046900819178</v>
      </c>
      <c r="G52" s="16">
        <f t="shared" si="12"/>
        <v>883.93999999999869</v>
      </c>
      <c r="H52" s="17">
        <f t="shared" si="13"/>
        <v>5.2118704278799672</v>
      </c>
    </row>
    <row r="53" spans="1:8" s="18" customFormat="1" x14ac:dyDescent="0.2">
      <c r="A53" s="13" t="s">
        <v>44</v>
      </c>
      <c r="B53" s="14" t="s">
        <v>62</v>
      </c>
      <c r="C53" s="23">
        <f>SUMIFS('BAL N TH4'!$G:$G,'BAL N TH4'!$I:$I,$A53,'BAL N TH4'!$J:$J,"T")</f>
        <v>1552.74</v>
      </c>
      <c r="D53" s="17">
        <f t="shared" si="11"/>
        <v>0.44095964569193208</v>
      </c>
      <c r="E53" s="16">
        <f>SUMIFS(DONNEES_N1_NOUVEAU[MONTANT],DONNEES_N1_NOUVEAU[TL2],A53,DONNEES_N1_NOUVEAU[MOIS],DONNÉES!$C$5,DONNEES_N1_NOUVEAU[SOCIETE],"th4")</f>
        <v>1439</v>
      </c>
      <c r="F53" s="17">
        <f t="shared" si="11"/>
        <v>0.42936079515829018</v>
      </c>
      <c r="G53" s="16">
        <f t="shared" si="12"/>
        <v>113.74000000000001</v>
      </c>
      <c r="H53" s="17">
        <f t="shared" si="13"/>
        <v>7.9041000694927028</v>
      </c>
    </row>
    <row r="54" spans="1:8" s="18" customFormat="1" x14ac:dyDescent="0.2">
      <c r="A54" s="13" t="s">
        <v>45</v>
      </c>
      <c r="B54" s="14" t="s">
        <v>41</v>
      </c>
      <c r="C54" s="23">
        <f>SUMIFS('BAL N TH4'!$G:$G,'BAL N TH4'!$I:$I,$A54,'BAL N TH4'!$J:$J,"T")</f>
        <v>1615</v>
      </c>
      <c r="D54" s="17">
        <f t="shared" si="11"/>
        <v>0.4586407433262944</v>
      </c>
      <c r="E54" s="16">
        <f>SUMIFS(DONNEES_N1_NOUVEAU[MONTANT],DONNEES_N1_NOUVEAU[TL2],A54,DONNEES_N1_NOUVEAU[MOIS],DONNÉES!$C$5,DONNEES_N1_NOUVEAU[SOCIETE],"th4")</f>
        <v>1627.8</v>
      </c>
      <c r="F54" s="17">
        <f t="shared" si="11"/>
        <v>0.48569388628121246</v>
      </c>
      <c r="G54" s="16">
        <f t="shared" si="12"/>
        <v>-12.799999999999955</v>
      </c>
      <c r="H54" s="17">
        <f t="shared" si="13"/>
        <v>-0.7863373878854869</v>
      </c>
    </row>
    <row r="55" spans="1:8" s="18" customFormat="1" x14ac:dyDescent="0.2">
      <c r="A55" s="13" t="s">
        <v>47</v>
      </c>
      <c r="B55" s="14" t="s">
        <v>43</v>
      </c>
      <c r="C55" s="23">
        <f>SUMIFS('BAL N TH4'!$G:$G,'BAL N TH4'!$I:$I,$A55,'BAL N TH4'!$J:$J,"T")</f>
        <v>2540.71</v>
      </c>
      <c r="D55" s="17">
        <f t="shared" si="11"/>
        <v>0.72153134549631537</v>
      </c>
      <c r="E55" s="16">
        <f>SUMIFS(DONNEES_N1_NOUVEAU[MONTANT],DONNEES_N1_NOUVEAU[TL2],A55,DONNEES_N1_NOUVEAU[MOIS],DONNÉES!$C$5,DONNEES_N1_NOUVEAU[SOCIETE],"th4")</f>
        <v>2711.8</v>
      </c>
      <c r="F55" s="17">
        <f t="shared" si="11"/>
        <v>0.80913176116070273</v>
      </c>
      <c r="G55" s="16">
        <f t="shared" si="12"/>
        <v>-171.09000000000015</v>
      </c>
      <c r="H55" s="17">
        <f t="shared" si="13"/>
        <v>-6.3090935909727905</v>
      </c>
    </row>
    <row r="56" spans="1:8" s="18" customFormat="1" x14ac:dyDescent="0.2">
      <c r="A56" s="13" t="s">
        <v>48</v>
      </c>
      <c r="B56" s="14" t="s">
        <v>46</v>
      </c>
      <c r="C56" s="23">
        <f>SUMIFS('BAL N TH4'!$G:$G,'BAL N TH4'!$I:$I,$A56,'BAL N TH4'!$J:$J,"T")</f>
        <v>11000</v>
      </c>
      <c r="D56" s="17">
        <f t="shared" si="11"/>
        <v>3.1238688399933365</v>
      </c>
      <c r="E56" s="16">
        <f>SUMIFS(DONNEES_N1_NOUVEAU[MONTANT],DONNEES_N1_NOUVEAU[TL2],A56,DONNEES_N1_NOUVEAU[MOIS],DONNÉES!$C$5,DONNEES_N1_NOUVEAU[SOCIETE],"th4")</f>
        <v>12000</v>
      </c>
      <c r="F56" s="17">
        <f t="shared" si="11"/>
        <v>3.580493079846756</v>
      </c>
      <c r="G56" s="16">
        <f t="shared" si="12"/>
        <v>-1000</v>
      </c>
      <c r="H56" s="17">
        <f t="shared" si="13"/>
        <v>-8.3333333333333321</v>
      </c>
    </row>
    <row r="57" spans="1:8" s="18" customFormat="1" x14ac:dyDescent="0.2">
      <c r="A57" s="13" t="s">
        <v>50</v>
      </c>
      <c r="B57" s="14" t="s">
        <v>2990</v>
      </c>
      <c r="C57" s="23">
        <f>SUMIFS('BAL N TH4'!$G:$G,'BAL N TH4'!$I:$I,$A57,'BAL N TH4'!$J:$J,"T")</f>
        <v>365.61</v>
      </c>
      <c r="D57" s="17">
        <f t="shared" si="11"/>
        <v>0.10382888059908761</v>
      </c>
      <c r="E57" s="16">
        <f>SUMIFS(DONNEES_N1_NOUVEAU[MONTANT],DONNEES_N1_NOUVEAU[TL2],A57,DONNEES_N1_NOUVEAU[MOIS],DONNÉES!$C$5,DONNEES_N1_NOUVEAU[SOCIETE],"th4")</f>
        <v>0</v>
      </c>
      <c r="F57" s="17">
        <f t="shared" si="11"/>
        <v>0</v>
      </c>
      <c r="G57" s="16">
        <f t="shared" si="12"/>
        <v>365.61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TH4'!$G:$G,'BAL N TH4'!$I:$I,$A58,'BAL N TH4'!$J:$J,"T")</f>
        <v>429.58</v>
      </c>
      <c r="D58" s="17">
        <f t="shared" si="11"/>
        <v>0.12199559784403068</v>
      </c>
      <c r="E58" s="16">
        <f>SUMIFS(DONNEES_N1_NOUVEAU[MONTANT],DONNEES_N1_NOUVEAU[TL2],A58,DONNEES_N1_NOUVEAU[MOIS],DONNÉES!$C$5,DONNEES_N1_NOUVEAU[SOCIETE],"th4")</f>
        <v>1113.97</v>
      </c>
      <c r="F58" s="17">
        <f t="shared" si="11"/>
        <v>0.33238015634640755</v>
      </c>
      <c r="G58" s="16">
        <f t="shared" si="12"/>
        <v>-684.3900000000001</v>
      </c>
      <c r="H58" s="17">
        <f t="shared" si="13"/>
        <v>-61.437022541002008</v>
      </c>
    </row>
    <row r="59" spans="1:8" ht="13.5" thickBot="1" x14ac:dyDescent="0.25">
      <c r="A59" s="13"/>
      <c r="B59" s="63" t="s">
        <v>2994</v>
      </c>
      <c r="C59" s="49">
        <f>SUM(C51:C58)</f>
        <v>35897.710000000006</v>
      </c>
      <c r="D59" s="50">
        <f t="shared" si="11"/>
        <v>10.194521608737928</v>
      </c>
      <c r="E59" s="51">
        <f>SUM(E51:E58)</f>
        <v>36402.699999999997</v>
      </c>
      <c r="F59" s="50">
        <f t="shared" si="11"/>
        <v>10.861634619811458</v>
      </c>
      <c r="G59" s="51">
        <f>SUM(G51:G58)</f>
        <v>-504.99000000000149</v>
      </c>
      <c r="H59" s="50">
        <f t="shared" si="13"/>
        <v>-1.3872322657385345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224722.92</v>
      </c>
      <c r="D61" s="71">
        <f>(C61*100)/C$8</f>
        <v>63.818629765483209</v>
      </c>
      <c r="E61" s="72">
        <f>E59+E49+E42+E33+E26</f>
        <v>213143.75999999998</v>
      </c>
      <c r="F61" s="71">
        <f>(E61*100)/E$8</f>
        <v>63.596646474376477</v>
      </c>
      <c r="G61" s="72">
        <f>G59+G49+G42+G33+G26</f>
        <v>11579.160000000007</v>
      </c>
      <c r="H61" s="71">
        <f>IF(E61=0,0,G61/E61*100)</f>
        <v>5.4325587575259107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TH4'!$G:$G,'BAL N TH4'!$I:$I,$A63,'BAL N TH4'!$J:$J,"T")</f>
        <v>4773.92</v>
      </c>
      <c r="D63" s="17">
        <f t="shared" ref="D63:F65" si="14">(C63*100)/C$8</f>
        <v>1.3557363575109989</v>
      </c>
      <c r="E63" s="16">
        <f>-SUMIFS(DONNEES_N1_NOUVEAU[MONTANT],DONNEES_N1_NOUVEAU[TL2],A63,DONNEES_N1_NOUVEAU[MOIS],DONNÉES!$C$5,DONNEES_N1_NOUVEAU[SOCIETE],"th4")</f>
        <v>4053.31</v>
      </c>
      <c r="F63" s="17">
        <f t="shared" si="14"/>
        <v>1.2094040337894714</v>
      </c>
      <c r="G63" s="16">
        <f>+C63-E63</f>
        <v>720.61000000000013</v>
      </c>
      <c r="H63" s="17">
        <f>IF(E63=0,0,G63/E63*100)</f>
        <v>17.778309579084748</v>
      </c>
    </row>
    <row r="64" spans="1:8" s="18" customFormat="1" x14ac:dyDescent="0.2">
      <c r="A64" s="13" t="s">
        <v>2992</v>
      </c>
      <c r="B64" s="68" t="s">
        <v>65</v>
      </c>
      <c r="C64" s="23">
        <f>SUMIFS('BAL N TH4'!$G:$G,'BAL N TH4'!$I:$I,$A64,'BAL N TH4'!$J:$J,"T")</f>
        <v>5422.02</v>
      </c>
      <c r="D64" s="17">
        <f t="shared" si="14"/>
        <v>1.539789029801879</v>
      </c>
      <c r="E64" s="24">
        <f>SUMIFS(DONNEES_N1_NOUVEAU[MONTANT],DONNEES_N1_NOUVEAU[TL2],A64,DONNEES_N1_NOUVEAU[MOIS],DONNÉES!$C$5,DONNEES_N1_NOUVEAU[SOCIETE],"th4")</f>
        <v>4503.93</v>
      </c>
      <c r="F64" s="17">
        <f t="shared" si="14"/>
        <v>1.3438575164261835</v>
      </c>
      <c r="G64" s="16">
        <f>+C64-E64</f>
        <v>918.09000000000015</v>
      </c>
      <c r="H64" s="17">
        <f>IF(E64=0,0,G64/E64*100)</f>
        <v>20.38419780058749</v>
      </c>
    </row>
    <row r="65" spans="1:9" s="59" customFormat="1" ht="13.5" x14ac:dyDescent="0.2">
      <c r="A65" s="13"/>
      <c r="B65" s="62" t="s">
        <v>53</v>
      </c>
      <c r="C65" s="67">
        <f>+C63-C64</f>
        <v>-648.10000000000036</v>
      </c>
      <c r="D65" s="56">
        <f t="shared" si="14"/>
        <v>-0.18405267229088021</v>
      </c>
      <c r="E65" s="57">
        <f>+E63-E64</f>
        <v>-450.62000000000035</v>
      </c>
      <c r="F65" s="56">
        <f t="shared" si="14"/>
        <v>-0.13445348263671222</v>
      </c>
      <c r="G65" s="58">
        <f>+G63-G64</f>
        <v>-197.48000000000002</v>
      </c>
      <c r="H65" s="56">
        <f>IF(E65=0,0,G65/E65*100)</f>
        <v>43.824064622076222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TH4'!$G:$G,'BAL N TH4'!$I:$I,$A67,'BAL N TH4'!$J:$J,"T")</f>
        <v>0</v>
      </c>
      <c r="D67" s="17">
        <f>(C67*100)/C$8</f>
        <v>0</v>
      </c>
      <c r="E67" s="16">
        <f>-SUMIFS(DONNEES_N1_NOUVEAU[MONTANT],DONNEES_N1_NOUVEAU[TL2],A67,DONNEES_N1_NOUVEAU[MOIS],DONNÉES!$C$5,DONNEES_N1_NOUVEAU[SOCIETE],"th4")</f>
        <v>-30.11</v>
      </c>
      <c r="F67" s="17">
        <f>(E67*100)/E$8</f>
        <v>-8.9840538861821525E-3</v>
      </c>
      <c r="G67" s="16">
        <f>+C67-E67</f>
        <v>30.11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33696.409999999982</v>
      </c>
      <c r="D69" s="10">
        <f>(C69*100)/C$8</f>
        <v>9.5693786562399819</v>
      </c>
      <c r="E69" s="9">
        <f>E18-E61+E65+E67</f>
        <v>36237.250000000007</v>
      </c>
      <c r="F69" s="10">
        <f>(E69*100)/E$8</f>
        <v>10.812268571473075</v>
      </c>
      <c r="G69" s="9">
        <f>G18-G61+G65+G67</f>
        <v>-2540.8399999999847</v>
      </c>
      <c r="H69" s="10">
        <f>IF(E69=0,0,G69/E69*100)</f>
        <v>-7.0116799701963703</v>
      </c>
    </row>
    <row r="70" spans="1:9" ht="13.5" thickBot="1" x14ac:dyDescent="0.25">
      <c r="A70" s="13"/>
      <c r="B70" s="63" t="s">
        <v>3034</v>
      </c>
      <c r="C70" s="49">
        <f>+C69-C67+C57+C56</f>
        <v>45062.019999999982</v>
      </c>
      <c r="D70" s="50">
        <f>(C70*100)/C$8</f>
        <v>12.797076376832406</v>
      </c>
      <c r="E70" s="49">
        <f>+E69-E67+E57+E56</f>
        <v>48267.360000000008</v>
      </c>
      <c r="F70" s="50">
        <f>(E70*100)/E$8</f>
        <v>14.401745705206013</v>
      </c>
      <c r="G70" s="49">
        <f>+G69-G67+G57+G56</f>
        <v>-3205.3399999999847</v>
      </c>
      <c r="H70" s="50">
        <f>IF(E70=0,0,G70/E70*100)</f>
        <v>-6.640802397313597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TH4'!$G:$G,'BAL N TH4'!$I:$I,$A72,'BAL N TH4'!$J:$J,"T")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-SUMIFS(DONNEES_N1_NOUVEAU[MONTANT],DONNEES_N1_NOUVEAU[TL2],A72,DONNEES_N1_NOUVEAU[MOIS],DONNÉES!$C$5,DONNEES_N1_NOUVEAU[SOCIETE],"th4")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TH4'!$G:$G,'BAL N TH4'!$I:$I,$A74,'BAL N TH4'!$J:$J,"T")</f>
        <v>23967.33</v>
      </c>
      <c r="D74" s="10">
        <f>(C74*100)/C$8</f>
        <v>6.8064359422579539</v>
      </c>
      <c r="E74" s="9">
        <f>SUMIFS(DONNEES_N1_NOUVEAU[MONTANT],DONNEES_N1_NOUVEAU[TL2],A74,DONNEES_N1_NOUVEAU[MOIS],DONNÉES!$C$5,DONNEES_N1_NOUVEAU[SOCIETE],"th4")</f>
        <v>21233.33</v>
      </c>
      <c r="F74" s="10">
        <f>(E74*100)/E$8</f>
        <v>6.3354825939252102</v>
      </c>
      <c r="G74" s="9">
        <f>+C74-E74</f>
        <v>2734</v>
      </c>
      <c r="H74" s="10">
        <f>IF(E74=0,0,G74/E74*100)</f>
        <v>12.875983183042885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9729.0799999999799</v>
      </c>
      <c r="D76" s="71">
        <f>(C76*100)/C$8</f>
        <v>2.762942713982028</v>
      </c>
      <c r="E76" s="72">
        <f>E69-E74+E72</f>
        <v>15003.920000000006</v>
      </c>
      <c r="F76" s="71">
        <f>(E76*100)/E$8</f>
        <v>4.4767859775478636</v>
      </c>
      <c r="G76" s="72">
        <f>G69-G74+G72</f>
        <v>-5274.8399999999847</v>
      </c>
      <c r="H76" s="71">
        <f>IF(E76=0,0,G76/E76*100)</f>
        <v>-35.156412457544313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VLOOKUP(PARAMETRES!$C$2,TRANSTH4[],2,FALSE)</f>
        <v>21816</v>
      </c>
      <c r="D78" s="324"/>
      <c r="E78" s="323">
        <f>VLOOKUP(PARAMETRES!$C$2,TRANSTH4[],3,FALSE)</f>
        <v>20262</v>
      </c>
      <c r="F78" s="324"/>
      <c r="G78" s="325">
        <f>C78-E78</f>
        <v>1554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VLOOKUP(PARAMETRES!$C$2,PMTH4[],2,FALSE)</f>
        <v>16.36</v>
      </c>
      <c r="D80" s="316"/>
      <c r="E80" s="315">
        <f>VLOOKUP(PARAMETRES!$C$2,PMTH4[],3,FALSE)</f>
        <v>16.739999999999998</v>
      </c>
      <c r="F80" s="316"/>
      <c r="G80" s="317">
        <f>(C80-E80)/E80</f>
        <v>-2.2700119474312965E-2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5" formula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B83D9-0DCD-4D53-A1A5-C2336CF11549}">
  <sheetPr codeName="Feuil49"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AE7D0-C164-4619-A298-73282DC74E9D}">
  <sheetPr>
    <tabColor rgb="FFFFFF00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6892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DIVES'!$G:$G,'BAL N DIVES'!$I:$I,$A8,'BAL N DIVES'!$J:$J,"T")</f>
        <v>241429.07</v>
      </c>
      <c r="D8" s="71">
        <f>(C8*100)/C$8</f>
        <v>100</v>
      </c>
      <c r="E8" s="72">
        <f>-SUMIFS(DONNEES_N1_NOUVEAU[MONTANT],DONNEES_N1_NOUVEAU[TL2],A8,DONNEES_N1_NOUVEAU[MOIS],DONNÉES!$C$5,DONNEES_N1_NOUVEAU[SOCIETE],"DIVES")</f>
        <v>232055.39</v>
      </c>
      <c r="F8" s="71">
        <f>(E8*100)/E$8</f>
        <v>100</v>
      </c>
      <c r="G8" s="72">
        <f>+C8-E8</f>
        <v>9373.679999999993</v>
      </c>
      <c r="H8" s="71">
        <f>IF(E8=0,0,G8/E8*100)</f>
        <v>4.0394149000374409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DIVES'!$G:$G,'BAL N DIVES'!$I:$I,$A10,'BAL N DIVES'!$J:$J,"T")</f>
        <v>54126.95</v>
      </c>
      <c r="D10" s="17">
        <f t="shared" ref="D10:F16" si="0">(C10*100)/C$8</f>
        <v>22.419400447510316</v>
      </c>
      <c r="E10" s="16">
        <f>SUMIFS(DONNEES_N1_NOUVEAU[MONTANT],DONNEES_N1_NOUVEAU[TL2],A10,DONNEES_N1_NOUVEAU[MOIS],DONNÉES!$C$5,DONNEES_N1_NOUVEAU[SOCIETE],"DIVES")</f>
        <v>52458.81</v>
      </c>
      <c r="F10" s="17">
        <f t="shared" si="0"/>
        <v>22.6061588140659</v>
      </c>
      <c r="G10" s="16">
        <f>+C10-E10</f>
        <v>1668.1399999999994</v>
      </c>
      <c r="H10" s="17">
        <f t="shared" ref="H10:H16" si="1">IF(E10=0,0,G10/E10*100)</f>
        <v>3.1799043859363176</v>
      </c>
    </row>
    <row r="11" spans="1:8" s="18" customFormat="1" x14ac:dyDescent="0.2">
      <c r="A11" s="13" t="s">
        <v>124</v>
      </c>
      <c r="B11" s="14" t="s">
        <v>4</v>
      </c>
      <c r="C11" s="23">
        <f>SUMIFS('BAL N DIVES'!$G:$G,'BAL N DIVES'!$I:$I,$A11,'BAL N DIVES'!$J:$J,"T")</f>
        <v>1309.58</v>
      </c>
      <c r="D11" s="17">
        <f t="shared" si="0"/>
        <v>0.54242846563589042</v>
      </c>
      <c r="E11" s="16">
        <f>SUMIFS(DONNEES_N1_NOUVEAU[MONTANT],DONNEES_N1_NOUVEAU[TL2],A11,DONNEES_N1_NOUVEAU[MOIS],DONNÉES!$C$5,DONNEES_N1_NOUVEAU[SOCIETE],"DIVES")</f>
        <v>854.89</v>
      </c>
      <c r="F11" s="17">
        <f t="shared" si="0"/>
        <v>0.3683991136771268</v>
      </c>
      <c r="G11" s="16">
        <f>+C11-E11</f>
        <v>454.68999999999994</v>
      </c>
      <c r="H11" s="17">
        <f t="shared" si="1"/>
        <v>53.186959725812677</v>
      </c>
    </row>
    <row r="12" spans="1:8" s="18" customFormat="1" x14ac:dyDescent="0.2">
      <c r="A12" s="13" t="s">
        <v>125</v>
      </c>
      <c r="B12" s="14" t="s">
        <v>2</v>
      </c>
      <c r="C12" s="23">
        <f>SUMIFS('BAL N DIVES'!$G:$G,'BAL N DIVES'!$I:$I,$A12,'BAL N DIVES'!$J:$J,"T")</f>
        <v>1897.66</v>
      </c>
      <c r="D12" s="17">
        <f t="shared" si="0"/>
        <v>0.78601139456818514</v>
      </c>
      <c r="E12" s="16">
        <f>SUMIFS(DONNEES_N1_NOUVEAU[MONTANT],DONNEES_N1_NOUVEAU[TL2],A12,DONNEES_N1_NOUVEAU[MOIS],DONNÉES!$C$5,DONNEES_N1_NOUVEAU[SOCIETE],"DIVES")</f>
        <v>1092.3</v>
      </c>
      <c r="F12" s="17">
        <f t="shared" si="0"/>
        <v>0.47070658432023488</v>
      </c>
      <c r="G12" s="16">
        <f>+C12-E12</f>
        <v>805.36000000000013</v>
      </c>
      <c r="H12" s="17">
        <f t="shared" si="1"/>
        <v>73.730660075070958</v>
      </c>
    </row>
    <row r="13" spans="1:8" s="59" customFormat="1" ht="13.5" x14ac:dyDescent="0.2">
      <c r="A13" s="60"/>
      <c r="B13" s="62" t="s">
        <v>6</v>
      </c>
      <c r="C13" s="55">
        <f>SUM(C10:C12)</f>
        <v>57334.19</v>
      </c>
      <c r="D13" s="56">
        <f t="shared" si="0"/>
        <v>23.747840307714394</v>
      </c>
      <c r="E13" s="55">
        <f>SUM(E10:E12)</f>
        <v>54406</v>
      </c>
      <c r="F13" s="56">
        <f t="shared" si="0"/>
        <v>23.445264512063261</v>
      </c>
      <c r="G13" s="55">
        <f>SUM(G10:G12)</f>
        <v>2928.1899999999996</v>
      </c>
      <c r="H13" s="56">
        <f t="shared" si="1"/>
        <v>5.382108590964231</v>
      </c>
    </row>
    <row r="14" spans="1:8" s="18" customFormat="1" x14ac:dyDescent="0.2">
      <c r="A14" s="13" t="s">
        <v>126</v>
      </c>
      <c r="B14" s="14" t="s">
        <v>8</v>
      </c>
      <c r="C14" s="23">
        <f>SUMIFS('BAL N DIVES'!$G:$G,'BAL N DIVES'!$I:$I,$A14,'BAL N DIVES'!$J:$J,"T")</f>
        <v>5388.11</v>
      </c>
      <c r="D14" s="17">
        <f t="shared" si="0"/>
        <v>2.2317569296853939</v>
      </c>
      <c r="E14" s="16">
        <f>SUMIFS(DONNEES_N1_NOUVEAU[MONTANT],DONNEES_N1_NOUVEAU[TL2],A14,DONNEES_N1_NOUVEAU[MOIS],DONNÉES!$C$5,DONNEES_N1_NOUVEAU[SOCIETE],"DIVES")</f>
        <v>5484.25</v>
      </c>
      <c r="F14" s="17">
        <f t="shared" si="0"/>
        <v>2.3633366154520261</v>
      </c>
      <c r="G14" s="16">
        <f>+C14-E14</f>
        <v>-96.140000000000327</v>
      </c>
      <c r="H14" s="17">
        <f t="shared" si="1"/>
        <v>-1.753020011852128</v>
      </c>
    </row>
    <row r="15" spans="1:8" s="18" customFormat="1" x14ac:dyDescent="0.2">
      <c r="A15" s="13" t="s">
        <v>2964</v>
      </c>
      <c r="B15" s="14" t="s">
        <v>2965</v>
      </c>
      <c r="C15" s="23">
        <f>SUMIFS('BAL N DIVES'!$G:$G,'BAL N DIVES'!$I:$I,$A15,'BAL N DIVES'!$J:$J,"T")</f>
        <v>-200.18</v>
      </c>
      <c r="D15" s="17">
        <f t="shared" si="0"/>
        <v>-8.291462167335524E-2</v>
      </c>
      <c r="E15" s="16">
        <f>SUMIFS(DONNEES_N1_NOUVEAU[MONTANT],DONNEES_N1_NOUVEAU[TL2],A15,DONNEES_N1_NOUVEAU[MOIS],DONNÉES!$C$5,DONNEES_N1_NOUVEAU[SOCIETE],"DIVES")</f>
        <v>805.18</v>
      </c>
      <c r="F15" s="17">
        <f t="shared" si="0"/>
        <v>0.34697750394851845</v>
      </c>
      <c r="G15" s="16">
        <f>+C15-E15</f>
        <v>-1005.3599999999999</v>
      </c>
      <c r="H15" s="17">
        <f t="shared" si="1"/>
        <v>-124.8615216473335</v>
      </c>
    </row>
    <row r="16" spans="1:8" ht="13.5" thickBot="1" x14ac:dyDescent="0.25">
      <c r="A16" s="7"/>
      <c r="B16" s="63" t="s">
        <v>10</v>
      </c>
      <c r="C16" s="49">
        <f>+C13+SUM(C14:C15)</f>
        <v>62522.12</v>
      </c>
      <c r="D16" s="50">
        <f t="shared" si="0"/>
        <v>25.896682615726434</v>
      </c>
      <c r="E16" s="49">
        <f>+E13+SUM(E14:E15)</f>
        <v>60695.43</v>
      </c>
      <c r="F16" s="50">
        <f t="shared" si="0"/>
        <v>26.155578631463804</v>
      </c>
      <c r="G16" s="49">
        <f>+G13+SUM(G14:G15)</f>
        <v>1826.6899999999994</v>
      </c>
      <c r="H16" s="50">
        <f t="shared" si="1"/>
        <v>3.0096005580650789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178906.95</v>
      </c>
      <c r="D18" s="71">
        <f>(C18*100)/C$8</f>
        <v>74.103317384273566</v>
      </c>
      <c r="E18" s="70">
        <f>E8-E16</f>
        <v>171359.96000000002</v>
      </c>
      <c r="F18" s="71">
        <f>(E18*100)/E$8</f>
        <v>73.844421368536203</v>
      </c>
      <c r="G18" s="70">
        <f>G8-G16</f>
        <v>7546.9899999999934</v>
      </c>
      <c r="H18" s="71">
        <f>IF(E18=0,0,G18/E18*100)</f>
        <v>4.4041735303859735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DIVES'!$G:$G,'BAL N DIVES'!$I:$I,$A20,'BAL N DIVES'!$J:$J,"T")</f>
        <v>34545.57</v>
      </c>
      <c r="D20" s="17">
        <f t="shared" ref="D20:F26" si="2">(C20*100)/C$8</f>
        <v>14.308786427417377</v>
      </c>
      <c r="E20" s="16">
        <f>SUMIFS(DONNEES_N1_NOUVEAU[MONTANT],DONNEES_N1_NOUVEAU[TL2],A20,DONNEES_N1_NOUVEAU[MOIS],DONNÉES!$C$5,DONNEES_N1_NOUVEAU[SOCIETE],"DIVES")</f>
        <v>37599.199999999997</v>
      </c>
      <c r="F20" s="17">
        <f t="shared" si="2"/>
        <v>16.202683333492057</v>
      </c>
      <c r="G20" s="16">
        <f t="shared" ref="G20:G25" si="3">+C20-E20</f>
        <v>-3053.6299999999974</v>
      </c>
      <c r="H20" s="17">
        <f t="shared" ref="H20:H26" si="4">IF(E20=0,0,G20/E20*100)</f>
        <v>-8.1215291814719404</v>
      </c>
    </row>
    <row r="21" spans="1:8" s="18" customFormat="1" x14ac:dyDescent="0.2">
      <c r="A21" s="13">
        <v>9</v>
      </c>
      <c r="B21" s="14" t="s">
        <v>2968</v>
      </c>
      <c r="C21" s="23">
        <f>SUMIFS('BAL N DIVES'!$G:$G,'BAL N DIVES'!$I:$I,$A21,'BAL N DIVES'!$J:$J,"T")</f>
        <v>5064.83</v>
      </c>
      <c r="D21" s="17">
        <f t="shared" si="2"/>
        <v>2.0978542476264352</v>
      </c>
      <c r="E21" s="16">
        <f>SUMIFS(DONNEES_N1_NOUVEAU[MONTANT],DONNEES_N1_NOUVEAU[TL2],A21,DONNEES_N1_NOUVEAU[MOIS],DONNÉES!$C$5,DONNEES_N1_NOUVEAU[SOCIETE],"DIVES")</f>
        <v>4206.49</v>
      </c>
      <c r="F21" s="17">
        <f t="shared" si="2"/>
        <v>1.8127094569964524</v>
      </c>
      <c r="G21" s="16">
        <f t="shared" si="3"/>
        <v>858.34000000000015</v>
      </c>
      <c r="H21" s="17">
        <f t="shared" si="4"/>
        <v>20.405135873376619</v>
      </c>
    </row>
    <row r="22" spans="1:8" s="18" customFormat="1" x14ac:dyDescent="0.2">
      <c r="A22" s="13" t="s">
        <v>12</v>
      </c>
      <c r="B22" s="14" t="s">
        <v>14</v>
      </c>
      <c r="C22" s="23">
        <f>SUMIFS('BAL N DIVES'!$G:$G,'BAL N DIVES'!$I:$I,$A22,'BAL N DIVES'!$J:$J,"T")</f>
        <v>17646.900000000001</v>
      </c>
      <c r="D22" s="17">
        <f t="shared" si="2"/>
        <v>7.3093517694451631</v>
      </c>
      <c r="E22" s="16">
        <f>SUMIFS(DONNEES_N1_NOUVEAU[MONTANT],DONNEES_N1_NOUVEAU[TL2],A22,DONNEES_N1_NOUVEAU[MOIS],DONNÉES!$C$5,DONNEES_N1_NOUVEAU[SOCIETE],"DIVES")</f>
        <v>15344.28</v>
      </c>
      <c r="F22" s="17">
        <f t="shared" si="2"/>
        <v>6.612335098098777</v>
      </c>
      <c r="G22" s="16">
        <f t="shared" si="3"/>
        <v>2302.6200000000008</v>
      </c>
      <c r="H22" s="17">
        <f t="shared" si="4"/>
        <v>15.006373710594442</v>
      </c>
    </row>
    <row r="23" spans="1:8" s="18" customFormat="1" x14ac:dyDescent="0.2">
      <c r="A23" s="13" t="s">
        <v>13</v>
      </c>
      <c r="B23" s="14" t="s">
        <v>2966</v>
      </c>
      <c r="C23" s="23">
        <f>SUMIFS('BAL N DIVES'!$G:$G,'BAL N DIVES'!$I:$I,$A23,'BAL N DIVES'!$J:$J,"T")</f>
        <v>3707.78</v>
      </c>
      <c r="D23" s="17">
        <f t="shared" si="2"/>
        <v>1.5357636924169902</v>
      </c>
      <c r="E23" s="16">
        <f>SUMIFS(DONNEES_N1_NOUVEAU[MONTANT],DONNEES_N1_NOUVEAU[TL2],A23,DONNEES_N1_NOUVEAU[MOIS],DONNÉES!$C$5,DONNEES_N1_NOUVEAU[SOCIETE],"DIVES")</f>
        <v>4070.07</v>
      </c>
      <c r="F23" s="17">
        <f t="shared" si="2"/>
        <v>1.753921768419169</v>
      </c>
      <c r="G23" s="16">
        <f t="shared" si="3"/>
        <v>-362.28999999999996</v>
      </c>
      <c r="H23" s="17">
        <f t="shared" si="4"/>
        <v>-8.9013211074993777</v>
      </c>
    </row>
    <row r="24" spans="1:8" s="18" customFormat="1" x14ac:dyDescent="0.2">
      <c r="A24" s="13" t="s">
        <v>15</v>
      </c>
      <c r="B24" s="14" t="s">
        <v>2969</v>
      </c>
      <c r="C24" s="23">
        <f>SUMIFS('BAL N DIVES'!$G:$G,'BAL N DIVES'!$I:$I,$A24,'BAL N DIVES'!$J:$J,"T")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SUMIFS(DONNEES_N1_NOUVEAU[MONTANT],DONNEES_N1_NOUVEAU[TL2],A24,DONNEES_N1_NOUVEAU[MOIS],DONNÉES!$C$5,DONNEES_N1_NOUVEAU[SOCIETE],"DIVES")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DIVES'!$G:$G,'BAL N DIVES'!$I:$I,$A25,'BAL N DIVES'!$J:$J,"T")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SUMIFS(DONNEES_N1_NOUVEAU[MONTANT],DONNEES_N1_NOUVEAU[TL2],A25,DONNEES_N1_NOUVEAU[MOIS],DONNÉES!$C$5,DONNEES_N1_NOUVEAU[SOCIETE],"DIVES")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60965.08</v>
      </c>
      <c r="D26" s="50">
        <f t="shared" si="2"/>
        <v>25.251756136905964</v>
      </c>
      <c r="E26" s="51">
        <f>SUM(E20:E25)</f>
        <v>61220.039999999994</v>
      </c>
      <c r="F26" s="50">
        <f t="shared" si="2"/>
        <v>26.381649657006452</v>
      </c>
      <c r="G26" s="51">
        <f>SUM(G20:G25)</f>
        <v>-254.9599999999964</v>
      </c>
      <c r="H26" s="50">
        <f t="shared" si="4"/>
        <v>-0.41646493533816126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DIVES'!$G:$G,'BAL N DIVES'!$I:$I,$A28,'BAL N DIVES'!$J:$J,"T")</f>
        <v>10079</v>
      </c>
      <c r="D28" s="17">
        <f t="shared" ref="D28:F33" si="5">(C28*100)/C$8</f>
        <v>4.174725106632768</v>
      </c>
      <c r="E28" s="16">
        <f>SUMIFS(DONNEES_N1_NOUVEAU[MONTANT],DONNEES_N1_NOUVEAU[TL2],A28,DONNEES_N1_NOUVEAU[MOIS],DONNÉES!$C$5,DONNEES_N1_NOUVEAU[SOCIETE],"DIVES")</f>
        <v>3290</v>
      </c>
      <c r="F28" s="17">
        <f t="shared" si="5"/>
        <v>1.417764956892404</v>
      </c>
      <c r="G28" s="16">
        <f>+C28-E28</f>
        <v>6789</v>
      </c>
      <c r="H28" s="17">
        <f t="shared" ref="H28:H33" si="6">IF(E28=0,0,G28/E28*100)</f>
        <v>206.35258358662614</v>
      </c>
    </row>
    <row r="29" spans="1:8" s="18" customFormat="1" x14ac:dyDescent="0.2">
      <c r="A29" s="13" t="s">
        <v>20</v>
      </c>
      <c r="B29" s="14" t="s">
        <v>2972</v>
      </c>
      <c r="C29" s="23">
        <f>SUMIFS('BAL N DIVES'!$G:$G,'BAL N DIVES'!$I:$I,$A29,'BAL N DIVES'!$J:$J,"T")</f>
        <v>55</v>
      </c>
      <c r="D29" s="17">
        <f t="shared" si="5"/>
        <v>2.2781018043933152E-2</v>
      </c>
      <c r="E29" s="16">
        <f>SUMIFS(DONNEES_N1_NOUVEAU[MONTANT],DONNEES_N1_NOUVEAU[TL2],A29,DONNEES_N1_NOUVEAU[MOIS],DONNÉES!$C$5,DONNEES_N1_NOUVEAU[SOCIETE],"DIVES")</f>
        <v>562.13</v>
      </c>
      <c r="F29" s="17">
        <f t="shared" si="5"/>
        <v>0.24223957909359484</v>
      </c>
      <c r="G29" s="16">
        <f>+C29-E29</f>
        <v>-507.13</v>
      </c>
      <c r="H29" s="17">
        <f t="shared" si="6"/>
        <v>-90.215786383932539</v>
      </c>
    </row>
    <row r="30" spans="1:8" s="18" customFormat="1" x14ac:dyDescent="0.2">
      <c r="A30" s="13" t="s">
        <v>21</v>
      </c>
      <c r="B30" s="14" t="s">
        <v>2973</v>
      </c>
      <c r="C30" s="23">
        <f>SUMIFS('BAL N DIVES'!$G:$G,'BAL N DIVES'!$I:$I,$A30,'BAL N DIVES'!$J:$J,"T")</f>
        <v>2132.15</v>
      </c>
      <c r="D30" s="17">
        <f t="shared" si="5"/>
        <v>0.88313722949767393</v>
      </c>
      <c r="E30" s="16">
        <f>SUMIFS(DONNEES_N1_NOUVEAU[MONTANT],DONNEES_N1_NOUVEAU[TL2],A30,DONNEES_N1_NOUVEAU[MOIS],DONNÉES!$C$5,DONNEES_N1_NOUVEAU[SOCIETE],"DIVES")</f>
        <v>2239.54</v>
      </c>
      <c r="F30" s="17">
        <f t="shared" si="5"/>
        <v>0.96508855062577936</v>
      </c>
      <c r="G30" s="16">
        <f>+C30-E30</f>
        <v>-107.38999999999987</v>
      </c>
      <c r="H30" s="17">
        <f t="shared" si="6"/>
        <v>-4.7951811532725417</v>
      </c>
    </row>
    <row r="31" spans="1:8" s="18" customFormat="1" x14ac:dyDescent="0.2">
      <c r="A31" s="13" t="s">
        <v>23</v>
      </c>
      <c r="B31" s="14" t="s">
        <v>2974</v>
      </c>
      <c r="C31" s="23">
        <f>SUMIFS('BAL N DIVES'!$G:$G,'BAL N DIVES'!$I:$I,$A31,'BAL N DIVES'!$J:$J,"T")</f>
        <v>307.05</v>
      </c>
      <c r="D31" s="17">
        <f t="shared" si="5"/>
        <v>0.1271802107343577</v>
      </c>
      <c r="E31" s="16">
        <f>SUMIFS(DONNEES_N1_NOUVEAU[MONTANT],DONNEES_N1_NOUVEAU[TL2],A31,DONNEES_N1_NOUVEAU[MOIS],DONNÉES!$C$5,DONNEES_N1_NOUVEAU[SOCIETE],"DIVES")</f>
        <v>2581.67</v>
      </c>
      <c r="F31" s="17">
        <f t="shared" si="5"/>
        <v>1.1125231781946543</v>
      </c>
      <c r="G31" s="16">
        <f>+C31-E31</f>
        <v>-2274.62</v>
      </c>
      <c r="H31" s="17">
        <f t="shared" si="6"/>
        <v>-88.106535692013296</v>
      </c>
    </row>
    <row r="32" spans="1:8" s="18" customFormat="1" x14ac:dyDescent="0.2">
      <c r="A32" s="13" t="s">
        <v>25</v>
      </c>
      <c r="B32" s="14" t="s">
        <v>2975</v>
      </c>
      <c r="C32" s="23">
        <f>SUMIFS('BAL N DIVES'!$G:$G,'BAL N DIVES'!$I:$I,$A32,'BAL N DIVES'!$J:$J,"T")</f>
        <v>6514.4</v>
      </c>
      <c r="D32" s="17">
        <f t="shared" si="5"/>
        <v>2.6982666171890566</v>
      </c>
      <c r="E32" s="16">
        <f>SUMIFS(DONNEES_N1_NOUVEAU[MONTANT],DONNEES_N1_NOUVEAU[TL2],A32,DONNEES_N1_NOUVEAU[MOIS],DONNÉES!$C$5,DONNEES_N1_NOUVEAU[SOCIETE],"DIVES")</f>
        <v>7111.06</v>
      </c>
      <c r="F32" s="17">
        <f t="shared" si="5"/>
        <v>3.0643804481335253</v>
      </c>
      <c r="G32" s="16">
        <f>+C32-E32</f>
        <v>-596.66000000000076</v>
      </c>
      <c r="H32" s="17">
        <f t="shared" si="6"/>
        <v>-8.3905915573768297</v>
      </c>
    </row>
    <row r="33" spans="1:8" ht="13.5" thickBot="1" x14ac:dyDescent="0.25">
      <c r="A33" s="7"/>
      <c r="B33" s="63" t="s">
        <v>2976</v>
      </c>
      <c r="C33" s="49">
        <f>SUM(C28:C32)</f>
        <v>19087.599999999999</v>
      </c>
      <c r="D33" s="50">
        <f t="shared" si="5"/>
        <v>7.9060901820977882</v>
      </c>
      <c r="E33" s="51">
        <f>SUM(E28:E32)</f>
        <v>15784.400000000001</v>
      </c>
      <c r="F33" s="50">
        <f t="shared" si="5"/>
        <v>6.8019967129399586</v>
      </c>
      <c r="G33" s="51">
        <f>SUM(G28:G32)</f>
        <v>3303.1999999999989</v>
      </c>
      <c r="H33" s="50">
        <f t="shared" si="6"/>
        <v>20.926991206507683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DIVES'!$G:$G,'BAL N DIVES'!$I:$I,$A35,'BAL N DIVES'!$J:$J,"T")</f>
        <v>215.56</v>
      </c>
      <c r="D35" s="17">
        <f t="shared" ref="D35:F42" si="7">(C35*100)/C$8</f>
        <v>8.9285022719095095E-2</v>
      </c>
      <c r="E35" s="16">
        <f>SUMIFS(DONNEES_N1_NOUVEAU[MONTANT],DONNEES_N1_NOUVEAU[TL2],A35,DONNEES_N1_NOUVEAU[MOIS],DONNÉES!$C$5,DONNEES_N1_NOUVEAU[SOCIETE],"DIVES")</f>
        <v>0</v>
      </c>
      <c r="F35" s="17">
        <f t="shared" si="7"/>
        <v>0</v>
      </c>
      <c r="G35" s="16">
        <f t="shared" ref="G35:G41" si="8">+C35-E35</f>
        <v>215.56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DIVES'!$G:$G,'BAL N DIVES'!$I:$I,$A36,'BAL N DIVES'!$J:$J,"T")</f>
        <v>9708.01</v>
      </c>
      <c r="D36" s="17">
        <f t="shared" si="7"/>
        <v>4.0210609269215176</v>
      </c>
      <c r="E36" s="16">
        <f>SUMIFS(DONNEES_N1_NOUVEAU[MONTANT],DONNEES_N1_NOUVEAU[TL2],A36,DONNEES_N1_NOUVEAU[MOIS],DONNÉES!$C$5,DONNEES_N1_NOUVEAU[SOCIETE],"DIVES")</f>
        <v>9273.61</v>
      </c>
      <c r="F36" s="17">
        <f t="shared" si="7"/>
        <v>3.996291575041631</v>
      </c>
      <c r="G36" s="16">
        <f t="shared" si="8"/>
        <v>434.39999999999964</v>
      </c>
      <c r="H36" s="17">
        <f t="shared" si="9"/>
        <v>4.6842599591744705</v>
      </c>
    </row>
    <row r="37" spans="1:8" s="18" customFormat="1" x14ac:dyDescent="0.2">
      <c r="A37" s="13" t="s">
        <v>32</v>
      </c>
      <c r="B37" s="14" t="s">
        <v>19</v>
      </c>
      <c r="C37" s="23">
        <f>SUMIFS('BAL N DIVES'!$G:$G,'BAL N DIVES'!$I:$I,$A37,'BAL N DIVES'!$J:$J,"T")</f>
        <v>4626.37</v>
      </c>
      <c r="D37" s="17">
        <f t="shared" si="7"/>
        <v>1.9162439717802002</v>
      </c>
      <c r="E37" s="16">
        <f>SUMIFS(DONNEES_N1_NOUVEAU[MONTANT],DONNEES_N1_NOUVEAU[TL2],A37,DONNEES_N1_NOUVEAU[MOIS],DONNÉES!$C$5,DONNEES_N1_NOUVEAU[SOCIETE],"DIVES")</f>
        <v>5320.34</v>
      </c>
      <c r="F37" s="17">
        <f t="shared" si="7"/>
        <v>2.2927026172501312</v>
      </c>
      <c r="G37" s="16">
        <f t="shared" si="8"/>
        <v>-693.97000000000025</v>
      </c>
      <c r="H37" s="17">
        <f t="shared" si="9"/>
        <v>-13.043715251280938</v>
      </c>
    </row>
    <row r="38" spans="1:8" s="18" customFormat="1" x14ac:dyDescent="0.2">
      <c r="A38" s="13" t="s">
        <v>34</v>
      </c>
      <c r="B38" s="14" t="s">
        <v>28</v>
      </c>
      <c r="C38" s="23">
        <f>SUMIFS('BAL N DIVES'!$G:$G,'BAL N DIVES'!$I:$I,$A38,'BAL N DIVES'!$J:$J,"T")</f>
        <v>8534.9</v>
      </c>
      <c r="D38" s="17">
        <f t="shared" si="7"/>
        <v>3.5351583800575463</v>
      </c>
      <c r="E38" s="16">
        <f>SUMIFS(DONNEES_N1_NOUVEAU[MONTANT],DONNEES_N1_NOUVEAU[TL2],A38,DONNEES_N1_NOUVEAU[MOIS],DONNÉES!$C$5,DONNEES_N1_NOUVEAU[SOCIETE],"DIVES")</f>
        <v>9487.7999999999993</v>
      </c>
      <c r="F38" s="17">
        <f t="shared" si="7"/>
        <v>4.0885928139829026</v>
      </c>
      <c r="G38" s="16">
        <f t="shared" si="8"/>
        <v>-952.89999999999964</v>
      </c>
      <c r="H38" s="17">
        <f t="shared" si="9"/>
        <v>-10.043424186850478</v>
      </c>
    </row>
    <row r="39" spans="1:8" s="18" customFormat="1" x14ac:dyDescent="0.2">
      <c r="A39" s="13" t="s">
        <v>2978</v>
      </c>
      <c r="B39" s="14" t="s">
        <v>2980</v>
      </c>
      <c r="C39" s="23">
        <f>SUMIFS('BAL N DIVES'!$G:$G,'BAL N DIVES'!$I:$I,$A39,'BAL N DIVES'!$J:$J,"T")</f>
        <v>633.1</v>
      </c>
      <c r="D39" s="17">
        <f t="shared" si="7"/>
        <v>0.26223022770207416</v>
      </c>
      <c r="E39" s="16">
        <f>SUMIFS(DONNEES_N1_NOUVEAU[MONTANT],DONNEES_N1_NOUVEAU[TL2],A39,DONNEES_N1_NOUVEAU[MOIS],DONNÉES!$C$5,DONNEES_N1_NOUVEAU[SOCIETE],"DIVES")</f>
        <v>2205.36</v>
      </c>
      <c r="F39" s="17">
        <f t="shared" si="7"/>
        <v>0.95035930861162066</v>
      </c>
      <c r="G39" s="16">
        <f t="shared" si="8"/>
        <v>-1572.2600000000002</v>
      </c>
      <c r="H39" s="17">
        <f t="shared" si="9"/>
        <v>-71.292668770631565</v>
      </c>
    </row>
    <row r="40" spans="1:8" s="18" customFormat="1" x14ac:dyDescent="0.2">
      <c r="A40" s="13" t="s">
        <v>2979</v>
      </c>
      <c r="B40" s="14" t="s">
        <v>2981</v>
      </c>
      <c r="C40" s="23">
        <f>SUMIFS('BAL N DIVES'!$G:$G,'BAL N DIVES'!$I:$I,$A40,'BAL N DIVES'!$J:$J,"T")</f>
        <v>0</v>
      </c>
      <c r="D40" s="17">
        <f t="shared" si="7"/>
        <v>0</v>
      </c>
      <c r="E40" s="16">
        <f>SUMIFS(DONNEES_N1_NOUVEAU[MONTANT],DONNEES_N1_NOUVEAU[TL2],A40,DONNEES_N1_NOUVEAU[MOIS],DONNÉES!$C$5,DONNEES_N1_NOUVEAU[SOCIETE],"DIVES")</f>
        <v>440.22</v>
      </c>
      <c r="F40" s="17">
        <f t="shared" si="7"/>
        <v>0.18970470800096476</v>
      </c>
      <c r="G40" s="16">
        <f t="shared" si="8"/>
        <v>-440.22</v>
      </c>
      <c r="H40" s="17">
        <f t="shared" si="9"/>
        <v>-100</v>
      </c>
    </row>
    <row r="41" spans="1:8" s="18" customFormat="1" x14ac:dyDescent="0.2">
      <c r="A41" s="13" t="s">
        <v>2982</v>
      </c>
      <c r="B41" s="14" t="s">
        <v>2983</v>
      </c>
      <c r="C41" s="23">
        <f>SUMIFS('BAL N DIVES'!$G:$G,'BAL N DIVES'!$I:$I,$A41,'BAL N DIVES'!$J:$J,"T")</f>
        <v>580.19000000000005</v>
      </c>
      <c r="D41" s="17">
        <f t="shared" si="7"/>
        <v>0.24031488834381048</v>
      </c>
      <c r="E41" s="16">
        <f>SUMIFS(DONNEES_N1_NOUVEAU[MONTANT],DONNEES_N1_NOUVEAU[TL2],A41,DONNEES_N1_NOUVEAU[MOIS],DONNÉES!$C$5,DONNEES_N1_NOUVEAU[SOCIETE],"DIVES")</f>
        <v>906.98</v>
      </c>
      <c r="F41" s="17">
        <f t="shared" si="7"/>
        <v>0.39084634060859347</v>
      </c>
      <c r="G41" s="16">
        <f t="shared" si="8"/>
        <v>-326.78999999999996</v>
      </c>
      <c r="H41" s="17">
        <f t="shared" si="9"/>
        <v>-36.030562967209853</v>
      </c>
    </row>
    <row r="42" spans="1:8" ht="13.5" thickBot="1" x14ac:dyDescent="0.25">
      <c r="A42" s="13"/>
      <c r="B42" s="63" t="s">
        <v>2984</v>
      </c>
      <c r="C42" s="49">
        <f>+SUM(C35:C41)</f>
        <v>24298.129999999994</v>
      </c>
      <c r="D42" s="50">
        <f t="shared" si="7"/>
        <v>10.064293417524242</v>
      </c>
      <c r="E42" s="51">
        <f>+SUM(E35:E41)</f>
        <v>27634.31</v>
      </c>
      <c r="F42" s="50">
        <f t="shared" si="7"/>
        <v>11.908497363495844</v>
      </c>
      <c r="G42" s="51">
        <f>+SUM(G35:G41)</f>
        <v>-3336.1800000000003</v>
      </c>
      <c r="H42" s="50">
        <f t="shared" si="9"/>
        <v>-12.072601052821657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74556.140000000029</v>
      </c>
      <c r="D44" s="71">
        <f>(C44*100)/C$8</f>
        <v>30.881177647745577</v>
      </c>
      <c r="E44" s="72">
        <f>E18-E26-E33-E42</f>
        <v>66721.210000000021</v>
      </c>
      <c r="F44" s="71">
        <f>(E44*100)/E$8</f>
        <v>28.75227763509394</v>
      </c>
      <c r="G44" s="72">
        <f>G18-G26-G33-G42</f>
        <v>7834.9299999999912</v>
      </c>
      <c r="H44" s="71">
        <f>IF(E44=0,0,G44/E44*100)</f>
        <v>11.742787638293713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DIVES'!$G:$G,'BAL N DIVES'!$I:$I,$A46,'BAL N DIVES'!$J:$J,"T")</f>
        <v>31894.48</v>
      </c>
      <c r="D46" s="17">
        <f t="shared" ref="D46:F49" si="10">(C46*100)/C$8</f>
        <v>13.210704079670274</v>
      </c>
      <c r="E46" s="16">
        <f>SUMIFS(DONNEES_N1_NOUVEAU[MONTANT],DONNEES_N1_NOUVEAU[TL2],A46,DONNEES_N1_NOUVEAU[MOIS],DONNÉES!$C$5,DONNEES_N1_NOUVEAU[SOCIETE],"DIVES")</f>
        <v>30449.45</v>
      </c>
      <c r="F46" s="17">
        <f t="shared" si="10"/>
        <v>13.121630141838118</v>
      </c>
      <c r="G46" s="16">
        <f>+C46-E46</f>
        <v>1445.0299999999988</v>
      </c>
      <c r="H46" s="17">
        <f>IF(E46=0,0,G46/E46*100)</f>
        <v>4.7456686409770912</v>
      </c>
    </row>
    <row r="47" spans="1:8" s="18" customFormat="1" x14ac:dyDescent="0.2">
      <c r="A47" s="13" t="s">
        <v>35</v>
      </c>
      <c r="B47" s="14" t="s">
        <v>2986</v>
      </c>
      <c r="C47" s="23">
        <f>SUMIFS('BAL N DIVES'!$G:$G,'BAL N DIVES'!$I:$I,$A47,'BAL N DIVES'!$J:$J,"T")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SUMIFS(DONNEES_N1_NOUVEAU[MONTANT],DONNEES_N1_NOUVEAU[TL2],A47,DONNEES_N1_NOUVEAU[MOIS],DONNÉES!$C$5,DONNEES_N1_NOUVEAU[SOCIETE],"DIVES")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DIVES'!$G:$G,'BAL N DIVES'!$I:$I,$A48,'BAL N DIVES'!$J:$J,"T")</f>
        <v>-475.1</v>
      </c>
      <c r="D48" s="17">
        <f t="shared" si="10"/>
        <v>-0.19678657586677528</v>
      </c>
      <c r="E48" s="16">
        <f>SUMIFS(DONNEES_N1_NOUVEAU[MONTANT],DONNEES_N1_NOUVEAU[TL2],A48,DONNEES_N1_NOUVEAU[MOIS],DONNÉES!$C$5,DONNEES_N1_NOUVEAU[SOCIETE],"DIVES")</f>
        <v>-429.57</v>
      </c>
      <c r="F48" s="17">
        <f t="shared" si="10"/>
        <v>-0.18511528648397263</v>
      </c>
      <c r="G48" s="16">
        <f>+C48-E48</f>
        <v>-45.53000000000003</v>
      </c>
      <c r="H48" s="17">
        <f>IF(E48=0,0,G48/E48*100)</f>
        <v>10.598971064087351</v>
      </c>
    </row>
    <row r="49" spans="1:8" ht="13.5" thickBot="1" x14ac:dyDescent="0.25">
      <c r="A49" s="13"/>
      <c r="B49" s="63" t="s">
        <v>2988</v>
      </c>
      <c r="C49" s="49">
        <f>SUM(C46:C48)</f>
        <v>31419.38</v>
      </c>
      <c r="D49" s="50">
        <f t="shared" si="10"/>
        <v>13.013917503803498</v>
      </c>
      <c r="E49" s="51">
        <f>SUM(E46:E48)</f>
        <v>30019.88</v>
      </c>
      <c r="F49" s="50">
        <f t="shared" si="10"/>
        <v>12.936514855354146</v>
      </c>
      <c r="G49" s="51">
        <f>SUM(G46:G48)</f>
        <v>1399.4999999999989</v>
      </c>
      <c r="H49" s="50">
        <f>IF(E49=0,0,G49/E49*100)</f>
        <v>4.6619107071713772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DIVES'!$G:$G,'BAL N DIVES'!$I:$I,$A51,'BAL N DIVES'!$J:$J,"T")</f>
        <v>520</v>
      </c>
      <c r="D51" s="17">
        <f t="shared" ref="D51:F59" si="11">(C51*100)/C$8</f>
        <v>0.21538417059718615</v>
      </c>
      <c r="E51" s="16">
        <f>SUMIFS(DONNEES_N1_NOUVEAU[MONTANT],DONNEES_N1_NOUVEAU[TL2],A51,DONNEES_N1_NOUVEAU[MOIS],DONNÉES!$C$5,DONNEES_N1_NOUVEAU[SOCIETE],"DIVES")</f>
        <v>520</v>
      </c>
      <c r="F51" s="17">
        <f t="shared" si="11"/>
        <v>0.22408443087661095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DIVES'!$G:$G,'BAL N DIVES'!$I:$I,$A52,'BAL N DIVES'!$J:$J,"T")</f>
        <v>12266.49</v>
      </c>
      <c r="D52" s="17">
        <f t="shared" si="11"/>
        <v>5.0807841822859192</v>
      </c>
      <c r="E52" s="16">
        <f>SUMIFS(DONNEES_N1_NOUVEAU[MONTANT],DONNEES_N1_NOUVEAU[TL2],A52,DONNEES_N1_NOUVEAU[MOIS],DONNÉES!$C$5,DONNEES_N1_NOUVEAU[SOCIETE],"DIVES")</f>
        <v>11711.33</v>
      </c>
      <c r="F52" s="17">
        <f t="shared" si="11"/>
        <v>5.0467821497272691</v>
      </c>
      <c r="G52" s="16">
        <f t="shared" si="12"/>
        <v>555.15999999999985</v>
      </c>
      <c r="H52" s="17">
        <f t="shared" si="13"/>
        <v>4.7403668071858602</v>
      </c>
    </row>
    <row r="53" spans="1:8" s="18" customFormat="1" x14ac:dyDescent="0.2">
      <c r="A53" s="13" t="s">
        <v>44</v>
      </c>
      <c r="B53" s="14" t="s">
        <v>62</v>
      </c>
      <c r="C53" s="23">
        <f>SUMIFS('BAL N DIVES'!$G:$G,'BAL N DIVES'!$I:$I,$A53,'BAL N DIVES'!$J:$J,"T")</f>
        <v>1091.28</v>
      </c>
      <c r="D53" s="17">
        <f t="shared" si="11"/>
        <v>0.45200853401787944</v>
      </c>
      <c r="E53" s="16">
        <f>SUMIFS(DONNEES_N1_NOUVEAU[MONTANT],DONNEES_N1_NOUVEAU[TL2],A53,DONNEES_N1_NOUVEAU[MOIS],DONNÉES!$C$5,DONNEES_N1_NOUVEAU[SOCIETE],"DIVES")</f>
        <v>1006.5</v>
      </c>
      <c r="F53" s="17">
        <f t="shared" si="11"/>
        <v>0.43373265322559407</v>
      </c>
      <c r="G53" s="16">
        <f t="shared" si="12"/>
        <v>84.779999999999973</v>
      </c>
      <c r="H53" s="17">
        <f t="shared" si="13"/>
        <v>8.4232488822652734</v>
      </c>
    </row>
    <row r="54" spans="1:8" s="18" customFormat="1" x14ac:dyDescent="0.2">
      <c r="A54" s="13" t="s">
        <v>45</v>
      </c>
      <c r="B54" s="14" t="s">
        <v>41</v>
      </c>
      <c r="C54" s="23">
        <f>SUMIFS('BAL N DIVES'!$G:$G,'BAL N DIVES'!$I:$I,$A54,'BAL N DIVES'!$J:$J,"T")</f>
        <v>1400</v>
      </c>
      <c r="D54" s="17">
        <f t="shared" si="11"/>
        <v>0.57988045930011656</v>
      </c>
      <c r="E54" s="16">
        <f>SUMIFS(DONNEES_N1_NOUVEAU[MONTANT],DONNEES_N1_NOUVEAU[TL2],A54,DONNEES_N1_NOUVEAU[MOIS],DONNÉES!$C$5,DONNEES_N1_NOUVEAU[SOCIETE],"DIVES")</f>
        <v>1812.54</v>
      </c>
      <c r="F54" s="17">
        <f t="shared" si="11"/>
        <v>0.78108075834825463</v>
      </c>
      <c r="G54" s="16">
        <f t="shared" si="12"/>
        <v>-412.53999999999996</v>
      </c>
      <c r="H54" s="17">
        <f t="shared" si="13"/>
        <v>-22.760325289372922</v>
      </c>
    </row>
    <row r="55" spans="1:8" s="18" customFormat="1" x14ac:dyDescent="0.2">
      <c r="A55" s="13" t="s">
        <v>47</v>
      </c>
      <c r="B55" s="14" t="s">
        <v>43</v>
      </c>
      <c r="C55" s="23">
        <f>SUMIFS('BAL N DIVES'!$G:$G,'BAL N DIVES'!$I:$I,$A55,'BAL N DIVES'!$J:$J,"T")</f>
        <v>3007.32</v>
      </c>
      <c r="D55" s="17">
        <f t="shared" si="11"/>
        <v>1.245632930616019</v>
      </c>
      <c r="E55" s="16">
        <f>SUMIFS(DONNEES_N1_NOUVEAU[MONTANT],DONNEES_N1_NOUVEAU[TL2],A55,DONNEES_N1_NOUVEAU[MOIS],DONNÉES!$C$5,DONNEES_N1_NOUVEAU[SOCIETE],"DIVES")</f>
        <v>3450.96</v>
      </c>
      <c r="F55" s="17">
        <f t="shared" si="11"/>
        <v>1.4871277068806719</v>
      </c>
      <c r="G55" s="16">
        <f t="shared" si="12"/>
        <v>-443.63999999999987</v>
      </c>
      <c r="H55" s="17">
        <f t="shared" si="13"/>
        <v>-12.855553237360034</v>
      </c>
    </row>
    <row r="56" spans="1:8" s="18" customFormat="1" x14ac:dyDescent="0.2">
      <c r="A56" s="13" t="s">
        <v>48</v>
      </c>
      <c r="B56" s="14" t="s">
        <v>46</v>
      </c>
      <c r="C56" s="23">
        <f>SUMIFS('BAL N DIVES'!$G:$G,'BAL N DIVES'!$I:$I,$A56,'BAL N DIVES'!$J:$J,"T")</f>
        <v>10000</v>
      </c>
      <c r="D56" s="17">
        <f t="shared" si="11"/>
        <v>4.1420032807151186</v>
      </c>
      <c r="E56" s="16">
        <f>SUMIFS(DONNEES_N1_NOUVEAU[MONTANT],DONNEES_N1_NOUVEAU[TL2],A56,DONNEES_N1_NOUVEAU[MOIS],DONNÉES!$C$5,DONNEES_N1_NOUVEAU[SOCIETE],"DIVES")</f>
        <v>11000</v>
      </c>
      <c r="F56" s="17">
        <f t="shared" si="11"/>
        <v>4.7402475762360012</v>
      </c>
      <c r="G56" s="16">
        <f t="shared" si="12"/>
        <v>-1000</v>
      </c>
      <c r="H56" s="17">
        <f t="shared" si="13"/>
        <v>-9.0909090909090917</v>
      </c>
    </row>
    <row r="57" spans="1:8" s="18" customFormat="1" x14ac:dyDescent="0.2">
      <c r="A57" s="13" t="s">
        <v>50</v>
      </c>
      <c r="B57" s="14" t="s">
        <v>2990</v>
      </c>
      <c r="C57" s="23">
        <f>SUMIFS('BAL N DIVES'!$G:$G,'BAL N DIVES'!$I:$I,$A57,'BAL N DIVES'!$J:$J,"T")</f>
        <v>710.32</v>
      </c>
      <c r="D57" s="17">
        <f t="shared" si="11"/>
        <v>0.29421477703575627</v>
      </c>
      <c r="E57" s="16">
        <f>SUMIFS(DONNEES_N1_NOUVEAU[MONTANT],DONNEES_N1_NOUVEAU[TL2],A57,DONNEES_N1_NOUVEAU[MOIS],DONNÉES!$C$5,DONNEES_N1_NOUVEAU[SOCIETE],"DIVES")</f>
        <v>0</v>
      </c>
      <c r="F57" s="17">
        <f t="shared" si="11"/>
        <v>0</v>
      </c>
      <c r="G57" s="16">
        <f t="shared" si="12"/>
        <v>710.32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DIVES'!$G:$G,'BAL N DIVES'!$I:$I,$A58,'BAL N DIVES'!$J:$J,"T")</f>
        <v>429.62</v>
      </c>
      <c r="D58" s="17">
        <f t="shared" si="11"/>
        <v>0.17794874494608293</v>
      </c>
      <c r="E58" s="16">
        <f>SUMIFS(DONNEES_N1_NOUVEAU[MONTANT],DONNEES_N1_NOUVEAU[TL2],A58,DONNEES_N1_NOUVEAU[MOIS],DONNÉES!$C$5,DONNEES_N1_NOUVEAU[SOCIETE],"DIVES")</f>
        <v>4513.42</v>
      </c>
      <c r="F58" s="17">
        <f t="shared" si="11"/>
        <v>1.9449752923213719</v>
      </c>
      <c r="G58" s="16">
        <f t="shared" si="12"/>
        <v>-4083.8</v>
      </c>
      <c r="H58" s="17">
        <f t="shared" si="13"/>
        <v>-90.481275839607221</v>
      </c>
    </row>
    <row r="59" spans="1:8" ht="13.5" thickBot="1" x14ac:dyDescent="0.25">
      <c r="A59" s="13"/>
      <c r="B59" s="63" t="s">
        <v>2994</v>
      </c>
      <c r="C59" s="49">
        <f>SUM(C51:C58)</f>
        <v>29425.03</v>
      </c>
      <c r="D59" s="50">
        <f t="shared" si="11"/>
        <v>12.187857079514078</v>
      </c>
      <c r="E59" s="51">
        <f>SUM(E51:E58)</f>
        <v>34014.75</v>
      </c>
      <c r="F59" s="50">
        <f t="shared" si="11"/>
        <v>14.658030567615773</v>
      </c>
      <c r="G59" s="51">
        <f>SUM(G51:G58)</f>
        <v>-4589.72</v>
      </c>
      <c r="H59" s="50">
        <f t="shared" si="13"/>
        <v>-13.493322749689474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165195.21999999997</v>
      </c>
      <c r="D61" s="71">
        <f>(C61*100)/C$8</f>
        <v>68.423914319845565</v>
      </c>
      <c r="E61" s="72">
        <f>E59+E49+E42+E33+E26</f>
        <v>168673.38</v>
      </c>
      <c r="F61" s="71">
        <f>(E61*100)/E$8</f>
        <v>72.686689156412172</v>
      </c>
      <c r="G61" s="72">
        <f>G59+G49+G42+G33+G26</f>
        <v>-3478.1599999999989</v>
      </c>
      <c r="H61" s="71">
        <f>IF(E61=0,0,G61/E61*100)</f>
        <v>-2.0620681224269051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DIVES'!$G:$G,'BAL N DIVES'!$I:$I,$A63,'BAL N DIVES'!$J:$J,"T")</f>
        <v>3920.76</v>
      </c>
      <c r="D63" s="17">
        <f t="shared" ref="D63:F65" si="14">(C63*100)/C$8</f>
        <v>1.6239800782896607</v>
      </c>
      <c r="E63" s="16">
        <f>-SUMIFS(DONNEES_N1_NOUVEAU[MONTANT],DONNEES_N1_NOUVEAU[TL2],A63,DONNEES_N1_NOUVEAU[MOIS],DONNÉES!$C$5,DONNEES_N1_NOUVEAU[SOCIETE],"DIVES")</f>
        <v>2171.15</v>
      </c>
      <c r="F63" s="17">
        <f t="shared" si="14"/>
        <v>0.93561713864952667</v>
      </c>
      <c r="G63" s="16">
        <f>+C63-E63</f>
        <v>1749.6100000000001</v>
      </c>
      <c r="H63" s="17">
        <f>IF(E63=0,0,G63/E63*100)</f>
        <v>80.584482877737599</v>
      </c>
    </row>
    <row r="64" spans="1:8" s="18" customFormat="1" x14ac:dyDescent="0.2">
      <c r="A64" s="13" t="s">
        <v>2992</v>
      </c>
      <c r="B64" s="68" t="s">
        <v>65</v>
      </c>
      <c r="C64" s="23">
        <f>SUMIFS('BAL N DIVES'!$G:$G,'BAL N DIVES'!$I:$I,$A64,'BAL N DIVES'!$J:$J,"T")</f>
        <v>2547.63</v>
      </c>
      <c r="D64" s="17">
        <f t="shared" si="14"/>
        <v>1.0552291818048256</v>
      </c>
      <c r="E64" s="24">
        <f>SUMIFS(DONNEES_N1_NOUVEAU[MONTANT],DONNEES_N1_NOUVEAU[TL2],A64,DONNEES_N1_NOUVEAU[MOIS],DONNÉES!$C$5,DONNEES_N1_NOUVEAU[SOCIETE],"DIVES")</f>
        <v>2747.77</v>
      </c>
      <c r="F64" s="17">
        <f t="shared" si="14"/>
        <v>1.1841009165958178</v>
      </c>
      <c r="G64" s="16">
        <f>+C64-E64</f>
        <v>-200.13999999999987</v>
      </c>
      <c r="H64" s="17">
        <f>IF(E64=0,0,G64/E64*100)</f>
        <v>-7.2837246203284796</v>
      </c>
    </row>
    <row r="65" spans="1:9" s="59" customFormat="1" ht="13.5" x14ac:dyDescent="0.2">
      <c r="A65" s="13"/>
      <c r="B65" s="62" t="s">
        <v>53</v>
      </c>
      <c r="C65" s="67">
        <f>+C63-C64</f>
        <v>1373.13</v>
      </c>
      <c r="D65" s="56">
        <f t="shared" si="14"/>
        <v>0.56875089648483501</v>
      </c>
      <c r="E65" s="57">
        <f>+E63-E64</f>
        <v>-576.61999999999989</v>
      </c>
      <c r="F65" s="56">
        <f t="shared" si="14"/>
        <v>-0.24848377794629112</v>
      </c>
      <c r="G65" s="58">
        <f>+G63-G64</f>
        <v>1949.75</v>
      </c>
      <c r="H65" s="56">
        <f>IF(E65=0,0,G65/E65*100)</f>
        <v>-338.13429988553992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DIVES'!$G:$G,'BAL N DIVES'!$I:$I,$A67,'BAL N DIVES'!$J:$J,"T")</f>
        <v>-0.91</v>
      </c>
      <c r="D67" s="17">
        <f>(C67*100)/C$8</f>
        <v>-3.7692229854507578E-4</v>
      </c>
      <c r="E67" s="16">
        <f>-SUMIFS(DONNEES_N1_NOUVEAU[MONTANT],DONNEES_N1_NOUVEAU[TL2],A67,DONNEES_N1_NOUVEAU[MOIS],DONNÉES!$C$5,DONNEES_N1_NOUVEAU[SOCIETE],"DIVES")</f>
        <v>-16.37</v>
      </c>
      <c r="F67" s="17">
        <f>(E67*100)/E$8</f>
        <v>-7.0543502566348488E-3</v>
      </c>
      <c r="G67" s="16">
        <f>+C67-E67</f>
        <v>15.46</v>
      </c>
      <c r="H67" s="17">
        <f>IF(E67=0,0,G67/E67*100)</f>
        <v>-94.441050702504583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15083.950000000041</v>
      </c>
      <c r="D69" s="10">
        <f>(C69*100)/C$8</f>
        <v>6.2477770386142986</v>
      </c>
      <c r="E69" s="9">
        <f>E18-E61+E65+E67</f>
        <v>2093.5900000000165</v>
      </c>
      <c r="F69" s="10">
        <f>(E69*100)/E$8</f>
        <v>0.90219408392109157</v>
      </c>
      <c r="G69" s="9">
        <f>G18-G61+G65+G67</f>
        <v>12990.359999999991</v>
      </c>
      <c r="H69" s="10">
        <f>IF(E69=0,0,G69/E69*100)</f>
        <v>620.4825204552892</v>
      </c>
    </row>
    <row r="70" spans="1:9" ht="13.5" thickBot="1" x14ac:dyDescent="0.25">
      <c r="A70" s="13"/>
      <c r="B70" s="63" t="s">
        <v>3034</v>
      </c>
      <c r="C70" s="49">
        <f>+C69-C67+C57+C56</f>
        <v>25795.18000000004</v>
      </c>
      <c r="D70" s="50">
        <f>(C70*100)/C$8</f>
        <v>10.684372018663717</v>
      </c>
      <c r="E70" s="49">
        <f>+E69-E67+E57+E56</f>
        <v>13109.960000000017</v>
      </c>
      <c r="F70" s="50">
        <f>(E70*100)/E$8</f>
        <v>5.6494960104137277</v>
      </c>
      <c r="G70" s="49">
        <f>+G69-G67+G57+G56</f>
        <v>12685.219999999992</v>
      </c>
      <c r="H70" s="50">
        <f>IF(E70=0,0,G70/E70*100)</f>
        <v>96.760173181306243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DIVES'!$G:$G,'BAL N DIVES'!$I:$I,$A72,'BAL N DIVES'!$J:$J,"T")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-SUMIFS(DONNEES_N1_NOUVEAU[MONTANT],DONNEES_N1_NOUVEAU[TL2],A72,DONNEES_N1_NOUVEAU[MOIS],DONNÉES!$C$5,DONNEES_N1_NOUVEAU[SOCIETE],"DIVES")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DIVES'!$G:$G,'BAL N DIVES'!$I:$I,$A74,'BAL N DIVES'!$J:$J,"T")</f>
        <v>20020.330000000002</v>
      </c>
      <c r="D74" s="10">
        <f>(C74*100)/C$8</f>
        <v>8.2924272540999322</v>
      </c>
      <c r="E74" s="9">
        <f>SUMIFS(DONNEES_N1_NOUVEAU[MONTANT],DONNEES_N1_NOUVEAU[TL2],A74,DONNEES_N1_NOUVEAU[MOIS],DONNÉES!$C$5,DONNEES_N1_NOUVEAU[SOCIETE],"DIVES")</f>
        <v>18233.330000000002</v>
      </c>
      <c r="F74" s="10">
        <f>(E74*100)/E$8</f>
        <v>7.8573180308373791</v>
      </c>
      <c r="G74" s="9">
        <f>+C74-E74</f>
        <v>1787</v>
      </c>
      <c r="H74" s="10">
        <f>IF(E74=0,0,G74/E74*100)</f>
        <v>9.8007330531504664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-4936.379999999961</v>
      </c>
      <c r="D76" s="71">
        <f>(C76*100)/C$8</f>
        <v>-2.0446502154856336</v>
      </c>
      <c r="E76" s="72">
        <f>E69-E74+E72</f>
        <v>-16139.739999999985</v>
      </c>
      <c r="F76" s="71">
        <f>(E76*100)/E$8</f>
        <v>-6.955123946916288</v>
      </c>
      <c r="G76" s="72">
        <f>G69-G74+G72</f>
        <v>11203.359999999991</v>
      </c>
      <c r="H76" s="71">
        <f>IF(E76=0,0,G76/E76*100)</f>
        <v>-69.414748936476073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VLOOKUP(PARAMETRES!$C$2,TRANSDIVES[],2,FALSE)</f>
        <v>13437</v>
      </c>
      <c r="D78" s="324"/>
      <c r="E78" s="323">
        <f>VLOOKUP(PARAMETRES!$C$2,TRANSDIVES[],3,FALSE)</f>
        <v>12786</v>
      </c>
      <c r="F78" s="324"/>
      <c r="G78" s="325">
        <f>C78-E78</f>
        <v>651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VLOOKUP(PARAMETRES!$C$2,PMDIVES[],2,FALSE)</f>
        <v>18.260000000000002</v>
      </c>
      <c r="D80" s="316"/>
      <c r="E80" s="315">
        <f>VLOOKUP(PARAMETRES!$C$2,PMDIVES[],3,FALSE)</f>
        <v>18.32</v>
      </c>
      <c r="F80" s="316"/>
      <c r="G80" s="317">
        <f>(C80-E80)/E80</f>
        <v>-3.2751091703056069E-3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68 E70:E75" formula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571F-9FC3-4DB1-8001-90764D4F9CF0}">
  <sheetPr codeName="Feuil45"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8D94-81DB-4DC5-BF05-48419FB32493}">
  <sheetPr>
    <tabColor rgb="FFFFFF00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293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292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R314'!$G:$G,'BAL N R314'!$I:$I,$A8,'BAL N R314'!$J:$J,"T")</f>
        <v>318555.94</v>
      </c>
      <c r="D8" s="71">
        <f>(C8*100)/C$8</f>
        <v>100</v>
      </c>
      <c r="E8" s="72">
        <f>-SUMIFS(DONNEES_N1_NOUVEAU[MONTANT],DONNEES_N1_NOUVEAU[TL2],A8,DONNEES_N1_NOUVEAU[MOIS],DONNÉES!$C$5,DONNEES_N1_NOUVEAU[SOCIETE],"R314")</f>
        <v>360434.46</v>
      </c>
      <c r="F8" s="71">
        <f>(E8*100)/E$8</f>
        <v>100</v>
      </c>
      <c r="G8" s="72">
        <f>+C8-E8</f>
        <v>-41878.520000000019</v>
      </c>
      <c r="H8" s="71">
        <f>IF(E8=0,0,G8/E8*100)</f>
        <v>-11.618900146229086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R314'!$G:$G,'BAL N R314'!$I:$I,$A10,'BAL N R314'!$J:$J,"T")</f>
        <v>69062.44</v>
      </c>
      <c r="D10" s="17">
        <f t="shared" ref="D10:F16" si="0">(C10*100)/C$8</f>
        <v>21.679846873990169</v>
      </c>
      <c r="E10" s="16">
        <f>SUMIFS(DONNEES_N1_NOUVEAU[MONTANT],DONNEES_N1_NOUVEAU[TL2],A10,DONNEES_N1_NOUVEAU[MOIS],DONNÉES!$C$5,DONNEES_N1_NOUVEAU[SOCIETE],"R314")</f>
        <v>77642.289999999994</v>
      </c>
      <c r="F10" s="17">
        <f t="shared" si="0"/>
        <v>21.541306011639392</v>
      </c>
      <c r="G10" s="16">
        <f>+C10-E10</f>
        <v>-8579.8499999999913</v>
      </c>
      <c r="H10" s="17">
        <f t="shared" ref="H10:H16" si="1">IF(E10=0,0,G10/E10*100)</f>
        <v>-11.050485502166399</v>
      </c>
    </row>
    <row r="11" spans="1:8" s="18" customFormat="1" x14ac:dyDescent="0.2">
      <c r="A11" s="13" t="s">
        <v>124</v>
      </c>
      <c r="B11" s="14" t="s">
        <v>4</v>
      </c>
      <c r="C11" s="23">
        <f>SUMIFS('BAL N R314'!$G:$G,'BAL N R314'!$I:$I,$A11,'BAL N R314'!$J:$J,"T")</f>
        <v>1654.31</v>
      </c>
      <c r="D11" s="17">
        <f t="shared" si="0"/>
        <v>0.51931538303759139</v>
      </c>
      <c r="E11" s="16">
        <f>SUMIFS(DONNEES_N1_NOUVEAU[MONTANT],DONNEES_N1_NOUVEAU[TL2],A11,DONNEES_N1_NOUVEAU[MOIS],DONNÉES!$C$5,DONNEES_N1_NOUVEAU[SOCIETE],"R314")</f>
        <v>1865.61</v>
      </c>
      <c r="F11" s="17">
        <f t="shared" si="0"/>
        <v>0.51760034265314137</v>
      </c>
      <c r="G11" s="16">
        <f>+C11-E11</f>
        <v>-211.29999999999995</v>
      </c>
      <c r="H11" s="17">
        <f t="shared" si="1"/>
        <v>-11.32605421283119</v>
      </c>
    </row>
    <row r="12" spans="1:8" s="18" customFormat="1" x14ac:dyDescent="0.2">
      <c r="A12" s="13" t="s">
        <v>125</v>
      </c>
      <c r="B12" s="14" t="s">
        <v>2</v>
      </c>
      <c r="C12" s="23">
        <f>SUMIFS('BAL N R314'!$G:$G,'BAL N R314'!$I:$I,$A12,'BAL N R314'!$J:$J,"T")</f>
        <v>2347.48</v>
      </c>
      <c r="D12" s="17">
        <f t="shared" si="0"/>
        <v>0.73691295789367484</v>
      </c>
      <c r="E12" s="16">
        <f>SUMIFS(DONNEES_N1_NOUVEAU[MONTANT],DONNEES_N1_NOUVEAU[TL2],A12,DONNEES_N1_NOUVEAU[MOIS],DONNÉES!$C$5,DONNEES_N1_NOUVEAU[SOCIETE],"R314")</f>
        <v>1980.99</v>
      </c>
      <c r="F12" s="17">
        <f t="shared" si="0"/>
        <v>0.54961171026765865</v>
      </c>
      <c r="G12" s="16">
        <f>+C12-E12</f>
        <v>366.49</v>
      </c>
      <c r="H12" s="17">
        <f t="shared" si="1"/>
        <v>18.50034578670261</v>
      </c>
    </row>
    <row r="13" spans="1:8" s="59" customFormat="1" ht="13.5" x14ac:dyDescent="0.2">
      <c r="A13" s="60"/>
      <c r="B13" s="62" t="s">
        <v>6</v>
      </c>
      <c r="C13" s="55">
        <f>SUM(C10:C12)</f>
        <v>73064.23</v>
      </c>
      <c r="D13" s="56">
        <f t="shared" si="0"/>
        <v>22.936075214921434</v>
      </c>
      <c r="E13" s="55">
        <f>SUM(E10:E12)</f>
        <v>81488.89</v>
      </c>
      <c r="F13" s="56">
        <f t="shared" si="0"/>
        <v>22.608518064560197</v>
      </c>
      <c r="G13" s="55">
        <f>SUM(G10:G12)</f>
        <v>-8424.6599999999908</v>
      </c>
      <c r="H13" s="56">
        <f t="shared" si="1"/>
        <v>-10.338415457616358</v>
      </c>
    </row>
    <row r="14" spans="1:8" s="18" customFormat="1" x14ac:dyDescent="0.2">
      <c r="A14" s="13" t="s">
        <v>126</v>
      </c>
      <c r="B14" s="14" t="s">
        <v>8</v>
      </c>
      <c r="C14" s="23">
        <f>SUMIFS('BAL N R314'!$G:$G,'BAL N R314'!$I:$I,$A14,'BAL N R314'!$J:$J,"T")</f>
        <v>7841.94</v>
      </c>
      <c r="D14" s="17">
        <f t="shared" si="0"/>
        <v>2.461715201417999</v>
      </c>
      <c r="E14" s="16">
        <f>SUMIFS(DONNEES_N1_NOUVEAU[MONTANT],DONNEES_N1_NOUVEAU[TL2],A14,DONNEES_N1_NOUVEAU[MOIS],DONNÉES!$C$5,DONNEES_N1_NOUVEAU[SOCIETE],"R314")</f>
        <v>8207.69</v>
      </c>
      <c r="F14" s="17">
        <f t="shared" si="0"/>
        <v>2.2771657293811471</v>
      </c>
      <c r="G14" s="16">
        <f>+C14-E14</f>
        <v>-365.75000000000091</v>
      </c>
      <c r="H14" s="17">
        <f t="shared" si="1"/>
        <v>-4.4561868199213279</v>
      </c>
    </row>
    <row r="15" spans="1:8" s="18" customFormat="1" x14ac:dyDescent="0.2">
      <c r="A15" s="13" t="s">
        <v>2964</v>
      </c>
      <c r="B15" s="14" t="s">
        <v>2965</v>
      </c>
      <c r="C15" s="23">
        <f>SUMIFS('BAL N R314'!$G:$G,'BAL N R314'!$I:$I,$A15,'BAL N R314'!$J:$J,"T")</f>
        <v>223.94</v>
      </c>
      <c r="D15" s="17">
        <f t="shared" si="0"/>
        <v>7.0298485094956953E-2</v>
      </c>
      <c r="E15" s="16">
        <f>SUMIFS(DONNEES_N1_NOUVEAU[MONTANT],DONNEES_N1_NOUVEAU[TL2],A15,DONNEES_N1_NOUVEAU[MOIS],DONNÉES!$C$5,DONNEES_N1_NOUVEAU[SOCIETE],"R314")</f>
        <v>47.57</v>
      </c>
      <c r="F15" s="17">
        <f t="shared" si="0"/>
        <v>1.3197961149441703E-2</v>
      </c>
      <c r="G15" s="16">
        <f>+C15-E15</f>
        <v>176.37</v>
      </c>
      <c r="H15" s="17">
        <f t="shared" si="1"/>
        <v>370.75888164809754</v>
      </c>
    </row>
    <row r="16" spans="1:8" ht="13.5" thickBot="1" x14ac:dyDescent="0.25">
      <c r="A16" s="7"/>
      <c r="B16" s="63" t="s">
        <v>10</v>
      </c>
      <c r="C16" s="49">
        <f>+C13+SUM(C14:C15)</f>
        <v>81130.11</v>
      </c>
      <c r="D16" s="50">
        <f t="shared" si="0"/>
        <v>25.468088901434392</v>
      </c>
      <c r="E16" s="49">
        <f>+E13+SUM(E14:E15)</f>
        <v>89744.15</v>
      </c>
      <c r="F16" s="50">
        <f t="shared" si="0"/>
        <v>24.898881755090784</v>
      </c>
      <c r="G16" s="49">
        <f>+G13+SUM(G14:G15)</f>
        <v>-8614.0399999999918</v>
      </c>
      <c r="H16" s="50">
        <f t="shared" si="1"/>
        <v>-9.5984417925848007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237425.83000000002</v>
      </c>
      <c r="D18" s="71">
        <f>(C18*100)/C$8</f>
        <v>74.531911098565601</v>
      </c>
      <c r="E18" s="70">
        <f>E8-E16</f>
        <v>270690.31000000006</v>
      </c>
      <c r="F18" s="71">
        <f>(E18*100)/E$8</f>
        <v>75.10111824490923</v>
      </c>
      <c r="G18" s="70">
        <f>G8-G16</f>
        <v>-33264.480000000025</v>
      </c>
      <c r="H18" s="71">
        <f>IF(E18=0,0,G18/E18*100)</f>
        <v>-12.288759061970122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R314'!$G:$G,'BAL N R314'!$I:$I,$A20,'BAL N R314'!$J:$J,"T")</f>
        <v>46251.02</v>
      </c>
      <c r="D20" s="17">
        <f t="shared" ref="D20:F26" si="2">(C20*100)/C$8</f>
        <v>14.518963294170563</v>
      </c>
      <c r="E20" s="16">
        <f>SUMIFS(DONNEES_N1_NOUVEAU[MONTANT],DONNEES_N1_NOUVEAU[TL2],A20,DONNEES_N1_NOUVEAU[MOIS],DONNÉES!$C$5,DONNEES_N1_NOUVEAU[SOCIETE],"R314")</f>
        <v>48977.82</v>
      </c>
      <c r="F20" s="17">
        <f t="shared" si="2"/>
        <v>13.588550883841682</v>
      </c>
      <c r="G20" s="16">
        <f t="shared" ref="G20:G25" si="3">+C20-E20</f>
        <v>-2726.8000000000029</v>
      </c>
      <c r="H20" s="17">
        <f t="shared" ref="H20:H26" si="4">IF(E20=0,0,G20/E20*100)</f>
        <v>-5.5674180680152832</v>
      </c>
    </row>
    <row r="21" spans="1:8" s="18" customFormat="1" x14ac:dyDescent="0.2">
      <c r="A21" s="13">
        <v>9</v>
      </c>
      <c r="B21" s="14" t="s">
        <v>2968</v>
      </c>
      <c r="C21" s="23">
        <f>SUMIFS('BAL N R314'!$G:$G,'BAL N R314'!$I:$I,$A21,'BAL N R314'!$J:$J,"T")</f>
        <v>8299.73</v>
      </c>
      <c r="D21" s="17">
        <f t="shared" si="2"/>
        <v>2.6054230851887428</v>
      </c>
      <c r="E21" s="16">
        <f>SUMIFS(DONNEES_N1_NOUVEAU[MONTANT],DONNEES_N1_NOUVEAU[TL2],A21,DONNEES_N1_NOUVEAU[MOIS],DONNÉES!$C$5,DONNEES_N1_NOUVEAU[SOCIETE],"R314")</f>
        <v>5723.62</v>
      </c>
      <c r="F21" s="17">
        <f t="shared" si="2"/>
        <v>1.5879780196377449</v>
      </c>
      <c r="G21" s="16">
        <f t="shared" si="3"/>
        <v>2576.1099999999997</v>
      </c>
      <c r="H21" s="17">
        <f t="shared" si="4"/>
        <v>45.008403772437717</v>
      </c>
    </row>
    <row r="22" spans="1:8" s="18" customFormat="1" x14ac:dyDescent="0.2">
      <c r="A22" s="13" t="s">
        <v>12</v>
      </c>
      <c r="B22" s="14" t="s">
        <v>14</v>
      </c>
      <c r="C22" s="23">
        <f>SUMIFS('BAL N R314'!$G:$G,'BAL N R314'!$I:$I,$A22,'BAL N R314'!$J:$J,"T")</f>
        <v>19116.21</v>
      </c>
      <c r="D22" s="17">
        <f t="shared" si="2"/>
        <v>6.0008957924313071</v>
      </c>
      <c r="E22" s="16">
        <f>SUMIFS(DONNEES_N1_NOUVEAU[MONTANT],DONNEES_N1_NOUVEAU[TL2],A22,DONNEES_N1_NOUVEAU[MOIS],DONNÉES!$C$5,DONNEES_N1_NOUVEAU[SOCIETE],"R314")</f>
        <v>17075.28</v>
      </c>
      <c r="F22" s="17">
        <f t="shared" si="2"/>
        <v>4.7374160617161856</v>
      </c>
      <c r="G22" s="16">
        <f t="shared" si="3"/>
        <v>2040.9300000000003</v>
      </c>
      <c r="H22" s="17">
        <f t="shared" si="4"/>
        <v>11.952541920249626</v>
      </c>
    </row>
    <row r="23" spans="1:8" s="18" customFormat="1" x14ac:dyDescent="0.2">
      <c r="A23" s="13" t="s">
        <v>13</v>
      </c>
      <c r="B23" s="14" t="s">
        <v>2966</v>
      </c>
      <c r="C23" s="23">
        <f>SUMIFS('BAL N R314'!$G:$G,'BAL N R314'!$I:$I,$A23,'BAL N R314'!$J:$J,"T")</f>
        <v>4953.54</v>
      </c>
      <c r="D23" s="17">
        <f t="shared" si="2"/>
        <v>1.5549984721678711</v>
      </c>
      <c r="E23" s="16">
        <f>SUMIFS(DONNEES_N1_NOUVEAU[MONTANT],DONNEES_N1_NOUVEAU[TL2],A23,DONNEES_N1_NOUVEAU[MOIS],DONNÉES!$C$5,DONNEES_N1_NOUVEAU[SOCIETE],"R314")</f>
        <v>4031.72</v>
      </c>
      <c r="F23" s="17">
        <f t="shared" si="2"/>
        <v>1.1185722918946206</v>
      </c>
      <c r="G23" s="16">
        <f t="shared" si="3"/>
        <v>921.82000000000016</v>
      </c>
      <c r="H23" s="17">
        <f t="shared" si="4"/>
        <v>22.864186997112903</v>
      </c>
    </row>
    <row r="24" spans="1:8" s="18" customFormat="1" x14ac:dyDescent="0.2">
      <c r="A24" s="13" t="s">
        <v>15</v>
      </c>
      <c r="B24" s="14" t="s">
        <v>2969</v>
      </c>
      <c r="C24" s="23">
        <f>SUMIFS('BAL N R314'!$G:$G,'BAL N R314'!$I:$I,$A24,'BAL N R314'!$J:$J,"T")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SUMIFS(DONNEES_N1_NOUVEAU[MONTANT],DONNEES_N1_NOUVEAU[TL2],A24,DONNEES_N1_NOUVEAU[MOIS],DONNÉES!$C$5,DONNEES_N1_NOUVEAU[SOCIETE],"R314")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R314'!$G:$G,'BAL N R314'!$I:$I,$A25,'BAL N R314'!$J:$J,"T")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SUMIFS(DONNEES_N1_NOUVEAU[MONTANT],DONNEES_N1_NOUVEAU[TL2],A25,DONNEES_N1_NOUVEAU[MOIS],DONNÉES!$C$5,DONNEES_N1_NOUVEAU[SOCIETE],"R314")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78620.499999999985</v>
      </c>
      <c r="D26" s="50">
        <f t="shared" si="2"/>
        <v>24.680280643958476</v>
      </c>
      <c r="E26" s="51">
        <f>SUM(E20:E25)</f>
        <v>75808.44</v>
      </c>
      <c r="F26" s="50">
        <f t="shared" si="2"/>
        <v>21.032517257090234</v>
      </c>
      <c r="G26" s="51">
        <f>SUM(G20:G25)</f>
        <v>2812.0599999999972</v>
      </c>
      <c r="H26" s="50">
        <f t="shared" si="4"/>
        <v>3.7094286599222954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R314'!$G:$G,'BAL N R314'!$I:$I,$A28,'BAL N R314'!$J:$J,"T")</f>
        <v>7257</v>
      </c>
      <c r="D28" s="17">
        <f t="shared" ref="D28:F33" si="5">(C28*100)/C$8</f>
        <v>2.2780928209971534</v>
      </c>
      <c r="E28" s="16">
        <f>SUMIFS(DONNEES_N1_NOUVEAU[MONTANT],DONNEES_N1_NOUVEAU[TL2],A28,DONNEES_N1_NOUVEAU[MOIS],DONNÉES!$C$5,DONNEES_N1_NOUVEAU[SOCIETE],"R314")</f>
        <v>7577.01</v>
      </c>
      <c r="F28" s="17">
        <f t="shared" si="5"/>
        <v>2.1021880094372771</v>
      </c>
      <c r="G28" s="16">
        <f>+C28-E28</f>
        <v>-320.01000000000022</v>
      </c>
      <c r="H28" s="17">
        <f t="shared" ref="H28:H33" si="6">IF(E28=0,0,G28/E28*100)</f>
        <v>-4.2234337819271746</v>
      </c>
    </row>
    <row r="29" spans="1:8" s="18" customFormat="1" x14ac:dyDescent="0.2">
      <c r="A29" s="13" t="s">
        <v>20</v>
      </c>
      <c r="B29" s="14" t="s">
        <v>2972</v>
      </c>
      <c r="C29" s="23">
        <f>SUMIFS('BAL N R314'!$G:$G,'BAL N R314'!$I:$I,$A29,'BAL N R314'!$J:$J,"T")</f>
        <v>47.67</v>
      </c>
      <c r="D29" s="17">
        <f t="shared" si="5"/>
        <v>1.4964404681953191E-2</v>
      </c>
      <c r="E29" s="16">
        <f>SUMIFS(DONNEES_N1_NOUVEAU[MONTANT],DONNEES_N1_NOUVEAU[TL2],A29,DONNEES_N1_NOUVEAU[MOIS],DONNÉES!$C$5,DONNEES_N1_NOUVEAU[SOCIETE],"R314")</f>
        <v>550.11</v>
      </c>
      <c r="F29" s="17">
        <f t="shared" si="5"/>
        <v>0.15262414143198183</v>
      </c>
      <c r="G29" s="16">
        <f>+C29-E29</f>
        <v>-502.44</v>
      </c>
      <c r="H29" s="17">
        <f t="shared" si="6"/>
        <v>-91.334460380651137</v>
      </c>
    </row>
    <row r="30" spans="1:8" s="18" customFormat="1" x14ac:dyDescent="0.2">
      <c r="A30" s="13" t="s">
        <v>21</v>
      </c>
      <c r="B30" s="14" t="s">
        <v>2973</v>
      </c>
      <c r="C30" s="23">
        <f>SUMIFS('BAL N R314'!$G:$G,'BAL N R314'!$I:$I,$A30,'BAL N R314'!$J:$J,"T")</f>
        <v>2404.12</v>
      </c>
      <c r="D30" s="17">
        <f t="shared" si="5"/>
        <v>0.75469319454535988</v>
      </c>
      <c r="E30" s="16">
        <f>SUMIFS(DONNEES_N1_NOUVEAU[MONTANT],DONNEES_N1_NOUVEAU[TL2],A30,DONNEES_N1_NOUVEAU[MOIS],DONNÉES!$C$5,DONNEES_N1_NOUVEAU[SOCIETE],"R314")</f>
        <v>2472.0100000000002</v>
      </c>
      <c r="F30" s="17">
        <f t="shared" si="5"/>
        <v>0.68584174776185391</v>
      </c>
      <c r="G30" s="16">
        <f>+C30-E30</f>
        <v>-67.890000000000327</v>
      </c>
      <c r="H30" s="17">
        <f t="shared" si="6"/>
        <v>-2.7463481134785184</v>
      </c>
    </row>
    <row r="31" spans="1:8" s="18" customFormat="1" x14ac:dyDescent="0.2">
      <c r="A31" s="13" t="s">
        <v>23</v>
      </c>
      <c r="B31" s="14" t="s">
        <v>2974</v>
      </c>
      <c r="C31" s="23">
        <f>SUMIFS('BAL N R314'!$G:$G,'BAL N R314'!$I:$I,$A31,'BAL N R314'!$J:$J,"T")</f>
        <v>261.52999999999997</v>
      </c>
      <c r="D31" s="17">
        <f t="shared" si="5"/>
        <v>8.2098610372796685E-2</v>
      </c>
      <c r="E31" s="16">
        <f>SUMIFS(DONNEES_N1_NOUVEAU[MONTANT],DONNEES_N1_NOUVEAU[TL2],A31,DONNEES_N1_NOUVEAU[MOIS],DONNÉES!$C$5,DONNEES_N1_NOUVEAU[SOCIETE],"R314")</f>
        <v>2091.6999999999998</v>
      </c>
      <c r="F31" s="17">
        <f t="shared" si="5"/>
        <v>0.5803274193039144</v>
      </c>
      <c r="G31" s="16">
        <f>+C31-E31</f>
        <v>-1830.1699999999998</v>
      </c>
      <c r="H31" s="17">
        <f t="shared" si="6"/>
        <v>-87.496772959793461</v>
      </c>
    </row>
    <row r="32" spans="1:8" s="18" customFormat="1" x14ac:dyDescent="0.2">
      <c r="A32" s="13" t="s">
        <v>25</v>
      </c>
      <c r="B32" s="14" t="s">
        <v>2975</v>
      </c>
      <c r="C32" s="23">
        <f>SUMIFS('BAL N R314'!$G:$G,'BAL N R314'!$I:$I,$A32,'BAL N R314'!$J:$J,"T")</f>
        <v>8140.93</v>
      </c>
      <c r="D32" s="17">
        <f t="shared" si="5"/>
        <v>2.5555731279096539</v>
      </c>
      <c r="E32" s="16">
        <f>SUMIFS(DONNEES_N1_NOUVEAU[MONTANT],DONNEES_N1_NOUVEAU[TL2],A32,DONNEES_N1_NOUVEAU[MOIS],DONNÉES!$C$5,DONNEES_N1_NOUVEAU[SOCIETE],"R314")</f>
        <v>8876.19</v>
      </c>
      <c r="F32" s="17">
        <f t="shared" si="5"/>
        <v>2.4626363417082815</v>
      </c>
      <c r="G32" s="16">
        <f>+C32-E32</f>
        <v>-735.26000000000022</v>
      </c>
      <c r="H32" s="17">
        <f t="shared" si="6"/>
        <v>-8.2835090280852501</v>
      </c>
    </row>
    <row r="33" spans="1:8" ht="13.5" thickBot="1" x14ac:dyDescent="0.25">
      <c r="A33" s="7"/>
      <c r="B33" s="63" t="s">
        <v>2976</v>
      </c>
      <c r="C33" s="49">
        <f>SUM(C28:C32)</f>
        <v>18111.25</v>
      </c>
      <c r="D33" s="50">
        <f t="shared" si="5"/>
        <v>5.6854221585069169</v>
      </c>
      <c r="E33" s="51">
        <f>SUM(E28:E32)</f>
        <v>21567.020000000004</v>
      </c>
      <c r="F33" s="50">
        <f t="shared" si="5"/>
        <v>5.9836176596433104</v>
      </c>
      <c r="G33" s="51">
        <f>SUM(G28:G32)</f>
        <v>-3455.7700000000004</v>
      </c>
      <c r="H33" s="50">
        <f t="shared" si="6"/>
        <v>-16.02340054397872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R314'!$G:$G,'BAL N R314'!$I:$I,$A35,'BAL N R314'!$J:$J,"T")</f>
        <v>5112.33</v>
      </c>
      <c r="D35" s="17">
        <f t="shared" ref="D35:F42" si="7">(C35*100)/C$8</f>
        <v>1.6048452902808845</v>
      </c>
      <c r="E35" s="16">
        <f>SUMIFS(DONNEES_N1_NOUVEAU[MONTANT],DONNEES_N1_NOUVEAU[TL2],A35,DONNEES_N1_NOUVEAU[MOIS],DONNÉES!$C$5,DONNEES_N1_NOUVEAU[SOCIETE],"R314")</f>
        <v>2698.52</v>
      </c>
      <c r="F35" s="17">
        <f t="shared" si="7"/>
        <v>0.7486853504517853</v>
      </c>
      <c r="G35" s="16">
        <f t="shared" ref="G35:G41" si="8">+C35-E35</f>
        <v>2413.81</v>
      </c>
      <c r="H35" s="17">
        <f t="shared" ref="H35:H42" si="9">IF(E35=0,0,G35/E35*100)</f>
        <v>89.449401894371732</v>
      </c>
    </row>
    <row r="36" spans="1:8" s="18" customFormat="1" x14ac:dyDescent="0.2">
      <c r="A36" s="13" t="s">
        <v>30</v>
      </c>
      <c r="B36" s="14" t="s">
        <v>145</v>
      </c>
      <c r="C36" s="23">
        <f>SUMIFS('BAL N R314'!$G:$G,'BAL N R314'!$I:$I,$A36,'BAL N R314'!$J:$J,"T")</f>
        <v>12854.06</v>
      </c>
      <c r="D36" s="17">
        <f t="shared" si="7"/>
        <v>4.0351029084562038</v>
      </c>
      <c r="E36" s="16">
        <f>SUMIFS(DONNEES_N1_NOUVEAU[MONTANT],DONNEES_N1_NOUVEAU[TL2],A36,DONNEES_N1_NOUVEAU[MOIS],DONNÉES!$C$5,DONNEES_N1_NOUVEAU[SOCIETE],"R314")</f>
        <v>14424.79</v>
      </c>
      <c r="F36" s="17">
        <f t="shared" si="7"/>
        <v>4.0020562961710153</v>
      </c>
      <c r="G36" s="16">
        <f t="shared" si="8"/>
        <v>-1570.7300000000014</v>
      </c>
      <c r="H36" s="17">
        <f t="shared" si="9"/>
        <v>-10.889101331804493</v>
      </c>
    </row>
    <row r="37" spans="1:8" s="18" customFormat="1" x14ac:dyDescent="0.2">
      <c r="A37" s="13" t="s">
        <v>32</v>
      </c>
      <c r="B37" s="14" t="s">
        <v>19</v>
      </c>
      <c r="C37" s="23">
        <f>SUMIFS('BAL N R314'!$G:$G,'BAL N R314'!$I:$I,$A37,'BAL N R314'!$J:$J,"T")</f>
        <v>4801.78</v>
      </c>
      <c r="D37" s="17">
        <f t="shared" si="7"/>
        <v>1.5073584878059407</v>
      </c>
      <c r="E37" s="16">
        <f>SUMIFS(DONNEES_N1_NOUVEAU[MONTANT],DONNEES_N1_NOUVEAU[TL2],A37,DONNEES_N1_NOUVEAU[MOIS],DONNÉES!$C$5,DONNEES_N1_NOUVEAU[SOCIETE],"R314")</f>
        <v>4748.97</v>
      </c>
      <c r="F37" s="17">
        <f t="shared" si="7"/>
        <v>1.3175682480526418</v>
      </c>
      <c r="G37" s="16">
        <f t="shared" si="8"/>
        <v>52.809999999999491</v>
      </c>
      <c r="H37" s="17">
        <f t="shared" si="9"/>
        <v>1.1120306087425167</v>
      </c>
    </row>
    <row r="38" spans="1:8" s="18" customFormat="1" x14ac:dyDescent="0.2">
      <c r="A38" s="13" t="s">
        <v>34</v>
      </c>
      <c r="B38" s="14" t="s">
        <v>28</v>
      </c>
      <c r="C38" s="23">
        <f>SUMIFS('BAL N R314'!$G:$G,'BAL N R314'!$I:$I,$A38,'BAL N R314'!$J:$J,"T")</f>
        <v>10583</v>
      </c>
      <c r="D38" s="17">
        <f t="shared" si="7"/>
        <v>3.322179457711572</v>
      </c>
      <c r="E38" s="16">
        <f>SUMIFS(DONNEES_N1_NOUVEAU[MONTANT],DONNEES_N1_NOUVEAU[TL2],A38,DONNEES_N1_NOUVEAU[MOIS],DONNÉES!$C$5,DONNEES_N1_NOUVEAU[SOCIETE],"R314")</f>
        <v>12410.8</v>
      </c>
      <c r="F38" s="17">
        <f t="shared" si="7"/>
        <v>3.44328896854091</v>
      </c>
      <c r="G38" s="16">
        <f t="shared" si="8"/>
        <v>-1827.7999999999993</v>
      </c>
      <c r="H38" s="17">
        <f t="shared" si="9"/>
        <v>-14.727495407225961</v>
      </c>
    </row>
    <row r="39" spans="1:8" s="18" customFormat="1" x14ac:dyDescent="0.2">
      <c r="A39" s="13" t="s">
        <v>2978</v>
      </c>
      <c r="B39" s="14" t="s">
        <v>2980</v>
      </c>
      <c r="C39" s="23">
        <f>SUMIFS('BAL N R314'!$G:$G,'BAL N R314'!$I:$I,$A39,'BAL N R314'!$J:$J,"T")</f>
        <v>519.17999999999995</v>
      </c>
      <c r="D39" s="17">
        <f t="shared" si="7"/>
        <v>0.16297922430829573</v>
      </c>
      <c r="E39" s="16">
        <f>SUMIFS(DONNEES_N1_NOUVEAU[MONTANT],DONNEES_N1_NOUVEAU[TL2],A39,DONNEES_N1_NOUVEAU[MOIS],DONNÉES!$C$5,DONNEES_N1_NOUVEAU[SOCIETE],"R314")</f>
        <v>3228.94</v>
      </c>
      <c r="F39" s="17">
        <f t="shared" si="7"/>
        <v>0.8958466401908407</v>
      </c>
      <c r="G39" s="16">
        <f t="shared" si="8"/>
        <v>-2709.76</v>
      </c>
      <c r="H39" s="17">
        <f t="shared" si="9"/>
        <v>-83.921039102615723</v>
      </c>
    </row>
    <row r="40" spans="1:8" s="18" customFormat="1" x14ac:dyDescent="0.2">
      <c r="A40" s="13" t="s">
        <v>2979</v>
      </c>
      <c r="B40" s="14" t="s">
        <v>2981</v>
      </c>
      <c r="C40" s="23">
        <f>SUMIFS('BAL N R314'!$G:$G,'BAL N R314'!$I:$I,$A40,'BAL N R314'!$J:$J,"T")</f>
        <v>82</v>
      </c>
      <c r="D40" s="17">
        <f t="shared" si="7"/>
        <v>2.5741161819176878E-2</v>
      </c>
      <c r="E40" s="16">
        <f>SUMIFS(DONNEES_N1_NOUVEAU[MONTANT],DONNEES_N1_NOUVEAU[TL2],A40,DONNEES_N1_NOUVEAU[MOIS],DONNÉES!$C$5,DONNEES_N1_NOUVEAU[SOCIETE],"R314")</f>
        <v>52.96</v>
      </c>
      <c r="F40" s="17">
        <f t="shared" si="7"/>
        <v>1.4693378651974618E-2</v>
      </c>
      <c r="G40" s="16">
        <f t="shared" si="8"/>
        <v>29.04</v>
      </c>
      <c r="H40" s="17">
        <f t="shared" si="9"/>
        <v>54.833836858006038</v>
      </c>
    </row>
    <row r="41" spans="1:8" s="18" customFormat="1" x14ac:dyDescent="0.2">
      <c r="A41" s="13" t="s">
        <v>2982</v>
      </c>
      <c r="B41" s="14" t="s">
        <v>2983</v>
      </c>
      <c r="C41" s="23">
        <f>SUMIFS('BAL N R314'!$G:$G,'BAL N R314'!$I:$I,$A41,'BAL N R314'!$J:$J,"T")</f>
        <v>780.4</v>
      </c>
      <c r="D41" s="17">
        <f t="shared" si="7"/>
        <v>0.24498052053275163</v>
      </c>
      <c r="E41" s="16">
        <f>SUMIFS(DONNEES_N1_NOUVEAU[MONTANT],DONNEES_N1_NOUVEAU[TL2],A41,DONNEES_N1_NOUVEAU[MOIS],DONNÉES!$C$5,DONNEES_N1_NOUVEAU[SOCIETE],"R314")</f>
        <v>924.22</v>
      </c>
      <c r="F41" s="17">
        <f t="shared" si="7"/>
        <v>0.25641832359758276</v>
      </c>
      <c r="G41" s="16">
        <f t="shared" si="8"/>
        <v>-143.82000000000005</v>
      </c>
      <c r="H41" s="17">
        <f t="shared" si="9"/>
        <v>-15.561230010170743</v>
      </c>
    </row>
    <row r="42" spans="1:8" ht="13.5" thickBot="1" x14ac:dyDescent="0.25">
      <c r="A42" s="13"/>
      <c r="B42" s="63" t="s">
        <v>2984</v>
      </c>
      <c r="C42" s="49">
        <f>+SUM(C35:C41)</f>
        <v>34732.75</v>
      </c>
      <c r="D42" s="50">
        <f t="shared" si="7"/>
        <v>10.903187050914825</v>
      </c>
      <c r="E42" s="51">
        <f>+SUM(E35:E41)</f>
        <v>38489.200000000004</v>
      </c>
      <c r="F42" s="50">
        <f t="shared" si="7"/>
        <v>10.678557205656752</v>
      </c>
      <c r="G42" s="51">
        <f>+SUM(G35:G41)</f>
        <v>-3756.4500000000016</v>
      </c>
      <c r="H42" s="50">
        <f t="shared" si="9"/>
        <v>-9.7597507872338252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105961.33000000002</v>
      </c>
      <c r="D44" s="71">
        <f>(C44*100)/C$8</f>
        <v>33.263021245185385</v>
      </c>
      <c r="E44" s="72">
        <f>E18-E26-E33-E42</f>
        <v>134825.65000000002</v>
      </c>
      <c r="F44" s="71">
        <f>(E44*100)/E$8</f>
        <v>37.406426122518923</v>
      </c>
      <c r="G44" s="72">
        <f>G18-G26-G33-G42</f>
        <v>-28864.320000000022</v>
      </c>
      <c r="H44" s="71">
        <f>IF(E44=0,0,G44/E44*100)</f>
        <v>-21.408626622604835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R314'!$G:$G,'BAL N R314'!$I:$I,$A46,'BAL N R314'!$J:$J,"T")</f>
        <v>53454.080000000002</v>
      </c>
      <c r="D46" s="17">
        <f t="shared" ref="D46:F49" si="10">(C46*100)/C$8</f>
        <v>16.780123453356417</v>
      </c>
      <c r="E46" s="16">
        <f>SUMIFS(DONNEES_N1_NOUVEAU[MONTANT],DONNEES_N1_NOUVEAU[TL2],A46,DONNEES_N1_NOUVEAU[MOIS],DONNÉES!$C$5,DONNEES_N1_NOUVEAU[SOCIETE],"R314")</f>
        <v>60005.91</v>
      </c>
      <c r="F46" s="17">
        <f t="shared" si="10"/>
        <v>16.648216710466585</v>
      </c>
      <c r="G46" s="16">
        <f>+C46-E46</f>
        <v>-6551.8300000000017</v>
      </c>
      <c r="H46" s="17">
        <f>IF(E46=0,0,G46/E46*100)</f>
        <v>-10.918641180510388</v>
      </c>
    </row>
    <row r="47" spans="1:8" s="18" customFormat="1" x14ac:dyDescent="0.2">
      <c r="A47" s="13" t="s">
        <v>35</v>
      </c>
      <c r="B47" s="14" t="s">
        <v>2986</v>
      </c>
      <c r="C47" s="23">
        <f>SUMIFS('BAL N R314'!$G:$G,'BAL N R314'!$I:$I,$A47,'BAL N R314'!$J:$J,"T")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SUMIFS(DONNEES_N1_NOUVEAU[MONTANT],DONNEES_N1_NOUVEAU[TL2],A47,DONNEES_N1_NOUVEAU[MOIS],DONNÉES!$C$5,DONNEES_N1_NOUVEAU[SOCIETE],"R314")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R314'!$G:$G,'BAL N R314'!$I:$I,$A48,'BAL N R314'!$J:$J,"T")</f>
        <v>-561.09</v>
      </c>
      <c r="D48" s="17">
        <f t="shared" si="10"/>
        <v>-0.17613546933075552</v>
      </c>
      <c r="E48" s="16">
        <f>SUMIFS(DONNEES_N1_NOUVEAU[MONTANT],DONNEES_N1_NOUVEAU[TL2],A48,DONNEES_N1_NOUVEAU[MOIS],DONNÉES!$C$5,DONNEES_N1_NOUVEAU[SOCIETE],"R314")</f>
        <v>-833.8</v>
      </c>
      <c r="F48" s="17">
        <f t="shared" si="10"/>
        <v>-0.23133193202447955</v>
      </c>
      <c r="G48" s="16">
        <f>+C48-E48</f>
        <v>272.70999999999992</v>
      </c>
      <c r="H48" s="17">
        <f>IF(E48=0,0,G48/E48*100)</f>
        <v>-32.706884144878863</v>
      </c>
    </row>
    <row r="49" spans="1:8" ht="13.5" thickBot="1" x14ac:dyDescent="0.25">
      <c r="A49" s="13"/>
      <c r="B49" s="63" t="s">
        <v>2988</v>
      </c>
      <c r="C49" s="49">
        <f>SUM(C46:C48)</f>
        <v>52892.990000000005</v>
      </c>
      <c r="D49" s="50">
        <f t="shared" si="10"/>
        <v>16.603987984025665</v>
      </c>
      <c r="E49" s="51">
        <f>SUM(E46:E48)</f>
        <v>59172.11</v>
      </c>
      <c r="F49" s="50">
        <f t="shared" si="10"/>
        <v>16.416884778442103</v>
      </c>
      <c r="G49" s="51">
        <f>SUM(G46:G48)</f>
        <v>-6279.1200000000017</v>
      </c>
      <c r="H49" s="50">
        <f>IF(E49=0,0,G49/E49*100)</f>
        <v>-10.611620913974509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R314'!$G:$G,'BAL N R314'!$I:$I,$A51,'BAL N R314'!$J:$J,"T")</f>
        <v>349</v>
      </c>
      <c r="D51" s="17">
        <f t="shared" ref="D51:F59" si="11">(C51*100)/C$8</f>
        <v>0.1095568960352772</v>
      </c>
      <c r="E51" s="16">
        <f>SUMIFS(DONNEES_N1_NOUVEAU[MONTANT],DONNEES_N1_NOUVEAU[TL2],A51,DONNEES_N1_NOUVEAU[MOIS],DONNÉES!$C$5,DONNEES_N1_NOUVEAU[SOCIETE],"R314")</f>
        <v>350</v>
      </c>
      <c r="F51" s="17">
        <f t="shared" si="11"/>
        <v>9.7105032632007496E-2</v>
      </c>
      <c r="G51" s="16">
        <f t="shared" ref="G51:G58" si="12">+C51-E51</f>
        <v>-1</v>
      </c>
      <c r="H51" s="17">
        <f t="shared" ref="H51:H59" si="13">IF(E51=0,0,G51/E51*100)</f>
        <v>-0.2857142857142857</v>
      </c>
    </row>
    <row r="52" spans="1:8" s="18" customFormat="1" x14ac:dyDescent="0.2">
      <c r="A52" s="13" t="s">
        <v>42</v>
      </c>
      <c r="B52" s="14" t="s">
        <v>38</v>
      </c>
      <c r="C52" s="23">
        <f>SUMIFS('BAL N R314'!$G:$G,'BAL N R314'!$I:$I,$A52,'BAL N R314'!$J:$J,"T")</f>
        <v>16197.51</v>
      </c>
      <c r="D52" s="17">
        <f t="shared" si="11"/>
        <v>5.0846673899723855</v>
      </c>
      <c r="E52" s="16">
        <f>SUMIFS(DONNEES_N1_NOUVEAU[MONTANT],DONNEES_N1_NOUVEAU[TL2],A52,DONNEES_N1_NOUVEAU[MOIS],DONNÉES!$C$5,DONNEES_N1_NOUVEAU[SOCIETE],"R314")</f>
        <v>18183.61</v>
      </c>
      <c r="F52" s="17">
        <f t="shared" si="11"/>
        <v>5.0449144069077079</v>
      </c>
      <c r="G52" s="16">
        <f t="shared" si="12"/>
        <v>-1986.1000000000004</v>
      </c>
      <c r="H52" s="17">
        <f t="shared" si="13"/>
        <v>-10.922473590227685</v>
      </c>
    </row>
    <row r="53" spans="1:8" s="18" customFormat="1" x14ac:dyDescent="0.2">
      <c r="A53" s="13" t="s">
        <v>44</v>
      </c>
      <c r="B53" s="14" t="s">
        <v>62</v>
      </c>
      <c r="C53" s="23">
        <f>SUMIFS('BAL N R314'!$G:$G,'BAL N R314'!$I:$I,$A53,'BAL N R314'!$J:$J,"T")</f>
        <v>1590.68</v>
      </c>
      <c r="D53" s="17">
        <f t="shared" si="11"/>
        <v>0.4993408692991253</v>
      </c>
      <c r="E53" s="16">
        <f>SUMIFS(DONNEES_N1_NOUVEAU[MONTANT],DONNEES_N1_NOUVEAU[TL2],A53,DONNEES_N1_NOUVEAU[MOIS],DONNÉES!$C$5,DONNEES_N1_NOUVEAU[SOCIETE],"R314")</f>
        <v>1436</v>
      </c>
      <c r="F53" s="17">
        <f t="shared" si="11"/>
        <v>0.39840807674160789</v>
      </c>
      <c r="G53" s="16">
        <f t="shared" si="12"/>
        <v>154.68000000000006</v>
      </c>
      <c r="H53" s="17">
        <f t="shared" si="13"/>
        <v>10.771587743732596</v>
      </c>
    </row>
    <row r="54" spans="1:8" s="18" customFormat="1" x14ac:dyDescent="0.2">
      <c r="A54" s="13" t="s">
        <v>45</v>
      </c>
      <c r="B54" s="14" t="s">
        <v>41</v>
      </c>
      <c r="C54" s="23">
        <f>SUMIFS('BAL N R314'!$G:$G,'BAL N R314'!$I:$I,$A54,'BAL N R314'!$J:$J,"T")</f>
        <v>1966</v>
      </c>
      <c r="D54" s="17">
        <f t="shared" si="11"/>
        <v>0.61716005044514322</v>
      </c>
      <c r="E54" s="16">
        <f>SUMIFS(DONNEES_N1_NOUVEAU[MONTANT],DONNEES_N1_NOUVEAU[TL2],A54,DONNEES_N1_NOUVEAU[MOIS],DONNÉES!$C$5,DONNEES_N1_NOUVEAU[SOCIETE],"R314")</f>
        <v>1728.8</v>
      </c>
      <c r="F54" s="17">
        <f t="shared" si="11"/>
        <v>0.47964337261204154</v>
      </c>
      <c r="G54" s="16">
        <f t="shared" si="12"/>
        <v>237.20000000000005</v>
      </c>
      <c r="H54" s="17">
        <f t="shared" si="13"/>
        <v>13.720499768625638</v>
      </c>
    </row>
    <row r="55" spans="1:8" s="18" customFormat="1" x14ac:dyDescent="0.2">
      <c r="A55" s="13" t="s">
        <v>47</v>
      </c>
      <c r="B55" s="14" t="s">
        <v>43</v>
      </c>
      <c r="C55" s="23">
        <f>SUMIFS('BAL N R314'!$G:$G,'BAL N R314'!$I:$I,$A55,'BAL N R314'!$J:$J,"T")</f>
        <v>4549.05</v>
      </c>
      <c r="D55" s="17">
        <f t="shared" si="11"/>
        <v>1.4280223435795922</v>
      </c>
      <c r="E55" s="16">
        <f>SUMIFS(DONNEES_N1_NOUVEAU[MONTANT],DONNEES_N1_NOUVEAU[TL2],A55,DONNEES_N1_NOUVEAU[MOIS],DONNÉES!$C$5,DONNEES_N1_NOUVEAU[SOCIETE],"R314")</f>
        <v>4717.59</v>
      </c>
      <c r="F55" s="17">
        <f t="shared" si="11"/>
        <v>1.3088620882698063</v>
      </c>
      <c r="G55" s="16">
        <f t="shared" si="12"/>
        <v>-168.53999999999996</v>
      </c>
      <c r="H55" s="17">
        <f t="shared" si="13"/>
        <v>-3.5725868504893379</v>
      </c>
    </row>
    <row r="56" spans="1:8" s="18" customFormat="1" x14ac:dyDescent="0.2">
      <c r="A56" s="13" t="s">
        <v>48</v>
      </c>
      <c r="B56" s="14" t="s">
        <v>46</v>
      </c>
      <c r="C56" s="23">
        <f>SUMIFS('BAL N R314'!$G:$G,'BAL N R314'!$I:$I,$A56,'BAL N R314'!$J:$J,"T")</f>
        <v>17300</v>
      </c>
      <c r="D56" s="17">
        <f t="shared" si="11"/>
        <v>5.4307573106312192</v>
      </c>
      <c r="E56" s="16">
        <f>SUMIFS(DONNEES_N1_NOUVEAU[MONTANT],DONNEES_N1_NOUVEAU[TL2],A56,DONNEES_N1_NOUVEAU[MOIS],DONNÉES!$C$5,DONNEES_N1_NOUVEAU[SOCIETE],"R314")</f>
        <v>22504</v>
      </c>
      <c r="F56" s="17">
        <f t="shared" si="11"/>
        <v>6.2435761552877045</v>
      </c>
      <c r="G56" s="16">
        <f t="shared" si="12"/>
        <v>-5204</v>
      </c>
      <c r="H56" s="17">
        <f t="shared" si="13"/>
        <v>-23.124777817276929</v>
      </c>
    </row>
    <row r="57" spans="1:8" s="18" customFormat="1" x14ac:dyDescent="0.2">
      <c r="A57" s="13" t="s">
        <v>50</v>
      </c>
      <c r="B57" s="14" t="s">
        <v>2990</v>
      </c>
      <c r="C57" s="23">
        <f>SUMIFS('BAL N R314'!$G:$G,'BAL N R314'!$I:$I,$A57,'BAL N R314'!$J:$J,"T")</f>
        <v>321.35000000000002</v>
      </c>
      <c r="D57" s="17">
        <f t="shared" si="11"/>
        <v>0.10087710183649379</v>
      </c>
      <c r="E57" s="16">
        <f>SUMIFS(DONNEES_N1_NOUVEAU[MONTANT],DONNEES_N1_NOUVEAU[TL2],A57,DONNEES_N1_NOUVEAU[MOIS],DONNÉES!$C$5,DONNEES_N1_NOUVEAU[SOCIETE],"R314")</f>
        <v>0</v>
      </c>
      <c r="F57" s="17">
        <f t="shared" si="11"/>
        <v>0</v>
      </c>
      <c r="G57" s="16">
        <f t="shared" si="12"/>
        <v>321.35000000000002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R314'!$G:$G,'BAL N R314'!$I:$I,$A58,'BAL N R314'!$J:$J,"T")</f>
        <v>4048.89</v>
      </c>
      <c r="D58" s="17">
        <f t="shared" si="11"/>
        <v>1.2710138131469153</v>
      </c>
      <c r="E58" s="16">
        <f>SUMIFS(DONNEES_N1_NOUVEAU[MONTANT],DONNEES_N1_NOUVEAU[TL2],A58,DONNEES_N1_NOUVEAU[MOIS],DONNÉES!$C$5,DONNEES_N1_NOUVEAU[SOCIETE],"R314")</f>
        <v>4940.41</v>
      </c>
      <c r="F58" s="17">
        <f t="shared" si="11"/>
        <v>1.370681926472846</v>
      </c>
      <c r="G58" s="16">
        <f t="shared" si="12"/>
        <v>-891.52</v>
      </c>
      <c r="H58" s="17">
        <f t="shared" si="13"/>
        <v>-18.045465862145043</v>
      </c>
    </row>
    <row r="59" spans="1:8" ht="13.5" thickBot="1" x14ac:dyDescent="0.25">
      <c r="A59" s="13"/>
      <c r="B59" s="63" t="s">
        <v>2994</v>
      </c>
      <c r="C59" s="49">
        <f>SUM(C51:C58)</f>
        <v>46322.48</v>
      </c>
      <c r="D59" s="50">
        <f t="shared" si="11"/>
        <v>14.541395774946153</v>
      </c>
      <c r="E59" s="51">
        <f>SUM(E51:E58)</f>
        <v>53860.41</v>
      </c>
      <c r="F59" s="50">
        <f t="shared" si="11"/>
        <v>14.943191058923722</v>
      </c>
      <c r="G59" s="51">
        <f>SUM(G51:G58)</f>
        <v>-7537.93</v>
      </c>
      <c r="H59" s="50">
        <f t="shared" si="13"/>
        <v>-13.995307499515878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230679.96999999997</v>
      </c>
      <c r="D61" s="71">
        <f>(C61*100)/C$8</f>
        <v>72.414273612352034</v>
      </c>
      <c r="E61" s="72">
        <f>E59+E49+E42+E33+E26</f>
        <v>248897.18</v>
      </c>
      <c r="F61" s="71">
        <f>(E61*100)/E$8</f>
        <v>69.05476795975612</v>
      </c>
      <c r="G61" s="72">
        <f>G59+G49+G42+G33+G26</f>
        <v>-18217.210000000006</v>
      </c>
      <c r="H61" s="71">
        <f>IF(E61=0,0,G61/E61*100)</f>
        <v>-7.3191709122618454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R314'!$G:$G,'BAL N R314'!$I:$I,$A63,'BAL N R314'!$J:$J,"T")</f>
        <v>5735.69</v>
      </c>
      <c r="D63" s="17">
        <f t="shared" ref="D63:F65" si="14">(C63*100)/C$8</f>
        <v>1.8005283467638369</v>
      </c>
      <c r="E63" s="16">
        <f>-SUMIFS(DONNEES_N1_NOUVEAU[MONTANT],DONNEES_N1_NOUVEAU[TL2],A63,DONNEES_N1_NOUVEAU[MOIS],DONNÉES!$C$5,DONNEES_N1_NOUVEAU[SOCIETE],"R314")</f>
        <v>3237.69</v>
      </c>
      <c r="F63" s="17">
        <f t="shared" si="14"/>
        <v>0.89827426600664095</v>
      </c>
      <c r="G63" s="16">
        <f>+C63-E63</f>
        <v>2497.9999999999995</v>
      </c>
      <c r="H63" s="17">
        <f>IF(E63=0,0,G63/E63*100)</f>
        <v>77.153773214853786</v>
      </c>
    </row>
    <row r="64" spans="1:8" s="18" customFormat="1" x14ac:dyDescent="0.2">
      <c r="A64" s="13" t="s">
        <v>2992</v>
      </c>
      <c r="B64" s="68" t="s">
        <v>65</v>
      </c>
      <c r="C64" s="23">
        <f>SUMIFS('BAL N R314'!$G:$G,'BAL N R314'!$I:$I,$A64,'BAL N R314'!$J:$J,"T")</f>
        <v>1009.42</v>
      </c>
      <c r="D64" s="17">
        <f t="shared" si="14"/>
        <v>0.31687370199406734</v>
      </c>
      <c r="E64" s="24">
        <f>SUMIFS(DONNEES_N1_NOUVEAU[MONTANT],DONNEES_N1_NOUVEAU[TL2],A64,DONNEES_N1_NOUVEAU[MOIS],DONNÉES!$C$5,DONNEES_N1_NOUVEAU[SOCIETE],"R314")</f>
        <v>2779.32</v>
      </c>
      <c r="F64" s="17">
        <f t="shared" si="14"/>
        <v>0.77110274084226016</v>
      </c>
      <c r="G64" s="16">
        <f>+C64-E64</f>
        <v>-1769.9</v>
      </c>
      <c r="H64" s="17">
        <f>IF(E64=0,0,G64/E64*100)</f>
        <v>-63.681044284213407</v>
      </c>
    </row>
    <row r="65" spans="1:9" s="59" customFormat="1" ht="13.5" x14ac:dyDescent="0.2">
      <c r="A65" s="13"/>
      <c r="B65" s="62" t="s">
        <v>53</v>
      </c>
      <c r="C65" s="67">
        <f>+C63-C64</f>
        <v>4726.2699999999995</v>
      </c>
      <c r="D65" s="56">
        <f t="shared" si="14"/>
        <v>1.4836546447697694</v>
      </c>
      <c r="E65" s="57">
        <f>+E63-E64</f>
        <v>458.36999999999989</v>
      </c>
      <c r="F65" s="56">
        <f t="shared" si="14"/>
        <v>0.12717152516438074</v>
      </c>
      <c r="G65" s="58">
        <f>+G63-G64</f>
        <v>4267.8999999999996</v>
      </c>
      <c r="H65" s="56">
        <f>IF(E65=0,0,G65/E65*100)</f>
        <v>931.10369352270015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R314'!$G:$G,'BAL N R314'!$I:$I,$A67,'BAL N R314'!$J:$J,"T")</f>
        <v>-276.07</v>
      </c>
      <c r="D67" s="17">
        <f>(C67*100)/C$8</f>
        <v>-8.6662957846587327E-2</v>
      </c>
      <c r="E67" s="16">
        <f>-SUMIFS(DONNEES_N1_NOUVEAU[MONTANT],DONNEES_N1_NOUVEAU[TL2],A67,DONNEES_N1_NOUVEAU[MOIS],DONNÉES!$C$5,DONNEES_N1_NOUVEAU[SOCIETE],"R314")</f>
        <v>-406.58</v>
      </c>
      <c r="F67" s="17">
        <f>(E67*100)/E$8</f>
        <v>-0.11280275476434744</v>
      </c>
      <c r="G67" s="16">
        <f>+C67-E67</f>
        <v>130.51</v>
      </c>
      <c r="H67" s="17">
        <f>IF(E67=0,0,G67/E67*100)</f>
        <v>-32.099463820158391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11196.060000000045</v>
      </c>
      <c r="D69" s="10">
        <f>(C69*100)/C$8</f>
        <v>3.5146291731367634</v>
      </c>
      <c r="E69" s="9">
        <f>E18-E61+E65+E67</f>
        <v>21844.92000000006</v>
      </c>
      <c r="F69" s="10">
        <f>(E69*100)/E$8</f>
        <v>6.0607190555531396</v>
      </c>
      <c r="G69" s="9">
        <f>G18-G61+G65+G67</f>
        <v>-10648.860000000019</v>
      </c>
      <c r="H69" s="10">
        <f>IF(E69=0,0,G69/E69*100)</f>
        <v>-48.74753489598492</v>
      </c>
    </row>
    <row r="70" spans="1:9" ht="13.5" thickBot="1" x14ac:dyDescent="0.25">
      <c r="A70" s="13"/>
      <c r="B70" s="63" t="s">
        <v>3034</v>
      </c>
      <c r="C70" s="49">
        <f>+C69-C67+C57+C56</f>
        <v>29093.480000000047</v>
      </c>
      <c r="D70" s="50">
        <f>(C70*100)/C$8</f>
        <v>9.1329265434510649</v>
      </c>
      <c r="E70" s="49">
        <f>+E69-E67+E57+E56</f>
        <v>44755.500000000058</v>
      </c>
      <c r="F70" s="50">
        <f>(E70*100)/E$8</f>
        <v>12.417097965605191</v>
      </c>
      <c r="G70" s="49">
        <f>+G69-G67+G57+G56</f>
        <v>-15662.020000000019</v>
      </c>
      <c r="H70" s="50">
        <f>IF(E70=0,0,G70/E70*100)</f>
        <v>-34.994626358771541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R314'!$G:$G,'BAL N R314'!$I:$I,$A72,'BAL N R314'!$J:$J,"T")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-SUMIFS(DONNEES_N1_NOUVEAU[MONTANT],DONNEES_N1_NOUVEAU[TL2],A72,DONNEES_N1_NOUVEAU[MOIS],DONNÉES!$C$5,DONNEES_N1_NOUVEAU[SOCIETE],"R314")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R314'!$G:$G,'BAL N R314'!$I:$I,$A74,'BAL N R314'!$J:$J,"T")</f>
        <v>28052.33</v>
      </c>
      <c r="D74" s="10">
        <f>(C74*100)/C$8</f>
        <v>8.8060922674993911</v>
      </c>
      <c r="E74" s="9">
        <f>SUMIFS(DONNEES_N1_NOUVEAU[MONTANT],DONNEES_N1_NOUVEAU[TL2],A74,DONNEES_N1_NOUVEAU[MOIS],DONNÉES!$C$5,DONNEES_N1_NOUVEAU[SOCIETE],"R314")</f>
        <v>25533.33</v>
      </c>
      <c r="F74" s="10">
        <f>(E74*100)/E$8</f>
        <v>7.084042408153759</v>
      </c>
      <c r="G74" s="9">
        <f>+C74-E74</f>
        <v>2519</v>
      </c>
      <c r="H74" s="10">
        <f>IF(E74=0,0,G74/E74*100)</f>
        <v>9.8655365359708256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-16856.269999999957</v>
      </c>
      <c r="D76" s="71">
        <f>(C76*100)/C$8</f>
        <v>-5.2914630943626273</v>
      </c>
      <c r="E76" s="70">
        <f>E69-E74+E72</f>
        <v>-3688.4099999999416</v>
      </c>
      <c r="F76" s="71">
        <f>(E76*100)/E$8</f>
        <v>-1.0233233526006202</v>
      </c>
      <c r="G76" s="72">
        <f>G69-G74+G72</f>
        <v>-13167.860000000019</v>
      </c>
      <c r="H76" s="71">
        <f>IF(E76=0,0,G76/E76*100)</f>
        <v>357.00640655459199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VLOOKUP(PARAMETRES!$C$2,TRANSR314[],2,FALSE)</f>
        <v>20186</v>
      </c>
      <c r="D78" s="324"/>
      <c r="E78" s="323">
        <f>VLOOKUP(PARAMETRES!$C$2,TRANSR314[],3,FALSE)</f>
        <v>21787</v>
      </c>
      <c r="F78" s="324"/>
      <c r="G78" s="325">
        <f>C78-E78</f>
        <v>-1601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VLOOKUP(PARAMETRES!$C$2,PMCR314[],2,FALSE)</f>
        <v>16.05</v>
      </c>
      <c r="D80" s="316"/>
      <c r="E80" s="315">
        <f>VLOOKUP(PARAMETRES!$C$2,PMCR314[],3,FALSE)</f>
        <v>17.95</v>
      </c>
      <c r="F80" s="316"/>
      <c r="G80" s="317">
        <f>(C80-E80)/E80</f>
        <v>-0.10584958217270188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A5:A6"/>
    <mergeCell ref="C77:D77"/>
    <mergeCell ref="E77:F77"/>
    <mergeCell ref="G77:H77"/>
    <mergeCell ref="C78:D78"/>
    <mergeCell ref="E78:F78"/>
    <mergeCell ref="G78:H78"/>
    <mergeCell ref="B3:H3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1 E73:E75" formula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38FA3-F437-4512-BA26-7EF4F7D40934}">
  <sheetPr codeName="Feuil47"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K35" sqref="K35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03FE-F4B8-43EA-A15E-51D6ED79A994}">
  <sheetPr>
    <tabColor rgb="FFFFFF00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295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LYSE'!$G:$G,'BAL N LYSE'!$I:$I,$A8,'BAL N LYSE'!$J:$J,"T")</f>
        <v>379222.46</v>
      </c>
      <c r="D8" s="71">
        <f>(C8*100)/C$8</f>
        <v>100</v>
      </c>
      <c r="E8" s="72">
        <f>-SUMIFS(DONNEES_N1_NOUVEAU[MONTANT],DONNEES_N1_NOUVEAU[TL2],A8,DONNEES_N1_NOUVEAU[MOIS],DONNÉES!$C$5,DONNEES_N1_NOUVEAU[SOCIETE],"LYSE")</f>
        <v>316396.07</v>
      </c>
      <c r="F8" s="71">
        <f>(E8*100)/E$8</f>
        <v>100</v>
      </c>
      <c r="G8" s="72">
        <f>+C8-E8</f>
        <v>62826.390000000014</v>
      </c>
      <c r="H8" s="71">
        <f>IF(E8=0,0,G8/E8*100)</f>
        <v>19.856880649623747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LYSE'!$G:$G,'BAL N LYSE'!$I:$I,$A10,'BAL N LYSE'!$J:$J,"T")</f>
        <v>83826.460000000006</v>
      </c>
      <c r="D10" s="17">
        <f t="shared" ref="D10:F16" si="0">(C10*100)/C$8</f>
        <v>22.104824698410532</v>
      </c>
      <c r="E10" s="16">
        <f>SUMIFS(DONNEES_N1_NOUVEAU[MONTANT],DONNEES_N1_NOUVEAU[TL2],A10,DONNEES_N1_NOUVEAU[MOIS],DONNÉES!$C$5,DONNEES_N1_NOUVEAU[SOCIETE],"LYSE")</f>
        <v>70289.440000000002</v>
      </c>
      <c r="F10" s="17">
        <f t="shared" si="0"/>
        <v>22.215648885904304</v>
      </c>
      <c r="G10" s="16">
        <f>+C10-E10</f>
        <v>13537.020000000004</v>
      </c>
      <c r="H10" s="17">
        <f t="shared" ref="H10:H16" si="1">IF(E10=0,0,G10/E10*100)</f>
        <v>19.258966923054167</v>
      </c>
    </row>
    <row r="11" spans="1:8" s="18" customFormat="1" x14ac:dyDescent="0.2">
      <c r="A11" s="13" t="s">
        <v>124</v>
      </c>
      <c r="B11" s="14" t="s">
        <v>4</v>
      </c>
      <c r="C11" s="23">
        <f>SUMIFS('BAL N LYSE'!$G:$G,'BAL N LYSE'!$I:$I,$A11,'BAL N LYSE'!$J:$J,"T")</f>
        <v>1513.63</v>
      </c>
      <c r="D11" s="17">
        <f t="shared" si="0"/>
        <v>0.39914038846749739</v>
      </c>
      <c r="E11" s="16">
        <f>SUMIFS(DONNEES_N1_NOUVEAU[MONTANT],DONNEES_N1_NOUVEAU[TL2],A11,DONNEES_N1_NOUVEAU[MOIS],DONNÉES!$C$5,DONNEES_N1_NOUVEAU[SOCIETE],"LYSE")</f>
        <v>1966.73</v>
      </c>
      <c r="F11" s="17">
        <f t="shared" si="0"/>
        <v>0.62160380184241859</v>
      </c>
      <c r="G11" s="16">
        <f>+C11-E11</f>
        <v>-453.09999999999991</v>
      </c>
      <c r="H11" s="17">
        <f t="shared" si="1"/>
        <v>-23.038241141386965</v>
      </c>
    </row>
    <row r="12" spans="1:8" s="18" customFormat="1" x14ac:dyDescent="0.2">
      <c r="A12" s="13" t="s">
        <v>125</v>
      </c>
      <c r="B12" s="14" t="s">
        <v>2</v>
      </c>
      <c r="C12" s="23">
        <f>SUMIFS('BAL N LYSE'!$G:$G,'BAL N LYSE'!$I:$I,$A12,'BAL N LYSE'!$J:$J,"T")</f>
        <v>2800.7</v>
      </c>
      <c r="D12" s="17">
        <f t="shared" si="0"/>
        <v>0.73853748008490838</v>
      </c>
      <c r="E12" s="16">
        <f>SUMIFS(DONNEES_N1_NOUVEAU[MONTANT],DONNEES_N1_NOUVEAU[TL2],A12,DONNEES_N1_NOUVEAU[MOIS],DONNÉES!$C$5,DONNEES_N1_NOUVEAU[SOCIETE],"LYSE")</f>
        <v>1924.48</v>
      </c>
      <c r="F12" s="17">
        <f t="shared" si="0"/>
        <v>0.60825028578894802</v>
      </c>
      <c r="G12" s="16">
        <f>+C12-E12</f>
        <v>876.2199999999998</v>
      </c>
      <c r="H12" s="17">
        <f t="shared" si="1"/>
        <v>45.530221150648472</v>
      </c>
    </row>
    <row r="13" spans="1:8" s="59" customFormat="1" ht="13.5" x14ac:dyDescent="0.2">
      <c r="A13" s="60"/>
      <c r="B13" s="62" t="s">
        <v>6</v>
      </c>
      <c r="C13" s="55">
        <f>SUM(C10:C12)</f>
        <v>88140.790000000008</v>
      </c>
      <c r="D13" s="56">
        <f t="shared" si="0"/>
        <v>23.242502566962937</v>
      </c>
      <c r="E13" s="55">
        <f>SUM(E10:E12)</f>
        <v>74180.649999999994</v>
      </c>
      <c r="F13" s="56">
        <f t="shared" si="0"/>
        <v>23.445502973535667</v>
      </c>
      <c r="G13" s="55">
        <f>SUM(G10:G12)</f>
        <v>13960.140000000003</v>
      </c>
      <c r="H13" s="56">
        <f t="shared" si="1"/>
        <v>18.819112531367686</v>
      </c>
    </row>
    <row r="14" spans="1:8" s="18" customFormat="1" x14ac:dyDescent="0.2">
      <c r="A14" s="13" t="s">
        <v>126</v>
      </c>
      <c r="B14" s="14" t="s">
        <v>8</v>
      </c>
      <c r="C14" s="23">
        <f>SUMIFS('BAL N LYSE'!$G:$G,'BAL N LYSE'!$I:$I,$A14,'BAL N LYSE'!$J:$J,"T")</f>
        <v>9133.39</v>
      </c>
      <c r="D14" s="17">
        <f t="shared" si="0"/>
        <v>2.4084517567867683</v>
      </c>
      <c r="E14" s="16">
        <f>SUMIFS(DONNEES_N1_NOUVEAU[MONTANT],DONNEES_N1_NOUVEAU[TL2],A14,DONNEES_N1_NOUVEAU[MOIS],DONNÉES!$C$5,DONNEES_N1_NOUVEAU[SOCIETE],"LYSE")</f>
        <v>7191.63</v>
      </c>
      <c r="F14" s="17">
        <f t="shared" si="0"/>
        <v>2.2729833527957539</v>
      </c>
      <c r="G14" s="16">
        <f>+C14-E14</f>
        <v>1941.7599999999993</v>
      </c>
      <c r="H14" s="17">
        <f t="shared" si="1"/>
        <v>27.000276710564915</v>
      </c>
    </row>
    <row r="15" spans="1:8" s="18" customFormat="1" x14ac:dyDescent="0.2">
      <c r="A15" s="13" t="s">
        <v>2964</v>
      </c>
      <c r="B15" s="14" t="s">
        <v>2965</v>
      </c>
      <c r="C15" s="23">
        <f>SUMIFS('BAL N LYSE'!$G:$G,'BAL N LYSE'!$I:$I,$A15,'BAL N LYSE'!$J:$J,"T")</f>
        <v>285.94</v>
      </c>
      <c r="D15" s="17">
        <f t="shared" si="0"/>
        <v>7.5401652106787134E-2</v>
      </c>
      <c r="E15" s="16">
        <f>SUMIFS(DONNEES_N1_NOUVEAU[MONTANT],DONNEES_N1_NOUVEAU[TL2],A15,DONNEES_N1_NOUVEAU[MOIS],DONNÉES!$C$5,DONNEES_N1_NOUVEAU[SOCIETE],"LYSE")</f>
        <v>233.14</v>
      </c>
      <c r="F15" s="17">
        <f t="shared" si="0"/>
        <v>7.3686123851032667E-2</v>
      </c>
      <c r="G15" s="16">
        <f>+C15-E15</f>
        <v>52.800000000000011</v>
      </c>
      <c r="H15" s="17">
        <f t="shared" si="1"/>
        <v>22.647336364416237</v>
      </c>
    </row>
    <row r="16" spans="1:8" ht="13.5" thickBot="1" x14ac:dyDescent="0.25">
      <c r="A16" s="7"/>
      <c r="B16" s="63" t="s">
        <v>10</v>
      </c>
      <c r="C16" s="49">
        <f>+C13+SUM(C14:C15)</f>
        <v>97560.12000000001</v>
      </c>
      <c r="D16" s="50">
        <f t="shared" si="0"/>
        <v>25.726355975856496</v>
      </c>
      <c r="E16" s="49">
        <f>+E13+SUM(E14:E15)</f>
        <v>81605.42</v>
      </c>
      <c r="F16" s="50">
        <f t="shared" si="0"/>
        <v>25.792172450182456</v>
      </c>
      <c r="G16" s="49">
        <f>+G13+SUM(G14:G15)</f>
        <v>15954.700000000003</v>
      </c>
      <c r="H16" s="50">
        <f t="shared" si="1"/>
        <v>19.551029821303541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281662.34000000003</v>
      </c>
      <c r="D18" s="71">
        <f>(C18*100)/C$8</f>
        <v>74.273644024143508</v>
      </c>
      <c r="E18" s="70">
        <f>E8-E16</f>
        <v>234790.65000000002</v>
      </c>
      <c r="F18" s="71">
        <f>(E18*100)/E$8</f>
        <v>74.207827549817551</v>
      </c>
      <c r="G18" s="70">
        <f>G8-G16</f>
        <v>46871.69000000001</v>
      </c>
      <c r="H18" s="71">
        <f>IF(E18=0,0,G18/E18*100)</f>
        <v>19.963184223903298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LYSE'!$G:$G,'BAL N LYSE'!$I:$I,$A20,'BAL N LYSE'!$J:$J,"T")</f>
        <v>56758.27</v>
      </c>
      <c r="D20" s="17">
        <f t="shared" ref="D20:F26" si="2">(C20*100)/C$8</f>
        <v>14.967011711278914</v>
      </c>
      <c r="E20" s="16">
        <f>SUMIFS(DONNEES_N1_NOUVEAU[MONTANT],DONNEES_N1_NOUVEAU[TL2],A20,DONNEES_N1_NOUVEAU[MOIS],DONNÉES!$C$5,DONNEES_N1_NOUVEAU[SOCIETE],"LYSE")</f>
        <v>63548.7</v>
      </c>
      <c r="F20" s="17">
        <f t="shared" si="2"/>
        <v>20.085173624312084</v>
      </c>
      <c r="G20" s="16">
        <f t="shared" ref="G20:G25" si="3">+C20-E20</f>
        <v>-6790.43</v>
      </c>
      <c r="H20" s="17">
        <f t="shared" ref="H20:H26" si="4">IF(E20=0,0,G20/E20*100)</f>
        <v>-10.685395609981008</v>
      </c>
    </row>
    <row r="21" spans="1:8" s="18" customFormat="1" x14ac:dyDescent="0.2">
      <c r="A21" s="13">
        <v>9</v>
      </c>
      <c r="B21" s="14" t="s">
        <v>2968</v>
      </c>
      <c r="C21" s="23">
        <f>SUMIFS('BAL N LYSE'!$G:$G,'BAL N LYSE'!$I:$I,$A21,'BAL N LYSE'!$J:$J,"T")</f>
        <v>8575.49</v>
      </c>
      <c r="D21" s="17">
        <f t="shared" si="2"/>
        <v>2.2613349430832761</v>
      </c>
      <c r="E21" s="16">
        <f>SUMIFS(DONNEES_N1_NOUVEAU[MONTANT],DONNEES_N1_NOUVEAU[TL2],A21,DONNEES_N1_NOUVEAU[MOIS],DONNÉES!$C$5,DONNEES_N1_NOUVEAU[SOCIETE],"LYSE")</f>
        <v>5602.49</v>
      </c>
      <c r="F21" s="17">
        <f t="shared" si="2"/>
        <v>1.770720477027417</v>
      </c>
      <c r="G21" s="16">
        <f t="shared" si="3"/>
        <v>2973</v>
      </c>
      <c r="H21" s="17">
        <f t="shared" si="4"/>
        <v>53.065690434074853</v>
      </c>
    </row>
    <row r="22" spans="1:8" s="18" customFormat="1" x14ac:dyDescent="0.2">
      <c r="A22" s="13" t="s">
        <v>12</v>
      </c>
      <c r="B22" s="14" t="s">
        <v>14</v>
      </c>
      <c r="C22" s="23">
        <f>SUMIFS('BAL N LYSE'!$G:$G,'BAL N LYSE'!$I:$I,$A22,'BAL N LYSE'!$J:$J,"T")</f>
        <v>11976.85</v>
      </c>
      <c r="D22" s="17">
        <f t="shared" si="2"/>
        <v>3.1582649403202541</v>
      </c>
      <c r="E22" s="16">
        <f>SUMIFS(DONNEES_N1_NOUVEAU[MONTANT],DONNEES_N1_NOUVEAU[TL2],A22,DONNEES_N1_NOUVEAU[MOIS],DONNÉES!$C$5,DONNEES_N1_NOUVEAU[SOCIETE],"LYSE")</f>
        <v>22103.54</v>
      </c>
      <c r="F22" s="17">
        <f t="shared" si="2"/>
        <v>6.9860349403202129</v>
      </c>
      <c r="G22" s="16">
        <f t="shared" si="3"/>
        <v>-10126.69</v>
      </c>
      <c r="H22" s="17">
        <f t="shared" si="4"/>
        <v>-45.814788038477097</v>
      </c>
    </row>
    <row r="23" spans="1:8" s="18" customFormat="1" x14ac:dyDescent="0.2">
      <c r="A23" s="13" t="s">
        <v>13</v>
      </c>
      <c r="B23" s="14" t="s">
        <v>2966</v>
      </c>
      <c r="C23" s="23">
        <f>SUMIFS('BAL N LYSE'!$G:$G,'BAL N LYSE'!$I:$I,$A23,'BAL N LYSE'!$J:$J,"T")</f>
        <v>1460.65</v>
      </c>
      <c r="D23" s="17">
        <f t="shared" si="2"/>
        <v>0.38516969696362391</v>
      </c>
      <c r="E23" s="16">
        <f>SUMIFS(DONNEES_N1_NOUVEAU[MONTANT],DONNEES_N1_NOUVEAU[TL2],A23,DONNEES_N1_NOUVEAU[MOIS],DONNÉES!$C$5,DONNEES_N1_NOUVEAU[SOCIETE],"LYSE")</f>
        <v>5680.01</v>
      </c>
      <c r="F23" s="17">
        <f t="shared" si="2"/>
        <v>1.7952214134644593</v>
      </c>
      <c r="G23" s="16">
        <f t="shared" si="3"/>
        <v>-4219.3600000000006</v>
      </c>
      <c r="H23" s="17">
        <f t="shared" si="4"/>
        <v>-74.284376259900966</v>
      </c>
    </row>
    <row r="24" spans="1:8" s="18" customFormat="1" x14ac:dyDescent="0.2">
      <c r="A24" s="13" t="s">
        <v>15</v>
      </c>
      <c r="B24" s="14" t="s">
        <v>2969</v>
      </c>
      <c r="C24" s="23">
        <f>SUMIFS('BAL N LYSE'!$G:$G,'BAL N LYSE'!$I:$I,$A24,'BAL N LYSE'!$J:$J,"T")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SUMIFS(DONNEES_N1_NOUVEAU[MONTANT],DONNEES_N1_NOUVEAU[TL2],A24,DONNEES_N1_NOUVEAU[MOIS],DONNÉES!$C$5,DONNEES_N1_NOUVEAU[SOCIETE],"LYSE")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LYSE'!$G:$G,'BAL N LYSE'!$I:$I,$A25,'BAL N LYSE'!$J:$J,"T")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SUMIFS(DONNEES_N1_NOUVEAU[MONTANT],DONNEES_N1_NOUVEAU[TL2],A25,DONNEES_N1_NOUVEAU[MOIS],DONNÉES!$C$5,DONNEES_N1_NOUVEAU[SOCIETE],"LYSE")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78771.259999999995</v>
      </c>
      <c r="D26" s="50">
        <f t="shared" si="2"/>
        <v>20.771781291646064</v>
      </c>
      <c r="E26" s="51">
        <f>SUM(E20:E25)</f>
        <v>96934.74</v>
      </c>
      <c r="F26" s="50">
        <f t="shared" si="2"/>
        <v>30.637150455124175</v>
      </c>
      <c r="G26" s="51">
        <f>SUM(G20:G25)</f>
        <v>-18163.480000000003</v>
      </c>
      <c r="H26" s="50">
        <f t="shared" si="4"/>
        <v>-18.737843625515477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LYSE'!$G:$G,'BAL N LYSE'!$I:$I,$A28,'BAL N LYSE'!$J:$J,"T")</f>
        <v>9078.89</v>
      </c>
      <c r="D28" s="17">
        <f t="shared" ref="D28:F33" si="5">(C28*100)/C$8</f>
        <v>2.3940802451415983</v>
      </c>
      <c r="E28" s="16">
        <f>SUMIFS(DONNEES_N1_NOUVEAU[MONTANT],DONNEES_N1_NOUVEAU[TL2],A28,DONNEES_N1_NOUVEAU[MOIS],DONNÉES!$C$5,DONNEES_N1_NOUVEAU[SOCIETE],"LYSE")</f>
        <v>395.83</v>
      </c>
      <c r="F28" s="17">
        <f t="shared" si="5"/>
        <v>0.12510585229456231</v>
      </c>
      <c r="G28" s="16">
        <f>+C28-E28</f>
        <v>8683.06</v>
      </c>
      <c r="H28" s="17">
        <f t="shared" ref="H28:H33" si="6">IF(E28=0,0,G28/E28*100)</f>
        <v>2193.6336305989944</v>
      </c>
    </row>
    <row r="29" spans="1:8" s="18" customFormat="1" x14ac:dyDescent="0.2">
      <c r="A29" s="13" t="s">
        <v>20</v>
      </c>
      <c r="B29" s="14" t="s">
        <v>2972</v>
      </c>
      <c r="C29" s="23">
        <f>SUMIFS('BAL N LYSE'!$G:$G,'BAL N LYSE'!$I:$I,$A29,'BAL N LYSE'!$J:$J,"T")</f>
        <v>520.23</v>
      </c>
      <c r="D29" s="17">
        <f t="shared" si="5"/>
        <v>0.13718333033333521</v>
      </c>
      <c r="E29" s="16">
        <f>SUMIFS(DONNEES_N1_NOUVEAU[MONTANT],DONNEES_N1_NOUVEAU[TL2],A29,DONNEES_N1_NOUVEAU[MOIS],DONNÉES!$C$5,DONNEES_N1_NOUVEAU[SOCIETE],"LYSE")</f>
        <v>521.23</v>
      </c>
      <c r="F29" s="17">
        <f t="shared" si="5"/>
        <v>0.16473972006036611</v>
      </c>
      <c r="G29" s="16">
        <f>+C29-E29</f>
        <v>-1</v>
      </c>
      <c r="H29" s="17">
        <f t="shared" si="6"/>
        <v>-0.19185388408188322</v>
      </c>
    </row>
    <row r="30" spans="1:8" s="18" customFormat="1" x14ac:dyDescent="0.2">
      <c r="A30" s="13" t="s">
        <v>21</v>
      </c>
      <c r="B30" s="14" t="s">
        <v>2973</v>
      </c>
      <c r="C30" s="23">
        <f>SUMIFS('BAL N LYSE'!$G:$G,'BAL N LYSE'!$I:$I,$A30,'BAL N LYSE'!$J:$J,"T")</f>
        <v>2733.75</v>
      </c>
      <c r="D30" s="17">
        <f t="shared" si="5"/>
        <v>0.72088293504556666</v>
      </c>
      <c r="E30" s="16">
        <f>SUMIFS(DONNEES_N1_NOUVEAU[MONTANT],DONNEES_N1_NOUVEAU[TL2],A30,DONNEES_N1_NOUVEAU[MOIS],DONNÉES!$C$5,DONNEES_N1_NOUVEAU[SOCIETE],"LYSE")</f>
        <v>2453.13</v>
      </c>
      <c r="F30" s="17">
        <f t="shared" si="5"/>
        <v>0.77533516772189992</v>
      </c>
      <c r="G30" s="16">
        <f>+C30-E30</f>
        <v>280.61999999999989</v>
      </c>
      <c r="H30" s="17">
        <f t="shared" si="6"/>
        <v>11.439263308507901</v>
      </c>
    </row>
    <row r="31" spans="1:8" s="18" customFormat="1" x14ac:dyDescent="0.2">
      <c r="A31" s="13" t="s">
        <v>23</v>
      </c>
      <c r="B31" s="14" t="s">
        <v>2974</v>
      </c>
      <c r="C31" s="23">
        <f>SUMIFS('BAL N LYSE'!$G:$G,'BAL N LYSE'!$I:$I,$A31,'BAL N LYSE'!$J:$J,"T")</f>
        <v>2351.33</v>
      </c>
      <c r="D31" s="17">
        <f t="shared" si="5"/>
        <v>0.62003975186490801</v>
      </c>
      <c r="E31" s="16">
        <f>SUMIFS(DONNEES_N1_NOUVEAU[MONTANT],DONNEES_N1_NOUVEAU[TL2],A31,DONNEES_N1_NOUVEAU[MOIS],DONNÉES!$C$5,DONNEES_N1_NOUVEAU[SOCIETE],"LYSE")</f>
        <v>7338.67</v>
      </c>
      <c r="F31" s="17">
        <f t="shared" si="5"/>
        <v>2.319456749257347</v>
      </c>
      <c r="G31" s="16">
        <f>+C31-E31</f>
        <v>-4987.34</v>
      </c>
      <c r="H31" s="17">
        <f t="shared" si="6"/>
        <v>-67.959725672362978</v>
      </c>
    </row>
    <row r="32" spans="1:8" s="18" customFormat="1" x14ac:dyDescent="0.2">
      <c r="A32" s="13" t="s">
        <v>25</v>
      </c>
      <c r="B32" s="14" t="s">
        <v>2975</v>
      </c>
      <c r="C32" s="23">
        <f>SUMIFS('BAL N LYSE'!$G:$G,'BAL N LYSE'!$I:$I,$A32,'BAL N LYSE'!$J:$J,"T")</f>
        <v>7956.45</v>
      </c>
      <c r="D32" s="17">
        <f t="shared" si="5"/>
        <v>2.0980956665910555</v>
      </c>
      <c r="E32" s="16">
        <f>SUMIFS(DONNEES_N1_NOUVEAU[MONTANT],DONNEES_N1_NOUVEAU[TL2],A32,DONNEES_N1_NOUVEAU[MOIS],DONNÉES!$C$5,DONNEES_N1_NOUVEAU[SOCIETE],"LYSE")</f>
        <v>8012.94</v>
      </c>
      <c r="F32" s="17">
        <f t="shared" si="5"/>
        <v>2.5325662230886747</v>
      </c>
      <c r="G32" s="16">
        <f>+C32-E32</f>
        <v>-56.489999999999782</v>
      </c>
      <c r="H32" s="17">
        <f t="shared" si="6"/>
        <v>-0.70498468726834074</v>
      </c>
    </row>
    <row r="33" spans="1:8" ht="13.5" thickBot="1" x14ac:dyDescent="0.25">
      <c r="A33" s="7"/>
      <c r="B33" s="63" t="s">
        <v>2976</v>
      </c>
      <c r="C33" s="49">
        <f>SUM(C28:C32)</f>
        <v>22640.649999999998</v>
      </c>
      <c r="D33" s="50">
        <f t="shared" si="5"/>
        <v>5.9702819289764637</v>
      </c>
      <c r="E33" s="51">
        <f>SUM(E28:E32)</f>
        <v>18721.8</v>
      </c>
      <c r="F33" s="50">
        <f t="shared" si="5"/>
        <v>5.9172037124228503</v>
      </c>
      <c r="G33" s="51">
        <f>SUM(G28:G32)</f>
        <v>3918.8500000000004</v>
      </c>
      <c r="H33" s="50">
        <f t="shared" si="6"/>
        <v>20.932015084019699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LYSE'!$G:$G,'BAL N LYSE'!$I:$I,$A35,'BAL N LYSE'!$J:$J,"T")</f>
        <v>6948.62</v>
      </c>
      <c r="D35" s="17">
        <f t="shared" ref="D35:F42" si="7">(C35*100)/C$8</f>
        <v>1.8323334540891907</v>
      </c>
      <c r="E35" s="16">
        <f>SUMIFS(DONNEES_N1_NOUVEAU[MONTANT],DONNEES_N1_NOUVEAU[TL2],A35,DONNEES_N1_NOUVEAU[MOIS],DONNÉES!$C$5,DONNEES_N1_NOUVEAU[SOCIETE],"LYSE")</f>
        <v>4522.33</v>
      </c>
      <c r="F35" s="17">
        <f t="shared" si="7"/>
        <v>1.4293255918128187</v>
      </c>
      <c r="G35" s="16">
        <f t="shared" ref="G35:G41" si="8">+C35-E35</f>
        <v>2426.29</v>
      </c>
      <c r="H35" s="17">
        <f t="shared" ref="H35:H42" si="9">IF(E35=0,0,G35/E35*100)</f>
        <v>53.651325754644176</v>
      </c>
    </row>
    <row r="36" spans="1:8" s="18" customFormat="1" x14ac:dyDescent="0.2">
      <c r="A36" s="13" t="s">
        <v>30</v>
      </c>
      <c r="B36" s="14" t="s">
        <v>145</v>
      </c>
      <c r="C36" s="23">
        <f>SUMIFS('BAL N LYSE'!$G:$G,'BAL N LYSE'!$I:$I,$A36,'BAL N LYSE'!$J:$J,"T")</f>
        <v>15259.5</v>
      </c>
      <c r="D36" s="17">
        <f t="shared" si="7"/>
        <v>4.0238914119168996</v>
      </c>
      <c r="E36" s="16">
        <f>SUMIFS(DONNEES_N1_NOUVEAU[MONTANT],DONNEES_N1_NOUVEAU[TL2],A36,DONNEES_N1_NOUVEAU[MOIS],DONNÉES!$C$5,DONNEES_N1_NOUVEAU[SOCIETE],"LYSE")</f>
        <v>12649.31</v>
      </c>
      <c r="F36" s="17">
        <f t="shared" si="7"/>
        <v>3.9979352461615596</v>
      </c>
      <c r="G36" s="16">
        <f t="shared" si="8"/>
        <v>2610.1900000000005</v>
      </c>
      <c r="H36" s="17">
        <f t="shared" si="9"/>
        <v>20.635038591037777</v>
      </c>
    </row>
    <row r="37" spans="1:8" s="18" customFormat="1" x14ac:dyDescent="0.2">
      <c r="A37" s="13" t="s">
        <v>32</v>
      </c>
      <c r="B37" s="14" t="s">
        <v>19</v>
      </c>
      <c r="C37" s="23">
        <f>SUMIFS('BAL N LYSE'!$G:$G,'BAL N LYSE'!$I:$I,$A37,'BAL N LYSE'!$J:$J,"T")</f>
        <v>7139.28</v>
      </c>
      <c r="D37" s="17">
        <f t="shared" si="7"/>
        <v>1.8826100120757614</v>
      </c>
      <c r="E37" s="16">
        <f>SUMIFS(DONNEES_N1_NOUVEAU[MONTANT],DONNEES_N1_NOUVEAU[TL2],A37,DONNEES_N1_NOUVEAU[MOIS],DONNÉES!$C$5,DONNEES_N1_NOUVEAU[SOCIETE],"LYSE")</f>
        <v>5689.32</v>
      </c>
      <c r="F37" s="17">
        <f t="shared" si="7"/>
        <v>1.7981639278894961</v>
      </c>
      <c r="G37" s="16">
        <f t="shared" si="8"/>
        <v>1449.96</v>
      </c>
      <c r="H37" s="17">
        <f t="shared" si="9"/>
        <v>25.485646790829136</v>
      </c>
    </row>
    <row r="38" spans="1:8" s="18" customFormat="1" x14ac:dyDescent="0.2">
      <c r="A38" s="13" t="s">
        <v>34</v>
      </c>
      <c r="B38" s="14" t="s">
        <v>28</v>
      </c>
      <c r="C38" s="23">
        <f>SUMIFS('BAL N LYSE'!$G:$G,'BAL N LYSE'!$I:$I,$A38,'BAL N LYSE'!$J:$J,"T")</f>
        <v>10666.98</v>
      </c>
      <c r="D38" s="17">
        <f t="shared" si="7"/>
        <v>2.8128555465833958</v>
      </c>
      <c r="E38" s="16">
        <f>SUMIFS(DONNEES_N1_NOUVEAU[MONTANT],DONNEES_N1_NOUVEAU[TL2],A38,DONNEES_N1_NOUVEAU[MOIS],DONNÉES!$C$5,DONNEES_N1_NOUVEAU[SOCIETE],"LYSE")</f>
        <v>11331.8</v>
      </c>
      <c r="F38" s="17">
        <f t="shared" si="7"/>
        <v>3.5815236263838548</v>
      </c>
      <c r="G38" s="16">
        <f t="shared" si="8"/>
        <v>-664.81999999999971</v>
      </c>
      <c r="H38" s="17">
        <f t="shared" si="9"/>
        <v>-5.8668525741717978</v>
      </c>
    </row>
    <row r="39" spans="1:8" s="18" customFormat="1" x14ac:dyDescent="0.2">
      <c r="A39" s="13" t="s">
        <v>2978</v>
      </c>
      <c r="B39" s="14" t="s">
        <v>2980</v>
      </c>
      <c r="C39" s="23">
        <f>SUMIFS('BAL N LYSE'!$G:$G,'BAL N LYSE'!$I:$I,$A39,'BAL N LYSE'!$J:$J,"T")</f>
        <v>3469.14</v>
      </c>
      <c r="D39" s="17">
        <f t="shared" si="7"/>
        <v>0.91480341116926456</v>
      </c>
      <c r="E39" s="16">
        <f>SUMIFS(DONNEES_N1_NOUVEAU[MONTANT],DONNEES_N1_NOUVEAU[TL2],A39,DONNEES_N1_NOUVEAU[MOIS],DONNÉES!$C$5,DONNEES_N1_NOUVEAU[SOCIETE],"LYSE")</f>
        <v>2674.53</v>
      </c>
      <c r="F39" s="17">
        <f t="shared" si="7"/>
        <v>0.84531075243760134</v>
      </c>
      <c r="G39" s="16">
        <f t="shared" si="8"/>
        <v>794.60999999999967</v>
      </c>
      <c r="H39" s="17">
        <f t="shared" si="9"/>
        <v>29.710266850624205</v>
      </c>
    </row>
    <row r="40" spans="1:8" s="18" customFormat="1" x14ac:dyDescent="0.2">
      <c r="A40" s="13" t="s">
        <v>2979</v>
      </c>
      <c r="B40" s="14" t="s">
        <v>2981</v>
      </c>
      <c r="C40" s="23">
        <f>SUMIFS('BAL N LYSE'!$G:$G,'BAL N LYSE'!$I:$I,$A40,'BAL N LYSE'!$J:$J,"T")</f>
        <v>134.59</v>
      </c>
      <c r="D40" s="17">
        <f t="shared" si="7"/>
        <v>3.5491041327035323E-2</v>
      </c>
      <c r="E40" s="16">
        <f>SUMIFS(DONNEES_N1_NOUVEAU[MONTANT],DONNEES_N1_NOUVEAU[TL2],A40,DONNEES_N1_NOUVEAU[MOIS],DONNÉES!$C$5,DONNEES_N1_NOUVEAU[SOCIETE],"LYSE")</f>
        <v>267.56</v>
      </c>
      <c r="F40" s="17">
        <f t="shared" si="7"/>
        <v>8.4564893615777209E-2</v>
      </c>
      <c r="G40" s="16">
        <f t="shared" si="8"/>
        <v>-132.97</v>
      </c>
      <c r="H40" s="17">
        <f t="shared" si="9"/>
        <v>-49.697264165047088</v>
      </c>
    </row>
    <row r="41" spans="1:8" s="18" customFormat="1" x14ac:dyDescent="0.2">
      <c r="A41" s="13" t="s">
        <v>2982</v>
      </c>
      <c r="B41" s="14" t="s">
        <v>2983</v>
      </c>
      <c r="C41" s="23">
        <f>SUMIFS('BAL N LYSE'!$G:$G,'BAL N LYSE'!$I:$I,$A41,'BAL N LYSE'!$J:$J,"T")</f>
        <v>2092.88</v>
      </c>
      <c r="D41" s="17">
        <f t="shared" si="7"/>
        <v>0.55188714297143682</v>
      </c>
      <c r="E41" s="16">
        <f>SUMIFS(DONNEES_N1_NOUVEAU[MONTANT],DONNEES_N1_NOUVEAU[TL2],A41,DONNEES_N1_NOUVEAU[MOIS],DONNÉES!$C$5,DONNEES_N1_NOUVEAU[SOCIETE],"LYSE")</f>
        <v>868.91</v>
      </c>
      <c r="F41" s="17">
        <f t="shared" si="7"/>
        <v>0.27462730494724541</v>
      </c>
      <c r="G41" s="16">
        <f t="shared" si="8"/>
        <v>1223.9700000000003</v>
      </c>
      <c r="H41" s="17">
        <f t="shared" si="9"/>
        <v>140.86269003694287</v>
      </c>
    </row>
    <row r="42" spans="1:8" ht="13.5" thickBot="1" x14ac:dyDescent="0.25">
      <c r="A42" s="13"/>
      <c r="B42" s="63" t="s">
        <v>2984</v>
      </c>
      <c r="C42" s="49">
        <f>+SUM(C35:C41)</f>
        <v>45710.989999999991</v>
      </c>
      <c r="D42" s="50">
        <f t="shared" si="7"/>
        <v>12.053872020132982</v>
      </c>
      <c r="E42" s="51">
        <f>+SUM(E35:E41)</f>
        <v>38003.759999999995</v>
      </c>
      <c r="F42" s="50">
        <f t="shared" si="7"/>
        <v>12.011451343248352</v>
      </c>
      <c r="G42" s="51">
        <f>+SUM(G35:G41)</f>
        <v>7707.2300000000005</v>
      </c>
      <c r="H42" s="50">
        <f t="shared" si="9"/>
        <v>20.280177540327593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134539.44000000003</v>
      </c>
      <c r="D44" s="71">
        <f>(C44*100)/C$8</f>
        <v>35.477708783387996</v>
      </c>
      <c r="E44" s="72">
        <f>E18-E26-E33-E42</f>
        <v>81130.350000000035</v>
      </c>
      <c r="F44" s="71">
        <f>(E44*100)/E$8</f>
        <v>25.642022039022176</v>
      </c>
      <c r="G44" s="72">
        <f>G18-G26-G33-G42</f>
        <v>53409.090000000011</v>
      </c>
      <c r="H44" s="71">
        <f>IF(E44=0,0,G44/E44*100)</f>
        <v>65.831208666054053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LYSE'!$G:$G,'BAL N LYSE'!$I:$I,$A46,'BAL N LYSE'!$J:$J,"T")</f>
        <v>54120.39</v>
      </c>
      <c r="D46" s="17">
        <f t="shared" ref="D46:F49" si="10">(C46*100)/C$8</f>
        <v>14.271409451855778</v>
      </c>
      <c r="E46" s="16">
        <f>SUMIFS(DONNEES_N1_NOUVEAU[MONTANT],DONNEES_N1_NOUVEAU[TL2],A46,DONNEES_N1_NOUVEAU[MOIS],DONNÉES!$C$5,DONNEES_N1_NOUVEAU[SOCIETE],"LYSE")</f>
        <v>44819.66</v>
      </c>
      <c r="F46" s="17">
        <f t="shared" si="10"/>
        <v>14.165681640735929</v>
      </c>
      <c r="G46" s="16">
        <f>+C46-E46</f>
        <v>9300.7299999999959</v>
      </c>
      <c r="H46" s="17">
        <f>IF(E46=0,0,G46/E46*100)</f>
        <v>20.751451483567692</v>
      </c>
    </row>
    <row r="47" spans="1:8" s="18" customFormat="1" x14ac:dyDescent="0.2">
      <c r="A47" s="13" t="s">
        <v>35</v>
      </c>
      <c r="B47" s="14" t="s">
        <v>2986</v>
      </c>
      <c r="C47" s="23">
        <f>SUMIFS('BAL N LYSE'!$G:$G,'BAL N LYSE'!$I:$I,$A47,'BAL N LYSE'!$J:$J,"T")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SUMIFS(DONNEES_N1_NOUVEAU[MONTANT],DONNEES_N1_NOUVEAU[TL2],A47,DONNEES_N1_NOUVEAU[MOIS],DONNÉES!$C$5,DONNEES_N1_NOUVEAU[SOCIETE],"LYSE")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LYSE'!$G:$G,'BAL N LYSE'!$I:$I,$A48,'BAL N LYSE'!$J:$J,"T")</f>
        <v>-965.86</v>
      </c>
      <c r="D48" s="17">
        <f t="shared" si="10"/>
        <v>-0.25469483004777721</v>
      </c>
      <c r="E48" s="16">
        <f>SUMIFS(DONNEES_N1_NOUVEAU[MONTANT],DONNEES_N1_NOUVEAU[TL2],A48,DONNEES_N1_NOUVEAU[MOIS],DONNÉES!$C$5,DONNEES_N1_NOUVEAU[SOCIETE],"LYSE")</f>
        <v>-1083.3399999999999</v>
      </c>
      <c r="F48" s="17">
        <f t="shared" si="10"/>
        <v>-0.34239995458856359</v>
      </c>
      <c r="G48" s="16">
        <f>+C48-E48</f>
        <v>117.4799999999999</v>
      </c>
      <c r="H48" s="17">
        <f>IF(E48=0,0,G48/E48*100)</f>
        <v>-10.844240958517171</v>
      </c>
    </row>
    <row r="49" spans="1:8" ht="13.5" thickBot="1" x14ac:dyDescent="0.25">
      <c r="A49" s="13"/>
      <c r="B49" s="63" t="s">
        <v>2988</v>
      </c>
      <c r="C49" s="49">
        <f>SUM(C46:C48)</f>
        <v>53154.53</v>
      </c>
      <c r="D49" s="50">
        <f t="shared" si="10"/>
        <v>14.016714621808001</v>
      </c>
      <c r="E49" s="51">
        <f>SUM(E46:E48)</f>
        <v>43736.320000000007</v>
      </c>
      <c r="F49" s="50">
        <f t="shared" si="10"/>
        <v>13.823281686147368</v>
      </c>
      <c r="G49" s="51">
        <f>SUM(G46:G48)</f>
        <v>9418.2099999999955</v>
      </c>
      <c r="H49" s="50">
        <f>IF(E49=0,0,G49/E49*100)</f>
        <v>21.534070539085121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LYSE'!$G:$G,'BAL N LYSE'!$I:$I,$A51,'BAL N LYSE'!$J:$J,"T")</f>
        <v>563</v>
      </c>
      <c r="D51" s="17">
        <f t="shared" ref="D51:F59" si="11">(C51*100)/C$8</f>
        <v>0.14846167075652639</v>
      </c>
      <c r="E51" s="16">
        <f>SUMIFS(DONNEES_N1_NOUVEAU[MONTANT],DONNEES_N1_NOUVEAU[TL2],A51,DONNEES_N1_NOUVEAU[MOIS],DONNÉES!$C$5,DONNEES_N1_NOUVEAU[SOCIETE],"LYSE")</f>
        <v>563</v>
      </c>
      <c r="F51" s="17">
        <f t="shared" si="11"/>
        <v>0.17794152752908721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LYSE'!$G:$G,'BAL N LYSE'!$I:$I,$A52,'BAL N LYSE'!$J:$J,"T")</f>
        <v>19328.07</v>
      </c>
      <c r="D52" s="17">
        <f t="shared" si="11"/>
        <v>5.0967629923607367</v>
      </c>
      <c r="E52" s="16">
        <f>SUMIFS(DONNEES_N1_NOUVEAU[MONTANT],DONNEES_N1_NOUVEAU[TL2],A52,DONNEES_N1_NOUVEAU[MOIS],DONNÉES!$C$5,DONNEES_N1_NOUVEAU[SOCIETE],"LYSE")</f>
        <v>16007.02</v>
      </c>
      <c r="F52" s="17">
        <f t="shared" si="11"/>
        <v>5.0591715630349015</v>
      </c>
      <c r="G52" s="16">
        <f t="shared" si="12"/>
        <v>3321.0499999999993</v>
      </c>
      <c r="H52" s="17">
        <f t="shared" si="13"/>
        <v>20.747459552121502</v>
      </c>
    </row>
    <row r="53" spans="1:8" s="18" customFormat="1" x14ac:dyDescent="0.2">
      <c r="A53" s="13" t="s">
        <v>44</v>
      </c>
      <c r="B53" s="14" t="s">
        <v>62</v>
      </c>
      <c r="C53" s="23">
        <f>SUMIFS('BAL N LYSE'!$G:$G,'BAL N LYSE'!$I:$I,$A53,'BAL N LYSE'!$J:$J,"T")</f>
        <v>2779</v>
      </c>
      <c r="D53" s="17">
        <f t="shared" si="11"/>
        <v>0.73281524517297836</v>
      </c>
      <c r="E53" s="16">
        <f>SUMIFS(DONNEES_N1_NOUVEAU[MONTANT],DONNEES_N1_NOUVEAU[TL2],A53,DONNEES_N1_NOUVEAU[MOIS],DONNÉES!$C$5,DONNEES_N1_NOUVEAU[SOCIETE],"LYSE")</f>
        <v>1450</v>
      </c>
      <c r="F53" s="17">
        <f t="shared" si="11"/>
        <v>0.45828634976407889</v>
      </c>
      <c r="G53" s="16">
        <f t="shared" si="12"/>
        <v>1329</v>
      </c>
      <c r="H53" s="17">
        <f t="shared" si="13"/>
        <v>91.65517241379311</v>
      </c>
    </row>
    <row r="54" spans="1:8" s="18" customFormat="1" x14ac:dyDescent="0.2">
      <c r="A54" s="13" t="s">
        <v>45</v>
      </c>
      <c r="B54" s="14" t="s">
        <v>41</v>
      </c>
      <c r="C54" s="23">
        <f>SUMIFS('BAL N LYSE'!$G:$G,'BAL N LYSE'!$I:$I,$A54,'BAL N LYSE'!$J:$J,"T")</f>
        <v>2219.58</v>
      </c>
      <c r="D54" s="17">
        <f t="shared" si="11"/>
        <v>0.5852976113281898</v>
      </c>
      <c r="E54" s="16">
        <f>SUMIFS(DONNEES_N1_NOUVEAU[MONTANT],DONNEES_N1_NOUVEAU[TL2],A54,DONNEES_N1_NOUVEAU[MOIS],DONNÉES!$C$5,DONNEES_N1_NOUVEAU[SOCIETE],"LYSE")</f>
        <v>1988.09</v>
      </c>
      <c r="F54" s="17">
        <f t="shared" si="11"/>
        <v>0.62835483386377078</v>
      </c>
      <c r="G54" s="16">
        <f t="shared" si="12"/>
        <v>231.49</v>
      </c>
      <c r="H54" s="17">
        <f t="shared" si="13"/>
        <v>11.643839061611899</v>
      </c>
    </row>
    <row r="55" spans="1:8" s="18" customFormat="1" x14ac:dyDescent="0.2">
      <c r="A55" s="13" t="s">
        <v>47</v>
      </c>
      <c r="B55" s="14" t="s">
        <v>43</v>
      </c>
      <c r="C55" s="23">
        <f>SUMIFS('BAL N LYSE'!$G:$G,'BAL N LYSE'!$I:$I,$A55,'BAL N LYSE'!$J:$J,"T")</f>
        <v>3063.1</v>
      </c>
      <c r="D55" s="17">
        <f t="shared" si="11"/>
        <v>0.80773169395082767</v>
      </c>
      <c r="E55" s="16">
        <f>SUMIFS(DONNEES_N1_NOUVEAU[MONTANT],DONNEES_N1_NOUVEAU[TL2],A55,DONNEES_N1_NOUVEAU[MOIS],DONNÉES!$C$5,DONNEES_N1_NOUVEAU[SOCIETE],"LYSE")</f>
        <v>3058.27</v>
      </c>
      <c r="F55" s="17">
        <f t="shared" si="11"/>
        <v>0.966595444753786</v>
      </c>
      <c r="G55" s="16">
        <f t="shared" si="12"/>
        <v>4.8299999999999272</v>
      </c>
      <c r="H55" s="17">
        <f t="shared" si="13"/>
        <v>0.15793242584859832</v>
      </c>
    </row>
    <row r="56" spans="1:8" s="18" customFormat="1" x14ac:dyDescent="0.2">
      <c r="A56" s="13" t="s">
        <v>48</v>
      </c>
      <c r="B56" s="14" t="s">
        <v>46</v>
      </c>
      <c r="C56" s="23">
        <f>SUMIFS('BAL N LYSE'!$G:$G,'BAL N LYSE'!$I:$I,$A56,'BAL N LYSE'!$J:$J,"T")</f>
        <v>20000</v>
      </c>
      <c r="D56" s="17">
        <f t="shared" si="11"/>
        <v>5.273949227585307</v>
      </c>
      <c r="E56" s="16">
        <f>SUMIFS(DONNEES_N1_NOUVEAU[MONTANT],DONNEES_N1_NOUVEAU[TL2],A56,DONNEES_N1_NOUVEAU[MOIS],DONNÉES!$C$5,DONNEES_N1_NOUVEAU[SOCIETE],"LYSE")</f>
        <v>15264.88</v>
      </c>
      <c r="F56" s="17">
        <f t="shared" si="11"/>
        <v>4.8246111274390984</v>
      </c>
      <c r="G56" s="16">
        <f t="shared" si="12"/>
        <v>4735.1200000000008</v>
      </c>
      <c r="H56" s="17">
        <f t="shared" si="13"/>
        <v>31.019700122110365</v>
      </c>
    </row>
    <row r="57" spans="1:8" s="18" customFormat="1" x14ac:dyDescent="0.2">
      <c r="A57" s="13" t="s">
        <v>50</v>
      </c>
      <c r="B57" s="14" t="s">
        <v>2990</v>
      </c>
      <c r="C57" s="23">
        <f>SUMIFS('BAL N LYSE'!$G:$G,'BAL N LYSE'!$I:$I,$A57,'BAL N LYSE'!$J:$J,"T")</f>
        <v>547.49</v>
      </c>
      <c r="D57" s="17">
        <f t="shared" si="11"/>
        <v>0.14437172313053398</v>
      </c>
      <c r="E57" s="16">
        <f>SUMIFS(DONNEES_N1_NOUVEAU[MONTANT],DONNEES_N1_NOUVEAU[TL2],A57,DONNEES_N1_NOUVEAU[MOIS],DONNÉES!$C$5,DONNEES_N1_NOUVEAU[SOCIETE],"LYSE")</f>
        <v>0</v>
      </c>
      <c r="F57" s="17">
        <f t="shared" si="11"/>
        <v>0</v>
      </c>
      <c r="G57" s="16">
        <f t="shared" si="12"/>
        <v>547.49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LYSE'!$G:$G,'BAL N LYSE'!$I:$I,$A58,'BAL N LYSE'!$J:$J,"T")</f>
        <v>1893.2</v>
      </c>
      <c r="D58" s="17">
        <f t="shared" si="11"/>
        <v>0.49923203388322512</v>
      </c>
      <c r="E58" s="16">
        <f>SUMIFS(DONNEES_N1_NOUVEAU[MONTANT],DONNEES_N1_NOUVEAU[TL2],A58,DONNEES_N1_NOUVEAU[MOIS],DONNÉES!$C$5,DONNEES_N1_NOUVEAU[SOCIETE],"LYSE")</f>
        <v>1033.42</v>
      </c>
      <c r="F58" s="17">
        <f t="shared" si="11"/>
        <v>0.32662226177461684</v>
      </c>
      <c r="G58" s="16">
        <f t="shared" si="12"/>
        <v>859.78</v>
      </c>
      <c r="H58" s="17">
        <f t="shared" si="13"/>
        <v>83.197538270983713</v>
      </c>
    </row>
    <row r="59" spans="1:8" ht="13.5" thickBot="1" x14ac:dyDescent="0.25">
      <c r="A59" s="13"/>
      <c r="B59" s="63" t="s">
        <v>2994</v>
      </c>
      <c r="C59" s="49">
        <f>SUM(C51:C58)</f>
        <v>50393.439999999995</v>
      </c>
      <c r="D59" s="50">
        <f t="shared" si="11"/>
        <v>13.288622198168323</v>
      </c>
      <c r="E59" s="51">
        <f>SUM(E51:E58)</f>
        <v>39364.68</v>
      </c>
      <c r="F59" s="50">
        <f t="shared" si="11"/>
        <v>12.441583108159339</v>
      </c>
      <c r="G59" s="51">
        <f>SUM(G51:G58)</f>
        <v>11028.76</v>
      </c>
      <c r="H59" s="50">
        <f t="shared" si="13"/>
        <v>28.01689230040737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250670.87</v>
      </c>
      <c r="D61" s="71">
        <f>(C61*100)/C$8</f>
        <v>66.101272060731844</v>
      </c>
      <c r="E61" s="72">
        <f>E59+E49+E42+E33+E26</f>
        <v>236761.3</v>
      </c>
      <c r="F61" s="71">
        <f>(E61*100)/E$8</f>
        <v>74.830670305102075</v>
      </c>
      <c r="G61" s="72">
        <f>G59+G49+G42+G33+G26</f>
        <v>13909.569999999992</v>
      </c>
      <c r="H61" s="71">
        <f>IF(E61=0,0,G61/E61*100)</f>
        <v>5.8749339524660469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LYSE'!$G:$G,'BAL N LYSE'!$I:$I,$A63,'BAL N LYSE'!$J:$J,"T")</f>
        <v>7358.87</v>
      </c>
      <c r="D63" s="17">
        <f t="shared" ref="D63:F65" si="14">(C63*100)/C$8</f>
        <v>1.9405153376200344</v>
      </c>
      <c r="E63" s="16">
        <f>-SUMIFS(DONNEES_N1_NOUVEAU[MONTANT],DONNEES_N1_NOUVEAU[TL2],A63,DONNEES_N1_NOUVEAU[MOIS],DONNÉES!$C$5,DONNEES_N1_NOUVEAU[SOCIETE],"LYSE")</f>
        <v>3744.36</v>
      </c>
      <c r="F63" s="17">
        <f t="shared" si="14"/>
        <v>1.1834407424845701</v>
      </c>
      <c r="G63" s="16">
        <f>+C63-E63</f>
        <v>3614.5099999999998</v>
      </c>
      <c r="H63" s="17">
        <f>IF(E63=0,0,G63/E63*100)</f>
        <v>96.532117638261269</v>
      </c>
    </row>
    <row r="64" spans="1:8" s="18" customFormat="1" x14ac:dyDescent="0.2">
      <c r="A64" s="13" t="s">
        <v>2992</v>
      </c>
      <c r="B64" s="68" t="s">
        <v>65</v>
      </c>
      <c r="C64" s="23">
        <f>SUMIFS('BAL N LYSE'!$G:$G,'BAL N LYSE'!$I:$I,$A64,'BAL N LYSE'!$J:$J,"T")</f>
        <v>3552.17</v>
      </c>
      <c r="D64" s="17">
        <f t="shared" si="14"/>
        <v>0.93669821138758491</v>
      </c>
      <c r="E64" s="24">
        <f>SUMIFS(DONNEES_N1_NOUVEAU[MONTANT],DONNEES_N1_NOUVEAU[TL2],A64,DONNEES_N1_NOUVEAU[MOIS],DONNÉES!$C$5,DONNEES_N1_NOUVEAU[SOCIETE],"LYSE")</f>
        <v>4073.23</v>
      </c>
      <c r="F64" s="17">
        <f t="shared" si="14"/>
        <v>1.2873832472065787</v>
      </c>
      <c r="G64" s="16">
        <f>+C64-E64</f>
        <v>-521.05999999999995</v>
      </c>
      <c r="H64" s="17">
        <f>IF(E64=0,0,G64/E64*100)</f>
        <v>-12.792304878437996</v>
      </c>
    </row>
    <row r="65" spans="1:9" s="59" customFormat="1" ht="13.5" x14ac:dyDescent="0.2">
      <c r="A65" s="13"/>
      <c r="B65" s="62" t="s">
        <v>53</v>
      </c>
      <c r="C65" s="67">
        <f>+C63-C64</f>
        <v>3806.7</v>
      </c>
      <c r="D65" s="56">
        <f t="shared" si="14"/>
        <v>1.0038171262324493</v>
      </c>
      <c r="E65" s="57">
        <f>+E63-E64</f>
        <v>-328.86999999999989</v>
      </c>
      <c r="F65" s="56">
        <f t="shared" si="14"/>
        <v>-0.10394250472200867</v>
      </c>
      <c r="G65" s="58">
        <f>+G63-G64</f>
        <v>4135.57</v>
      </c>
      <c r="H65" s="56">
        <f>IF(E65=0,0,G65/E65*100)</f>
        <v>-1257.5090461276495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LYSE'!$G:$G,'BAL N LYSE'!$I:$I,$A67,'BAL N LYSE'!$J:$J,"T")</f>
        <v>-306.69</v>
      </c>
      <c r="D67" s="17">
        <f>(C67*100)/C$8</f>
        <v>-8.0873374430406889E-2</v>
      </c>
      <c r="E67" s="16">
        <f>-SUMIFS(DONNEES_N1_NOUVEAU[MONTANT],DONNEES_N1_NOUVEAU[TL2],A67,DONNEES_N1_NOUVEAU[MOIS],DONNÉES!$C$5,DONNEES_N1_NOUVEAU[SOCIETE],"LYSE")</f>
        <v>-522.55999999999995</v>
      </c>
      <c r="F67" s="17">
        <f>(E67*100)/E$8</f>
        <v>-0.1651600792639428</v>
      </c>
      <c r="G67" s="16">
        <f>+C67-E67</f>
        <v>215.86999999999995</v>
      </c>
      <c r="H67" s="17">
        <f>IF(E67=0,0,G67/E67*100)</f>
        <v>-41.310088793631351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34491.480000000025</v>
      </c>
      <c r="D69" s="10">
        <f>(C69*100)/C$8</f>
        <v>9.0953157152137081</v>
      </c>
      <c r="E69" s="9">
        <f>E18-E61+E65+E67</f>
        <v>-2822.0799999999649</v>
      </c>
      <c r="F69" s="10">
        <f>(E69*100)/E$8</f>
        <v>-0.89194533927047992</v>
      </c>
      <c r="G69" s="9">
        <f>G18-G61+G65+G67</f>
        <v>37313.560000000019</v>
      </c>
      <c r="H69" s="10">
        <f>IF(E69=0,0,G69/E69*100)</f>
        <v>-1322.2006463318007</v>
      </c>
    </row>
    <row r="70" spans="1:9" ht="13.5" thickBot="1" x14ac:dyDescent="0.25">
      <c r="A70" s="13"/>
      <c r="B70" s="63" t="s">
        <v>3034</v>
      </c>
      <c r="C70" s="49">
        <f>+C69-C67+C57+C56</f>
        <v>55345.660000000025</v>
      </c>
      <c r="D70" s="50">
        <f>(C70*100)/C$8</f>
        <v>14.594510040359959</v>
      </c>
      <c r="E70" s="49">
        <f>+E69-E67+E57+E56</f>
        <v>12965.360000000033</v>
      </c>
      <c r="F70" s="50">
        <f>(E70*100)/E$8</f>
        <v>4.0978258674325607</v>
      </c>
      <c r="G70" s="49">
        <f>+G69-G67+G57+G56</f>
        <v>42380.300000000017</v>
      </c>
      <c r="H70" s="50">
        <f>IF(E70=0,0,G70/E70*100)</f>
        <v>326.87329931448033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LYSE'!$G:$G,'BAL N LYSE'!$I:$I,$A72,'BAL N LYSE'!$J:$J,"T")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-SUMIFS(DONNEES_N1_NOUVEAU[MONTANT],DONNEES_N1_NOUVEAU[TL2],A72,DONNEES_N1_NOUVEAU[MOIS],DONNÉES!$C$5,DONNEES_N1_NOUVEAU[SOCIETE],"LYSE")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LYSE'!$G:$G,'BAL N LYSE'!$I:$I,$A74,'BAL N LYSE'!$J:$J,"T")</f>
        <v>26129.33</v>
      </c>
      <c r="D74" s="10">
        <f>(C74*100)/C$8</f>
        <v>6.8902379885410792</v>
      </c>
      <c r="E74" s="9">
        <f>SUMIFS(DONNEES_N1_NOUVEAU[MONTANT],DONNEES_N1_NOUVEAU[TL2],A74,DONNEES_N1_NOUVEAU[MOIS],DONNÉES!$C$5,DONNEES_N1_NOUVEAU[SOCIETE],"LYSE")</f>
        <v>21733.33</v>
      </c>
      <c r="F74" s="10">
        <f>(E74*100)/E$8</f>
        <v>6.8690265337366547</v>
      </c>
      <c r="G74" s="9">
        <f>+C74-E74</f>
        <v>4396</v>
      </c>
      <c r="H74" s="10">
        <f>IF(E74=0,0,G74/E74*100)</f>
        <v>20.22699696733082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8362.1500000000233</v>
      </c>
      <c r="D76" s="71">
        <f>(C76*100)/C$8</f>
        <v>2.2050777266726298</v>
      </c>
      <c r="E76" s="72">
        <f>E69-E74+E72</f>
        <v>-24555.409999999967</v>
      </c>
      <c r="F76" s="71">
        <f>(E76*100)/E$8</f>
        <v>-7.7609718730071355</v>
      </c>
      <c r="G76" s="72">
        <f>G69-G74+G72</f>
        <v>32917.560000000019</v>
      </c>
      <c r="H76" s="71">
        <f>IF(E76=0,0,G76/E76*100)</f>
        <v>-134.05420638466254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VLOOKUP(PARAMETRES!$C$2,TRANSLYSE[],2,FALSE)</f>
        <v>21593</v>
      </c>
      <c r="D78" s="324"/>
      <c r="E78" s="323">
        <f>VLOOKUP(PARAMETRES!$C$2,TRANSLYSE[],3,FALSE)</f>
        <v>18689</v>
      </c>
      <c r="F78" s="324"/>
      <c r="G78" s="325">
        <f>C78-E78</f>
        <v>2904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VLOOKUP(PARAMETRES!$C$2,PMLYSE[],2,FALSE)</f>
        <v>17.899999999999999</v>
      </c>
      <c r="D80" s="316"/>
      <c r="E80" s="315">
        <f>VLOOKUP(PARAMETRES!$C$2,PMLYSE[],3,FALSE)</f>
        <v>17.13</v>
      </c>
      <c r="F80" s="316"/>
      <c r="G80" s="317">
        <f>(C80-E80)/E80</f>
        <v>4.4950379451255087E-2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  <ignoredErrors>
    <ignoredError sqref="E8:E75" formula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968B-A811-4565-ABE9-242BC8848A13}">
  <sheetPr>
    <tabColor rgb="FFFFFF00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9770-7187-4B1D-87F0-FBD427CC8303}">
  <sheetPr>
    <tabColor rgb="FFFFFF00"/>
    <pageSetUpPr fitToPage="1"/>
  </sheetPr>
  <dimension ref="A1:I81"/>
  <sheetViews>
    <sheetView showGridLines="0" topLeftCell="B21" zoomScaleNormal="100" zoomScaleSheetLayoutView="115" zoomScalePageLayoutView="85" workbookViewId="0">
      <selection activeCell="D46" sqref="D1:I104857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6967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6963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ARTHUR'!$G:$G,'BAL N ARTHUR'!$I:$I,$A8,'BAL N ARTHUR'!$J:$J,"T")</f>
        <v>456583.12</v>
      </c>
      <c r="D8" s="71">
        <f>(C8*100)/C$8</f>
        <v>100</v>
      </c>
      <c r="E8" s="72">
        <f>-SUMIFS(DONNEES_N1_NOUVEAU[MONTANT],DONNEES_N1_NOUVEAU[TL2],A8,DONNEES_N1_NOUVEAU[MOIS],DONNÉES!$C$5,DONNEES_N1_NOUVEAU[SOCIETE],"ARTHUR")</f>
        <v>414258.29</v>
      </c>
      <c r="F8" s="71">
        <f>(E8*100)/E$8</f>
        <v>100</v>
      </c>
      <c r="G8" s="72">
        <f>+C8-E8</f>
        <v>42324.830000000016</v>
      </c>
      <c r="H8" s="71">
        <f>IF(E8=0,0,G8/E8*100)</f>
        <v>10.217014606997973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ARTHUR'!$G:$G,'BAL N ARTHUR'!$I:$I,$A10,'BAL N ARTHUR'!$J:$J,"T")</f>
        <v>102230.68</v>
      </c>
      <c r="D10" s="17">
        <f t="shared" ref="D10:F16" si="0">(C10*100)/C$8</f>
        <v>22.390376586852359</v>
      </c>
      <c r="E10" s="16">
        <f>SUMIFS(DONNEES_N1_NOUVEAU[MONTANT],DONNEES_N1_NOUVEAU[TL2],A10,DONNEES_N1_NOUVEAU[MOIS],DONNÉES!$C$5,DONNEES_N1_NOUVEAU[SOCIETE],"ARTHUR")</f>
        <v>87116.79</v>
      </c>
      <c r="F10" s="17">
        <f t="shared" si="0"/>
        <v>21.02958277551911</v>
      </c>
      <c r="G10" s="16">
        <f>+C10-E10</f>
        <v>15113.89</v>
      </c>
      <c r="H10" s="17">
        <f t="shared" ref="H10:H16" si="1">IF(E10=0,0,G10/E10*100)</f>
        <v>17.348997822348597</v>
      </c>
    </row>
    <row r="11" spans="1:8" s="18" customFormat="1" x14ac:dyDescent="0.2">
      <c r="A11" s="13" t="s">
        <v>124</v>
      </c>
      <c r="B11" s="14" t="s">
        <v>4</v>
      </c>
      <c r="C11" s="23">
        <f>SUMIFS('BAL N ARTHUR'!$G:$G,'BAL N ARTHUR'!$I:$I,$A11,'BAL N ARTHUR'!$J:$J,"T")</f>
        <v>2311.5500000000002</v>
      </c>
      <c r="D11" s="17">
        <f t="shared" si="0"/>
        <v>0.50627145392497219</v>
      </c>
      <c r="E11" s="16">
        <f>SUMIFS(DONNEES_N1_NOUVEAU[MONTANT],DONNEES_N1_NOUVEAU[TL2],A11,DONNEES_N1_NOUVEAU[MOIS],DONNÉES!$C$5,DONNEES_N1_NOUVEAU[SOCIETE],"ARTHUR")</f>
        <v>2095.84</v>
      </c>
      <c r="F11" s="17">
        <f t="shared" si="0"/>
        <v>0.5059259043433989</v>
      </c>
      <c r="G11" s="16">
        <f>+C11-E11</f>
        <v>215.71000000000004</v>
      </c>
      <c r="H11" s="17">
        <f t="shared" si="1"/>
        <v>10.29229330483243</v>
      </c>
    </row>
    <row r="12" spans="1:8" s="18" customFormat="1" x14ac:dyDescent="0.2">
      <c r="A12" s="13" t="s">
        <v>125</v>
      </c>
      <c r="B12" s="14" t="s">
        <v>2</v>
      </c>
      <c r="C12" s="23">
        <f>SUMIFS('BAL N ARTHUR'!$G:$G,'BAL N ARTHUR'!$I:$I,$A12,'BAL N ARTHUR'!$J:$J,"T")</f>
        <v>3055.25</v>
      </c>
      <c r="D12" s="17">
        <f t="shared" si="0"/>
        <v>0.6691552679389462</v>
      </c>
      <c r="E12" s="16">
        <f>SUMIFS(DONNEES_N1_NOUVEAU[MONTANT],DONNEES_N1_NOUVEAU[TL2],A12,DONNEES_N1_NOUVEAU[MOIS],DONNÉES!$C$5,DONNEES_N1_NOUVEAU[SOCIETE],"ARTHUR")</f>
        <v>3169.09</v>
      </c>
      <c r="F12" s="17">
        <f t="shared" si="0"/>
        <v>0.76500339920777449</v>
      </c>
      <c r="G12" s="16">
        <f>+C12-E12</f>
        <v>-113.84000000000015</v>
      </c>
      <c r="H12" s="17">
        <f t="shared" si="1"/>
        <v>-3.5921983913363187</v>
      </c>
    </row>
    <row r="13" spans="1:8" s="59" customFormat="1" ht="13.5" x14ac:dyDescent="0.2">
      <c r="A13" s="60"/>
      <c r="B13" s="62" t="s">
        <v>6</v>
      </c>
      <c r="C13" s="55">
        <f>SUM(C10:C12)</f>
        <v>107597.48</v>
      </c>
      <c r="D13" s="56">
        <f t="shared" si="0"/>
        <v>23.565803308716276</v>
      </c>
      <c r="E13" s="55">
        <f>SUM(E10:E12)</f>
        <v>92381.719999999987</v>
      </c>
      <c r="F13" s="56">
        <f t="shared" si="0"/>
        <v>22.30051207907028</v>
      </c>
      <c r="G13" s="55">
        <f>SUM(G10:G12)</f>
        <v>15215.759999999998</v>
      </c>
      <c r="H13" s="56">
        <f t="shared" si="1"/>
        <v>16.470531183008934</v>
      </c>
    </row>
    <row r="14" spans="1:8" s="18" customFormat="1" x14ac:dyDescent="0.2">
      <c r="A14" s="13" t="s">
        <v>126</v>
      </c>
      <c r="B14" s="14" t="s">
        <v>8</v>
      </c>
      <c r="C14" s="23">
        <f>SUMIFS('BAL N ARTHUR'!$G:$G,'BAL N ARTHUR'!$I:$I,$A14,'BAL N ARTHUR'!$J:$J,"T")</f>
        <v>10912.77</v>
      </c>
      <c r="D14" s="17">
        <f t="shared" si="0"/>
        <v>2.3900949294840337</v>
      </c>
      <c r="E14" s="16">
        <f>SUMIFS(DONNEES_N1_NOUVEAU[MONTANT],DONNEES_N1_NOUVEAU[TL2],A14,DONNEES_N1_NOUVEAU[MOIS],DONNÉES!$C$5,DONNEES_N1_NOUVEAU[SOCIETE],"ARTHUR")</f>
        <v>8803.99</v>
      </c>
      <c r="F14" s="17">
        <f t="shared" si="0"/>
        <v>2.1252417181560808</v>
      </c>
      <c r="G14" s="16">
        <f>+C14-E14</f>
        <v>2108.7800000000007</v>
      </c>
      <c r="H14" s="17">
        <f t="shared" si="1"/>
        <v>23.952548787538387</v>
      </c>
    </row>
    <row r="15" spans="1:8" s="18" customFormat="1" x14ac:dyDescent="0.2">
      <c r="A15" s="13" t="s">
        <v>2964</v>
      </c>
      <c r="B15" s="14" t="s">
        <v>2965</v>
      </c>
      <c r="C15" s="23">
        <f>SUMIFS('BAL N ARTHUR'!$G:$G,'BAL N ARTHUR'!$I:$I,$A15,'BAL N ARTHUR'!$J:$J,"T")</f>
        <v>-343.14</v>
      </c>
      <c r="D15" s="17">
        <f t="shared" si="0"/>
        <v>-7.5153895308262816E-2</v>
      </c>
      <c r="E15" s="16">
        <f>SUMIFS(DONNEES_N1_NOUVEAU[MONTANT],DONNEES_N1_NOUVEAU[TL2],A15,DONNEES_N1_NOUVEAU[MOIS],DONNÉES!$C$5,DONNEES_N1_NOUVEAU[SOCIETE],"ARTHUR")</f>
        <v>1001.5600000000002</v>
      </c>
      <c r="F15" s="17">
        <f t="shared" si="0"/>
        <v>0.24177186653283395</v>
      </c>
      <c r="G15" s="16">
        <f>+C15-E15</f>
        <v>-1344.7000000000003</v>
      </c>
      <c r="H15" s="17">
        <f t="shared" si="1"/>
        <v>-134.26055353648309</v>
      </c>
    </row>
    <row r="16" spans="1:8" ht="13.5" thickBot="1" x14ac:dyDescent="0.25">
      <c r="A16" s="7"/>
      <c r="B16" s="63" t="s">
        <v>10</v>
      </c>
      <c r="C16" s="49">
        <f>+C13+SUM(C14:C15)</f>
        <v>118167.11</v>
      </c>
      <c r="D16" s="50">
        <f t="shared" si="0"/>
        <v>25.880744342892047</v>
      </c>
      <c r="E16" s="49">
        <f>+E13+SUM(E14:E15)</f>
        <v>102187.26999999999</v>
      </c>
      <c r="F16" s="50">
        <f t="shared" si="0"/>
        <v>24.667525663759193</v>
      </c>
      <c r="G16" s="49">
        <f>+G13+SUM(G14:G15)</f>
        <v>15979.839999999998</v>
      </c>
      <c r="H16" s="50">
        <f t="shared" si="1"/>
        <v>15.637799111376594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338416.01</v>
      </c>
      <c r="D18" s="71">
        <f>(C18*100)/C$8</f>
        <v>74.119255657107956</v>
      </c>
      <c r="E18" s="70">
        <f>E8-E16</f>
        <v>312071.02</v>
      </c>
      <c r="F18" s="71">
        <f>(E18*100)/E$8</f>
        <v>75.332474336240807</v>
      </c>
      <c r="G18" s="70">
        <f>G8-G16</f>
        <v>26344.99000000002</v>
      </c>
      <c r="H18" s="71">
        <f>IF(E18=0,0,G18/E18*100)</f>
        <v>8.4419854172938003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ARTHUR'!$G:$G,'BAL N ARTHUR'!$I:$I,$A20,'BAL N ARTHUR'!$J:$J,"T")</f>
        <v>71165.5</v>
      </c>
      <c r="D20" s="17">
        <f t="shared" ref="D20:F26" si="2">(C20*100)/C$8</f>
        <v>15.586537671388291</v>
      </c>
      <c r="E20" s="16">
        <f>SUMIFS(DONNEES_N1_NOUVEAU[MONTANT],DONNEES_N1_NOUVEAU[TL2],A20,DONNEES_N1_NOUVEAU[MOIS],DONNÉES!$C$5,DONNEES_N1_NOUVEAU[SOCIETE],"ARTHUR")</f>
        <v>61128.460000000006</v>
      </c>
      <c r="F20" s="17">
        <f t="shared" si="2"/>
        <v>14.756122321655896</v>
      </c>
      <c r="G20" s="16">
        <f t="shared" ref="G20:G25" si="3">+C20-E20</f>
        <v>10037.039999999994</v>
      </c>
      <c r="H20" s="17">
        <f t="shared" ref="H20:H26" si="4">IF(E20=0,0,G20/E20*100)</f>
        <v>16.419585901558769</v>
      </c>
    </row>
    <row r="21" spans="1:8" s="18" customFormat="1" x14ac:dyDescent="0.2">
      <c r="A21" s="13">
        <v>9</v>
      </c>
      <c r="B21" s="14" t="s">
        <v>2968</v>
      </c>
      <c r="C21" s="23">
        <f>SUMIFS('BAL N ARTHUR'!$G:$G,'BAL N ARTHUR'!$I:$I,$A21,'BAL N ARTHUR'!$J:$J,"T")</f>
        <v>10039.93</v>
      </c>
      <c r="D21" s="17">
        <f t="shared" si="2"/>
        <v>2.1989271088252234</v>
      </c>
      <c r="E21" s="16">
        <f>SUMIFS(DONNEES_N1_NOUVEAU[MONTANT],DONNEES_N1_NOUVEAU[TL2],A21,DONNEES_N1_NOUVEAU[MOIS],DONNÉES!$C$5,DONNEES_N1_NOUVEAU[SOCIETE],"ARTHUR")</f>
        <v>9486.94</v>
      </c>
      <c r="F21" s="17">
        <f t="shared" si="2"/>
        <v>2.2901026313800505</v>
      </c>
      <c r="G21" s="16">
        <f t="shared" si="3"/>
        <v>552.98999999999978</v>
      </c>
      <c r="H21" s="17">
        <f t="shared" si="4"/>
        <v>5.82896065538519</v>
      </c>
    </row>
    <row r="22" spans="1:8" s="18" customFormat="1" x14ac:dyDescent="0.2">
      <c r="A22" s="13" t="s">
        <v>12</v>
      </c>
      <c r="B22" s="14" t="s">
        <v>14</v>
      </c>
      <c r="C22" s="23">
        <f>SUMIFS('BAL N ARTHUR'!$G:$G,'BAL N ARTHUR'!$I:$I,$A22,'BAL N ARTHUR'!$J:$J,"T")</f>
        <v>18858.77</v>
      </c>
      <c r="D22" s="17">
        <f t="shared" si="2"/>
        <v>4.1304133188279062</v>
      </c>
      <c r="E22" s="16">
        <f>SUMIFS(DONNEES_N1_NOUVEAU[MONTANT],DONNEES_N1_NOUVEAU[TL2],A22,DONNEES_N1_NOUVEAU[MOIS],DONNÉES!$C$5,DONNEES_N1_NOUVEAU[SOCIETE],"ARTHUR")</f>
        <v>26095.18</v>
      </c>
      <c r="F22" s="17">
        <f t="shared" si="2"/>
        <v>6.2992535405869612</v>
      </c>
      <c r="G22" s="16">
        <f t="shared" si="3"/>
        <v>-7236.41</v>
      </c>
      <c r="H22" s="17">
        <f t="shared" si="4"/>
        <v>-27.730829984694488</v>
      </c>
    </row>
    <row r="23" spans="1:8" s="18" customFormat="1" x14ac:dyDescent="0.2">
      <c r="A23" s="13" t="s">
        <v>13</v>
      </c>
      <c r="B23" s="14" t="s">
        <v>2966</v>
      </c>
      <c r="C23" s="23">
        <f>SUMIFS('BAL N ARTHUR'!$G:$G,'BAL N ARTHUR'!$I:$I,$A23,'BAL N ARTHUR'!$J:$J,"T")</f>
        <v>5409.8</v>
      </c>
      <c r="D23" s="17">
        <f t="shared" si="2"/>
        <v>1.1848445032308685</v>
      </c>
      <c r="E23" s="16">
        <f>SUMIFS(DONNEES_N1_NOUVEAU[MONTANT],DONNEES_N1_NOUVEAU[TL2],A23,DONNEES_N1_NOUVEAU[MOIS],DONNÉES!$C$5,DONNEES_N1_NOUVEAU[SOCIETE],"ARTHUR")</f>
        <v>6144.0300000000007</v>
      </c>
      <c r="F23" s="17">
        <f t="shared" si="2"/>
        <v>1.4831399028852268</v>
      </c>
      <c r="G23" s="16">
        <f t="shared" si="3"/>
        <v>-734.23000000000047</v>
      </c>
      <c r="H23" s="17">
        <f t="shared" si="4"/>
        <v>-11.950299721843813</v>
      </c>
    </row>
    <row r="24" spans="1:8" s="18" customFormat="1" x14ac:dyDescent="0.2">
      <c r="A24" s="13" t="s">
        <v>15</v>
      </c>
      <c r="B24" s="14" t="s">
        <v>2969</v>
      </c>
      <c r="C24" s="23">
        <f>SUMIFS('BAL N ARTHUR'!$G:$G,'BAL N ARTHUR'!$I:$I,$A24,'BAL N ARTHUR'!$J:$J,"T")</f>
        <v>-500</v>
      </c>
      <c r="D24" s="17">
        <f t="shared" si="2"/>
        <v>-0.10950908566221196</v>
      </c>
      <c r="E24" s="16">
        <f>SUMIFS(DONNEES_N1_NOUVEAU[MONTANT],DONNEES_N1_NOUVEAU[TL2],A24,DONNEES_N1_NOUVEAU[MOIS],DONNÉES!$C$5,DONNEES_N1_NOUVEAU[SOCIETE],"ARTHUR")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ARTHUR'!$G:$G,'BAL N ARTHUR'!$I:$I,$A25,'BAL N ARTHUR'!$J:$J,"T")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SUMIFS(DONNEES_N1_NOUVEAU[MONTANT],DONNEES_N1_NOUVEAU[TL2],A25,DONNEES_N1_NOUVEAU[MOIS],DONNÉES!$C$5,DONNEES_N1_NOUVEAU[SOCIETE],"ARTHUR")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104974</v>
      </c>
      <c r="D26" s="50">
        <f t="shared" si="2"/>
        <v>22.991213516610074</v>
      </c>
      <c r="E26" s="51">
        <f>SUM(E20:E25)</f>
        <v>102854.61000000002</v>
      </c>
      <c r="F26" s="50">
        <f t="shared" si="2"/>
        <v>24.828618396508137</v>
      </c>
      <c r="G26" s="51">
        <f>SUM(G20:G25)</f>
        <v>2119.3899999999931</v>
      </c>
      <c r="H26" s="50">
        <f t="shared" si="4"/>
        <v>2.0605687970621762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ARTHUR'!$G:$G,'BAL N ARTHUR'!$I:$I,$A28,'BAL N ARTHUR'!$J:$J,"T")</f>
        <v>10303.68</v>
      </c>
      <c r="D28" s="17">
        <f t="shared" ref="D28:F33" si="5">(C28*100)/C$8</f>
        <v>2.2566931515120401</v>
      </c>
      <c r="E28" s="16">
        <f>SUMIFS(DONNEES_N1_NOUVEAU[MONTANT],DONNEES_N1_NOUVEAU[TL2],A28,DONNEES_N1_NOUVEAU[MOIS],DONNÉES!$C$5,DONNEES_N1_NOUVEAU[SOCIETE],"ARTHUR")</f>
        <v>7977</v>
      </c>
      <c r="F28" s="17">
        <f t="shared" si="5"/>
        <v>1.9256102273777069</v>
      </c>
      <c r="G28" s="16">
        <f>+C28-E28</f>
        <v>2326.6800000000003</v>
      </c>
      <c r="H28" s="17">
        <f t="shared" ref="H28:H33" si="6">IF(E28=0,0,G28/E28*100)</f>
        <v>29.167356148928171</v>
      </c>
    </row>
    <row r="29" spans="1:8" s="18" customFormat="1" x14ac:dyDescent="0.2">
      <c r="A29" s="13" t="s">
        <v>20</v>
      </c>
      <c r="B29" s="14" t="s">
        <v>2972</v>
      </c>
      <c r="C29" s="23">
        <f>SUMIFS('BAL N ARTHUR'!$G:$G,'BAL N ARTHUR'!$I:$I,$A29,'BAL N ARTHUR'!$J:$J,"T")</f>
        <v>34.229999999999997</v>
      </c>
      <c r="D29" s="17">
        <f t="shared" si="5"/>
        <v>7.4969920044350297E-3</v>
      </c>
      <c r="E29" s="16">
        <f>SUMIFS(DONNEES_N1_NOUVEAU[MONTANT],DONNEES_N1_NOUVEAU[TL2],A29,DONNEES_N1_NOUVEAU[MOIS],DONNÉES!$C$5,DONNEES_N1_NOUVEAU[SOCIETE],"ARTHUR")</f>
        <v>1287.25</v>
      </c>
      <c r="F29" s="17">
        <f t="shared" si="5"/>
        <v>0.31073608689882826</v>
      </c>
      <c r="G29" s="16">
        <f>+C29-E29</f>
        <v>-1253.02</v>
      </c>
      <c r="H29" s="17">
        <f t="shared" si="6"/>
        <v>-97.340842882113037</v>
      </c>
    </row>
    <row r="30" spans="1:8" s="18" customFormat="1" x14ac:dyDescent="0.2">
      <c r="A30" s="13" t="s">
        <v>21</v>
      </c>
      <c r="B30" s="14" t="s">
        <v>2973</v>
      </c>
      <c r="C30" s="23">
        <f>SUMIFS('BAL N ARTHUR'!$G:$G,'BAL N ARTHUR'!$I:$I,$A30,'BAL N ARTHUR'!$J:$J,"T")</f>
        <v>4376.16</v>
      </c>
      <c r="D30" s="17">
        <f t="shared" si="5"/>
        <v>0.95845856062309098</v>
      </c>
      <c r="E30" s="16">
        <f>SUMIFS(DONNEES_N1_NOUVEAU[MONTANT],DONNEES_N1_NOUVEAU[TL2],A30,DONNEES_N1_NOUVEAU[MOIS],DONNÉES!$C$5,DONNEES_N1_NOUVEAU[SOCIETE],"ARTHUR")</f>
        <v>2139.63</v>
      </c>
      <c r="F30" s="17">
        <f t="shared" si="5"/>
        <v>0.51649660408727127</v>
      </c>
      <c r="G30" s="16">
        <f>+C30-E30</f>
        <v>2236.5299999999997</v>
      </c>
      <c r="H30" s="17">
        <f t="shared" si="6"/>
        <v>104.52882040352769</v>
      </c>
    </row>
    <row r="31" spans="1:8" s="18" customFormat="1" x14ac:dyDescent="0.2">
      <c r="A31" s="13" t="s">
        <v>23</v>
      </c>
      <c r="B31" s="14" t="s">
        <v>2974</v>
      </c>
      <c r="C31" s="23">
        <f>SUMIFS('BAL N ARTHUR'!$G:$G,'BAL N ARTHUR'!$I:$I,$A31,'BAL N ARTHUR'!$J:$J,"T")</f>
        <v>6206.35</v>
      </c>
      <c r="D31" s="17">
        <f t="shared" si="5"/>
        <v>1.3593034275993383</v>
      </c>
      <c r="E31" s="16">
        <f>SUMIFS(DONNEES_N1_NOUVEAU[MONTANT],DONNEES_N1_NOUVEAU[TL2],A31,DONNEES_N1_NOUVEAU[MOIS],DONNÉES!$C$5,DONNEES_N1_NOUVEAU[SOCIETE],"ARTHUR")</f>
        <v>5202.2000000000007</v>
      </c>
      <c r="F31" s="17">
        <f t="shared" si="5"/>
        <v>1.2557865770169623</v>
      </c>
      <c r="G31" s="16">
        <f>+C31-E31</f>
        <v>1004.1499999999996</v>
      </c>
      <c r="H31" s="17">
        <f t="shared" si="6"/>
        <v>19.302410518626726</v>
      </c>
    </row>
    <row r="32" spans="1:8" s="18" customFormat="1" x14ac:dyDescent="0.2">
      <c r="A32" s="13" t="s">
        <v>25</v>
      </c>
      <c r="B32" s="14" t="s">
        <v>2975</v>
      </c>
      <c r="C32" s="23">
        <f>SUMIFS('BAL N ARTHUR'!$G:$G,'BAL N ARTHUR'!$I:$I,$A32,'BAL N ARTHUR'!$J:$J,"T")</f>
        <v>4930.51</v>
      </c>
      <c r="D32" s="17">
        <f t="shared" si="5"/>
        <v>1.0798712838967854</v>
      </c>
      <c r="E32" s="16">
        <f>SUMIFS(DONNEES_N1_NOUVEAU[MONTANT],DONNEES_N1_NOUVEAU[TL2],A32,DONNEES_N1_NOUVEAU[MOIS],DONNÉES!$C$5,DONNEES_N1_NOUVEAU[SOCIETE],"ARTHUR")</f>
        <v>5280.59</v>
      </c>
      <c r="F32" s="17">
        <f t="shared" si="5"/>
        <v>1.2747095537907038</v>
      </c>
      <c r="G32" s="16">
        <f>+C32-E32</f>
        <v>-350.07999999999993</v>
      </c>
      <c r="H32" s="17">
        <f t="shared" si="6"/>
        <v>-6.6295622269481242</v>
      </c>
    </row>
    <row r="33" spans="1:8" ht="13.5" thickBot="1" x14ac:dyDescent="0.25">
      <c r="A33" s="7"/>
      <c r="B33" s="63" t="s">
        <v>2976</v>
      </c>
      <c r="C33" s="49">
        <f>SUM(C28:C32)</f>
        <v>25850.93</v>
      </c>
      <c r="D33" s="50">
        <f t="shared" si="5"/>
        <v>5.6618234156356895</v>
      </c>
      <c r="E33" s="51">
        <f>SUM(E28:E32)</f>
        <v>21886.670000000002</v>
      </c>
      <c r="F33" s="50">
        <f t="shared" si="5"/>
        <v>5.2833390491714729</v>
      </c>
      <c r="G33" s="51">
        <f>SUM(G28:G32)</f>
        <v>3964.26</v>
      </c>
      <c r="H33" s="50">
        <f t="shared" si="6"/>
        <v>18.112668578637134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ARTHUR'!$G:$G,'BAL N ARTHUR'!$I:$I,$A35,'BAL N ARTHUR'!$J:$J,"T")</f>
        <v>11592.97</v>
      </c>
      <c r="D35" s="17">
        <f t="shared" ref="D35:F42" si="7">(C35*100)/C$8</f>
        <v>2.5390710896189068</v>
      </c>
      <c r="E35" s="16">
        <f>SUMIFS(DONNEES_N1_NOUVEAU[MONTANT],DONNEES_N1_NOUVEAU[TL2],A35,DONNEES_N1_NOUVEAU[MOIS],DONNÉES!$C$5,DONNEES_N1_NOUVEAU[SOCIETE],"ARTHUR")</f>
        <v>12523.03</v>
      </c>
      <c r="F35" s="17">
        <f t="shared" si="7"/>
        <v>3.0230004570337026</v>
      </c>
      <c r="G35" s="16">
        <f t="shared" ref="G35:G41" si="8">+C35-E35</f>
        <v>-930.06000000000131</v>
      </c>
      <c r="H35" s="17">
        <f t="shared" ref="H35:H42" si="9">IF(E35=0,0,G35/E35*100)</f>
        <v>-7.42679686944774</v>
      </c>
    </row>
    <row r="36" spans="1:8" s="18" customFormat="1" x14ac:dyDescent="0.2">
      <c r="A36" s="13" t="s">
        <v>30</v>
      </c>
      <c r="B36" s="14" t="s">
        <v>145</v>
      </c>
      <c r="C36" s="23">
        <f>SUMIFS('BAL N ARTHUR'!$G:$G,'BAL N ARTHUR'!$I:$I,$A36,'BAL N ARTHUR'!$J:$J,"T")</f>
        <v>18521.27</v>
      </c>
      <c r="D36" s="17">
        <f t="shared" si="7"/>
        <v>4.0564946860059132</v>
      </c>
      <c r="E36" s="16">
        <f>SUMIFS(DONNEES_N1_NOUVEAU[MONTANT],DONNEES_N1_NOUVEAU[TL2],A36,DONNEES_N1_NOUVEAU[MOIS],DONNÉES!$C$5,DONNEES_N1_NOUVEAU[SOCIETE],"ARTHUR")</f>
        <v>16648.330000000002</v>
      </c>
      <c r="F36" s="17">
        <f t="shared" si="7"/>
        <v>4.0188284463782251</v>
      </c>
      <c r="G36" s="16">
        <f t="shared" si="8"/>
        <v>1872.9399999999987</v>
      </c>
      <c r="H36" s="17">
        <f t="shared" si="9"/>
        <v>11.250017268999345</v>
      </c>
    </row>
    <row r="37" spans="1:8" s="18" customFormat="1" x14ac:dyDescent="0.2">
      <c r="A37" s="13" t="s">
        <v>32</v>
      </c>
      <c r="B37" s="14" t="s">
        <v>19</v>
      </c>
      <c r="C37" s="23">
        <f>SUMIFS('BAL N ARTHUR'!$G:$G,'BAL N ARTHUR'!$I:$I,$A37,'BAL N ARTHUR'!$J:$J,"T")</f>
        <v>6471.76</v>
      </c>
      <c r="D37" s="17">
        <f t="shared" si="7"/>
        <v>1.4174330404505537</v>
      </c>
      <c r="E37" s="16">
        <f>SUMIFS(DONNEES_N1_NOUVEAU[MONTANT],DONNEES_N1_NOUVEAU[TL2],A37,DONNEES_N1_NOUVEAU[MOIS],DONNÉES!$C$5,DONNEES_N1_NOUVEAU[SOCIETE],"ARTHUR")</f>
        <v>5340.46</v>
      </c>
      <c r="F37" s="17">
        <f t="shared" si="7"/>
        <v>1.2891618897958566</v>
      </c>
      <c r="G37" s="16">
        <f t="shared" si="8"/>
        <v>1131.3000000000002</v>
      </c>
      <c r="H37" s="17">
        <f t="shared" si="9"/>
        <v>21.183568456649805</v>
      </c>
    </row>
    <row r="38" spans="1:8" s="18" customFormat="1" x14ac:dyDescent="0.2">
      <c r="A38" s="13" t="s">
        <v>34</v>
      </c>
      <c r="B38" s="14" t="s">
        <v>28</v>
      </c>
      <c r="C38" s="23">
        <f>SUMIFS('BAL N ARTHUR'!$G:$G,'BAL N ARTHUR'!$I:$I,$A38,'BAL N ARTHUR'!$J:$J,"T")</f>
        <v>10280.16</v>
      </c>
      <c r="D38" s="17">
        <f t="shared" si="7"/>
        <v>2.2515418441224897</v>
      </c>
      <c r="E38" s="16">
        <f>SUMIFS(DONNEES_N1_NOUVEAU[MONTANT],DONNEES_N1_NOUVEAU[TL2],A38,DONNEES_N1_NOUVEAU[MOIS],DONNÉES!$C$5,DONNEES_N1_NOUVEAU[SOCIETE],"ARTHUR")</f>
        <v>19150.32</v>
      </c>
      <c r="F38" s="17">
        <f t="shared" si="7"/>
        <v>4.6227970477066371</v>
      </c>
      <c r="G38" s="16">
        <f t="shared" si="8"/>
        <v>-8870.16</v>
      </c>
      <c r="H38" s="17">
        <f t="shared" si="9"/>
        <v>-46.3185993758851</v>
      </c>
    </row>
    <row r="39" spans="1:8" s="18" customFormat="1" x14ac:dyDescent="0.2">
      <c r="A39" s="13" t="s">
        <v>2978</v>
      </c>
      <c r="B39" s="14" t="s">
        <v>2980</v>
      </c>
      <c r="C39" s="23">
        <f>SUMIFS('BAL N ARTHUR'!$G:$G,'BAL N ARTHUR'!$I:$I,$A39,'BAL N ARTHUR'!$J:$J,"T")</f>
        <v>4758.1000000000004</v>
      </c>
      <c r="D39" s="17">
        <f t="shared" si="7"/>
        <v>1.0421103609787414</v>
      </c>
      <c r="E39" s="16">
        <f>SUMIFS(DONNEES_N1_NOUVEAU[MONTANT],DONNEES_N1_NOUVEAU[TL2],A39,DONNEES_N1_NOUVEAU[MOIS],DONNÉES!$C$5,DONNEES_N1_NOUVEAU[SOCIETE],"ARTHUR")</f>
        <v>8848.2899999999991</v>
      </c>
      <c r="F39" s="17">
        <f t="shared" si="7"/>
        <v>2.1359355294977922</v>
      </c>
      <c r="G39" s="16">
        <f t="shared" si="8"/>
        <v>-4090.1899999999987</v>
      </c>
      <c r="H39" s="17">
        <f t="shared" si="9"/>
        <v>-46.225767916738704</v>
      </c>
    </row>
    <row r="40" spans="1:8" s="18" customFormat="1" x14ac:dyDescent="0.2">
      <c r="A40" s="13" t="s">
        <v>2979</v>
      </c>
      <c r="B40" s="14" t="s">
        <v>2981</v>
      </c>
      <c r="C40" s="23">
        <f>SUMIFS('BAL N ARTHUR'!$G:$G,'BAL N ARTHUR'!$I:$I,$A40,'BAL N ARTHUR'!$J:$J,"T")</f>
        <v>244.59</v>
      </c>
      <c r="D40" s="17">
        <f t="shared" si="7"/>
        <v>5.3569654524240846E-2</v>
      </c>
      <c r="E40" s="16">
        <f>SUMIFS(DONNEES_N1_NOUVEAU[MONTANT],DONNEES_N1_NOUVEAU[TL2],A40,DONNEES_N1_NOUVEAU[MOIS],DONNÉES!$C$5,DONNEES_N1_NOUVEAU[SOCIETE],"ARTHUR")</f>
        <v>748.15</v>
      </c>
      <c r="F40" s="17">
        <f t="shared" si="7"/>
        <v>0.18059988612418595</v>
      </c>
      <c r="G40" s="16">
        <f t="shared" si="8"/>
        <v>-503.55999999999995</v>
      </c>
      <c r="H40" s="17">
        <f t="shared" si="9"/>
        <v>-67.307358150103582</v>
      </c>
    </row>
    <row r="41" spans="1:8" s="18" customFormat="1" x14ac:dyDescent="0.2">
      <c r="A41" s="13" t="s">
        <v>2982</v>
      </c>
      <c r="B41" s="14" t="s">
        <v>2983</v>
      </c>
      <c r="C41" s="23">
        <f>SUMIFS('BAL N ARTHUR'!$G:$G,'BAL N ARTHUR'!$I:$I,$A41,'BAL N ARTHUR'!$J:$J,"T")</f>
        <v>737.08</v>
      </c>
      <c r="D41" s="17">
        <f t="shared" si="7"/>
        <v>0.16143391371980637</v>
      </c>
      <c r="E41" s="16">
        <f>SUMIFS(DONNEES_N1_NOUVEAU[MONTANT],DONNEES_N1_NOUVEAU[TL2],A41,DONNEES_N1_NOUVEAU[MOIS],DONNÉES!$C$5,DONNEES_N1_NOUVEAU[SOCIETE],"ARTHUR")</f>
        <v>603.56000000000006</v>
      </c>
      <c r="F41" s="17">
        <f t="shared" si="7"/>
        <v>0.14569654116034711</v>
      </c>
      <c r="G41" s="16">
        <f t="shared" si="8"/>
        <v>133.51999999999998</v>
      </c>
      <c r="H41" s="17">
        <f t="shared" si="9"/>
        <v>22.122075684273305</v>
      </c>
    </row>
    <row r="42" spans="1:8" ht="13.5" thickBot="1" x14ac:dyDescent="0.25">
      <c r="A42" s="13"/>
      <c r="B42" s="63" t="s">
        <v>2984</v>
      </c>
      <c r="C42" s="49">
        <f>+SUM(C35:C41)</f>
        <v>52605.93</v>
      </c>
      <c r="D42" s="50">
        <f t="shared" si="7"/>
        <v>11.521654589420651</v>
      </c>
      <c r="E42" s="51">
        <f>+SUM(E35:E41)</f>
        <v>63862.14</v>
      </c>
      <c r="F42" s="50">
        <f t="shared" si="7"/>
        <v>15.416019797696746</v>
      </c>
      <c r="G42" s="51">
        <f>+SUM(G35:G41)</f>
        <v>-11256.210000000001</v>
      </c>
      <c r="H42" s="50">
        <f t="shared" si="9"/>
        <v>-17.625795189450276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154985.15000000002</v>
      </c>
      <c r="D44" s="71">
        <f>(C44*100)/C$8</f>
        <v>33.944564135441546</v>
      </c>
      <c r="E44" s="72">
        <f>E18-E26-E33-E42</f>
        <v>123467.59999999999</v>
      </c>
      <c r="F44" s="71">
        <f>(E44*100)/E$8</f>
        <v>29.804497092864455</v>
      </c>
      <c r="G44" s="72">
        <f>G18-G26-G33-G42</f>
        <v>31517.550000000025</v>
      </c>
      <c r="H44" s="71">
        <f>IF(E44=0,0,G44/E44*100)</f>
        <v>25.526980357599911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ARTHUR'!$G:$G,'BAL N ARTHUR'!$I:$I,$A46,'BAL N ARTHUR'!$J:$J,"T")</f>
        <v>70348.47</v>
      </c>
      <c r="D46" s="17">
        <f t="shared" ref="D46:F49" si="10">(C46*100)/C$8</f>
        <v>15.407593254871095</v>
      </c>
      <c r="E46" s="16">
        <f>SUMIFS(DONNEES_N1_NOUVEAU[MONTANT],DONNEES_N1_NOUVEAU[TL2],A46,DONNEES_N1_NOUVEAU[MOIS],DONNÉES!$C$5,DONNEES_N1_NOUVEAU[SOCIETE],"ARTHUR")</f>
        <v>62431.24</v>
      </c>
      <c r="F46" s="17">
        <f t="shared" si="10"/>
        <v>15.070607277406568</v>
      </c>
      <c r="G46" s="16">
        <f>+C46-E46</f>
        <v>7917.2300000000032</v>
      </c>
      <c r="H46" s="17">
        <f>IF(E46=0,0,G46/E46*100)</f>
        <v>12.681519700713942</v>
      </c>
    </row>
    <row r="47" spans="1:8" s="18" customFormat="1" x14ac:dyDescent="0.2">
      <c r="A47" s="13" t="s">
        <v>35</v>
      </c>
      <c r="B47" s="14" t="s">
        <v>2986</v>
      </c>
      <c r="C47" s="23">
        <f>SUMIFS('BAL N ARTHUR'!$G:$G,'BAL N ARTHUR'!$I:$I,$A47,'BAL N ARTHUR'!$J:$J,"T")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SUMIFS(DONNEES_N1_NOUVEAU[MONTANT],DONNEES_N1_NOUVEAU[TL2],A47,DONNEES_N1_NOUVEAU[MOIS],DONNÉES!$C$5,DONNEES_N1_NOUVEAU[SOCIETE],"ARTHUR")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ARTHUR'!$G:$G,'BAL N ARTHUR'!$I:$I,$A48,'BAL N ARTHUR'!$J:$J,"T")</f>
        <v>-2397.6799999999998</v>
      </c>
      <c r="D48" s="17">
        <f t="shared" si="10"/>
        <v>-0.52513548902114471</v>
      </c>
      <c r="E48" s="16">
        <f>SUMIFS(DONNEES_N1_NOUVEAU[MONTANT],DONNEES_N1_NOUVEAU[TL2],A48,DONNEES_N1_NOUVEAU[MOIS],DONNÉES!$C$5,DONNEES_N1_NOUVEAU[SOCIETE],"ARTHUR")</f>
        <v>0</v>
      </c>
      <c r="F48" s="17">
        <f t="shared" si="10"/>
        <v>0</v>
      </c>
      <c r="G48" s="16">
        <f>+C48-E48</f>
        <v>-2397.6799999999998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67950.790000000008</v>
      </c>
      <c r="D49" s="50">
        <f t="shared" si="10"/>
        <v>14.882457765849953</v>
      </c>
      <c r="E49" s="51">
        <f>SUM(E46:E48)</f>
        <v>62431.24</v>
      </c>
      <c r="F49" s="50">
        <f t="shared" si="10"/>
        <v>15.070607277406568</v>
      </c>
      <c r="G49" s="51">
        <f>SUM(G46:G48)</f>
        <v>5519.5500000000029</v>
      </c>
      <c r="H49" s="50">
        <f>IF(E49=0,0,G49/E49*100)</f>
        <v>8.8410065217349558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ARTHUR'!$G:$G,'BAL N ARTHUR'!$I:$I,$A51,'BAL N ARTHUR'!$J:$J,"T")</f>
        <v>0</v>
      </c>
      <c r="D51" s="17">
        <f t="shared" ref="D51:F59" si="11">(C51*100)/C$8</f>
        <v>0</v>
      </c>
      <c r="E51" s="16">
        <f>SUMIFS(DONNEES_N1_NOUVEAU[MONTANT],DONNEES_N1_NOUVEAU[TL2],A51,DONNEES_N1_NOUVEAU[MOIS],DONNÉES!$C$5,DONNEES_N1_NOUVEAU[SOCIETE],"ARTHUR")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ARTHUR'!$G:$G,'BAL N ARTHUR'!$I:$I,$A52,'BAL N ARTHUR'!$J:$J,"T")</f>
        <v>23449.49</v>
      </c>
      <c r="D52" s="17">
        <f t="shared" si="11"/>
        <v>5.1358644182903657</v>
      </c>
      <c r="E52" s="16">
        <f>SUMIFS(DONNEES_N1_NOUVEAU[MONTANT],DONNEES_N1_NOUVEAU[TL2],A52,DONNEES_N1_NOUVEAU[MOIS],DONNÉES!$C$5,DONNEES_N1_NOUVEAU[SOCIETE],"ARTHUR")</f>
        <v>20810.41</v>
      </c>
      <c r="F52" s="17">
        <f t="shared" si="11"/>
        <v>5.023534954484556</v>
      </c>
      <c r="G52" s="16">
        <f t="shared" si="12"/>
        <v>2639.0800000000017</v>
      </c>
      <c r="H52" s="17">
        <f t="shared" si="13"/>
        <v>12.681537749616666</v>
      </c>
    </row>
    <row r="53" spans="1:8" s="18" customFormat="1" x14ac:dyDescent="0.2">
      <c r="A53" s="13" t="s">
        <v>44</v>
      </c>
      <c r="B53" s="14" t="s">
        <v>62</v>
      </c>
      <c r="C53" s="23">
        <f>SUMIFS('BAL N ARTHUR'!$G:$G,'BAL N ARTHUR'!$I:$I,$A53,'BAL N ARTHUR'!$J:$J,"T")</f>
        <v>1696</v>
      </c>
      <c r="D53" s="17">
        <f t="shared" si="11"/>
        <v>0.37145481856622298</v>
      </c>
      <c r="E53" s="16">
        <f>SUMIFS(DONNEES_N1_NOUVEAU[MONTANT],DONNEES_N1_NOUVEAU[TL2],A53,DONNEES_N1_NOUVEAU[MOIS],DONNÉES!$C$5,DONNEES_N1_NOUVEAU[SOCIETE],"ARTHUR")</f>
        <v>1210</v>
      </c>
      <c r="F53" s="17">
        <f t="shared" si="11"/>
        <v>0.29208830075555037</v>
      </c>
      <c r="G53" s="16">
        <f t="shared" si="12"/>
        <v>486</v>
      </c>
      <c r="H53" s="17">
        <f t="shared" si="13"/>
        <v>40.165289256198342</v>
      </c>
    </row>
    <row r="54" spans="1:8" s="18" customFormat="1" x14ac:dyDescent="0.2">
      <c r="A54" s="13" t="s">
        <v>45</v>
      </c>
      <c r="B54" s="14" t="s">
        <v>41</v>
      </c>
      <c r="C54" s="23">
        <f>SUMIFS('BAL N ARTHUR'!$G:$G,'BAL N ARTHUR'!$I:$I,$A54,'BAL N ARTHUR'!$J:$J,"T")</f>
        <v>2135.29</v>
      </c>
      <c r="D54" s="17">
        <f t="shared" si="11"/>
        <v>0.46766731104732912</v>
      </c>
      <c r="E54" s="16">
        <f>SUMIFS(DONNEES_N1_NOUVEAU[MONTANT],DONNEES_N1_NOUVEAU[TL2],A54,DONNEES_N1_NOUVEAU[MOIS],DONNÉES!$C$5,DONNEES_N1_NOUVEAU[SOCIETE],"ARTHUR")</f>
        <v>1883.9799999999998</v>
      </c>
      <c r="F54" s="17">
        <f t="shared" si="11"/>
        <v>0.45478389822929066</v>
      </c>
      <c r="G54" s="16">
        <f t="shared" si="12"/>
        <v>251.31000000000017</v>
      </c>
      <c r="H54" s="17">
        <f t="shared" si="13"/>
        <v>13.339313580823585</v>
      </c>
    </row>
    <row r="55" spans="1:8" s="18" customFormat="1" x14ac:dyDescent="0.2">
      <c r="A55" s="13" t="s">
        <v>47</v>
      </c>
      <c r="B55" s="14" t="s">
        <v>43</v>
      </c>
      <c r="C55" s="23">
        <f>SUMIFS('BAL N ARTHUR'!$G:$G,'BAL N ARTHUR'!$I:$I,$A55,'BAL N ARTHUR'!$J:$J,"T")</f>
        <v>4065.82</v>
      </c>
      <c r="D55" s="17">
        <f t="shared" si="11"/>
        <v>0.89048846133426918</v>
      </c>
      <c r="E55" s="16">
        <f>SUMIFS(DONNEES_N1_NOUVEAU[MONTANT],DONNEES_N1_NOUVEAU[TL2],A55,DONNEES_N1_NOUVEAU[MOIS],DONNÉES!$C$5,DONNEES_N1_NOUVEAU[SOCIETE],"ARTHUR")</f>
        <v>4259.12</v>
      </c>
      <c r="F55" s="17">
        <f t="shared" si="11"/>
        <v>1.0281315070363468</v>
      </c>
      <c r="G55" s="16">
        <f t="shared" si="12"/>
        <v>-193.29999999999973</v>
      </c>
      <c r="H55" s="17">
        <f t="shared" si="13"/>
        <v>-4.5384962151805945</v>
      </c>
    </row>
    <row r="56" spans="1:8" s="18" customFormat="1" x14ac:dyDescent="0.2">
      <c r="A56" s="13" t="s">
        <v>48</v>
      </c>
      <c r="B56" s="14" t="s">
        <v>46</v>
      </c>
      <c r="C56" s="23">
        <f>SUMIFS('BAL N ARTHUR'!$G:$G,'BAL N ARTHUR'!$I:$I,$A56,'BAL N ARTHUR'!$J:$J,"T")</f>
        <v>7700</v>
      </c>
      <c r="D56" s="17">
        <f t="shared" si="11"/>
        <v>1.6864399191980641</v>
      </c>
      <c r="E56" s="16">
        <f>SUMIFS(DONNEES_N1_NOUVEAU[MONTANT],DONNEES_N1_NOUVEAU[TL2],A56,DONNEES_N1_NOUVEAU[MOIS],DONNÉES!$C$5,DONNEES_N1_NOUVEAU[SOCIETE],"ARTHUR")</f>
        <v>10000</v>
      </c>
      <c r="F56" s="17">
        <f t="shared" si="11"/>
        <v>2.4139528988062016</v>
      </c>
      <c r="G56" s="16">
        <f t="shared" si="12"/>
        <v>-2300</v>
      </c>
      <c r="H56" s="17">
        <f t="shared" si="13"/>
        <v>-23</v>
      </c>
    </row>
    <row r="57" spans="1:8" s="18" customFormat="1" x14ac:dyDescent="0.2">
      <c r="A57" s="13" t="s">
        <v>50</v>
      </c>
      <c r="B57" s="14" t="s">
        <v>2990</v>
      </c>
      <c r="C57" s="23">
        <f>SUMIFS('BAL N ARTHUR'!$G:$G,'BAL N ARTHUR'!$I:$I,$A57,'BAL N ARTHUR'!$J:$J,"T")</f>
        <v>1020.5</v>
      </c>
      <c r="D57" s="17">
        <f t="shared" si="11"/>
        <v>0.2235080438365746</v>
      </c>
      <c r="E57" s="16">
        <f>SUMIFS(DONNEES_N1_NOUVEAU[MONTANT],DONNEES_N1_NOUVEAU[TL2],A57,DONNEES_N1_NOUVEAU[MOIS],DONNÉES!$C$5,DONNEES_N1_NOUVEAU[SOCIETE],"ARTHUR")</f>
        <v>1020.5</v>
      </c>
      <c r="F57" s="17">
        <f t="shared" si="11"/>
        <v>0.24634389332317286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ARTHUR'!$G:$G,'BAL N ARTHUR'!$I:$I,$A58,'BAL N ARTHUR'!$J:$J,"T")</f>
        <v>0</v>
      </c>
      <c r="D58" s="17">
        <f t="shared" si="11"/>
        <v>0</v>
      </c>
      <c r="E58" s="16">
        <f>SUMIFS(DONNEES_N1_NOUVEAU[MONTANT],DONNEES_N1_NOUVEAU[TL2],A58,DONNEES_N1_NOUVEAU[MOIS],DONNÉES!$C$5,DONNEES_N1_NOUVEAU[SOCIETE],"ARTHUR")</f>
        <v>35</v>
      </c>
      <c r="F58" s="17">
        <f t="shared" si="11"/>
        <v>8.4488351458217054E-3</v>
      </c>
      <c r="G58" s="16">
        <f t="shared" si="12"/>
        <v>-35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40067.100000000006</v>
      </c>
      <c r="D59" s="50">
        <f t="shared" si="11"/>
        <v>8.7754229722728265</v>
      </c>
      <c r="E59" s="51">
        <f>SUM(E51:E58)</f>
        <v>39219.009999999995</v>
      </c>
      <c r="F59" s="50">
        <f t="shared" si="11"/>
        <v>9.4672842877809398</v>
      </c>
      <c r="G59" s="51">
        <f>SUM(G51:G58)</f>
        <v>848.09000000000242</v>
      </c>
      <c r="H59" s="50">
        <f t="shared" si="13"/>
        <v>2.1624462218704719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291448.75</v>
      </c>
      <c r="D61" s="71">
        <f>(C61*100)/C$8</f>
        <v>63.832572259789195</v>
      </c>
      <c r="E61" s="72">
        <f>E59+E49+E42+E33+E26</f>
        <v>290253.67000000004</v>
      </c>
      <c r="F61" s="71">
        <f>(E61*100)/E$8</f>
        <v>70.065868808563863</v>
      </c>
      <c r="G61" s="72">
        <f>G59+G49+G42+G33+G26</f>
        <v>1195.0799999999972</v>
      </c>
      <c r="H61" s="71">
        <f>IF(E61=0,0,G61/E61*100)</f>
        <v>0.41173639596012584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ARTHUR'!$G:$G,'BAL N ARTHUR'!$I:$I,$A63,'BAL N ARTHUR'!$J:$J,"T")</f>
        <v>6808.18</v>
      </c>
      <c r="D63" s="17">
        <f t="shared" ref="D63:F65" si="14">(C63*100)/C$8</f>
        <v>1.4911151336475164</v>
      </c>
      <c r="E63" s="16">
        <f>-SUMIFS(DONNEES_N1_NOUVEAU[MONTANT],DONNEES_N1_NOUVEAU[TL2],A63,DONNEES_N1_NOUVEAU[MOIS],DONNÉES!$C$5,DONNEES_N1_NOUVEAU[SOCIETE],"ARTHUR")</f>
        <v>4658.5599999999995</v>
      </c>
      <c r="F63" s="17">
        <f t="shared" si="14"/>
        <v>1.1245544416262616</v>
      </c>
      <c r="G63" s="16">
        <f>+C63-E63</f>
        <v>2149.6200000000008</v>
      </c>
      <c r="H63" s="17">
        <f>IF(E63=0,0,G63/E63*100)</f>
        <v>46.143443467509293</v>
      </c>
    </row>
    <row r="64" spans="1:8" s="18" customFormat="1" x14ac:dyDescent="0.2">
      <c r="A64" s="13" t="s">
        <v>2992</v>
      </c>
      <c r="B64" s="68" t="s">
        <v>65</v>
      </c>
      <c r="C64" s="23">
        <f>SUMIFS('BAL N ARTHUR'!$G:$G,'BAL N ARTHUR'!$I:$I,$A64,'BAL N ARTHUR'!$J:$J,"T")</f>
        <v>6548.99</v>
      </c>
      <c r="D64" s="17">
        <f t="shared" si="14"/>
        <v>1.434347813821939</v>
      </c>
      <c r="E64" s="24">
        <f>SUMIFS(DONNEES_N1_NOUVEAU[MONTANT],DONNEES_N1_NOUVEAU[TL2],A64,DONNEES_N1_NOUVEAU[MOIS],DONNÉES!$C$5,DONNEES_N1_NOUVEAU[SOCIETE],"ARTHUR")</f>
        <v>4431.8</v>
      </c>
      <c r="F64" s="17">
        <f t="shared" si="14"/>
        <v>1.0698156456929324</v>
      </c>
      <c r="G64" s="16">
        <f>+C64-E64</f>
        <v>2117.1899999999996</v>
      </c>
      <c r="H64" s="17">
        <f>IF(E64=0,0,G64/E64*100)</f>
        <v>47.772688298208394</v>
      </c>
    </row>
    <row r="65" spans="1:9" s="59" customFormat="1" ht="13.5" x14ac:dyDescent="0.2">
      <c r="A65" s="13"/>
      <c r="B65" s="62" t="s">
        <v>53</v>
      </c>
      <c r="C65" s="67">
        <f>+C63-C64</f>
        <v>259.19000000000051</v>
      </c>
      <c r="D65" s="56">
        <f t="shared" si="14"/>
        <v>5.6767319825577547E-2</v>
      </c>
      <c r="E65" s="57">
        <f>+E63-E64</f>
        <v>226.75999999999931</v>
      </c>
      <c r="F65" s="56">
        <f t="shared" si="14"/>
        <v>5.4738795933329254E-2</v>
      </c>
      <c r="G65" s="58">
        <f>+G63-G64</f>
        <v>32.430000000001201</v>
      </c>
      <c r="H65" s="56">
        <f>IF(E65=0,0,G65/E65*100)</f>
        <v>14.301464103016977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ARTHUR'!$G:$G,'BAL N ARTHUR'!$I:$I,$A67,'BAL N ARTHUR'!$J:$J,"T")</f>
        <v>-18.14</v>
      </c>
      <c r="D67" s="17">
        <f>(C67*100)/C$8</f>
        <v>-3.9729896278250494E-3</v>
      </c>
      <c r="E67" s="16">
        <f>-SUMIFS(DONNEES_N1_NOUVEAU[MONTANT],DONNEES_N1_NOUVEAU[TL2],A67,DONNEES_N1_NOUVEAU[MOIS],DONNÉES!$C$5,DONNEES_N1_NOUVEAU[SOCIETE],"ARTHUR")</f>
        <v>-33.549999999999997</v>
      </c>
      <c r="F67" s="17">
        <f>(E67*100)/E$8</f>
        <v>-8.0988119754948039E-3</v>
      </c>
      <c r="G67" s="16">
        <f>+C67-E67</f>
        <v>15.409999999999997</v>
      </c>
      <c r="H67" s="17">
        <f>IF(E67=0,0,G67/E67*100)</f>
        <v>-45.931445603576741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47208.310000000012</v>
      </c>
      <c r="D69" s="10">
        <f>(C69*100)/C$8</f>
        <v>10.339477727516517</v>
      </c>
      <c r="E69" s="9">
        <f>E18-E61+E65+E67</f>
        <v>22010.559999999976</v>
      </c>
      <c r="F69" s="10">
        <f>(E69*100)/E$8</f>
        <v>5.3132455116347765</v>
      </c>
      <c r="G69" s="9">
        <f>G18-G61+G65+G67</f>
        <v>25197.750000000022</v>
      </c>
      <c r="H69" s="10">
        <f>IF(E69=0,0,G69/E69*100)</f>
        <v>114.48027673989233</v>
      </c>
    </row>
    <row r="70" spans="1:9" ht="13.5" thickBot="1" x14ac:dyDescent="0.25">
      <c r="A70" s="13"/>
      <c r="B70" s="63" t="s">
        <v>3034</v>
      </c>
      <c r="C70" s="49">
        <f>+C69-C67+C57+C56</f>
        <v>55946.950000000012</v>
      </c>
      <c r="D70" s="50">
        <f>(C70*100)/C$8</f>
        <v>12.25339868017898</v>
      </c>
      <c r="E70" s="49">
        <f>+E69-E67+E57+E56</f>
        <v>33064.609999999971</v>
      </c>
      <c r="F70" s="50">
        <f>(E70*100)/E$8</f>
        <v>7.9816411157396452</v>
      </c>
      <c r="G70" s="49">
        <f>+G69-G67+G57+G56</f>
        <v>22882.340000000022</v>
      </c>
      <c r="H70" s="50">
        <f>IF(E70=0,0,G70/E70*100)</f>
        <v>69.204929379176221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ARTHUR'!$G:$G,'BAL N ARTHUR'!$I:$I,$A72,'BAL N ARTHUR'!$J:$J,"T")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-SUMIFS(DONNEES_N1_NOUVEAU[MONTANT],DONNEES_N1_NOUVEAU[TL2],A72,DONNEES_N1_NOUVEAU[MOIS],DONNÉES!$C$5,DONNEES_N1_NOUVEAU[SOCIETE],"ARTHUR")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ARTHUR'!$G:$G,'BAL N ARTHUR'!$I:$I,$A74,'BAL N ARTHUR'!$J:$J,"T")</f>
        <v>29505</v>
      </c>
      <c r="D74" s="10">
        <f>(C74*100)/C$8</f>
        <v>6.4621311449271275</v>
      </c>
      <c r="E74" s="9">
        <f>SUMIFS(DONNEES_N1_NOUVEAU[MONTANT],DONNEES_N1_NOUVEAU[TL2],A74,DONNEES_N1_NOUVEAU[MOIS],DONNÉES!$C$5,DONNEES_N1_NOUVEAU[SOCIETE],"ARTHUR")</f>
        <v>24700</v>
      </c>
      <c r="F74" s="10">
        <f>(E74*100)/E$8</f>
        <v>5.9624636600513172</v>
      </c>
      <c r="G74" s="9">
        <f>+C74-E74</f>
        <v>4805</v>
      </c>
      <c r="H74" s="10">
        <f>IF(E74=0,0,G74/E74*100)</f>
        <v>19.453441295546558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17703.310000000012</v>
      </c>
      <c r="D76" s="71">
        <f>(C76*100)/C$8</f>
        <v>3.8773465825893898</v>
      </c>
      <c r="E76" s="72">
        <f>E69-E74+E72</f>
        <v>-2689.4400000000242</v>
      </c>
      <c r="F76" s="71">
        <f>(E76*100)/E$8</f>
        <v>-0.64921814841654091</v>
      </c>
      <c r="G76" s="72">
        <f>G69-G74+G72</f>
        <v>20392.750000000022</v>
      </c>
      <c r="H76" s="71">
        <f>IF(E76=0,0,G76/E76*100)</f>
        <v>-758.25264739127249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VLOOKUP(PARAMETRES!$C$2,TRANSARTH[],2,FALSE)</f>
        <v>28852</v>
      </c>
      <c r="D78" s="324"/>
      <c r="E78" s="323">
        <f>VLOOKUP(PARAMETRES!$C$2,TRANSARTH[],3,FALSE)</f>
        <v>25677</v>
      </c>
      <c r="F78" s="324"/>
      <c r="G78" s="325">
        <f>C78-E78</f>
        <v>3175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VLOOKUP(PARAMETRES!$C$2,PMARTH[],2,FALSE)</f>
        <v>16.260000000000002</v>
      </c>
      <c r="D80" s="316"/>
      <c r="E80" s="315">
        <f>VLOOKUP(PARAMETRES!$C$2,PMARTH[],3,FALSE)</f>
        <v>16.399999999999999</v>
      </c>
      <c r="F80" s="316"/>
      <c r="G80" s="330">
        <f>C80-E80</f>
        <v>-0.13999999999999702</v>
      </c>
      <c r="H80" s="331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CD4C6-353E-455A-96A1-096DA365709D}">
  <sheetPr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A660C-D098-41B8-85A0-ECB8EA709839}">
  <sheetPr>
    <tabColor rgb="FFFFFF00"/>
    <pageSetUpPr fitToPage="1"/>
  </sheetPr>
  <dimension ref="A1:I81"/>
  <sheetViews>
    <sheetView showGridLines="0" topLeftCell="B46" zoomScaleNormal="100" zoomScaleSheetLayoutView="115" zoomScalePageLayoutView="85" workbookViewId="0">
      <selection activeCell="D46" sqref="D1:I104857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6968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HUGO'!$G:$G,'BAL N HUGO'!$I:$I,$A8,'BAL N HUGO'!$J:$J,"T")</f>
        <v>539353.96</v>
      </c>
      <c r="D8" s="71">
        <f>(C8*100)/C$8</f>
        <v>100</v>
      </c>
      <c r="E8" s="72">
        <f>-SUMIFS(DONNEES_N1_NOUVEAU[MONTANT],DONNEES_N1_NOUVEAU[TL2],A8,DONNEES_N1_NOUVEAU[MOIS],DONNÉES!$C$5,DONNEES_N1_NOUVEAU[SOCIETE],"HUGO")</f>
        <v>507935.03</v>
      </c>
      <c r="F8" s="71">
        <f>(E8*100)/E$8</f>
        <v>100</v>
      </c>
      <c r="G8" s="72">
        <f>+C8-E8</f>
        <v>31418.929999999935</v>
      </c>
      <c r="H8" s="71">
        <f>IF(E8=0,0,G8/E8*100)</f>
        <v>6.1856198419707207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HUGO'!$G:$G,'BAL N HUGO'!$I:$I,$A10,'BAL N HUGO'!$J:$J,"T")</f>
        <v>122091.34</v>
      </c>
      <c r="D10" s="17">
        <f t="shared" ref="D10:F16" si="0">(C10*100)/C$8</f>
        <v>22.636589151955054</v>
      </c>
      <c r="E10" s="16">
        <f>SUMIFS(DONNEES_N1_NOUVEAU[MONTANT],DONNEES_N1_NOUVEAU[TL2],A10,DONNEES_N1_NOUVEAU[MOIS],DONNÉES!$C$5,DONNEES_N1_NOUVEAU[SOCIETE],"HUGO")</f>
        <v>113230.04000000001</v>
      </c>
      <c r="F10" s="17">
        <f t="shared" si="0"/>
        <v>22.292228988420032</v>
      </c>
      <c r="G10" s="16">
        <f>+C10-E10</f>
        <v>8861.2999999999884</v>
      </c>
      <c r="H10" s="17">
        <f t="shared" ref="H10:H16" si="1">IF(E10=0,0,G10/E10*100)</f>
        <v>7.8259267593652604</v>
      </c>
    </row>
    <row r="11" spans="1:8" s="18" customFormat="1" x14ac:dyDescent="0.2">
      <c r="A11" s="13" t="s">
        <v>124</v>
      </c>
      <c r="B11" s="14" t="s">
        <v>4</v>
      </c>
      <c r="C11" s="23">
        <f>SUMIFS('BAL N HUGO'!$G:$G,'BAL N HUGO'!$I:$I,$A11,'BAL N HUGO'!$J:$J,"T")</f>
        <v>1881.18</v>
      </c>
      <c r="D11" s="17">
        <f t="shared" si="0"/>
        <v>0.34878394143986635</v>
      </c>
      <c r="E11" s="16">
        <f>SUMIFS(DONNEES_N1_NOUVEAU[MONTANT],DONNEES_N1_NOUVEAU[TL2],A11,DONNEES_N1_NOUVEAU[MOIS],DONNÉES!$C$5,DONNEES_N1_NOUVEAU[SOCIETE],"HUGO")</f>
        <v>2216.9899999999998</v>
      </c>
      <c r="F11" s="17">
        <f t="shared" si="0"/>
        <v>0.43647117624472553</v>
      </c>
      <c r="G11" s="16">
        <f>+C11-E11</f>
        <v>-335.80999999999972</v>
      </c>
      <c r="H11" s="17">
        <f t="shared" si="1"/>
        <v>-15.147113879629575</v>
      </c>
    </row>
    <row r="12" spans="1:8" s="18" customFormat="1" x14ac:dyDescent="0.2">
      <c r="A12" s="13" t="s">
        <v>125</v>
      </c>
      <c r="B12" s="14" t="s">
        <v>2</v>
      </c>
      <c r="C12" s="23">
        <f>SUMIFS('BAL N HUGO'!$G:$G,'BAL N HUGO'!$I:$I,$A12,'BAL N HUGO'!$J:$J,"T")</f>
        <v>3908.97</v>
      </c>
      <c r="D12" s="17">
        <f t="shared" si="0"/>
        <v>0.72475040324168571</v>
      </c>
      <c r="E12" s="16">
        <f>SUMIFS(DONNEES_N1_NOUVEAU[MONTANT],DONNEES_N1_NOUVEAU[TL2],A12,DONNEES_N1_NOUVEAU[MOIS],DONNÉES!$C$5,DONNEES_N1_NOUVEAU[SOCIETE],"HUGO")</f>
        <v>4094.03</v>
      </c>
      <c r="F12" s="17">
        <f t="shared" si="0"/>
        <v>0.80601450150031984</v>
      </c>
      <c r="G12" s="16">
        <f>+C12-E12</f>
        <v>-185.0600000000004</v>
      </c>
      <c r="H12" s="17">
        <f t="shared" si="1"/>
        <v>-4.5202404476762599</v>
      </c>
    </row>
    <row r="13" spans="1:8" s="59" customFormat="1" ht="13.5" x14ac:dyDescent="0.2">
      <c r="A13" s="60"/>
      <c r="B13" s="62" t="s">
        <v>6</v>
      </c>
      <c r="C13" s="55">
        <f>SUM(C10:C12)</f>
        <v>127881.48999999999</v>
      </c>
      <c r="D13" s="56">
        <f t="shared" si="0"/>
        <v>23.710123496636609</v>
      </c>
      <c r="E13" s="55">
        <f>SUM(E10:E12)</f>
        <v>119541.06000000001</v>
      </c>
      <c r="F13" s="56">
        <f t="shared" si="0"/>
        <v>23.534714666165083</v>
      </c>
      <c r="G13" s="55">
        <f>SUM(G10:G12)</f>
        <v>8340.4299999999894</v>
      </c>
      <c r="H13" s="56">
        <f t="shared" si="1"/>
        <v>6.9770420305792742</v>
      </c>
    </row>
    <row r="14" spans="1:8" s="18" customFormat="1" x14ac:dyDescent="0.2">
      <c r="A14" s="13" t="s">
        <v>126</v>
      </c>
      <c r="B14" s="14" t="s">
        <v>8</v>
      </c>
      <c r="C14" s="23">
        <f>SUMIFS('BAL N HUGO'!$G:$G,'BAL N HUGO'!$I:$I,$A14,'BAL N HUGO'!$J:$J,"T")</f>
        <v>12190.04</v>
      </c>
      <c r="D14" s="17">
        <f t="shared" si="0"/>
        <v>2.2601187539255299</v>
      </c>
      <c r="E14" s="16">
        <f>SUMIFS(DONNEES_N1_NOUVEAU[MONTANT],DONNEES_N1_NOUVEAU[TL2],A14,DONNEES_N1_NOUVEAU[MOIS],DONNÉES!$C$5,DONNEES_N1_NOUVEAU[SOCIETE],"HUGO")</f>
        <v>10792.77</v>
      </c>
      <c r="F14" s="17">
        <f t="shared" si="0"/>
        <v>2.1248327763493688</v>
      </c>
      <c r="G14" s="16">
        <f>+C14-E14</f>
        <v>1397.2700000000004</v>
      </c>
      <c r="H14" s="17">
        <f t="shared" si="1"/>
        <v>12.946352048639973</v>
      </c>
    </row>
    <row r="15" spans="1:8" s="18" customFormat="1" x14ac:dyDescent="0.2">
      <c r="A15" s="13" t="s">
        <v>2964</v>
      </c>
      <c r="B15" s="14" t="s">
        <v>2965</v>
      </c>
      <c r="C15" s="23">
        <f>SUMIFS('BAL N HUGO'!$G:$G,'BAL N HUGO'!$I:$I,$A15,'BAL N HUGO'!$J:$J,"T")</f>
        <v>156</v>
      </c>
      <c r="D15" s="17">
        <f t="shared" si="0"/>
        <v>2.8923492097842392E-2</v>
      </c>
      <c r="E15" s="16">
        <f>SUMIFS(DONNEES_N1_NOUVEAU[MONTANT],DONNEES_N1_NOUVEAU[TL2],A15,DONNEES_N1_NOUVEAU[MOIS],DONNÉES!$C$5,DONNEES_N1_NOUVEAU[SOCIETE],"HUGO")</f>
        <v>1048.92</v>
      </c>
      <c r="F15" s="17">
        <f t="shared" si="0"/>
        <v>0.20650672587003893</v>
      </c>
      <c r="G15" s="16">
        <f>+C15-E15</f>
        <v>-892.92000000000007</v>
      </c>
      <c r="H15" s="17">
        <f t="shared" si="1"/>
        <v>-85.12755977576937</v>
      </c>
    </row>
    <row r="16" spans="1:8" ht="13.5" thickBot="1" x14ac:dyDescent="0.25">
      <c r="A16" s="7"/>
      <c r="B16" s="63" t="s">
        <v>10</v>
      </c>
      <c r="C16" s="49">
        <f>+C13+SUM(C14:C15)</f>
        <v>140227.53</v>
      </c>
      <c r="D16" s="50">
        <f t="shared" si="0"/>
        <v>25.999165742659979</v>
      </c>
      <c r="E16" s="49">
        <f>+E13+SUM(E14:E15)</f>
        <v>131382.75</v>
      </c>
      <c r="F16" s="50">
        <f t="shared" si="0"/>
        <v>25.866054168384487</v>
      </c>
      <c r="G16" s="49">
        <f>+G13+SUM(G14:G15)</f>
        <v>8844.7799999999897</v>
      </c>
      <c r="H16" s="50">
        <f t="shared" si="1"/>
        <v>6.7320709910547532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399126.42999999993</v>
      </c>
      <c r="D18" s="71">
        <f>(C18*100)/C$8</f>
        <v>74.000834257340017</v>
      </c>
      <c r="E18" s="70">
        <f>E8-E16</f>
        <v>376552.28</v>
      </c>
      <c r="F18" s="71">
        <f>(E18*100)/E$8</f>
        <v>74.133945831615506</v>
      </c>
      <c r="G18" s="70">
        <f>G8-G16</f>
        <v>22574.149999999943</v>
      </c>
      <c r="H18" s="71">
        <f>IF(E18=0,0,G18/E18*100)</f>
        <v>5.9949577253920605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HUGO'!$G:$G,'BAL N HUGO'!$I:$I,$A20,'BAL N HUGO'!$J:$J,"T")</f>
        <v>72086.84</v>
      </c>
      <c r="D20" s="17">
        <f t="shared" ref="D20:F26" si="2">(C20*100)/C$8</f>
        <v>13.365404789092493</v>
      </c>
      <c r="E20" s="16">
        <f>SUMIFS(DONNEES_N1_NOUVEAU[MONTANT],DONNEES_N1_NOUVEAU[TL2],A20,DONNEES_N1_NOUVEAU[MOIS],DONNÉES!$C$5,DONNEES_N1_NOUVEAU[SOCIETE],"HUGO")</f>
        <v>70920.37000000001</v>
      </c>
      <c r="F20" s="17">
        <f t="shared" si="2"/>
        <v>13.962488470228172</v>
      </c>
      <c r="G20" s="16">
        <f t="shared" ref="G20:G25" si="3">+C20-E20</f>
        <v>1166.4699999999866</v>
      </c>
      <c r="H20" s="17">
        <f t="shared" ref="H20:H26" si="4">IF(E20=0,0,G20/E20*100)</f>
        <v>1.6447601725709926</v>
      </c>
    </row>
    <row r="21" spans="1:8" s="18" customFormat="1" x14ac:dyDescent="0.2">
      <c r="A21" s="13">
        <v>9</v>
      </c>
      <c r="B21" s="14" t="s">
        <v>2968</v>
      </c>
      <c r="C21" s="23">
        <f>SUMIFS('BAL N HUGO'!$G:$G,'BAL N HUGO'!$I:$I,$A21,'BAL N HUGO'!$J:$J,"T")</f>
        <v>10795.29</v>
      </c>
      <c r="D21" s="17">
        <f t="shared" si="2"/>
        <v>2.0015223398007498</v>
      </c>
      <c r="E21" s="16">
        <f>SUMIFS(DONNEES_N1_NOUVEAU[MONTANT],DONNEES_N1_NOUVEAU[TL2],A21,DONNEES_N1_NOUVEAU[MOIS],DONNÉES!$C$5,DONNEES_N1_NOUVEAU[SOCIETE],"HUGO")</f>
        <v>14430.77</v>
      </c>
      <c r="F21" s="17">
        <f t="shared" si="2"/>
        <v>2.8410661103645478</v>
      </c>
      <c r="G21" s="16">
        <f t="shared" si="3"/>
        <v>-3635.4799999999996</v>
      </c>
      <c r="H21" s="17">
        <f t="shared" si="4"/>
        <v>-25.192557292507605</v>
      </c>
    </row>
    <row r="22" spans="1:8" s="18" customFormat="1" x14ac:dyDescent="0.2">
      <c r="A22" s="13" t="s">
        <v>12</v>
      </c>
      <c r="B22" s="14" t="s">
        <v>14</v>
      </c>
      <c r="C22" s="23">
        <f>SUMIFS('BAL N HUGO'!$G:$G,'BAL N HUGO'!$I:$I,$A22,'BAL N HUGO'!$J:$J,"T")</f>
        <v>24772.49</v>
      </c>
      <c r="D22" s="17">
        <f t="shared" si="2"/>
        <v>4.5929930689671776</v>
      </c>
      <c r="E22" s="16">
        <f>SUMIFS(DONNEES_N1_NOUVEAU[MONTANT],DONNEES_N1_NOUVEAU[TL2],A22,DONNEES_N1_NOUVEAU[MOIS],DONNÉES!$C$5,DONNEES_N1_NOUVEAU[SOCIETE],"HUGO")</f>
        <v>29840.020000000004</v>
      </c>
      <c r="F22" s="17">
        <f t="shared" si="2"/>
        <v>5.8747710312478354</v>
      </c>
      <c r="G22" s="16">
        <f t="shared" si="3"/>
        <v>-5067.5300000000025</v>
      </c>
      <c r="H22" s="17">
        <f t="shared" si="4"/>
        <v>-16.98232775983395</v>
      </c>
    </row>
    <row r="23" spans="1:8" s="18" customFormat="1" x14ac:dyDescent="0.2">
      <c r="A23" s="13" t="s">
        <v>13</v>
      </c>
      <c r="B23" s="14" t="s">
        <v>2966</v>
      </c>
      <c r="C23" s="23">
        <f>SUMIFS('BAL N HUGO'!$G:$G,'BAL N HUGO'!$I:$I,$A23,'BAL N HUGO'!$J:$J,"T")</f>
        <v>7984.86</v>
      </c>
      <c r="D23" s="17">
        <f t="shared" si="2"/>
        <v>1.4804489430280627</v>
      </c>
      <c r="E23" s="16">
        <f>SUMIFS(DONNEES_N1_NOUVEAU[MONTANT],DONNEES_N1_NOUVEAU[TL2],A23,DONNEES_N1_NOUVEAU[MOIS],DONNÉES!$C$5,DONNEES_N1_NOUVEAU[SOCIETE],"HUGO")</f>
        <v>9374.25</v>
      </c>
      <c r="F23" s="17">
        <f t="shared" si="2"/>
        <v>1.8455608387553029</v>
      </c>
      <c r="G23" s="16">
        <f t="shared" si="3"/>
        <v>-1389.3900000000003</v>
      </c>
      <c r="H23" s="17">
        <f t="shared" si="4"/>
        <v>-14.821345707656617</v>
      </c>
    </row>
    <row r="24" spans="1:8" s="18" customFormat="1" x14ac:dyDescent="0.2">
      <c r="A24" s="13" t="s">
        <v>15</v>
      </c>
      <c r="B24" s="14" t="s">
        <v>2969</v>
      </c>
      <c r="C24" s="23">
        <f>SUMIFS('BAL N HUGO'!$G:$G,'BAL N HUGO'!$I:$I,$A24,'BAL N HUGO'!$J:$J,"T")</f>
        <v>-500</v>
      </c>
      <c r="D24" s="17">
        <f t="shared" si="2"/>
        <v>-9.2703500313597406E-2</v>
      </c>
      <c r="E24" s="16">
        <f>SUMIFS(DONNEES_N1_NOUVEAU[MONTANT],DONNEES_N1_NOUVEAU[TL2],A24,DONNEES_N1_NOUVEAU[MOIS],DONNÉES!$C$5,DONNEES_N1_NOUVEAU[SOCIETE],"HUGO")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HUGO'!$G:$G,'BAL N HUGO'!$I:$I,$A25,'BAL N HUGO'!$J:$J,"T")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SUMIFS(DONNEES_N1_NOUVEAU[MONTANT],DONNEES_N1_NOUVEAU[TL2],A25,DONNEES_N1_NOUVEAU[MOIS],DONNÉES!$C$5,DONNEES_N1_NOUVEAU[SOCIETE],"HUGO")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115139.48000000001</v>
      </c>
      <c r="D26" s="50">
        <f t="shared" si="2"/>
        <v>21.347665640574888</v>
      </c>
      <c r="E26" s="51">
        <f>SUM(E20:E25)</f>
        <v>124565.41000000002</v>
      </c>
      <c r="F26" s="50">
        <f t="shared" si="2"/>
        <v>24.52388645059586</v>
      </c>
      <c r="G26" s="51">
        <f>SUM(G20:G25)</f>
        <v>-9425.9300000000148</v>
      </c>
      <c r="H26" s="50">
        <f t="shared" si="4"/>
        <v>-7.5670525228472441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HUGO'!$G:$G,'BAL N HUGO'!$I:$I,$A28,'BAL N HUGO'!$J:$J,"T")</f>
        <v>10141.41</v>
      </c>
      <c r="D28" s="17">
        <f t="shared" ref="D28:F33" si="5">(C28*100)/C$8</f>
        <v>1.8802884102306399</v>
      </c>
      <c r="E28" s="16">
        <f>SUMIFS(DONNEES_N1_NOUVEAU[MONTANT],DONNEES_N1_NOUVEAU[TL2],A28,DONNEES_N1_NOUVEAU[MOIS],DONNÉES!$C$5,DONNEES_N1_NOUVEAU[SOCIETE],"HUGO")</f>
        <v>7897.04</v>
      </c>
      <c r="F28" s="17">
        <f t="shared" si="5"/>
        <v>1.5547342737908822</v>
      </c>
      <c r="G28" s="16">
        <f>+C28-E28</f>
        <v>2244.37</v>
      </c>
      <c r="H28" s="17">
        <f t="shared" ref="H28:H33" si="6">IF(E28=0,0,G28/E28*100)</f>
        <v>28.42039548995573</v>
      </c>
    </row>
    <row r="29" spans="1:8" s="18" customFormat="1" x14ac:dyDescent="0.2">
      <c r="A29" s="13" t="s">
        <v>20</v>
      </c>
      <c r="B29" s="14" t="s">
        <v>2972</v>
      </c>
      <c r="C29" s="23">
        <f>SUMIFS('BAL N HUGO'!$G:$G,'BAL N HUGO'!$I:$I,$A29,'BAL N HUGO'!$J:$J,"T")</f>
        <v>29.17</v>
      </c>
      <c r="D29" s="17">
        <f t="shared" si="5"/>
        <v>5.4083222082952727E-3</v>
      </c>
      <c r="E29" s="16">
        <f>SUMIFS(DONNEES_N1_NOUVEAU[MONTANT],DONNEES_N1_NOUVEAU[TL2],A29,DONNEES_N1_NOUVEAU[MOIS],DONNÉES!$C$5,DONNEES_N1_NOUVEAU[SOCIETE],"HUGO")</f>
        <v>97.39</v>
      </c>
      <c r="F29" s="17">
        <f t="shared" si="5"/>
        <v>1.9173712039510248E-2</v>
      </c>
      <c r="G29" s="16">
        <f>+C29-E29</f>
        <v>-68.22</v>
      </c>
      <c r="H29" s="17">
        <f t="shared" si="6"/>
        <v>-70.048259574905018</v>
      </c>
    </row>
    <row r="30" spans="1:8" s="18" customFormat="1" x14ac:dyDescent="0.2">
      <c r="A30" s="13" t="s">
        <v>21</v>
      </c>
      <c r="B30" s="14" t="s">
        <v>2973</v>
      </c>
      <c r="C30" s="23">
        <f>SUMIFS('BAL N HUGO'!$G:$G,'BAL N HUGO'!$I:$I,$A30,'BAL N HUGO'!$J:$J,"T")</f>
        <v>4985.45</v>
      </c>
      <c r="D30" s="17">
        <f t="shared" si="5"/>
        <v>0.92433733127684836</v>
      </c>
      <c r="E30" s="16">
        <f>SUMIFS(DONNEES_N1_NOUVEAU[MONTANT],DONNEES_N1_NOUVEAU[TL2],A30,DONNEES_N1_NOUVEAU[MOIS],DONNÉES!$C$5,DONNEES_N1_NOUVEAU[SOCIETE],"HUGO")</f>
        <v>3016.4500000000003</v>
      </c>
      <c r="F30" s="17">
        <f t="shared" si="5"/>
        <v>0.59386532171250328</v>
      </c>
      <c r="G30" s="16">
        <f>+C30-E30</f>
        <v>1968.9999999999995</v>
      </c>
      <c r="H30" s="17">
        <f t="shared" si="6"/>
        <v>65.275406520910323</v>
      </c>
    </row>
    <row r="31" spans="1:8" s="18" customFormat="1" x14ac:dyDescent="0.2">
      <c r="A31" s="13" t="s">
        <v>23</v>
      </c>
      <c r="B31" s="14" t="s">
        <v>2974</v>
      </c>
      <c r="C31" s="23">
        <f>SUMIFS('BAL N HUGO'!$G:$G,'BAL N HUGO'!$I:$I,$A31,'BAL N HUGO'!$J:$J,"T")</f>
        <v>6110.32</v>
      </c>
      <c r="D31" s="17">
        <f t="shared" si="5"/>
        <v>1.1328961040723611</v>
      </c>
      <c r="E31" s="16">
        <f>SUMIFS(DONNEES_N1_NOUVEAU[MONTANT],DONNEES_N1_NOUVEAU[TL2],A31,DONNEES_N1_NOUVEAU[MOIS],DONNÉES!$C$5,DONNEES_N1_NOUVEAU[SOCIETE],"HUGO")</f>
        <v>4476.46</v>
      </c>
      <c r="F31" s="17">
        <f t="shared" si="5"/>
        <v>0.88130562682396596</v>
      </c>
      <c r="G31" s="16">
        <f>+C31-E31</f>
        <v>1633.8599999999997</v>
      </c>
      <c r="H31" s="17">
        <f t="shared" si="6"/>
        <v>36.498929958047199</v>
      </c>
    </row>
    <row r="32" spans="1:8" s="18" customFormat="1" x14ac:dyDescent="0.2">
      <c r="A32" s="13" t="s">
        <v>25</v>
      </c>
      <c r="B32" s="14" t="s">
        <v>2975</v>
      </c>
      <c r="C32" s="23">
        <f>SUMIFS('BAL N HUGO'!$G:$G,'BAL N HUGO'!$I:$I,$A32,'BAL N HUGO'!$J:$J,"T")</f>
        <v>6597.48</v>
      </c>
      <c r="D32" s="17">
        <f t="shared" si="5"/>
        <v>1.2232189784979053</v>
      </c>
      <c r="E32" s="16">
        <f>SUMIFS(DONNEES_N1_NOUVEAU[MONTANT],DONNEES_N1_NOUVEAU[TL2],A32,DONNEES_N1_NOUVEAU[MOIS],DONNÉES!$C$5,DONNEES_N1_NOUVEAU[SOCIETE],"HUGO")</f>
        <v>5729.57</v>
      </c>
      <c r="F32" s="17">
        <f t="shared" si="5"/>
        <v>1.1280123759135099</v>
      </c>
      <c r="G32" s="16">
        <f>+C32-E32</f>
        <v>867.90999999999985</v>
      </c>
      <c r="H32" s="17">
        <f t="shared" si="6"/>
        <v>15.147908132721998</v>
      </c>
    </row>
    <row r="33" spans="1:8" ht="13.5" thickBot="1" x14ac:dyDescent="0.25">
      <c r="A33" s="7"/>
      <c r="B33" s="63" t="s">
        <v>2976</v>
      </c>
      <c r="C33" s="49">
        <f>SUM(C28:C32)</f>
        <v>27863.829999999998</v>
      </c>
      <c r="D33" s="50">
        <f t="shared" si="5"/>
        <v>5.1661491462860498</v>
      </c>
      <c r="E33" s="51">
        <f>SUM(E28:E32)</f>
        <v>21216.91</v>
      </c>
      <c r="F33" s="50">
        <f t="shared" si="5"/>
        <v>4.1770913102803719</v>
      </c>
      <c r="G33" s="51">
        <f>SUM(G28:G32)</f>
        <v>6646.9199999999992</v>
      </c>
      <c r="H33" s="50">
        <f t="shared" si="6"/>
        <v>31.328407388257755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HUGO'!$G:$G,'BAL N HUGO'!$I:$I,$A35,'BAL N HUGO'!$J:$J,"T")</f>
        <v>6824.05</v>
      </c>
      <c r="D35" s="17">
        <f t="shared" ref="D35:F42" si="7">(C35*100)/C$8</f>
        <v>1.2652266426300087</v>
      </c>
      <c r="E35" s="16">
        <f>SUMIFS(DONNEES_N1_NOUVEAU[MONTANT],DONNEES_N1_NOUVEAU[TL2],A35,DONNEES_N1_NOUVEAU[MOIS],DONNÉES!$C$5,DONNEES_N1_NOUVEAU[SOCIETE],"HUGO")</f>
        <v>0</v>
      </c>
      <c r="F35" s="17">
        <f t="shared" si="7"/>
        <v>0</v>
      </c>
      <c r="G35" s="16">
        <f t="shared" ref="G35:G41" si="8">+C35-E35</f>
        <v>6824.05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HUGO'!$G:$G,'BAL N HUGO'!$I:$I,$A36,'BAL N HUGO'!$J:$J,"T")</f>
        <v>21734.36</v>
      </c>
      <c r="D36" s="17">
        <f t="shared" si="7"/>
        <v>4.0297024981516776</v>
      </c>
      <c r="E36" s="16">
        <f>SUMIFS(DONNEES_N1_NOUVEAU[MONTANT],DONNEES_N1_NOUVEAU[TL2],A36,DONNEES_N1_NOUVEAU[MOIS],DONNÉES!$C$5,DONNEES_N1_NOUVEAU[SOCIETE],"HUGO")</f>
        <v>20357.689999999999</v>
      </c>
      <c r="F36" s="17">
        <f t="shared" si="7"/>
        <v>4.0079318805792932</v>
      </c>
      <c r="G36" s="16">
        <f t="shared" si="8"/>
        <v>1376.6700000000019</v>
      </c>
      <c r="H36" s="17">
        <f t="shared" si="9"/>
        <v>6.7624077191469265</v>
      </c>
    </row>
    <row r="37" spans="1:8" s="18" customFormat="1" x14ac:dyDescent="0.2">
      <c r="A37" s="13" t="s">
        <v>32</v>
      </c>
      <c r="B37" s="14" t="s">
        <v>19</v>
      </c>
      <c r="C37" s="23">
        <f>SUMIFS('BAL N HUGO'!$G:$G,'BAL N HUGO'!$I:$I,$A37,'BAL N HUGO'!$J:$J,"T")</f>
        <v>9017.35</v>
      </c>
      <c r="D37" s="17">
        <f t="shared" si="7"/>
        <v>1.6718798171056353</v>
      </c>
      <c r="E37" s="16">
        <f>SUMIFS(DONNEES_N1_NOUVEAU[MONTANT],DONNEES_N1_NOUVEAU[TL2],A37,DONNEES_N1_NOUVEAU[MOIS],DONNÉES!$C$5,DONNEES_N1_NOUVEAU[SOCIETE],"HUGO")</f>
        <v>6179.51</v>
      </c>
      <c r="F37" s="17">
        <f t="shared" si="7"/>
        <v>1.2165945711600161</v>
      </c>
      <c r="G37" s="16">
        <f t="shared" si="8"/>
        <v>2837.84</v>
      </c>
      <c r="H37" s="17">
        <f t="shared" si="9"/>
        <v>45.923382274646372</v>
      </c>
    </row>
    <row r="38" spans="1:8" s="18" customFormat="1" x14ac:dyDescent="0.2">
      <c r="A38" s="13" t="s">
        <v>34</v>
      </c>
      <c r="B38" s="14" t="s">
        <v>28</v>
      </c>
      <c r="C38" s="23">
        <f>SUMIFS('BAL N HUGO'!$G:$G,'BAL N HUGO'!$I:$I,$A38,'BAL N HUGO'!$J:$J,"T")</f>
        <v>10901.88</v>
      </c>
      <c r="D38" s="17">
        <f t="shared" si="7"/>
        <v>2.0212848719976027</v>
      </c>
      <c r="E38" s="16">
        <f>SUMIFS(DONNEES_N1_NOUVEAU[MONTANT],DONNEES_N1_NOUVEAU[TL2],A38,DONNEES_N1_NOUVEAU[MOIS],DONNÉES!$C$5,DONNEES_N1_NOUVEAU[SOCIETE],"HUGO")</f>
        <v>23402.48</v>
      </c>
      <c r="F38" s="17">
        <f t="shared" si="7"/>
        <v>4.6073766560262639</v>
      </c>
      <c r="G38" s="16">
        <f t="shared" si="8"/>
        <v>-12500.6</v>
      </c>
      <c r="H38" s="17">
        <f t="shared" si="9"/>
        <v>-53.415706369581351</v>
      </c>
    </row>
    <row r="39" spans="1:8" s="18" customFormat="1" x14ac:dyDescent="0.2">
      <c r="A39" s="13" t="s">
        <v>2978</v>
      </c>
      <c r="B39" s="14" t="s">
        <v>2980</v>
      </c>
      <c r="C39" s="23">
        <f>SUMIFS('BAL N HUGO'!$G:$G,'BAL N HUGO'!$I:$I,$A39,'BAL N HUGO'!$J:$J,"T")</f>
        <v>4597.1000000000004</v>
      </c>
      <c r="D39" s="17">
        <f t="shared" si="7"/>
        <v>0.85233452258327735</v>
      </c>
      <c r="E39" s="16">
        <f>SUMIFS(DONNEES_N1_NOUVEAU[MONTANT],DONNEES_N1_NOUVEAU[TL2],A39,DONNEES_N1_NOUVEAU[MOIS],DONNÉES!$C$5,DONNEES_N1_NOUVEAU[SOCIETE],"HUGO")</f>
        <v>6101.05</v>
      </c>
      <c r="F39" s="17">
        <f t="shared" si="7"/>
        <v>1.2011477137144881</v>
      </c>
      <c r="G39" s="16">
        <f t="shared" si="8"/>
        <v>-1503.9499999999998</v>
      </c>
      <c r="H39" s="17">
        <f t="shared" si="9"/>
        <v>-24.650674883831467</v>
      </c>
    </row>
    <row r="40" spans="1:8" s="18" customFormat="1" x14ac:dyDescent="0.2">
      <c r="A40" s="13" t="s">
        <v>2979</v>
      </c>
      <c r="B40" s="14" t="s">
        <v>2981</v>
      </c>
      <c r="C40" s="23">
        <f>SUMIFS('BAL N HUGO'!$G:$G,'BAL N HUGO'!$I:$I,$A40,'BAL N HUGO'!$J:$J,"T")</f>
        <v>383.32</v>
      </c>
      <c r="D40" s="17">
        <f t="shared" si="7"/>
        <v>7.1070211480416312E-2</v>
      </c>
      <c r="E40" s="16">
        <f>SUMIFS(DONNEES_N1_NOUVEAU[MONTANT],DONNEES_N1_NOUVEAU[TL2],A40,DONNEES_N1_NOUVEAU[MOIS],DONNÉES!$C$5,DONNEES_N1_NOUVEAU[SOCIETE],"HUGO")</f>
        <v>800.03</v>
      </c>
      <c r="F40" s="17">
        <f t="shared" si="7"/>
        <v>0.15750636454430009</v>
      </c>
      <c r="G40" s="16">
        <f t="shared" si="8"/>
        <v>-416.71</v>
      </c>
      <c r="H40" s="17">
        <f t="shared" si="9"/>
        <v>-52.086796745122058</v>
      </c>
    </row>
    <row r="41" spans="1:8" s="18" customFormat="1" x14ac:dyDescent="0.2">
      <c r="A41" s="13" t="s">
        <v>2982</v>
      </c>
      <c r="B41" s="14" t="s">
        <v>2983</v>
      </c>
      <c r="C41" s="23">
        <f>SUMIFS('BAL N HUGO'!$G:$G,'BAL N HUGO'!$I:$I,$A41,'BAL N HUGO'!$J:$J,"T")</f>
        <v>370.35</v>
      </c>
      <c r="D41" s="17">
        <f t="shared" si="7"/>
        <v>6.8665482682281606E-2</v>
      </c>
      <c r="E41" s="16">
        <f>SUMIFS(DONNEES_N1_NOUVEAU[MONTANT],DONNEES_N1_NOUVEAU[TL2],A41,DONNEES_N1_NOUVEAU[MOIS],DONNÉES!$C$5,DONNEES_N1_NOUVEAU[SOCIETE],"HUGO")</f>
        <v>1421.3</v>
      </c>
      <c r="F41" s="17">
        <f t="shared" si="7"/>
        <v>0.2798192516865789</v>
      </c>
      <c r="G41" s="16">
        <f t="shared" si="8"/>
        <v>-1050.9499999999998</v>
      </c>
      <c r="H41" s="17">
        <f t="shared" si="9"/>
        <v>-73.942869204249618</v>
      </c>
    </row>
    <row r="42" spans="1:8" ht="13.5" thickBot="1" x14ac:dyDescent="0.25">
      <c r="A42" s="13"/>
      <c r="B42" s="63" t="s">
        <v>2984</v>
      </c>
      <c r="C42" s="49">
        <f>+SUM(C35:C41)</f>
        <v>53828.409999999996</v>
      </c>
      <c r="D42" s="50">
        <f t="shared" si="7"/>
        <v>9.9801640466309003</v>
      </c>
      <c r="E42" s="51">
        <f>+SUM(E35:E41)</f>
        <v>58262.06</v>
      </c>
      <c r="F42" s="50">
        <f t="shared" si="7"/>
        <v>11.470376437710941</v>
      </c>
      <c r="G42" s="51">
        <f>+SUM(G35:G41)</f>
        <v>-4433.6499999999987</v>
      </c>
      <c r="H42" s="50">
        <f t="shared" si="9"/>
        <v>-7.6098407780294739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202294.70999999996</v>
      </c>
      <c r="D44" s="71">
        <f>(C44*100)/C$8</f>
        <v>37.506855423848187</v>
      </c>
      <c r="E44" s="72">
        <f>E18-E26-E33-E42</f>
        <v>172507.9</v>
      </c>
      <c r="F44" s="71">
        <f>(E44*100)/E$8</f>
        <v>33.962591633028339</v>
      </c>
      <c r="G44" s="72">
        <f>G18-G26-G33-G42</f>
        <v>29786.809999999958</v>
      </c>
      <c r="H44" s="71">
        <f>IF(E44=0,0,G44/E44*100)</f>
        <v>17.266925166905374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HUGO'!$G:$G,'BAL N HUGO'!$I:$I,$A46,'BAL N HUGO'!$J:$J,"T")</f>
        <v>82739.990000000005</v>
      </c>
      <c r="D46" s="17">
        <f t="shared" ref="D46:F49" si="10">(C46*100)/C$8</f>
        <v>15.340573377824095</v>
      </c>
      <c r="E46" s="16">
        <f>SUMIFS(DONNEES_N1_NOUVEAU[MONTANT],DONNEES_N1_NOUVEAU[TL2],A46,DONNEES_N1_NOUVEAU[MOIS],DONNÉES!$C$5,DONNEES_N1_NOUVEAU[SOCIETE],"HUGO")</f>
        <v>76341.350000000006</v>
      </c>
      <c r="F46" s="17">
        <f t="shared" si="10"/>
        <v>15.029747013117014</v>
      </c>
      <c r="G46" s="16">
        <f>+C46-E46</f>
        <v>6398.6399999999994</v>
      </c>
      <c r="H46" s="17">
        <f>IF(E46=0,0,G46/E46*100)</f>
        <v>8.3816175637449426</v>
      </c>
    </row>
    <row r="47" spans="1:8" s="18" customFormat="1" x14ac:dyDescent="0.2">
      <c r="A47" s="13" t="s">
        <v>35</v>
      </c>
      <c r="B47" s="14" t="s">
        <v>2986</v>
      </c>
      <c r="C47" s="23">
        <f>SUMIFS('BAL N HUGO'!$G:$G,'BAL N HUGO'!$I:$I,$A47,'BAL N HUGO'!$J:$J,"T")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SUMIFS(DONNEES_N1_NOUVEAU[MONTANT],DONNEES_N1_NOUVEAU[TL2],A47,DONNEES_N1_NOUVEAU[MOIS],DONNÉES!$C$5,DONNEES_N1_NOUVEAU[SOCIETE],"HUGO")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HUGO'!$G:$G,'BAL N HUGO'!$I:$I,$A48,'BAL N HUGO'!$J:$J,"T")</f>
        <v>-2407.3000000000002</v>
      </c>
      <c r="D48" s="17">
        <f t="shared" si="10"/>
        <v>-0.44633027260984615</v>
      </c>
      <c r="E48" s="16">
        <f>SUMIFS(DONNEES_N1_NOUVEAU[MONTANT],DONNEES_N1_NOUVEAU[TL2],A48,DONNEES_N1_NOUVEAU[MOIS],DONNÉES!$C$5,DONNEES_N1_NOUVEAU[SOCIETE],"HUGO")</f>
        <v>0</v>
      </c>
      <c r="F48" s="17">
        <f t="shared" si="10"/>
        <v>0</v>
      </c>
      <c r="G48" s="16">
        <f>+C48-E48</f>
        <v>-2407.3000000000002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80332.69</v>
      </c>
      <c r="D49" s="50">
        <f t="shared" si="10"/>
        <v>14.894243105214247</v>
      </c>
      <c r="E49" s="51">
        <f>SUM(E46:E48)</f>
        <v>76341.350000000006</v>
      </c>
      <c r="F49" s="50">
        <f t="shared" si="10"/>
        <v>15.029747013117014</v>
      </c>
      <c r="G49" s="51">
        <f>SUM(G46:G48)</f>
        <v>3991.3399999999992</v>
      </c>
      <c r="H49" s="50">
        <f>IF(E49=0,0,G49/E49*100)</f>
        <v>5.2282806107044202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HUGO'!$G:$G,'BAL N HUGO'!$I:$I,$A51,'BAL N HUGO'!$J:$J,"T")</f>
        <v>0</v>
      </c>
      <c r="D51" s="17">
        <f t="shared" ref="D51:F59" si="11">(C51*100)/C$8</f>
        <v>0</v>
      </c>
      <c r="E51" s="16">
        <f>SUMIFS(DONNEES_N1_NOUVEAU[MONTANT],DONNEES_N1_NOUVEAU[TL2],A51,DONNEES_N1_NOUVEAU[MOIS],DONNÉES!$C$5,DONNEES_N1_NOUVEAU[SOCIETE],"HUGO")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HUGO'!$G:$G,'BAL N HUGO'!$I:$I,$A52,'BAL N HUGO'!$J:$J,"T")</f>
        <v>27580</v>
      </c>
      <c r="D52" s="17">
        <f t="shared" si="11"/>
        <v>5.113525077298033</v>
      </c>
      <c r="E52" s="16">
        <f>SUMIFS(DONNEES_N1_NOUVEAU[MONTANT],DONNEES_N1_NOUVEAU[TL2],A52,DONNEES_N1_NOUVEAU[MOIS],DONNÉES!$C$5,DONNEES_N1_NOUVEAU[SOCIETE],"HUGO")</f>
        <v>25447.119999999999</v>
      </c>
      <c r="F52" s="17">
        <f t="shared" si="11"/>
        <v>5.0099163272909131</v>
      </c>
      <c r="G52" s="16">
        <f t="shared" si="12"/>
        <v>2132.880000000001</v>
      </c>
      <c r="H52" s="17">
        <f t="shared" si="13"/>
        <v>8.3816164658318932</v>
      </c>
    </row>
    <row r="53" spans="1:8" s="18" customFormat="1" x14ac:dyDescent="0.2">
      <c r="A53" s="13" t="s">
        <v>44</v>
      </c>
      <c r="B53" s="14" t="s">
        <v>62</v>
      </c>
      <c r="C53" s="23">
        <f>SUMIFS('BAL N HUGO'!$G:$G,'BAL N HUGO'!$I:$I,$A53,'BAL N HUGO'!$J:$J,"T")</f>
        <v>1661</v>
      </c>
      <c r="D53" s="17">
        <f t="shared" si="11"/>
        <v>0.30796102804177061</v>
      </c>
      <c r="E53" s="16">
        <f>SUMIFS(DONNEES_N1_NOUVEAU[MONTANT],DONNEES_N1_NOUVEAU[TL2],A53,DONNEES_N1_NOUVEAU[MOIS],DONNÉES!$C$5,DONNEES_N1_NOUVEAU[SOCIETE],"HUGO")</f>
        <v>1161.5999999999999</v>
      </c>
      <c r="F53" s="17">
        <f t="shared" si="11"/>
        <v>0.22869066541837049</v>
      </c>
      <c r="G53" s="16">
        <f t="shared" si="12"/>
        <v>499.40000000000009</v>
      </c>
      <c r="H53" s="17">
        <f t="shared" si="13"/>
        <v>42.992424242424256</v>
      </c>
    </row>
    <row r="54" spans="1:8" s="18" customFormat="1" x14ac:dyDescent="0.2">
      <c r="A54" s="13" t="s">
        <v>45</v>
      </c>
      <c r="B54" s="14" t="s">
        <v>41</v>
      </c>
      <c r="C54" s="23">
        <f>SUMIFS('BAL N HUGO'!$G:$G,'BAL N HUGO'!$I:$I,$A54,'BAL N HUGO'!$J:$J,"T")</f>
        <v>2554.36</v>
      </c>
      <c r="D54" s="17">
        <f t="shared" si="11"/>
        <v>0.47359622612208135</v>
      </c>
      <c r="E54" s="16">
        <f>SUMIFS(DONNEES_N1_NOUVEAU[MONTANT],DONNEES_N1_NOUVEAU[TL2],A54,DONNEES_N1_NOUVEAU[MOIS],DONNÉES!$C$5,DONNEES_N1_NOUVEAU[SOCIETE],"HUGO")</f>
        <v>2162.4900000000002</v>
      </c>
      <c r="F54" s="17">
        <f t="shared" si="11"/>
        <v>0.42574145752459724</v>
      </c>
      <c r="G54" s="16">
        <f t="shared" si="12"/>
        <v>391.86999999999989</v>
      </c>
      <c r="H54" s="17">
        <f t="shared" si="13"/>
        <v>18.121239867005158</v>
      </c>
    </row>
    <row r="55" spans="1:8" s="18" customFormat="1" x14ac:dyDescent="0.2">
      <c r="A55" s="13" t="s">
        <v>47</v>
      </c>
      <c r="B55" s="14" t="s">
        <v>43</v>
      </c>
      <c r="C55" s="23">
        <f>SUMIFS('BAL N HUGO'!$G:$G,'BAL N HUGO'!$I:$I,$A55,'BAL N HUGO'!$J:$J,"T")</f>
        <v>5381.01</v>
      </c>
      <c r="D55" s="17">
        <f t="shared" si="11"/>
        <v>0.9976769244449416</v>
      </c>
      <c r="E55" s="16">
        <f>SUMIFS(DONNEES_N1_NOUVEAU[MONTANT],DONNEES_N1_NOUVEAU[TL2],A55,DONNEES_N1_NOUVEAU[MOIS],DONNÉES!$C$5,DONNEES_N1_NOUVEAU[SOCIETE],"HUGO")</f>
        <v>7461.6500000000005</v>
      </c>
      <c r="F55" s="17">
        <f t="shared" si="11"/>
        <v>1.469016618129291</v>
      </c>
      <c r="G55" s="16">
        <f t="shared" si="12"/>
        <v>-2080.6400000000003</v>
      </c>
      <c r="H55" s="17">
        <f t="shared" si="13"/>
        <v>-27.884449149986935</v>
      </c>
    </row>
    <row r="56" spans="1:8" s="18" customFormat="1" x14ac:dyDescent="0.2">
      <c r="A56" s="13" t="s">
        <v>48</v>
      </c>
      <c r="B56" s="14" t="s">
        <v>46</v>
      </c>
      <c r="C56" s="23">
        <f>SUMIFS('BAL N HUGO'!$G:$G,'BAL N HUGO'!$I:$I,$A56,'BAL N HUGO'!$J:$J,"T")</f>
        <v>6200</v>
      </c>
      <c r="D56" s="17">
        <f t="shared" si="11"/>
        <v>1.1495234038886077</v>
      </c>
      <c r="E56" s="16">
        <f>SUMIFS(DONNEES_N1_NOUVEAU[MONTANT],DONNEES_N1_NOUVEAU[TL2],A56,DONNEES_N1_NOUVEAU[MOIS],DONNÉES!$C$5,DONNEES_N1_NOUVEAU[SOCIETE],"HUGO")</f>
        <v>7500</v>
      </c>
      <c r="F56" s="17">
        <f t="shared" si="11"/>
        <v>1.4765667963479501</v>
      </c>
      <c r="G56" s="16">
        <f t="shared" si="12"/>
        <v>-1300</v>
      </c>
      <c r="H56" s="17">
        <f t="shared" si="13"/>
        <v>-17.333333333333336</v>
      </c>
    </row>
    <row r="57" spans="1:8" s="18" customFormat="1" x14ac:dyDescent="0.2">
      <c r="A57" s="13" t="s">
        <v>50</v>
      </c>
      <c r="B57" s="14" t="s">
        <v>2990</v>
      </c>
      <c r="C57" s="23">
        <f>SUMIFS('BAL N HUGO'!$G:$G,'BAL N HUGO'!$I:$I,$A57,'BAL N HUGO'!$J:$J,"T")</f>
        <v>1156.72</v>
      </c>
      <c r="D57" s="17">
        <f t="shared" si="11"/>
        <v>0.21446398576548878</v>
      </c>
      <c r="E57" s="16">
        <f>SUMIFS(DONNEES_N1_NOUVEAU[MONTANT],DONNEES_N1_NOUVEAU[TL2],A57,DONNEES_N1_NOUVEAU[MOIS],DONNÉES!$C$5,DONNEES_N1_NOUVEAU[SOCIETE],"HUGO")</f>
        <v>1156.72</v>
      </c>
      <c r="F57" s="17">
        <f t="shared" si="11"/>
        <v>0.22772991262288012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HUGO'!$G:$G,'BAL N HUGO'!$I:$I,$A58,'BAL N HUGO'!$J:$J,"T")</f>
        <v>-655.5</v>
      </c>
      <c r="D58" s="17">
        <f t="shared" si="11"/>
        <v>-0.12153428891112621</v>
      </c>
      <c r="E58" s="16">
        <f>SUMIFS(DONNEES_N1_NOUVEAU[MONTANT],DONNEES_N1_NOUVEAU[TL2],A58,DONNEES_N1_NOUVEAU[MOIS],DONNÉES!$C$5,DONNEES_N1_NOUVEAU[SOCIETE],"HUGO")</f>
        <v>35</v>
      </c>
      <c r="F58" s="17">
        <f t="shared" si="11"/>
        <v>6.8906450496237677E-3</v>
      </c>
      <c r="G58" s="16">
        <f t="shared" si="12"/>
        <v>-690.5</v>
      </c>
      <c r="H58" s="17">
        <f t="shared" si="13"/>
        <v>-1972.8571428571427</v>
      </c>
    </row>
    <row r="59" spans="1:8" ht="13.5" thickBot="1" x14ac:dyDescent="0.25">
      <c r="A59" s="13"/>
      <c r="B59" s="63" t="s">
        <v>2994</v>
      </c>
      <c r="C59" s="49">
        <f>SUM(C51:C58)</f>
        <v>43877.590000000004</v>
      </c>
      <c r="D59" s="50">
        <f t="shared" si="11"/>
        <v>8.1352123566497969</v>
      </c>
      <c r="E59" s="51">
        <f>SUM(E51:E58)</f>
        <v>44924.58</v>
      </c>
      <c r="F59" s="50">
        <f t="shared" si="11"/>
        <v>8.8445524223836252</v>
      </c>
      <c r="G59" s="51">
        <f>SUM(G51:G58)</f>
        <v>-1046.9899999999993</v>
      </c>
      <c r="H59" s="50">
        <f t="shared" si="13"/>
        <v>-2.3305504469936045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321042</v>
      </c>
      <c r="D61" s="71">
        <f>(C61*100)/C$8</f>
        <v>59.523434295355877</v>
      </c>
      <c r="E61" s="72">
        <f>E59+E49+E42+E33+E26</f>
        <v>325310.31</v>
      </c>
      <c r="F61" s="71">
        <f>(E61*100)/E$8</f>
        <v>64.045653634087799</v>
      </c>
      <c r="G61" s="72">
        <f>G59+G49+G42+G33+G26</f>
        <v>-4268.310000000014</v>
      </c>
      <c r="H61" s="71">
        <f>IF(E61=0,0,G61/E61*100)</f>
        <v>-1.3120733861770364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HUGO'!$G:$G,'BAL N HUGO'!$I:$I,$A63,'BAL N HUGO'!$J:$J,"T")</f>
        <v>8824.31</v>
      </c>
      <c r="D63" s="17">
        <f t="shared" ref="D63:F65" si="14">(C63*100)/C$8</f>
        <v>1.6360888497045614</v>
      </c>
      <c r="E63" s="16">
        <f>-SUMIFS(DONNEES_N1_NOUVEAU[MONTANT],DONNEES_N1_NOUVEAU[TL2],A63,DONNEES_N1_NOUVEAU[MOIS],DONNÉES!$C$5,DONNEES_N1_NOUVEAU[SOCIETE],"HUGO")</f>
        <v>7345.8000000000011</v>
      </c>
      <c r="F63" s="17">
        <f t="shared" si="14"/>
        <v>1.4462085830150366</v>
      </c>
      <c r="G63" s="16">
        <f>+C63-E63</f>
        <v>1478.5099999999984</v>
      </c>
      <c r="H63" s="17">
        <f>IF(E63=0,0,G63/E63*100)</f>
        <v>20.127283617849631</v>
      </c>
    </row>
    <row r="64" spans="1:8" s="18" customFormat="1" x14ac:dyDescent="0.2">
      <c r="A64" s="13" t="s">
        <v>2992</v>
      </c>
      <c r="B64" s="68" t="s">
        <v>65</v>
      </c>
      <c r="C64" s="23">
        <f>SUMIFS('BAL N HUGO'!$G:$G,'BAL N HUGO'!$I:$I,$A64,'BAL N HUGO'!$J:$J,"T")</f>
        <v>6935.79</v>
      </c>
      <c r="D64" s="17">
        <f t="shared" si="14"/>
        <v>1.2859440208800916</v>
      </c>
      <c r="E64" s="24">
        <f>SUMIFS(DONNEES_N1_NOUVEAU[MONTANT],DONNEES_N1_NOUVEAU[TL2],A64,DONNEES_N1_NOUVEAU[MOIS],DONNÉES!$C$5,DONNEES_N1_NOUVEAU[SOCIETE],"HUGO")</f>
        <v>7146.0599999999995</v>
      </c>
      <c r="F64" s="17">
        <f t="shared" si="14"/>
        <v>1.4068846560946977</v>
      </c>
      <c r="G64" s="16">
        <f>+C64-E64</f>
        <v>-210.26999999999953</v>
      </c>
      <c r="H64" s="17">
        <f>IF(E64=0,0,G64/E64*100)</f>
        <v>-2.9424606006666547</v>
      </c>
    </row>
    <row r="65" spans="1:9" s="59" customFormat="1" ht="13.5" x14ac:dyDescent="0.2">
      <c r="A65" s="13"/>
      <c r="B65" s="62" t="s">
        <v>53</v>
      </c>
      <c r="C65" s="67">
        <f>+C63-C64</f>
        <v>1888.5199999999995</v>
      </c>
      <c r="D65" s="56">
        <f t="shared" si="14"/>
        <v>0.35014482882446984</v>
      </c>
      <c r="E65" s="57">
        <f>+E63-E64</f>
        <v>199.7400000000016</v>
      </c>
      <c r="F65" s="56">
        <f t="shared" si="14"/>
        <v>3.9323926920338925E-2</v>
      </c>
      <c r="G65" s="58">
        <f>+G63-G64</f>
        <v>1688.7799999999979</v>
      </c>
      <c r="H65" s="56">
        <f>IF(E65=0,0,G65/E65*100)</f>
        <v>845.48913587663174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HUGO'!$G:$G,'BAL N HUGO'!$I:$I,$A67,'BAL N HUGO'!$J:$J,"T")</f>
        <v>496.14</v>
      </c>
      <c r="D67" s="17">
        <f>(C67*100)/C$8</f>
        <v>9.1987829291176437E-2</v>
      </c>
      <c r="E67" s="16">
        <f>-SUMIFS(DONNEES_N1_NOUVEAU[MONTANT],DONNEES_N1_NOUVEAU[TL2],A67,DONNEES_N1_NOUVEAU[MOIS],DONNÉES!$C$5,DONNEES_N1_NOUVEAU[SOCIETE],"HUGO")</f>
        <v>680.62</v>
      </c>
      <c r="F67" s="17">
        <f>(E67*100)/E$8</f>
        <v>0.13399745239071226</v>
      </c>
      <c r="G67" s="16">
        <f>+C67-E67</f>
        <v>-184.48000000000002</v>
      </c>
      <c r="H67" s="17">
        <f>IF(E67=0,0,G67/E67*100)</f>
        <v>-27.104698657106756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80469.089999999938</v>
      </c>
      <c r="D69" s="10">
        <f>(C69*100)/C$8</f>
        <v>14.919532620099783</v>
      </c>
      <c r="E69" s="9">
        <f>E18-E61+E65+E67</f>
        <v>52122.330000000038</v>
      </c>
      <c r="F69" s="10">
        <f>(E69*100)/E$8</f>
        <v>10.26161357683876</v>
      </c>
      <c r="G69" s="9">
        <f>G18-G61+G65+G67</f>
        <v>28346.759999999955</v>
      </c>
      <c r="H69" s="10">
        <f>IF(E69=0,0,G69/E69*100)</f>
        <v>54.385059148353378</v>
      </c>
    </row>
    <row r="70" spans="1:9" ht="13.5" thickBot="1" x14ac:dyDescent="0.25">
      <c r="A70" s="13"/>
      <c r="B70" s="63" t="s">
        <v>3034</v>
      </c>
      <c r="C70" s="49">
        <f>+C69-C67+C57+C56</f>
        <v>87329.66999999994</v>
      </c>
      <c r="D70" s="50">
        <f>(C70*100)/C$8</f>
        <v>16.191532180462705</v>
      </c>
      <c r="E70" s="49">
        <f>+E69-E67+E57+E56</f>
        <v>60098.430000000037</v>
      </c>
      <c r="F70" s="50">
        <f>(E70*100)/E$8</f>
        <v>11.83191283341888</v>
      </c>
      <c r="G70" s="49">
        <f>+G69-G67+G57+G56</f>
        <v>27231.239999999954</v>
      </c>
      <c r="H70" s="50">
        <f>IF(E70=0,0,G70/E70*100)</f>
        <v>45.3110671942677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HUGO'!$G:$G,'BAL N HUGO'!$I:$I,$A72,'BAL N HUGO'!$J:$J,"T")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-SUMIFS(DONNEES_N1_NOUVEAU[MONTANT],DONNEES_N1_NOUVEAU[TL2],A72,DONNEES_N1_NOUVEAU[MOIS],DONNÉES!$C$5,DONNEES_N1_NOUVEAU[SOCIETE],"HUGO")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HUGO'!$G:$G,'BAL N HUGO'!$I:$I,$A74,'BAL N HUGO'!$J:$J,"T")</f>
        <v>35146</v>
      </c>
      <c r="D74" s="10">
        <f>(C74*100)/C$8</f>
        <v>6.5163144440433891</v>
      </c>
      <c r="E74" s="9">
        <f>SUMIFS(DONNEES_N1_NOUVEAU[MONTANT],DONNEES_N1_NOUVEAU[TL2],A74,DONNEES_N1_NOUVEAU[MOIS],DONNÉES!$C$5,DONNEES_N1_NOUVEAU[SOCIETE],"HUGO")</f>
        <v>29800</v>
      </c>
      <c r="F74" s="10">
        <f>(E74*100)/E$8</f>
        <v>5.8668920708225221</v>
      </c>
      <c r="G74" s="9">
        <f>+C74-E74</f>
        <v>5346</v>
      </c>
      <c r="H74" s="10">
        <f>IF(E74=0,0,G74/E74*100)</f>
        <v>17.939597315436242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45323.089999999938</v>
      </c>
      <c r="D76" s="71">
        <f>(C76*100)/C$8</f>
        <v>8.4032181760563951</v>
      </c>
      <c r="E76" s="72">
        <f>E69-E74+E72</f>
        <v>22322.330000000038</v>
      </c>
      <c r="F76" s="71">
        <f>(E76*100)/E$8</f>
        <v>4.3947215060162392</v>
      </c>
      <c r="G76" s="72">
        <f>G69-G74+G72</f>
        <v>23000.759999999955</v>
      </c>
      <c r="H76" s="71">
        <f>IF(E76=0,0,G76/E76*100)</f>
        <v>103.03924366318353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VLOOKUP(PARAMETRES!$C$2,TRANSHUGO[],2,FALSE)</f>
        <v>28506</v>
      </c>
      <c r="D78" s="324"/>
      <c r="E78" s="323">
        <f>VLOOKUP(PARAMETRES!$C$2,TRANSHUGO[],3,FALSE)</f>
        <v>27166</v>
      </c>
      <c r="F78" s="324"/>
      <c r="G78" s="325">
        <f>C78-E78</f>
        <v>1340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VLOOKUP(PARAMETRES!$C$2,PMHUGO[],2,FALSE)</f>
        <v>19.350000000000001</v>
      </c>
      <c r="D80" s="316"/>
      <c r="E80" s="315">
        <f>VLOOKUP(PARAMETRES!$C$2,PMHUGO[],3,FALSE)</f>
        <v>19</v>
      </c>
      <c r="F80" s="316"/>
      <c r="G80" s="330">
        <f>C80-E80</f>
        <v>0.35000000000000142</v>
      </c>
      <c r="H80" s="331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63FA1-C68A-4C29-A784-8A0A8DC5E0CF}">
  <sheetPr>
    <tabColor rgb="FFFFFF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447E-CC3B-4F38-92E7-417F4E15A59C}">
  <sheetPr>
    <tabColor rgb="FFFFFF00"/>
    <pageSetUpPr fitToPage="1"/>
  </sheetPr>
  <dimension ref="A1:I81"/>
  <sheetViews>
    <sheetView showGridLines="0" topLeftCell="B43" zoomScaleNormal="100" zoomScaleSheetLayoutView="115" zoomScalePageLayoutView="85" workbookViewId="0">
      <selection activeCell="D43" sqref="D1:I104857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6969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JEANCLO'!$G:$G,'BAL N JEANCLO'!$I:$I,$A8,'BAL N JEANCLO'!$J:$J,"T")</f>
        <v>217685.38</v>
      </c>
      <c r="D8" s="71">
        <f>(C8*100)/C$8</f>
        <v>100</v>
      </c>
      <c r="E8" s="72">
        <f>-SUMIFS(DONNEES_N1_NOUVEAU[MONTANT],DONNEES_N1_NOUVEAU[TL2],A8,DONNEES_N1_NOUVEAU[MOIS],DONNÉES!$C$5,DONNEES_N1_NOUVEAU[SOCIETE],"JEANCLO")</f>
        <v>210623.51</v>
      </c>
      <c r="F8" s="71">
        <f>(E8*100)/E$8</f>
        <v>100</v>
      </c>
      <c r="G8" s="72">
        <f>+C8-E8</f>
        <v>7061.8699999999953</v>
      </c>
      <c r="H8" s="71">
        <f>IF(E8=0,0,G8/E8*100)</f>
        <v>3.3528403358200585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JEANCLO'!$G:$G,'BAL N JEANCLO'!$I:$I,$A10,'BAL N JEANCLO'!$J:$J,"T")</f>
        <v>47830.02</v>
      </c>
      <c r="D10" s="17">
        <f t="shared" ref="D10:F16" si="0">(C10*100)/C$8</f>
        <v>21.972086503925986</v>
      </c>
      <c r="E10" s="16">
        <f>SUMIFS(DONNEES_N1_NOUVEAU[MONTANT],DONNEES_N1_NOUVEAU[TL2],A10,DONNEES_N1_NOUVEAU[MOIS],DONNÉES!$C$5,DONNEES_N1_NOUVEAU[SOCIETE],"JEANCLO")</f>
        <v>43794.619999999995</v>
      </c>
      <c r="F10" s="17">
        <f t="shared" si="0"/>
        <v>20.79284501525969</v>
      </c>
      <c r="G10" s="16">
        <f>+C10-E10</f>
        <v>4035.4000000000015</v>
      </c>
      <c r="H10" s="17">
        <f t="shared" ref="H10:H16" si="1">IF(E10=0,0,G10/E10*100)</f>
        <v>9.2143738203459744</v>
      </c>
    </row>
    <row r="11" spans="1:8" s="18" customFormat="1" x14ac:dyDescent="0.2">
      <c r="A11" s="13" t="s">
        <v>124</v>
      </c>
      <c r="B11" s="14" t="s">
        <v>4</v>
      </c>
      <c r="C11" s="23">
        <f>SUMIFS('BAL N JEANCLO'!$G:$G,'BAL N JEANCLO'!$I:$I,$A11,'BAL N JEANCLO'!$J:$J,"T")</f>
        <v>1208.45</v>
      </c>
      <c r="D11" s="17">
        <f t="shared" si="0"/>
        <v>0.55513604083103785</v>
      </c>
      <c r="E11" s="16">
        <f>SUMIFS(DONNEES_N1_NOUVEAU[MONTANT],DONNEES_N1_NOUVEAU[TL2],A11,DONNEES_N1_NOUVEAU[MOIS],DONNÉES!$C$5,DONNEES_N1_NOUVEAU[SOCIETE],"JEANCLO")</f>
        <v>1059.1600000000001</v>
      </c>
      <c r="F11" s="17">
        <f t="shared" si="0"/>
        <v>0.50286883928579484</v>
      </c>
      <c r="G11" s="16">
        <f>+C11-E11</f>
        <v>149.28999999999996</v>
      </c>
      <c r="H11" s="17">
        <f t="shared" si="1"/>
        <v>14.095131991389398</v>
      </c>
    </row>
    <row r="12" spans="1:8" s="18" customFormat="1" x14ac:dyDescent="0.2">
      <c r="A12" s="13" t="s">
        <v>125</v>
      </c>
      <c r="B12" s="14" t="s">
        <v>2</v>
      </c>
      <c r="C12" s="23">
        <f>SUMIFS('BAL N JEANCLO'!$G:$G,'BAL N JEANCLO'!$I:$I,$A12,'BAL N JEANCLO'!$J:$J,"T")</f>
        <v>1821.88</v>
      </c>
      <c r="D12" s="17">
        <f t="shared" si="0"/>
        <v>0.83693264104369336</v>
      </c>
      <c r="E12" s="16">
        <f>SUMIFS(DONNEES_N1_NOUVEAU[MONTANT],DONNEES_N1_NOUVEAU[TL2],A12,DONNEES_N1_NOUVEAU[MOIS],DONNÉES!$C$5,DONNEES_N1_NOUVEAU[SOCIETE],"JEANCLO")</f>
        <v>1685.57</v>
      </c>
      <c r="F12" s="17">
        <f t="shared" si="0"/>
        <v>0.80027628444706855</v>
      </c>
      <c r="G12" s="16">
        <f>+C12-E12</f>
        <v>136.31000000000017</v>
      </c>
      <c r="H12" s="17">
        <f t="shared" si="1"/>
        <v>8.0868786226617804</v>
      </c>
    </row>
    <row r="13" spans="1:8" s="59" customFormat="1" ht="13.5" x14ac:dyDescent="0.2">
      <c r="A13" s="60"/>
      <c r="B13" s="62" t="s">
        <v>6</v>
      </c>
      <c r="C13" s="55">
        <f>SUM(C10:C12)</f>
        <v>50860.349999999991</v>
      </c>
      <c r="D13" s="56">
        <f t="shared" si="0"/>
        <v>23.364155185800712</v>
      </c>
      <c r="E13" s="55">
        <f>SUM(E10:E12)</f>
        <v>46539.35</v>
      </c>
      <c r="F13" s="56">
        <f t="shared" si="0"/>
        <v>22.095990138992555</v>
      </c>
      <c r="G13" s="55">
        <f>SUM(G10:G12)</f>
        <v>4321.0000000000018</v>
      </c>
      <c r="H13" s="56">
        <f t="shared" si="1"/>
        <v>9.2846161366671467</v>
      </c>
    </row>
    <row r="14" spans="1:8" s="18" customFormat="1" x14ac:dyDescent="0.2">
      <c r="A14" s="13" t="s">
        <v>126</v>
      </c>
      <c r="B14" s="14" t="s">
        <v>8</v>
      </c>
      <c r="C14" s="23">
        <f>SUMIFS('BAL N JEANCLO'!$G:$G,'BAL N JEANCLO'!$I:$I,$A14,'BAL N JEANCLO'!$J:$J,"T")</f>
        <v>5086.7299999999996</v>
      </c>
      <c r="D14" s="17">
        <f t="shared" si="0"/>
        <v>2.3367347866907733</v>
      </c>
      <c r="E14" s="16">
        <f>SUMIFS(DONNEES_N1_NOUVEAU[MONTANT],DONNEES_N1_NOUVEAU[TL2],A14,DONNEES_N1_NOUVEAU[MOIS],DONNÉES!$C$5,DONNEES_N1_NOUVEAU[SOCIETE],"JEANCLO")</f>
        <v>4944.4299999999994</v>
      </c>
      <c r="F14" s="17">
        <f t="shared" si="0"/>
        <v>2.3475204643584182</v>
      </c>
      <c r="G14" s="16">
        <f>+C14-E14</f>
        <v>142.30000000000018</v>
      </c>
      <c r="H14" s="17">
        <f t="shared" si="1"/>
        <v>2.8779859356892543</v>
      </c>
    </row>
    <row r="15" spans="1:8" s="18" customFormat="1" x14ac:dyDescent="0.2">
      <c r="A15" s="13" t="s">
        <v>2964</v>
      </c>
      <c r="B15" s="14" t="s">
        <v>2965</v>
      </c>
      <c r="C15" s="23">
        <f>SUMIFS('BAL N JEANCLO'!$G:$G,'BAL N JEANCLO'!$I:$I,$A15,'BAL N JEANCLO'!$J:$J,"T")</f>
        <v>4274.5600000000004</v>
      </c>
      <c r="D15" s="17">
        <f t="shared" si="0"/>
        <v>1.9636412881747045</v>
      </c>
      <c r="E15" s="16">
        <f>SUMIFS(DONNEES_N1_NOUVEAU[MONTANT],DONNEES_N1_NOUVEAU[TL2],A15,DONNEES_N1_NOUVEAU[MOIS],DONNÉES!$C$5,DONNEES_N1_NOUVEAU[SOCIETE],"JEANCLO")</f>
        <v>0</v>
      </c>
      <c r="F15" s="17">
        <f t="shared" si="0"/>
        <v>0</v>
      </c>
      <c r="G15" s="16">
        <f>+C15-E15</f>
        <v>4274.5600000000004</v>
      </c>
      <c r="H15" s="17">
        <f t="shared" si="1"/>
        <v>0</v>
      </c>
    </row>
    <row r="16" spans="1:8" ht="13.5" thickBot="1" x14ac:dyDescent="0.25">
      <c r="A16" s="7"/>
      <c r="B16" s="63" t="s">
        <v>10</v>
      </c>
      <c r="C16" s="49">
        <f>+C13+SUM(C14:C15)</f>
        <v>60221.639999999992</v>
      </c>
      <c r="D16" s="50">
        <f t="shared" si="0"/>
        <v>27.664531260666191</v>
      </c>
      <c r="E16" s="49">
        <f>+E13+SUM(E14:E15)</f>
        <v>51483.78</v>
      </c>
      <c r="F16" s="50">
        <f t="shared" si="0"/>
        <v>24.443510603350973</v>
      </c>
      <c r="G16" s="49">
        <f>+G13+SUM(G14:G15)</f>
        <v>8737.8600000000024</v>
      </c>
      <c r="H16" s="50">
        <f t="shared" si="1"/>
        <v>16.972063822819543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157463.74000000002</v>
      </c>
      <c r="D18" s="71">
        <f>(C18*100)/C$8</f>
        <v>72.335468739333805</v>
      </c>
      <c r="E18" s="70">
        <f>E8-E16</f>
        <v>159139.73000000001</v>
      </c>
      <c r="F18" s="71">
        <f>(E18*100)/E$8</f>
        <v>75.556489396649027</v>
      </c>
      <c r="G18" s="70">
        <f>G8-G16</f>
        <v>-1675.9900000000071</v>
      </c>
      <c r="H18" s="71">
        <f>IF(E18=0,0,G18/E18*100)</f>
        <v>-1.0531562420019231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JEANCLO'!$G:$G,'BAL N JEANCLO'!$I:$I,$A20,'BAL N JEANCLO'!$J:$J,"T")</f>
        <v>37851.33</v>
      </c>
      <c r="D20" s="17">
        <f t="shared" ref="D20:F26" si="2">(C20*100)/C$8</f>
        <v>17.388090095898953</v>
      </c>
      <c r="E20" s="16">
        <f>SUMIFS(DONNEES_N1_NOUVEAU[MONTANT],DONNEES_N1_NOUVEAU[TL2],A20,DONNEES_N1_NOUVEAU[MOIS],DONNÉES!$C$5,DONNEES_N1_NOUVEAU[SOCIETE],"JEANCLO")</f>
        <v>38038.680000000008</v>
      </c>
      <c r="F20" s="17">
        <f t="shared" si="2"/>
        <v>18.060035178409098</v>
      </c>
      <c r="G20" s="16">
        <f t="shared" ref="G20:G25" si="3">+C20-E20</f>
        <v>-187.35000000000582</v>
      </c>
      <c r="H20" s="17">
        <f t="shared" ref="H20:H26" si="4">IF(E20=0,0,G20/E20*100)</f>
        <v>-0.49252497720742616</v>
      </c>
    </row>
    <row r="21" spans="1:8" s="18" customFormat="1" x14ac:dyDescent="0.2">
      <c r="A21" s="13">
        <v>9</v>
      </c>
      <c r="B21" s="14" t="s">
        <v>2968</v>
      </c>
      <c r="C21" s="23">
        <f>SUMIFS('BAL N JEANCLO'!$G:$G,'BAL N JEANCLO'!$I:$I,$A21,'BAL N JEANCLO'!$J:$J,"T")</f>
        <v>6354.98</v>
      </c>
      <c r="D21" s="17">
        <f t="shared" si="2"/>
        <v>2.9193416663994616</v>
      </c>
      <c r="E21" s="16">
        <f>SUMIFS(DONNEES_N1_NOUVEAU[MONTANT],DONNEES_N1_NOUVEAU[TL2],A21,DONNEES_N1_NOUVEAU[MOIS],DONNÉES!$C$5,DONNEES_N1_NOUVEAU[SOCIETE],"JEANCLO")</f>
        <v>6756.9</v>
      </c>
      <c r="F21" s="17">
        <f t="shared" si="2"/>
        <v>3.208046433183076</v>
      </c>
      <c r="G21" s="16">
        <f t="shared" si="3"/>
        <v>-401.92000000000007</v>
      </c>
      <c r="H21" s="17">
        <f t="shared" si="4"/>
        <v>-5.9482898962542015</v>
      </c>
    </row>
    <row r="22" spans="1:8" s="18" customFormat="1" x14ac:dyDescent="0.2">
      <c r="A22" s="13" t="s">
        <v>12</v>
      </c>
      <c r="B22" s="14" t="s">
        <v>14</v>
      </c>
      <c r="C22" s="23">
        <f>SUMIFS('BAL N JEANCLO'!$G:$G,'BAL N JEANCLO'!$I:$I,$A22,'BAL N JEANCLO'!$J:$J,"T")</f>
        <v>11027.81</v>
      </c>
      <c r="D22" s="17">
        <f t="shared" si="2"/>
        <v>5.0659396602564675</v>
      </c>
      <c r="E22" s="16">
        <f>SUMIFS(DONNEES_N1_NOUVEAU[MONTANT],DONNEES_N1_NOUVEAU[TL2],A22,DONNEES_N1_NOUVEAU[MOIS],DONNÉES!$C$5,DONNEES_N1_NOUVEAU[SOCIETE],"JEANCLO")</f>
        <v>13124.720000000001</v>
      </c>
      <c r="F22" s="17">
        <f t="shared" si="2"/>
        <v>6.2313651500727527</v>
      </c>
      <c r="G22" s="16">
        <f t="shared" si="3"/>
        <v>-2096.9100000000017</v>
      </c>
      <c r="H22" s="17">
        <f t="shared" si="4"/>
        <v>-15.976797981214085</v>
      </c>
    </row>
    <row r="23" spans="1:8" s="18" customFormat="1" x14ac:dyDescent="0.2">
      <c r="A23" s="13" t="s">
        <v>13</v>
      </c>
      <c r="B23" s="14" t="s">
        <v>2966</v>
      </c>
      <c r="C23" s="23">
        <f>SUMIFS('BAL N JEANCLO'!$G:$G,'BAL N JEANCLO'!$I:$I,$A23,'BAL N JEANCLO'!$J:$J,"T")</f>
        <v>3084.86</v>
      </c>
      <c r="D23" s="17">
        <f t="shared" si="2"/>
        <v>1.4171185956539663</v>
      </c>
      <c r="E23" s="16">
        <f>SUMIFS(DONNEES_N1_NOUVEAU[MONTANT],DONNEES_N1_NOUVEAU[TL2],A23,DONNEES_N1_NOUVEAU[MOIS],DONNÉES!$C$5,DONNEES_N1_NOUVEAU[SOCIETE],"JEANCLO")</f>
        <v>3435.35</v>
      </c>
      <c r="F23" s="17">
        <f t="shared" si="2"/>
        <v>1.6310382444960678</v>
      </c>
      <c r="G23" s="16">
        <f t="shared" si="3"/>
        <v>-350.48999999999978</v>
      </c>
      <c r="H23" s="17">
        <f t="shared" si="4"/>
        <v>-10.202453898438289</v>
      </c>
    </row>
    <row r="24" spans="1:8" s="18" customFormat="1" x14ac:dyDescent="0.2">
      <c r="A24" s="13" t="s">
        <v>15</v>
      </c>
      <c r="B24" s="14" t="s">
        <v>2969</v>
      </c>
      <c r="C24" s="23">
        <f>SUMIFS('BAL N JEANCLO'!$G:$G,'BAL N JEANCLO'!$I:$I,$A24,'BAL N JEANCLO'!$J:$J,"T")</f>
        <v>0</v>
      </c>
      <c r="D24" s="17">
        <f t="shared" si="2"/>
        <v>0</v>
      </c>
      <c r="E24" s="16">
        <f>SUMIFS(DONNEES_N1_NOUVEAU[MONTANT],DONNEES_N1_NOUVEAU[TL2],A24,DONNEES_N1_NOUVEAU[MOIS],DONNÉES!$C$5,DONNEES_N1_NOUVEAU[SOCIETE],"JEANCLO")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JEANCLO'!$G:$G,'BAL N JEANCLO'!$I:$I,$A25,'BAL N JEANCLO'!$J:$J,"T")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SUMIFS(DONNEES_N1_NOUVEAU[MONTANT],DONNEES_N1_NOUVEAU[TL2],A25,DONNEES_N1_NOUVEAU[MOIS],DONNÉES!$C$5,DONNEES_N1_NOUVEAU[SOCIETE],"JEANCLO")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58318.979999999996</v>
      </c>
      <c r="D26" s="50">
        <f t="shared" si="2"/>
        <v>26.790490018208846</v>
      </c>
      <c r="E26" s="51">
        <f>SUM(E20:E25)</f>
        <v>61355.650000000009</v>
      </c>
      <c r="F26" s="50">
        <f t="shared" si="2"/>
        <v>29.130485006160995</v>
      </c>
      <c r="G26" s="51">
        <f>SUM(G20:G25)</f>
        <v>-3036.6700000000073</v>
      </c>
      <c r="H26" s="50">
        <f t="shared" si="4"/>
        <v>-4.9492915485371061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JEANCLO'!$G:$G,'BAL N JEANCLO'!$I:$I,$A28,'BAL N JEANCLO'!$J:$J,"T")</f>
        <v>85.23</v>
      </c>
      <c r="D28" s="17">
        <f t="shared" ref="D28:F33" si="5">(C28*100)/C$8</f>
        <v>3.9152836079299397E-2</v>
      </c>
      <c r="E28" s="16">
        <f>SUMIFS(DONNEES_N1_NOUVEAU[MONTANT],DONNEES_N1_NOUVEAU[TL2],A28,DONNEES_N1_NOUVEAU[MOIS],DONNÉES!$C$5,DONNEES_N1_NOUVEAU[SOCIETE],"JEANCLO")</f>
        <v>85.23</v>
      </c>
      <c r="F28" s="17">
        <f t="shared" si="5"/>
        <v>4.0465568159983659E-2</v>
      </c>
      <c r="G28" s="16">
        <f>+C28-E28</f>
        <v>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JEANCLO'!$G:$G,'BAL N JEANCLO'!$I:$I,$A29,'BAL N JEANCLO'!$J:$J,"T")</f>
        <v>29.17</v>
      </c>
      <c r="D29" s="17">
        <f t="shared" si="5"/>
        <v>1.3400073077943957E-2</v>
      </c>
      <c r="E29" s="16">
        <f>SUMIFS(DONNEES_N1_NOUVEAU[MONTANT],DONNEES_N1_NOUVEAU[TL2],A29,DONNEES_N1_NOUVEAU[MOIS],DONNÉES!$C$5,DONNEES_N1_NOUVEAU[SOCIETE],"JEANCLO")</f>
        <v>97.39</v>
      </c>
      <c r="F29" s="17">
        <f t="shared" si="5"/>
        <v>4.6238902770160843E-2</v>
      </c>
      <c r="G29" s="16">
        <f>+C29-E29</f>
        <v>-68.22</v>
      </c>
      <c r="H29" s="17">
        <f t="shared" si="6"/>
        <v>-70.048259574905018</v>
      </c>
    </row>
    <row r="30" spans="1:8" s="18" customFormat="1" x14ac:dyDescent="0.2">
      <c r="A30" s="13" t="s">
        <v>21</v>
      </c>
      <c r="B30" s="14" t="s">
        <v>2973</v>
      </c>
      <c r="C30" s="23">
        <f>SUMIFS('BAL N JEANCLO'!$G:$G,'BAL N JEANCLO'!$I:$I,$A30,'BAL N JEANCLO'!$J:$J,"T")</f>
        <v>1492.38</v>
      </c>
      <c r="D30" s="17">
        <f t="shared" si="5"/>
        <v>0.68556740007068917</v>
      </c>
      <c r="E30" s="16">
        <f>SUMIFS(DONNEES_N1_NOUVEAU[MONTANT],DONNEES_N1_NOUVEAU[TL2],A30,DONNEES_N1_NOUVEAU[MOIS],DONNÉES!$C$5,DONNEES_N1_NOUVEAU[SOCIETE],"JEANCLO")</f>
        <v>756.56</v>
      </c>
      <c r="F30" s="17">
        <f t="shared" si="5"/>
        <v>0.35920016716082642</v>
      </c>
      <c r="G30" s="16">
        <f>+C30-E30</f>
        <v>735.82000000000016</v>
      </c>
      <c r="H30" s="17">
        <f t="shared" si="6"/>
        <v>97.258644390398672</v>
      </c>
    </row>
    <row r="31" spans="1:8" s="18" customFormat="1" x14ac:dyDescent="0.2">
      <c r="A31" s="13" t="s">
        <v>23</v>
      </c>
      <c r="B31" s="14" t="s">
        <v>2974</v>
      </c>
      <c r="C31" s="23">
        <f>SUMIFS('BAL N JEANCLO'!$G:$G,'BAL N JEANCLO'!$I:$I,$A31,'BAL N JEANCLO'!$J:$J,"T")</f>
        <v>4262.08</v>
      </c>
      <c r="D31" s="17">
        <f t="shared" si="5"/>
        <v>1.9579082435393687</v>
      </c>
      <c r="E31" s="16">
        <f>SUMIFS(DONNEES_N1_NOUVEAU[MONTANT],DONNEES_N1_NOUVEAU[TL2],A31,DONNEES_N1_NOUVEAU[MOIS],DONNÉES!$C$5,DONNEES_N1_NOUVEAU[SOCIETE],"JEANCLO")</f>
        <v>3534.7500000000005</v>
      </c>
      <c r="F31" s="17">
        <f t="shared" si="5"/>
        <v>1.6782314566878125</v>
      </c>
      <c r="G31" s="16">
        <f>+C31-E31</f>
        <v>727.32999999999947</v>
      </c>
      <c r="H31" s="17">
        <f t="shared" si="6"/>
        <v>20.576561284390674</v>
      </c>
    </row>
    <row r="32" spans="1:8" s="18" customFormat="1" x14ac:dyDescent="0.2">
      <c r="A32" s="13" t="s">
        <v>25</v>
      </c>
      <c r="B32" s="14" t="s">
        <v>2975</v>
      </c>
      <c r="C32" s="23">
        <f>SUMIFS('BAL N JEANCLO'!$G:$G,'BAL N JEANCLO'!$I:$I,$A32,'BAL N JEANCLO'!$J:$J,"T")</f>
        <v>2282.11</v>
      </c>
      <c r="D32" s="17">
        <f t="shared" si="5"/>
        <v>1.0483524433289915</v>
      </c>
      <c r="E32" s="16">
        <f>SUMIFS(DONNEES_N1_NOUVEAU[MONTANT],DONNEES_N1_NOUVEAU[TL2],A32,DONNEES_N1_NOUVEAU[MOIS],DONNÉES!$C$5,DONNEES_N1_NOUVEAU[SOCIETE],"JEANCLO")</f>
        <v>2810.47</v>
      </c>
      <c r="F32" s="17">
        <f t="shared" si="5"/>
        <v>1.3343572139691338</v>
      </c>
      <c r="G32" s="16">
        <f>+C32-E32</f>
        <v>-528.35999999999967</v>
      </c>
      <c r="H32" s="17">
        <f t="shared" si="6"/>
        <v>-18.799702540856146</v>
      </c>
    </row>
    <row r="33" spans="1:8" ht="13.5" thickBot="1" x14ac:dyDescent="0.25">
      <c r="A33" s="7"/>
      <c r="B33" s="63" t="s">
        <v>2976</v>
      </c>
      <c r="C33" s="49">
        <f>SUM(C28:C32)</f>
        <v>8150.9700000000012</v>
      </c>
      <c r="D33" s="50">
        <f t="shared" si="5"/>
        <v>3.744380996096293</v>
      </c>
      <c r="E33" s="51">
        <f>SUM(E28:E32)</f>
        <v>7284.4</v>
      </c>
      <c r="F33" s="50">
        <f t="shared" si="5"/>
        <v>3.4584933087479168</v>
      </c>
      <c r="G33" s="51">
        <f>SUM(G28:G32)</f>
        <v>866.56999999999994</v>
      </c>
      <c r="H33" s="50">
        <f t="shared" si="6"/>
        <v>11.896244028334522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JEANCLO'!$G:$G,'BAL N JEANCLO'!$I:$I,$A35,'BAL N JEANCLO'!$J:$J,"T")</f>
        <v>11722.3</v>
      </c>
      <c r="D35" s="17">
        <f t="shared" ref="D35:F42" si="7">(C35*100)/C$8</f>
        <v>5.3849734878842117</v>
      </c>
      <c r="E35" s="16">
        <f>SUMIFS(DONNEES_N1_NOUVEAU[MONTANT],DONNEES_N1_NOUVEAU[TL2],A35,DONNEES_N1_NOUVEAU[MOIS],DONNÉES!$C$5,DONNEES_N1_NOUVEAU[SOCIETE],"JEANCLO")</f>
        <v>11851.04</v>
      </c>
      <c r="F35" s="17">
        <f t="shared" si="7"/>
        <v>5.6266463321212337</v>
      </c>
      <c r="G35" s="16">
        <f t="shared" ref="G35:G41" si="8">+C35-E35</f>
        <v>-128.7400000000016</v>
      </c>
      <c r="H35" s="17">
        <f t="shared" ref="H35:H42" si="9">IF(E35=0,0,G35/E35*100)</f>
        <v>-1.0863181627941647</v>
      </c>
    </row>
    <row r="36" spans="1:8" s="18" customFormat="1" x14ac:dyDescent="0.2">
      <c r="A36" s="13" t="s">
        <v>30</v>
      </c>
      <c r="B36" s="14" t="s">
        <v>145</v>
      </c>
      <c r="C36" s="23">
        <f>SUMIFS('BAL N JEANCLO'!$G:$G,'BAL N JEANCLO'!$I:$I,$A36,'BAL N JEANCLO'!$J:$J,"T")</f>
        <v>8845.31</v>
      </c>
      <c r="D36" s="17">
        <f t="shared" si="7"/>
        <v>4.0633459169375543</v>
      </c>
      <c r="E36" s="16">
        <f>SUMIFS(DONNEES_N1_NOUVEAU[MONTANT],DONNEES_N1_NOUVEAU[TL2],A36,DONNEES_N1_NOUVEAU[MOIS],DONNÉES!$C$5,DONNEES_N1_NOUVEAU[SOCIETE],"JEANCLO")</f>
        <v>8490.31</v>
      </c>
      <c r="F36" s="17">
        <f t="shared" si="7"/>
        <v>4.0310362314254471</v>
      </c>
      <c r="G36" s="16">
        <f t="shared" si="8"/>
        <v>355</v>
      </c>
      <c r="H36" s="17">
        <f t="shared" si="9"/>
        <v>4.181237198641746</v>
      </c>
    </row>
    <row r="37" spans="1:8" s="18" customFormat="1" x14ac:dyDescent="0.2">
      <c r="A37" s="13" t="s">
        <v>32</v>
      </c>
      <c r="B37" s="14" t="s">
        <v>19</v>
      </c>
      <c r="C37" s="23">
        <f>SUMIFS('BAL N JEANCLO'!$G:$G,'BAL N JEANCLO'!$I:$I,$A37,'BAL N JEANCLO'!$J:$J,"T")</f>
        <v>5429.68</v>
      </c>
      <c r="D37" s="17">
        <f t="shared" si="7"/>
        <v>2.4942786695183665</v>
      </c>
      <c r="E37" s="16">
        <f>SUMIFS(DONNEES_N1_NOUVEAU[MONTANT],DONNEES_N1_NOUVEAU[TL2],A37,DONNEES_N1_NOUVEAU[MOIS],DONNÉES!$C$5,DONNEES_N1_NOUVEAU[SOCIETE],"JEANCLO")</f>
        <v>3402.41</v>
      </c>
      <c r="F37" s="17">
        <f t="shared" si="7"/>
        <v>1.6153989647214595</v>
      </c>
      <c r="G37" s="16">
        <f t="shared" si="8"/>
        <v>2027.2700000000004</v>
      </c>
      <c r="H37" s="17">
        <f t="shared" si="9"/>
        <v>59.583354151909987</v>
      </c>
    </row>
    <row r="38" spans="1:8" s="18" customFormat="1" x14ac:dyDescent="0.2">
      <c r="A38" s="13" t="s">
        <v>34</v>
      </c>
      <c r="B38" s="14" t="s">
        <v>28</v>
      </c>
      <c r="C38" s="23">
        <f>SUMIFS('BAL N JEANCLO'!$G:$G,'BAL N JEANCLO'!$I:$I,$A38,'BAL N JEANCLO'!$J:$J,"T")</f>
        <v>6521.4</v>
      </c>
      <c r="D38" s="17">
        <f t="shared" si="7"/>
        <v>2.9957914491088009</v>
      </c>
      <c r="E38" s="16">
        <f>SUMIFS(DONNEES_N1_NOUVEAU[MONTANT],DONNEES_N1_NOUVEAU[TL2],A38,DONNEES_N1_NOUVEAU[MOIS],DONNÉES!$C$5,DONNEES_N1_NOUVEAU[SOCIETE],"JEANCLO")</f>
        <v>19326.509999999998</v>
      </c>
      <c r="F38" s="17">
        <f t="shared" si="7"/>
        <v>9.1758560096163997</v>
      </c>
      <c r="G38" s="16">
        <f t="shared" si="8"/>
        <v>-12805.109999999999</v>
      </c>
      <c r="H38" s="17">
        <f t="shared" si="9"/>
        <v>-66.256711635986008</v>
      </c>
    </row>
    <row r="39" spans="1:8" s="18" customFormat="1" x14ac:dyDescent="0.2">
      <c r="A39" s="13" t="s">
        <v>2978</v>
      </c>
      <c r="B39" s="14" t="s">
        <v>2980</v>
      </c>
      <c r="C39" s="23">
        <f>SUMIFS('BAL N JEANCLO'!$G:$G,'BAL N JEANCLO'!$I:$I,$A39,'BAL N JEANCLO'!$J:$J,"T")</f>
        <v>1437.1</v>
      </c>
      <c r="D39" s="17">
        <f t="shared" si="7"/>
        <v>0.66017295235904216</v>
      </c>
      <c r="E39" s="16">
        <f>SUMIFS(DONNEES_N1_NOUVEAU[MONTANT],DONNEES_N1_NOUVEAU[TL2],A39,DONNEES_N1_NOUVEAU[MOIS],DONNÉES!$C$5,DONNEES_N1_NOUVEAU[SOCIETE],"JEANCLO")</f>
        <v>9357.0499999999993</v>
      </c>
      <c r="F39" s="17">
        <f t="shared" si="7"/>
        <v>4.4425477478748681</v>
      </c>
      <c r="G39" s="16">
        <f t="shared" si="8"/>
        <v>-7919.9499999999989</v>
      </c>
      <c r="H39" s="17">
        <f t="shared" si="9"/>
        <v>-84.641526976985261</v>
      </c>
    </row>
    <row r="40" spans="1:8" s="18" customFormat="1" x14ac:dyDescent="0.2">
      <c r="A40" s="13" t="s">
        <v>2979</v>
      </c>
      <c r="B40" s="14" t="s">
        <v>2981</v>
      </c>
      <c r="C40" s="23">
        <f>SUMIFS('BAL N JEANCLO'!$G:$G,'BAL N JEANCLO'!$I:$I,$A40,'BAL N JEANCLO'!$J:$J,"T")</f>
        <v>45</v>
      </c>
      <c r="D40" s="17">
        <f t="shared" si="7"/>
        <v>2.0672035944719853E-2</v>
      </c>
      <c r="E40" s="16">
        <f>SUMIFS(DONNEES_N1_NOUVEAU[MONTANT],DONNEES_N1_NOUVEAU[TL2],A40,DONNEES_N1_NOUVEAU[MOIS],DONNÉES!$C$5,DONNEES_N1_NOUVEAU[SOCIETE],"JEANCLO")</f>
        <v>533.01</v>
      </c>
      <c r="F40" s="17">
        <f t="shared" si="7"/>
        <v>0.25306291781007734</v>
      </c>
      <c r="G40" s="16">
        <f t="shared" si="8"/>
        <v>-488.01</v>
      </c>
      <c r="H40" s="17">
        <f t="shared" si="9"/>
        <v>-91.557381662632977</v>
      </c>
    </row>
    <row r="41" spans="1:8" s="18" customFormat="1" x14ac:dyDescent="0.2">
      <c r="A41" s="13" t="s">
        <v>2982</v>
      </c>
      <c r="B41" s="14" t="s">
        <v>2983</v>
      </c>
      <c r="C41" s="23">
        <f>SUMIFS('BAL N JEANCLO'!$G:$G,'BAL N JEANCLO'!$I:$I,$A41,'BAL N JEANCLO'!$J:$J,"T")</f>
        <v>507.75</v>
      </c>
      <c r="D41" s="17">
        <f t="shared" si="7"/>
        <v>0.23324947224292233</v>
      </c>
      <c r="E41" s="16">
        <f>SUMIFS(DONNEES_N1_NOUVEAU[MONTANT],DONNEES_N1_NOUVEAU[TL2],A41,DONNEES_N1_NOUVEAU[MOIS],DONNÉES!$C$5,DONNEES_N1_NOUVEAU[SOCIETE],"JEANCLO")</f>
        <v>1521.5800000000002</v>
      </c>
      <c r="F41" s="17">
        <f t="shared" si="7"/>
        <v>0.72241697994682563</v>
      </c>
      <c r="G41" s="16">
        <f t="shared" si="8"/>
        <v>-1013.8300000000002</v>
      </c>
      <c r="H41" s="17">
        <f t="shared" si="9"/>
        <v>-66.630081888563211</v>
      </c>
    </row>
    <row r="42" spans="1:8" ht="13.5" thickBot="1" x14ac:dyDescent="0.25">
      <c r="A42" s="13"/>
      <c r="B42" s="63" t="s">
        <v>2984</v>
      </c>
      <c r="C42" s="49">
        <f>+SUM(C35:C41)</f>
        <v>34508.54</v>
      </c>
      <c r="D42" s="50">
        <f t="shared" si="7"/>
        <v>15.852483983995617</v>
      </c>
      <c r="E42" s="51">
        <f>+SUM(E35:E41)</f>
        <v>54481.909999999996</v>
      </c>
      <c r="F42" s="50">
        <f t="shared" si="7"/>
        <v>25.866965183516314</v>
      </c>
      <c r="G42" s="51">
        <f>+SUM(G35:G41)</f>
        <v>-19973.37</v>
      </c>
      <c r="H42" s="50">
        <f t="shared" si="9"/>
        <v>-36.660553934324255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56485.250000000022</v>
      </c>
      <c r="D44" s="71">
        <f>(C44*100)/C$8</f>
        <v>25.948113741033055</v>
      </c>
      <c r="E44" s="72">
        <f>E18-E26-E33-E42</f>
        <v>36017.770000000011</v>
      </c>
      <c r="F44" s="71">
        <f>(E44*100)/E$8</f>
        <v>17.100545898223807</v>
      </c>
      <c r="G44" s="72">
        <f>G18-G26-G33-G42</f>
        <v>20467.48</v>
      </c>
      <c r="H44" s="71">
        <f>IF(E44=0,0,G44/E44*100)</f>
        <v>56.826061135933713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JEANCLO'!$G:$G,'BAL N JEANCLO'!$I:$I,$A46,'BAL N JEANCLO'!$J:$J,"T")</f>
        <v>22406.16</v>
      </c>
      <c r="D46" s="17">
        <f t="shared" ref="D46:F49" si="10">(C46*100)/C$8</f>
        <v>10.292909886736537</v>
      </c>
      <c r="E46" s="16">
        <f>SUMIFS(DONNEES_N1_NOUVEAU[MONTANT],DONNEES_N1_NOUVEAU[TL2],A46,DONNEES_N1_NOUVEAU[MOIS],DONNÉES!$C$5,DONNEES_N1_NOUVEAU[SOCIETE],"JEANCLO")</f>
        <v>21225.78</v>
      </c>
      <c r="F46" s="17">
        <f t="shared" si="10"/>
        <v>10.077592952467651</v>
      </c>
      <c r="G46" s="16">
        <f>+C46-E46</f>
        <v>1180.380000000001</v>
      </c>
      <c r="H46" s="17">
        <f>IF(E46=0,0,G46/E46*100)</f>
        <v>5.5610677204795351</v>
      </c>
    </row>
    <row r="47" spans="1:8" s="18" customFormat="1" x14ac:dyDescent="0.2">
      <c r="A47" s="13" t="s">
        <v>35</v>
      </c>
      <c r="B47" s="14" t="s">
        <v>2986</v>
      </c>
      <c r="C47" s="23">
        <f>SUMIFS('BAL N JEANCLO'!$G:$G,'BAL N JEANCLO'!$I:$I,$A47,'BAL N JEANCLO'!$J:$J,"T")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SUMIFS(DONNEES_N1_NOUVEAU[MONTANT],DONNEES_N1_NOUVEAU[TL2],A47,DONNEES_N1_NOUVEAU[MOIS],DONNÉES!$C$5,DONNEES_N1_NOUVEAU[SOCIETE],"JEANCLO")</f>
        <v>2100.1799999999998</v>
      </c>
      <c r="F47" s="17">
        <f t="shared" si="10"/>
        <v>0.99712515473699947</v>
      </c>
      <c r="G47" s="16">
        <f>+C47-E47</f>
        <v>-2100.1799999999998</v>
      </c>
      <c r="H47" s="17">
        <f>IF(E47=0,0,G47/E47*100)</f>
        <v>-100</v>
      </c>
    </row>
    <row r="48" spans="1:8" s="18" customFormat="1" x14ac:dyDescent="0.2">
      <c r="A48" s="13" t="s">
        <v>37</v>
      </c>
      <c r="B48" s="14" t="s">
        <v>2987</v>
      </c>
      <c r="C48" s="23">
        <f>SUMIFS('BAL N JEANCLO'!$G:$G,'BAL N JEANCLO'!$I:$I,$A48,'BAL N JEANCLO'!$J:$J,"T")</f>
        <v>-3403.9</v>
      </c>
      <c r="D48" s="17">
        <f t="shared" si="10"/>
        <v>-1.5636787367162646</v>
      </c>
      <c r="E48" s="16">
        <f>SUMIFS(DONNEES_N1_NOUVEAU[MONTANT],DONNEES_N1_NOUVEAU[TL2],A48,DONNEES_N1_NOUVEAU[MOIS],DONNÉES!$C$5,DONNEES_N1_NOUVEAU[SOCIETE],"JEANCLO")</f>
        <v>0</v>
      </c>
      <c r="F48" s="17">
        <f t="shared" si="10"/>
        <v>0</v>
      </c>
      <c r="G48" s="16">
        <f>+C48-E48</f>
        <v>-3403.9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19002.259999999998</v>
      </c>
      <c r="D49" s="50">
        <f t="shared" si="10"/>
        <v>8.7292311500202704</v>
      </c>
      <c r="E49" s="51">
        <f>SUM(E46:E48)</f>
        <v>23325.96</v>
      </c>
      <c r="F49" s="50">
        <f t="shared" si="10"/>
        <v>11.074718107204651</v>
      </c>
      <c r="G49" s="51">
        <f>SUM(G46:G48)</f>
        <v>-4323.6999999999989</v>
      </c>
      <c r="H49" s="50">
        <f>IF(E49=0,0,G49/E49*100)</f>
        <v>-18.536000233216548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JEANCLO'!$G:$G,'BAL N JEANCLO'!$I:$I,$A51,'BAL N JEANCLO'!$J:$J,"T")</f>
        <v>0</v>
      </c>
      <c r="D51" s="17">
        <f t="shared" ref="D51:F59" si="11">(C51*100)/C$8</f>
        <v>0</v>
      </c>
      <c r="E51" s="16">
        <f>SUMIFS(DONNEES_N1_NOUVEAU[MONTANT],DONNEES_N1_NOUVEAU[TL2],A51,DONNEES_N1_NOUVEAU[MOIS],DONNÉES!$C$5,DONNEES_N1_NOUVEAU[SOCIETE],"JEANCLO")</f>
        <v>2711.82</v>
      </c>
      <c r="F51" s="17">
        <f t="shared" si="11"/>
        <v>1.2875200873824579</v>
      </c>
      <c r="G51" s="16">
        <f t="shared" ref="G51:G58" si="12">+C51-E51</f>
        <v>-2711.82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JEANCLO'!$G:$G,'BAL N JEANCLO'!$I:$I,$A52,'BAL N JEANCLO'!$J:$J,"T")</f>
        <v>11203.08</v>
      </c>
      <c r="D52" s="17">
        <f t="shared" si="11"/>
        <v>5.1464549433682683</v>
      </c>
      <c r="E52" s="16">
        <f>SUMIFS(DONNEES_N1_NOUVEAU[MONTANT],DONNEES_N1_NOUVEAU[TL2],A52,DONNEES_N1_NOUVEAU[MOIS],DONNÉES!$C$5,DONNEES_N1_NOUVEAU[SOCIETE],"JEANCLO")</f>
        <v>10612.88</v>
      </c>
      <c r="F52" s="17">
        <f t="shared" si="11"/>
        <v>5.0387917284257577</v>
      </c>
      <c r="G52" s="16">
        <f t="shared" si="12"/>
        <v>590.20000000000073</v>
      </c>
      <c r="H52" s="17">
        <f t="shared" si="13"/>
        <v>5.5611671855330576</v>
      </c>
    </row>
    <row r="53" spans="1:8" s="18" customFormat="1" x14ac:dyDescent="0.2">
      <c r="A53" s="13" t="s">
        <v>44</v>
      </c>
      <c r="B53" s="14" t="s">
        <v>62</v>
      </c>
      <c r="C53" s="23">
        <f>SUMIFS('BAL N JEANCLO'!$G:$G,'BAL N JEANCLO'!$I:$I,$A53,'BAL N JEANCLO'!$J:$J,"T")</f>
        <v>1286</v>
      </c>
      <c r="D53" s="17">
        <f t="shared" si="11"/>
        <v>0.59076084944243845</v>
      </c>
      <c r="E53" s="16">
        <f>SUMIFS(DONNEES_N1_NOUVEAU[MONTANT],DONNEES_N1_NOUVEAU[TL2],A53,DONNEES_N1_NOUVEAU[MOIS],DONNÉES!$C$5,DONNEES_N1_NOUVEAU[SOCIETE],"JEANCLO")</f>
        <v>733.85</v>
      </c>
      <c r="F53" s="17">
        <f t="shared" si="11"/>
        <v>0.34841789503935244</v>
      </c>
      <c r="G53" s="16">
        <f t="shared" si="12"/>
        <v>552.15</v>
      </c>
      <c r="H53" s="17">
        <f t="shared" si="13"/>
        <v>75.240171697213327</v>
      </c>
    </row>
    <row r="54" spans="1:8" s="18" customFormat="1" x14ac:dyDescent="0.2">
      <c r="A54" s="13" t="s">
        <v>45</v>
      </c>
      <c r="B54" s="14" t="s">
        <v>41</v>
      </c>
      <c r="C54" s="23">
        <f>SUMIFS('BAL N JEANCLO'!$G:$G,'BAL N JEANCLO'!$I:$I,$A54,'BAL N JEANCLO'!$J:$J,"T")</f>
        <v>1018.29</v>
      </c>
      <c r="D54" s="17">
        <f t="shared" si="11"/>
        <v>0.46778061071441729</v>
      </c>
      <c r="E54" s="16">
        <f>SUMIFS(DONNEES_N1_NOUVEAU[MONTANT],DONNEES_N1_NOUVEAU[TL2],A54,DONNEES_N1_NOUVEAU[MOIS],DONNÉES!$C$5,DONNEES_N1_NOUVEAU[SOCIETE],"JEANCLO")</f>
        <v>872.04</v>
      </c>
      <c r="F54" s="17">
        <f t="shared" si="11"/>
        <v>0.41402785472523934</v>
      </c>
      <c r="G54" s="16">
        <f t="shared" si="12"/>
        <v>146.25</v>
      </c>
      <c r="H54" s="17">
        <f t="shared" si="13"/>
        <v>16.771019677996424</v>
      </c>
    </row>
    <row r="55" spans="1:8" s="18" customFormat="1" x14ac:dyDescent="0.2">
      <c r="A55" s="13" t="s">
        <v>47</v>
      </c>
      <c r="B55" s="14" t="s">
        <v>43</v>
      </c>
      <c r="C55" s="23">
        <f>SUMIFS('BAL N JEANCLO'!$G:$G,'BAL N JEANCLO'!$I:$I,$A55,'BAL N JEANCLO'!$J:$J,"T")</f>
        <v>2048.69</v>
      </c>
      <c r="D55" s="17">
        <f t="shared" si="11"/>
        <v>0.9411242959908469</v>
      </c>
      <c r="E55" s="16">
        <f>SUMIFS(DONNEES_N1_NOUVEAU[MONTANT],DONNEES_N1_NOUVEAU[TL2],A55,DONNEES_N1_NOUVEAU[MOIS],DONNÉES!$C$5,DONNEES_N1_NOUVEAU[SOCIETE],"JEANCLO")</f>
        <v>2018.1399999999999</v>
      </c>
      <c r="F55" s="17">
        <f t="shared" si="11"/>
        <v>0.958174137350574</v>
      </c>
      <c r="G55" s="16">
        <f t="shared" si="12"/>
        <v>30.550000000000182</v>
      </c>
      <c r="H55" s="17">
        <f t="shared" si="13"/>
        <v>1.5137701051463319</v>
      </c>
    </row>
    <row r="56" spans="1:8" s="18" customFormat="1" x14ac:dyDescent="0.2">
      <c r="A56" s="13" t="s">
        <v>48</v>
      </c>
      <c r="B56" s="14" t="s">
        <v>46</v>
      </c>
      <c r="C56" s="23">
        <f>SUMIFS('BAL N JEANCLO'!$G:$G,'BAL N JEANCLO'!$I:$I,$A56,'BAL N JEANCLO'!$J:$J,"T")</f>
        <v>9200</v>
      </c>
      <c r="D56" s="17">
        <f t="shared" si="11"/>
        <v>4.2262829042538366</v>
      </c>
      <c r="E56" s="16">
        <f>SUMIFS(DONNEES_N1_NOUVEAU[MONTANT],DONNEES_N1_NOUVEAU[TL2],A56,DONNEES_N1_NOUVEAU[MOIS],DONNÉES!$C$5,DONNEES_N1_NOUVEAU[SOCIETE],"JEANCLO")</f>
        <v>9200</v>
      </c>
      <c r="F56" s="17">
        <f t="shared" si="11"/>
        <v>4.3679834221735261</v>
      </c>
      <c r="G56" s="16">
        <f t="shared" si="12"/>
        <v>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JEANCLO'!$G:$G,'BAL N JEANCLO'!$I:$I,$A57,'BAL N JEANCLO'!$J:$J,"T")</f>
        <v>668.65</v>
      </c>
      <c r="D57" s="17">
        <f t="shared" si="11"/>
        <v>0.30716348520970954</v>
      </c>
      <c r="E57" s="16">
        <f>SUMIFS(DONNEES_N1_NOUVEAU[MONTANT],DONNEES_N1_NOUVEAU[TL2],A57,DONNEES_N1_NOUVEAU[MOIS],DONNÉES!$C$5,DONNEES_N1_NOUVEAU[SOCIETE],"JEANCLO")</f>
        <v>556.53</v>
      </c>
      <c r="F57" s="17">
        <f t="shared" si="11"/>
        <v>0.26422976238502527</v>
      </c>
      <c r="G57" s="16">
        <f t="shared" si="12"/>
        <v>112.12</v>
      </c>
      <c r="H57" s="17">
        <f t="shared" si="13"/>
        <v>20.146263453901859</v>
      </c>
    </row>
    <row r="58" spans="1:8" s="18" customFormat="1" x14ac:dyDescent="0.2">
      <c r="A58" s="13" t="s">
        <v>52</v>
      </c>
      <c r="B58" s="14" t="s">
        <v>51</v>
      </c>
      <c r="C58" s="23">
        <f>SUMIFS('BAL N JEANCLO'!$G:$G,'BAL N JEANCLO'!$I:$I,$A58,'BAL N JEANCLO'!$J:$J,"T")</f>
        <v>0</v>
      </c>
      <c r="D58" s="17">
        <f t="shared" si="11"/>
        <v>0</v>
      </c>
      <c r="E58" s="16">
        <f>SUMIFS(DONNEES_N1_NOUVEAU[MONTANT],DONNEES_N1_NOUVEAU[TL2],A58,DONNEES_N1_NOUVEAU[MOIS],DONNÉES!$C$5,DONNEES_N1_NOUVEAU[SOCIETE],"JEANCLO")</f>
        <v>35</v>
      </c>
      <c r="F58" s="17">
        <f t="shared" si="11"/>
        <v>1.661732823652972E-2</v>
      </c>
      <c r="G58" s="16">
        <f t="shared" si="12"/>
        <v>-35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25424.71</v>
      </c>
      <c r="D59" s="50">
        <f t="shared" si="11"/>
        <v>11.679567088979518</v>
      </c>
      <c r="E59" s="51">
        <f>SUM(E51:E58)</f>
        <v>26740.26</v>
      </c>
      <c r="F59" s="50">
        <f t="shared" si="11"/>
        <v>12.695762215718464</v>
      </c>
      <c r="G59" s="51">
        <f>SUM(G51:G58)</f>
        <v>-1315.5499999999993</v>
      </c>
      <c r="H59" s="50">
        <f t="shared" si="13"/>
        <v>-4.9197352606145168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145405.46000000002</v>
      </c>
      <c r="D61" s="71">
        <f>(C61*100)/C$8</f>
        <v>66.796153237300558</v>
      </c>
      <c r="E61" s="72">
        <f>E59+E49+E42+E33+E26</f>
        <v>173188.18</v>
      </c>
      <c r="F61" s="71">
        <f>(E61*100)/E$8</f>
        <v>82.226423821348334</v>
      </c>
      <c r="G61" s="72">
        <f>G59+G49+G42+G33+G26</f>
        <v>-27782.720000000001</v>
      </c>
      <c r="H61" s="71">
        <f>IF(E61=0,0,G61/E61*100)</f>
        <v>-16.0419261868795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JEANCLO'!$G:$G,'BAL N JEANCLO'!$I:$I,$A63,'BAL N JEANCLO'!$J:$J,"T")</f>
        <v>3055.46</v>
      </c>
      <c r="D63" s="17">
        <f t="shared" ref="D63:F65" si="14">(C63*100)/C$8</f>
        <v>1.4036128655034159</v>
      </c>
      <c r="E63" s="16">
        <f>-SUMIFS(DONNEES_N1_NOUVEAU[MONTANT],DONNEES_N1_NOUVEAU[TL2],A63,DONNEES_N1_NOUVEAU[MOIS],DONNÉES!$C$5,DONNEES_N1_NOUVEAU[SOCIETE],"JEANCLO")</f>
        <v>2325.94</v>
      </c>
      <c r="F63" s="17">
        <f t="shared" si="14"/>
        <v>1.1043116696706838</v>
      </c>
      <c r="G63" s="16">
        <f>+C63-E63</f>
        <v>729.52</v>
      </c>
      <c r="H63" s="17">
        <f>IF(E63=0,0,G63/E63*100)</f>
        <v>31.364523590462351</v>
      </c>
    </row>
    <row r="64" spans="1:8" s="18" customFormat="1" x14ac:dyDescent="0.2">
      <c r="A64" s="13" t="s">
        <v>2992</v>
      </c>
      <c r="B64" s="68" t="s">
        <v>65</v>
      </c>
      <c r="C64" s="23">
        <f>SUMIFS('BAL N JEANCLO'!$G:$G,'BAL N JEANCLO'!$I:$I,$A64,'BAL N JEANCLO'!$J:$J,"T")</f>
        <v>2657.05</v>
      </c>
      <c r="D64" s="17">
        <f t="shared" si="14"/>
        <v>1.2205918468203973</v>
      </c>
      <c r="E64" s="24">
        <f>SUMIFS(DONNEES_N1_NOUVEAU[MONTANT],DONNEES_N1_NOUVEAU[TL2],A64,DONNEES_N1_NOUVEAU[MOIS],DONNÉES!$C$5,DONNEES_N1_NOUVEAU[SOCIETE],"JEANCLO")</f>
        <v>2058.79</v>
      </c>
      <c r="F64" s="17">
        <f t="shared" si="14"/>
        <v>0.97747397714528639</v>
      </c>
      <c r="G64" s="16">
        <f>+C64-E64</f>
        <v>598.26000000000022</v>
      </c>
      <c r="H64" s="17">
        <f>IF(E64=0,0,G64/E64*100)</f>
        <v>29.058816100719365</v>
      </c>
    </row>
    <row r="65" spans="1:9" s="59" customFormat="1" ht="13.5" x14ac:dyDescent="0.2">
      <c r="A65" s="13"/>
      <c r="B65" s="62" t="s">
        <v>53</v>
      </c>
      <c r="C65" s="67">
        <f>+C63-C64</f>
        <v>398.40999999999985</v>
      </c>
      <c r="D65" s="56">
        <f t="shared" si="14"/>
        <v>0.18302101868301851</v>
      </c>
      <c r="E65" s="57">
        <f>+E63-E64</f>
        <v>267.15000000000009</v>
      </c>
      <c r="F65" s="56">
        <f t="shared" si="14"/>
        <v>0.12683769252539759</v>
      </c>
      <c r="G65" s="58">
        <f>+G63-G64</f>
        <v>131.25999999999976</v>
      </c>
      <c r="H65" s="56">
        <f>IF(E65=0,0,G65/E65*100)</f>
        <v>49.133445629795894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JEANCLO'!$G:$G,'BAL N JEANCLO'!$I:$I,$A67,'BAL N JEANCLO'!$J:$J,"T")</f>
        <v>-218.69</v>
      </c>
      <c r="D67" s="17">
        <f>(C67*100)/C$8</f>
        <v>-0.10046150090557299</v>
      </c>
      <c r="E67" s="16">
        <f>-SUMIFS(DONNEES_N1_NOUVEAU[MONTANT],DONNEES_N1_NOUVEAU[TL2],A67,DONNEES_N1_NOUVEAU[MOIS],DONNÉES!$C$5,DONNEES_N1_NOUVEAU[SOCIETE],"JEANCLO")</f>
        <v>-303.48</v>
      </c>
      <c r="F67" s="17">
        <f>(E67*100)/E$8</f>
        <v>-0.14408647923491541</v>
      </c>
      <c r="G67" s="16">
        <f>+C67-E67</f>
        <v>84.79000000000002</v>
      </c>
      <c r="H67" s="17">
        <f>IF(E67=0,0,G67/E67*100)</f>
        <v>-27.939238170554901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12237.999999999998</v>
      </c>
      <c r="D69" s="10">
        <f>(C69*100)/C$8</f>
        <v>5.6218750198106999</v>
      </c>
      <c r="E69" s="9">
        <f>E18-E61+E65+E67</f>
        <v>-14084.779999999982</v>
      </c>
      <c r="F69" s="10">
        <f>(E69*100)/E$8</f>
        <v>-6.6871832114088221</v>
      </c>
      <c r="G69" s="9">
        <f>G18-G61+G65+G67</f>
        <v>26322.779999999995</v>
      </c>
      <c r="H69" s="10">
        <f>IF(E69=0,0,G69/E69*100)</f>
        <v>-186.88811610831002</v>
      </c>
    </row>
    <row r="70" spans="1:9" ht="13.5" thickBot="1" x14ac:dyDescent="0.25">
      <c r="A70" s="13"/>
      <c r="B70" s="63" t="s">
        <v>3034</v>
      </c>
      <c r="C70" s="49">
        <f>+C69-C67+C57+C56</f>
        <v>22325.339999999997</v>
      </c>
      <c r="D70" s="50">
        <f>(C70*100)/C$8</f>
        <v>10.255782910179818</v>
      </c>
      <c r="E70" s="49">
        <f>+E69-E67+E57+E56</f>
        <v>-4024.7699999999822</v>
      </c>
      <c r="F70" s="50">
        <f>(E70*100)/E$8</f>
        <v>-1.9108835476153552</v>
      </c>
      <c r="G70" s="49">
        <f>+G69-G67+G57+G56</f>
        <v>26350.109999999993</v>
      </c>
      <c r="H70" s="50">
        <f>IF(E70=0,0,G70/E70*100)</f>
        <v>-654.69852935695974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JEANCLO'!$G:$G,'BAL N JEANCLO'!$I:$I,$A72,'BAL N JEANCLO'!$J:$J,"T")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-SUMIFS(DONNEES_N1_NOUVEAU[MONTANT],DONNEES_N1_NOUVEAU[TL2],A72,DONNEES_N1_NOUVEAU[MOIS],DONNÉES!$C$5,DONNEES_N1_NOUVEAU[SOCIETE],"JEANCLO")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JEANCLO'!$G:$G,'BAL N JEANCLO'!$I:$I,$A74,'BAL N JEANCLO'!$J:$J,"T")</f>
        <v>14618</v>
      </c>
      <c r="D74" s="10">
        <f>(C74*100)/C$8</f>
        <v>6.7151960319981061</v>
      </c>
      <c r="E74" s="9">
        <f>SUMIFS(DONNEES_N1_NOUVEAU[MONTANT],DONNEES_N1_NOUVEAU[TL2],A74,DONNEES_N1_NOUVEAU[MOIS],DONNÉES!$C$5,DONNEES_N1_NOUVEAU[SOCIETE],"JEANCLO")</f>
        <v>12000</v>
      </c>
      <c r="F74" s="10">
        <f>(E74*100)/E$8</f>
        <v>5.6973696810959042</v>
      </c>
      <c r="G74" s="9">
        <f>+C74-E74</f>
        <v>2618</v>
      </c>
      <c r="H74" s="10">
        <f>IF(E74=0,0,G74/E74*100)</f>
        <v>21.816666666666666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-2380.0000000000018</v>
      </c>
      <c r="D76" s="71">
        <f>(C76*100)/C$8</f>
        <v>-1.0933210121874062</v>
      </c>
      <c r="E76" s="72">
        <f>E69-E74+E72</f>
        <v>-26084.779999999984</v>
      </c>
      <c r="F76" s="71">
        <f>(E76*100)/E$8</f>
        <v>-12.384552892504727</v>
      </c>
      <c r="G76" s="72">
        <f>G69-G74+G72</f>
        <v>23704.779999999995</v>
      </c>
      <c r="H76" s="71">
        <f>IF(E76=0,0,G76/E76*100)</f>
        <v>-90.875905413041664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VLOOKUP(PARAMETRES!$C$2,TRANSJEANCLO[],2,FALSE)</f>
        <v>12917</v>
      </c>
      <c r="D78" s="324"/>
      <c r="E78" s="323">
        <f>VLOOKUP(PARAMETRES!$C$2,TRANSJEANCLO[],3,FALSE)</f>
        <v>15290</v>
      </c>
      <c r="F78" s="324"/>
      <c r="G78" s="325">
        <f>C78-E78</f>
        <v>-2373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VLOOKUP(PARAMETRES!$C$2,PMTJEANCLO[],2,FALSE)</f>
        <v>13.91</v>
      </c>
      <c r="D80" s="316"/>
      <c r="E80" s="315">
        <f>VLOOKUP(PARAMETRES!$C$2,PMTJEANCLO[],3,FALSE)</f>
        <v>14.05</v>
      </c>
      <c r="F80" s="316"/>
      <c r="G80" s="330">
        <f>C80-E80</f>
        <v>-0.14000000000000057</v>
      </c>
      <c r="H80" s="331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FD7A-8611-4136-883F-F69E21AA16C7}">
  <sheetPr>
    <tabColor rgb="FFFFFF00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8BD9-0BE5-4F23-905B-DEE5AAB842ED}">
  <sheetPr>
    <tabColor rgb="FFFFFF00"/>
    <pageSetUpPr fitToPage="1"/>
  </sheetPr>
  <dimension ref="A1:I81"/>
  <sheetViews>
    <sheetView showGridLines="0" topLeftCell="B1" zoomScaleNormal="100" zoomScaleSheetLayoutView="115" zoomScalePageLayoutView="85" workbookViewId="0">
      <selection activeCell="H59" sqref="H59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6970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6965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THOMAS'!$G:$G,'BAL N THOMAS'!$I:$I,$A8,'BAL N THOMAS'!$J:$J,"T")</f>
        <v>225059.06</v>
      </c>
      <c r="D8" s="71">
        <f>(C8*100)/C$8</f>
        <v>100</v>
      </c>
      <c r="E8" s="72">
        <f>-SUMIFS(DONNEES_N1_NOUVEAU[MONTANT],DONNEES_N1_NOUVEAU[TL2],A8,DONNEES_N1_NOUVEAU[MOIS],DONNÉES!$C$5,DONNEES_N1_NOUVEAU[SOCIETE],"THOMAS")</f>
        <v>349402.23000000004</v>
      </c>
      <c r="F8" s="71">
        <f>(E8*100)/E$8</f>
        <v>100.00000000000001</v>
      </c>
      <c r="G8" s="72">
        <f>+C8-E8</f>
        <v>-124343.17000000004</v>
      </c>
      <c r="H8" s="71">
        <f>IF(E8=0,0,G8/E8*100)</f>
        <v>-35.587400229242967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THOMAS'!$G:$G,'BAL N THOMAS'!$I:$I,$A10,'BAL N THOMAS'!$J:$J,"T")</f>
        <v>49662.43</v>
      </c>
      <c r="D10" s="17">
        <f t="shared" ref="D10:F16" si="0">(C10*100)/C$8</f>
        <v>22.066398926575097</v>
      </c>
      <c r="E10" s="16">
        <f>SUMIFS(DONNEES_N1_NOUVEAU[MONTANT],DONNEES_N1_NOUVEAU[TL2],A10,DONNEES_N1_NOUVEAU[MOIS],DONNÉES!$C$5,DONNEES_N1_NOUVEAU[SOCIETE],"THOMAS")</f>
        <v>77023.950000000012</v>
      </c>
      <c r="F10" s="17">
        <f t="shared" si="0"/>
        <v>22.044492961593292</v>
      </c>
      <c r="G10" s="16">
        <f>+C10-E10</f>
        <v>-27361.520000000011</v>
      </c>
      <c r="H10" s="17">
        <f t="shared" ref="H10:H16" si="1">IF(E10=0,0,G10/E10*100)</f>
        <v>-35.523392399377087</v>
      </c>
    </row>
    <row r="11" spans="1:8" s="18" customFormat="1" x14ac:dyDescent="0.2">
      <c r="A11" s="13" t="s">
        <v>124</v>
      </c>
      <c r="B11" s="14" t="s">
        <v>4</v>
      </c>
      <c r="C11" s="23">
        <f>SUMIFS('BAL N THOMAS'!$G:$G,'BAL N THOMAS'!$I:$I,$A11,'BAL N THOMAS'!$J:$J,"T")</f>
        <v>1353.01</v>
      </c>
      <c r="D11" s="17">
        <f t="shared" si="0"/>
        <v>0.60117997471419282</v>
      </c>
      <c r="E11" s="16">
        <f>SUMIFS(DONNEES_N1_NOUVEAU[MONTANT],DONNEES_N1_NOUVEAU[TL2],A11,DONNEES_N1_NOUVEAU[MOIS],DONNÉES!$C$5,DONNEES_N1_NOUVEAU[SOCIETE],"THOMAS")</f>
        <v>1700.81</v>
      </c>
      <c r="F11" s="17">
        <f t="shared" si="0"/>
        <v>0.48677708782797402</v>
      </c>
      <c r="G11" s="16">
        <f>+C11-E11</f>
        <v>-347.79999999999995</v>
      </c>
      <c r="H11" s="17">
        <f t="shared" si="1"/>
        <v>-20.449080144166601</v>
      </c>
    </row>
    <row r="12" spans="1:8" s="18" customFormat="1" x14ac:dyDescent="0.2">
      <c r="A12" s="13" t="s">
        <v>125</v>
      </c>
      <c r="B12" s="14" t="s">
        <v>2</v>
      </c>
      <c r="C12" s="23">
        <f>SUMIFS('BAL N THOMAS'!$G:$G,'BAL N THOMAS'!$I:$I,$A12,'BAL N THOMAS'!$J:$J,"T")</f>
        <v>1893.68</v>
      </c>
      <c r="D12" s="17">
        <f t="shared" si="0"/>
        <v>0.8414146935475515</v>
      </c>
      <c r="E12" s="16">
        <f>SUMIFS(DONNEES_N1_NOUVEAU[MONTANT],DONNEES_N1_NOUVEAU[TL2],A12,DONNEES_N1_NOUVEAU[MOIS],DONNÉES!$C$5,DONNEES_N1_NOUVEAU[SOCIETE],"THOMAS")</f>
        <v>3010.68</v>
      </c>
      <c r="F12" s="17">
        <f t="shared" si="0"/>
        <v>0.86166593727807628</v>
      </c>
      <c r="G12" s="16">
        <f>+C12-E12</f>
        <v>-1116.9999999999998</v>
      </c>
      <c r="H12" s="17">
        <f t="shared" si="1"/>
        <v>-37.101252873105075</v>
      </c>
    </row>
    <row r="13" spans="1:8" s="59" customFormat="1" ht="13.5" x14ac:dyDescent="0.2">
      <c r="A13" s="60"/>
      <c r="B13" s="62" t="s">
        <v>6</v>
      </c>
      <c r="C13" s="55">
        <f>SUM(C10:C12)</f>
        <v>52909.120000000003</v>
      </c>
      <c r="D13" s="56">
        <f t="shared" si="0"/>
        <v>23.508993594836841</v>
      </c>
      <c r="E13" s="55">
        <f>SUM(E10:E12)</f>
        <v>81735.44</v>
      </c>
      <c r="F13" s="56">
        <f t="shared" si="0"/>
        <v>23.392935986699339</v>
      </c>
      <c r="G13" s="55">
        <f>SUM(G10:G12)</f>
        <v>-28826.320000000011</v>
      </c>
      <c r="H13" s="56">
        <f t="shared" si="1"/>
        <v>-35.267834858416386</v>
      </c>
    </row>
    <row r="14" spans="1:8" s="18" customFormat="1" x14ac:dyDescent="0.2">
      <c r="A14" s="13" t="s">
        <v>126</v>
      </c>
      <c r="B14" s="14" t="s">
        <v>8</v>
      </c>
      <c r="C14" s="23">
        <f>SUMIFS('BAL N THOMAS'!$G:$G,'BAL N THOMAS'!$I:$I,$A14,'BAL N THOMAS'!$J:$J,"T")</f>
        <v>4062.77</v>
      </c>
      <c r="D14" s="17">
        <f t="shared" si="0"/>
        <v>1.8052017101644342</v>
      </c>
      <c r="E14" s="16">
        <f>SUMIFS(DONNEES_N1_NOUVEAU[MONTANT],DONNEES_N1_NOUVEAU[TL2],A14,DONNEES_N1_NOUVEAU[MOIS],DONNÉES!$C$5,DONNEES_N1_NOUVEAU[SOCIETE],"THOMAS")</f>
        <v>9108.7099999999991</v>
      </c>
      <c r="F14" s="17">
        <f t="shared" si="0"/>
        <v>2.6069410032099674</v>
      </c>
      <c r="G14" s="16">
        <f>+C14-E14</f>
        <v>-5045.9399999999987</v>
      </c>
      <c r="H14" s="17">
        <f t="shared" si="1"/>
        <v>-55.396867393955887</v>
      </c>
    </row>
    <row r="15" spans="1:8" s="18" customFormat="1" x14ac:dyDescent="0.2">
      <c r="A15" s="13" t="s">
        <v>2964</v>
      </c>
      <c r="B15" s="14" t="s">
        <v>2965</v>
      </c>
      <c r="C15" s="23">
        <f>SUMIFS('BAL N THOMAS'!$G:$G,'BAL N THOMAS'!$I:$I,$A15,'BAL N THOMAS'!$J:$J,"T")</f>
        <v>164.78</v>
      </c>
      <c r="D15" s="17">
        <f t="shared" si="0"/>
        <v>7.3216337080586752E-2</v>
      </c>
      <c r="E15" s="16">
        <f>SUMIFS(DONNEES_N1_NOUVEAU[MONTANT],DONNEES_N1_NOUVEAU[TL2],A15,DONNEES_N1_NOUVEAU[MOIS],DONNÉES!$C$5,DONNEES_N1_NOUVEAU[SOCIETE],"THOMAS")</f>
        <v>490.85</v>
      </c>
      <c r="F15" s="17">
        <f t="shared" si="0"/>
        <v>0.14048278970629349</v>
      </c>
      <c r="G15" s="16">
        <f>+C15-E15</f>
        <v>-326.07000000000005</v>
      </c>
      <c r="H15" s="17">
        <f t="shared" si="1"/>
        <v>-66.429662829785073</v>
      </c>
    </row>
    <row r="16" spans="1:8" ht="13.5" thickBot="1" x14ac:dyDescent="0.25">
      <c r="A16" s="7"/>
      <c r="B16" s="63" t="s">
        <v>10</v>
      </c>
      <c r="C16" s="49">
        <f>+C13+SUM(C14:C15)</f>
        <v>57136.670000000006</v>
      </c>
      <c r="D16" s="50">
        <f t="shared" si="0"/>
        <v>25.387411642081865</v>
      </c>
      <c r="E16" s="49">
        <f>+E13+SUM(E14:E15)</f>
        <v>91335</v>
      </c>
      <c r="F16" s="50">
        <f t="shared" si="0"/>
        <v>26.140359779615601</v>
      </c>
      <c r="G16" s="49">
        <f>+G13+SUM(G14:G15)</f>
        <v>-34198.330000000009</v>
      </c>
      <c r="H16" s="50">
        <f t="shared" si="1"/>
        <v>-37.4427437455521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167922.38999999998</v>
      </c>
      <c r="D18" s="71">
        <f>(C18*100)/C$8</f>
        <v>74.612588357918142</v>
      </c>
      <c r="E18" s="70">
        <f>E8-E16</f>
        <v>258067.23000000004</v>
      </c>
      <c r="F18" s="71">
        <f>(E18*100)/E$8</f>
        <v>73.859640220384406</v>
      </c>
      <c r="G18" s="70">
        <f>G8-G16</f>
        <v>-90144.840000000026</v>
      </c>
      <c r="H18" s="71">
        <f>IF(E18=0,0,G18/E18*100)</f>
        <v>-34.930758159414509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THOMAS'!$G:$G,'BAL N THOMAS'!$I:$I,$A20,'BAL N THOMAS'!$J:$J,"T")</f>
        <v>27614.92</v>
      </c>
      <c r="D20" s="17">
        <f t="shared" ref="D20:F26" si="2">(C20*100)/C$8</f>
        <v>12.270077018894508</v>
      </c>
      <c r="E20" s="16">
        <f>SUMIFS(DONNEES_N1_NOUVEAU[MONTANT],DONNEES_N1_NOUVEAU[TL2],A20,DONNEES_N1_NOUVEAU[MOIS],DONNÉES!$C$5,DONNEES_N1_NOUVEAU[SOCIETE],"THOMAS")</f>
        <v>58903.049999999996</v>
      </c>
      <c r="F20" s="17">
        <f t="shared" si="2"/>
        <v>16.858235278006095</v>
      </c>
      <c r="G20" s="16">
        <f t="shared" ref="G20:G25" si="3">+C20-E20</f>
        <v>-31288.129999999997</v>
      </c>
      <c r="H20" s="17">
        <f t="shared" ref="H20:H26" si="4">IF(E20=0,0,G20/E20*100)</f>
        <v>-53.118013413566864</v>
      </c>
    </row>
    <row r="21" spans="1:8" s="18" customFormat="1" x14ac:dyDescent="0.2">
      <c r="A21" s="13">
        <v>9</v>
      </c>
      <c r="B21" s="14" t="s">
        <v>2968</v>
      </c>
      <c r="C21" s="23">
        <f>SUMIFS('BAL N THOMAS'!$G:$G,'BAL N THOMAS'!$I:$I,$A21,'BAL N THOMAS'!$J:$J,"T")</f>
        <v>3379.71</v>
      </c>
      <c r="D21" s="17">
        <f t="shared" si="2"/>
        <v>1.5016991539909568</v>
      </c>
      <c r="E21" s="16">
        <f>SUMIFS(DONNEES_N1_NOUVEAU[MONTANT],DONNEES_N1_NOUVEAU[TL2],A21,DONNEES_N1_NOUVEAU[MOIS],DONNÉES!$C$5,DONNEES_N1_NOUVEAU[SOCIETE],"THOMAS")</f>
        <v>11776.67</v>
      </c>
      <c r="F21" s="17">
        <f t="shared" si="2"/>
        <v>3.3705194154027005</v>
      </c>
      <c r="G21" s="16">
        <f t="shared" si="3"/>
        <v>-8396.9599999999991</v>
      </c>
      <c r="H21" s="17">
        <f t="shared" si="4"/>
        <v>-71.301649787248849</v>
      </c>
    </row>
    <row r="22" spans="1:8" s="18" customFormat="1" x14ac:dyDescent="0.2">
      <c r="A22" s="13" t="s">
        <v>12</v>
      </c>
      <c r="B22" s="14" t="s">
        <v>14</v>
      </c>
      <c r="C22" s="23">
        <f>SUMIFS('BAL N THOMAS'!$G:$G,'BAL N THOMAS'!$I:$I,$A22,'BAL N THOMAS'!$J:$J,"T")</f>
        <v>18309.689999999999</v>
      </c>
      <c r="D22" s="17">
        <f t="shared" si="2"/>
        <v>8.1355045204578733</v>
      </c>
      <c r="E22" s="16">
        <f>SUMIFS(DONNEES_N1_NOUVEAU[MONTANT],DONNEES_N1_NOUVEAU[TL2],A22,DONNEES_N1_NOUVEAU[MOIS],DONNÉES!$C$5,DONNEES_N1_NOUVEAU[SOCIETE],"THOMAS")</f>
        <v>20461.649999999998</v>
      </c>
      <c r="F22" s="17">
        <f t="shared" si="2"/>
        <v>5.8561875807146384</v>
      </c>
      <c r="G22" s="16">
        <f t="shared" si="3"/>
        <v>-2151.9599999999991</v>
      </c>
      <c r="H22" s="17">
        <f t="shared" si="4"/>
        <v>-10.517040414629315</v>
      </c>
    </row>
    <row r="23" spans="1:8" s="18" customFormat="1" x14ac:dyDescent="0.2">
      <c r="A23" s="13" t="s">
        <v>13</v>
      </c>
      <c r="B23" s="14" t="s">
        <v>2966</v>
      </c>
      <c r="C23" s="23">
        <f>SUMIFS('BAL N THOMAS'!$G:$G,'BAL N THOMAS'!$I:$I,$A23,'BAL N THOMAS'!$J:$J,"T")</f>
        <v>4405.8599999999997</v>
      </c>
      <c r="D23" s="17">
        <f t="shared" si="2"/>
        <v>1.957646139639968</v>
      </c>
      <c r="E23" s="16">
        <f>SUMIFS(DONNEES_N1_NOUVEAU[MONTANT],DONNEES_N1_NOUVEAU[TL2],A23,DONNEES_N1_NOUVEAU[MOIS],DONNÉES!$C$5,DONNEES_N1_NOUVEAU[SOCIETE],"THOMAS")</f>
        <v>5981.2200000000012</v>
      </c>
      <c r="F23" s="17">
        <f t="shared" si="2"/>
        <v>1.7118436822798757</v>
      </c>
      <c r="G23" s="16">
        <f t="shared" si="3"/>
        <v>-1575.3600000000015</v>
      </c>
      <c r="H23" s="17">
        <f t="shared" si="4"/>
        <v>-26.338439315056146</v>
      </c>
    </row>
    <row r="24" spans="1:8" s="18" customFormat="1" x14ac:dyDescent="0.2">
      <c r="A24" s="13" t="s">
        <v>15</v>
      </c>
      <c r="B24" s="14" t="s">
        <v>2969</v>
      </c>
      <c r="C24" s="23">
        <f>SUMIFS('BAL N THOMAS'!$G:$G,'BAL N THOMAS'!$I:$I,$A24,'BAL N THOMAS'!$J:$J,"T")</f>
        <v>-500</v>
      </c>
      <c r="D24" s="17">
        <f t="shared" si="2"/>
        <v>-0.22216390666521046</v>
      </c>
      <c r="E24" s="16">
        <f>SUMIFS(DONNEES_N1_NOUVEAU[MONTANT],DONNEES_N1_NOUVEAU[TL2],A24,DONNEES_N1_NOUVEAU[MOIS],DONNÉES!$C$5,DONNEES_N1_NOUVEAU[SOCIETE],"THOMAS")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THOMAS'!$G:$G,'BAL N THOMAS'!$I:$I,$A25,'BAL N THOMAS'!$J:$J,"T")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SUMIFS(DONNEES_N1_NOUVEAU[MONTANT],DONNEES_N1_NOUVEAU[TL2],A25,DONNEES_N1_NOUVEAU[MOIS],DONNÉES!$C$5,DONNEES_N1_NOUVEAU[SOCIETE],"THOMAS")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53210.179999999993</v>
      </c>
      <c r="D26" s="50">
        <f t="shared" si="2"/>
        <v>23.642762926318092</v>
      </c>
      <c r="E26" s="51">
        <f>SUM(E20:E25)</f>
        <v>97122.59</v>
      </c>
      <c r="F26" s="50">
        <f t="shared" si="2"/>
        <v>27.796785956403308</v>
      </c>
      <c r="G26" s="51">
        <f>SUM(G20:G25)</f>
        <v>-43912.409999999996</v>
      </c>
      <c r="H26" s="50">
        <f t="shared" si="4"/>
        <v>-45.213384445369506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THOMAS'!$G:$G,'BAL N THOMAS'!$I:$I,$A28,'BAL N THOMAS'!$J:$J,"T")</f>
        <v>9540</v>
      </c>
      <c r="D28" s="17">
        <f t="shared" ref="D28:F33" si="5">(C28*100)/C$8</f>
        <v>4.2388873391722157</v>
      </c>
      <c r="E28" s="16">
        <f>SUMIFS(DONNEES_N1_NOUVEAU[MONTANT],DONNEES_N1_NOUVEAU[TL2],A28,DONNEES_N1_NOUVEAU[MOIS],DONNÉES!$C$5,DONNEES_N1_NOUVEAU[SOCIETE],"THOMAS")</f>
        <v>109.12</v>
      </c>
      <c r="F28" s="17">
        <f t="shared" si="5"/>
        <v>3.1230481843232651E-2</v>
      </c>
      <c r="G28" s="16">
        <f>+C28-E28</f>
        <v>9430.8799999999992</v>
      </c>
      <c r="H28" s="17">
        <f t="shared" ref="H28:H33" si="6">IF(E28=0,0,G28/E28*100)</f>
        <v>8642.6686217008792</v>
      </c>
    </row>
    <row r="29" spans="1:8" s="18" customFormat="1" x14ac:dyDescent="0.2">
      <c r="A29" s="13" t="s">
        <v>20</v>
      </c>
      <c r="B29" s="14" t="s">
        <v>2972</v>
      </c>
      <c r="C29" s="23">
        <f>SUMIFS('BAL N THOMAS'!$G:$G,'BAL N THOMAS'!$I:$I,$A29,'BAL N THOMAS'!$J:$J,"T")</f>
        <v>58.23</v>
      </c>
      <c r="D29" s="17">
        <f t="shared" si="5"/>
        <v>2.587320857023041E-2</v>
      </c>
      <c r="E29" s="16">
        <f>SUMIFS(DONNEES_N1_NOUVEAU[MONTANT],DONNEES_N1_NOUVEAU[TL2],A29,DONNEES_N1_NOUVEAU[MOIS],DONNÉES!$C$5,DONNEES_N1_NOUVEAU[SOCIETE],"THOMAS")</f>
        <v>65.39</v>
      </c>
      <c r="F29" s="17">
        <f t="shared" si="5"/>
        <v>1.8714820452061794E-2</v>
      </c>
      <c r="G29" s="16">
        <f>+C29-E29</f>
        <v>-7.1600000000000037</v>
      </c>
      <c r="H29" s="17">
        <f t="shared" si="6"/>
        <v>-10.949686496406184</v>
      </c>
    </row>
    <row r="30" spans="1:8" s="18" customFormat="1" x14ac:dyDescent="0.2">
      <c r="A30" s="13" t="s">
        <v>21</v>
      </c>
      <c r="B30" s="14" t="s">
        <v>2973</v>
      </c>
      <c r="C30" s="23">
        <f>SUMIFS('BAL N THOMAS'!$G:$G,'BAL N THOMAS'!$I:$I,$A30,'BAL N THOMAS'!$J:$J,"T")</f>
        <v>1677.22</v>
      </c>
      <c r="D30" s="17">
        <f t="shared" si="5"/>
        <v>0.74523549507404863</v>
      </c>
      <c r="E30" s="16">
        <f>SUMIFS(DONNEES_N1_NOUVEAU[MONTANT],DONNEES_N1_NOUVEAU[TL2],A30,DONNEES_N1_NOUVEAU[MOIS],DONNÉES!$C$5,DONNEES_N1_NOUVEAU[SOCIETE],"THOMAS")</f>
        <v>1949.2</v>
      </c>
      <c r="F30" s="17">
        <f t="shared" si="5"/>
        <v>0.55786707486097031</v>
      </c>
      <c r="G30" s="16">
        <f>+C30-E30</f>
        <v>-271.98</v>
      </c>
      <c r="H30" s="17">
        <f t="shared" si="6"/>
        <v>-13.953416786373898</v>
      </c>
    </row>
    <row r="31" spans="1:8" s="18" customFormat="1" x14ac:dyDescent="0.2">
      <c r="A31" s="13" t="s">
        <v>23</v>
      </c>
      <c r="B31" s="14" t="s">
        <v>2974</v>
      </c>
      <c r="C31" s="23">
        <f>SUMIFS('BAL N THOMAS'!$G:$G,'BAL N THOMAS'!$I:$I,$A31,'BAL N THOMAS'!$J:$J,"T")</f>
        <v>2890.53</v>
      </c>
      <c r="D31" s="17">
        <f t="shared" si="5"/>
        <v>1.2843428742659815</v>
      </c>
      <c r="E31" s="16">
        <f>SUMIFS(DONNEES_N1_NOUVEAU[MONTANT],DONNEES_N1_NOUVEAU[TL2],A31,DONNEES_N1_NOUVEAU[MOIS],DONNÉES!$C$5,DONNEES_N1_NOUVEAU[SOCIETE],"THOMAS")</f>
        <v>4641.37</v>
      </c>
      <c r="F31" s="17">
        <f t="shared" si="5"/>
        <v>1.328374464009574</v>
      </c>
      <c r="G31" s="16">
        <f>+C31-E31</f>
        <v>-1750.8399999999997</v>
      </c>
      <c r="H31" s="17">
        <f t="shared" si="6"/>
        <v>-37.72248280141423</v>
      </c>
    </row>
    <row r="32" spans="1:8" s="18" customFormat="1" x14ac:dyDescent="0.2">
      <c r="A32" s="13" t="s">
        <v>25</v>
      </c>
      <c r="B32" s="14" t="s">
        <v>2975</v>
      </c>
      <c r="C32" s="23">
        <f>SUMIFS('BAL N THOMAS'!$G:$G,'BAL N THOMAS'!$I:$I,$A32,'BAL N THOMAS'!$J:$J,"T")</f>
        <v>4651.0200000000004</v>
      </c>
      <c r="D32" s="17">
        <f t="shared" si="5"/>
        <v>2.0665775463560547</v>
      </c>
      <c r="E32" s="16">
        <f>SUMIFS(DONNEES_N1_NOUVEAU[MONTANT],DONNEES_N1_NOUVEAU[TL2],A32,DONNEES_N1_NOUVEAU[MOIS],DONNÉES!$C$5,DONNEES_N1_NOUVEAU[SOCIETE],"THOMAS")</f>
        <v>4002.3599999999997</v>
      </c>
      <c r="F32" s="17">
        <f t="shared" si="5"/>
        <v>1.1454878235894486</v>
      </c>
      <c r="G32" s="16">
        <f>+C32-E32</f>
        <v>648.66000000000076</v>
      </c>
      <c r="H32" s="17">
        <f t="shared" si="6"/>
        <v>16.206937906635105</v>
      </c>
    </row>
    <row r="33" spans="1:8" ht="13.5" thickBot="1" x14ac:dyDescent="0.25">
      <c r="A33" s="7"/>
      <c r="B33" s="63" t="s">
        <v>2976</v>
      </c>
      <c r="C33" s="49">
        <f>SUM(C28:C32)</f>
        <v>18817</v>
      </c>
      <c r="D33" s="50">
        <f t="shared" si="5"/>
        <v>8.3609164634385298</v>
      </c>
      <c r="E33" s="51">
        <f>SUM(E28:E32)</f>
        <v>10767.439999999999</v>
      </c>
      <c r="F33" s="50">
        <f t="shared" si="5"/>
        <v>3.0816746647552868</v>
      </c>
      <c r="G33" s="51">
        <f>SUM(G28:G32)</f>
        <v>8049.56</v>
      </c>
      <c r="H33" s="50">
        <f t="shared" si="6"/>
        <v>74.758345530599669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THOMAS'!$G:$G,'BAL N THOMAS'!$I:$I,$A35,'BAL N THOMAS'!$J:$J,"T")</f>
        <v>0</v>
      </c>
      <c r="D35" s="17">
        <f t="shared" ref="D35:F42" si="7">(C35*100)/C$8</f>
        <v>0</v>
      </c>
      <c r="E35" s="16">
        <f>SUMIFS(DONNEES_N1_NOUVEAU[MONTANT],DONNEES_N1_NOUVEAU[TL2],A35,DONNEES_N1_NOUVEAU[MOIS],DONNÉES!$C$5,DONNEES_N1_NOUVEAU[SOCIETE],"THOMAS")</f>
        <v>6492.0199999999995</v>
      </c>
      <c r="F35" s="17">
        <f t="shared" si="7"/>
        <v>1.858036223752779</v>
      </c>
      <c r="G35" s="16">
        <f t="shared" ref="G35:G41" si="8">+C35-E35</f>
        <v>-6492.0199999999995</v>
      </c>
      <c r="H35" s="17">
        <f t="shared" ref="H35:H42" si="9">IF(E35=0,0,G35/E35*100)</f>
        <v>-100</v>
      </c>
    </row>
    <row r="36" spans="1:8" s="18" customFormat="1" x14ac:dyDescent="0.2">
      <c r="A36" s="13" t="s">
        <v>30</v>
      </c>
      <c r="B36" s="14" t="s">
        <v>145</v>
      </c>
      <c r="C36" s="23">
        <f>SUMIFS('BAL N THOMAS'!$G:$G,'BAL N THOMAS'!$I:$I,$A36,'BAL N THOMAS'!$J:$J,"T")</f>
        <v>9030.2999999999993</v>
      </c>
      <c r="D36" s="17">
        <f t="shared" si="7"/>
        <v>4.0124134527176993</v>
      </c>
      <c r="E36" s="16">
        <f>SUMIFS(DONNEES_N1_NOUVEAU[MONTANT],DONNEES_N1_NOUVEAU[TL2],A36,DONNEES_N1_NOUVEAU[MOIS],DONNÉES!$C$5,DONNEES_N1_NOUVEAU[SOCIETE],"THOMAS")</f>
        <v>13991.45</v>
      </c>
      <c r="F36" s="17">
        <f t="shared" si="7"/>
        <v>4.004396308518122</v>
      </c>
      <c r="G36" s="16">
        <f t="shared" si="8"/>
        <v>-4961.1500000000015</v>
      </c>
      <c r="H36" s="17">
        <f t="shared" si="9"/>
        <v>-35.458440690564601</v>
      </c>
    </row>
    <row r="37" spans="1:8" s="18" customFormat="1" x14ac:dyDescent="0.2">
      <c r="A37" s="13" t="s">
        <v>32</v>
      </c>
      <c r="B37" s="14" t="s">
        <v>19</v>
      </c>
      <c r="C37" s="23">
        <f>SUMIFS('BAL N THOMAS'!$G:$G,'BAL N THOMAS'!$I:$I,$A37,'BAL N THOMAS'!$J:$J,"T")</f>
        <v>5162.43</v>
      </c>
      <c r="D37" s="17">
        <f t="shared" si="7"/>
        <v>2.2938112333713647</v>
      </c>
      <c r="E37" s="16">
        <f>SUMIFS(DONNEES_N1_NOUVEAU[MONTANT],DONNEES_N1_NOUVEAU[TL2],A37,DONNEES_N1_NOUVEAU[MOIS],DONNÉES!$C$5,DONNEES_N1_NOUVEAU[SOCIETE],"THOMAS")</f>
        <v>4333.13</v>
      </c>
      <c r="F37" s="17">
        <f t="shared" si="7"/>
        <v>1.2401552216767475</v>
      </c>
      <c r="G37" s="16">
        <f t="shared" si="8"/>
        <v>829.30000000000018</v>
      </c>
      <c r="H37" s="17">
        <f t="shared" si="9"/>
        <v>19.138590349239468</v>
      </c>
    </row>
    <row r="38" spans="1:8" s="18" customFormat="1" x14ac:dyDescent="0.2">
      <c r="A38" s="13" t="s">
        <v>34</v>
      </c>
      <c r="B38" s="14" t="s">
        <v>28</v>
      </c>
      <c r="C38" s="23">
        <f>SUMIFS('BAL N THOMAS'!$G:$G,'BAL N THOMAS'!$I:$I,$A38,'BAL N THOMAS'!$J:$J,"T")</f>
        <v>8650.75</v>
      </c>
      <c r="D38" s="17">
        <f t="shared" si="7"/>
        <v>3.8437688311681386</v>
      </c>
      <c r="E38" s="16">
        <f>SUMIFS(DONNEES_N1_NOUVEAU[MONTANT],DONNEES_N1_NOUVEAU[TL2],A38,DONNEES_N1_NOUVEAU[MOIS],DONNÉES!$C$5,DONNEES_N1_NOUVEAU[SOCIETE],"THOMAS")</f>
        <v>19297.620000000003</v>
      </c>
      <c r="F38" s="17">
        <f t="shared" si="7"/>
        <v>5.5230385907954851</v>
      </c>
      <c r="G38" s="16">
        <f t="shared" si="8"/>
        <v>-10646.870000000003</v>
      </c>
      <c r="H38" s="17">
        <f t="shared" si="9"/>
        <v>-55.171933119213669</v>
      </c>
    </row>
    <row r="39" spans="1:8" s="18" customFormat="1" x14ac:dyDescent="0.2">
      <c r="A39" s="13" t="s">
        <v>2978</v>
      </c>
      <c r="B39" s="14" t="s">
        <v>2980</v>
      </c>
      <c r="C39" s="23">
        <f>SUMIFS('BAL N THOMAS'!$G:$G,'BAL N THOMAS'!$I:$I,$A39,'BAL N THOMAS'!$J:$J,"T")</f>
        <v>2492.2199999999998</v>
      </c>
      <c r="D39" s="17">
        <f t="shared" si="7"/>
        <v>1.1073626629383415</v>
      </c>
      <c r="E39" s="16">
        <f>SUMIFS(DONNEES_N1_NOUVEAU[MONTANT],DONNEES_N1_NOUVEAU[TL2],A39,DONNEES_N1_NOUVEAU[MOIS],DONNÉES!$C$5,DONNEES_N1_NOUVEAU[SOCIETE],"THOMAS")</f>
        <v>4683.66</v>
      </c>
      <c r="F39" s="17">
        <f t="shared" si="7"/>
        <v>1.3404779929424033</v>
      </c>
      <c r="G39" s="16">
        <f t="shared" si="8"/>
        <v>-2191.44</v>
      </c>
      <c r="H39" s="17">
        <f t="shared" si="9"/>
        <v>-46.789049589423662</v>
      </c>
    </row>
    <row r="40" spans="1:8" s="18" customFormat="1" x14ac:dyDescent="0.2">
      <c r="A40" s="13" t="s">
        <v>2979</v>
      </c>
      <c r="B40" s="14" t="s">
        <v>2981</v>
      </c>
      <c r="C40" s="23">
        <f>SUMIFS('BAL N THOMAS'!$G:$G,'BAL N THOMAS'!$I:$I,$A40,'BAL N THOMAS'!$J:$J,"T")</f>
        <v>268.02999999999997</v>
      </c>
      <c r="D40" s="17">
        <f t="shared" si="7"/>
        <v>0.1190931838069527</v>
      </c>
      <c r="E40" s="16">
        <f>SUMIFS(DONNEES_N1_NOUVEAU[MONTANT],DONNEES_N1_NOUVEAU[TL2],A40,DONNEES_N1_NOUVEAU[MOIS],DONNÉES!$C$5,DONNEES_N1_NOUVEAU[SOCIETE],"THOMAS")</f>
        <v>802.97</v>
      </c>
      <c r="F40" s="17">
        <f t="shared" si="7"/>
        <v>0.22981250005187429</v>
      </c>
      <c r="G40" s="16">
        <f t="shared" si="8"/>
        <v>-534.94000000000005</v>
      </c>
      <c r="H40" s="17">
        <f t="shared" si="9"/>
        <v>-66.620172609188387</v>
      </c>
    </row>
    <row r="41" spans="1:8" s="18" customFormat="1" x14ac:dyDescent="0.2">
      <c r="A41" s="13" t="s">
        <v>2982</v>
      </c>
      <c r="B41" s="14" t="s">
        <v>2983</v>
      </c>
      <c r="C41" s="23">
        <f>SUMIFS('BAL N THOMAS'!$G:$G,'BAL N THOMAS'!$I:$I,$A41,'BAL N THOMAS'!$J:$J,"T")</f>
        <v>173.12</v>
      </c>
      <c r="D41" s="17">
        <f t="shared" si="7"/>
        <v>7.6922031043762468E-2</v>
      </c>
      <c r="E41" s="16">
        <f>SUMIFS(DONNEES_N1_NOUVEAU[MONTANT],DONNEES_N1_NOUVEAU[TL2],A41,DONNEES_N1_NOUVEAU[MOIS],DONNÉES!$C$5,DONNEES_N1_NOUVEAU[SOCIETE],"THOMAS")</f>
        <v>192.87000000000003</v>
      </c>
      <c r="F41" s="17">
        <f t="shared" si="7"/>
        <v>5.5199991139152152E-2</v>
      </c>
      <c r="G41" s="16">
        <f t="shared" si="8"/>
        <v>-19.750000000000028</v>
      </c>
      <c r="H41" s="17">
        <f t="shared" si="9"/>
        <v>-10.240058070202739</v>
      </c>
    </row>
    <row r="42" spans="1:8" ht="13.5" thickBot="1" x14ac:dyDescent="0.25">
      <c r="A42" s="13"/>
      <c r="B42" s="63" t="s">
        <v>2984</v>
      </c>
      <c r="C42" s="49">
        <f>+SUM(C35:C41)</f>
        <v>25776.85</v>
      </c>
      <c r="D42" s="50">
        <f t="shared" si="7"/>
        <v>11.453371395046261</v>
      </c>
      <c r="E42" s="51">
        <f>+SUM(E35:E41)</f>
        <v>49793.720000000008</v>
      </c>
      <c r="F42" s="50">
        <f t="shared" si="7"/>
        <v>14.251116828876565</v>
      </c>
      <c r="G42" s="51">
        <f>+SUM(G35:G41)</f>
        <v>-24016.870000000003</v>
      </c>
      <c r="H42" s="50">
        <f t="shared" si="9"/>
        <v>-48.232728946541847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70118.359999999986</v>
      </c>
      <c r="D44" s="71">
        <f>(C44*100)/C$8</f>
        <v>31.155537573115243</v>
      </c>
      <c r="E44" s="72">
        <f>E18-E26-E33-E42</f>
        <v>100383.48000000004</v>
      </c>
      <c r="F44" s="71">
        <f>(E44*100)/E$8</f>
        <v>28.730062770349242</v>
      </c>
      <c r="G44" s="72">
        <f>G18-G26-G33-G42</f>
        <v>-30265.120000000024</v>
      </c>
      <c r="H44" s="71">
        <f>IF(E44=0,0,G44/E44*100)</f>
        <v>-30.149502687095538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THOMAS'!$G:$G,'BAL N THOMAS'!$I:$I,$A46,'BAL N THOMAS'!$J:$J,"T")</f>
        <v>28522.12</v>
      </c>
      <c r="D46" s="17">
        <f t="shared" ref="D46:F49" si="10">(C46*100)/C$8</f>
        <v>12.673171211147865</v>
      </c>
      <c r="E46" s="16">
        <f>SUMIFS(DONNEES_N1_NOUVEAU[MONTANT],DONNEES_N1_NOUVEAU[TL2],A46,DONNEES_N1_NOUVEAU[MOIS],DONNÉES!$C$5,DONNEES_N1_NOUVEAU[SOCIETE],"THOMAS")</f>
        <v>62961.53</v>
      </c>
      <c r="F46" s="17">
        <f t="shared" si="10"/>
        <v>18.019784819347031</v>
      </c>
      <c r="G46" s="16">
        <f>+C46-E46</f>
        <v>-34439.410000000003</v>
      </c>
      <c r="H46" s="17">
        <f>IF(E46=0,0,G46/E46*100)</f>
        <v>-54.699131358466047</v>
      </c>
    </row>
    <row r="47" spans="1:8" s="18" customFormat="1" x14ac:dyDescent="0.2">
      <c r="A47" s="13" t="s">
        <v>35</v>
      </c>
      <c r="B47" s="14" t="s">
        <v>2986</v>
      </c>
      <c r="C47" s="23">
        <f>SUMIFS('BAL N THOMAS'!$G:$G,'BAL N THOMAS'!$I:$I,$A47,'BAL N THOMAS'!$J:$J,"T")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SUMIFS(DONNEES_N1_NOUVEAU[MONTANT],DONNEES_N1_NOUVEAU[TL2],A47,DONNEES_N1_NOUVEAU[MOIS],DONNÉES!$C$5,DONNEES_N1_NOUVEAU[SOCIETE],"THOMAS")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THOMAS'!$G:$G,'BAL N THOMAS'!$I:$I,$A48,'BAL N THOMAS'!$J:$J,"T")</f>
        <v>-423.42</v>
      </c>
      <c r="D48" s="17">
        <f t="shared" si="10"/>
        <v>-0.18813728272036684</v>
      </c>
      <c r="E48" s="16">
        <f>SUMIFS(DONNEES_N1_NOUVEAU[MONTANT],DONNEES_N1_NOUVEAU[TL2],A48,DONNEES_N1_NOUVEAU[MOIS],DONNÉES!$C$5,DONNEES_N1_NOUVEAU[SOCIETE],"THOMAS")</f>
        <v>0</v>
      </c>
      <c r="F48" s="17">
        <f t="shared" si="10"/>
        <v>0</v>
      </c>
      <c r="G48" s="16">
        <f>+C48-E48</f>
        <v>-423.42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28098.7</v>
      </c>
      <c r="D49" s="50">
        <f t="shared" si="10"/>
        <v>12.485033928427498</v>
      </c>
      <c r="E49" s="51">
        <f>SUM(E46:E48)</f>
        <v>62961.53</v>
      </c>
      <c r="F49" s="50">
        <f t="shared" si="10"/>
        <v>18.019784819347031</v>
      </c>
      <c r="G49" s="51">
        <f>SUM(G46:G48)</f>
        <v>-34862.83</v>
      </c>
      <c r="H49" s="50">
        <f>IF(E49=0,0,G49/E49*100)</f>
        <v>-55.371637252144289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THOMAS'!$G:$G,'BAL N THOMAS'!$I:$I,$A51,'BAL N THOMAS'!$J:$J,"T")</f>
        <v>0</v>
      </c>
      <c r="D51" s="17">
        <f t="shared" ref="D51:F59" si="11">(C51*100)/C$8</f>
        <v>0</v>
      </c>
      <c r="E51" s="16">
        <f>SUMIFS(DONNEES_N1_NOUVEAU[MONTANT],DONNEES_N1_NOUVEAU[TL2],A51,DONNEES_N1_NOUVEAU[MOIS],DONNÉES!$C$5,DONNEES_N1_NOUVEAU[SOCIETE],"THOMAS")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THOMAS'!$G:$G,'BAL N THOMAS'!$I:$I,$A52,'BAL N THOMAS'!$J:$J,"T")</f>
        <v>11408.85</v>
      </c>
      <c r="D52" s="17">
        <f t="shared" si="11"/>
        <v>5.0692693731147731</v>
      </c>
      <c r="E52" s="16">
        <f>SUMIFS(DONNEES_N1_NOUVEAU[MONTANT],DONNEES_N1_NOUVEAU[TL2],A52,DONNEES_N1_NOUVEAU[MOIS],DONNÉES!$C$5,DONNEES_N1_NOUVEAU[SOCIETE],"THOMAS")</f>
        <v>17489.32</v>
      </c>
      <c r="F52" s="17">
        <f t="shared" si="11"/>
        <v>5.0054975321708728</v>
      </c>
      <c r="G52" s="16">
        <f t="shared" si="12"/>
        <v>-6080.4699999999993</v>
      </c>
      <c r="H52" s="17">
        <f t="shared" si="13"/>
        <v>-34.766760514416795</v>
      </c>
    </row>
    <row r="53" spans="1:8" s="18" customFormat="1" x14ac:dyDescent="0.2">
      <c r="A53" s="13" t="s">
        <v>44</v>
      </c>
      <c r="B53" s="14" t="s">
        <v>62</v>
      </c>
      <c r="C53" s="23">
        <f>SUMIFS('BAL N THOMAS'!$G:$G,'BAL N THOMAS'!$I:$I,$A53,'BAL N THOMAS'!$J:$J,"T")</f>
        <v>1588</v>
      </c>
      <c r="D53" s="17">
        <f t="shared" si="11"/>
        <v>0.70559256756870836</v>
      </c>
      <c r="E53" s="16">
        <f>SUMIFS(DONNEES_N1_NOUVEAU[MONTANT],DONNEES_N1_NOUVEAU[TL2],A53,DONNEES_N1_NOUVEAU[MOIS],DONNÉES!$C$5,DONNEES_N1_NOUVEAU[SOCIETE],"THOMAS")</f>
        <v>1059.5</v>
      </c>
      <c r="F53" s="17">
        <f t="shared" si="11"/>
        <v>0.30323218028688592</v>
      </c>
      <c r="G53" s="16">
        <f t="shared" si="12"/>
        <v>528.5</v>
      </c>
      <c r="H53" s="17">
        <f t="shared" si="13"/>
        <v>49.882019820670124</v>
      </c>
    </row>
    <row r="54" spans="1:8" s="18" customFormat="1" x14ac:dyDescent="0.2">
      <c r="A54" s="13" t="s">
        <v>45</v>
      </c>
      <c r="B54" s="14" t="s">
        <v>41</v>
      </c>
      <c r="C54" s="23">
        <f>SUMIFS('BAL N THOMAS'!$G:$G,'BAL N THOMAS'!$I:$I,$A54,'BAL N THOMAS'!$J:$J,"T")</f>
        <v>1380.05</v>
      </c>
      <c r="D54" s="17">
        <f t="shared" si="11"/>
        <v>0.61319459878664739</v>
      </c>
      <c r="E54" s="16">
        <f>SUMIFS(DONNEES_N1_NOUVEAU[MONTANT],DONNEES_N1_NOUVEAU[TL2],A54,DONNEES_N1_NOUVEAU[MOIS],DONNÉES!$C$5,DONNEES_N1_NOUVEAU[SOCIETE],"THOMAS")</f>
        <v>1565.76</v>
      </c>
      <c r="F54" s="17">
        <f t="shared" si="11"/>
        <v>0.44812535970362866</v>
      </c>
      <c r="G54" s="16">
        <f t="shared" si="12"/>
        <v>-185.71000000000004</v>
      </c>
      <c r="H54" s="17">
        <f t="shared" si="13"/>
        <v>-11.860693848354794</v>
      </c>
    </row>
    <row r="55" spans="1:8" s="18" customFormat="1" x14ac:dyDescent="0.2">
      <c r="A55" s="13" t="s">
        <v>47</v>
      </c>
      <c r="B55" s="14" t="s">
        <v>43</v>
      </c>
      <c r="C55" s="23">
        <f>SUMIFS('BAL N THOMAS'!$G:$G,'BAL N THOMAS'!$I:$I,$A55,'BAL N THOMAS'!$J:$J,"T")</f>
        <v>2010.55</v>
      </c>
      <c r="D55" s="17">
        <f t="shared" si="11"/>
        <v>0.89334328509147776</v>
      </c>
      <c r="E55" s="16">
        <f>SUMIFS(DONNEES_N1_NOUVEAU[MONTANT],DONNEES_N1_NOUVEAU[TL2],A55,DONNEES_N1_NOUVEAU[MOIS],DONNÉES!$C$5,DONNEES_N1_NOUVEAU[SOCIETE],"THOMAS")</f>
        <v>4509.01</v>
      </c>
      <c r="F55" s="17">
        <f t="shared" si="11"/>
        <v>1.2904926222136588</v>
      </c>
      <c r="G55" s="16">
        <f t="shared" si="12"/>
        <v>-2498.46</v>
      </c>
      <c r="H55" s="17">
        <f t="shared" si="13"/>
        <v>-55.410389420294024</v>
      </c>
    </row>
    <row r="56" spans="1:8" s="18" customFormat="1" x14ac:dyDescent="0.2">
      <c r="A56" s="13" t="s">
        <v>48</v>
      </c>
      <c r="B56" s="14" t="s">
        <v>46</v>
      </c>
      <c r="C56" s="23">
        <f>SUMIFS('BAL N THOMAS'!$G:$G,'BAL N THOMAS'!$I:$I,$A56,'BAL N THOMAS'!$J:$J,"T")</f>
        <v>6110</v>
      </c>
      <c r="D56" s="17">
        <f t="shared" si="11"/>
        <v>2.714842939448872</v>
      </c>
      <c r="E56" s="16">
        <f>SUMIFS(DONNEES_N1_NOUVEAU[MONTANT],DONNEES_N1_NOUVEAU[TL2],A56,DONNEES_N1_NOUVEAU[MOIS],DONNÉES!$C$5,DONNEES_N1_NOUVEAU[SOCIETE],"THOMAS")</f>
        <v>5000</v>
      </c>
      <c r="F56" s="17">
        <f t="shared" si="11"/>
        <v>1.4310154803534023</v>
      </c>
      <c r="G56" s="16">
        <f t="shared" si="12"/>
        <v>1110</v>
      </c>
      <c r="H56" s="17">
        <f t="shared" si="13"/>
        <v>22.2</v>
      </c>
    </row>
    <row r="57" spans="1:8" s="18" customFormat="1" x14ac:dyDescent="0.2">
      <c r="A57" s="13" t="s">
        <v>50</v>
      </c>
      <c r="B57" s="14" t="s">
        <v>2990</v>
      </c>
      <c r="C57" s="23">
        <f>SUMIFS('BAL N THOMAS'!$G:$G,'BAL N THOMAS'!$I:$I,$A57,'BAL N THOMAS'!$J:$J,"T")</f>
        <v>218.56</v>
      </c>
      <c r="D57" s="17">
        <f t="shared" si="11"/>
        <v>9.7112286881496798E-2</v>
      </c>
      <c r="E57" s="16">
        <f>SUMIFS(DONNEES_N1_NOUVEAU[MONTANT],DONNEES_N1_NOUVEAU[TL2],A57,DONNEES_N1_NOUVEAU[MOIS],DONNÉES!$C$5,DONNEES_N1_NOUVEAU[SOCIETE],"THOMAS")</f>
        <v>1038.23</v>
      </c>
      <c r="F57" s="17">
        <f t="shared" si="11"/>
        <v>0.29714464043346256</v>
      </c>
      <c r="G57" s="16">
        <f t="shared" si="12"/>
        <v>-819.67000000000007</v>
      </c>
      <c r="H57" s="17">
        <f t="shared" si="13"/>
        <v>-78.948787840844531</v>
      </c>
    </row>
    <row r="58" spans="1:8" s="18" customFormat="1" x14ac:dyDescent="0.2">
      <c r="A58" s="13" t="s">
        <v>52</v>
      </c>
      <c r="B58" s="14" t="s">
        <v>51</v>
      </c>
      <c r="C58" s="23">
        <f>SUMIFS('BAL N THOMAS'!$G:$G,'BAL N THOMAS'!$I:$I,$A58,'BAL N THOMAS'!$J:$J,"T")</f>
        <v>2121.58</v>
      </c>
      <c r="D58" s="17">
        <f t="shared" si="11"/>
        <v>0.94267700220555439</v>
      </c>
      <c r="E58" s="16">
        <f>SUMIFS(DONNEES_N1_NOUVEAU[MONTANT],DONNEES_N1_NOUVEAU[TL2],A58,DONNEES_N1_NOUVEAU[MOIS],DONNÉES!$C$5,DONNEES_N1_NOUVEAU[SOCIETE],"THOMAS")</f>
        <v>35</v>
      </c>
      <c r="F58" s="17">
        <f t="shared" si="11"/>
        <v>1.0017108362473815E-2</v>
      </c>
      <c r="G58" s="16">
        <f t="shared" si="12"/>
        <v>2086.58</v>
      </c>
      <c r="H58" s="17">
        <f t="shared" si="13"/>
        <v>5961.6571428571424</v>
      </c>
    </row>
    <row r="59" spans="1:8" ht="13.5" thickBot="1" x14ac:dyDescent="0.25">
      <c r="A59" s="13"/>
      <c r="B59" s="63" t="s">
        <v>2994</v>
      </c>
      <c r="C59" s="49">
        <f>SUM(C51:C58)</f>
        <v>24837.590000000004</v>
      </c>
      <c r="D59" s="50">
        <f t="shared" si="11"/>
        <v>11.036032053097532</v>
      </c>
      <c r="E59" s="51">
        <f>SUM(E51:E58)</f>
        <v>30696.819999999996</v>
      </c>
      <c r="F59" s="50">
        <f t="shared" si="11"/>
        <v>8.7855249235243846</v>
      </c>
      <c r="G59" s="51">
        <f>SUM(G51:G58)</f>
        <v>-5859.23</v>
      </c>
      <c r="H59" s="50">
        <f t="shared" si="13"/>
        <v>-19.087416872496892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150740.32</v>
      </c>
      <c r="D61" s="71">
        <f>(C61*100)/C$8</f>
        <v>66.978116766327915</v>
      </c>
      <c r="E61" s="72">
        <f>E59+E49+E42+E33+E26</f>
        <v>251342.1</v>
      </c>
      <c r="F61" s="71">
        <f>(E61*100)/E$8</f>
        <v>71.934887192906572</v>
      </c>
      <c r="G61" s="72">
        <f>G59+G49+G42+G33+G26</f>
        <v>-100601.78</v>
      </c>
      <c r="H61" s="71">
        <f>IF(E61=0,0,G61/E61*100)</f>
        <v>-40.025837295065173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THOMAS'!$G:$G,'BAL N THOMAS'!$I:$I,$A63,'BAL N THOMAS'!$J:$J,"T")</f>
        <v>3117.88</v>
      </c>
      <c r="D63" s="17">
        <f t="shared" ref="D63:F65" si="14">(C63*100)/C$8</f>
        <v>1.3853608026266528</v>
      </c>
      <c r="E63" s="16">
        <f>-SUMIFS(DONNEES_N1_NOUVEAU[MONTANT],DONNEES_N1_NOUVEAU[TL2],A63,DONNEES_N1_NOUVEAU[MOIS],DONNÉES!$C$5,DONNEES_N1_NOUVEAU[SOCIETE],"THOMAS")</f>
        <v>4809.01</v>
      </c>
      <c r="F63" s="17">
        <f t="shared" si="14"/>
        <v>1.376353551034863</v>
      </c>
      <c r="G63" s="16">
        <f>+C63-E63</f>
        <v>-1691.13</v>
      </c>
      <c r="H63" s="17">
        <f>IF(E63=0,0,G63/E63*100)</f>
        <v>-35.165865739518118</v>
      </c>
    </row>
    <row r="64" spans="1:8" s="18" customFormat="1" x14ac:dyDescent="0.2">
      <c r="A64" s="13" t="s">
        <v>2992</v>
      </c>
      <c r="B64" s="68" t="s">
        <v>65</v>
      </c>
      <c r="C64" s="23">
        <f>SUMIFS('BAL N THOMAS'!$G:$G,'BAL N THOMAS'!$I:$I,$A64,'BAL N THOMAS'!$J:$J,"T")</f>
        <v>2975.81</v>
      </c>
      <c r="D64" s="17">
        <f t="shared" si="14"/>
        <v>1.3222351501867999</v>
      </c>
      <c r="E64" s="24">
        <f>SUMIFS(DONNEES_N1_NOUVEAU[MONTANT],DONNEES_N1_NOUVEAU[TL2],A64,DONNEES_N1_NOUVEAU[MOIS],DONNÉES!$C$5,DONNEES_N1_NOUVEAU[SOCIETE],"THOMAS")</f>
        <v>4836.38</v>
      </c>
      <c r="F64" s="17">
        <f t="shared" si="14"/>
        <v>1.3841869297743175</v>
      </c>
      <c r="G64" s="16">
        <f>+C64-E64</f>
        <v>-1860.5700000000002</v>
      </c>
      <c r="H64" s="17">
        <f>IF(E64=0,0,G64/E64*100)</f>
        <v>-38.47030216815056</v>
      </c>
    </row>
    <row r="65" spans="1:9" s="59" customFormat="1" ht="13.5" x14ac:dyDescent="0.2">
      <c r="A65" s="13"/>
      <c r="B65" s="62" t="s">
        <v>53</v>
      </c>
      <c r="C65" s="67">
        <f>+C63-C64</f>
        <v>142.07000000000016</v>
      </c>
      <c r="D65" s="56">
        <f t="shared" si="14"/>
        <v>6.3125652439852978E-2</v>
      </c>
      <c r="E65" s="57">
        <f>+E63-E64</f>
        <v>-27.369999999999891</v>
      </c>
      <c r="F65" s="56">
        <f t="shared" si="14"/>
        <v>-7.8333787394544926E-3</v>
      </c>
      <c r="G65" s="58">
        <f>+G63-G64</f>
        <v>169.44000000000005</v>
      </c>
      <c r="H65" s="56">
        <f>IF(E65=0,0,G65/E65*100)</f>
        <v>-619.07197661673626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THOMAS'!$G:$G,'BAL N THOMAS'!$I:$I,$A67,'BAL N THOMAS'!$J:$J,"T")</f>
        <v>-12.74</v>
      </c>
      <c r="D67" s="17">
        <f>(C67*100)/C$8</f>
        <v>-5.6607363418295625E-3</v>
      </c>
      <c r="E67" s="16">
        <f>-SUMIFS(DONNEES_N1_NOUVEAU[MONTANT],DONNEES_N1_NOUVEAU[TL2],A67,DONNEES_N1_NOUVEAU[MOIS],DONNÉES!$C$5,DONNEES_N1_NOUVEAU[SOCIETE],"THOMAS")</f>
        <v>-26.49</v>
      </c>
      <c r="F67" s="17">
        <f>(E67*100)/E$8</f>
        <v>-7.5815200149123253E-3</v>
      </c>
      <c r="G67" s="16">
        <f>+C67-E67</f>
        <v>13.749999999999998</v>
      </c>
      <c r="H67" s="17">
        <f>IF(E67=0,0,G67/E67*100)</f>
        <v>-51.90637976594941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17311.399999999976</v>
      </c>
      <c r="D69" s="10">
        <f>(C69*100)/C$8</f>
        <v>7.6919365076882382</v>
      </c>
      <c r="E69" s="9">
        <f>E18-E61+E65+E67</f>
        <v>6671.2700000000341</v>
      </c>
      <c r="F69" s="10">
        <f>(E69*100)/E$8</f>
        <v>1.9093381287234581</v>
      </c>
      <c r="G69" s="9">
        <f>G18-G61+G65+G67</f>
        <v>10640.129999999974</v>
      </c>
      <c r="H69" s="10">
        <f>IF(E69=0,0,G69/E69*100)</f>
        <v>159.49182089766896</v>
      </c>
    </row>
    <row r="70" spans="1:9" ht="13.5" thickBot="1" x14ac:dyDescent="0.25">
      <c r="A70" s="13"/>
      <c r="B70" s="63" t="s">
        <v>3034</v>
      </c>
      <c r="C70" s="49">
        <f>+C69-C67+C57+C56</f>
        <v>23652.699999999979</v>
      </c>
      <c r="D70" s="50">
        <f>(C70*100)/C$8</f>
        <v>10.509552470360436</v>
      </c>
      <c r="E70" s="49">
        <f>+E69-E67+E57+E56</f>
        <v>12735.990000000034</v>
      </c>
      <c r="F70" s="50">
        <f>(E70*100)/E$8</f>
        <v>3.6450797695252355</v>
      </c>
      <c r="G70" s="49">
        <f>+G69-G67+G57+G56</f>
        <v>10916.709999999974</v>
      </c>
      <c r="H70" s="50">
        <f>IF(E70=0,0,G70/E70*100)</f>
        <v>85.715441045414948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THOMAS'!$G:$G,'BAL N THOMAS'!$I:$I,$A72,'BAL N THOMAS'!$J:$J,"T")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-SUMIFS(DONNEES_N1_NOUVEAU[MONTANT],DONNEES_N1_NOUVEAU[TL2],A72,DONNEES_N1_NOUVEAU[MOIS],DONNÉES!$C$5,DONNEES_N1_NOUVEAU[SOCIETE],"THOMAS")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THOMAS'!$G:$G,'BAL N THOMAS'!$I:$I,$A74,'BAL N THOMAS'!$J:$J,"T")</f>
        <v>18396</v>
      </c>
      <c r="D74" s="10">
        <f>(C74*100)/C$8</f>
        <v>8.173854454026424</v>
      </c>
      <c r="E74" s="9">
        <f>SUMIFS(DONNEES_N1_NOUVEAU[MONTANT],DONNEES_N1_NOUVEAU[TL2],A74,DONNEES_N1_NOUVEAU[MOIS],DONNÉES!$C$5,DONNEES_N1_NOUVEAU[SOCIETE],"THOMAS")</f>
        <v>21400</v>
      </c>
      <c r="F74" s="10">
        <f>(E74*100)/E$8</f>
        <v>6.1247462559125614</v>
      </c>
      <c r="G74" s="9">
        <f>+C74-E74</f>
        <v>-3004</v>
      </c>
      <c r="H74" s="10">
        <f>IF(E74=0,0,G74/E74*100)</f>
        <v>-14.037383177570092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-1084.600000000024</v>
      </c>
      <c r="D76" s="71">
        <f>(C76*100)/C$8</f>
        <v>-0.48191794633818519</v>
      </c>
      <c r="E76" s="72">
        <f>E69-E74+E72</f>
        <v>-14728.729999999967</v>
      </c>
      <c r="F76" s="71">
        <f>(E76*100)/E$8</f>
        <v>-4.2154081271891037</v>
      </c>
      <c r="G76" s="72">
        <f>G69-G74+G72</f>
        <v>13644.129999999974</v>
      </c>
      <c r="H76" s="71">
        <f>IF(E76=0,0,G76/E76*100)</f>
        <v>-92.636160755204315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VLOOKUP(PARAMETRES!$C$2,TRANSTHOM[],2,FALSE)</f>
        <v>19144</v>
      </c>
      <c r="D78" s="324"/>
      <c r="E78" s="323">
        <f>VLOOKUP(PARAMETRES!$C$2,TRANSTHOM[],3,FALSE)</f>
        <v>18933</v>
      </c>
      <c r="F78" s="324"/>
      <c r="G78" s="325">
        <f>C78-E78</f>
        <v>211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VLOOKUP(PARAMETRES!$C$2,PMTHOM[],2,FALSE)</f>
        <v>18.66</v>
      </c>
      <c r="D80" s="316"/>
      <c r="E80" s="315">
        <f>VLOOKUP(PARAMETRES!$C$2,PMTHOM[],3,FALSE)</f>
        <v>18.739999999999998</v>
      </c>
      <c r="F80" s="316"/>
      <c r="G80" s="330">
        <f>C80-E80</f>
        <v>-7.9999999999998295E-2</v>
      </c>
      <c r="H80" s="331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A3EF-6304-4CF7-9247-35F860C84D47}">
  <sheetPr>
    <tabColor rgb="FFFFFF00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62432-6710-4DCE-B13F-F59B516CC8D7}">
  <sheetPr>
    <tabColor rgb="FFFFFF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7096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7094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DONNÉES!B5</f>
        <v>31 Janvier</v>
      </c>
      <c r="D6" s="314"/>
      <c r="E6" s="313" t="str">
        <f>DONNÉES!B6</f>
        <v>31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CATALINA'!$G:$G,'BAL N CATALINA'!$I:$I,$A8,'BAL N CATALINA'!$J:$J,"T")</f>
        <v>207907.62</v>
      </c>
      <c r="D8" s="71">
        <f>(C8*100)/C$8</f>
        <v>100</v>
      </c>
      <c r="E8" s="72">
        <f>-SUMIFS(DONNEES_N1_NOUVEAU[MONTANT],DONNEES_N1_NOUVEAU[TL2],A8,DONNEES_N1_NOUVEAU[MOIS],DONNÉES!$C$5,DONNEES_N1_NOUVEAU[SOCIETE],"CATALINA")</f>
        <v>0</v>
      </c>
      <c r="F8" s="71" t="e">
        <f>(E8*100)/E$8</f>
        <v>#DIV/0!</v>
      </c>
      <c r="G8" s="72">
        <f>+C8-E8</f>
        <v>207907.62</v>
      </c>
      <c r="H8" s="71">
        <f>IF(E8=0,0,G8/E8*100)</f>
        <v>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CATALINA'!$G:$G,'BAL N CATALINA'!$I:$I,$A10,'BAL N CATALINA'!$J:$J,"T")</f>
        <v>46670.29</v>
      </c>
      <c r="D10" s="17">
        <f t="shared" ref="D10:F16" si="0">(C10*100)/C$8</f>
        <v>22.447609183347875</v>
      </c>
      <c r="E10" s="16">
        <f>SUMIFS(DONNEES_N1_NOUVEAU[MONTANT],DONNEES_N1_NOUVEAU[TL2],A10,DONNEES_N1_NOUVEAU[MOIS],DONNÉES!$C$5,DONNEES_N1_NOUVEAU[SOCIETE],"CATALINA")</f>
        <v>0</v>
      </c>
      <c r="F10" s="17" t="e">
        <f t="shared" si="0"/>
        <v>#DIV/0!</v>
      </c>
      <c r="G10" s="16">
        <f>+C10-E10</f>
        <v>46670.29</v>
      </c>
      <c r="H10" s="17">
        <f t="shared" ref="H10:H16" si="1">IF(E10=0,0,G10/E10*100)</f>
        <v>0</v>
      </c>
    </row>
    <row r="11" spans="1:8" s="18" customFormat="1" x14ac:dyDescent="0.2">
      <c r="A11" s="13" t="s">
        <v>124</v>
      </c>
      <c r="B11" s="14" t="s">
        <v>4</v>
      </c>
      <c r="C11" s="23">
        <f>SUMIFS('BAL N CATALINA'!$G:$G,'BAL N CATALINA'!$I:$I,$A11,'BAL N CATALINA'!$J:$J,"T")</f>
        <v>1260.44</v>
      </c>
      <c r="D11" s="17">
        <f t="shared" si="0"/>
        <v>0.60625002585282828</v>
      </c>
      <c r="E11" s="16">
        <f>SUMIFS(DONNEES_N1_NOUVEAU[MONTANT],DONNEES_N1_NOUVEAU[TL2],A11,DONNEES_N1_NOUVEAU[MOIS],DONNÉES!$C$5,DONNEES_N1_NOUVEAU[SOCIETE],"CATALINA")</f>
        <v>0</v>
      </c>
      <c r="F11" s="17" t="e">
        <f t="shared" si="0"/>
        <v>#DIV/0!</v>
      </c>
      <c r="G11" s="16">
        <f>+C11-E11</f>
        <v>1260.44</v>
      </c>
      <c r="H11" s="17">
        <f t="shared" si="1"/>
        <v>0</v>
      </c>
    </row>
    <row r="12" spans="1:8" s="18" customFormat="1" x14ac:dyDescent="0.2">
      <c r="A12" s="13" t="s">
        <v>125</v>
      </c>
      <c r="B12" s="14" t="s">
        <v>2</v>
      </c>
      <c r="C12" s="23">
        <f>SUMIFS('BAL N CATALINA'!$G:$G,'BAL N CATALINA'!$I:$I,$A12,'BAL N CATALINA'!$J:$J,"T")</f>
        <v>1373.11</v>
      </c>
      <c r="D12" s="17">
        <f t="shared" si="0"/>
        <v>0.66044236377675813</v>
      </c>
      <c r="E12" s="16">
        <f>SUMIFS(DONNEES_N1_NOUVEAU[MONTANT],DONNEES_N1_NOUVEAU[TL2],A12,DONNEES_N1_NOUVEAU[MOIS],DONNÉES!$C$5,DONNEES_N1_NOUVEAU[SOCIETE],"CATALINA")</f>
        <v>0</v>
      </c>
      <c r="F12" s="17" t="e">
        <f t="shared" si="0"/>
        <v>#DIV/0!</v>
      </c>
      <c r="G12" s="16">
        <f>+C12-E12</f>
        <v>1373.11</v>
      </c>
      <c r="H12" s="17">
        <f t="shared" si="1"/>
        <v>0</v>
      </c>
    </row>
    <row r="13" spans="1:8" s="59" customFormat="1" ht="13.5" x14ac:dyDescent="0.2">
      <c r="A13" s="60"/>
      <c r="B13" s="62" t="s">
        <v>6</v>
      </c>
      <c r="C13" s="55">
        <f>SUM(C10:C12)</f>
        <v>49303.840000000004</v>
      </c>
      <c r="D13" s="56">
        <f t="shared" si="0"/>
        <v>23.714301572977462</v>
      </c>
      <c r="E13" s="55">
        <f>SUM(E10:E12)</f>
        <v>0</v>
      </c>
      <c r="F13" s="56" t="e">
        <f t="shared" si="0"/>
        <v>#DIV/0!</v>
      </c>
      <c r="G13" s="55">
        <f>SUM(G10:G12)</f>
        <v>49303.840000000004</v>
      </c>
      <c r="H13" s="56">
        <f t="shared" si="1"/>
        <v>0</v>
      </c>
    </row>
    <row r="14" spans="1:8" s="18" customFormat="1" x14ac:dyDescent="0.2">
      <c r="A14" s="13" t="s">
        <v>126</v>
      </c>
      <c r="B14" s="14" t="s">
        <v>8</v>
      </c>
      <c r="C14" s="23">
        <f>SUMIFS('BAL N CATALINA'!$G:$G,'BAL N CATALINA'!$I:$I,$A14,'BAL N CATALINA'!$J:$J,"T")</f>
        <v>4704.92</v>
      </c>
      <c r="D14" s="17">
        <f t="shared" si="0"/>
        <v>2.2629858395762503</v>
      </c>
      <c r="E14" s="16">
        <f>SUMIFS(DONNEES_N1_NOUVEAU[MONTANT],DONNEES_N1_NOUVEAU[TL2],A14,DONNEES_N1_NOUVEAU[MOIS],DONNÉES!$C$5,DONNEES_N1_NOUVEAU[SOCIETE],"CATALINA")</f>
        <v>0</v>
      </c>
      <c r="F14" s="17" t="e">
        <f t="shared" si="0"/>
        <v>#DIV/0!</v>
      </c>
      <c r="G14" s="16">
        <f>+C14-E14</f>
        <v>4704.92</v>
      </c>
      <c r="H14" s="17">
        <f t="shared" si="1"/>
        <v>0</v>
      </c>
    </row>
    <row r="15" spans="1:8" s="18" customFormat="1" x14ac:dyDescent="0.2">
      <c r="A15" s="13" t="s">
        <v>2964</v>
      </c>
      <c r="B15" s="14" t="s">
        <v>2965</v>
      </c>
      <c r="C15" s="23">
        <f>SUMIFS('BAL N CATALINA'!$G:$G,'BAL N CATALINA'!$I:$I,$A15,'BAL N CATALINA'!$J:$J,"T")</f>
        <v>2120.61</v>
      </c>
      <c r="D15" s="17">
        <f t="shared" si="0"/>
        <v>1.0199770455743757</v>
      </c>
      <c r="E15" s="16">
        <f>SUMIFS(DONNEES_N1_NOUVEAU[MONTANT],DONNEES_N1_NOUVEAU[TL2],A15,DONNEES_N1_NOUVEAU[MOIS],DONNÉES!$C$5,DONNEES_N1_NOUVEAU[SOCIETE],"CATALINA")</f>
        <v>0</v>
      </c>
      <c r="F15" s="17" t="e">
        <f t="shared" si="0"/>
        <v>#DIV/0!</v>
      </c>
      <c r="G15" s="16">
        <f>+C15-E15</f>
        <v>2120.61</v>
      </c>
      <c r="H15" s="17">
        <f t="shared" si="1"/>
        <v>0</v>
      </c>
    </row>
    <row r="16" spans="1:8" ht="13.5" thickBot="1" x14ac:dyDescent="0.25">
      <c r="A16" s="7"/>
      <c r="B16" s="63" t="s">
        <v>10</v>
      </c>
      <c r="C16" s="49">
        <f>+C13+SUM(C14:C15)</f>
        <v>56129.37</v>
      </c>
      <c r="D16" s="50">
        <f t="shared" si="0"/>
        <v>26.997264458128086</v>
      </c>
      <c r="E16" s="49">
        <f>+E13+SUM(E14:E15)</f>
        <v>0</v>
      </c>
      <c r="F16" s="50" t="e">
        <f t="shared" si="0"/>
        <v>#DIV/0!</v>
      </c>
      <c r="G16" s="49">
        <f>+G13+SUM(G14:G15)</f>
        <v>56129.37</v>
      </c>
      <c r="H16" s="50">
        <f t="shared" si="1"/>
        <v>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151778.25</v>
      </c>
      <c r="D18" s="71">
        <f>(C18*100)/C$8</f>
        <v>73.002735541871914</v>
      </c>
      <c r="E18" s="70">
        <f>E8-E16</f>
        <v>0</v>
      </c>
      <c r="F18" s="71" t="e">
        <f>(E18*100)/E$8</f>
        <v>#DIV/0!</v>
      </c>
      <c r="G18" s="70">
        <f>G8-G16</f>
        <v>151778.25</v>
      </c>
      <c r="H18" s="71">
        <f>IF(E18=0,0,G18/E18*100)</f>
        <v>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CATALINA'!$G:$G,'BAL N CATALINA'!$I:$I,$A20,'BAL N CATALINA'!$J:$J,"T")</f>
        <v>31504.47</v>
      </c>
      <c r="D20" s="17">
        <f t="shared" ref="D20:F26" si="2">(C20*100)/C$8</f>
        <v>15.153109828297779</v>
      </c>
      <c r="E20" s="16">
        <f>SUMIFS(DONNEES_N1_NOUVEAU[MONTANT],DONNEES_N1_NOUVEAU[TL2],A20,DONNEES_N1_NOUVEAU[MOIS],DONNÉES!$C$5,DONNEES_N1_NOUVEAU[SOCIETE],"CATALINA")</f>
        <v>0</v>
      </c>
      <c r="F20" s="17" t="e">
        <f t="shared" si="2"/>
        <v>#DIV/0!</v>
      </c>
      <c r="G20" s="16">
        <f t="shared" ref="G20:G25" si="3">+C20-E20</f>
        <v>31504.47</v>
      </c>
      <c r="H20" s="17">
        <f t="shared" ref="H20:H26" si="4">IF(E20=0,0,G20/E20*100)</f>
        <v>0</v>
      </c>
    </row>
    <row r="21" spans="1:8" s="18" customFormat="1" x14ac:dyDescent="0.2">
      <c r="A21" s="13">
        <v>9</v>
      </c>
      <c r="B21" s="14" t="s">
        <v>2968</v>
      </c>
      <c r="C21" s="23">
        <f>SUMIFS('BAL N CATALINA'!$G:$G,'BAL N CATALINA'!$I:$I,$A21,'BAL N CATALINA'!$J:$J,"T")</f>
        <v>4668.12</v>
      </c>
      <c r="D21" s="17">
        <f t="shared" si="2"/>
        <v>2.2452856706262136</v>
      </c>
      <c r="E21" s="16">
        <f>SUMIFS(DONNEES_N1_NOUVEAU[MONTANT],DONNEES_N1_NOUVEAU[TL2],A21,DONNEES_N1_NOUVEAU[MOIS],DONNÉES!$C$5,DONNEES_N1_NOUVEAU[SOCIETE],"CATALINA")</f>
        <v>0</v>
      </c>
      <c r="F21" s="17" t="e">
        <f t="shared" si="2"/>
        <v>#DIV/0!</v>
      </c>
      <c r="G21" s="16">
        <f t="shared" si="3"/>
        <v>4668.12</v>
      </c>
      <c r="H21" s="17">
        <f t="shared" si="4"/>
        <v>0</v>
      </c>
    </row>
    <row r="22" spans="1:8" s="18" customFormat="1" x14ac:dyDescent="0.2">
      <c r="A22" s="13" t="s">
        <v>12</v>
      </c>
      <c r="B22" s="14" t="s">
        <v>14</v>
      </c>
      <c r="C22" s="23">
        <f>SUMIFS('BAL N CATALINA'!$G:$G,'BAL N CATALINA'!$I:$I,$A22,'BAL N CATALINA'!$J:$J,"T")</f>
        <v>13629.52</v>
      </c>
      <c r="D22" s="17">
        <f t="shared" si="2"/>
        <v>6.5555653996712584</v>
      </c>
      <c r="E22" s="16">
        <f>SUMIFS(DONNEES_N1_NOUVEAU[MONTANT],DONNEES_N1_NOUVEAU[TL2],A22,DONNEES_N1_NOUVEAU[MOIS],DONNÉES!$C$5,DONNEES_N1_NOUVEAU[SOCIETE],"CATALINA")</f>
        <v>0</v>
      </c>
      <c r="F22" s="17" t="e">
        <f t="shared" si="2"/>
        <v>#DIV/0!</v>
      </c>
      <c r="G22" s="16">
        <f t="shared" si="3"/>
        <v>13629.52</v>
      </c>
      <c r="H22" s="17">
        <f t="shared" si="4"/>
        <v>0</v>
      </c>
    </row>
    <row r="23" spans="1:8" s="18" customFormat="1" x14ac:dyDescent="0.2">
      <c r="A23" s="13" t="s">
        <v>13</v>
      </c>
      <c r="B23" s="14" t="s">
        <v>2966</v>
      </c>
      <c r="C23" s="23">
        <f>SUMIFS('BAL N CATALINA'!$G:$G,'BAL N CATALINA'!$I:$I,$A23,'BAL N CATALINA'!$J:$J,"T")</f>
        <v>3104.39</v>
      </c>
      <c r="D23" s="17">
        <f t="shared" si="2"/>
        <v>1.4931583556196739</v>
      </c>
      <c r="E23" s="16">
        <f>SUMIFS(DONNEES_N1_NOUVEAU[MONTANT],DONNEES_N1_NOUVEAU[TL2],A23,DONNEES_N1_NOUVEAU[MOIS],DONNÉES!$C$5,DONNEES_N1_NOUVEAU[SOCIETE],"CATALINA")</f>
        <v>0</v>
      </c>
      <c r="F23" s="17" t="e">
        <f t="shared" si="2"/>
        <v>#DIV/0!</v>
      </c>
      <c r="G23" s="16">
        <f t="shared" si="3"/>
        <v>3104.39</v>
      </c>
      <c r="H23" s="17">
        <f t="shared" si="4"/>
        <v>0</v>
      </c>
    </row>
    <row r="24" spans="1:8" s="18" customFormat="1" x14ac:dyDescent="0.2">
      <c r="A24" s="13" t="s">
        <v>15</v>
      </c>
      <c r="B24" s="14" t="s">
        <v>2969</v>
      </c>
      <c r="C24" s="23">
        <f>SUMIFS('BAL N CATALINA'!$G:$G,'BAL N CATALINA'!$I:$I,$A24,'BAL N CATALINA'!$J:$J,"T")</f>
        <v>-500</v>
      </c>
      <c r="D24" s="17">
        <f t="shared" si="2"/>
        <v>-0.24049142595158368</v>
      </c>
      <c r="E24" s="16">
        <f>SUMIFS(DONNEES_N1_NOUVEAU[MONTANT],DONNEES_N1_NOUVEAU[TL2],A24,DONNEES_N1_NOUVEAU[MOIS],DONNÉES!$C$5,DONNEES_N1_NOUVEAU[SOCIETE],"CATALINA")</f>
        <v>0</v>
      </c>
      <c r="F24" s="17" t="e">
        <f t="shared" si="2"/>
        <v>#DIV/0!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CATALINA'!$G:$G,'BAL N CATALINA'!$I:$I,$A25,'BAL N CATALINA'!$J:$J,"T")</f>
        <v>0</v>
      </c>
      <c r="D25" s="17">
        <f t="shared" si="2"/>
        <v>0</v>
      </c>
      <c r="E25" s="16">
        <f>SUMIFS(DONNEES_N1_NOUVEAU[MONTANT],DONNEES_N1_NOUVEAU[TL2],A25,DONNEES_N1_NOUVEAU[MOIS],DONNÉES!$C$5,DONNEES_N1_NOUVEAU[SOCIETE],"CATALINA")</f>
        <v>0</v>
      </c>
      <c r="F25" s="17" t="e">
        <f t="shared" si="2"/>
        <v>#DIV/0!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52406.5</v>
      </c>
      <c r="D26" s="50">
        <f t="shared" si="2"/>
        <v>25.206627828263343</v>
      </c>
      <c r="E26" s="51">
        <f>SUM(E20:E25)</f>
        <v>0</v>
      </c>
      <c r="F26" s="50" t="e">
        <f t="shared" si="2"/>
        <v>#DIV/0!</v>
      </c>
      <c r="G26" s="51">
        <f>SUM(G20:G25)</f>
        <v>52406.5</v>
      </c>
      <c r="H26" s="50">
        <f t="shared" si="4"/>
        <v>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CATALINA'!$G:$G,'BAL N CATALINA'!$I:$I,$A28,'BAL N CATALINA'!$J:$J,"T")</f>
        <v>8500</v>
      </c>
      <c r="D28" s="17">
        <f t="shared" ref="D28:F33" si="5">(C28*100)/C$8</f>
        <v>4.0883542411769227</v>
      </c>
      <c r="E28" s="16">
        <f>SUMIFS(DONNEES_N1_NOUVEAU[MONTANT],DONNEES_N1_NOUVEAU[TL2],A28,DONNEES_N1_NOUVEAU[MOIS],DONNÉES!$C$5,DONNEES_N1_NOUVEAU[SOCIETE],"CATALINA")</f>
        <v>0</v>
      </c>
      <c r="F28" s="17" t="e">
        <f t="shared" si="5"/>
        <v>#DIV/0!</v>
      </c>
      <c r="G28" s="16">
        <f>+C28-E28</f>
        <v>8500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CATALINA'!$G:$G,'BAL N CATALINA'!$I:$I,$A29,'BAL N CATALINA'!$J:$J,"T")</f>
        <v>29.17</v>
      </c>
      <c r="D29" s="17">
        <f t="shared" si="5"/>
        <v>1.4030269790015393E-2</v>
      </c>
      <c r="E29" s="16">
        <f>SUMIFS(DONNEES_N1_NOUVEAU[MONTANT],DONNEES_N1_NOUVEAU[TL2],A29,DONNEES_N1_NOUVEAU[MOIS],DONNÉES!$C$5,DONNEES_N1_NOUVEAU[SOCIETE],"CATALINA")</f>
        <v>0</v>
      </c>
      <c r="F29" s="17" t="e">
        <f t="shared" si="5"/>
        <v>#DIV/0!</v>
      </c>
      <c r="G29" s="16">
        <f>+C29-E29</f>
        <v>29.17</v>
      </c>
      <c r="H29" s="17">
        <f t="shared" si="6"/>
        <v>0</v>
      </c>
    </row>
    <row r="30" spans="1:8" s="18" customFormat="1" x14ac:dyDescent="0.2">
      <c r="A30" s="13" t="s">
        <v>21</v>
      </c>
      <c r="B30" s="14" t="s">
        <v>2973</v>
      </c>
      <c r="C30" s="23">
        <f>SUMIFS('BAL N CATALINA'!$G:$G,'BAL N CATALINA'!$I:$I,$A30,'BAL N CATALINA'!$J:$J,"T")</f>
        <v>1668.17</v>
      </c>
      <c r="D30" s="17">
        <f t="shared" si="5"/>
        <v>0.8023611640593068</v>
      </c>
      <c r="E30" s="16">
        <f>SUMIFS(DONNEES_N1_NOUVEAU[MONTANT],DONNEES_N1_NOUVEAU[TL2],A30,DONNEES_N1_NOUVEAU[MOIS],DONNÉES!$C$5,DONNEES_N1_NOUVEAU[SOCIETE],"CATALINA")</f>
        <v>0</v>
      </c>
      <c r="F30" s="17" t="e">
        <f t="shared" si="5"/>
        <v>#DIV/0!</v>
      </c>
      <c r="G30" s="16">
        <f>+C30-E30</f>
        <v>1668.17</v>
      </c>
      <c r="H30" s="17">
        <f t="shared" si="6"/>
        <v>0</v>
      </c>
    </row>
    <row r="31" spans="1:8" s="18" customFormat="1" x14ac:dyDescent="0.2">
      <c r="A31" s="13" t="s">
        <v>23</v>
      </c>
      <c r="B31" s="14" t="s">
        <v>2974</v>
      </c>
      <c r="C31" s="23">
        <f>SUMIFS('BAL N CATALINA'!$G:$G,'BAL N CATALINA'!$I:$I,$A31,'BAL N CATALINA'!$J:$J,"T")</f>
        <v>3217.58</v>
      </c>
      <c r="D31" s="17">
        <f t="shared" si="5"/>
        <v>1.5476008046265932</v>
      </c>
      <c r="E31" s="16">
        <f>SUMIFS(DONNEES_N1_NOUVEAU[MONTANT],DONNEES_N1_NOUVEAU[TL2],A31,DONNEES_N1_NOUVEAU[MOIS],DONNÉES!$C$5,DONNEES_N1_NOUVEAU[SOCIETE],"CATALINA")</f>
        <v>0</v>
      </c>
      <c r="F31" s="17" t="e">
        <f t="shared" si="5"/>
        <v>#DIV/0!</v>
      </c>
      <c r="G31" s="16">
        <f>+C31-E31</f>
        <v>3217.58</v>
      </c>
      <c r="H31" s="17">
        <f t="shared" si="6"/>
        <v>0</v>
      </c>
    </row>
    <row r="32" spans="1:8" s="18" customFormat="1" x14ac:dyDescent="0.2">
      <c r="A32" s="13" t="s">
        <v>25</v>
      </c>
      <c r="B32" s="14" t="s">
        <v>2975</v>
      </c>
      <c r="C32" s="23">
        <f>SUMIFS('BAL N CATALINA'!$G:$G,'BAL N CATALINA'!$I:$I,$A32,'BAL N CATALINA'!$J:$J,"T")</f>
        <v>4635.3900000000003</v>
      </c>
      <c r="D32" s="17">
        <f t="shared" si="5"/>
        <v>2.2295431018834235</v>
      </c>
      <c r="E32" s="16">
        <f>SUMIFS(DONNEES_N1_NOUVEAU[MONTANT],DONNEES_N1_NOUVEAU[TL2],A32,DONNEES_N1_NOUVEAU[MOIS],DONNÉES!$C$5,DONNEES_N1_NOUVEAU[SOCIETE],"CATALINA")</f>
        <v>0</v>
      </c>
      <c r="F32" s="17" t="e">
        <f t="shared" si="5"/>
        <v>#DIV/0!</v>
      </c>
      <c r="G32" s="16">
        <f>+C32-E32</f>
        <v>4635.3900000000003</v>
      </c>
      <c r="H32" s="17">
        <f t="shared" si="6"/>
        <v>0</v>
      </c>
    </row>
    <row r="33" spans="1:8" ht="13.5" thickBot="1" x14ac:dyDescent="0.25">
      <c r="A33" s="7"/>
      <c r="B33" s="63" t="s">
        <v>2976</v>
      </c>
      <c r="C33" s="49">
        <f>SUM(C28:C32)</f>
        <v>18050.310000000001</v>
      </c>
      <c r="D33" s="50">
        <f t="shared" si="5"/>
        <v>8.6818895815362627</v>
      </c>
      <c r="E33" s="51">
        <f>SUM(E28:E32)</f>
        <v>0</v>
      </c>
      <c r="F33" s="50" t="e">
        <f t="shared" si="5"/>
        <v>#DIV/0!</v>
      </c>
      <c r="G33" s="51">
        <f>SUM(G28:G32)</f>
        <v>18050.310000000001</v>
      </c>
      <c r="H33" s="50">
        <f t="shared" si="6"/>
        <v>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CATALINA'!$G:$G,'BAL N CATALINA'!$I:$I,$A35,'BAL N CATALINA'!$J:$J,"T")</f>
        <v>0</v>
      </c>
      <c r="D35" s="17">
        <f t="shared" ref="D35:F42" si="7">(C35*100)/C$8</f>
        <v>0</v>
      </c>
      <c r="E35" s="16">
        <f>SUMIFS(DONNEES_N1_NOUVEAU[MONTANT],DONNEES_N1_NOUVEAU[TL2],A35,DONNEES_N1_NOUVEAU[MOIS],DONNÉES!$C$5,DONNEES_N1_NOUVEAU[SOCIETE],"CATALINA")</f>
        <v>0</v>
      </c>
      <c r="F35" s="17" t="e">
        <f t="shared" si="7"/>
        <v>#DIV/0!</v>
      </c>
      <c r="G35" s="16">
        <f t="shared" ref="G35:G41" si="8">+C35-E35</f>
        <v>0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CATALINA'!$G:$G,'BAL N CATALINA'!$I:$I,$A36,'BAL N CATALINA'!$J:$J,"T")</f>
        <v>8344.64</v>
      </c>
      <c r="D36" s="17">
        <f t="shared" si="7"/>
        <v>4.0136287453052466</v>
      </c>
      <c r="E36" s="16">
        <f>SUMIFS(DONNEES_N1_NOUVEAU[MONTANT],DONNEES_N1_NOUVEAU[TL2],A36,DONNEES_N1_NOUVEAU[MOIS],DONNÉES!$C$5,DONNEES_N1_NOUVEAU[SOCIETE],"CATALINA")</f>
        <v>0</v>
      </c>
      <c r="F36" s="17" t="e">
        <f t="shared" si="7"/>
        <v>#DIV/0!</v>
      </c>
      <c r="G36" s="16">
        <f t="shared" si="8"/>
        <v>8344.64</v>
      </c>
      <c r="H36" s="17">
        <f t="shared" si="9"/>
        <v>0</v>
      </c>
    </row>
    <row r="37" spans="1:8" s="18" customFormat="1" x14ac:dyDescent="0.2">
      <c r="A37" s="13" t="s">
        <v>32</v>
      </c>
      <c r="B37" s="14" t="s">
        <v>19</v>
      </c>
      <c r="C37" s="23">
        <f>SUMIFS('BAL N CATALINA'!$G:$G,'BAL N CATALINA'!$I:$I,$A37,'BAL N CATALINA'!$J:$J,"T")</f>
        <v>4703.75</v>
      </c>
      <c r="D37" s="17">
        <f t="shared" si="7"/>
        <v>2.2624230896395234</v>
      </c>
      <c r="E37" s="16">
        <f>SUMIFS(DONNEES_N1_NOUVEAU[MONTANT],DONNEES_N1_NOUVEAU[TL2],A37,DONNEES_N1_NOUVEAU[MOIS],DONNÉES!$C$5,DONNEES_N1_NOUVEAU[SOCIETE],"CATALINA")</f>
        <v>0</v>
      </c>
      <c r="F37" s="17" t="e">
        <f t="shared" si="7"/>
        <v>#DIV/0!</v>
      </c>
      <c r="G37" s="16">
        <f t="shared" si="8"/>
        <v>4703.75</v>
      </c>
      <c r="H37" s="17">
        <f t="shared" si="9"/>
        <v>0</v>
      </c>
    </row>
    <row r="38" spans="1:8" s="18" customFormat="1" x14ac:dyDescent="0.2">
      <c r="A38" s="13" t="s">
        <v>34</v>
      </c>
      <c r="B38" s="14" t="s">
        <v>28</v>
      </c>
      <c r="C38" s="23">
        <f>SUMIFS('BAL N CATALINA'!$G:$G,'BAL N CATALINA'!$I:$I,$A38,'BAL N CATALINA'!$J:$J,"T")</f>
        <v>9177.14</v>
      </c>
      <c r="D38" s="17">
        <f t="shared" si="7"/>
        <v>4.4140469695146338</v>
      </c>
      <c r="E38" s="16">
        <f>SUMIFS(DONNEES_N1_NOUVEAU[MONTANT],DONNEES_N1_NOUVEAU[TL2],A38,DONNEES_N1_NOUVEAU[MOIS],DONNÉES!$C$5,DONNEES_N1_NOUVEAU[SOCIETE],"CATALINA")</f>
        <v>0</v>
      </c>
      <c r="F38" s="17" t="e">
        <f t="shared" si="7"/>
        <v>#DIV/0!</v>
      </c>
      <c r="G38" s="16">
        <f t="shared" si="8"/>
        <v>9177.14</v>
      </c>
      <c r="H38" s="17">
        <f t="shared" si="9"/>
        <v>0</v>
      </c>
    </row>
    <row r="39" spans="1:8" s="18" customFormat="1" x14ac:dyDescent="0.2">
      <c r="A39" s="13" t="s">
        <v>2978</v>
      </c>
      <c r="B39" s="14" t="s">
        <v>2980</v>
      </c>
      <c r="C39" s="23">
        <f>SUMIFS('BAL N CATALINA'!$G:$G,'BAL N CATALINA'!$I:$I,$A39,'BAL N CATALINA'!$J:$J,"T")</f>
        <v>1981.73</v>
      </c>
      <c r="D39" s="17">
        <f t="shared" si="7"/>
        <v>0.95317814710206394</v>
      </c>
      <c r="E39" s="16">
        <f>SUMIFS(DONNEES_N1_NOUVEAU[MONTANT],DONNEES_N1_NOUVEAU[TL2],A39,DONNEES_N1_NOUVEAU[MOIS],DONNÉES!$C$5,DONNEES_N1_NOUVEAU[SOCIETE],"CATALINA")</f>
        <v>0</v>
      </c>
      <c r="F39" s="17" t="e">
        <f t="shared" si="7"/>
        <v>#DIV/0!</v>
      </c>
      <c r="G39" s="16">
        <f t="shared" si="8"/>
        <v>1981.73</v>
      </c>
      <c r="H39" s="17">
        <f t="shared" si="9"/>
        <v>0</v>
      </c>
    </row>
    <row r="40" spans="1:8" s="18" customFormat="1" x14ac:dyDescent="0.2">
      <c r="A40" s="13" t="s">
        <v>2979</v>
      </c>
      <c r="B40" s="14" t="s">
        <v>2981</v>
      </c>
      <c r="C40" s="23">
        <f>SUMIFS('BAL N CATALINA'!$G:$G,'BAL N CATALINA'!$I:$I,$A40,'BAL N CATALINA'!$J:$J,"T")</f>
        <v>224.92</v>
      </c>
      <c r="D40" s="17">
        <f t="shared" si="7"/>
        <v>0.10818266305006041</v>
      </c>
      <c r="E40" s="16">
        <f>SUMIFS(DONNEES_N1_NOUVEAU[MONTANT],DONNEES_N1_NOUVEAU[TL2],A40,DONNEES_N1_NOUVEAU[MOIS],DONNÉES!$C$5,DONNEES_N1_NOUVEAU[SOCIETE],"CATALINA")</f>
        <v>0</v>
      </c>
      <c r="F40" s="17" t="e">
        <f t="shared" si="7"/>
        <v>#DIV/0!</v>
      </c>
      <c r="G40" s="16">
        <f t="shared" si="8"/>
        <v>224.92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CATALINA'!$G:$G,'BAL N CATALINA'!$I:$I,$A41,'BAL N CATALINA'!$J:$J,"T")</f>
        <v>-11.03</v>
      </c>
      <c r="D41" s="17">
        <f t="shared" si="7"/>
        <v>-5.3052408564919365E-3</v>
      </c>
      <c r="E41" s="16">
        <f>SUMIFS(DONNEES_N1_NOUVEAU[MONTANT],DONNEES_N1_NOUVEAU[TL2],A41,DONNEES_N1_NOUVEAU[MOIS],DONNÉES!$C$5,DONNEES_N1_NOUVEAU[SOCIETE],"CATALINA")</f>
        <v>0</v>
      </c>
      <c r="F41" s="17" t="e">
        <f t="shared" si="7"/>
        <v>#DIV/0!</v>
      </c>
      <c r="G41" s="16">
        <f t="shared" si="8"/>
        <v>-11.03</v>
      </c>
      <c r="H41" s="17">
        <f t="shared" si="9"/>
        <v>0</v>
      </c>
    </row>
    <row r="42" spans="1:8" ht="13.5" thickBot="1" x14ac:dyDescent="0.25">
      <c r="A42" s="13"/>
      <c r="B42" s="63" t="s">
        <v>2984</v>
      </c>
      <c r="C42" s="49">
        <f>+SUM(C35:C41)</f>
        <v>24421.149999999998</v>
      </c>
      <c r="D42" s="50">
        <f t="shared" si="7"/>
        <v>11.746154373755036</v>
      </c>
      <c r="E42" s="51">
        <f>+SUM(E35:E41)</f>
        <v>0</v>
      </c>
      <c r="F42" s="50" t="e">
        <f t="shared" si="7"/>
        <v>#DIV/0!</v>
      </c>
      <c r="G42" s="51">
        <f>+SUM(G35:G41)</f>
        <v>24421.149999999998</v>
      </c>
      <c r="H42" s="50">
        <f t="shared" si="9"/>
        <v>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56900.290000000008</v>
      </c>
      <c r="D44" s="71">
        <f>(C44*100)/C$8</f>
        <v>27.36806375831728</v>
      </c>
      <c r="E44" s="72">
        <f>E18-E26-E33-E42</f>
        <v>0</v>
      </c>
      <c r="F44" s="71" t="e">
        <f>(E44*100)/E$8</f>
        <v>#DIV/0!</v>
      </c>
      <c r="G44" s="72">
        <f>G18-G26-G33-G42</f>
        <v>56900.290000000008</v>
      </c>
      <c r="H44" s="71">
        <f>IF(E44=0,0,G44/E44*100)</f>
        <v>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CATALINA'!$G:$G,'BAL N CATALINA'!$I:$I,$A46,'BAL N CATALINA'!$J:$J,"T")</f>
        <v>28459.119999999999</v>
      </c>
      <c r="D46" s="17">
        <f t="shared" ref="D46:F49" si="10">(C46*100)/C$8</f>
        <v>13.688348700254469</v>
      </c>
      <c r="E46" s="16">
        <f>SUMIFS(DONNEES_N1_NOUVEAU[MONTANT],DONNEES_N1_NOUVEAU[TL2],A46,DONNEES_N1_NOUVEAU[MOIS],DONNÉES!$C$5,DONNEES_N1_NOUVEAU[SOCIETE],"CATALINA")</f>
        <v>0</v>
      </c>
      <c r="F46" s="17" t="e">
        <f t="shared" si="10"/>
        <v>#DIV/0!</v>
      </c>
      <c r="G46" s="16">
        <f>+C46-E46</f>
        <v>28459.119999999999</v>
      </c>
      <c r="H46" s="17">
        <f>IF(E46=0,0,G46/E46*100)</f>
        <v>0</v>
      </c>
    </row>
    <row r="47" spans="1:8" s="18" customFormat="1" x14ac:dyDescent="0.2">
      <c r="A47" s="13" t="s">
        <v>35</v>
      </c>
      <c r="B47" s="14" t="s">
        <v>2986</v>
      </c>
      <c r="C47" s="23">
        <f>SUMIFS('BAL N CATALINA'!$G:$G,'BAL N CATALINA'!$I:$I,$A47,'BAL N CATALINA'!$J:$J,"T")</f>
        <v>0</v>
      </c>
      <c r="D47" s="17">
        <f t="shared" si="10"/>
        <v>0</v>
      </c>
      <c r="E47" s="16">
        <f>SUMIFS(DONNEES_N1_NOUVEAU[MONTANT],DONNEES_N1_NOUVEAU[TL2],A47,DONNEES_N1_NOUVEAU[MOIS],DONNÉES!$C$5,DONNEES_N1_NOUVEAU[SOCIETE],"CATALINA")</f>
        <v>0</v>
      </c>
      <c r="F47" s="17" t="e">
        <f t="shared" si="10"/>
        <v>#DIV/0!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CATALINA'!$G:$G,'BAL N CATALINA'!$I:$I,$A48,'BAL N CATALINA'!$J:$J,"T")</f>
        <v>-405.56</v>
      </c>
      <c r="D48" s="17">
        <f t="shared" si="10"/>
        <v>-0.19506740541784856</v>
      </c>
      <c r="E48" s="16">
        <f>SUMIFS(DONNEES_N1_NOUVEAU[MONTANT],DONNEES_N1_NOUVEAU[TL2],A48,DONNEES_N1_NOUVEAU[MOIS],DONNÉES!$C$5,DONNEES_N1_NOUVEAU[SOCIETE],"CATALINA")</f>
        <v>0</v>
      </c>
      <c r="F48" s="17" t="e">
        <f t="shared" si="10"/>
        <v>#DIV/0!</v>
      </c>
      <c r="G48" s="16">
        <f>+C48-E48</f>
        <v>-405.56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28053.559999999998</v>
      </c>
      <c r="D49" s="50">
        <f t="shared" si="10"/>
        <v>13.493281294836621</v>
      </c>
      <c r="E49" s="51">
        <f>SUM(E46:E48)</f>
        <v>0</v>
      </c>
      <c r="F49" s="50" t="e">
        <f t="shared" si="10"/>
        <v>#DIV/0!</v>
      </c>
      <c r="G49" s="51">
        <f>SUM(G46:G48)</f>
        <v>28053.559999999998</v>
      </c>
      <c r="H49" s="50">
        <f>IF(E49=0,0,G49/E49*100)</f>
        <v>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CATALINA'!$G:$G,'BAL N CATALINA'!$I:$I,$A51,'BAL N CATALINA'!$J:$J,"T")</f>
        <v>250</v>
      </c>
      <c r="D51" s="17">
        <f t="shared" ref="D51:F59" si="11">(C51*100)/C$8</f>
        <v>0.12024571297579184</v>
      </c>
      <c r="E51" s="16">
        <f>SUMIFS(DONNEES_N1_NOUVEAU[MONTANT],DONNEES_N1_NOUVEAU[TL2],A51,DONNEES_N1_NOUVEAU[MOIS],DONNÉES!$C$5,DONNEES_N1_NOUVEAU[SOCIETE],"CATALINA")</f>
        <v>0</v>
      </c>
      <c r="F51" s="17" t="e">
        <f t="shared" si="11"/>
        <v>#DIV/0!</v>
      </c>
      <c r="G51" s="16">
        <f t="shared" ref="G51:G58" si="12">+C51-E51</f>
        <v>250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CATALINA'!$G:$G,'BAL N CATALINA'!$I:$I,$A52,'BAL N CATALINA'!$J:$J,"T")</f>
        <v>10540.41</v>
      </c>
      <c r="D52" s="17">
        <f t="shared" si="11"/>
        <v>5.0697564620286641</v>
      </c>
      <c r="E52" s="16">
        <f>SUMIFS(DONNEES_N1_NOUVEAU[MONTANT],DONNEES_N1_NOUVEAU[TL2],A52,DONNEES_N1_NOUVEAU[MOIS],DONNÉES!$C$5,DONNEES_N1_NOUVEAU[SOCIETE],"CATALINA")</f>
        <v>0</v>
      </c>
      <c r="F52" s="17" t="e">
        <f t="shared" si="11"/>
        <v>#DIV/0!</v>
      </c>
      <c r="G52" s="16">
        <f t="shared" si="12"/>
        <v>10540.41</v>
      </c>
      <c r="H52" s="17">
        <f t="shared" si="13"/>
        <v>0</v>
      </c>
    </row>
    <row r="53" spans="1:8" s="18" customFormat="1" x14ac:dyDescent="0.2">
      <c r="A53" s="13" t="s">
        <v>44</v>
      </c>
      <c r="B53" s="14" t="s">
        <v>62</v>
      </c>
      <c r="C53" s="23">
        <f>SUMIFS('BAL N CATALINA'!$G:$G,'BAL N CATALINA'!$I:$I,$A53,'BAL N CATALINA'!$J:$J,"T")</f>
        <v>1000</v>
      </c>
      <c r="D53" s="17">
        <f t="shared" si="11"/>
        <v>0.48098285190316736</v>
      </c>
      <c r="E53" s="16">
        <f>SUMIFS(DONNEES_N1_NOUVEAU[MONTANT],DONNEES_N1_NOUVEAU[TL2],A53,DONNEES_N1_NOUVEAU[MOIS],DONNÉES!$C$5,DONNEES_N1_NOUVEAU[SOCIETE],"CATALINA")</f>
        <v>0</v>
      </c>
      <c r="F53" s="17" t="e">
        <f t="shared" si="11"/>
        <v>#DIV/0!</v>
      </c>
      <c r="G53" s="16">
        <f t="shared" si="12"/>
        <v>1000</v>
      </c>
      <c r="H53" s="17">
        <f t="shared" si="13"/>
        <v>0</v>
      </c>
    </row>
    <row r="54" spans="1:8" s="18" customFormat="1" x14ac:dyDescent="0.2">
      <c r="A54" s="13" t="s">
        <v>45</v>
      </c>
      <c r="B54" s="14" t="s">
        <v>41</v>
      </c>
      <c r="C54" s="23">
        <f>SUMIFS('BAL N CATALINA'!$G:$G,'BAL N CATALINA'!$I:$I,$A54,'BAL N CATALINA'!$J:$J,"T")</f>
        <v>664.44</v>
      </c>
      <c r="D54" s="17">
        <f t="shared" si="11"/>
        <v>0.31958424611854053</v>
      </c>
      <c r="E54" s="16">
        <f>SUMIFS(DONNEES_N1_NOUVEAU[MONTANT],DONNEES_N1_NOUVEAU[TL2],A54,DONNEES_N1_NOUVEAU[MOIS],DONNÉES!$C$5,DONNEES_N1_NOUVEAU[SOCIETE],"CATALINA")</f>
        <v>0</v>
      </c>
      <c r="F54" s="17" t="e">
        <f t="shared" si="11"/>
        <v>#DIV/0!</v>
      </c>
      <c r="G54" s="16">
        <f t="shared" si="12"/>
        <v>664.44</v>
      </c>
      <c r="H54" s="17">
        <f t="shared" si="13"/>
        <v>0</v>
      </c>
    </row>
    <row r="55" spans="1:8" s="18" customFormat="1" x14ac:dyDescent="0.2">
      <c r="A55" s="13" t="s">
        <v>47</v>
      </c>
      <c r="B55" s="14" t="s">
        <v>43</v>
      </c>
      <c r="C55" s="23">
        <f>SUMIFS('BAL N CATALINA'!$G:$G,'BAL N CATALINA'!$I:$I,$A55,'BAL N CATALINA'!$J:$J,"T")</f>
        <v>2160.5100000000002</v>
      </c>
      <c r="D55" s="17">
        <f t="shared" si="11"/>
        <v>1.0391682613653124</v>
      </c>
      <c r="E55" s="16">
        <f>SUMIFS(DONNEES_N1_NOUVEAU[MONTANT],DONNEES_N1_NOUVEAU[TL2],A55,DONNEES_N1_NOUVEAU[MOIS],DONNÉES!$C$5,DONNEES_N1_NOUVEAU[SOCIETE],"CATALINA")</f>
        <v>0</v>
      </c>
      <c r="F55" s="17" t="e">
        <f t="shared" si="11"/>
        <v>#DIV/0!</v>
      </c>
      <c r="G55" s="16">
        <f t="shared" si="12"/>
        <v>2160.5100000000002</v>
      </c>
      <c r="H55" s="17">
        <f t="shared" si="13"/>
        <v>0</v>
      </c>
    </row>
    <row r="56" spans="1:8" s="18" customFormat="1" x14ac:dyDescent="0.2">
      <c r="A56" s="13" t="s">
        <v>48</v>
      </c>
      <c r="B56" s="14" t="s">
        <v>46</v>
      </c>
      <c r="C56" s="23">
        <f>SUMIFS('BAL N CATALINA'!$G:$G,'BAL N CATALINA'!$I:$I,$A56,'BAL N CATALINA'!$J:$J,"T")</f>
        <v>9000</v>
      </c>
      <c r="D56" s="17">
        <f t="shared" si="11"/>
        <v>4.3288456671285065</v>
      </c>
      <c r="E56" s="16">
        <f>SUMIFS(DONNEES_N1_NOUVEAU[MONTANT],DONNEES_N1_NOUVEAU[TL2],A56,DONNEES_N1_NOUVEAU[MOIS],DONNÉES!$C$5,DONNEES_N1_NOUVEAU[SOCIETE],"CATALINA")</f>
        <v>0</v>
      </c>
      <c r="F56" s="17" t="e">
        <f t="shared" si="11"/>
        <v>#DIV/0!</v>
      </c>
      <c r="G56" s="16">
        <f t="shared" si="12"/>
        <v>9000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CATALINA'!$G:$G,'BAL N CATALINA'!$I:$I,$A57,'BAL N CATALINA'!$J:$J,"T")</f>
        <v>781.35</v>
      </c>
      <c r="D57" s="17">
        <f t="shared" si="11"/>
        <v>0.37581595133453982</v>
      </c>
      <c r="E57" s="16">
        <f>SUMIFS(DONNEES_N1_NOUVEAU[MONTANT],DONNEES_N1_NOUVEAU[TL2],A57,DONNEES_N1_NOUVEAU[MOIS],DONNÉES!$C$5,DONNEES_N1_NOUVEAU[SOCIETE],"CATALINA")</f>
        <v>0</v>
      </c>
      <c r="F57" s="17" t="e">
        <f t="shared" si="11"/>
        <v>#DIV/0!</v>
      </c>
      <c r="G57" s="16">
        <f t="shared" si="12"/>
        <v>781.35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CATALINA'!$G:$G,'BAL N CATALINA'!$I:$I,$A58,'BAL N CATALINA'!$J:$J,"T")</f>
        <v>429.58</v>
      </c>
      <c r="D58" s="17">
        <f t="shared" si="11"/>
        <v>0.20662061352056266</v>
      </c>
      <c r="E58" s="16">
        <f>SUMIFS(DONNEES_N1_NOUVEAU[MONTANT],DONNEES_N1_NOUVEAU[TL2],A58,DONNEES_N1_NOUVEAU[MOIS],DONNÉES!$C$5,DONNEES_N1_NOUVEAU[SOCIETE],"CATALINA")</f>
        <v>0</v>
      </c>
      <c r="F58" s="17" t="e">
        <f t="shared" si="11"/>
        <v>#DIV/0!</v>
      </c>
      <c r="G58" s="16">
        <f t="shared" si="12"/>
        <v>429.58</v>
      </c>
      <c r="H58" s="17">
        <f t="shared" si="13"/>
        <v>0</v>
      </c>
    </row>
    <row r="59" spans="1:8" ht="13.5" thickBot="1" x14ac:dyDescent="0.25">
      <c r="A59" s="13"/>
      <c r="B59" s="63" t="s">
        <v>2994</v>
      </c>
      <c r="C59" s="49">
        <f>SUM(C51:C58)</f>
        <v>24826.29</v>
      </c>
      <c r="D59" s="50">
        <f t="shared" si="11"/>
        <v>11.941019766375085</v>
      </c>
      <c r="E59" s="51">
        <f>SUM(E51:E58)</f>
        <v>0</v>
      </c>
      <c r="F59" s="50" t="e">
        <f t="shared" si="11"/>
        <v>#DIV/0!</v>
      </c>
      <c r="G59" s="51">
        <f>SUM(G51:G58)</f>
        <v>24826.29</v>
      </c>
      <c r="H59" s="50">
        <f t="shared" si="13"/>
        <v>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147757.81</v>
      </c>
      <c r="D61" s="71">
        <f>(C61*100)/C$8</f>
        <v>71.06897284476635</v>
      </c>
      <c r="E61" s="72">
        <f>E59+E49+E42+E33+E26</f>
        <v>0</v>
      </c>
      <c r="F61" s="71" t="e">
        <f>(E61*100)/E$8</f>
        <v>#DIV/0!</v>
      </c>
      <c r="G61" s="72">
        <f>G59+G49+G42+G33+G26</f>
        <v>147757.81</v>
      </c>
      <c r="H61" s="71">
        <f>IF(E61=0,0,G61/E61*100)</f>
        <v>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CATALINA'!$G:$G,'BAL N CATALINA'!$I:$I,$A63,'BAL N CATALINA'!$J:$J,"T")</f>
        <v>2900.64</v>
      </c>
      <c r="D63" s="17">
        <f t="shared" ref="D63:F65" si="14">(C63*100)/C$8</f>
        <v>1.3951580995444035</v>
      </c>
      <c r="E63" s="16">
        <f>-SUMIFS(DONNEES_N1_NOUVEAU[MONTANT],DONNEES_N1_NOUVEAU[TL2],A63,DONNEES_N1_NOUVEAU[MOIS],DONNÉES!$C$5,DONNEES_N1_NOUVEAU[SOCIETE],"CATALINA")</f>
        <v>0</v>
      </c>
      <c r="F63" s="17" t="e">
        <f t="shared" si="14"/>
        <v>#DIV/0!</v>
      </c>
      <c r="G63" s="16">
        <f>+C63-E63</f>
        <v>2900.64</v>
      </c>
      <c r="H63" s="17">
        <f>IF(E63=0,0,G63/E63*100)</f>
        <v>0</v>
      </c>
    </row>
    <row r="64" spans="1:8" s="18" customFormat="1" x14ac:dyDescent="0.2">
      <c r="A64" s="13" t="s">
        <v>2992</v>
      </c>
      <c r="B64" s="68" t="s">
        <v>65</v>
      </c>
      <c r="C64" s="23">
        <f>SUMIFS('BAL N CATALINA'!$G:$G,'BAL N CATALINA'!$I:$I,$A64,'BAL N CATALINA'!$J:$J,"T")</f>
        <v>1227.1099999999999</v>
      </c>
      <c r="D64" s="17">
        <f t="shared" si="14"/>
        <v>0.59021886739889562</v>
      </c>
      <c r="E64" s="24">
        <f>SUMIFS(DONNEES_N1_NOUVEAU[MONTANT],DONNEES_N1_NOUVEAU[TL2],A64,DONNEES_N1_NOUVEAU[MOIS],DONNÉES!$C$5,DONNEES_N1_NOUVEAU[SOCIETE],"CATALINA")</f>
        <v>0</v>
      </c>
      <c r="F64" s="17" t="e">
        <f t="shared" si="14"/>
        <v>#DIV/0!</v>
      </c>
      <c r="G64" s="16">
        <f>+C64-E64</f>
        <v>1227.1099999999999</v>
      </c>
      <c r="H64" s="17">
        <f>IF(E64=0,0,G64/E64*100)</f>
        <v>0</v>
      </c>
    </row>
    <row r="65" spans="1:9" s="59" customFormat="1" ht="13.5" x14ac:dyDescent="0.2">
      <c r="A65" s="13"/>
      <c r="B65" s="62" t="s">
        <v>53</v>
      </c>
      <c r="C65" s="67">
        <f>+C63-C64</f>
        <v>1673.53</v>
      </c>
      <c r="D65" s="56">
        <f t="shared" si="14"/>
        <v>0.80493923214550767</v>
      </c>
      <c r="E65" s="57">
        <f>+E63-E64</f>
        <v>0</v>
      </c>
      <c r="F65" s="56" t="e">
        <f t="shared" si="14"/>
        <v>#DIV/0!</v>
      </c>
      <c r="G65" s="58">
        <f>+G63-G64</f>
        <v>1673.53</v>
      </c>
      <c r="H65" s="56">
        <f>IF(E65=0,0,G65/E65*100)</f>
        <v>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CATALINA'!$G:$G,'BAL N CATALINA'!$I:$I,$A67,'BAL N CATALINA'!$J:$J,"T")</f>
        <v>-2620.83</v>
      </c>
      <c r="D67" s="17">
        <f>(C67*100)/C$8</f>
        <v>-1.2605742877533781</v>
      </c>
      <c r="E67" s="16">
        <f>-SUMIFS(DONNEES_N1_NOUVEAU[MONTANT],DONNEES_N1_NOUVEAU[TL2],A67,DONNEES_N1_NOUVEAU[MOIS],DONNÉES!$C$5,DONNEES_N1_NOUVEAU[SOCIETE],"CATALINA")</f>
        <v>0</v>
      </c>
      <c r="F67" s="17" t="e">
        <f>(E67*100)/E$8</f>
        <v>#DIV/0!</v>
      </c>
      <c r="G67" s="16">
        <f>+C67-E67</f>
        <v>-2620.83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3073.1400000000021</v>
      </c>
      <c r="D69" s="10">
        <f>(C69*100)/C$8</f>
        <v>1.4781276414977009</v>
      </c>
      <c r="E69" s="9">
        <f>E18-E61+E65+E67</f>
        <v>0</v>
      </c>
      <c r="F69" s="10" t="e">
        <f>(E69*100)/E$8</f>
        <v>#DIV/0!</v>
      </c>
      <c r="G69" s="9">
        <f>G18-G61+G65+G67</f>
        <v>3073.1400000000021</v>
      </c>
      <c r="H69" s="10">
        <f>IF(E69=0,0,G69/E69*100)</f>
        <v>0</v>
      </c>
    </row>
    <row r="70" spans="1:9" ht="13.5" thickBot="1" x14ac:dyDescent="0.25">
      <c r="A70" s="13"/>
      <c r="B70" s="63" t="s">
        <v>3034</v>
      </c>
      <c r="C70" s="49">
        <f>+C69-C67+C57+C56</f>
        <v>15475.320000000003</v>
      </c>
      <c r="D70" s="50">
        <f>(C70*100)/C$8</f>
        <v>7.4433635477141253</v>
      </c>
      <c r="E70" s="49">
        <f>+E69-E67+E57+E56</f>
        <v>0</v>
      </c>
      <c r="F70" s="50" t="e">
        <f>(E70*100)/E$8</f>
        <v>#DIV/0!</v>
      </c>
      <c r="G70" s="49">
        <f>+G69-G67+G57+G56</f>
        <v>15475.320000000003</v>
      </c>
      <c r="H70" s="50">
        <f>IF(E70=0,0,G70/E70*100)</f>
        <v>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CATALINA'!$G:$G,'BAL N CATALINA'!$I:$I,$A72,'BAL N CATALINA'!$J:$J,"T")</f>
        <v>0</v>
      </c>
      <c r="D72" s="17">
        <f>(C72*100)/C$8</f>
        <v>0</v>
      </c>
      <c r="E72" s="16">
        <f>-SUMIFS(DONNEES_N1_NOUVEAU[MONTANT],DONNEES_N1_NOUVEAU[TL2],A72,DONNEES_N1_NOUVEAU[MOIS],DONNÉES!$C$5,DONNEES_N1_NOUVEAU[SOCIETE],"CATALINA")</f>
        <v>0</v>
      </c>
      <c r="F72" s="17" t="e">
        <f>(E72*100)/E$8</f>
        <v>#DIV/0!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CATALINA'!$G:$G,'BAL N CATALINA'!$I:$I,$A74,'BAL N CATALINA'!$J:$J,"T")</f>
        <v>17040</v>
      </c>
      <c r="D74" s="10">
        <f>(C74*100)/C$8</f>
        <v>8.195947796429973</v>
      </c>
      <c r="E74" s="9">
        <f>SUMIFS(DONNEES_N1_NOUVEAU[MONTANT],DONNEES_N1_NOUVEAU[TL2],A74,DONNEES_N1_NOUVEAU[MOIS],DONNÉES!$C$5,DONNEES_N1_NOUVEAU[SOCIETE],"CATALINA")</f>
        <v>0</v>
      </c>
      <c r="F74" s="10" t="e">
        <f>(E74*100)/E$8</f>
        <v>#DIV/0!</v>
      </c>
      <c r="G74" s="9">
        <f>+C74-E74</f>
        <v>17040</v>
      </c>
      <c r="H74" s="10">
        <f>IF(E74=0,0,G74/E74*100)</f>
        <v>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-13966.859999999997</v>
      </c>
      <c r="D76" s="71">
        <f>(C76*100)/C$8</f>
        <v>-6.7178201549322711</v>
      </c>
      <c r="E76" s="72">
        <f>E69-E74+E72</f>
        <v>0</v>
      </c>
      <c r="F76" s="71" t="e">
        <f>(E76*100)/E$8</f>
        <v>#DIV/0!</v>
      </c>
      <c r="G76" s="72">
        <f>G69-G74+G72</f>
        <v>-13966.859999999997</v>
      </c>
      <c r="H76" s="71">
        <f>IF(E76=0,0,G76/E76*100)</f>
        <v>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VLOOKUP(PARAMETRES!$C$2,TRANSCAT[],2,FALSE)</f>
        <v>11403</v>
      </c>
      <c r="D78" s="324"/>
      <c r="E78" s="323">
        <f>VLOOKUP(PARAMETRES!$C$2,TRANSTHOM[],3,FALSE)</f>
        <v>18933</v>
      </c>
      <c r="F78" s="324"/>
      <c r="G78" s="325">
        <f>C78-E78</f>
        <v>-7530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7"/>
      <c r="H79" s="278"/>
    </row>
    <row r="80" spans="1:9" ht="16.899999999999999" customHeight="1" thickBot="1" x14ac:dyDescent="0.25">
      <c r="A80" s="13"/>
      <c r="B80" s="73" t="s">
        <v>86</v>
      </c>
      <c r="C80" s="315">
        <f>VLOOKUP(PARAMETRES!$C$2,PMCAT[],2,FALSE)</f>
        <v>18.489999999999998</v>
      </c>
      <c r="D80" s="316"/>
      <c r="E80" s="315">
        <f>VLOOKUP(PARAMETRES!$C$2,PMTHOM[],3,FALSE)</f>
        <v>18.739999999999998</v>
      </c>
      <c r="F80" s="316"/>
      <c r="G80" s="330">
        <f>C80-E80</f>
        <v>-0.25</v>
      </c>
      <c r="H80" s="331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B8CB-7CC8-4838-B9AE-F4DE385D52BA}">
  <sheetPr>
    <tabColor rgb="FFFFC000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 x14ac:dyDescent="0.2"/>
  <sheetData>
    <row r="1" spans="1:8" x14ac:dyDescent="0.2">
      <c r="A1" s="74"/>
      <c r="B1" s="44"/>
      <c r="C1" s="44"/>
      <c r="D1" s="44"/>
      <c r="E1" s="44"/>
      <c r="F1" s="44"/>
      <c r="G1" s="44"/>
      <c r="H1" s="75"/>
    </row>
    <row r="2" spans="1:8" x14ac:dyDescent="0.2">
      <c r="C2" s="280"/>
      <c r="E2" s="280"/>
      <c r="G2" s="280"/>
    </row>
    <row r="3" spans="1:8" x14ac:dyDescent="0.2">
      <c r="C3" s="280"/>
      <c r="E3" s="280"/>
      <c r="G3" s="280"/>
    </row>
    <row r="4" spans="1:8" ht="15" x14ac:dyDescent="0.35">
      <c r="A4" s="281"/>
    </row>
    <row r="5" spans="1:8" x14ac:dyDescent="0.2">
      <c r="A5" s="44"/>
    </row>
    <row r="6" spans="1:8" ht="27" customHeight="1" x14ac:dyDescent="0.2">
      <c r="A6" s="303"/>
      <c r="B6" s="303"/>
      <c r="C6" s="303"/>
      <c r="D6" s="303"/>
      <c r="E6" s="303"/>
      <c r="F6" s="303"/>
      <c r="G6" s="303"/>
      <c r="H6" s="303"/>
    </row>
    <row r="7" spans="1:8" x14ac:dyDescent="0.2">
      <c r="A7" s="44"/>
    </row>
    <row r="8" spans="1:8" ht="26.25" customHeight="1" x14ac:dyDescent="0.2">
      <c r="A8" s="303"/>
      <c r="B8" s="303"/>
      <c r="C8" s="303"/>
      <c r="D8" s="303"/>
      <c r="E8" s="303"/>
      <c r="F8" s="303"/>
      <c r="G8" s="303"/>
      <c r="H8" s="303"/>
    </row>
    <row r="9" spans="1:8" x14ac:dyDescent="0.2">
      <c r="A9" s="44"/>
    </row>
    <row r="10" spans="1:8" x14ac:dyDescent="0.2">
      <c r="A10" s="44"/>
    </row>
    <row r="11" spans="1:8" x14ac:dyDescent="0.2">
      <c r="A11" s="44"/>
    </row>
    <row r="12" spans="1:8" x14ac:dyDescent="0.2">
      <c r="A12" s="44"/>
    </row>
    <row r="13" spans="1:8" x14ac:dyDescent="0.2">
      <c r="A13" s="44"/>
    </row>
    <row r="14" spans="1:8" x14ac:dyDescent="0.2">
      <c r="A14" s="44"/>
    </row>
    <row r="15" spans="1:8" x14ac:dyDescent="0.2">
      <c r="A15" s="44"/>
    </row>
    <row r="16" spans="1:8" x14ac:dyDescent="0.2">
      <c r="A16" s="44"/>
    </row>
    <row r="17" spans="1:1" x14ac:dyDescent="0.2">
      <c r="A17" s="44"/>
    </row>
    <row r="18" spans="1:1" x14ac:dyDescent="0.2">
      <c r="A18" s="44"/>
    </row>
    <row r="19" spans="1:1" x14ac:dyDescent="0.2">
      <c r="A19" s="44"/>
    </row>
    <row r="20" spans="1:1" x14ac:dyDescent="0.2">
      <c r="A20" s="44"/>
    </row>
    <row r="21" spans="1:1" x14ac:dyDescent="0.2">
      <c r="A21" s="44"/>
    </row>
    <row r="22" spans="1:1" x14ac:dyDescent="0.2">
      <c r="A22" s="44"/>
    </row>
    <row r="23" spans="1:1" x14ac:dyDescent="0.2">
      <c r="A23" s="44"/>
    </row>
    <row r="24" spans="1:1" x14ac:dyDescent="0.2">
      <c r="A24" s="44"/>
    </row>
    <row r="25" spans="1:1" x14ac:dyDescent="0.2">
      <c r="A25" s="44"/>
    </row>
    <row r="26" spans="1:1" x14ac:dyDescent="0.2">
      <c r="A26" s="44"/>
    </row>
    <row r="27" spans="1:1" x14ac:dyDescent="0.2">
      <c r="A27" s="44"/>
    </row>
    <row r="28" spans="1:1" x14ac:dyDescent="0.2">
      <c r="A28" s="44"/>
    </row>
    <row r="29" spans="1:1" x14ac:dyDescent="0.2">
      <c r="A29" s="44"/>
    </row>
  </sheetData>
  <mergeCells count="2">
    <mergeCell ref="A6:H6"/>
    <mergeCell ref="A8:H8"/>
  </mergeCells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&amp;C&amp;"Helv,Gras"&amp;11&amp;K00+000Page &amp;P / &amp;N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2C7FC-DB65-4F06-B151-1C7AE0860A49}">
  <sheetPr>
    <tabColor rgb="FFFFC000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 x14ac:dyDescent="0.25"/>
  <cols>
    <col min="1" max="1" width="4.5703125" style="31" customWidth="1"/>
    <col min="2" max="2" width="13" style="31" bestFit="1" customWidth="1"/>
    <col min="3" max="7" width="11.42578125" style="31"/>
    <col min="8" max="8" width="0.28515625" style="31" hidden="1" customWidth="1"/>
    <col min="9" max="16384" width="11.42578125" style="31"/>
  </cols>
  <sheetData>
    <row r="2" spans="1:8" x14ac:dyDescent="0.25">
      <c r="C2" s="41"/>
      <c r="E2" s="41"/>
      <c r="G2" s="41"/>
    </row>
    <row r="3" spans="1:8" s="34" customFormat="1" ht="25.5" x14ac:dyDescent="0.35">
      <c r="A3" s="32"/>
      <c r="B3" s="33"/>
      <c r="C3" s="40"/>
      <c r="D3" s="33"/>
      <c r="E3" s="40"/>
      <c r="F3" s="33"/>
      <c r="G3" s="40"/>
      <c r="H3" s="33"/>
    </row>
    <row r="4" spans="1:8" x14ac:dyDescent="0.25">
      <c r="A4" s="35"/>
      <c r="B4" s="36"/>
      <c r="C4" s="36"/>
      <c r="D4" s="36"/>
      <c r="E4" s="36"/>
      <c r="F4" s="36"/>
      <c r="G4" s="36"/>
      <c r="H4" s="36"/>
    </row>
    <row r="5" spans="1:8" x14ac:dyDescent="0.25">
      <c r="A5" s="35"/>
      <c r="B5" s="36"/>
      <c r="C5" s="37"/>
      <c r="D5" s="36"/>
      <c r="E5" s="36"/>
      <c r="F5" s="36"/>
      <c r="G5" s="36"/>
      <c r="H5" s="36"/>
    </row>
    <row r="6" spans="1:8" x14ac:dyDescent="0.25">
      <c r="A6" s="35"/>
      <c r="B6" s="36"/>
      <c r="C6" s="36"/>
      <c r="D6" s="36"/>
      <c r="E6" s="36"/>
      <c r="F6" s="36"/>
      <c r="G6" s="36"/>
      <c r="H6" s="36"/>
    </row>
    <row r="7" spans="1:8" x14ac:dyDescent="0.25">
      <c r="A7" s="35"/>
      <c r="B7" s="36"/>
      <c r="C7" s="36"/>
      <c r="D7" s="36"/>
      <c r="E7" s="36"/>
      <c r="F7" s="36"/>
      <c r="G7" s="36"/>
      <c r="H7" s="36"/>
    </row>
    <row r="8" spans="1:8" x14ac:dyDescent="0.25">
      <c r="A8" s="35"/>
      <c r="B8" s="36"/>
      <c r="C8" s="36"/>
      <c r="D8" s="36"/>
      <c r="E8" s="36"/>
      <c r="F8" s="36"/>
      <c r="G8" s="36"/>
      <c r="H8" s="36"/>
    </row>
    <row r="9" spans="1:8" x14ac:dyDescent="0.25">
      <c r="A9" s="35"/>
      <c r="B9" s="36"/>
      <c r="C9" s="36"/>
      <c r="D9" s="36"/>
      <c r="E9" s="36"/>
      <c r="F9" s="36"/>
      <c r="G9" s="36"/>
      <c r="H9" s="36"/>
    </row>
    <row r="10" spans="1:8" x14ac:dyDescent="0.25">
      <c r="A10" s="35"/>
      <c r="B10" s="36"/>
      <c r="C10" s="36"/>
      <c r="D10" s="36"/>
      <c r="E10" s="36"/>
      <c r="F10" s="36"/>
      <c r="G10" s="36"/>
      <c r="H10" s="36"/>
    </row>
    <row r="11" spans="1:8" x14ac:dyDescent="0.25">
      <c r="A11" s="36"/>
      <c r="B11" s="36"/>
      <c r="C11" s="36"/>
      <c r="D11" s="36"/>
      <c r="E11" s="36"/>
      <c r="F11" s="36"/>
      <c r="G11" s="36"/>
    </row>
    <row r="12" spans="1:8" x14ac:dyDescent="0.25">
      <c r="A12" s="36"/>
      <c r="B12" s="36"/>
      <c r="C12" s="36"/>
      <c r="D12" s="36"/>
      <c r="E12" s="36"/>
      <c r="F12" s="36"/>
      <c r="G12" s="36"/>
    </row>
    <row r="13" spans="1:8" x14ac:dyDescent="0.25">
      <c r="A13" s="36"/>
      <c r="B13" s="36"/>
      <c r="C13" s="36"/>
      <c r="D13" s="36"/>
      <c r="E13" s="36"/>
      <c r="F13" s="36"/>
      <c r="G13" s="36"/>
    </row>
    <row r="14" spans="1:8" x14ac:dyDescent="0.25">
      <c r="A14" s="36"/>
      <c r="B14" s="36"/>
      <c r="C14" s="36"/>
      <c r="D14" s="36"/>
      <c r="E14" s="36"/>
      <c r="F14" s="36"/>
      <c r="G14" s="36"/>
    </row>
    <row r="15" spans="1:8" x14ac:dyDescent="0.25">
      <c r="A15" s="36"/>
      <c r="B15" s="36"/>
      <c r="C15" s="36"/>
      <c r="D15" s="36"/>
      <c r="E15" s="36"/>
      <c r="F15" s="36"/>
      <c r="G15" s="36"/>
    </row>
    <row r="16" spans="1:8" x14ac:dyDescent="0.25">
      <c r="A16" s="36"/>
      <c r="B16" s="36"/>
      <c r="C16" s="36"/>
      <c r="D16" s="36"/>
      <c r="E16" s="36"/>
      <c r="F16" s="36"/>
      <c r="G16" s="36"/>
    </row>
    <row r="17" spans="1:9" x14ac:dyDescent="0.25">
      <c r="A17" s="36"/>
      <c r="B17" s="36"/>
      <c r="C17" s="36"/>
      <c r="D17" s="36"/>
      <c r="E17" s="36"/>
      <c r="F17" s="36"/>
      <c r="G17" s="36"/>
    </row>
    <row r="18" spans="1:9" ht="7.5" customHeight="1" x14ac:dyDescent="0.25">
      <c r="A18" s="38"/>
      <c r="B18" s="36"/>
      <c r="C18" s="36"/>
      <c r="D18" s="36"/>
      <c r="E18" s="36"/>
      <c r="F18" s="36"/>
      <c r="G18" s="36"/>
    </row>
    <row r="19" spans="1:9" x14ac:dyDescent="0.25">
      <c r="A19" s="36"/>
      <c r="B19" s="36"/>
      <c r="C19" s="36"/>
      <c r="D19" s="36"/>
      <c r="E19" s="36"/>
      <c r="F19" s="36"/>
      <c r="G19" s="36"/>
      <c r="I19" s="31" t="s">
        <v>97</v>
      </c>
    </row>
    <row r="20" spans="1:9" ht="58.5" customHeight="1" x14ac:dyDescent="0.25">
      <c r="A20" s="306"/>
      <c r="B20" s="306"/>
      <c r="C20" s="306"/>
      <c r="D20" s="306"/>
      <c r="E20" s="306"/>
      <c r="F20" s="306"/>
      <c r="G20" s="306"/>
      <c r="H20" s="306"/>
      <c r="I20" s="306"/>
    </row>
    <row r="21" spans="1:9" ht="6" customHeight="1" x14ac:dyDescent="0.25">
      <c r="A21" s="36"/>
      <c r="B21" s="36"/>
      <c r="C21" s="36"/>
      <c r="D21" s="36"/>
      <c r="E21" s="36"/>
      <c r="F21" s="36"/>
      <c r="G21" s="36"/>
    </row>
    <row r="22" spans="1:9" x14ac:dyDescent="0.25">
      <c r="A22" s="36"/>
      <c r="B22" s="36"/>
      <c r="C22" s="36"/>
      <c r="D22" s="36"/>
      <c r="E22" s="36"/>
      <c r="F22" s="36"/>
      <c r="G22" s="36"/>
    </row>
    <row r="23" spans="1:9" x14ac:dyDescent="0.25">
      <c r="A23" s="36"/>
      <c r="B23" s="36"/>
      <c r="C23" s="36"/>
      <c r="D23" s="36"/>
      <c r="E23" s="36"/>
      <c r="F23" s="36"/>
      <c r="G23" s="36"/>
    </row>
    <row r="39" spans="1:8" x14ac:dyDescent="0.25">
      <c r="A39" s="39"/>
      <c r="B39" s="307"/>
      <c r="C39" s="307"/>
      <c r="D39" s="307"/>
      <c r="E39" s="307"/>
      <c r="F39" s="307"/>
      <c r="G39" s="307"/>
      <c r="H39" s="36" t="s">
        <v>98</v>
      </c>
    </row>
  </sheetData>
  <mergeCells count="2">
    <mergeCell ref="A20:I20"/>
    <mergeCell ref="B39:G39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&amp;C&amp;"Helv,Gras"&amp;11&amp;K00+000Page &amp;P / &amp;N</oddFoot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E93F-7C8B-451C-B3CE-BA15F70CC2F6}">
  <sheetPr>
    <tabColor rgb="FFFFC000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44C6D-CCF5-456A-A4E9-24623727B4CF}">
  <sheetPr>
    <tabColor rgb="FFFFC000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6893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2999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GLR5'!$H:$H,'BAL N GLR5'!$I:$I,$A8,'BAL N GLR5'!$J:$J,"T")</f>
        <v>415855.11</v>
      </c>
      <c r="D8" s="71">
        <f>(C8*100)/C$8</f>
        <v>100</v>
      </c>
      <c r="E8" s="72">
        <f>-SUMIFS(DONNEESCUM_N1_NOUVEAU[MONTANT],DONNEESCUM_N1_NOUVEAU[TL2],A8,DONNEESCUM_N1_NOUVEAU[MOIS],DONNÉES!$C$5,DONNEESCUM_N1_NOUVEAU[SOCIETE],"GLR5")</f>
        <v>370437.56</v>
      </c>
      <c r="F8" s="71">
        <f>(E8*100)/E$8</f>
        <v>100</v>
      </c>
      <c r="G8" s="72">
        <f>+C8-E8</f>
        <v>45417.549999999988</v>
      </c>
      <c r="H8" s="71">
        <f>IF(E8=0,0,G8/E8*100)</f>
        <v>12.260514295580608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GLR5'!$H:$H,'BAL N GLR5'!$I:$I,$A10,'BAL N GLR5'!$J:$J,"T")</f>
        <v>93925.95</v>
      </c>
      <c r="D10" s="17">
        <f t="shared" ref="D10:F16" si="0">(C10*100)/C$8</f>
        <v>22.586219993785818</v>
      </c>
      <c r="E10" s="16">
        <f>SUMIFS(DONNEESCUM_N1_NOUVEAU[MONTANT],DONNEESCUM_N1_NOUVEAU[TL2],A10,DONNEESCUM_N1_NOUVEAU[MOIS],DONNÉES!$C$5,DONNEESCUM_N1_NOUVEAU[SOCIETE],"GLR5")</f>
        <v>84010.21</v>
      </c>
      <c r="F10" s="17">
        <f t="shared" si="0"/>
        <v>22.678642522102781</v>
      </c>
      <c r="G10" s="16">
        <f>+C10-E10</f>
        <v>9915.7399999999907</v>
      </c>
      <c r="H10" s="17">
        <f t="shared" ref="H10:H16" si="1">IF(E10=0,0,G10/E10*100)</f>
        <v>11.803017752247007</v>
      </c>
    </row>
    <row r="11" spans="1:8" s="18" customFormat="1" x14ac:dyDescent="0.2">
      <c r="A11" s="13" t="s">
        <v>124</v>
      </c>
      <c r="B11" s="14" t="s">
        <v>4</v>
      </c>
      <c r="C11" s="23">
        <f>SUMIFS('BAL N GLR5'!$H:$H,'BAL N GLR5'!$I:$I,$A11,'BAL N GLR5'!$J:$J,"T")</f>
        <v>1729.73</v>
      </c>
      <c r="D11" s="17">
        <f t="shared" si="0"/>
        <v>0.41594535173560809</v>
      </c>
      <c r="E11" s="16">
        <f>SUMIFS(DONNEESCUM_N1_NOUVEAU[MONTANT],DONNEESCUM_N1_NOUVEAU[TL2],A11,DONNEESCUM_N1_NOUVEAU[MOIS],DONNÉES!$C$5,DONNEESCUM_N1_NOUVEAU[SOCIETE],"GLR5")</f>
        <v>1628.56</v>
      </c>
      <c r="F11" s="17">
        <f t="shared" si="0"/>
        <v>0.4396314455801944</v>
      </c>
      <c r="G11" s="16">
        <f>+C11-E11</f>
        <v>101.17000000000007</v>
      </c>
      <c r="H11" s="17">
        <f t="shared" si="1"/>
        <v>6.2122365770987908</v>
      </c>
    </row>
    <row r="12" spans="1:8" s="18" customFormat="1" x14ac:dyDescent="0.2">
      <c r="A12" s="13" t="s">
        <v>125</v>
      </c>
      <c r="B12" s="14" t="s">
        <v>2</v>
      </c>
      <c r="C12" s="23">
        <f>SUMIFS('BAL N GLR5'!$H:$H,'BAL N GLR5'!$I:$I,$A12,'BAL N GLR5'!$J:$J,"T")</f>
        <v>2065.16</v>
      </c>
      <c r="D12" s="17">
        <f t="shared" si="0"/>
        <v>0.4966056567153882</v>
      </c>
      <c r="E12" s="16">
        <f>SUMIFS(DONNEESCUM_N1_NOUVEAU[MONTANT],DONNEESCUM_N1_NOUVEAU[TL2],A12,DONNEESCUM_N1_NOUVEAU[MOIS],DONNÉES!$C$5,DONNEESCUM_N1_NOUVEAU[SOCIETE],"GLR5")</f>
        <v>1931.15</v>
      </c>
      <c r="F12" s="17">
        <f t="shared" si="0"/>
        <v>0.5213159270350447</v>
      </c>
      <c r="G12" s="16">
        <f>+C12-E12</f>
        <v>134.00999999999976</v>
      </c>
      <c r="H12" s="17">
        <f t="shared" si="1"/>
        <v>6.9393884472982297</v>
      </c>
    </row>
    <row r="13" spans="1:8" s="59" customFormat="1" ht="13.5" x14ac:dyDescent="0.2">
      <c r="A13" s="60"/>
      <c r="B13" s="62" t="s">
        <v>6</v>
      </c>
      <c r="C13" s="55">
        <f>SUM(C10:C12)</f>
        <v>97720.84</v>
      </c>
      <c r="D13" s="56">
        <f t="shared" si="0"/>
        <v>23.498771002236815</v>
      </c>
      <c r="E13" s="55">
        <f>SUM(E10:E12)</f>
        <v>87569.919999999998</v>
      </c>
      <c r="F13" s="56">
        <f t="shared" si="0"/>
        <v>23.639589894718018</v>
      </c>
      <c r="G13" s="55">
        <f>SUM(G10:G12)</f>
        <v>10150.919999999991</v>
      </c>
      <c r="H13" s="56">
        <f t="shared" si="1"/>
        <v>11.591788595901413</v>
      </c>
    </row>
    <row r="14" spans="1:8" s="18" customFormat="1" x14ac:dyDescent="0.2">
      <c r="A14" s="13" t="s">
        <v>126</v>
      </c>
      <c r="B14" s="14" t="s">
        <v>8</v>
      </c>
      <c r="C14" s="23">
        <f>SUMIFS('BAL N GLR5'!$H:$H,'BAL N GLR5'!$I:$I,$A14,'BAL N GLR5'!$J:$J,"T")</f>
        <v>10345.09</v>
      </c>
      <c r="D14" s="17">
        <f t="shared" si="0"/>
        <v>2.487666918413002</v>
      </c>
      <c r="E14" s="16">
        <f>SUMIFS(DONNEESCUM_N1_NOUVEAU[MONTANT],DONNEESCUM_N1_NOUVEAU[TL2],A14,DONNEESCUM_N1_NOUVEAU[MOIS],DONNÉES!$C$5,DONNEESCUM_N1_NOUVEAU[SOCIETE],"GLR5")</f>
        <v>8915.7199999999993</v>
      </c>
      <c r="F14" s="17">
        <f t="shared" si="0"/>
        <v>2.4068077761877058</v>
      </c>
      <c r="G14" s="16">
        <f>+C14-E14</f>
        <v>1429.3700000000008</v>
      </c>
      <c r="H14" s="17">
        <f t="shared" si="1"/>
        <v>16.032019848088556</v>
      </c>
    </row>
    <row r="15" spans="1:8" s="18" customFormat="1" x14ac:dyDescent="0.2">
      <c r="A15" s="13" t="s">
        <v>2964</v>
      </c>
      <c r="B15" s="14" t="s">
        <v>2965</v>
      </c>
      <c r="C15" s="23">
        <f>SUMIFS('BAL N GLR5'!$H:$H,'BAL N GLR5'!$I:$I,$A15,'BAL N GLR5'!$J:$J,"T")</f>
        <v>2248.7800000000002</v>
      </c>
      <c r="D15" s="17">
        <f t="shared" si="0"/>
        <v>0.54076045861261635</v>
      </c>
      <c r="E15" s="16">
        <f>SUMIFS(DONNEESCUM_N1_NOUVEAU[MONTANT],DONNEESCUM_N1_NOUVEAU[TL2],A15,DONNEESCUM_N1_NOUVEAU[MOIS],DONNÉES!$C$5,DONNEESCUM_N1_NOUVEAU[SOCIETE],"GLR5")</f>
        <v>1300.76</v>
      </c>
      <c r="F15" s="17">
        <f t="shared" si="0"/>
        <v>0.35114149871843447</v>
      </c>
      <c r="G15" s="16">
        <f>+C15-E15</f>
        <v>948.02000000000021</v>
      </c>
      <c r="H15" s="17">
        <f t="shared" si="1"/>
        <v>72.882007441803268</v>
      </c>
    </row>
    <row r="16" spans="1:8" ht="13.5" thickBot="1" x14ac:dyDescent="0.25">
      <c r="A16" s="7"/>
      <c r="B16" s="63" t="s">
        <v>10</v>
      </c>
      <c r="C16" s="49">
        <f>+C13+SUM(C14:C15)</f>
        <v>110314.70999999999</v>
      </c>
      <c r="D16" s="50">
        <f t="shared" si="0"/>
        <v>26.527198379262433</v>
      </c>
      <c r="E16" s="49">
        <f>+E13+SUM(E14:E15)</f>
        <v>97786.4</v>
      </c>
      <c r="F16" s="50">
        <f t="shared" si="0"/>
        <v>26.39753916962416</v>
      </c>
      <c r="G16" s="49">
        <f>+G13+SUM(G14:G15)</f>
        <v>12528.309999999992</v>
      </c>
      <c r="H16" s="50">
        <f t="shared" si="1"/>
        <v>12.811914540263261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305540.40000000002</v>
      </c>
      <c r="D18" s="71">
        <f>(C18*100)/C$8</f>
        <v>73.472801620737584</v>
      </c>
      <c r="E18" s="70">
        <f>E8-E16</f>
        <v>272651.16000000003</v>
      </c>
      <c r="F18" s="71">
        <f>(E18*100)/E$8</f>
        <v>73.602460830375847</v>
      </c>
      <c r="G18" s="70">
        <f>G8-G16</f>
        <v>32889.24</v>
      </c>
      <c r="H18" s="71">
        <f>IF(E18=0,0,G18/E18*100)</f>
        <v>12.062754473518469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GLR5'!$H:$H,'BAL N GLR5'!$I:$I,$A20,'BAL N GLR5'!$J:$J,"T")</f>
        <v>65020.78</v>
      </c>
      <c r="D20" s="17">
        <f t="shared" ref="D20:F26" si="2">(C20*100)/C$8</f>
        <v>15.635440911138497</v>
      </c>
      <c r="E20" s="16">
        <f>SUMIFS(DONNEESCUM_N1_NOUVEAU[MONTANT],DONNEESCUM_N1_NOUVEAU[TL2],A20,DONNEESCUM_N1_NOUVEAU[MOIS],DONNÉES!$C$5,DONNEESCUM_N1_NOUVEAU[SOCIETE],"GLR5")</f>
        <v>66031.399999999994</v>
      </c>
      <c r="F20" s="17">
        <f t="shared" si="2"/>
        <v>17.825244286783445</v>
      </c>
      <c r="G20" s="16">
        <f t="shared" ref="G20:G25" si="3">+C20-E20</f>
        <v>-1010.6199999999953</v>
      </c>
      <c r="H20" s="17">
        <f t="shared" ref="H20:H26" si="4">IF(E20=0,0,G20/E20*100)</f>
        <v>-1.5305142704834298</v>
      </c>
    </row>
    <row r="21" spans="1:8" s="18" customFormat="1" x14ac:dyDescent="0.2">
      <c r="A21" s="13">
        <v>9</v>
      </c>
      <c r="B21" s="14" t="s">
        <v>2968</v>
      </c>
      <c r="C21" s="23">
        <f>SUMIFS('BAL N GLR5'!$H:$H,'BAL N GLR5'!$I:$I,$A21,'BAL N GLR5'!$J:$J,"T")</f>
        <v>9096.2999999999993</v>
      </c>
      <c r="D21" s="17">
        <f t="shared" si="2"/>
        <v>2.1873724240156625</v>
      </c>
      <c r="E21" s="16">
        <f>SUMIFS(DONNEESCUM_N1_NOUVEAU[MONTANT],DONNEESCUM_N1_NOUVEAU[TL2],A21,DONNEESCUM_N1_NOUVEAU[MOIS],DONNÉES!$C$5,DONNEESCUM_N1_NOUVEAU[SOCIETE],"GLR5")</f>
        <v>7904.13</v>
      </c>
      <c r="F21" s="17">
        <f t="shared" si="2"/>
        <v>2.1337280161331371</v>
      </c>
      <c r="G21" s="16">
        <f t="shared" si="3"/>
        <v>1192.1699999999992</v>
      </c>
      <c r="H21" s="17">
        <f t="shared" si="4"/>
        <v>15.082874396043577</v>
      </c>
    </row>
    <row r="22" spans="1:8" s="18" customFormat="1" x14ac:dyDescent="0.2">
      <c r="A22" s="13" t="s">
        <v>12</v>
      </c>
      <c r="B22" s="14" t="s">
        <v>14</v>
      </c>
      <c r="C22" s="23">
        <f>SUMIFS('BAL N GLR5'!$H:$H,'BAL N GLR5'!$I:$I,$A22,'BAL N GLR5'!$J:$J,"T")</f>
        <v>19851.349999999999</v>
      </c>
      <c r="D22" s="17">
        <f t="shared" si="2"/>
        <v>4.773621754942484</v>
      </c>
      <c r="E22" s="16">
        <f>SUMIFS(DONNEESCUM_N1_NOUVEAU[MONTANT],DONNEESCUM_N1_NOUVEAU[TL2],A22,DONNEESCUM_N1_NOUVEAU[MOIS],DONNÉES!$C$5,DONNEESCUM_N1_NOUVEAU[SOCIETE],"GLR5")</f>
        <v>21061.18</v>
      </c>
      <c r="F22" s="17">
        <f t="shared" si="2"/>
        <v>5.6854871843989034</v>
      </c>
      <c r="G22" s="16">
        <f t="shared" si="3"/>
        <v>-1209.8300000000017</v>
      </c>
      <c r="H22" s="17">
        <f t="shared" si="4"/>
        <v>-5.7443600026209438</v>
      </c>
    </row>
    <row r="23" spans="1:8" s="18" customFormat="1" x14ac:dyDescent="0.2">
      <c r="A23" s="13" t="s">
        <v>13</v>
      </c>
      <c r="B23" s="14" t="s">
        <v>2966</v>
      </c>
      <c r="C23" s="23">
        <f>SUMIFS('BAL N GLR5'!$H:$H,'BAL N GLR5'!$I:$I,$A23,'BAL N GLR5'!$J:$J,"T")</f>
        <v>5090.05</v>
      </c>
      <c r="D23" s="17">
        <f t="shared" si="2"/>
        <v>1.2239960211141809</v>
      </c>
      <c r="E23" s="16">
        <f>SUMIFS(DONNEESCUM_N1_NOUVEAU[MONTANT],DONNEESCUM_N1_NOUVEAU[TL2],A23,DONNEESCUM_N1_NOUVEAU[MOIS],DONNÉES!$C$5,DONNEESCUM_N1_NOUVEAU[SOCIETE],"GLR5")</f>
        <v>4919.95</v>
      </c>
      <c r="F23" s="17">
        <f t="shared" si="2"/>
        <v>1.3281455584579491</v>
      </c>
      <c r="G23" s="16">
        <f t="shared" si="3"/>
        <v>170.10000000000036</v>
      </c>
      <c r="H23" s="17">
        <f t="shared" si="4"/>
        <v>3.4573522088639188</v>
      </c>
    </row>
    <row r="24" spans="1:8" s="18" customFormat="1" x14ac:dyDescent="0.2">
      <c r="A24" s="13" t="s">
        <v>15</v>
      </c>
      <c r="B24" s="14" t="s">
        <v>2969</v>
      </c>
      <c r="C24" s="23">
        <f>SUMIFS('BAL N GLR5'!$H:$H,'BAL N GLR5'!$I:$I,$A24,'BAL N GLR5'!$J:$J,"T")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SUMIFS(DONNEESCUM_N1_NOUVEAU[MONTANT],DONNEESCUM_N1_NOUVEAU[TL2],A24,DONNEESCUM_N1_NOUVEAU[MOIS],DONNÉES!$C$5,DONNEESCUM_N1_NOUVEAU[SOCIETE],"GLR5")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GLR5'!$H:$H,'BAL N GLR5'!$I:$I,$A25,'BAL N GLR5'!$J:$J,"T")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SUMIFS(DONNEESCUM_N1_NOUVEAU[MONTANT],DONNEESCUM_N1_NOUVEAU[TL2],A25,DONNEESCUM_N1_NOUVEAU[MOIS],DONNÉES!$C$5,DONNEESCUM_N1_NOUVEAU[SOCIETE],"GLR5")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99058.48</v>
      </c>
      <c r="D26" s="50">
        <f t="shared" si="2"/>
        <v>23.820431111210826</v>
      </c>
      <c r="E26" s="51">
        <f>SUM(E20:E25)</f>
        <v>99916.659999999989</v>
      </c>
      <c r="F26" s="50">
        <f t="shared" si="2"/>
        <v>26.972605045773431</v>
      </c>
      <c r="G26" s="51">
        <f>SUM(G20:G25)</f>
        <v>-858.17999999999756</v>
      </c>
      <c r="H26" s="50">
        <f t="shared" si="4"/>
        <v>-0.85889580376285368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GLR5'!$H:$H,'BAL N GLR5'!$I:$I,$A28,'BAL N GLR5'!$J:$J,"T")</f>
        <v>10700</v>
      </c>
      <c r="D28" s="17">
        <f t="shared" ref="D28:F33" si="5">(C28*100)/C$8</f>
        <v>2.5730115472189343</v>
      </c>
      <c r="E28" s="16">
        <f>SUMIFS(DONNEESCUM_N1_NOUVEAU[MONTANT],DONNEESCUM_N1_NOUVEAU[TL2],A28,DONNEESCUM_N1_NOUVEAU[MOIS],DONNÉES!$C$5,DONNEESCUM_N1_NOUVEAU[SOCIETE],"GLR5")</f>
        <v>140</v>
      </c>
      <c r="F28" s="17">
        <f t="shared" si="5"/>
        <v>3.7793143870184225E-2</v>
      </c>
      <c r="G28" s="16">
        <f>+C28-E28</f>
        <v>10560</v>
      </c>
      <c r="H28" s="17">
        <f t="shared" ref="H28:H33" si="6">IF(E28=0,0,G28/E28*100)</f>
        <v>7542.8571428571431</v>
      </c>
    </row>
    <row r="29" spans="1:8" s="18" customFormat="1" x14ac:dyDescent="0.2">
      <c r="A29" s="13" t="s">
        <v>20</v>
      </c>
      <c r="B29" s="14" t="s">
        <v>2972</v>
      </c>
      <c r="C29" s="23">
        <f>SUMIFS('BAL N GLR5'!$H:$H,'BAL N GLR5'!$I:$I,$A29,'BAL N GLR5'!$J:$J,"T")</f>
        <v>84.6</v>
      </c>
      <c r="D29" s="17">
        <f t="shared" si="5"/>
        <v>2.0343624008852507E-2</v>
      </c>
      <c r="E29" s="16">
        <f>SUMIFS(DONNEESCUM_N1_NOUVEAU[MONTANT],DONNEESCUM_N1_NOUVEAU[TL2],A29,DONNEESCUM_N1_NOUVEAU[MOIS],DONNÉES!$C$5,DONNEESCUM_N1_NOUVEAU[SOCIETE],"GLR5")</f>
        <v>82.3</v>
      </c>
      <c r="F29" s="17">
        <f t="shared" si="5"/>
        <v>2.2216969575115441E-2</v>
      </c>
      <c r="G29" s="16">
        <f>+C29-E29</f>
        <v>2.2999999999999972</v>
      </c>
      <c r="H29" s="17">
        <f t="shared" si="6"/>
        <v>2.7946537059538241</v>
      </c>
    </row>
    <row r="30" spans="1:8" s="18" customFormat="1" x14ac:dyDescent="0.2">
      <c r="A30" s="13" t="s">
        <v>21</v>
      </c>
      <c r="B30" s="14" t="s">
        <v>2973</v>
      </c>
      <c r="C30" s="23">
        <f>SUMIFS('BAL N GLR5'!$H:$H,'BAL N GLR5'!$I:$I,$A30,'BAL N GLR5'!$J:$J,"T")</f>
        <v>4606.21</v>
      </c>
      <c r="D30" s="17">
        <f t="shared" si="5"/>
        <v>1.1076478055061052</v>
      </c>
      <c r="E30" s="16">
        <f>SUMIFS(DONNEESCUM_N1_NOUVEAU[MONTANT],DONNEESCUM_N1_NOUVEAU[TL2],A30,DONNEESCUM_N1_NOUVEAU[MOIS],DONNÉES!$C$5,DONNEESCUM_N1_NOUVEAU[SOCIETE],"GLR5")</f>
        <v>3123.78</v>
      </c>
      <c r="F30" s="17">
        <f t="shared" si="5"/>
        <v>0.84326762113431475</v>
      </c>
      <c r="G30" s="16">
        <f>+C30-E30</f>
        <v>1482.4299999999998</v>
      </c>
      <c r="H30" s="17">
        <f t="shared" si="6"/>
        <v>47.45628693441919</v>
      </c>
    </row>
    <row r="31" spans="1:8" s="18" customFormat="1" x14ac:dyDescent="0.2">
      <c r="A31" s="13" t="s">
        <v>23</v>
      </c>
      <c r="B31" s="14" t="s">
        <v>2974</v>
      </c>
      <c r="C31" s="23">
        <f>SUMIFS('BAL N GLR5'!$H:$H,'BAL N GLR5'!$I:$I,$A31,'BAL N GLR5'!$J:$J,"T")</f>
        <v>3620.43</v>
      </c>
      <c r="D31" s="17">
        <f t="shared" si="5"/>
        <v>0.87059889681288272</v>
      </c>
      <c r="E31" s="16">
        <f>SUMIFS(DONNEESCUM_N1_NOUVEAU[MONTANT],DONNEESCUM_N1_NOUVEAU[TL2],A31,DONNEESCUM_N1_NOUVEAU[MOIS],DONNÉES!$C$5,DONNEESCUM_N1_NOUVEAU[SOCIETE],"GLR5")</f>
        <v>-2870.94</v>
      </c>
      <c r="F31" s="17">
        <f t="shared" si="5"/>
        <v>-0.77501320330476209</v>
      </c>
      <c r="G31" s="16">
        <f>+C31-E31</f>
        <v>6491.37</v>
      </c>
      <c r="H31" s="17">
        <f t="shared" si="6"/>
        <v>-226.10608372170788</v>
      </c>
    </row>
    <row r="32" spans="1:8" s="18" customFormat="1" x14ac:dyDescent="0.2">
      <c r="A32" s="13" t="s">
        <v>25</v>
      </c>
      <c r="B32" s="14" t="s">
        <v>2975</v>
      </c>
      <c r="C32" s="23">
        <f>SUMIFS('BAL N GLR5'!$H:$H,'BAL N GLR5'!$I:$I,$A32,'BAL N GLR5'!$J:$J,"T")</f>
        <v>8530.6</v>
      </c>
      <c r="D32" s="17">
        <f t="shared" si="5"/>
        <v>2.0513394677295178</v>
      </c>
      <c r="E32" s="16">
        <f>SUMIFS(DONNEESCUM_N1_NOUVEAU[MONTANT],DONNEESCUM_N1_NOUVEAU[TL2],A32,DONNEESCUM_N1_NOUVEAU[MOIS],DONNÉES!$C$5,DONNEESCUM_N1_NOUVEAU[SOCIETE],"GLR5")</f>
        <v>8968.77</v>
      </c>
      <c r="F32" s="17">
        <f t="shared" si="5"/>
        <v>2.4211286782042296</v>
      </c>
      <c r="G32" s="16">
        <f>+C32-E32</f>
        <v>-438.17000000000007</v>
      </c>
      <c r="H32" s="17">
        <f t="shared" si="6"/>
        <v>-4.8855082692498533</v>
      </c>
    </row>
    <row r="33" spans="1:8" ht="13.5" thickBot="1" x14ac:dyDescent="0.25">
      <c r="A33" s="7"/>
      <c r="B33" s="63" t="s">
        <v>2976</v>
      </c>
      <c r="C33" s="49">
        <f>SUM(C28:C32)</f>
        <v>27541.840000000004</v>
      </c>
      <c r="D33" s="50">
        <f t="shared" si="5"/>
        <v>6.6229413412762934</v>
      </c>
      <c r="E33" s="51">
        <f>SUM(E28:E32)</f>
        <v>9443.91</v>
      </c>
      <c r="F33" s="50">
        <f t="shared" si="5"/>
        <v>2.5493932094790819</v>
      </c>
      <c r="G33" s="51">
        <f>SUM(G28:G32)</f>
        <v>18097.93</v>
      </c>
      <c r="H33" s="50">
        <f t="shared" si="6"/>
        <v>191.63598551870996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GLR5'!$H:$H,'BAL N GLR5'!$I:$I,$A35,'BAL N GLR5'!$J:$J,"T")</f>
        <v>11073.28</v>
      </c>
      <c r="D35" s="17">
        <f t="shared" ref="D35:F42" si="7">(C35*100)/C$8</f>
        <v>2.6627735799615402</v>
      </c>
      <c r="E35" s="16">
        <f>SUMIFS(DONNEESCUM_N1_NOUVEAU[MONTANT],DONNEESCUM_N1_NOUVEAU[TL2],A35,DONNEESCUM_N1_NOUVEAU[MOIS],DONNÉES!$C$5,DONNEESCUM_N1_NOUVEAU[SOCIETE],"GLR5")</f>
        <v>2169.64</v>
      </c>
      <c r="F35" s="17">
        <f t="shared" si="7"/>
        <v>0.58569654761790357</v>
      </c>
      <c r="G35" s="16">
        <f t="shared" ref="G35:G41" si="8">+C35-E35</f>
        <v>8903.6400000000012</v>
      </c>
      <c r="H35" s="17">
        <f t="shared" ref="H35:H42" si="9">IF(E35=0,0,G35/E35*100)</f>
        <v>410.37407127449728</v>
      </c>
    </row>
    <row r="36" spans="1:8" s="18" customFormat="1" x14ac:dyDescent="0.2">
      <c r="A36" s="13" t="s">
        <v>30</v>
      </c>
      <c r="B36" s="14" t="s">
        <v>145</v>
      </c>
      <c r="C36" s="23">
        <f>SUMIFS('BAL N GLR5'!$H:$H,'BAL N GLR5'!$I:$I,$A36,'BAL N GLR5'!$J:$J,"T")</f>
        <v>16824.8</v>
      </c>
      <c r="D36" s="17">
        <f t="shared" si="7"/>
        <v>4.0458322130513196</v>
      </c>
      <c r="E36" s="16">
        <f>SUMIFS(DONNEESCUM_N1_NOUVEAU[MONTANT],DONNEESCUM_N1_NOUVEAU[TL2],A36,DONNEESCUM_N1_NOUVEAU[MOIS],DONNÉES!$C$5,DONNEESCUM_N1_NOUVEAU[SOCIETE],"GLR5")</f>
        <v>14946.67</v>
      </c>
      <c r="F36" s="17">
        <f t="shared" si="7"/>
        <v>4.0348689263583317</v>
      </c>
      <c r="G36" s="16">
        <f t="shared" si="8"/>
        <v>1878.1299999999992</v>
      </c>
      <c r="H36" s="17">
        <f t="shared" si="9"/>
        <v>12.565541354696391</v>
      </c>
    </row>
    <row r="37" spans="1:8" s="18" customFormat="1" x14ac:dyDescent="0.2">
      <c r="A37" s="13" t="s">
        <v>32</v>
      </c>
      <c r="B37" s="14" t="s">
        <v>19</v>
      </c>
      <c r="C37" s="23">
        <f>SUMIFS('BAL N GLR5'!$H:$H,'BAL N GLR5'!$I:$I,$A37,'BAL N GLR5'!$J:$J,"T")</f>
        <v>8325.27</v>
      </c>
      <c r="D37" s="17">
        <f t="shared" si="7"/>
        <v>2.0019640975434929</v>
      </c>
      <c r="E37" s="16">
        <f>SUMIFS(DONNEESCUM_N1_NOUVEAU[MONTANT],DONNEESCUM_N1_NOUVEAU[TL2],A37,DONNEESCUM_N1_NOUVEAU[MOIS],DONNÉES!$C$5,DONNEESCUM_N1_NOUVEAU[SOCIETE],"GLR5")</f>
        <v>6675.63</v>
      </c>
      <c r="F37" s="17">
        <f t="shared" si="7"/>
        <v>1.8020931786722707</v>
      </c>
      <c r="G37" s="16">
        <f t="shared" si="8"/>
        <v>1649.6400000000003</v>
      </c>
      <c r="H37" s="17">
        <f t="shared" si="9"/>
        <v>24.711375555565546</v>
      </c>
    </row>
    <row r="38" spans="1:8" s="18" customFormat="1" x14ac:dyDescent="0.2">
      <c r="A38" s="13" t="s">
        <v>34</v>
      </c>
      <c r="B38" s="14" t="s">
        <v>28</v>
      </c>
      <c r="C38" s="23">
        <f>SUMIFS('BAL N GLR5'!$H:$H,'BAL N GLR5'!$I:$I,$A38,'BAL N GLR5'!$J:$J,"T")</f>
        <v>12046.4</v>
      </c>
      <c r="D38" s="17">
        <f t="shared" si="7"/>
        <v>2.8967781591045019</v>
      </c>
      <c r="E38" s="16">
        <f>SUMIFS(DONNEESCUM_N1_NOUVEAU[MONTANT],DONNEESCUM_N1_NOUVEAU[TL2],A38,DONNEESCUM_N1_NOUVEAU[MOIS],DONNÉES!$C$5,DONNEESCUM_N1_NOUVEAU[SOCIETE],"GLR5")</f>
        <v>12395.8</v>
      </c>
      <c r="F38" s="17">
        <f t="shared" si="7"/>
        <v>3.3462589484716401</v>
      </c>
      <c r="G38" s="16">
        <f t="shared" si="8"/>
        <v>-349.39999999999964</v>
      </c>
      <c r="H38" s="17">
        <f t="shared" si="9"/>
        <v>-2.8186966553187345</v>
      </c>
    </row>
    <row r="39" spans="1:8" s="18" customFormat="1" x14ac:dyDescent="0.2">
      <c r="A39" s="13" t="s">
        <v>2978</v>
      </c>
      <c r="B39" s="14" t="s">
        <v>2980</v>
      </c>
      <c r="C39" s="23">
        <f>SUMIFS('BAL N GLR5'!$H:$H,'BAL N GLR5'!$I:$I,$A39,'BAL N GLR5'!$J:$J,"T")</f>
        <v>2745</v>
      </c>
      <c r="D39" s="17">
        <f t="shared" si="7"/>
        <v>0.66008567262766116</v>
      </c>
      <c r="E39" s="16">
        <f>SUMIFS(DONNEESCUM_N1_NOUVEAU[MONTANT],DONNEESCUM_N1_NOUVEAU[TL2],A39,DONNEESCUM_N1_NOUVEAU[MOIS],DONNÉES!$C$5,DONNEESCUM_N1_NOUVEAU[SOCIETE],"GLR5")</f>
        <v>5008.83</v>
      </c>
      <c r="F39" s="17">
        <f t="shared" si="7"/>
        <v>1.352138805794963</v>
      </c>
      <c r="G39" s="16">
        <f t="shared" si="8"/>
        <v>-2263.83</v>
      </c>
      <c r="H39" s="17">
        <f t="shared" si="9"/>
        <v>-45.196782482136541</v>
      </c>
    </row>
    <row r="40" spans="1:8" s="18" customFormat="1" x14ac:dyDescent="0.2">
      <c r="A40" s="13" t="s">
        <v>2979</v>
      </c>
      <c r="B40" s="14" t="s">
        <v>2981</v>
      </c>
      <c r="C40" s="23">
        <f>SUMIFS('BAL N GLR5'!$H:$H,'BAL N GLR5'!$I:$I,$A40,'BAL N GLR5'!$J:$J,"T")</f>
        <v>274.13</v>
      </c>
      <c r="D40" s="17">
        <f t="shared" si="7"/>
        <v>6.591959396627349E-2</v>
      </c>
      <c r="E40" s="16">
        <f>SUMIFS(DONNEESCUM_N1_NOUVEAU[MONTANT],DONNEESCUM_N1_NOUVEAU[TL2],A40,DONNEESCUM_N1_NOUVEAU[MOIS],DONNÉES!$C$5,DONNEESCUM_N1_NOUVEAU[SOCIETE],"GLR5")</f>
        <v>0</v>
      </c>
      <c r="F40" s="17">
        <f t="shared" si="7"/>
        <v>0</v>
      </c>
      <c r="G40" s="16">
        <f t="shared" si="8"/>
        <v>274.13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GLR5'!$H:$H,'BAL N GLR5'!$I:$I,$A41,'BAL N GLR5'!$J:$J,"T")</f>
        <v>1308.1300000000001</v>
      </c>
      <c r="D41" s="17">
        <f t="shared" si="7"/>
        <v>0.31456388740780417</v>
      </c>
      <c r="E41" s="16">
        <f>SUMIFS(DONNEESCUM_N1_NOUVEAU[MONTANT],DONNEESCUM_N1_NOUVEAU[TL2],A41,DONNEESCUM_N1_NOUVEAU[MOIS],DONNÉES!$C$5,DONNEESCUM_N1_NOUVEAU[SOCIETE],"GLR5")</f>
        <v>879.6</v>
      </c>
      <c r="F41" s="17">
        <f t="shared" si="7"/>
        <v>0.2374489239158146</v>
      </c>
      <c r="G41" s="16">
        <f t="shared" si="8"/>
        <v>428.53000000000009</v>
      </c>
      <c r="H41" s="17">
        <f t="shared" si="9"/>
        <v>48.718735788995005</v>
      </c>
    </row>
    <row r="42" spans="1:8" ht="13.5" thickBot="1" x14ac:dyDescent="0.25">
      <c r="A42" s="13"/>
      <c r="B42" s="63" t="s">
        <v>2984</v>
      </c>
      <c r="C42" s="49">
        <f>+SUM(C35:C41)</f>
        <v>52597.01</v>
      </c>
      <c r="D42" s="50">
        <f t="shared" si="7"/>
        <v>12.647917203662594</v>
      </c>
      <c r="E42" s="51">
        <f>+SUM(E35:E41)</f>
        <v>42076.170000000006</v>
      </c>
      <c r="F42" s="50">
        <f t="shared" si="7"/>
        <v>11.358505330830926</v>
      </c>
      <c r="G42" s="51">
        <f>+SUM(G35:G41)</f>
        <v>10520.84</v>
      </c>
      <c r="H42" s="50">
        <f t="shared" si="9"/>
        <v>25.00427201430168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126343.07000000004</v>
      </c>
      <c r="D44" s="71">
        <f>(C44*100)/C$8</f>
        <v>30.381511964587869</v>
      </c>
      <c r="E44" s="72">
        <f>E18-E26-E33-E42</f>
        <v>121214.42000000004</v>
      </c>
      <c r="F44" s="71">
        <f>(E44*100)/E$8</f>
        <v>32.721957244292412</v>
      </c>
      <c r="G44" s="72">
        <f>G18-G26-G33-G42</f>
        <v>5128.6499999999978</v>
      </c>
      <c r="H44" s="71">
        <f>IF(E44=0,0,G44/E44*100)</f>
        <v>4.2310560080228043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GLR5'!$H:$H,'BAL N GLR5'!$I:$I,$A46,'BAL N GLR5'!$J:$J,"T")</f>
        <v>65999.259999999995</v>
      </c>
      <c r="D46" s="17">
        <f t="shared" ref="D46:F49" si="10">(C46*100)/C$8</f>
        <v>15.870734400738755</v>
      </c>
      <c r="E46" s="16">
        <f>SUMIFS(DONNEESCUM_N1_NOUVEAU[MONTANT],DONNEESCUM_N1_NOUVEAU[TL2],A46,DONNEESCUM_N1_NOUVEAU[MOIS],DONNÉES!$C$5,DONNEESCUM_N1_NOUVEAU[SOCIETE],"GLR5")</f>
        <v>58602.82</v>
      </c>
      <c r="F46" s="17">
        <f t="shared" si="10"/>
        <v>15.819891481846495</v>
      </c>
      <c r="G46" s="16">
        <f>+C46-E46</f>
        <v>7396.4399999999951</v>
      </c>
      <c r="H46" s="17">
        <f>IF(E46=0,0,G46/E46*100)</f>
        <v>12.621303889471521</v>
      </c>
    </row>
    <row r="47" spans="1:8" s="18" customFormat="1" x14ac:dyDescent="0.2">
      <c r="A47" s="13" t="s">
        <v>35</v>
      </c>
      <c r="B47" s="14" t="s">
        <v>2986</v>
      </c>
      <c r="C47" s="23">
        <f>SUMIFS('BAL N GLR5'!$H:$H,'BAL N GLR5'!$I:$I,$A47,'BAL N GLR5'!$J:$J,"T")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SUMIFS(DONNEESCUM_N1_NOUVEAU[MONTANT],DONNEESCUM_N1_NOUVEAU[TL2],A47,DONNEESCUM_N1_NOUVEAU[MOIS],DONNÉES!$C$5,DONNEESCUM_N1_NOUVEAU[SOCIETE],"GLR5")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GLR5'!$H:$H,'BAL N GLR5'!$I:$I,$A48,'BAL N GLR5'!$J:$J,"T")</f>
        <v>-1061.6500000000001</v>
      </c>
      <c r="D48" s="17">
        <f t="shared" si="10"/>
        <v>-0.25529324384158708</v>
      </c>
      <c r="E48" s="16">
        <f>SUMIFS(DONNEESCUM_N1_NOUVEAU[MONTANT],DONNEESCUM_N1_NOUVEAU[TL2],A48,DONNEESCUM_N1_NOUVEAU[MOIS],DONNÉES!$C$5,DONNEESCUM_N1_NOUVEAU[SOCIETE],"GLR5")</f>
        <v>-905.28</v>
      </c>
      <c r="F48" s="17">
        <f t="shared" si="10"/>
        <v>-0.24438126630571694</v>
      </c>
      <c r="G48" s="16">
        <f>+C48-E48</f>
        <v>-156.37000000000012</v>
      </c>
      <c r="H48" s="17">
        <f>IF(E48=0,0,G48/E48*100)</f>
        <v>17.273108872393088</v>
      </c>
    </row>
    <row r="49" spans="1:8" ht="13.5" thickBot="1" x14ac:dyDescent="0.25">
      <c r="A49" s="13"/>
      <c r="B49" s="63" t="s">
        <v>2988</v>
      </c>
      <c r="C49" s="49">
        <f>SUM(C46:C48)</f>
        <v>64937.609999999993</v>
      </c>
      <c r="D49" s="50">
        <f t="shared" si="10"/>
        <v>15.615441156897168</v>
      </c>
      <c r="E49" s="51">
        <f>SUM(E46:E48)</f>
        <v>57697.54</v>
      </c>
      <c r="F49" s="50">
        <f t="shared" si="10"/>
        <v>15.575510215540778</v>
      </c>
      <c r="G49" s="51">
        <f>SUM(G46:G48)</f>
        <v>7240.0699999999952</v>
      </c>
      <c r="H49" s="50">
        <f>IF(E49=0,0,G49/E49*100)</f>
        <v>12.548316618004849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GLR5'!$H:$H,'BAL N GLR5'!$I:$I,$A51,'BAL N GLR5'!$J:$J,"T")</f>
        <v>789</v>
      </c>
      <c r="D51" s="17">
        <f t="shared" ref="D51:F59" si="11">(C51*100)/C$8</f>
        <v>0.18972954306128401</v>
      </c>
      <c r="E51" s="16">
        <f>SUMIFS(DONNEESCUM_N1_NOUVEAU[MONTANT],DONNEESCUM_N1_NOUVEAU[TL2],A51,DONNEESCUM_N1_NOUVEAU[MOIS],DONNÉES!$C$5,DONNEESCUM_N1_NOUVEAU[SOCIETE],"GLR5")</f>
        <v>789</v>
      </c>
      <c r="F51" s="17">
        <f t="shared" si="11"/>
        <v>0.2129913608112525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GLR5'!$H:$H,'BAL N GLR5'!$I:$I,$A52,'BAL N GLR5'!$J:$J,"T")</f>
        <v>21289.41</v>
      </c>
      <c r="D52" s="17">
        <f t="shared" si="11"/>
        <v>5.1194296975213316</v>
      </c>
      <c r="E52" s="16">
        <f>SUMIFS(DONNEESCUM_N1_NOUVEAU[MONTANT],DONNEESCUM_N1_NOUVEAU[TL2],A52,DONNEESCUM_N1_NOUVEAU[MOIS],DONNÉES!$C$5,DONNEESCUM_N1_NOUVEAU[SOCIETE],"GLR5")</f>
        <v>18904.14</v>
      </c>
      <c r="F52" s="17">
        <f t="shared" si="11"/>
        <v>5.1031920197293168</v>
      </c>
      <c r="G52" s="16">
        <f t="shared" si="12"/>
        <v>2385.2700000000004</v>
      </c>
      <c r="H52" s="17">
        <f t="shared" si="13"/>
        <v>12.617712310636719</v>
      </c>
    </row>
    <row r="53" spans="1:8" s="18" customFormat="1" x14ac:dyDescent="0.2">
      <c r="A53" s="13" t="s">
        <v>44</v>
      </c>
      <c r="B53" s="14" t="s">
        <v>62</v>
      </c>
      <c r="C53" s="23">
        <f>SUMIFS('BAL N GLR5'!$H:$H,'BAL N GLR5'!$I:$I,$A53,'BAL N GLR5'!$J:$J,"T")</f>
        <v>1621.29</v>
      </c>
      <c r="D53" s="17">
        <f t="shared" si="11"/>
        <v>0.38986896181220426</v>
      </c>
      <c r="E53" s="16">
        <f>SUMIFS(DONNEESCUM_N1_NOUVEAU[MONTANT],DONNEESCUM_N1_NOUVEAU[TL2],A53,DONNEESCUM_N1_NOUVEAU[MOIS],DONNÉES!$C$5,DONNEESCUM_N1_NOUVEAU[SOCIETE],"GLR5")</f>
        <v>1460.33</v>
      </c>
      <c r="F53" s="17">
        <f t="shared" si="11"/>
        <v>0.39421758419961517</v>
      </c>
      <c r="G53" s="16">
        <f t="shared" si="12"/>
        <v>160.96000000000004</v>
      </c>
      <c r="H53" s="17">
        <f t="shared" si="13"/>
        <v>11.02216622270309</v>
      </c>
    </row>
    <row r="54" spans="1:8" s="18" customFormat="1" x14ac:dyDescent="0.2">
      <c r="A54" s="13" t="s">
        <v>45</v>
      </c>
      <c r="B54" s="14" t="s">
        <v>41</v>
      </c>
      <c r="C54" s="23">
        <f>SUMIFS('BAL N GLR5'!$H:$H,'BAL N GLR5'!$I:$I,$A54,'BAL N GLR5'!$J:$J,"T")</f>
        <v>2023.17</v>
      </c>
      <c r="D54" s="17">
        <f t="shared" si="11"/>
        <v>0.48650838990532064</v>
      </c>
      <c r="E54" s="16">
        <f>SUMIFS(DONNEESCUM_N1_NOUVEAU[MONTANT],DONNEESCUM_N1_NOUVEAU[TL2],A54,DONNEESCUM_N1_NOUVEAU[MOIS],DONNÉES!$C$5,DONNEESCUM_N1_NOUVEAU[SOCIETE],"GLR5")</f>
        <v>1845.97</v>
      </c>
      <c r="F54" s="17">
        <f t="shared" si="11"/>
        <v>0.49832149850031404</v>
      </c>
      <c r="G54" s="16">
        <f t="shared" si="12"/>
        <v>177.20000000000005</v>
      </c>
      <c r="H54" s="17">
        <f t="shared" si="13"/>
        <v>9.5992892625557324</v>
      </c>
    </row>
    <row r="55" spans="1:8" s="18" customFormat="1" x14ac:dyDescent="0.2">
      <c r="A55" s="13" t="s">
        <v>47</v>
      </c>
      <c r="B55" s="14" t="s">
        <v>43</v>
      </c>
      <c r="C55" s="23">
        <f>SUMIFS('BAL N GLR5'!$H:$H,'BAL N GLR5'!$I:$I,$A55,'BAL N GLR5'!$J:$J,"T")</f>
        <v>3480.17</v>
      </c>
      <c r="D55" s="17">
        <f t="shared" si="11"/>
        <v>0.83687080339111386</v>
      </c>
      <c r="E55" s="16">
        <f>SUMIFS(DONNEESCUM_N1_NOUVEAU[MONTANT],DONNEESCUM_N1_NOUVEAU[TL2],A55,DONNEESCUM_N1_NOUVEAU[MOIS],DONNÉES!$C$5,DONNEESCUM_N1_NOUVEAU[SOCIETE],"GLR5")</f>
        <v>3665.93</v>
      </c>
      <c r="F55" s="17">
        <f t="shared" si="11"/>
        <v>0.98962157077160318</v>
      </c>
      <c r="G55" s="16">
        <f t="shared" si="12"/>
        <v>-185.75999999999976</v>
      </c>
      <c r="H55" s="17">
        <f t="shared" si="13"/>
        <v>-5.0671998647000835</v>
      </c>
    </row>
    <row r="56" spans="1:8" s="18" customFormat="1" x14ac:dyDescent="0.2">
      <c r="A56" s="13" t="s">
        <v>48</v>
      </c>
      <c r="B56" s="14" t="s">
        <v>46</v>
      </c>
      <c r="C56" s="23">
        <f>SUMIFS('BAL N GLR5'!$H:$H,'BAL N GLR5'!$I:$I,$A56,'BAL N GLR5'!$J:$J,"T")</f>
        <v>10063.49</v>
      </c>
      <c r="D56" s="17">
        <f t="shared" si="11"/>
        <v>2.4199510257310535</v>
      </c>
      <c r="E56" s="16">
        <f>SUMIFS(DONNEESCUM_N1_NOUVEAU[MONTANT],DONNEESCUM_N1_NOUVEAU[TL2],A56,DONNEESCUM_N1_NOUVEAU[MOIS],DONNÉES!$C$5,DONNEESCUM_N1_NOUVEAU[SOCIETE],"GLR5")</f>
        <v>10063.49</v>
      </c>
      <c r="F56" s="17">
        <f t="shared" si="11"/>
        <v>2.7166494671868588</v>
      </c>
      <c r="G56" s="16">
        <f t="shared" si="12"/>
        <v>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GLR5'!$H:$H,'BAL N GLR5'!$I:$I,$A57,'BAL N GLR5'!$J:$J,"T")</f>
        <v>696.65</v>
      </c>
      <c r="D57" s="17">
        <f t="shared" si="11"/>
        <v>0.16752228919346454</v>
      </c>
      <c r="E57" s="16">
        <f>SUMIFS(DONNEESCUM_N1_NOUVEAU[MONTANT],DONNEESCUM_N1_NOUVEAU[TL2],A57,DONNEESCUM_N1_NOUVEAU[MOIS],DONNÉES!$C$5,DONNEESCUM_N1_NOUVEAU[SOCIETE],"GLR5")</f>
        <v>0</v>
      </c>
      <c r="F57" s="17">
        <f t="shared" si="11"/>
        <v>0</v>
      </c>
      <c r="G57" s="16">
        <f t="shared" si="12"/>
        <v>696.65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GLR5'!$H:$H,'BAL N GLR5'!$I:$I,$A58,'BAL N GLR5'!$J:$J,"T")</f>
        <v>276.39999999999998</v>
      </c>
      <c r="D58" s="17">
        <f t="shared" si="11"/>
        <v>6.6465457163674135E-2</v>
      </c>
      <c r="E58" s="16">
        <f>SUMIFS(DONNEESCUM_N1_NOUVEAU[MONTANT],DONNEESCUM_N1_NOUVEAU[TL2],A58,DONNEESCUM_N1_NOUVEAU[MOIS],DONNÉES!$C$5,DONNEESCUM_N1_NOUVEAU[SOCIETE],"GLR5")</f>
        <v>1259.1300000000001</v>
      </c>
      <c r="F58" s="17">
        <f t="shared" si="11"/>
        <v>0.33990343743760759</v>
      </c>
      <c r="G58" s="16">
        <f t="shared" si="12"/>
        <v>-982.73000000000013</v>
      </c>
      <c r="H58" s="17">
        <f t="shared" si="13"/>
        <v>-78.04833496144164</v>
      </c>
    </row>
    <row r="59" spans="1:8" ht="13.5" thickBot="1" x14ac:dyDescent="0.25">
      <c r="A59" s="13"/>
      <c r="B59" s="63" t="s">
        <v>2994</v>
      </c>
      <c r="C59" s="49">
        <f>SUM(C51:C58)</f>
        <v>40239.58</v>
      </c>
      <c r="D59" s="50">
        <f t="shared" si="11"/>
        <v>9.676346167779446</v>
      </c>
      <c r="E59" s="51">
        <f>SUM(E51:E58)</f>
        <v>37987.99</v>
      </c>
      <c r="F59" s="50">
        <f t="shared" si="11"/>
        <v>10.254896938636568</v>
      </c>
      <c r="G59" s="51">
        <f>SUM(G51:G58)</f>
        <v>2251.5900000000006</v>
      </c>
      <c r="H59" s="50">
        <f t="shared" si="13"/>
        <v>5.9271101208566197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284374.52</v>
      </c>
      <c r="D61" s="71">
        <f>(C61*100)/C$8</f>
        <v>68.383076980826331</v>
      </c>
      <c r="E61" s="72">
        <f>E59+E49+E42+E33+E26</f>
        <v>247122.27000000002</v>
      </c>
      <c r="F61" s="71">
        <f>(E61*100)/E$8</f>
        <v>66.710910740260786</v>
      </c>
      <c r="G61" s="72">
        <f>G59+G49+G42+G33+G26</f>
        <v>37252.249999999993</v>
      </c>
      <c r="H61" s="71">
        <f>IF(E61=0,0,G61/E61*100)</f>
        <v>15.074420447821229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GLR5'!$H:$H,'BAL N GLR5'!$I:$I,$A63,'BAL N GLR5'!$J:$J,"T")</f>
        <v>9953.01</v>
      </c>
      <c r="D63" s="17">
        <f t="shared" ref="D63:F65" si="14">(C63*100)/C$8</f>
        <v>2.3933840803350956</v>
      </c>
      <c r="E63" s="16">
        <f>-SUMIFS(DONNEESCUM_N1_NOUVEAU[MONTANT],DONNEESCUM_N1_NOUVEAU[TL2],A63,DONNEESCUM_N1_NOUVEAU[MOIS],DONNÉES!$C$5,DONNEESCUM_N1_NOUVEAU[SOCIETE],"GLR5")</f>
        <v>7645.14</v>
      </c>
      <c r="F63" s="17">
        <f t="shared" si="14"/>
        <v>2.063813399483573</v>
      </c>
      <c r="G63" s="16">
        <f>+C63-E63</f>
        <v>2307.87</v>
      </c>
      <c r="H63" s="17">
        <f>IF(E63=0,0,G63/E63*100)</f>
        <v>30.187413180137966</v>
      </c>
    </row>
    <row r="64" spans="1:8" s="18" customFormat="1" x14ac:dyDescent="0.2">
      <c r="A64" s="13" t="s">
        <v>2992</v>
      </c>
      <c r="B64" s="68" t="s">
        <v>65</v>
      </c>
      <c r="C64" s="23">
        <f>SUMIFS('BAL N GLR5'!$H:$H,'BAL N GLR5'!$I:$I,$A64,'BAL N GLR5'!$J:$J,"T")</f>
        <v>5244.59</v>
      </c>
      <c r="D64" s="17">
        <f t="shared" si="14"/>
        <v>1.2611580028438272</v>
      </c>
      <c r="E64" s="24">
        <f>SUMIFS(DONNEESCUM_N1_NOUVEAU[MONTANT],DONNEESCUM_N1_NOUVEAU[TL2],A64,DONNEESCUM_N1_NOUVEAU[MOIS],DONNÉES!$C$5,DONNEESCUM_N1_NOUVEAU[SOCIETE],"GLR5")</f>
        <v>7852.76</v>
      </c>
      <c r="F64" s="17">
        <f t="shared" si="14"/>
        <v>2.1198606318430562</v>
      </c>
      <c r="G64" s="16">
        <f>+C64-E64</f>
        <v>-2608.17</v>
      </c>
      <c r="H64" s="17">
        <f>IF(E64=0,0,G64/E64*100)</f>
        <v>-33.213417957507936</v>
      </c>
    </row>
    <row r="65" spans="1:9" s="59" customFormat="1" ht="13.5" x14ac:dyDescent="0.2">
      <c r="A65" s="13"/>
      <c r="B65" s="62" t="s">
        <v>53</v>
      </c>
      <c r="C65" s="67">
        <f>+C63-C64</f>
        <v>4708.42</v>
      </c>
      <c r="D65" s="56">
        <f t="shared" si="14"/>
        <v>1.1322260774912685</v>
      </c>
      <c r="E65" s="57">
        <f>+E63-E64</f>
        <v>-207.61999999999989</v>
      </c>
      <c r="F65" s="56">
        <f t="shared" si="14"/>
        <v>-5.6047232359483175E-2</v>
      </c>
      <c r="G65" s="58">
        <f>+G63-G64</f>
        <v>4916.04</v>
      </c>
      <c r="H65" s="56">
        <f>IF(E65=0,0,G65/E65*100)</f>
        <v>-2367.8065696946355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GLR5'!$H:$H,'BAL N GLR5'!$I:$I,$A67,'BAL N GLR5'!$J:$J,"T")</f>
        <v>0</v>
      </c>
      <c r="D67" s="17">
        <f>(C67*100)/C$8</f>
        <v>0</v>
      </c>
      <c r="E67" s="16">
        <f>-SUMIFS(DONNEESCUM_N1_NOUVEAU[MONTANT],DONNEESCUM_N1_NOUVEAU[TL2],A67,DONNEESCUM_N1_NOUVEAU[MOIS],DONNÉES!$C$5,DONNEESCUM_N1_NOUVEAU[SOCIETE],"GLR5")</f>
        <v>0</v>
      </c>
      <c r="F67" s="17">
        <f>(E67*100)/E$8</f>
        <v>0</v>
      </c>
      <c r="G67" s="16">
        <f>+C67-E67</f>
        <v>0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25874.300000000003</v>
      </c>
      <c r="D69" s="10">
        <f>(C69*100)/C$8</f>
        <v>6.2219507174025122</v>
      </c>
      <c r="E69" s="9">
        <f>E18-E61+E65+E67</f>
        <v>25321.270000000015</v>
      </c>
      <c r="F69" s="10">
        <f>(E69*100)/E$8</f>
        <v>6.8355028577555723</v>
      </c>
      <c r="G69" s="9">
        <f>G18-G61+G65+G67</f>
        <v>553.0300000000052</v>
      </c>
      <c r="H69" s="10">
        <f>IF(E69=0,0,G69/E69*100)</f>
        <v>2.1840531695290357</v>
      </c>
    </row>
    <row r="70" spans="1:9" ht="13.5" thickBot="1" x14ac:dyDescent="0.25">
      <c r="A70" s="13"/>
      <c r="B70" s="63" t="s">
        <v>3034</v>
      </c>
      <c r="C70" s="49">
        <f>+C69-C67+C57+C56</f>
        <v>36634.44</v>
      </c>
      <c r="D70" s="50">
        <f>(C70*100)/C$8</f>
        <v>8.8094240323270281</v>
      </c>
      <c r="E70" s="49">
        <f>+E69-E67+E57+E56</f>
        <v>35384.760000000017</v>
      </c>
      <c r="F70" s="50">
        <f>(E70*100)/E$8</f>
        <v>9.5521523249424334</v>
      </c>
      <c r="G70" s="49">
        <f>+G69-G67+G57+G56</f>
        <v>1249.6800000000053</v>
      </c>
      <c r="H70" s="50">
        <f>IF(E70=0,0,G70/E70*100)</f>
        <v>3.5316899139629738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GLR5'!$H:$H,'BAL N GLR5'!$I:$I,$A72,'BAL N GLR5'!$J:$J,"T")</f>
        <v>1</v>
      </c>
      <c r="D72" s="17">
        <f>(C72*100)/C$8</f>
        <v>2.4046836889896579E-4</v>
      </c>
      <c r="E72" s="16">
        <f>-SUMIFS(DONNEESCUM_N1_NOUVEAU[MONTANT],DONNEESCUM_N1_NOUVEAU[TL2],A72,DONNEESCUM_N1_NOUVEAU[MOIS],DONNÉES!$C$5,DONNEESCUM_N1_NOUVEAU[SOCIETE],"GLR5")</f>
        <v>0</v>
      </c>
      <c r="F72" s="17">
        <f>(E72*100)/E$8</f>
        <v>0</v>
      </c>
      <c r="G72" s="16">
        <f>+C72-E72</f>
        <v>1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GLR5'!$H:$H,'BAL N GLR5'!$I:$I,$A74,'BAL N GLR5'!$J:$J,"T")</f>
        <v>27007</v>
      </c>
      <c r="D74" s="10">
        <f>(C74*100)/C$8</f>
        <v>6.4943292388543696</v>
      </c>
      <c r="E74" s="9">
        <f>SUMIFS(DONNEESCUM_N1_NOUVEAU[MONTANT],DONNEESCUM_N1_NOUVEAU[TL2],A74,DONNEESCUM_N1_NOUVEAU[MOIS],DONNÉES!$C$5,DONNEESCUM_N1_NOUVEAU[SOCIETE],"GLR5")</f>
        <v>26033</v>
      </c>
      <c r="F74" s="10">
        <f>(E74*100)/E$8</f>
        <v>7.0276351026607564</v>
      </c>
      <c r="G74" s="9">
        <f>+C74-E74</f>
        <v>974</v>
      </c>
      <c r="H74" s="10">
        <f>IF(E74=0,0,G74/E74*100)</f>
        <v>3.7414051396304688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-1131.6999999999971</v>
      </c>
      <c r="D76" s="71">
        <f>(C76*100)/C$8</f>
        <v>-0.27213805308295891</v>
      </c>
      <c r="E76" s="72">
        <f>E69-E74+E72</f>
        <v>-711.72999999998501</v>
      </c>
      <c r="F76" s="71">
        <f>(E76*100)/E$8</f>
        <v>-0.19213224490518321</v>
      </c>
      <c r="G76" s="72">
        <f>G69-G74+G72</f>
        <v>-419.9699999999948</v>
      </c>
      <c r="H76" s="71">
        <f>IF(E76=0,0,G76/E76*100)</f>
        <v>59.006926784033787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VLOOKUP(PARAMETRES!$C$2,DONNÉES!$J$188:$P$199,2,FALSE)</f>
        <v>24859</v>
      </c>
      <c r="D78" s="324"/>
      <c r="E78" s="323">
        <f>VLOOKUP(PARAMETRES!$C$2,DONNÉES!$J$188:$P$199,3,FALSE)</f>
        <v>23552</v>
      </c>
      <c r="F78" s="324"/>
      <c r="G78" s="325">
        <f>C78-E78</f>
        <v>1307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VLOOKUP(PARAMETRES!$C$2,DONNÉES!$J$284:$P$295,2,FALSE)</f>
        <v>17.13</v>
      </c>
      <c r="D80" s="316"/>
      <c r="E80" s="315">
        <f>VLOOKUP(PARAMETRES!$C$2,DONNÉES!$J$284:$P$295,3,FALSE)</f>
        <v>16.05</v>
      </c>
      <c r="F80" s="316"/>
      <c r="G80" s="317">
        <f>(C80-E80)/E80</f>
        <v>6.7289719626168115E-2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B20D-DE2C-4C7F-8CD2-004D288431F1}">
  <sheetPr>
    <tabColor rgb="FFFFC0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94DAC-40F0-4445-A39A-5D93720FEA52}">
  <sheetPr>
    <tabColor rgb="FFFFC000"/>
    <pageSetUpPr fitToPage="1"/>
  </sheetPr>
  <dimension ref="A1:I81"/>
  <sheetViews>
    <sheetView showGridLines="0" topLeftCell="B5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6894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3001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HTR8'!$H:$H,'BAL N HTR8'!$I:$I,$A8,'BAL N HTR8'!$J:$J,"T")</f>
        <v>206795.07</v>
      </c>
      <c r="D8" s="71">
        <f>(C8*100)/C$8</f>
        <v>100</v>
      </c>
      <c r="E8" s="72">
        <f>-SUMIFS(DONNEESCUM_N1_NOUVEAU[MONTANT],DONNEESCUM_N1_NOUVEAU[TL2],A8,DONNEESCUM_N1_NOUVEAU[MOIS],DONNÉES!$C$5,DONNEESCUM_N1_NOUVEAU[SOCIETE],"HTR8")</f>
        <v>191414.29</v>
      </c>
      <c r="F8" s="71">
        <f>(E8*100)/E$8</f>
        <v>100</v>
      </c>
      <c r="G8" s="72">
        <f>+C8-E8</f>
        <v>15380.779999999999</v>
      </c>
      <c r="H8" s="71">
        <f>IF(E8=0,0,G8/E8*100)</f>
        <v>8.0353352928874848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HTR8'!$H:$H,'BAL N HTR8'!$I:$I,$A10,'BAL N HTR8'!$J:$J,"T")</f>
        <v>47716.75</v>
      </c>
      <c r="D10" s="17">
        <f t="shared" ref="D10:F16" si="0">(C10*100)/C$8</f>
        <v>23.07441371788989</v>
      </c>
      <c r="E10" s="16">
        <f>SUMIFS(DONNEESCUM_N1_NOUVEAU[MONTANT],DONNEESCUM_N1_NOUVEAU[TL2],A10,DONNEESCUM_N1_NOUVEAU[MOIS],DONNÉES!$C$5,DONNEESCUM_N1_NOUVEAU[SOCIETE],"HTR8")</f>
        <v>43012.07</v>
      </c>
      <c r="F10" s="17">
        <f t="shared" si="0"/>
        <v>22.470668203507689</v>
      </c>
      <c r="G10" s="16">
        <f>+C10-E10</f>
        <v>4704.68</v>
      </c>
      <c r="H10" s="17">
        <f t="shared" ref="H10:H16" si="1">IF(E10=0,0,G10/E10*100)</f>
        <v>10.938045994996289</v>
      </c>
    </row>
    <row r="11" spans="1:8" s="18" customFormat="1" x14ac:dyDescent="0.2">
      <c r="A11" s="13" t="s">
        <v>124</v>
      </c>
      <c r="B11" s="14" t="s">
        <v>4</v>
      </c>
      <c r="C11" s="23">
        <f>SUMIFS('BAL N HTR8'!$H:$H,'BAL N HTR8'!$I:$I,$A11,'BAL N HTR8'!$J:$J,"T")</f>
        <v>1143.1600000000001</v>
      </c>
      <c r="D11" s="17">
        <f t="shared" si="0"/>
        <v>0.55279847822290928</v>
      </c>
      <c r="E11" s="16">
        <f>SUMIFS(DONNEESCUM_N1_NOUVEAU[MONTANT],DONNEESCUM_N1_NOUVEAU[TL2],A11,DONNEESCUM_N1_NOUVEAU[MOIS],DONNÉES!$C$5,DONNEESCUM_N1_NOUVEAU[SOCIETE],"HTR8")</f>
        <v>1168.3800000000001</v>
      </c>
      <c r="F11" s="17">
        <f t="shared" si="0"/>
        <v>0.6103932992672596</v>
      </c>
      <c r="G11" s="16">
        <f>+C11-E11</f>
        <v>-25.220000000000027</v>
      </c>
      <c r="H11" s="17">
        <f t="shared" si="1"/>
        <v>-2.15854430921447</v>
      </c>
    </row>
    <row r="12" spans="1:8" s="18" customFormat="1" x14ac:dyDescent="0.2">
      <c r="A12" s="13" t="s">
        <v>125</v>
      </c>
      <c r="B12" s="14" t="s">
        <v>2</v>
      </c>
      <c r="C12" s="23">
        <f>SUMIFS('BAL N HTR8'!$H:$H,'BAL N HTR8'!$I:$I,$A12,'BAL N HTR8'!$J:$J,"T")</f>
        <v>1221.5</v>
      </c>
      <c r="D12" s="17">
        <f t="shared" si="0"/>
        <v>0.59068139293649502</v>
      </c>
      <c r="E12" s="16">
        <f>SUMIFS(DONNEESCUM_N1_NOUVEAU[MONTANT],DONNEESCUM_N1_NOUVEAU[TL2],A12,DONNEESCUM_N1_NOUVEAU[MOIS],DONNÉES!$C$5,DONNEESCUM_N1_NOUVEAU[SOCIETE],"HTR8")</f>
        <v>1391.89</v>
      </c>
      <c r="F12" s="17">
        <f t="shared" si="0"/>
        <v>0.72716096588190982</v>
      </c>
      <c r="G12" s="16">
        <f>+C12-E12</f>
        <v>-170.3900000000001</v>
      </c>
      <c r="H12" s="17">
        <f t="shared" si="1"/>
        <v>-12.241628289591857</v>
      </c>
    </row>
    <row r="13" spans="1:8" s="59" customFormat="1" ht="13.5" x14ac:dyDescent="0.2">
      <c r="A13" s="60"/>
      <c r="B13" s="62" t="s">
        <v>6</v>
      </c>
      <c r="C13" s="55">
        <f>SUM(C10:C12)</f>
        <v>50081.41</v>
      </c>
      <c r="D13" s="56">
        <f t="shared" si="0"/>
        <v>24.217893589049293</v>
      </c>
      <c r="E13" s="55">
        <f>SUM(E10:E12)</f>
        <v>45572.34</v>
      </c>
      <c r="F13" s="56">
        <f t="shared" si="0"/>
        <v>23.808222468656858</v>
      </c>
      <c r="G13" s="55">
        <f>SUM(G10:G12)</f>
        <v>4509.07</v>
      </c>
      <c r="H13" s="56">
        <f t="shared" si="1"/>
        <v>9.8943130855251233</v>
      </c>
    </row>
    <row r="14" spans="1:8" s="18" customFormat="1" x14ac:dyDescent="0.2">
      <c r="A14" s="13" t="s">
        <v>126</v>
      </c>
      <c r="B14" s="14" t="s">
        <v>8</v>
      </c>
      <c r="C14" s="23">
        <f>SUMIFS('BAL N HTR8'!$H:$H,'BAL N HTR8'!$I:$I,$A14,'BAL N HTR8'!$J:$J,"T")</f>
        <v>4766.1099999999997</v>
      </c>
      <c r="D14" s="17">
        <f t="shared" si="0"/>
        <v>2.3047503018326303</v>
      </c>
      <c r="E14" s="16">
        <f>SUMIFS(DONNEESCUM_N1_NOUVEAU[MONTANT],DONNEESCUM_N1_NOUVEAU[TL2],A14,DONNEESCUM_N1_NOUVEAU[MOIS],DONNÉES!$C$5,DONNEESCUM_N1_NOUVEAU[SOCIETE],"HTR8")</f>
        <v>4752.79</v>
      </c>
      <c r="F14" s="17">
        <f t="shared" si="0"/>
        <v>2.4829859881412197</v>
      </c>
      <c r="G14" s="16">
        <f>+C14-E14</f>
        <v>13.319999999999709</v>
      </c>
      <c r="H14" s="17">
        <f t="shared" si="1"/>
        <v>0.28025643884959589</v>
      </c>
    </row>
    <row r="15" spans="1:8" s="18" customFormat="1" x14ac:dyDescent="0.2">
      <c r="A15" s="13" t="s">
        <v>2964</v>
      </c>
      <c r="B15" s="14" t="s">
        <v>2965</v>
      </c>
      <c r="C15" s="23">
        <f>SUMIFS('BAL N HTR8'!$H:$H,'BAL N HTR8'!$I:$I,$A15,'BAL N HTR8'!$J:$J,"T")</f>
        <v>112.86</v>
      </c>
      <c r="D15" s="17">
        <f t="shared" si="0"/>
        <v>5.457576914188525E-2</v>
      </c>
      <c r="E15" s="16">
        <f>SUMIFS(DONNEESCUM_N1_NOUVEAU[MONTANT],DONNEESCUM_N1_NOUVEAU[TL2],A15,DONNEESCUM_N1_NOUVEAU[MOIS],DONNÉES!$C$5,DONNEESCUM_N1_NOUVEAU[SOCIETE],"HTR8")</f>
        <v>188.39</v>
      </c>
      <c r="F15" s="17">
        <f t="shared" si="0"/>
        <v>9.842002914202487E-2</v>
      </c>
      <c r="G15" s="16">
        <f>+C15-E15</f>
        <v>-75.529999999999987</v>
      </c>
      <c r="H15" s="17">
        <f t="shared" si="1"/>
        <v>-40.092361590317957</v>
      </c>
    </row>
    <row r="16" spans="1:8" ht="13.5" thickBot="1" x14ac:dyDescent="0.25">
      <c r="A16" s="7"/>
      <c r="B16" s="63" t="s">
        <v>10</v>
      </c>
      <c r="C16" s="49">
        <f>+C13+SUM(C14:C15)</f>
        <v>54960.380000000005</v>
      </c>
      <c r="D16" s="50">
        <f t="shared" si="0"/>
        <v>26.577219660023808</v>
      </c>
      <c r="E16" s="49">
        <f>+E13+SUM(E14:E15)</f>
        <v>50513.52</v>
      </c>
      <c r="F16" s="50">
        <f t="shared" si="0"/>
        <v>26.389628485940104</v>
      </c>
      <c r="G16" s="49">
        <f>+G13+SUM(G14:G15)</f>
        <v>4446.8599999999997</v>
      </c>
      <c r="H16" s="50">
        <f t="shared" si="1"/>
        <v>8.8033065207097021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151834.69</v>
      </c>
      <c r="D18" s="71">
        <f>(C18*100)/C$8</f>
        <v>73.422780339976185</v>
      </c>
      <c r="E18" s="70">
        <f>E8-E16</f>
        <v>140900.77000000002</v>
      </c>
      <c r="F18" s="71">
        <f>(E18*100)/E$8</f>
        <v>73.610371514059906</v>
      </c>
      <c r="G18" s="70">
        <f>G8-G16</f>
        <v>10933.919999999998</v>
      </c>
      <c r="H18" s="71">
        <f>IF(E18=0,0,G18/E18*100)</f>
        <v>7.7600143703969797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HTR8'!$H:$H,'BAL N HTR8'!$I:$I,$A20,'BAL N HTR8'!$J:$J,"T")</f>
        <v>27746.240000000002</v>
      </c>
      <c r="D20" s="17">
        <f t="shared" ref="D20:F26" si="2">(C20*100)/C$8</f>
        <v>13.417263767458286</v>
      </c>
      <c r="E20" s="16">
        <f>SUMIFS(DONNEESCUM_N1_NOUVEAU[MONTANT],DONNEESCUM_N1_NOUVEAU[TL2],A20,DONNEESCUM_N1_NOUVEAU[MOIS],DONNÉES!$C$5,DONNEESCUM_N1_NOUVEAU[SOCIETE],"HTR8")</f>
        <v>32367.49</v>
      </c>
      <c r="F20" s="17">
        <f t="shared" si="2"/>
        <v>16.909651834249157</v>
      </c>
      <c r="G20" s="16">
        <f t="shared" ref="G20:G25" si="3">+C20-E20</f>
        <v>-4621.25</v>
      </c>
      <c r="H20" s="17">
        <f t="shared" ref="H20:H26" si="4">IF(E20=0,0,G20/E20*100)</f>
        <v>-14.277443199951556</v>
      </c>
    </row>
    <row r="21" spans="1:8" s="18" customFormat="1" x14ac:dyDescent="0.2">
      <c r="A21" s="13">
        <v>9</v>
      </c>
      <c r="B21" s="14" t="s">
        <v>2968</v>
      </c>
      <c r="C21" s="23">
        <f>SUMIFS('BAL N HTR8'!$H:$H,'BAL N HTR8'!$I:$I,$A21,'BAL N HTR8'!$J:$J,"T")</f>
        <v>2839.08</v>
      </c>
      <c r="D21" s="17">
        <f t="shared" si="2"/>
        <v>1.3728953983284031</v>
      </c>
      <c r="E21" s="16">
        <f>SUMIFS(DONNEESCUM_N1_NOUVEAU[MONTANT],DONNEESCUM_N1_NOUVEAU[TL2],A21,DONNEESCUM_N1_NOUVEAU[MOIS],DONNÉES!$C$5,DONNEESCUM_N1_NOUVEAU[SOCIETE],"HTR8")</f>
        <v>4091.35</v>
      </c>
      <c r="F21" s="17">
        <f t="shared" si="2"/>
        <v>2.1374318500463052</v>
      </c>
      <c r="G21" s="16">
        <f t="shared" si="3"/>
        <v>-1252.27</v>
      </c>
      <c r="H21" s="17">
        <f t="shared" si="4"/>
        <v>-30.607745609639853</v>
      </c>
    </row>
    <row r="22" spans="1:8" s="18" customFormat="1" x14ac:dyDescent="0.2">
      <c r="A22" s="13" t="s">
        <v>12</v>
      </c>
      <c r="B22" s="14" t="s">
        <v>14</v>
      </c>
      <c r="C22" s="23">
        <f>SUMIFS('BAL N HTR8'!$H:$H,'BAL N HTR8'!$I:$I,$A22,'BAL N HTR8'!$J:$J,"T")</f>
        <v>17972.82</v>
      </c>
      <c r="D22" s="17">
        <f t="shared" si="2"/>
        <v>8.6911259538247201</v>
      </c>
      <c r="E22" s="16">
        <f>SUMIFS(DONNEESCUM_N1_NOUVEAU[MONTANT],DONNEESCUM_N1_NOUVEAU[TL2],A22,DONNEESCUM_N1_NOUVEAU[MOIS],DONNÉES!$C$5,DONNEESCUM_N1_NOUVEAU[SOCIETE],"HTR8")</f>
        <v>16439.97</v>
      </c>
      <c r="F22" s="17">
        <f t="shared" si="2"/>
        <v>8.588684784192445</v>
      </c>
      <c r="G22" s="16">
        <f t="shared" si="3"/>
        <v>1532.8499999999985</v>
      </c>
      <c r="H22" s="17">
        <f t="shared" si="4"/>
        <v>9.3239221239454722</v>
      </c>
    </row>
    <row r="23" spans="1:8" s="18" customFormat="1" x14ac:dyDescent="0.2">
      <c r="A23" s="13" t="s">
        <v>13</v>
      </c>
      <c r="B23" s="14" t="s">
        <v>2966</v>
      </c>
      <c r="C23" s="23">
        <f>SUMIFS('BAL N HTR8'!$H:$H,'BAL N HTR8'!$I:$I,$A23,'BAL N HTR8'!$J:$J,"T")</f>
        <v>3279.45</v>
      </c>
      <c r="D23" s="17">
        <f t="shared" si="2"/>
        <v>1.585845349214563</v>
      </c>
      <c r="E23" s="16">
        <f>SUMIFS(DONNEESCUM_N1_NOUVEAU[MONTANT],DONNEESCUM_N1_NOUVEAU[TL2],A23,DONNEESCUM_N1_NOUVEAU[MOIS],DONNÉES!$C$5,DONNEESCUM_N1_NOUVEAU[SOCIETE],"HTR8")</f>
        <v>3301.84</v>
      </c>
      <c r="F23" s="17">
        <f t="shared" si="2"/>
        <v>1.7249704815664493</v>
      </c>
      <c r="G23" s="16">
        <f t="shared" si="3"/>
        <v>-22.390000000000327</v>
      </c>
      <c r="H23" s="17">
        <f t="shared" si="4"/>
        <v>-0.67810675259856101</v>
      </c>
    </row>
    <row r="24" spans="1:8" s="18" customFormat="1" x14ac:dyDescent="0.2">
      <c r="A24" s="13" t="s">
        <v>15</v>
      </c>
      <c r="B24" s="14" t="s">
        <v>2969</v>
      </c>
      <c r="C24" s="23">
        <f>SUMIFS('BAL N HTR8'!$H:$H,'BAL N HTR8'!$I:$I,$A24,'BAL N HTR8'!$J:$J,"T")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SUMIFS(DONNEESCUM_N1_NOUVEAU[MONTANT],DONNEESCUM_N1_NOUVEAU[TL2],A24,DONNEESCUM_N1_NOUVEAU[MOIS],DONNÉES!$C$5,DONNEESCUM_N1_NOUVEAU[SOCIETE],"HTR8")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HTR8'!$H:$H,'BAL N HTR8'!$I:$I,$A25,'BAL N HTR8'!$J:$J,"T")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SUMIFS(DONNEESCUM_N1_NOUVEAU[MONTANT],DONNEESCUM_N1_NOUVEAU[TL2],A25,DONNEESCUM_N1_NOUVEAU[MOIS],DONNÉES!$C$5,DONNEESCUM_N1_NOUVEAU[SOCIETE],"HTR8")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51837.59</v>
      </c>
      <c r="D26" s="50">
        <f t="shared" si="2"/>
        <v>25.067130468825972</v>
      </c>
      <c r="E26" s="51">
        <f>SUM(E20:E25)</f>
        <v>56200.650000000009</v>
      </c>
      <c r="F26" s="50">
        <f t="shared" si="2"/>
        <v>29.360738950054358</v>
      </c>
      <c r="G26" s="51">
        <f>SUM(G20:G25)</f>
        <v>-4363.0600000000022</v>
      </c>
      <c r="H26" s="50">
        <f t="shared" si="4"/>
        <v>-7.7633621675194178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HTR8'!$H:$H,'BAL N HTR8'!$I:$I,$A28,'BAL N HTR8'!$J:$J,"T")</f>
        <v>76.959999999999994</v>
      </c>
      <c r="D28" s="17">
        <f t="shared" ref="D28:F33" si="5">(C28*100)/C$8</f>
        <v>3.7215587392871591E-2</v>
      </c>
      <c r="E28" s="16">
        <f>SUMIFS(DONNEESCUM_N1_NOUVEAU[MONTANT],DONNEESCUM_N1_NOUVEAU[TL2],A28,DONNEESCUM_N1_NOUVEAU[MOIS],DONNÉES!$C$5,DONNEESCUM_N1_NOUVEAU[SOCIETE],"HTR8")</f>
        <v>142.58000000000001</v>
      </c>
      <c r="F28" s="17">
        <f t="shared" si="5"/>
        <v>7.4487646664206736E-2</v>
      </c>
      <c r="G28" s="16">
        <f>+C28-E28</f>
        <v>-65.620000000000019</v>
      </c>
      <c r="H28" s="17">
        <f t="shared" ref="H28:H33" si="6">IF(E28=0,0,G28/E28*100)</f>
        <v>-46.02328517323609</v>
      </c>
    </row>
    <row r="29" spans="1:8" s="18" customFormat="1" x14ac:dyDescent="0.2">
      <c r="A29" s="13" t="s">
        <v>20</v>
      </c>
      <c r="B29" s="14" t="s">
        <v>2972</v>
      </c>
      <c r="C29" s="23">
        <f>SUMIFS('BAL N HTR8'!$H:$H,'BAL N HTR8'!$I:$I,$A29,'BAL N HTR8'!$J:$J,"T")</f>
        <v>83.34</v>
      </c>
      <c r="D29" s="17">
        <f t="shared" si="5"/>
        <v>4.0300767324869008E-2</v>
      </c>
      <c r="E29" s="16">
        <f>SUMIFS(DONNEESCUM_N1_NOUVEAU[MONTANT],DONNEESCUM_N1_NOUVEAU[TL2],A29,DONNEESCUM_N1_NOUVEAU[MOIS],DONNÉES!$C$5,DONNEESCUM_N1_NOUVEAU[SOCIETE],"HTR8")</f>
        <v>84.34</v>
      </c>
      <c r="F29" s="17">
        <f t="shared" si="5"/>
        <v>4.4061496140126215E-2</v>
      </c>
      <c r="G29" s="16">
        <f>+C29-E29</f>
        <v>-1</v>
      </c>
      <c r="H29" s="17">
        <f t="shared" si="6"/>
        <v>-1.1856770215793218</v>
      </c>
    </row>
    <row r="30" spans="1:8" s="18" customFormat="1" x14ac:dyDescent="0.2">
      <c r="A30" s="13" t="s">
        <v>21</v>
      </c>
      <c r="B30" s="14" t="s">
        <v>2973</v>
      </c>
      <c r="C30" s="23">
        <f>SUMIFS('BAL N HTR8'!$H:$H,'BAL N HTR8'!$I:$I,$A30,'BAL N HTR8'!$J:$J,"T")</f>
        <v>2145.16</v>
      </c>
      <c r="D30" s="17">
        <f t="shared" si="5"/>
        <v>1.0373361415240701</v>
      </c>
      <c r="E30" s="16">
        <f>SUMIFS(DONNEESCUM_N1_NOUVEAU[MONTANT],DONNEESCUM_N1_NOUVEAU[TL2],A30,DONNEESCUM_N1_NOUVEAU[MOIS],DONNÉES!$C$5,DONNEESCUM_N1_NOUVEAU[SOCIETE],"HTR8")</f>
        <v>1491.67</v>
      </c>
      <c r="F30" s="17">
        <f t="shared" si="5"/>
        <v>0.77928873544394206</v>
      </c>
      <c r="G30" s="16">
        <f>+C30-E30</f>
        <v>653.48999999999978</v>
      </c>
      <c r="H30" s="17">
        <f t="shared" si="6"/>
        <v>43.809287577010984</v>
      </c>
    </row>
    <row r="31" spans="1:8" s="18" customFormat="1" x14ac:dyDescent="0.2">
      <c r="A31" s="13" t="s">
        <v>23</v>
      </c>
      <c r="B31" s="14" t="s">
        <v>2974</v>
      </c>
      <c r="C31" s="23">
        <f>SUMIFS('BAL N HTR8'!$H:$H,'BAL N HTR8'!$I:$I,$A31,'BAL N HTR8'!$J:$J,"T")</f>
        <v>150.06</v>
      </c>
      <c r="D31" s="17">
        <f t="shared" si="5"/>
        <v>7.2564592569832539E-2</v>
      </c>
      <c r="E31" s="16">
        <f>SUMIFS(DONNEESCUM_N1_NOUVEAU[MONTANT],DONNEESCUM_N1_NOUVEAU[TL2],A31,DONNEESCUM_N1_NOUVEAU[MOIS],DONNÉES!$C$5,DONNEESCUM_N1_NOUVEAU[SOCIETE],"HTR8")</f>
        <v>2543.9699999999998</v>
      </c>
      <c r="F31" s="17">
        <f t="shared" si="5"/>
        <v>1.3290387044770793</v>
      </c>
      <c r="G31" s="16">
        <f>+C31-E31</f>
        <v>-2393.91</v>
      </c>
      <c r="H31" s="17">
        <f t="shared" si="6"/>
        <v>-94.101345534735088</v>
      </c>
    </row>
    <row r="32" spans="1:8" s="18" customFormat="1" x14ac:dyDescent="0.2">
      <c r="A32" s="13" t="s">
        <v>25</v>
      </c>
      <c r="B32" s="14" t="s">
        <v>2975</v>
      </c>
      <c r="C32" s="23">
        <f>SUMIFS('BAL N HTR8'!$H:$H,'BAL N HTR8'!$I:$I,$A32,'BAL N HTR8'!$J:$J,"T")</f>
        <v>6719.35</v>
      </c>
      <c r="D32" s="17">
        <f t="shared" si="5"/>
        <v>3.2492795887252051</v>
      </c>
      <c r="E32" s="16">
        <f>SUMIFS(DONNEESCUM_N1_NOUVEAU[MONTANT],DONNEESCUM_N1_NOUVEAU[TL2],A32,DONNEESCUM_N1_NOUVEAU[MOIS],DONNÉES!$C$5,DONNEESCUM_N1_NOUVEAU[SOCIETE],"HTR8")</f>
        <v>7707.87</v>
      </c>
      <c r="F32" s="17">
        <f t="shared" si="5"/>
        <v>4.0267996710172476</v>
      </c>
      <c r="G32" s="16">
        <f>+C32-E32</f>
        <v>-988.51999999999953</v>
      </c>
      <c r="H32" s="17">
        <f t="shared" si="6"/>
        <v>-12.824814118556743</v>
      </c>
    </row>
    <row r="33" spans="1:8" ht="13.5" thickBot="1" x14ac:dyDescent="0.25">
      <c r="A33" s="7"/>
      <c r="B33" s="63" t="s">
        <v>2976</v>
      </c>
      <c r="C33" s="49">
        <f>SUM(C28:C32)</f>
        <v>9174.8700000000008</v>
      </c>
      <c r="D33" s="50">
        <f t="shared" si="5"/>
        <v>4.4366966775368493</v>
      </c>
      <c r="E33" s="51">
        <f>SUM(E28:E32)</f>
        <v>11970.43</v>
      </c>
      <c r="F33" s="50">
        <f t="shared" si="5"/>
        <v>6.2536762537426016</v>
      </c>
      <c r="G33" s="51">
        <f>SUM(G28:G32)</f>
        <v>-2795.5599999999995</v>
      </c>
      <c r="H33" s="50">
        <f t="shared" si="6"/>
        <v>-23.353881188896299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HTR8'!$H:$H,'BAL N HTR8'!$I:$I,$A35,'BAL N HTR8'!$J:$J,"T")</f>
        <v>1882.72</v>
      </c>
      <c r="D35" s="17">
        <f t="shared" ref="D35:F42" si="7">(C35*100)/C$8</f>
        <v>0.91042789366303556</v>
      </c>
      <c r="E35" s="16">
        <f>SUMIFS(DONNEESCUM_N1_NOUVEAU[MONTANT],DONNEESCUM_N1_NOUVEAU[TL2],A35,DONNEESCUM_N1_NOUVEAU[MOIS],DONNÉES!$C$5,DONNEESCUM_N1_NOUVEAU[SOCIETE],"HTR8")</f>
        <v>0</v>
      </c>
      <c r="F35" s="17">
        <f t="shared" si="7"/>
        <v>0</v>
      </c>
      <c r="G35" s="16">
        <f t="shared" ref="G35:G41" si="8">+C35-E35</f>
        <v>1882.72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HTR8'!$H:$H,'BAL N HTR8'!$I:$I,$A36,'BAL N HTR8'!$J:$J,"T")</f>
        <v>8325.16</v>
      </c>
      <c r="D36" s="17">
        <f t="shared" si="7"/>
        <v>4.0258019690701525</v>
      </c>
      <c r="E36" s="16">
        <f>SUMIFS(DONNEESCUM_N1_NOUVEAU[MONTANT],DONNEESCUM_N1_NOUVEAU[TL2],A36,DONNEESCUM_N1_NOUVEAU[MOIS],DONNÉES!$C$5,DONNEESCUM_N1_NOUVEAU[SOCIETE],"HTR8")</f>
        <v>7686.7</v>
      </c>
      <c r="F36" s="17">
        <f t="shared" si="7"/>
        <v>4.0157398906842321</v>
      </c>
      <c r="G36" s="16">
        <f t="shared" si="8"/>
        <v>638.46</v>
      </c>
      <c r="H36" s="17">
        <f t="shared" si="9"/>
        <v>8.3060350995876</v>
      </c>
    </row>
    <row r="37" spans="1:8" s="18" customFormat="1" x14ac:dyDescent="0.2">
      <c r="A37" s="13" t="s">
        <v>32</v>
      </c>
      <c r="B37" s="14" t="s">
        <v>19</v>
      </c>
      <c r="C37" s="23">
        <f>SUMIFS('BAL N HTR8'!$H:$H,'BAL N HTR8'!$I:$I,$A37,'BAL N HTR8'!$J:$J,"T")</f>
        <v>4112.99</v>
      </c>
      <c r="D37" s="17">
        <f t="shared" si="7"/>
        <v>1.988920722336369</v>
      </c>
      <c r="E37" s="16">
        <f>SUMIFS(DONNEESCUM_N1_NOUVEAU[MONTANT],DONNEESCUM_N1_NOUVEAU[TL2],A37,DONNEESCUM_N1_NOUVEAU[MOIS],DONNÉES!$C$5,DONNEESCUM_N1_NOUVEAU[SOCIETE],"HTR8")</f>
        <v>3657.71</v>
      </c>
      <c r="F37" s="17">
        <f t="shared" si="7"/>
        <v>1.9108865905466095</v>
      </c>
      <c r="G37" s="16">
        <f t="shared" si="8"/>
        <v>455.27999999999975</v>
      </c>
      <c r="H37" s="17">
        <f t="shared" si="9"/>
        <v>12.447132222073366</v>
      </c>
    </row>
    <row r="38" spans="1:8" s="18" customFormat="1" x14ac:dyDescent="0.2">
      <c r="A38" s="13" t="s">
        <v>34</v>
      </c>
      <c r="B38" s="14" t="s">
        <v>28</v>
      </c>
      <c r="C38" s="23">
        <f>SUMIFS('BAL N HTR8'!$H:$H,'BAL N HTR8'!$I:$I,$A38,'BAL N HTR8'!$J:$J,"T")</f>
        <v>8888.9</v>
      </c>
      <c r="D38" s="17">
        <f t="shared" si="7"/>
        <v>4.2984100152871152</v>
      </c>
      <c r="E38" s="16">
        <f>SUMIFS(DONNEESCUM_N1_NOUVEAU[MONTANT],DONNEESCUM_N1_NOUVEAU[TL2],A38,DONNEESCUM_N1_NOUVEAU[MOIS],DONNÉES!$C$5,DONNEESCUM_N1_NOUVEAU[SOCIETE],"HTR8")</f>
        <v>10289.59</v>
      </c>
      <c r="F38" s="17">
        <f t="shared" si="7"/>
        <v>5.375559996069259</v>
      </c>
      <c r="G38" s="16">
        <f t="shared" si="8"/>
        <v>-1400.6900000000005</v>
      </c>
      <c r="H38" s="17">
        <f t="shared" si="9"/>
        <v>-13.612690107186005</v>
      </c>
    </row>
    <row r="39" spans="1:8" s="18" customFormat="1" x14ac:dyDescent="0.2">
      <c r="A39" s="13" t="s">
        <v>2978</v>
      </c>
      <c r="B39" s="14" t="s">
        <v>2980</v>
      </c>
      <c r="C39" s="23">
        <f>SUMIFS('BAL N HTR8'!$H:$H,'BAL N HTR8'!$I:$I,$A39,'BAL N HTR8'!$J:$J,"T")</f>
        <v>2425.34</v>
      </c>
      <c r="D39" s="17">
        <f t="shared" si="7"/>
        <v>1.1728229304499376</v>
      </c>
      <c r="E39" s="16">
        <f>SUMIFS(DONNEESCUM_N1_NOUVEAU[MONTANT],DONNEESCUM_N1_NOUVEAU[TL2],A39,DONNEESCUM_N1_NOUVEAU[MOIS],DONNÉES!$C$5,DONNEESCUM_N1_NOUVEAU[SOCIETE],"HTR8")</f>
        <v>2747.15</v>
      </c>
      <c r="F39" s="17">
        <f t="shared" si="7"/>
        <v>1.4351854294681969</v>
      </c>
      <c r="G39" s="16">
        <f t="shared" si="8"/>
        <v>-321.80999999999995</v>
      </c>
      <c r="H39" s="17">
        <f t="shared" si="9"/>
        <v>-11.714322115647123</v>
      </c>
    </row>
    <row r="40" spans="1:8" s="18" customFormat="1" x14ac:dyDescent="0.2">
      <c r="A40" s="13" t="s">
        <v>2979</v>
      </c>
      <c r="B40" s="14" t="s">
        <v>2981</v>
      </c>
      <c r="C40" s="23">
        <f>SUMIFS('BAL N HTR8'!$H:$H,'BAL N HTR8'!$I:$I,$A40,'BAL N HTR8'!$J:$J,"T")</f>
        <v>163.22</v>
      </c>
      <c r="D40" s="17">
        <f t="shared" si="7"/>
        <v>7.8928380642730014E-2</v>
      </c>
      <c r="E40" s="16">
        <f>SUMIFS(DONNEESCUM_N1_NOUVEAU[MONTANT],DONNEESCUM_N1_NOUVEAU[TL2],A40,DONNEESCUM_N1_NOUVEAU[MOIS],DONNÉES!$C$5,DONNEESCUM_N1_NOUVEAU[SOCIETE],"HTR8")</f>
        <v>31.35</v>
      </c>
      <c r="F40" s="17">
        <f t="shared" si="7"/>
        <v>1.6378087550307764E-2</v>
      </c>
      <c r="G40" s="16">
        <f t="shared" si="8"/>
        <v>131.87</v>
      </c>
      <c r="H40" s="17">
        <f t="shared" si="9"/>
        <v>420.63795853269539</v>
      </c>
    </row>
    <row r="41" spans="1:8" s="18" customFormat="1" x14ac:dyDescent="0.2">
      <c r="A41" s="13" t="s">
        <v>2982</v>
      </c>
      <c r="B41" s="14" t="s">
        <v>2983</v>
      </c>
      <c r="C41" s="23">
        <f>SUMIFS('BAL N HTR8'!$H:$H,'BAL N HTR8'!$I:$I,$A41,'BAL N HTR8'!$J:$J,"T")</f>
        <v>540.16999999999996</v>
      </c>
      <c r="D41" s="17">
        <f t="shared" si="7"/>
        <v>0.26121028900737331</v>
      </c>
      <c r="E41" s="16">
        <f>SUMIFS(DONNEESCUM_N1_NOUVEAU[MONTANT],DONNEESCUM_N1_NOUVEAU[TL2],A41,DONNEESCUM_N1_NOUVEAU[MOIS],DONNÉES!$C$5,DONNEESCUM_N1_NOUVEAU[SOCIETE],"HTR8")</f>
        <v>393.76</v>
      </c>
      <c r="F41" s="17">
        <f t="shared" si="7"/>
        <v>0.2057108693400059</v>
      </c>
      <c r="G41" s="16">
        <f t="shared" si="8"/>
        <v>146.40999999999997</v>
      </c>
      <c r="H41" s="17">
        <f t="shared" si="9"/>
        <v>37.182547744819175</v>
      </c>
    </row>
    <row r="42" spans="1:8" ht="13.5" thickBot="1" x14ac:dyDescent="0.25">
      <c r="A42" s="13"/>
      <c r="B42" s="63" t="s">
        <v>2984</v>
      </c>
      <c r="C42" s="49">
        <f>+SUM(C35:C41)</f>
        <v>26338.499999999996</v>
      </c>
      <c r="D42" s="50">
        <f t="shared" si="7"/>
        <v>12.73652220045671</v>
      </c>
      <c r="E42" s="51">
        <f>+SUM(E35:E41)</f>
        <v>24806.26</v>
      </c>
      <c r="F42" s="50">
        <f t="shared" si="7"/>
        <v>12.959460863658611</v>
      </c>
      <c r="G42" s="51">
        <f>+SUM(G35:G41)</f>
        <v>1532.2399999999993</v>
      </c>
      <c r="H42" s="50">
        <f t="shared" si="9"/>
        <v>6.1768279458491504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64483.73000000001</v>
      </c>
      <c r="D44" s="71">
        <f>(C44*100)/C$8</f>
        <v>31.182430993156657</v>
      </c>
      <c r="E44" s="72">
        <f>E18-E26-E33-E42</f>
        <v>47923.430000000008</v>
      </c>
      <c r="F44" s="71">
        <f>(E44*100)/E$8</f>
        <v>25.036495446604331</v>
      </c>
      <c r="G44" s="72">
        <f>G18-G26-G33-G42</f>
        <v>16560.300000000003</v>
      </c>
      <c r="H44" s="71">
        <f>IF(E44=0,0,G44/E44*100)</f>
        <v>34.555748618160258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HTR8'!$H:$H,'BAL N HTR8'!$I:$I,$A46,'BAL N HTR8'!$J:$J,"T")</f>
        <v>34702.769999999997</v>
      </c>
      <c r="D46" s="17">
        <f t="shared" ref="D46:F49" si="10">(C46*100)/C$8</f>
        <v>16.781236612652322</v>
      </c>
      <c r="E46" s="16">
        <f>SUMIFS(DONNEESCUM_N1_NOUVEAU[MONTANT],DONNEESCUM_N1_NOUVEAU[TL2],A46,DONNEESCUM_N1_NOUVEAU[MOIS],DONNÉES!$C$5,DONNEESCUM_N1_NOUVEAU[SOCIETE],"HTR8")</f>
        <v>32032.240000000002</v>
      </c>
      <c r="F46" s="17">
        <f t="shared" si="10"/>
        <v>16.734508170732706</v>
      </c>
      <c r="G46" s="16">
        <f>+C46-E46</f>
        <v>2670.5299999999952</v>
      </c>
      <c r="H46" s="17">
        <f>IF(E46=0,0,G46/E46*100)</f>
        <v>8.3370067157338834</v>
      </c>
    </row>
    <row r="47" spans="1:8" s="18" customFormat="1" x14ac:dyDescent="0.2">
      <c r="A47" s="13" t="s">
        <v>35</v>
      </c>
      <c r="B47" s="14" t="s">
        <v>2986</v>
      </c>
      <c r="C47" s="23">
        <f>SUMIFS('BAL N HTR8'!$H:$H,'BAL N HTR8'!$I:$I,$A47,'BAL N HTR8'!$J:$J,"T")</f>
        <v>616.76</v>
      </c>
      <c r="D47" s="17">
        <f t="shared" si="10"/>
        <v>0.29824695530700995</v>
      </c>
      <c r="E47" s="16">
        <f>SUMIFS(DONNEESCUM_N1_NOUVEAU[MONTANT],DONNEESCUM_N1_NOUVEAU[TL2],A47,DONNEESCUM_N1_NOUVEAU[MOIS],DONNÉES!$C$5,DONNEESCUM_N1_NOUVEAU[SOCIETE],"HTR8")</f>
        <v>0</v>
      </c>
      <c r="F47" s="17">
        <f t="shared" si="10"/>
        <v>0</v>
      </c>
      <c r="G47" s="16">
        <f>+C47-E47</f>
        <v>616.76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HTR8'!$H:$H,'BAL N HTR8'!$I:$I,$A48,'BAL N HTR8'!$J:$J,"T")</f>
        <v>-470.3</v>
      </c>
      <c r="D48" s="17">
        <f t="shared" si="10"/>
        <v>-0.22742321661730136</v>
      </c>
      <c r="E48" s="16">
        <f>SUMIFS(DONNEESCUM_N1_NOUVEAU[MONTANT],DONNEESCUM_N1_NOUVEAU[TL2],A48,DONNEESCUM_N1_NOUVEAU[MOIS],DONNÉES!$C$5,DONNEESCUM_N1_NOUVEAU[SOCIETE],"HTR8")</f>
        <v>-423.12</v>
      </c>
      <c r="F48" s="17">
        <f t="shared" si="10"/>
        <v>-0.22104932709046957</v>
      </c>
      <c r="G48" s="16">
        <f>+C48-E48</f>
        <v>-47.180000000000007</v>
      </c>
      <c r="H48" s="17">
        <f>IF(E48=0,0,G48/E48*100)</f>
        <v>11.150501039894122</v>
      </c>
    </row>
    <row r="49" spans="1:8" ht="13.5" thickBot="1" x14ac:dyDescent="0.25">
      <c r="A49" s="13"/>
      <c r="B49" s="63" t="s">
        <v>2988</v>
      </c>
      <c r="C49" s="49">
        <f>SUM(C46:C48)</f>
        <v>34849.229999999996</v>
      </c>
      <c r="D49" s="50">
        <f t="shared" si="10"/>
        <v>16.852060351342029</v>
      </c>
      <c r="E49" s="51">
        <f>SUM(E46:E48)</f>
        <v>31609.120000000003</v>
      </c>
      <c r="F49" s="50">
        <f t="shared" si="10"/>
        <v>16.51345884364224</v>
      </c>
      <c r="G49" s="51">
        <f>SUM(G46:G48)</f>
        <v>3240.1099999999956</v>
      </c>
      <c r="H49" s="50">
        <f>IF(E49=0,0,G49/E49*100)</f>
        <v>10.250554270413081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HTR8'!$H:$H,'BAL N HTR8'!$I:$I,$A51,'BAL N HTR8'!$J:$J,"T")</f>
        <v>465</v>
      </c>
      <c r="D51" s="17">
        <f t="shared" ref="D51:F59" si="11">(C51*100)/C$8</f>
        <v>0.22486029284934114</v>
      </c>
      <c r="E51" s="16">
        <f>SUMIFS(DONNEESCUM_N1_NOUVEAU[MONTANT],DONNEESCUM_N1_NOUVEAU[TL2],A51,DONNEESCUM_N1_NOUVEAU[MOIS],DONNÉES!$C$5,DONNEESCUM_N1_NOUVEAU[SOCIETE],"HTR8")</f>
        <v>465</v>
      </c>
      <c r="F51" s="17">
        <f t="shared" si="11"/>
        <v>0.24292857132035439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HTR8'!$H:$H,'BAL N HTR8'!$I:$I,$A52,'BAL N HTR8'!$J:$J,"T")</f>
        <v>10515.29</v>
      </c>
      <c r="D52" s="17">
        <f t="shared" si="11"/>
        <v>5.0848842769801035</v>
      </c>
      <c r="E52" s="16">
        <f>SUMIFS(DONNEESCUM_N1_NOUVEAU[MONTANT],DONNEESCUM_N1_NOUVEAU[TL2],A52,DONNEESCUM_N1_NOUVEAU[MOIS],DONNÉES!$C$5,DONNEESCUM_N1_NOUVEAU[SOCIETE],"HTR8")</f>
        <v>9706.74</v>
      </c>
      <c r="F52" s="17">
        <f t="shared" si="11"/>
        <v>5.0710633986626599</v>
      </c>
      <c r="G52" s="16">
        <f t="shared" si="12"/>
        <v>808.55000000000109</v>
      </c>
      <c r="H52" s="17">
        <f t="shared" si="13"/>
        <v>8.3297791019436094</v>
      </c>
    </row>
    <row r="53" spans="1:8" s="18" customFormat="1" x14ac:dyDescent="0.2">
      <c r="A53" s="13" t="s">
        <v>44</v>
      </c>
      <c r="B53" s="14" t="s">
        <v>62</v>
      </c>
      <c r="C53" s="23">
        <f>SUMIFS('BAL N HTR8'!$H:$H,'BAL N HTR8'!$I:$I,$A53,'BAL N HTR8'!$J:$J,"T")</f>
        <v>1029.0899999999999</v>
      </c>
      <c r="D53" s="17">
        <f t="shared" si="11"/>
        <v>0.49763758874909342</v>
      </c>
      <c r="E53" s="16">
        <f>SUMIFS(DONNEESCUM_N1_NOUVEAU[MONTANT],DONNEESCUM_N1_NOUVEAU[TL2],A53,DONNEESCUM_N1_NOUVEAU[MOIS],DONNÉES!$C$5,DONNEESCUM_N1_NOUVEAU[SOCIETE],"HTR8")</f>
        <v>986</v>
      </c>
      <c r="F53" s="17">
        <f t="shared" si="11"/>
        <v>0.51511305660617079</v>
      </c>
      <c r="G53" s="16">
        <f t="shared" si="12"/>
        <v>43.089999999999918</v>
      </c>
      <c r="H53" s="17">
        <f t="shared" si="13"/>
        <v>4.3701825557809251</v>
      </c>
    </row>
    <row r="54" spans="1:8" s="18" customFormat="1" x14ac:dyDescent="0.2">
      <c r="A54" s="13" t="s">
        <v>45</v>
      </c>
      <c r="B54" s="14" t="s">
        <v>41</v>
      </c>
      <c r="C54" s="23">
        <f>SUMIFS('BAL N HTR8'!$H:$H,'BAL N HTR8'!$I:$I,$A54,'BAL N HTR8'!$J:$J,"T")</f>
        <v>1000</v>
      </c>
      <c r="D54" s="17">
        <f t="shared" si="11"/>
        <v>0.48357052225664759</v>
      </c>
      <c r="E54" s="16">
        <f>SUMIFS(DONNEESCUM_N1_NOUVEAU[MONTANT],DONNEESCUM_N1_NOUVEAU[TL2],A54,DONNEESCUM_N1_NOUVEAU[MOIS],DONNÉES!$C$5,DONNEESCUM_N1_NOUVEAU[SOCIETE],"HTR8")</f>
        <v>1121.8599999999999</v>
      </c>
      <c r="F54" s="17">
        <f t="shared" si="11"/>
        <v>0.58608999359452207</v>
      </c>
      <c r="G54" s="16">
        <f t="shared" si="12"/>
        <v>-121.8599999999999</v>
      </c>
      <c r="H54" s="17">
        <f t="shared" si="13"/>
        <v>-10.862317936284377</v>
      </c>
    </row>
    <row r="55" spans="1:8" s="18" customFormat="1" x14ac:dyDescent="0.2">
      <c r="A55" s="13" t="s">
        <v>47</v>
      </c>
      <c r="B55" s="14" t="s">
        <v>43</v>
      </c>
      <c r="C55" s="23">
        <f>SUMIFS('BAL N HTR8'!$H:$H,'BAL N HTR8'!$I:$I,$A55,'BAL N HTR8'!$J:$J,"T")</f>
        <v>1847.83</v>
      </c>
      <c r="D55" s="17">
        <f t="shared" si="11"/>
        <v>0.89355611814150115</v>
      </c>
      <c r="E55" s="16">
        <f>SUMIFS(DONNEESCUM_N1_NOUVEAU[MONTANT],DONNEESCUM_N1_NOUVEAU[TL2],A55,DONNEESCUM_N1_NOUVEAU[MOIS],DONNÉES!$C$5,DONNEESCUM_N1_NOUVEAU[SOCIETE],"HTR8")</f>
        <v>2075.25</v>
      </c>
      <c r="F55" s="17">
        <f t="shared" si="11"/>
        <v>1.0841667045861623</v>
      </c>
      <c r="G55" s="16">
        <f t="shared" si="12"/>
        <v>-227.42000000000007</v>
      </c>
      <c r="H55" s="17">
        <f t="shared" si="13"/>
        <v>-10.958679677147336</v>
      </c>
    </row>
    <row r="56" spans="1:8" s="18" customFormat="1" x14ac:dyDescent="0.2">
      <c r="A56" s="13" t="s">
        <v>48</v>
      </c>
      <c r="B56" s="14" t="s">
        <v>46</v>
      </c>
      <c r="C56" s="23">
        <f>SUMIFS('BAL N HTR8'!$H:$H,'BAL N HTR8'!$I:$I,$A56,'BAL N HTR8'!$J:$J,"T")</f>
        <v>5500</v>
      </c>
      <c r="D56" s="17">
        <f t="shared" si="11"/>
        <v>2.6596378724115617</v>
      </c>
      <c r="E56" s="16">
        <f>SUMIFS(DONNEESCUM_N1_NOUVEAU[MONTANT],DONNEESCUM_N1_NOUVEAU[TL2],A56,DONNEESCUM_N1_NOUVEAU[MOIS],DONNÉES!$C$5,DONNEESCUM_N1_NOUVEAU[SOCIETE],"HTR8")</f>
        <v>5620</v>
      </c>
      <c r="F56" s="17">
        <f t="shared" si="11"/>
        <v>2.9360399372481543</v>
      </c>
      <c r="G56" s="16">
        <f t="shared" si="12"/>
        <v>-120</v>
      </c>
      <c r="H56" s="17">
        <f t="shared" si="13"/>
        <v>-2.1352313167259789</v>
      </c>
    </row>
    <row r="57" spans="1:8" s="18" customFormat="1" x14ac:dyDescent="0.2">
      <c r="A57" s="13" t="s">
        <v>50</v>
      </c>
      <c r="B57" s="14" t="s">
        <v>2990</v>
      </c>
      <c r="C57" s="23">
        <f>SUMIFS('BAL N HTR8'!$H:$H,'BAL N HTR8'!$I:$I,$A57,'BAL N HTR8'!$J:$J,"T")</f>
        <v>676.38</v>
      </c>
      <c r="D57" s="17">
        <f t="shared" si="11"/>
        <v>0.32707742984395127</v>
      </c>
      <c r="E57" s="16">
        <f>SUMIFS(DONNEESCUM_N1_NOUVEAU[MONTANT],DONNEESCUM_N1_NOUVEAU[TL2],A57,DONNEESCUM_N1_NOUVEAU[MOIS],DONNÉES!$C$5,DONNEESCUM_N1_NOUVEAU[SOCIETE],"HTR8")</f>
        <v>0</v>
      </c>
      <c r="F57" s="17">
        <f t="shared" si="11"/>
        <v>0</v>
      </c>
      <c r="G57" s="16">
        <f t="shared" si="12"/>
        <v>676.38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HTR8'!$H:$H,'BAL N HTR8'!$I:$I,$A58,'BAL N HTR8'!$J:$J,"T")</f>
        <v>427.59</v>
      </c>
      <c r="D58" s="17">
        <f t="shared" si="11"/>
        <v>0.20676991961171995</v>
      </c>
      <c r="E58" s="16">
        <f>SUMIFS(DONNEESCUM_N1_NOUVEAU[MONTANT],DONNEESCUM_N1_NOUVEAU[TL2],A58,DONNEESCUM_N1_NOUVEAU[MOIS],DONNÉES!$C$5,DONNEESCUM_N1_NOUVEAU[SOCIETE],"HTR8")</f>
        <v>3032.3</v>
      </c>
      <c r="F58" s="17">
        <f t="shared" si="11"/>
        <v>1.5841554985262594</v>
      </c>
      <c r="G58" s="16">
        <f t="shared" si="12"/>
        <v>-2604.71</v>
      </c>
      <c r="H58" s="17">
        <f t="shared" si="13"/>
        <v>-85.898822675856607</v>
      </c>
    </row>
    <row r="59" spans="1:8" ht="13.5" thickBot="1" x14ac:dyDescent="0.25">
      <c r="A59" s="13"/>
      <c r="B59" s="63" t="s">
        <v>2994</v>
      </c>
      <c r="C59" s="49">
        <f>SUM(C51:C58)</f>
        <v>21461.18</v>
      </c>
      <c r="D59" s="50">
        <f t="shared" si="11"/>
        <v>10.37799402084392</v>
      </c>
      <c r="E59" s="51">
        <f>SUM(E51:E58)</f>
        <v>23007.149999999998</v>
      </c>
      <c r="F59" s="50">
        <f t="shared" si="11"/>
        <v>12.019557160544283</v>
      </c>
      <c r="G59" s="51">
        <f>SUM(G51:G58)</f>
        <v>-1545.9699999999989</v>
      </c>
      <c r="H59" s="50">
        <f t="shared" si="13"/>
        <v>-6.7195198014530222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143661.37</v>
      </c>
      <c r="D61" s="71">
        <f>(C61*100)/C$8</f>
        <v>69.470403719005489</v>
      </c>
      <c r="E61" s="72">
        <f>E59+E49+E42+E33+E26</f>
        <v>147593.60999999999</v>
      </c>
      <c r="F61" s="71">
        <f>(E61*100)/E$8</f>
        <v>77.106892071642079</v>
      </c>
      <c r="G61" s="72">
        <f>G59+G49+G42+G33+G26</f>
        <v>-3932.2400000000057</v>
      </c>
      <c r="H61" s="71">
        <f>IF(E61=0,0,G61/E61*100)</f>
        <v>-2.664234583055463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HTR8'!$H:$H,'BAL N HTR8'!$I:$I,$A63,'BAL N HTR8'!$J:$J,"T")</f>
        <v>3530.78</v>
      </c>
      <c r="D63" s="17">
        <f t="shared" ref="D63:F65" si="14">(C63*100)/C$8</f>
        <v>1.7073811285733262</v>
      </c>
      <c r="E63" s="16">
        <f>-SUMIFS(DONNEESCUM_N1_NOUVEAU[MONTANT],DONNEESCUM_N1_NOUVEAU[TL2],A63,DONNEESCUM_N1_NOUVEAU[MOIS],DONNÉES!$C$5,DONNEESCUM_N1_NOUVEAU[SOCIETE],"HTR8")</f>
        <v>2720.48</v>
      </c>
      <c r="F63" s="17">
        <f t="shared" si="14"/>
        <v>1.4212523004421456</v>
      </c>
      <c r="G63" s="16">
        <f>+C63-E63</f>
        <v>810.30000000000018</v>
      </c>
      <c r="H63" s="17">
        <f>IF(E63=0,0,G63/E63*100)</f>
        <v>29.785184967358706</v>
      </c>
    </row>
    <row r="64" spans="1:8" s="18" customFormat="1" x14ac:dyDescent="0.2">
      <c r="A64" s="13" t="s">
        <v>2992</v>
      </c>
      <c r="B64" s="68" t="s">
        <v>65</v>
      </c>
      <c r="C64" s="23">
        <f>SUMIFS('BAL N HTR8'!$H:$H,'BAL N HTR8'!$I:$I,$A64,'BAL N HTR8'!$J:$J,"T")</f>
        <v>3932.54</v>
      </c>
      <c r="D64" s="17">
        <f t="shared" si="14"/>
        <v>1.9016604215951569</v>
      </c>
      <c r="E64" s="24">
        <f>SUMIFS(DONNEESCUM_N1_NOUVEAU[MONTANT],DONNEESCUM_N1_NOUVEAU[TL2],A64,DONNEESCUM_N1_NOUVEAU[MOIS],DONNÉES!$C$5,DONNEESCUM_N1_NOUVEAU[SOCIETE],"HTR8")</f>
        <v>2182.52</v>
      </c>
      <c r="F64" s="17">
        <f t="shared" si="14"/>
        <v>1.140207452641075</v>
      </c>
      <c r="G64" s="16">
        <f>+C64-E64</f>
        <v>1750.02</v>
      </c>
      <c r="H64" s="17">
        <f>IF(E64=0,0,G64/E64*100)</f>
        <v>80.183457654454486</v>
      </c>
    </row>
    <row r="65" spans="1:9" s="59" customFormat="1" ht="13.5" x14ac:dyDescent="0.2">
      <c r="A65" s="13"/>
      <c r="B65" s="62" t="s">
        <v>53</v>
      </c>
      <c r="C65" s="67">
        <f>+C63-C64</f>
        <v>-401.75999999999976</v>
      </c>
      <c r="D65" s="56">
        <f t="shared" si="14"/>
        <v>-0.19427929302183064</v>
      </c>
      <c r="E65" s="57">
        <f>+E63-E64</f>
        <v>537.96</v>
      </c>
      <c r="F65" s="56">
        <f t="shared" si="14"/>
        <v>0.28104484780107064</v>
      </c>
      <c r="G65" s="58">
        <f>+G63-G64</f>
        <v>-939.7199999999998</v>
      </c>
      <c r="H65" s="56">
        <f>IF(E65=0,0,G65/E65*100)</f>
        <v>-174.68213250055763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HTR8'!$H:$H,'BAL N HTR8'!$I:$I,$A67,'BAL N HTR8'!$J:$J,"T")</f>
        <v>0</v>
      </c>
      <c r="D67" s="17">
        <f>(C67*100)/C$8</f>
        <v>0</v>
      </c>
      <c r="E67" s="16">
        <f>-SUMIFS(DONNEESCUM_N1_NOUVEAU[MONTANT],DONNEESCUM_N1_NOUVEAU[TL2],A67,DONNEESCUM_N1_NOUVEAU[MOIS],DONNÉES!$C$5,DONNEESCUM_N1_NOUVEAU[SOCIETE],"HTR8")</f>
        <v>-21.24</v>
      </c>
      <c r="F67" s="17">
        <f>(E67*100)/E$8</f>
        <v>-1.1096350225471672E-2</v>
      </c>
      <c r="G67" s="16">
        <f>+C67-E67</f>
        <v>21.24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7771.5600000000068</v>
      </c>
      <c r="D69" s="10">
        <f>(C69*100)/C$8</f>
        <v>3.7580973279488754</v>
      </c>
      <c r="E69" s="9">
        <f>E18-E61+E65+E67</f>
        <v>-6176.1199999999671</v>
      </c>
      <c r="F69" s="10">
        <f>(E69*100)/E$8</f>
        <v>-3.2265720600065788</v>
      </c>
      <c r="G69" s="9">
        <f>G18-G61+G65+G67</f>
        <v>13947.680000000004</v>
      </c>
      <c r="H69" s="10">
        <f>IF(E69=0,0,G69/E69*100)</f>
        <v>-225.83239962954215</v>
      </c>
    </row>
    <row r="70" spans="1:9" ht="13.5" thickBot="1" x14ac:dyDescent="0.25">
      <c r="A70" s="13"/>
      <c r="B70" s="63" t="s">
        <v>3034</v>
      </c>
      <c r="C70" s="49">
        <f>+C69-C67+C57+C56</f>
        <v>13947.940000000006</v>
      </c>
      <c r="D70" s="50">
        <f>(C70*100)/C$8</f>
        <v>6.7448126302043887</v>
      </c>
      <c r="E70" s="49">
        <f>+E69-E67+E57+E56</f>
        <v>-534.87999999996737</v>
      </c>
      <c r="F70" s="50">
        <f>(E70*100)/E$8</f>
        <v>-0.27943577253295321</v>
      </c>
      <c r="G70" s="49">
        <f>+G69-G67+G57+G56</f>
        <v>14482.820000000003</v>
      </c>
      <c r="H70" s="50">
        <f>IF(E70=0,0,G70/E70*100)</f>
        <v>-2707.6764881844315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HTR8'!$H:$H,'BAL N HTR8'!$I:$I,$A72,'BAL N HTR8'!$J:$J,"T")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-SUMIFS(DONNEESCUM_N1_NOUVEAU[MONTANT],DONNEESCUM_N1_NOUVEAU[TL2],A72,DONNEESCUM_N1_NOUVEAU[MOIS],DONNÉES!$C$5,DONNEESCUM_N1_NOUVEAU[SOCIETE],"HTR8")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HTR8'!$H:$H,'BAL N HTR8'!$I:$I,$A74,'BAL N HTR8'!$J:$J,"T")</f>
        <v>14934.33</v>
      </c>
      <c r="D74" s="10">
        <f>(C74*100)/C$8</f>
        <v>7.2218017576531199</v>
      </c>
      <c r="E74" s="9">
        <f>SUMIFS(DONNEESCUM_N1_NOUVEAU[MONTANT],DONNEESCUM_N1_NOUVEAU[TL2],A74,DONNEESCUM_N1_NOUVEAU[MOIS],DONNÉES!$C$5,DONNEESCUM_N1_NOUVEAU[SOCIETE],"HTR8")</f>
        <v>12933.33</v>
      </c>
      <c r="F74" s="10">
        <f>(E74*100)/E$8</f>
        <v>6.756721245838019</v>
      </c>
      <c r="G74" s="9">
        <f>+C74-E74</f>
        <v>2001</v>
      </c>
      <c r="H74" s="10">
        <f>IF(E74=0,0,G74/E74*100)</f>
        <v>15.471653472075635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-7162.7699999999932</v>
      </c>
      <c r="D76" s="71">
        <f>(C76*100)/C$8</f>
        <v>-3.4637044297042441</v>
      </c>
      <c r="E76" s="72">
        <f>E69-E74+E72</f>
        <v>-19109.449999999968</v>
      </c>
      <c r="F76" s="71">
        <f>(E76*100)/E$8</f>
        <v>-9.9832933058445992</v>
      </c>
      <c r="G76" s="72">
        <f>G69-G74+G72</f>
        <v>11946.680000000004</v>
      </c>
      <c r="H76" s="71">
        <f>IF(E76=0,0,G76/E76*100)</f>
        <v>-62.51713157626213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VLOOKUP(PARAMETRES!$C$2,DONNÉES!$R$188:$X$199,2,FALSE)</f>
        <v>12710</v>
      </c>
      <c r="D78" s="324"/>
      <c r="E78" s="323">
        <f>VLOOKUP(PARAMETRES!$C$2,DONNÉES!$R$188:$X$199,3,FALSE)</f>
        <v>11959</v>
      </c>
      <c r="F78" s="324"/>
      <c r="G78" s="325">
        <f>C78-E78</f>
        <v>751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VLOOKUP(PARAMETRES!$C$2,DONNÉES!$R$284:$X$295,2,FALSE)</f>
        <v>16.55</v>
      </c>
      <c r="D80" s="316"/>
      <c r="E80" s="315">
        <f>VLOOKUP(PARAMETRES!$C$2,DONNÉES!$R$284:$X$295,3,FALSE)</f>
        <v>16.23</v>
      </c>
      <c r="F80" s="316"/>
      <c r="G80" s="317">
        <f>(C80-E80)/E80</f>
        <v>1.971657424522491E-2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7B4E0-2541-4D72-92CF-528B464523E8}">
  <sheetPr>
    <tabColor rgb="FFFFC000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5FB3-AD8E-404F-A6C2-73C52A52FC0F}">
  <sheetPr>
    <tabColor rgb="FFFFC0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3046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6895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210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TIRR'!$H:$H,'BAL N TIRR'!$I:$I,$A8,'BAL N TIRR'!$J:$J,"T")</f>
        <v>261126.99</v>
      </c>
      <c r="D8" s="71">
        <f>(C8*100)/C$8</f>
        <v>100</v>
      </c>
      <c r="E8" s="72">
        <f>-SUMIFS(DONNEESCUM_N1_NOUVEAU[MONTANT],DONNEESCUM_N1_NOUVEAU[TL2],A8,DONNEESCUM_N1_NOUVEAU[MOIS],DONNÉES!$C$5,DONNEESCUM_N1_NOUVEAU[SOCIETE],"TIRR")</f>
        <v>258424.23</v>
      </c>
      <c r="F8" s="71">
        <f>(E8*100)/E$8</f>
        <v>100</v>
      </c>
      <c r="G8" s="72">
        <f>+C8-E8</f>
        <v>2702.7599999999802</v>
      </c>
      <c r="H8" s="71">
        <f>IF(E8=0,0,G8/E8*100)</f>
        <v>1.0458616825519729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TIRR'!$H:$H,'BAL N TIRR'!$I:$I,$A10,'BAL N TIRR'!$J:$J,"T")</f>
        <v>58132.49</v>
      </c>
      <c r="D10" s="17">
        <f t="shared" ref="D10:F16" si="0">(C10*100)/C$8</f>
        <v>22.262152985411429</v>
      </c>
      <c r="E10" s="16">
        <f>SUMIFS(DONNEESCUM_N1_NOUVEAU[MONTANT],DONNEESCUM_N1_NOUVEAU[TL2],A10,DONNEESCUM_N1_NOUVEAU[MOIS],DONNÉES!$C$5,DONNEESCUM_N1_NOUVEAU[SOCIETE],"TIRR")</f>
        <v>55349.04</v>
      </c>
      <c r="F10" s="17">
        <f t="shared" si="0"/>
        <v>21.417898778299541</v>
      </c>
      <c r="G10" s="16">
        <f>+C10-E10</f>
        <v>2783.4499999999971</v>
      </c>
      <c r="H10" s="17">
        <f t="shared" ref="H10:H16" si="1">IF(E10=0,0,G10/E10*100)</f>
        <v>5.0289038436800295</v>
      </c>
    </row>
    <row r="11" spans="1:8" s="18" customFormat="1" x14ac:dyDescent="0.2">
      <c r="A11" s="13" t="s">
        <v>124</v>
      </c>
      <c r="B11" s="14" t="s">
        <v>4</v>
      </c>
      <c r="C11" s="23">
        <f>SUMIFS('BAL N TIRR'!$H:$H,'BAL N TIRR'!$I:$I,$A11,'BAL N TIRR'!$J:$J,"T")</f>
        <v>832.65</v>
      </c>
      <c r="D11" s="17">
        <f t="shared" si="0"/>
        <v>0.31886784280705721</v>
      </c>
      <c r="E11" s="16">
        <f>SUMIFS(DONNEESCUM_N1_NOUVEAU[MONTANT],DONNEESCUM_N1_NOUVEAU[TL2],A11,DONNEESCUM_N1_NOUVEAU[MOIS],DONNÉES!$C$5,DONNEESCUM_N1_NOUVEAU[SOCIETE],"TIRR")</f>
        <v>901.77</v>
      </c>
      <c r="F11" s="17">
        <f t="shared" si="0"/>
        <v>0.34894947737679238</v>
      </c>
      <c r="G11" s="16">
        <f>+C11-E11</f>
        <v>-69.12</v>
      </c>
      <c r="H11" s="17">
        <f t="shared" si="1"/>
        <v>-7.6649256462290829</v>
      </c>
    </row>
    <row r="12" spans="1:8" s="18" customFormat="1" x14ac:dyDescent="0.2">
      <c r="A12" s="13" t="s">
        <v>125</v>
      </c>
      <c r="B12" s="14" t="s">
        <v>2</v>
      </c>
      <c r="C12" s="23">
        <f>SUMIFS('BAL N TIRR'!$H:$H,'BAL N TIRR'!$I:$I,$A12,'BAL N TIRR'!$J:$J,"T")</f>
        <v>1711.68</v>
      </c>
      <c r="D12" s="17">
        <f t="shared" si="0"/>
        <v>0.6554971586812991</v>
      </c>
      <c r="E12" s="16">
        <f>SUMIFS(DONNEESCUM_N1_NOUVEAU[MONTANT],DONNEESCUM_N1_NOUVEAU[TL2],A12,DONNEESCUM_N1_NOUVEAU[MOIS],DONNÉES!$C$5,DONNEESCUM_N1_NOUVEAU[SOCIETE],"TIRR")</f>
        <v>1196.79</v>
      </c>
      <c r="F12" s="17">
        <f t="shared" si="0"/>
        <v>0.46311059918800956</v>
      </c>
      <c r="G12" s="16">
        <f>+C12-E12</f>
        <v>514.8900000000001</v>
      </c>
      <c r="H12" s="17">
        <f t="shared" si="1"/>
        <v>43.022585415987777</v>
      </c>
    </row>
    <row r="13" spans="1:8" s="59" customFormat="1" ht="13.5" x14ac:dyDescent="0.2">
      <c r="A13" s="60"/>
      <c r="B13" s="62" t="s">
        <v>6</v>
      </c>
      <c r="C13" s="55">
        <f>SUM(C10:C12)</f>
        <v>60676.82</v>
      </c>
      <c r="D13" s="56">
        <f t="shared" si="0"/>
        <v>23.236517986899784</v>
      </c>
      <c r="E13" s="55">
        <f>SUM(E10:E12)</f>
        <v>57447.6</v>
      </c>
      <c r="F13" s="56">
        <f t="shared" si="0"/>
        <v>22.229958854864343</v>
      </c>
      <c r="G13" s="55">
        <f>SUM(G10:G12)</f>
        <v>3229.2199999999975</v>
      </c>
      <c r="H13" s="56">
        <f t="shared" si="1"/>
        <v>5.6211573677577436</v>
      </c>
    </row>
    <row r="14" spans="1:8" s="18" customFormat="1" x14ac:dyDescent="0.2">
      <c r="A14" s="13" t="s">
        <v>126</v>
      </c>
      <c r="B14" s="14" t="s">
        <v>8</v>
      </c>
      <c r="C14" s="23">
        <f>SUMIFS('BAL N TIRR'!$H:$H,'BAL N TIRR'!$I:$I,$A14,'BAL N TIRR'!$J:$J,"T")</f>
        <v>5799.9</v>
      </c>
      <c r="D14" s="17">
        <f t="shared" si="0"/>
        <v>2.2211032264416635</v>
      </c>
      <c r="E14" s="16">
        <f>SUMIFS(DONNEESCUM_N1_NOUVEAU[MONTANT],DONNEESCUM_N1_NOUVEAU[TL2],A14,DONNEESCUM_N1_NOUVEAU[MOIS],DONNÉES!$C$5,DONNEESCUM_N1_NOUVEAU[SOCIETE],"TIRR")</f>
        <v>5465.52</v>
      </c>
      <c r="F14" s="17">
        <f t="shared" si="0"/>
        <v>2.1149410022427078</v>
      </c>
      <c r="G14" s="16">
        <f>+C14-E14</f>
        <v>334.3799999999992</v>
      </c>
      <c r="H14" s="17">
        <f t="shared" si="1"/>
        <v>6.1179906029069366</v>
      </c>
    </row>
    <row r="15" spans="1:8" s="18" customFormat="1" x14ac:dyDescent="0.2">
      <c r="A15" s="13" t="s">
        <v>2964</v>
      </c>
      <c r="B15" s="14" t="s">
        <v>2965</v>
      </c>
      <c r="C15" s="23">
        <f>SUMIFS('BAL N TIRR'!$H:$H,'BAL N TIRR'!$I:$I,$A15,'BAL N TIRR'!$J:$J,"T")</f>
        <v>440.51</v>
      </c>
      <c r="D15" s="17">
        <f t="shared" si="0"/>
        <v>0.16869569859477185</v>
      </c>
      <c r="E15" s="16">
        <f>SUMIFS(DONNEESCUM_N1_NOUVEAU[MONTANT],DONNEESCUM_N1_NOUVEAU[TL2],A15,DONNEESCUM_N1_NOUVEAU[MOIS],DONNÉES!$C$5,DONNEESCUM_N1_NOUVEAU[SOCIETE],"TIRR")</f>
        <v>654.27</v>
      </c>
      <c r="F15" s="17">
        <f t="shared" si="0"/>
        <v>0.25317672417946258</v>
      </c>
      <c r="G15" s="16">
        <f>+C15-E15</f>
        <v>-213.76</v>
      </c>
      <c r="H15" s="17">
        <f t="shared" si="1"/>
        <v>-32.671527045409391</v>
      </c>
    </row>
    <row r="16" spans="1:8" ht="13.5" thickBot="1" x14ac:dyDescent="0.25">
      <c r="A16" s="7"/>
      <c r="B16" s="63" t="s">
        <v>10</v>
      </c>
      <c r="C16" s="49">
        <f>+C13+SUM(C14:C15)</f>
        <v>66917.23</v>
      </c>
      <c r="D16" s="50">
        <f t="shared" si="0"/>
        <v>25.626316911936222</v>
      </c>
      <c r="E16" s="49">
        <f>+E13+SUM(E14:E15)</f>
        <v>63567.39</v>
      </c>
      <c r="F16" s="50">
        <f t="shared" si="0"/>
        <v>24.598076581286513</v>
      </c>
      <c r="G16" s="49">
        <f>+G13+SUM(G14:G15)</f>
        <v>3349.8399999999965</v>
      </c>
      <c r="H16" s="50">
        <f t="shared" si="1"/>
        <v>5.2697460128534397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194209.76</v>
      </c>
      <c r="D18" s="71">
        <f>(C18*100)/C$8</f>
        <v>74.373683088063785</v>
      </c>
      <c r="E18" s="70">
        <f>E8-E16</f>
        <v>194856.84000000003</v>
      </c>
      <c r="F18" s="71">
        <f>(E18*100)/E$8</f>
        <v>75.401923418713494</v>
      </c>
      <c r="G18" s="70">
        <f>G8-G16</f>
        <v>-647.0800000000163</v>
      </c>
      <c r="H18" s="71">
        <f>IF(E18=0,0,G18/E18*100)</f>
        <v>-0.33207969502123519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TIRR'!$H:$H,'BAL N TIRR'!$I:$I,$A20,'BAL N TIRR'!$J:$J,"T")</f>
        <v>30718.240000000002</v>
      </c>
      <c r="D20" s="17">
        <f t="shared" ref="D20:F26" si="2">(C20*100)/C$8</f>
        <v>11.763716956259481</v>
      </c>
      <c r="E20" s="16">
        <f>SUMIFS(DONNEESCUM_N1_NOUVEAU[MONTANT],DONNEESCUM_N1_NOUVEAU[TL2],A20,DONNEESCUM_N1_NOUVEAU[MOIS],DONNÉES!$C$5,DONNEESCUM_N1_NOUVEAU[SOCIETE],"TIRR")</f>
        <v>32358.41</v>
      </c>
      <c r="F20" s="17">
        <f t="shared" si="2"/>
        <v>12.521430362779837</v>
      </c>
      <c r="G20" s="16">
        <f t="shared" ref="G20:G25" si="3">+C20-E20</f>
        <v>-1640.1699999999983</v>
      </c>
      <c r="H20" s="17">
        <f t="shared" ref="H20:H26" si="4">IF(E20=0,0,G20/E20*100)</f>
        <v>-5.0687595589523662</v>
      </c>
    </row>
    <row r="21" spans="1:8" s="18" customFormat="1" x14ac:dyDescent="0.2">
      <c r="A21" s="13">
        <v>9</v>
      </c>
      <c r="B21" s="14" t="s">
        <v>2968</v>
      </c>
      <c r="C21" s="23">
        <f>SUMIFS('BAL N TIRR'!$H:$H,'BAL N TIRR'!$I:$I,$A21,'BAL N TIRR'!$J:$J,"T")</f>
        <v>4628.82</v>
      </c>
      <c r="D21" s="17">
        <f t="shared" si="2"/>
        <v>1.7726317758267731</v>
      </c>
      <c r="E21" s="16">
        <f>SUMIFS(DONNEESCUM_N1_NOUVEAU[MONTANT],DONNEESCUM_N1_NOUVEAU[TL2],A21,DONNEESCUM_N1_NOUVEAU[MOIS],DONNÉES!$C$5,DONNEESCUM_N1_NOUVEAU[SOCIETE],"TIRR")</f>
        <v>4005.03</v>
      </c>
      <c r="F21" s="17">
        <f t="shared" si="2"/>
        <v>1.5497888878299066</v>
      </c>
      <c r="G21" s="16">
        <f t="shared" si="3"/>
        <v>623.78999999999951</v>
      </c>
      <c r="H21" s="17">
        <f t="shared" si="4"/>
        <v>15.57516423097953</v>
      </c>
    </row>
    <row r="22" spans="1:8" s="18" customFormat="1" x14ac:dyDescent="0.2">
      <c r="A22" s="13" t="s">
        <v>12</v>
      </c>
      <c r="B22" s="14" t="s">
        <v>14</v>
      </c>
      <c r="C22" s="23">
        <f>SUMIFS('BAL N TIRR'!$H:$H,'BAL N TIRR'!$I:$I,$A22,'BAL N TIRR'!$J:$J,"T")</f>
        <v>15280.19</v>
      </c>
      <c r="D22" s="17">
        <f t="shared" si="2"/>
        <v>5.851631805659002</v>
      </c>
      <c r="E22" s="16">
        <f>SUMIFS(DONNEESCUM_N1_NOUVEAU[MONTANT],DONNEESCUM_N1_NOUVEAU[TL2],A22,DONNEESCUM_N1_NOUVEAU[MOIS],DONNÉES!$C$5,DONNEESCUM_N1_NOUVEAU[SOCIETE],"TIRR")</f>
        <v>32370.71</v>
      </c>
      <c r="F22" s="17">
        <f t="shared" si="2"/>
        <v>12.52618997839328</v>
      </c>
      <c r="G22" s="16">
        <f t="shared" si="3"/>
        <v>-17090.519999999997</v>
      </c>
      <c r="H22" s="17">
        <f t="shared" si="4"/>
        <v>-52.796246977591778</v>
      </c>
    </row>
    <row r="23" spans="1:8" s="18" customFormat="1" x14ac:dyDescent="0.2">
      <c r="A23" s="13" t="s">
        <v>13</v>
      </c>
      <c r="B23" s="14" t="s">
        <v>2966</v>
      </c>
      <c r="C23" s="23">
        <f>SUMIFS('BAL N TIRR'!$H:$H,'BAL N TIRR'!$I:$I,$A23,'BAL N TIRR'!$J:$J,"T")</f>
        <v>3977.4</v>
      </c>
      <c r="D23" s="17">
        <f t="shared" si="2"/>
        <v>1.5231669464730553</v>
      </c>
      <c r="E23" s="16">
        <f>SUMIFS(DONNEESCUM_N1_NOUVEAU[MONTANT],DONNEESCUM_N1_NOUVEAU[TL2],A23,DONNEESCUM_N1_NOUVEAU[MOIS],DONNÉES!$C$5,DONNEESCUM_N1_NOUVEAU[SOCIETE],"TIRR")</f>
        <v>4559.72</v>
      </c>
      <c r="F23" s="17">
        <f t="shared" si="2"/>
        <v>1.7644320735714294</v>
      </c>
      <c r="G23" s="16">
        <f t="shared" si="3"/>
        <v>-582.32000000000016</v>
      </c>
      <c r="H23" s="17">
        <f t="shared" si="4"/>
        <v>-12.770959620327565</v>
      </c>
    </row>
    <row r="24" spans="1:8" s="18" customFormat="1" x14ac:dyDescent="0.2">
      <c r="A24" s="13" t="s">
        <v>15</v>
      </c>
      <c r="B24" s="14" t="s">
        <v>2969</v>
      </c>
      <c r="C24" s="23">
        <f>SUMIFS('BAL N TIRR'!$H:$H,'BAL N TIRR'!$I:$I,$A24,'BAL N TIRR'!$J:$J,"T")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SUMIFS(DONNEESCUM_N1_NOUVEAU[MONTANT],DONNEESCUM_N1_NOUVEAU[TL2],A24,DONNEESCUM_N1_NOUVEAU[MOIS],DONNÉES!$C$5,DONNEESCUM_N1_NOUVEAU[SOCIETE],"TIRR")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TIRR'!$H:$H,'BAL N TIRR'!$I:$I,$A25,'BAL N TIRR'!$J:$J,"T")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SUMIFS(DONNEESCUM_N1_NOUVEAU[MONTANT],DONNEESCUM_N1_NOUVEAU[TL2],A25,DONNEESCUM_N1_NOUVEAU[MOIS],DONNÉES!$C$5,DONNEESCUM_N1_NOUVEAU[SOCIETE],"TIRR")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54604.65</v>
      </c>
      <c r="D26" s="50">
        <f t="shared" si="2"/>
        <v>20.911147484218311</v>
      </c>
      <c r="E26" s="51">
        <f>SUM(E20:E25)</f>
        <v>73293.87</v>
      </c>
      <c r="F26" s="50">
        <f t="shared" si="2"/>
        <v>28.361841302574451</v>
      </c>
      <c r="G26" s="51">
        <f>SUM(G20:G25)</f>
        <v>-18689.219999999994</v>
      </c>
      <c r="H26" s="50">
        <f t="shared" si="4"/>
        <v>-25.499021950948965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TIRR'!$H:$H,'BAL N TIRR'!$I:$I,$A28,'BAL N TIRR'!$J:$J,"T")</f>
        <v>9387.4699999999993</v>
      </c>
      <c r="D28" s="17">
        <f t="shared" ref="D28:F33" si="5">(C28*100)/C$8</f>
        <v>3.5949826557568789</v>
      </c>
      <c r="E28" s="16">
        <f>SUMIFS(DONNEESCUM_N1_NOUVEAU[MONTANT],DONNEESCUM_N1_NOUVEAU[TL2],A28,DONNEESCUM_N1_NOUVEAU[MOIS],DONNÉES!$C$5,DONNEESCUM_N1_NOUVEAU[SOCIETE],"TIRR")</f>
        <v>325</v>
      </c>
      <c r="F28" s="17">
        <f t="shared" si="5"/>
        <v>0.12576220116821088</v>
      </c>
      <c r="G28" s="16">
        <f>+C28-E28</f>
        <v>9062.4699999999993</v>
      </c>
      <c r="H28" s="17">
        <f t="shared" ref="H28:H33" si="6">IF(E28=0,0,G28/E28*100)</f>
        <v>2788.4523076923074</v>
      </c>
    </row>
    <row r="29" spans="1:8" s="18" customFormat="1" x14ac:dyDescent="0.2">
      <c r="A29" s="13" t="s">
        <v>20</v>
      </c>
      <c r="B29" s="14" t="s">
        <v>2972</v>
      </c>
      <c r="C29" s="23">
        <f>SUMIFS('BAL N TIRR'!$H:$H,'BAL N TIRR'!$I:$I,$A29,'BAL N TIRR'!$J:$J,"T")</f>
        <v>36.47</v>
      </c>
      <c r="D29" s="17">
        <f t="shared" si="5"/>
        <v>1.3966384708068668E-2</v>
      </c>
      <c r="E29" s="16">
        <f>SUMIFS(DONNEESCUM_N1_NOUVEAU[MONTANT],DONNEESCUM_N1_NOUVEAU[TL2],A29,DONNEESCUM_N1_NOUVEAU[MOIS],DONNÉES!$C$5,DONNEESCUM_N1_NOUVEAU[SOCIETE],"TIRR")</f>
        <v>206.47</v>
      </c>
      <c r="F29" s="17">
        <f t="shared" si="5"/>
        <v>7.9895759000616934E-2</v>
      </c>
      <c r="G29" s="16">
        <f>+C29-E29</f>
        <v>-170</v>
      </c>
      <c r="H29" s="17">
        <f t="shared" si="6"/>
        <v>-82.3364169128687</v>
      </c>
    </row>
    <row r="30" spans="1:8" s="18" customFormat="1" x14ac:dyDescent="0.2">
      <c r="A30" s="13" t="s">
        <v>21</v>
      </c>
      <c r="B30" s="14" t="s">
        <v>2973</v>
      </c>
      <c r="C30" s="23">
        <f>SUMIFS('BAL N TIRR'!$H:$H,'BAL N TIRR'!$I:$I,$A30,'BAL N TIRR'!$J:$J,"T")</f>
        <v>2640.92</v>
      </c>
      <c r="D30" s="17">
        <f t="shared" si="5"/>
        <v>1.0113546669381055</v>
      </c>
      <c r="E30" s="16">
        <f>SUMIFS(DONNEESCUM_N1_NOUVEAU[MONTANT],DONNEESCUM_N1_NOUVEAU[TL2],A30,DONNEESCUM_N1_NOUVEAU[MOIS],DONNÉES!$C$5,DONNEESCUM_N1_NOUVEAU[SOCIETE],"TIRR")</f>
        <v>1871.06</v>
      </c>
      <c r="F30" s="17">
        <f t="shared" si="5"/>
        <v>0.72402653574705433</v>
      </c>
      <c r="G30" s="16">
        <f>+C30-E30</f>
        <v>769.86000000000013</v>
      </c>
      <c r="H30" s="17">
        <f t="shared" si="6"/>
        <v>41.145660748452755</v>
      </c>
    </row>
    <row r="31" spans="1:8" s="18" customFormat="1" x14ac:dyDescent="0.2">
      <c r="A31" s="13" t="s">
        <v>23</v>
      </c>
      <c r="B31" s="14" t="s">
        <v>2974</v>
      </c>
      <c r="C31" s="23">
        <f>SUMIFS('BAL N TIRR'!$H:$H,'BAL N TIRR'!$I:$I,$A31,'BAL N TIRR'!$J:$J,"T")</f>
        <v>2586.9899999999998</v>
      </c>
      <c r="D31" s="17">
        <f t="shared" si="5"/>
        <v>0.99070188033799178</v>
      </c>
      <c r="E31" s="16">
        <f>SUMIFS(DONNEESCUM_N1_NOUVEAU[MONTANT],DONNEESCUM_N1_NOUVEAU[TL2],A31,DONNEESCUM_N1_NOUVEAU[MOIS],DONNÉES!$C$5,DONNEESCUM_N1_NOUVEAU[SOCIETE],"TIRR")</f>
        <v>1469.65</v>
      </c>
      <c r="F31" s="17">
        <f t="shared" si="5"/>
        <v>0.56869667368264964</v>
      </c>
      <c r="G31" s="16">
        <f>+C31-E31</f>
        <v>1117.3399999999997</v>
      </c>
      <c r="H31" s="17">
        <f t="shared" si="6"/>
        <v>76.027625625148815</v>
      </c>
    </row>
    <row r="32" spans="1:8" s="18" customFormat="1" x14ac:dyDescent="0.2">
      <c r="A32" s="13" t="s">
        <v>25</v>
      </c>
      <c r="B32" s="14" t="s">
        <v>2975</v>
      </c>
      <c r="C32" s="23">
        <f>SUMIFS('BAL N TIRR'!$H:$H,'BAL N TIRR'!$I:$I,$A32,'BAL N TIRR'!$J:$J,"T")</f>
        <v>6753.49</v>
      </c>
      <c r="D32" s="17">
        <f t="shared" si="5"/>
        <v>2.5862856995364591</v>
      </c>
      <c r="E32" s="16">
        <f>SUMIFS(DONNEESCUM_N1_NOUVEAU[MONTANT],DONNEESCUM_N1_NOUVEAU[TL2],A32,DONNEESCUM_N1_NOUVEAU[MOIS],DONNÉES!$C$5,DONNEESCUM_N1_NOUVEAU[SOCIETE],"TIRR")</f>
        <v>6942.23</v>
      </c>
      <c r="F32" s="17">
        <f t="shared" si="5"/>
        <v>2.6863696178953496</v>
      </c>
      <c r="G32" s="16">
        <f>+C32-E32</f>
        <v>-188.73999999999978</v>
      </c>
      <c r="H32" s="17">
        <f t="shared" si="6"/>
        <v>-2.7187229463731368</v>
      </c>
    </row>
    <row r="33" spans="1:8" ht="13.5" thickBot="1" x14ac:dyDescent="0.25">
      <c r="A33" s="7"/>
      <c r="B33" s="63" t="s">
        <v>2976</v>
      </c>
      <c r="C33" s="49">
        <f>SUM(C28:C32)</f>
        <v>21405.339999999997</v>
      </c>
      <c r="D33" s="50">
        <f t="shared" si="5"/>
        <v>8.197291287277503</v>
      </c>
      <c r="E33" s="51">
        <f>SUM(E28:E32)</f>
        <v>10814.41</v>
      </c>
      <c r="F33" s="50">
        <f t="shared" si="5"/>
        <v>4.1847507874938819</v>
      </c>
      <c r="G33" s="51">
        <f>SUM(G28:G32)</f>
        <v>10590.93</v>
      </c>
      <c r="H33" s="50">
        <f t="shared" si="6"/>
        <v>97.933497990181621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TIRR'!$H:$H,'BAL N TIRR'!$I:$I,$A35,'BAL N TIRR'!$J:$J,"T")</f>
        <v>6373.98</v>
      </c>
      <c r="D35" s="17">
        <f t="shared" ref="D35:F42" si="7">(C35*100)/C$8</f>
        <v>2.4409502824660141</v>
      </c>
      <c r="E35" s="16">
        <f>SUMIFS(DONNEESCUM_N1_NOUVEAU[MONTANT],DONNEESCUM_N1_NOUVEAU[TL2],A35,DONNEESCUM_N1_NOUVEAU[MOIS],DONNÉES!$C$5,DONNEESCUM_N1_NOUVEAU[SOCIETE],"TIRR")</f>
        <v>5911.41</v>
      </c>
      <c r="F35" s="17">
        <f t="shared" si="7"/>
        <v>2.2874828726393033</v>
      </c>
      <c r="G35" s="16">
        <f t="shared" ref="G35:G41" si="8">+C35-E35</f>
        <v>462.56999999999971</v>
      </c>
      <c r="H35" s="17">
        <f t="shared" ref="H35:H42" si="9">IF(E35=0,0,G35/E35*100)</f>
        <v>7.8250366663790833</v>
      </c>
    </row>
    <row r="36" spans="1:8" s="18" customFormat="1" x14ac:dyDescent="0.2">
      <c r="A36" s="13" t="s">
        <v>30</v>
      </c>
      <c r="B36" s="14" t="s">
        <v>145</v>
      </c>
      <c r="C36" s="23">
        <f>SUMIFS('BAL N TIRR'!$H:$H,'BAL N TIRR'!$I:$I,$A36,'BAL N TIRR'!$J:$J,"T")</f>
        <v>10534.83</v>
      </c>
      <c r="D36" s="17">
        <f t="shared" si="7"/>
        <v>4.0343704034577197</v>
      </c>
      <c r="E36" s="16">
        <f>SUMIFS(DONNEESCUM_N1_NOUVEAU[MONTANT],DONNEESCUM_N1_NOUVEAU[TL2],A36,DONNEESCUM_N1_NOUVEAU[MOIS],DONNÉES!$C$5,DONNEESCUM_N1_NOUVEAU[SOCIETE],"TIRR")</f>
        <v>10343.530000000001</v>
      </c>
      <c r="F36" s="17">
        <f t="shared" si="7"/>
        <v>4.0025387712289984</v>
      </c>
      <c r="G36" s="16">
        <f t="shared" si="8"/>
        <v>191.29999999999927</v>
      </c>
      <c r="H36" s="17">
        <f t="shared" si="9"/>
        <v>1.8494653179330391</v>
      </c>
    </row>
    <row r="37" spans="1:8" s="18" customFormat="1" x14ac:dyDescent="0.2">
      <c r="A37" s="13" t="s">
        <v>32</v>
      </c>
      <c r="B37" s="14" t="s">
        <v>19</v>
      </c>
      <c r="C37" s="23">
        <f>SUMIFS('BAL N TIRR'!$H:$H,'BAL N TIRR'!$I:$I,$A37,'BAL N TIRR'!$J:$J,"T")</f>
        <v>5917.34</v>
      </c>
      <c r="D37" s="17">
        <f t="shared" si="7"/>
        <v>2.2660775127075143</v>
      </c>
      <c r="E37" s="16">
        <f>SUMIFS(DONNEESCUM_N1_NOUVEAU[MONTANT],DONNEESCUM_N1_NOUVEAU[TL2],A37,DONNEESCUM_N1_NOUVEAU[MOIS],DONNÉES!$C$5,DONNEESCUM_N1_NOUVEAU[SOCIETE],"TIRR")</f>
        <v>5259.47</v>
      </c>
      <c r="F37" s="17">
        <f t="shared" si="7"/>
        <v>2.035207766702062</v>
      </c>
      <c r="G37" s="16">
        <f t="shared" si="8"/>
        <v>657.86999999999989</v>
      </c>
      <c r="H37" s="17">
        <f t="shared" si="9"/>
        <v>12.508294561999591</v>
      </c>
    </row>
    <row r="38" spans="1:8" s="18" customFormat="1" x14ac:dyDescent="0.2">
      <c r="A38" s="13" t="s">
        <v>34</v>
      </c>
      <c r="B38" s="14" t="s">
        <v>28</v>
      </c>
      <c r="C38" s="23">
        <f>SUMIFS('BAL N TIRR'!$H:$H,'BAL N TIRR'!$I:$I,$A38,'BAL N TIRR'!$J:$J,"T")</f>
        <v>8560</v>
      </c>
      <c r="D38" s="17">
        <f t="shared" si="7"/>
        <v>3.2780985221022156</v>
      </c>
      <c r="E38" s="16">
        <f>SUMIFS(DONNEESCUM_N1_NOUVEAU[MONTANT],DONNEESCUM_N1_NOUVEAU[TL2],A38,DONNEESCUM_N1_NOUVEAU[MOIS],DONNÉES!$C$5,DONNEESCUM_N1_NOUVEAU[SOCIETE],"TIRR")</f>
        <v>12540</v>
      </c>
      <c r="F38" s="17">
        <f t="shared" si="7"/>
        <v>4.8524861619980451</v>
      </c>
      <c r="G38" s="16">
        <f t="shared" si="8"/>
        <v>-3980</v>
      </c>
      <c r="H38" s="17">
        <f t="shared" si="9"/>
        <v>-31.738437001594892</v>
      </c>
    </row>
    <row r="39" spans="1:8" s="18" customFormat="1" x14ac:dyDescent="0.2">
      <c r="A39" s="13" t="s">
        <v>2978</v>
      </c>
      <c r="B39" s="14" t="s">
        <v>2980</v>
      </c>
      <c r="C39" s="23">
        <f>SUMIFS('BAL N TIRR'!$H:$H,'BAL N TIRR'!$I:$I,$A39,'BAL N TIRR'!$J:$J,"T")</f>
        <v>2074.92</v>
      </c>
      <c r="D39" s="17">
        <f t="shared" si="7"/>
        <v>0.79460189082714128</v>
      </c>
      <c r="E39" s="16">
        <f>SUMIFS(DONNEESCUM_N1_NOUVEAU[MONTANT],DONNEESCUM_N1_NOUVEAU[TL2],A39,DONNEESCUM_N1_NOUVEAU[MOIS],DONNÉES!$C$5,DONNEESCUM_N1_NOUVEAU[SOCIETE],"TIRR")</f>
        <v>818.31</v>
      </c>
      <c r="F39" s="17">
        <f t="shared" si="7"/>
        <v>0.31665374411679587</v>
      </c>
      <c r="G39" s="16">
        <f t="shared" si="8"/>
        <v>1256.6100000000001</v>
      </c>
      <c r="H39" s="17">
        <f t="shared" si="9"/>
        <v>153.56160868130661</v>
      </c>
    </row>
    <row r="40" spans="1:8" s="18" customFormat="1" x14ac:dyDescent="0.2">
      <c r="A40" s="13" t="s">
        <v>2979</v>
      </c>
      <c r="B40" s="14" t="s">
        <v>2981</v>
      </c>
      <c r="C40" s="23">
        <f>SUMIFS('BAL N TIRR'!$H:$H,'BAL N TIRR'!$I:$I,$A40,'BAL N TIRR'!$J:$J,"T")</f>
        <v>10.92</v>
      </c>
      <c r="D40" s="17">
        <f t="shared" si="7"/>
        <v>4.181873348289275E-3</v>
      </c>
      <c r="E40" s="16">
        <f>SUMIFS(DONNEESCUM_N1_NOUVEAU[MONTANT],DONNEESCUM_N1_NOUVEAU[TL2],A40,DONNEESCUM_N1_NOUVEAU[MOIS],DONNÉES!$C$5,DONNEESCUM_N1_NOUVEAU[SOCIETE],"TIRR")</f>
        <v>40.799999999999997</v>
      </c>
      <c r="F40" s="17">
        <f t="shared" si="7"/>
        <v>1.5787993254347703E-2</v>
      </c>
      <c r="G40" s="16">
        <f t="shared" si="8"/>
        <v>-29.879999999999995</v>
      </c>
      <c r="H40" s="17">
        <f t="shared" si="9"/>
        <v>-73.235294117647058</v>
      </c>
    </row>
    <row r="41" spans="1:8" s="18" customFormat="1" x14ac:dyDescent="0.2">
      <c r="A41" s="13" t="s">
        <v>2982</v>
      </c>
      <c r="B41" s="14" t="s">
        <v>2983</v>
      </c>
      <c r="C41" s="23">
        <f>SUMIFS('BAL N TIRR'!$H:$H,'BAL N TIRR'!$I:$I,$A41,'BAL N TIRR'!$J:$J,"T")</f>
        <v>715.3</v>
      </c>
      <c r="D41" s="17">
        <f t="shared" si="7"/>
        <v>0.27392802253034054</v>
      </c>
      <c r="E41" s="16">
        <f>SUMIFS(DONNEESCUM_N1_NOUVEAU[MONTANT],DONNEESCUM_N1_NOUVEAU[TL2],A41,DONNEESCUM_N1_NOUVEAU[MOIS],DONNÉES!$C$5,DONNEESCUM_N1_NOUVEAU[SOCIETE],"TIRR")</f>
        <v>615.83000000000004</v>
      </c>
      <c r="F41" s="17">
        <f t="shared" si="7"/>
        <v>0.23830195798590559</v>
      </c>
      <c r="G41" s="16">
        <f t="shared" si="8"/>
        <v>99.469999999999914</v>
      </c>
      <c r="H41" s="17">
        <f t="shared" si="9"/>
        <v>16.152184856210301</v>
      </c>
    </row>
    <row r="42" spans="1:8" ht="13.5" thickBot="1" x14ac:dyDescent="0.25">
      <c r="A42" s="13"/>
      <c r="B42" s="63" t="s">
        <v>2984</v>
      </c>
      <c r="C42" s="49">
        <f>+SUM(C35:C41)</f>
        <v>34187.29</v>
      </c>
      <c r="D42" s="50">
        <f t="shared" si="7"/>
        <v>13.092208507439235</v>
      </c>
      <c r="E42" s="51">
        <f>+SUM(E35:E41)</f>
        <v>35529.350000000006</v>
      </c>
      <c r="F42" s="50">
        <f t="shared" si="7"/>
        <v>13.748459267925458</v>
      </c>
      <c r="G42" s="51">
        <f>+SUM(G35:G41)</f>
        <v>-1342.0600000000013</v>
      </c>
      <c r="H42" s="50">
        <f t="shared" si="9"/>
        <v>-3.7773277585995837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84012.48000000001</v>
      </c>
      <c r="D44" s="71">
        <f>(C44*100)/C$8</f>
        <v>32.173035809128741</v>
      </c>
      <c r="E44" s="72">
        <f>E18-E26-E33-E42</f>
        <v>75219.210000000021</v>
      </c>
      <c r="F44" s="71">
        <f>(E44*100)/E$8</f>
        <v>29.106872060719699</v>
      </c>
      <c r="G44" s="72">
        <f>G18-G26-G33-G42</f>
        <v>8793.2699999999786</v>
      </c>
      <c r="H44" s="71">
        <f>IF(E44=0,0,G44/E44*100)</f>
        <v>11.690191907093913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TIRR'!$H:$H,'BAL N TIRR'!$I:$I,$A46,'BAL N TIRR'!$J:$J,"T")</f>
        <v>38690.46</v>
      </c>
      <c r="D46" s="17">
        <f t="shared" ref="D46:F49" si="10">(C46*100)/C$8</f>
        <v>14.816721932880244</v>
      </c>
      <c r="E46" s="16">
        <f>SUMIFS(DONNEESCUM_N1_NOUVEAU[MONTANT],DONNEESCUM_N1_NOUVEAU[TL2],A46,DONNEESCUM_N1_NOUVEAU[MOIS],DONNÉES!$C$5,DONNEESCUM_N1_NOUVEAU[SOCIETE],"TIRR")</f>
        <v>37968.89</v>
      </c>
      <c r="F46" s="17">
        <f t="shared" si="10"/>
        <v>14.692465176349756</v>
      </c>
      <c r="G46" s="16">
        <f>+C46-E46</f>
        <v>721.56999999999971</v>
      </c>
      <c r="H46" s="17">
        <f>IF(E46=0,0,G46/E46*100)</f>
        <v>1.9004242683944665</v>
      </c>
    </row>
    <row r="47" spans="1:8" s="18" customFormat="1" x14ac:dyDescent="0.2">
      <c r="A47" s="13" t="s">
        <v>35</v>
      </c>
      <c r="B47" s="14" t="s">
        <v>2986</v>
      </c>
      <c r="C47" s="23">
        <f>SUMIFS('BAL N TIRR'!$H:$H,'BAL N TIRR'!$I:$I,$A47,'BAL N TIRR'!$J:$J,"T")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SUMIFS(DONNEESCUM_N1_NOUVEAU[MONTANT],DONNEESCUM_N1_NOUVEAU[TL2],A47,DONNEESCUM_N1_NOUVEAU[MOIS],DONNÉES!$C$5,DONNEESCUM_N1_NOUVEAU[SOCIETE],"TIRR")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TIRR'!$H:$H,'BAL N TIRR'!$I:$I,$A48,'BAL N TIRR'!$J:$J,"T")</f>
        <v>-674.11</v>
      </c>
      <c r="D48" s="17">
        <f t="shared" si="10"/>
        <v>-0.25815408816989771</v>
      </c>
      <c r="E48" s="16">
        <f>SUMIFS(DONNEESCUM_N1_NOUVEAU[MONTANT],DONNEESCUM_N1_NOUVEAU[TL2],A48,DONNEESCUM_N1_NOUVEAU[MOIS],DONNÉES!$C$5,DONNEESCUM_N1_NOUVEAU[SOCIETE],"TIRR")</f>
        <v>-980.37</v>
      </c>
      <c r="F48" s="17">
        <f t="shared" si="10"/>
        <v>-0.3793645820285505</v>
      </c>
      <c r="G48" s="16">
        <f>+C48-E48</f>
        <v>306.26</v>
      </c>
      <c r="H48" s="17">
        <f>IF(E48=0,0,G48/E48*100)</f>
        <v>-31.239226006507749</v>
      </c>
    </row>
    <row r="49" spans="1:8" ht="13.5" thickBot="1" x14ac:dyDescent="0.25">
      <c r="A49" s="13"/>
      <c r="B49" s="63" t="s">
        <v>2988</v>
      </c>
      <c r="C49" s="49">
        <f>SUM(C46:C48)</f>
        <v>38016.35</v>
      </c>
      <c r="D49" s="50">
        <f t="shared" si="10"/>
        <v>14.558567844710346</v>
      </c>
      <c r="E49" s="51">
        <f>SUM(E46:E48)</f>
        <v>36988.519999999997</v>
      </c>
      <c r="F49" s="50">
        <f t="shared" si="10"/>
        <v>14.313100594321204</v>
      </c>
      <c r="G49" s="51">
        <f>SUM(G46:G48)</f>
        <v>1027.8299999999997</v>
      </c>
      <c r="H49" s="50">
        <f>IF(E49=0,0,G49/E49*100)</f>
        <v>2.7787810920793801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TIRR'!$H:$H,'BAL N TIRR'!$I:$I,$A51,'BAL N TIRR'!$J:$J,"T")</f>
        <v>690</v>
      </c>
      <c r="D51" s="17">
        <f t="shared" ref="D51:F59" si="11">(C51*100)/C$8</f>
        <v>0.2642392500292674</v>
      </c>
      <c r="E51" s="16">
        <f>SUMIFS(DONNEESCUM_N1_NOUVEAU[MONTANT],DONNEESCUM_N1_NOUVEAU[TL2],A51,DONNEESCUM_N1_NOUVEAU[MOIS],DONNÉES!$C$5,DONNEESCUM_N1_NOUVEAU[SOCIETE],"TIRR")</f>
        <v>690</v>
      </c>
      <c r="F51" s="17">
        <f t="shared" si="11"/>
        <v>0.2670028270955862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TIRR'!$H:$H,'BAL N TIRR'!$I:$I,$A52,'BAL N TIRR'!$J:$J,"T")</f>
        <v>13340.88</v>
      </c>
      <c r="D52" s="17">
        <f t="shared" si="11"/>
        <v>5.1089625013484818</v>
      </c>
      <c r="E52" s="16">
        <f>SUMIFS(DONNEESCUM_N1_NOUVEAU[MONTANT],DONNEESCUM_N1_NOUVEAU[TL2],A52,DONNEESCUM_N1_NOUVEAU[MOIS],DONNÉES!$C$5,DONNEESCUM_N1_NOUVEAU[SOCIETE],"TIRR")</f>
        <v>13092.72</v>
      </c>
      <c r="F52" s="17">
        <f t="shared" si="11"/>
        <v>5.0663670353201784</v>
      </c>
      <c r="G52" s="16">
        <f t="shared" si="12"/>
        <v>248.15999999999985</v>
      </c>
      <c r="H52" s="17">
        <f t="shared" si="13"/>
        <v>1.8954044690484471</v>
      </c>
    </row>
    <row r="53" spans="1:8" s="18" customFormat="1" x14ac:dyDescent="0.2">
      <c r="A53" s="13" t="s">
        <v>44</v>
      </c>
      <c r="B53" s="14" t="s">
        <v>62</v>
      </c>
      <c r="C53" s="23">
        <f>SUMIFS('BAL N TIRR'!$H:$H,'BAL N TIRR'!$I:$I,$A53,'BAL N TIRR'!$J:$J,"T")</f>
        <v>1053.69</v>
      </c>
      <c r="D53" s="17">
        <f t="shared" si="11"/>
        <v>0.40351631212078076</v>
      </c>
      <c r="E53" s="16">
        <f>SUMIFS(DONNEESCUM_N1_NOUVEAU[MONTANT],DONNEESCUM_N1_NOUVEAU[TL2],A53,DONNEESCUM_N1_NOUVEAU[MOIS],DONNÉES!$C$5,DONNEESCUM_N1_NOUVEAU[SOCIETE],"TIRR")</f>
        <v>977</v>
      </c>
      <c r="F53" s="17">
        <f t="shared" si="11"/>
        <v>0.37806052474259089</v>
      </c>
      <c r="G53" s="16">
        <f t="shared" si="12"/>
        <v>76.690000000000055</v>
      </c>
      <c r="H53" s="17">
        <f t="shared" si="13"/>
        <v>7.8495394063459623</v>
      </c>
    </row>
    <row r="54" spans="1:8" s="18" customFormat="1" x14ac:dyDescent="0.2">
      <c r="A54" s="13" t="s">
        <v>45</v>
      </c>
      <c r="B54" s="14" t="s">
        <v>41</v>
      </c>
      <c r="C54" s="23">
        <f>SUMIFS('BAL N TIRR'!$H:$H,'BAL N TIRR'!$I:$I,$A54,'BAL N TIRR'!$J:$J,"T")</f>
        <v>1250</v>
      </c>
      <c r="D54" s="17">
        <f t="shared" si="11"/>
        <v>0.47869429353128146</v>
      </c>
      <c r="E54" s="16">
        <f>SUMIFS(DONNEESCUM_N1_NOUVEAU[MONTANT],DONNEESCUM_N1_NOUVEAU[TL2],A54,DONNEESCUM_N1_NOUVEAU[MOIS],DONNÉES!$C$5,DONNEESCUM_N1_NOUVEAU[SOCIETE],"TIRR")</f>
        <v>1300</v>
      </c>
      <c r="F54" s="17">
        <f t="shared" si="11"/>
        <v>0.50304880467284352</v>
      </c>
      <c r="G54" s="16">
        <f t="shared" si="12"/>
        <v>-50</v>
      </c>
      <c r="H54" s="17">
        <f t="shared" si="13"/>
        <v>-3.8461538461538463</v>
      </c>
    </row>
    <row r="55" spans="1:8" s="18" customFormat="1" x14ac:dyDescent="0.2">
      <c r="A55" s="13" t="s">
        <v>47</v>
      </c>
      <c r="B55" s="14" t="s">
        <v>43</v>
      </c>
      <c r="C55" s="23">
        <f>SUMIFS('BAL N TIRR'!$H:$H,'BAL N TIRR'!$I:$I,$A55,'BAL N TIRR'!$J:$J,"T")</f>
        <v>1948.03</v>
      </c>
      <c r="D55" s="17">
        <f t="shared" si="11"/>
        <v>0.74600867570219387</v>
      </c>
      <c r="E55" s="16">
        <f>SUMIFS(DONNEESCUM_N1_NOUVEAU[MONTANT],DONNEESCUM_N1_NOUVEAU[TL2],A55,DONNEESCUM_N1_NOUVEAU[MOIS],DONNÉES!$C$5,DONNEESCUM_N1_NOUVEAU[SOCIETE],"TIRR")</f>
        <v>2273.1999999999998</v>
      </c>
      <c r="F55" s="17">
        <f t="shared" si="11"/>
        <v>0.87963887906331373</v>
      </c>
      <c r="G55" s="16">
        <f t="shared" si="12"/>
        <v>-325.16999999999985</v>
      </c>
      <c r="H55" s="17">
        <f t="shared" si="13"/>
        <v>-14.304504663030086</v>
      </c>
    </row>
    <row r="56" spans="1:8" s="18" customFormat="1" x14ac:dyDescent="0.2">
      <c r="A56" s="13" t="s">
        <v>48</v>
      </c>
      <c r="B56" s="14" t="s">
        <v>46</v>
      </c>
      <c r="C56" s="23">
        <f>SUMIFS('BAL N TIRR'!$H:$H,'BAL N TIRR'!$I:$I,$A56,'BAL N TIRR'!$J:$J,"T")</f>
        <v>11675</v>
      </c>
      <c r="D56" s="17">
        <f t="shared" si="11"/>
        <v>4.471004701582169</v>
      </c>
      <c r="E56" s="16">
        <f>SUMIFS(DONNEESCUM_N1_NOUVEAU[MONTANT],DONNEESCUM_N1_NOUVEAU[TL2],A56,DONNEESCUM_N1_NOUVEAU[MOIS],DONNÉES!$C$5,DONNEESCUM_N1_NOUVEAU[SOCIETE],"TIRR")</f>
        <v>12458</v>
      </c>
      <c r="F56" s="17">
        <f t="shared" si="11"/>
        <v>4.8207553912417573</v>
      </c>
      <c r="G56" s="16">
        <f t="shared" si="12"/>
        <v>-783</v>
      </c>
      <c r="H56" s="17">
        <f t="shared" si="13"/>
        <v>-6.2851179964681325</v>
      </c>
    </row>
    <row r="57" spans="1:8" s="18" customFormat="1" x14ac:dyDescent="0.2">
      <c r="A57" s="13" t="s">
        <v>50</v>
      </c>
      <c r="B57" s="14" t="s">
        <v>2990</v>
      </c>
      <c r="C57" s="23">
        <f>SUMIFS('BAL N TIRR'!$H:$H,'BAL N TIRR'!$I:$I,$A57,'BAL N TIRR'!$J:$J,"T")</f>
        <v>758.22</v>
      </c>
      <c r="D57" s="17">
        <f t="shared" si="11"/>
        <v>0.2903644697930306</v>
      </c>
      <c r="E57" s="16">
        <f>SUMIFS(DONNEESCUM_N1_NOUVEAU[MONTANT],DONNEESCUM_N1_NOUVEAU[TL2],A57,DONNEESCUM_N1_NOUVEAU[MOIS],DONNÉES!$C$5,DONNEESCUM_N1_NOUVEAU[SOCIETE],"TIRR")</f>
        <v>0</v>
      </c>
      <c r="F57" s="17">
        <f t="shared" si="11"/>
        <v>0</v>
      </c>
      <c r="G57" s="16">
        <f t="shared" si="12"/>
        <v>758.22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TIRR'!$H:$H,'BAL N TIRR'!$I:$I,$A58,'BAL N TIRR'!$J:$J,"T")</f>
        <v>430.62</v>
      </c>
      <c r="D58" s="17">
        <f t="shared" si="11"/>
        <v>0.16490826934435235</v>
      </c>
      <c r="E58" s="16">
        <f>SUMIFS(DONNEESCUM_N1_NOUVEAU[MONTANT],DONNEESCUM_N1_NOUVEAU[TL2],A58,DONNEESCUM_N1_NOUVEAU[MOIS],DONNÉES!$C$5,DONNEESCUM_N1_NOUVEAU[SOCIETE],"TIRR")</f>
        <v>3467.3</v>
      </c>
      <c r="F58" s="17">
        <f t="shared" si="11"/>
        <v>1.3417085541862697</v>
      </c>
      <c r="G58" s="16">
        <f t="shared" si="12"/>
        <v>-3036.6800000000003</v>
      </c>
      <c r="H58" s="17">
        <f t="shared" si="13"/>
        <v>-87.580538170911083</v>
      </c>
    </row>
    <row r="59" spans="1:8" ht="13.5" thickBot="1" x14ac:dyDescent="0.25">
      <c r="A59" s="13"/>
      <c r="B59" s="63" t="s">
        <v>2994</v>
      </c>
      <c r="C59" s="49">
        <f>SUM(C51:C58)</f>
        <v>31146.44</v>
      </c>
      <c r="D59" s="50">
        <f t="shared" si="11"/>
        <v>11.927698473451558</v>
      </c>
      <c r="E59" s="51">
        <f>SUM(E51:E58)</f>
        <v>34258.22</v>
      </c>
      <c r="F59" s="50">
        <f t="shared" si="11"/>
        <v>13.25658201632254</v>
      </c>
      <c r="G59" s="51">
        <f>SUM(G51:G58)</f>
        <v>-3111.78</v>
      </c>
      <c r="H59" s="50">
        <f t="shared" si="13"/>
        <v>-9.0833090569212303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179360.06999999998</v>
      </c>
      <c r="D61" s="71">
        <f>(C61*100)/C$8</f>
        <v>68.686913597096947</v>
      </c>
      <c r="E61" s="72">
        <f>E59+E49+E42+E33+E26</f>
        <v>190884.37</v>
      </c>
      <c r="F61" s="71">
        <f>(E61*100)/E$8</f>
        <v>73.864733968637537</v>
      </c>
      <c r="G61" s="72">
        <f>G59+G49+G42+G33+G26</f>
        <v>-11524.299999999996</v>
      </c>
      <c r="H61" s="71">
        <f>IF(E61=0,0,G61/E61*100)</f>
        <v>-6.03731987066306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TIRR'!$H:$H,'BAL N TIRR'!$I:$I,$A63,'BAL N TIRR'!$J:$J,"T")</f>
        <v>5710.64</v>
      </c>
      <c r="D63" s="17">
        <f t="shared" ref="D63:F65" si="14">(C63*100)/C$8</f>
        <v>2.1869206243291819</v>
      </c>
      <c r="E63" s="16">
        <f>-SUMIFS(DONNEESCUM_N1_NOUVEAU[MONTANT],DONNEESCUM_N1_NOUVEAU[TL2],A63,DONNEESCUM_N1_NOUVEAU[MOIS],DONNÉES!$C$5,DONNEESCUM_N1_NOUVEAU[SOCIETE],"TIRR")</f>
        <v>3430.18</v>
      </c>
      <c r="F63" s="17">
        <f t="shared" si="14"/>
        <v>1.3273445760097651</v>
      </c>
      <c r="G63" s="16">
        <f>+C63-E63</f>
        <v>2280.4600000000005</v>
      </c>
      <c r="H63" s="17">
        <f>IF(E63=0,0,G63/E63*100)</f>
        <v>66.482225422572597</v>
      </c>
    </row>
    <row r="64" spans="1:8" s="18" customFormat="1" x14ac:dyDescent="0.2">
      <c r="A64" s="13" t="s">
        <v>2992</v>
      </c>
      <c r="B64" s="68" t="s">
        <v>65</v>
      </c>
      <c r="C64" s="23">
        <f>SUMIFS('BAL N TIRR'!$H:$H,'BAL N TIRR'!$I:$I,$A64,'BAL N TIRR'!$J:$J,"T")</f>
        <v>4037.5</v>
      </c>
      <c r="D64" s="17">
        <f t="shared" si="14"/>
        <v>1.5461825681060393</v>
      </c>
      <c r="E64" s="24">
        <f>SUMIFS(DONNEESCUM_N1_NOUVEAU[MONTANT],DONNEESCUM_N1_NOUVEAU[TL2],A64,DONNEESCUM_N1_NOUVEAU[MOIS],DONNÉES!$C$5,DONNEESCUM_N1_NOUVEAU[SOCIETE],"TIRR")</f>
        <v>3626.97</v>
      </c>
      <c r="F64" s="17">
        <f t="shared" si="14"/>
        <v>1.403494556218664</v>
      </c>
      <c r="G64" s="16">
        <f>+C64-E64</f>
        <v>410.5300000000002</v>
      </c>
      <c r="H64" s="17">
        <f>IF(E64=0,0,G64/E64*100)</f>
        <v>11.318814327110514</v>
      </c>
    </row>
    <row r="65" spans="1:9" s="59" customFormat="1" ht="13.5" x14ac:dyDescent="0.2">
      <c r="A65" s="13"/>
      <c r="B65" s="62" t="s">
        <v>53</v>
      </c>
      <c r="C65" s="67">
        <f>+C63-C64</f>
        <v>1673.1400000000003</v>
      </c>
      <c r="D65" s="56">
        <f t="shared" si="14"/>
        <v>0.64073805622314273</v>
      </c>
      <c r="E65" s="57">
        <f>+E63-E64</f>
        <v>-196.78999999999996</v>
      </c>
      <c r="F65" s="56">
        <f t="shared" si="14"/>
        <v>-7.6149980208899126E-2</v>
      </c>
      <c r="G65" s="58">
        <f>+G63-G64</f>
        <v>1869.9300000000003</v>
      </c>
      <c r="H65" s="56">
        <f>IF(E65=0,0,G65/E65*100)</f>
        <v>-950.21596625844836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TIRR'!$H:$H,'BAL N TIRR'!$I:$I,$A67,'BAL N TIRR'!$J:$J,"T")</f>
        <v>-3.34</v>
      </c>
      <c r="D67" s="17">
        <f>(C67*100)/C$8</f>
        <v>-1.2790711523155841E-3</v>
      </c>
      <c r="E67" s="16">
        <f>-SUMIFS(DONNEESCUM_N1_NOUVEAU[MONTANT],DONNEESCUM_N1_NOUVEAU[TL2],A67,DONNEESCUM_N1_NOUVEAU[MOIS],DONNÉES!$C$5,DONNEESCUM_N1_NOUVEAU[SOCIETE],"TIRR")</f>
        <v>-82.28</v>
      </c>
      <c r="F67" s="17">
        <f>(E67*100)/E$8</f>
        <v>-3.1839119729601205E-2</v>
      </c>
      <c r="G67" s="16">
        <f>+C67-E67</f>
        <v>78.94</v>
      </c>
      <c r="H67" s="17">
        <f>IF(E67=0,0,G67/E67*100)</f>
        <v>-95.940690325717057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16519.490000000031</v>
      </c>
      <c r="D69" s="10">
        <f>(C69*100)/C$8</f>
        <v>6.3262284760376666</v>
      </c>
      <c r="E69" s="9">
        <f>E18-E61+E65+E67</f>
        <v>3693.4000000000301</v>
      </c>
      <c r="F69" s="10">
        <f>(E69*100)/E$8</f>
        <v>1.4292003501374582</v>
      </c>
      <c r="G69" s="9">
        <f>G18-G61+G65+G67</f>
        <v>12826.08999999998</v>
      </c>
      <c r="H69" s="10">
        <f>IF(E69=0,0,G69/E69*100)</f>
        <v>347.2705366329094</v>
      </c>
    </row>
    <row r="70" spans="1:9" ht="13.5" thickBot="1" x14ac:dyDescent="0.25">
      <c r="A70" s="13"/>
      <c r="B70" s="63" t="s">
        <v>3034</v>
      </c>
      <c r="C70" s="49">
        <f>+C69-C67+C57+C56</f>
        <v>28956.050000000032</v>
      </c>
      <c r="D70" s="50">
        <f>(C70*100)/C$8</f>
        <v>11.088876718565183</v>
      </c>
      <c r="E70" s="49">
        <f>+E69-E67+E57+E56</f>
        <v>16233.680000000029</v>
      </c>
      <c r="F70" s="50">
        <f>(E70*100)/E$8</f>
        <v>6.2817948611088168</v>
      </c>
      <c r="G70" s="49">
        <f>+G69-G67+G57+G56</f>
        <v>12722.369999999979</v>
      </c>
      <c r="H70" s="50">
        <f>IF(E70=0,0,G70/E70*100)</f>
        <v>78.370215502584486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TIRR'!$H:$H,'BAL N TIRR'!$I:$I,$A72,'BAL N TIRR'!$J:$J,"T")</f>
        <v>-18.46</v>
      </c>
      <c r="D72" s="17">
        <f>(C72*100)/C$8</f>
        <v>-7.0693573268699652E-3</v>
      </c>
      <c r="E72" s="16">
        <f>-SUMIFS(DONNEESCUM_N1_NOUVEAU[MONTANT],DONNEESCUM_N1_NOUVEAU[TL2],A72,DONNEESCUM_N1_NOUVEAU[MOIS],DONNÉES!$C$5,DONNEESCUM_N1_NOUVEAU[SOCIETE],"TIRR")</f>
        <v>0</v>
      </c>
      <c r="F72" s="17">
        <f>(E72*100)/E$8</f>
        <v>0</v>
      </c>
      <c r="G72" s="16">
        <f>+C72-E72</f>
        <v>-18.46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TIRR'!$H:$H,'BAL N TIRR'!$I:$I,$A74,'BAL N TIRR'!$J:$J,"T")</f>
        <v>18111.330000000002</v>
      </c>
      <c r="D74" s="10">
        <f>(C74*100)/C$8</f>
        <v>6.9358322554095242</v>
      </c>
      <c r="E74" s="9">
        <f>SUMIFS(DONNEESCUM_N1_NOUVEAU[MONTANT],DONNEESCUM_N1_NOUVEAU[TL2],A74,DONNEESCUM_N1_NOUVEAU[MOIS],DONNÉES!$C$5,DONNEESCUM_N1_NOUVEAU[SOCIETE],"TIRR")</f>
        <v>18958.330000000002</v>
      </c>
      <c r="F74" s="10">
        <f>(E74*100)/E$8</f>
        <v>7.3361271116102396</v>
      </c>
      <c r="G74" s="9">
        <f>+C74-E74</f>
        <v>-847</v>
      </c>
      <c r="H74" s="10">
        <f>IF(E74=0,0,G74/E74*100)</f>
        <v>-4.4676930932207632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-1610.2999999999711</v>
      </c>
      <c r="D76" s="71">
        <f>(C76*100)/C$8</f>
        <v>-0.61667313669872703</v>
      </c>
      <c r="E76" s="72">
        <f>E69-E74+E72</f>
        <v>-15264.929999999971</v>
      </c>
      <c r="F76" s="71">
        <f>(E76*100)/E$8</f>
        <v>-5.9069267614727812</v>
      </c>
      <c r="G76" s="72">
        <f>G69-G74+G72</f>
        <v>13654.629999999981</v>
      </c>
      <c r="H76" s="71">
        <f>IF(E76=0,0,G76/E76*100)</f>
        <v>-89.450983397893125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VLOOKUP(PARAMETRES!$C$2,DONNÉES!$Z$188:$AF$199,2,FALSE)</f>
        <v>16773</v>
      </c>
      <c r="D78" s="324"/>
      <c r="E78" s="323">
        <f>VLOOKUP(PARAMETRES!$C$2,DONNÉES!$Z$188:$AF$199,3,FALSE)</f>
        <v>16102</v>
      </c>
      <c r="F78" s="324"/>
      <c r="G78" s="325">
        <f>C78-E78</f>
        <v>671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VLOOKUP(PARAMETRES!$C$2,DONNÉES!$Z$284:$AF$295,2,FALSE)</f>
        <v>15.91</v>
      </c>
      <c r="D80" s="316"/>
      <c r="E80" s="315">
        <f>VLOOKUP(PARAMETRES!$C$2,DONNÉES!$Z$284:$AF$295,3,FALSE)</f>
        <v>16.260000000000002</v>
      </c>
      <c r="F80" s="316"/>
      <c r="G80" s="317">
        <f>(C80-E80)/E80</f>
        <v>-2.1525215252152608E-2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641D8-7833-4F8A-9384-A4C24E1EA926}">
  <sheetPr>
    <tabColor rgb="FFFFC0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ADD3-24BF-4FC9-80C6-10C99286DDC4}">
  <sheetPr>
    <tabColor rgb="FFFFC000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6896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3003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VR7'!$H:$H,'BAL N VR7'!$I:$I,$A8,'BAL N VR7'!$J:$J,"T")</f>
        <v>0</v>
      </c>
      <c r="D8" s="71" t="e">
        <f>(C8*100)/C$8</f>
        <v>#DIV/0!</v>
      </c>
      <c r="E8" s="72">
        <f>-SUMIFS(DONNEESCUM_N1_NOUVEAU[MONTANT],DONNEESCUM_N1_NOUVEAU[TL2],A8,DONNEESCUM_N1_NOUVEAU[MOIS],DONNÉES!$C$5,DONNEESCUM_N1_NOUVEAU[SOCIETE],"VR7")</f>
        <v>382463.66</v>
      </c>
      <c r="F8" s="71">
        <f>(E8*100)/E$8</f>
        <v>100</v>
      </c>
      <c r="G8" s="72">
        <f>+C8-E8</f>
        <v>-382463.66</v>
      </c>
      <c r="H8" s="71">
        <f>IF(E8=0,0,G8/E8*100)</f>
        <v>-100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VR7'!$H:$H,'BAL N VR7'!$I:$I,$A10,'BAL N VR7'!$J:$J,"T")</f>
        <v>0</v>
      </c>
      <c r="D10" s="17" t="e">
        <f t="shared" ref="D10:F16" si="0">(C10*100)/C$8</f>
        <v>#DIV/0!</v>
      </c>
      <c r="E10" s="16">
        <f>SUMIFS(DONNEESCUM_N1_NOUVEAU[MONTANT],DONNEESCUM_N1_NOUVEAU[TL2],A10,DONNEESCUM_N1_NOUVEAU[MOIS],DONNÉES!$C$5,DONNEESCUM_N1_NOUVEAU[SOCIETE],"VR7")</f>
        <v>78619.38</v>
      </c>
      <c r="F10" s="17">
        <f t="shared" si="0"/>
        <v>20.556039232590098</v>
      </c>
      <c r="G10" s="16">
        <f>+C10-E10</f>
        <v>-78619.38</v>
      </c>
      <c r="H10" s="17">
        <f t="shared" ref="H10:H16" si="1">IF(E10=0,0,G10/E10*100)</f>
        <v>-100</v>
      </c>
    </row>
    <row r="11" spans="1:8" s="18" customFormat="1" x14ac:dyDescent="0.2">
      <c r="A11" s="13" t="s">
        <v>124</v>
      </c>
      <c r="B11" s="14" t="s">
        <v>4</v>
      </c>
      <c r="C11" s="23">
        <f>SUMIFS('BAL N VR7'!$H:$H,'BAL N VR7'!$I:$I,$A11,'BAL N VR7'!$J:$J,"T")</f>
        <v>0</v>
      </c>
      <c r="D11" s="17" t="e">
        <f t="shared" si="0"/>
        <v>#DIV/0!</v>
      </c>
      <c r="E11" s="16">
        <f>SUMIFS(DONNEESCUM_N1_NOUVEAU[MONTANT],DONNEESCUM_N1_NOUVEAU[TL2],A11,DONNEESCUM_N1_NOUVEAU[MOIS],DONNÉES!$C$5,DONNEESCUM_N1_NOUVEAU[SOCIETE],"VR7")</f>
        <v>1705.16</v>
      </c>
      <c r="F11" s="17">
        <f t="shared" si="0"/>
        <v>0.4458358213692773</v>
      </c>
      <c r="G11" s="16">
        <f>+C11-E11</f>
        <v>-1705.16</v>
      </c>
      <c r="H11" s="17">
        <f t="shared" si="1"/>
        <v>-100</v>
      </c>
    </row>
    <row r="12" spans="1:8" s="18" customFormat="1" x14ac:dyDescent="0.2">
      <c r="A12" s="13" t="s">
        <v>125</v>
      </c>
      <c r="B12" s="14" t="s">
        <v>2</v>
      </c>
      <c r="C12" s="23">
        <f>SUMIFS('BAL N VR7'!$H:$H,'BAL N VR7'!$I:$I,$A12,'BAL N VR7'!$J:$J,"T")</f>
        <v>0</v>
      </c>
      <c r="D12" s="17" t="e">
        <f t="shared" si="0"/>
        <v>#DIV/0!</v>
      </c>
      <c r="E12" s="16">
        <f>SUMIFS(DONNEESCUM_N1_NOUVEAU[MONTANT],DONNEESCUM_N1_NOUVEAU[TL2],A12,DONNEESCUM_N1_NOUVEAU[MOIS],DONNÉES!$C$5,DONNEESCUM_N1_NOUVEAU[SOCIETE],"VR7")</f>
        <v>1608.8</v>
      </c>
      <c r="F12" s="17">
        <f t="shared" si="0"/>
        <v>0.42064127085956354</v>
      </c>
      <c r="G12" s="16">
        <f>+C12-E12</f>
        <v>-1608.8</v>
      </c>
      <c r="H12" s="17">
        <f t="shared" si="1"/>
        <v>-100</v>
      </c>
    </row>
    <row r="13" spans="1:8" s="59" customFormat="1" ht="13.5" x14ac:dyDescent="0.2">
      <c r="A13" s="60"/>
      <c r="B13" s="62" t="s">
        <v>6</v>
      </c>
      <c r="C13" s="55">
        <f>SUM(C10:C12)</f>
        <v>0</v>
      </c>
      <c r="D13" s="56" t="e">
        <f t="shared" si="0"/>
        <v>#DIV/0!</v>
      </c>
      <c r="E13" s="55">
        <f>SUM(E10:E12)</f>
        <v>81933.340000000011</v>
      </c>
      <c r="F13" s="56">
        <f t="shared" si="0"/>
        <v>21.422516324818943</v>
      </c>
      <c r="G13" s="55">
        <f>SUM(G10:G12)</f>
        <v>-81933.340000000011</v>
      </c>
      <c r="H13" s="56">
        <f t="shared" si="1"/>
        <v>-100</v>
      </c>
    </row>
    <row r="14" spans="1:8" s="18" customFormat="1" x14ac:dyDescent="0.2">
      <c r="A14" s="13" t="s">
        <v>126</v>
      </c>
      <c r="B14" s="14" t="s">
        <v>8</v>
      </c>
      <c r="C14" s="23">
        <f>SUMIFS('BAL N VR7'!$H:$H,'BAL N VR7'!$I:$I,$A14,'BAL N VR7'!$J:$J,"T")</f>
        <v>0</v>
      </c>
      <c r="D14" s="17" t="e">
        <f t="shared" si="0"/>
        <v>#DIV/0!</v>
      </c>
      <c r="E14" s="16">
        <f>SUMIFS(DONNEESCUM_N1_NOUVEAU[MONTANT],DONNEESCUM_N1_NOUVEAU[TL2],A14,DONNEESCUM_N1_NOUVEAU[MOIS],DONNÉES!$C$5,DONNEESCUM_N1_NOUVEAU[SOCIETE],"VR7")</f>
        <v>8425.2199999999993</v>
      </c>
      <c r="F14" s="17">
        <f t="shared" si="0"/>
        <v>2.2028811835351885</v>
      </c>
      <c r="G14" s="16">
        <f>+C14-E14</f>
        <v>-8425.2199999999993</v>
      </c>
      <c r="H14" s="17">
        <f t="shared" si="1"/>
        <v>-100</v>
      </c>
    </row>
    <row r="15" spans="1:8" s="18" customFormat="1" x14ac:dyDescent="0.2">
      <c r="A15" s="13" t="s">
        <v>2964</v>
      </c>
      <c r="B15" s="14" t="s">
        <v>2965</v>
      </c>
      <c r="C15" s="23">
        <f>SUMIFS('BAL N VR7'!$H:$H,'BAL N VR7'!$I:$I,$A15,'BAL N VR7'!$J:$J,"T")</f>
        <v>0</v>
      </c>
      <c r="D15" s="17" t="e">
        <f t="shared" si="0"/>
        <v>#DIV/0!</v>
      </c>
      <c r="E15" s="16">
        <f>SUMIFS(DONNEESCUM_N1_NOUVEAU[MONTANT],DONNEESCUM_N1_NOUVEAU[TL2],A15,DONNEESCUM_N1_NOUVEAU[MOIS],DONNÉES!$C$5,DONNEESCUM_N1_NOUVEAU[SOCIETE],"VR7")</f>
        <v>317.51</v>
      </c>
      <c r="F15" s="17">
        <f t="shared" si="0"/>
        <v>8.3017037487953763E-2</v>
      </c>
      <c r="G15" s="16">
        <f>+C15-E15</f>
        <v>-317.51</v>
      </c>
      <c r="H15" s="17">
        <f t="shared" si="1"/>
        <v>-100</v>
      </c>
    </row>
    <row r="16" spans="1:8" ht="13.5" thickBot="1" x14ac:dyDescent="0.25">
      <c r="A16" s="7"/>
      <c r="B16" s="63" t="s">
        <v>10</v>
      </c>
      <c r="C16" s="49">
        <f>+C13+SUM(C14:C15)</f>
        <v>0</v>
      </c>
      <c r="D16" s="50" t="e">
        <f t="shared" si="0"/>
        <v>#DIV/0!</v>
      </c>
      <c r="E16" s="49">
        <f>+E13+SUM(E14:E15)</f>
        <v>90676.07</v>
      </c>
      <c r="F16" s="50">
        <f t="shared" si="0"/>
        <v>23.708414545842082</v>
      </c>
      <c r="G16" s="49">
        <f>+G13+SUM(G14:G15)</f>
        <v>-90676.07</v>
      </c>
      <c r="H16" s="50">
        <f t="shared" si="1"/>
        <v>-100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0</v>
      </c>
      <c r="D18" s="71" t="e">
        <f>(C18*100)/C$8</f>
        <v>#DIV/0!</v>
      </c>
      <c r="E18" s="70">
        <f>E8-E16</f>
        <v>291787.58999999997</v>
      </c>
      <c r="F18" s="71">
        <f>(E18*100)/E$8</f>
        <v>76.291585454157911</v>
      </c>
      <c r="G18" s="70">
        <f>G8-G16</f>
        <v>-291787.58999999997</v>
      </c>
      <c r="H18" s="71">
        <f>IF(E18=0,0,G18/E18*100)</f>
        <v>-100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VR7'!$H:$H,'BAL N VR7'!$I:$I,$A20,'BAL N VR7'!$J:$J,"T")</f>
        <v>0</v>
      </c>
      <c r="D20" s="17" t="e">
        <f t="shared" ref="D20:F26" si="2">(C20*100)/C$8</f>
        <v>#DIV/0!</v>
      </c>
      <c r="E20" s="16">
        <f>SUMIFS(DONNEESCUM_N1_NOUVEAU[MONTANT],DONNEESCUM_N1_NOUVEAU[TL2],A20,DONNEESCUM_N1_NOUVEAU[MOIS],DONNÉES!$C$5,DONNEESCUM_N1_NOUVEAU[SOCIETE],"VR7")</f>
        <v>61266.04</v>
      </c>
      <c r="F20" s="17">
        <f t="shared" si="2"/>
        <v>16.018787248963733</v>
      </c>
      <c r="G20" s="16">
        <f t="shared" ref="G20:G25" si="3">+C20-E20</f>
        <v>-61266.04</v>
      </c>
      <c r="H20" s="17">
        <f t="shared" ref="H20:H26" si="4">IF(E20=0,0,G20/E20*100)</f>
        <v>-100</v>
      </c>
    </row>
    <row r="21" spans="1:8" s="18" customFormat="1" x14ac:dyDescent="0.2">
      <c r="A21" s="13">
        <v>9</v>
      </c>
      <c r="B21" s="14" t="s">
        <v>2968</v>
      </c>
      <c r="C21" s="23">
        <f>SUMIFS('BAL N VR7'!$H:$H,'BAL N VR7'!$I:$I,$A21,'BAL N VR7'!$J:$J,"T")</f>
        <v>0</v>
      </c>
      <c r="D21" s="17" t="e">
        <f t="shared" si="2"/>
        <v>#DIV/0!</v>
      </c>
      <c r="E21" s="16">
        <f>SUMIFS(DONNEESCUM_N1_NOUVEAU[MONTANT],DONNEESCUM_N1_NOUVEAU[TL2],A21,DONNEESCUM_N1_NOUVEAU[MOIS],DONNÉES!$C$5,DONNEESCUM_N1_NOUVEAU[SOCIETE],"VR7")</f>
        <v>8219.2900000000009</v>
      </c>
      <c r="F21" s="17">
        <f t="shared" si="2"/>
        <v>2.149038159599268</v>
      </c>
      <c r="G21" s="16">
        <f t="shared" si="3"/>
        <v>-8219.2900000000009</v>
      </c>
      <c r="H21" s="17">
        <f t="shared" si="4"/>
        <v>-100</v>
      </c>
    </row>
    <row r="22" spans="1:8" s="18" customFormat="1" x14ac:dyDescent="0.2">
      <c r="A22" s="13" t="s">
        <v>12</v>
      </c>
      <c r="B22" s="14" t="s">
        <v>14</v>
      </c>
      <c r="C22" s="23">
        <f>SUMIFS('BAL N VR7'!$H:$H,'BAL N VR7'!$I:$I,$A22,'BAL N VR7'!$J:$J,"T")</f>
        <v>0</v>
      </c>
      <c r="D22" s="17" t="e">
        <f t="shared" si="2"/>
        <v>#DIV/0!</v>
      </c>
      <c r="E22" s="16">
        <f>SUMIFS(DONNEESCUM_N1_NOUVEAU[MONTANT],DONNEESCUM_N1_NOUVEAU[TL2],A22,DONNEESCUM_N1_NOUVEAU[MOIS],DONNÉES!$C$5,DONNEESCUM_N1_NOUVEAU[SOCIETE],"VR7")</f>
        <v>27377.73</v>
      </c>
      <c r="F22" s="17">
        <f t="shared" si="2"/>
        <v>7.1582565517466419</v>
      </c>
      <c r="G22" s="16">
        <f t="shared" si="3"/>
        <v>-27377.73</v>
      </c>
      <c r="H22" s="17">
        <f t="shared" si="4"/>
        <v>-100</v>
      </c>
    </row>
    <row r="23" spans="1:8" s="18" customFormat="1" x14ac:dyDescent="0.2">
      <c r="A23" s="13" t="s">
        <v>13</v>
      </c>
      <c r="B23" s="14" t="s">
        <v>2966</v>
      </c>
      <c r="C23" s="23">
        <f>SUMIFS('BAL N VR7'!$H:$H,'BAL N VR7'!$I:$I,$A23,'BAL N VR7'!$J:$J,"T")</f>
        <v>0</v>
      </c>
      <c r="D23" s="17" t="e">
        <f t="shared" si="2"/>
        <v>#DIV/0!</v>
      </c>
      <c r="E23" s="16">
        <f>SUMIFS(DONNEESCUM_N1_NOUVEAU[MONTANT],DONNEESCUM_N1_NOUVEAU[TL2],A23,DONNEESCUM_N1_NOUVEAU[MOIS],DONNÉES!$C$5,DONNEESCUM_N1_NOUVEAU[SOCIETE],"VR7")</f>
        <v>5340.29</v>
      </c>
      <c r="F23" s="17">
        <f t="shared" si="2"/>
        <v>1.3962869047480224</v>
      </c>
      <c r="G23" s="16">
        <f t="shared" si="3"/>
        <v>-5340.29</v>
      </c>
      <c r="H23" s="17">
        <f t="shared" si="4"/>
        <v>-100</v>
      </c>
    </row>
    <row r="24" spans="1:8" s="18" customFormat="1" x14ac:dyDescent="0.2">
      <c r="A24" s="13" t="s">
        <v>15</v>
      </c>
      <c r="B24" s="14" t="s">
        <v>2969</v>
      </c>
      <c r="C24" s="23">
        <f>SUMIFS('BAL N VR7'!$H:$H,'BAL N VR7'!$I:$I,$A24,'BAL N VR7'!$J:$J,"T")</f>
        <v>0</v>
      </c>
      <c r="D24" s="17" t="e">
        <f t="shared" si="2"/>
        <v>#DIV/0!</v>
      </c>
      <c r="E24" s="16">
        <f>SUMIFS(DONNEESCUM_N1_NOUVEAU[MONTANT],DONNEESCUM_N1_NOUVEAU[TL2],A24,DONNEESCUM_N1_NOUVEAU[MOIS],DONNÉES!$C$5,DONNEESCUM_N1_NOUVEAU[SOCIETE],"VR7")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VR7'!$H:$H,'BAL N VR7'!$I:$I,$A25,'BAL N VR7'!$J:$J,"T")</f>
        <v>0</v>
      </c>
      <c r="D25" s="17" t="e">
        <f t="shared" si="2"/>
        <v>#DIV/0!</v>
      </c>
      <c r="E25" s="16">
        <f>SUMIFS(DONNEESCUM_N1_NOUVEAU[MONTANT],DONNEESCUM_N1_NOUVEAU[TL2],A25,DONNEESCUM_N1_NOUVEAU[MOIS],DONNÉES!$C$5,DONNEESCUM_N1_NOUVEAU[SOCIETE],"VR7")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0</v>
      </c>
      <c r="D26" s="50" t="e">
        <f t="shared" si="2"/>
        <v>#DIV/0!</v>
      </c>
      <c r="E26" s="51">
        <f>SUM(E20:E25)</f>
        <v>102203.34999999999</v>
      </c>
      <c r="F26" s="50">
        <f t="shared" si="2"/>
        <v>26.722368865057664</v>
      </c>
      <c r="G26" s="51">
        <f>SUM(G20:G25)</f>
        <v>-102203.34999999999</v>
      </c>
      <c r="H26" s="50">
        <f t="shared" si="4"/>
        <v>-100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VR7'!$H:$H,'BAL N VR7'!$I:$I,$A28,'BAL N VR7'!$J:$J,"T")</f>
        <v>0</v>
      </c>
      <c r="D28" s="17" t="e">
        <f t="shared" ref="D28:F33" si="5">(C28*100)/C$8</f>
        <v>#DIV/0!</v>
      </c>
      <c r="E28" s="16">
        <f>SUMIFS(DONNEESCUM_N1_NOUVEAU[MONTANT],DONNEESCUM_N1_NOUVEAU[TL2],A28,DONNEESCUM_N1_NOUVEAU[MOIS],DONNÉES!$C$5,DONNEESCUM_N1_NOUVEAU[SOCIETE],"VR7")</f>
        <v>281.25</v>
      </c>
      <c r="F28" s="17">
        <f t="shared" si="5"/>
        <v>7.3536398203165237E-2</v>
      </c>
      <c r="G28" s="16">
        <f>+C28-E28</f>
        <v>-281.25</v>
      </c>
      <c r="H28" s="17">
        <f t="shared" ref="H28:H33" si="6">IF(E28=0,0,G28/E28*100)</f>
        <v>-100</v>
      </c>
    </row>
    <row r="29" spans="1:8" s="18" customFormat="1" x14ac:dyDescent="0.2">
      <c r="A29" s="13" t="s">
        <v>20</v>
      </c>
      <c r="B29" s="14" t="s">
        <v>2972</v>
      </c>
      <c r="C29" s="23">
        <f>SUMIFS('BAL N VR7'!$H:$H,'BAL N VR7'!$I:$I,$A29,'BAL N VR7'!$J:$J,"T")</f>
        <v>0</v>
      </c>
      <c r="D29" s="17" t="e">
        <f t="shared" si="5"/>
        <v>#DIV/0!</v>
      </c>
      <c r="E29" s="16">
        <f>SUMIFS(DONNEESCUM_N1_NOUVEAU[MONTANT],DONNEESCUM_N1_NOUVEAU[TL2],A29,DONNEESCUM_N1_NOUVEAU[MOIS],DONNÉES!$C$5,DONNEESCUM_N1_NOUVEAU[SOCIETE],"VR7")</f>
        <v>81.47</v>
      </c>
      <c r="F29" s="17">
        <f t="shared" si="5"/>
        <v>2.1301370174619989E-2</v>
      </c>
      <c r="G29" s="16">
        <f>+C29-E29</f>
        <v>-81.47</v>
      </c>
      <c r="H29" s="17">
        <f t="shared" si="6"/>
        <v>-100</v>
      </c>
    </row>
    <row r="30" spans="1:8" s="18" customFormat="1" x14ac:dyDescent="0.2">
      <c r="A30" s="13" t="s">
        <v>21</v>
      </c>
      <c r="B30" s="14" t="s">
        <v>2973</v>
      </c>
      <c r="C30" s="23">
        <f>SUMIFS('BAL N VR7'!$H:$H,'BAL N VR7'!$I:$I,$A30,'BAL N VR7'!$J:$J,"T")</f>
        <v>0</v>
      </c>
      <c r="D30" s="17" t="e">
        <f t="shared" si="5"/>
        <v>#DIV/0!</v>
      </c>
      <c r="E30" s="16">
        <f>SUMIFS(DONNEESCUM_N1_NOUVEAU[MONTANT],DONNEESCUM_N1_NOUVEAU[TL2],A30,DONNEESCUM_N1_NOUVEAU[MOIS],DONNÉES!$C$5,DONNEESCUM_N1_NOUVEAU[SOCIETE],"VR7")</f>
        <v>2864.41</v>
      </c>
      <c r="F30" s="17">
        <f t="shared" si="5"/>
        <v>0.7489365133409015</v>
      </c>
      <c r="G30" s="16">
        <f>+C30-E30</f>
        <v>-2864.41</v>
      </c>
      <c r="H30" s="17">
        <f t="shared" si="6"/>
        <v>-100</v>
      </c>
    </row>
    <row r="31" spans="1:8" s="18" customFormat="1" x14ac:dyDescent="0.2">
      <c r="A31" s="13" t="s">
        <v>23</v>
      </c>
      <c r="B31" s="14" t="s">
        <v>2974</v>
      </c>
      <c r="C31" s="23">
        <f>SUMIFS('BAL N VR7'!$H:$H,'BAL N VR7'!$I:$I,$A31,'BAL N VR7'!$J:$J,"T")</f>
        <v>0</v>
      </c>
      <c r="D31" s="17" t="e">
        <f t="shared" si="5"/>
        <v>#DIV/0!</v>
      </c>
      <c r="E31" s="16">
        <f>SUMIFS(DONNEESCUM_N1_NOUVEAU[MONTANT],DONNEESCUM_N1_NOUVEAU[TL2],A31,DONNEESCUM_N1_NOUVEAU[MOIS],DONNÉES!$C$5,DONNEESCUM_N1_NOUVEAU[SOCIETE],"VR7")</f>
        <v>1074.6400000000001</v>
      </c>
      <c r="F31" s="17">
        <f t="shared" si="5"/>
        <v>0.28097832876462048</v>
      </c>
      <c r="G31" s="16">
        <f>+C31-E31</f>
        <v>-1074.6400000000001</v>
      </c>
      <c r="H31" s="17">
        <f t="shared" si="6"/>
        <v>-100</v>
      </c>
    </row>
    <row r="32" spans="1:8" s="18" customFormat="1" x14ac:dyDescent="0.2">
      <c r="A32" s="13" t="s">
        <v>25</v>
      </c>
      <c r="B32" s="14" t="s">
        <v>2975</v>
      </c>
      <c r="C32" s="23">
        <f>SUMIFS('BAL N VR7'!$H:$H,'BAL N VR7'!$I:$I,$A32,'BAL N VR7'!$J:$J,"T")</f>
        <v>0</v>
      </c>
      <c r="D32" s="17" t="e">
        <f t="shared" si="5"/>
        <v>#DIV/0!</v>
      </c>
      <c r="E32" s="16">
        <f>SUMIFS(DONNEESCUM_N1_NOUVEAU[MONTANT],DONNEESCUM_N1_NOUVEAU[TL2],A32,DONNEESCUM_N1_NOUVEAU[MOIS],DONNÉES!$C$5,DONNEESCUM_N1_NOUVEAU[SOCIETE],"VR7")</f>
        <v>7886.51</v>
      </c>
      <c r="F32" s="17">
        <f t="shared" si="5"/>
        <v>2.0620285859315368</v>
      </c>
      <c r="G32" s="16">
        <f>+C32-E32</f>
        <v>-7886.51</v>
      </c>
      <c r="H32" s="17">
        <f t="shared" si="6"/>
        <v>-100</v>
      </c>
    </row>
    <row r="33" spans="1:8" ht="13.5" thickBot="1" x14ac:dyDescent="0.25">
      <c r="A33" s="7"/>
      <c r="B33" s="63" t="s">
        <v>2976</v>
      </c>
      <c r="C33" s="49">
        <f>SUM(C28:C32)</f>
        <v>0</v>
      </c>
      <c r="D33" s="50" t="e">
        <f t="shared" si="5"/>
        <v>#DIV/0!</v>
      </c>
      <c r="E33" s="51">
        <f>SUM(E28:E32)</f>
        <v>12188.28</v>
      </c>
      <c r="F33" s="50">
        <f t="shared" si="5"/>
        <v>3.1867811964148438</v>
      </c>
      <c r="G33" s="51">
        <f>SUM(G28:G32)</f>
        <v>-12188.28</v>
      </c>
      <c r="H33" s="50">
        <f t="shared" si="6"/>
        <v>-100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VR7'!$H:$H,'BAL N VR7'!$I:$I,$A35,'BAL N VR7'!$J:$J,"T")</f>
        <v>0</v>
      </c>
      <c r="D35" s="17" t="e">
        <f t="shared" ref="D35:F42" si="7">(C35*100)/C$8</f>
        <v>#DIV/0!</v>
      </c>
      <c r="E35" s="16">
        <f>SUMIFS(DONNEESCUM_N1_NOUVEAU[MONTANT],DONNEESCUM_N1_NOUVEAU[TL2],A35,DONNEESCUM_N1_NOUVEAU[MOIS],DONNÉES!$C$5,DONNEESCUM_N1_NOUVEAU[SOCIETE],"VR7")</f>
        <v>3907.89</v>
      </c>
      <c r="F35" s="17">
        <f t="shared" si="7"/>
        <v>1.0217676628414842</v>
      </c>
      <c r="G35" s="16">
        <f t="shared" ref="G35:G41" si="8">+C35-E35</f>
        <v>-3907.89</v>
      </c>
      <c r="H35" s="17">
        <f t="shared" ref="H35:H42" si="9">IF(E35=0,0,G35/E35*100)</f>
        <v>-100</v>
      </c>
    </row>
    <row r="36" spans="1:8" s="18" customFormat="1" x14ac:dyDescent="0.2">
      <c r="A36" s="13" t="s">
        <v>30</v>
      </c>
      <c r="B36" s="14" t="s">
        <v>145</v>
      </c>
      <c r="C36" s="23">
        <f>SUMIFS('BAL N VR7'!$H:$H,'BAL N VR7'!$I:$I,$A36,'BAL N VR7'!$J:$J,"T")</f>
        <v>0</v>
      </c>
      <c r="D36" s="17" t="e">
        <f t="shared" si="7"/>
        <v>#DIV/0!</v>
      </c>
      <c r="E36" s="16">
        <f>SUMIFS(DONNEESCUM_N1_NOUVEAU[MONTANT],DONNEESCUM_N1_NOUVEAU[TL2],A36,DONNEESCUM_N1_NOUVEAU[MOIS],DONNÉES!$C$5,DONNEESCUM_N1_NOUVEAU[SOCIETE],"VR7")</f>
        <v>15282.82</v>
      </c>
      <c r="F36" s="17">
        <f t="shared" si="7"/>
        <v>3.9958881322215034</v>
      </c>
      <c r="G36" s="16">
        <f t="shared" si="8"/>
        <v>-15282.82</v>
      </c>
      <c r="H36" s="17">
        <f t="shared" si="9"/>
        <v>-100</v>
      </c>
    </row>
    <row r="37" spans="1:8" s="18" customFormat="1" x14ac:dyDescent="0.2">
      <c r="A37" s="13" t="s">
        <v>32</v>
      </c>
      <c r="B37" s="14" t="s">
        <v>19</v>
      </c>
      <c r="C37" s="23">
        <f>SUMIFS('BAL N VR7'!$H:$H,'BAL N VR7'!$I:$I,$A37,'BAL N VR7'!$J:$J,"T")</f>
        <v>0</v>
      </c>
      <c r="D37" s="17" t="e">
        <f t="shared" si="7"/>
        <v>#DIV/0!</v>
      </c>
      <c r="E37" s="16">
        <f>SUMIFS(DONNEESCUM_N1_NOUVEAU[MONTANT],DONNEESCUM_N1_NOUVEAU[TL2],A37,DONNEESCUM_N1_NOUVEAU[MOIS],DONNÉES!$C$5,DONNEESCUM_N1_NOUVEAU[SOCIETE],"VR7")</f>
        <v>6491.47</v>
      </c>
      <c r="F37" s="17">
        <f t="shared" si="7"/>
        <v>1.6972775923338705</v>
      </c>
      <c r="G37" s="16">
        <f t="shared" si="8"/>
        <v>-6491.47</v>
      </c>
      <c r="H37" s="17">
        <f t="shared" si="9"/>
        <v>-100</v>
      </c>
    </row>
    <row r="38" spans="1:8" s="18" customFormat="1" x14ac:dyDescent="0.2">
      <c r="A38" s="13" t="s">
        <v>34</v>
      </c>
      <c r="B38" s="14" t="s">
        <v>28</v>
      </c>
      <c r="C38" s="23">
        <f>SUMIFS('BAL N VR7'!$H:$H,'BAL N VR7'!$I:$I,$A38,'BAL N VR7'!$J:$J,"T")</f>
        <v>0</v>
      </c>
      <c r="D38" s="17" t="e">
        <f t="shared" si="7"/>
        <v>#DIV/0!</v>
      </c>
      <c r="E38" s="16">
        <f>SUMIFS(DONNEESCUM_N1_NOUVEAU[MONTANT],DONNEESCUM_N1_NOUVEAU[TL2],A38,DONNEESCUM_N1_NOUVEAU[MOIS],DONNÉES!$C$5,DONNEESCUM_N1_NOUVEAU[SOCIETE],"VR7")</f>
        <v>11356.53</v>
      </c>
      <c r="F38" s="17">
        <f t="shared" si="7"/>
        <v>2.9693095547953501</v>
      </c>
      <c r="G38" s="16">
        <f t="shared" si="8"/>
        <v>-11356.53</v>
      </c>
      <c r="H38" s="17">
        <f t="shared" si="9"/>
        <v>-100</v>
      </c>
    </row>
    <row r="39" spans="1:8" s="18" customFormat="1" x14ac:dyDescent="0.2">
      <c r="A39" s="13" t="s">
        <v>2978</v>
      </c>
      <c r="B39" s="14" t="s">
        <v>2980</v>
      </c>
      <c r="C39" s="23">
        <f>SUMIFS('BAL N VR7'!$H:$H,'BAL N VR7'!$I:$I,$A39,'BAL N VR7'!$J:$J,"T")</f>
        <v>0</v>
      </c>
      <c r="D39" s="17" t="e">
        <f t="shared" si="7"/>
        <v>#DIV/0!</v>
      </c>
      <c r="E39" s="16">
        <f>SUMIFS(DONNEESCUM_N1_NOUVEAU[MONTANT],DONNEESCUM_N1_NOUVEAU[TL2],A39,DONNEESCUM_N1_NOUVEAU[MOIS],DONNÉES!$C$5,DONNEESCUM_N1_NOUVEAU[SOCIETE],"VR7")</f>
        <v>2187.75</v>
      </c>
      <c r="F39" s="17">
        <f t="shared" si="7"/>
        <v>0.57201512948968802</v>
      </c>
      <c r="G39" s="16">
        <f t="shared" si="8"/>
        <v>-2187.75</v>
      </c>
      <c r="H39" s="17">
        <f t="shared" si="9"/>
        <v>-100</v>
      </c>
    </row>
    <row r="40" spans="1:8" s="18" customFormat="1" x14ac:dyDescent="0.2">
      <c r="A40" s="13" t="s">
        <v>2979</v>
      </c>
      <c r="B40" s="14" t="s">
        <v>2981</v>
      </c>
      <c r="C40" s="23">
        <f>SUMIFS('BAL N VR7'!$H:$H,'BAL N VR7'!$I:$I,$A40,'BAL N VR7'!$J:$J,"T")</f>
        <v>0</v>
      </c>
      <c r="D40" s="17" t="e">
        <f t="shared" si="7"/>
        <v>#DIV/0!</v>
      </c>
      <c r="E40" s="16">
        <f>SUMIFS(DONNEESCUM_N1_NOUVEAU[MONTANT],DONNEESCUM_N1_NOUVEAU[TL2],A40,DONNEESCUM_N1_NOUVEAU[MOIS],DONNÉES!$C$5,DONNEESCUM_N1_NOUVEAU[SOCIETE],"VR7")</f>
        <v>0</v>
      </c>
      <c r="F40" s="17">
        <f t="shared" si="7"/>
        <v>0</v>
      </c>
      <c r="G40" s="16">
        <f t="shared" si="8"/>
        <v>0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VR7'!$H:$H,'BAL N VR7'!$I:$I,$A41,'BAL N VR7'!$J:$J,"T")</f>
        <v>0</v>
      </c>
      <c r="D41" s="17" t="e">
        <f t="shared" si="7"/>
        <v>#DIV/0!</v>
      </c>
      <c r="E41" s="16">
        <f>SUMIFS(DONNEESCUM_N1_NOUVEAU[MONTANT],DONNEESCUM_N1_NOUVEAU[TL2],A41,DONNEESCUM_N1_NOUVEAU[MOIS],DONNÉES!$C$5,DONNEESCUM_N1_NOUVEAU[SOCIETE],"VR7")</f>
        <v>460.73</v>
      </c>
      <c r="F41" s="17">
        <f t="shared" si="7"/>
        <v>0.12046373242362425</v>
      </c>
      <c r="G41" s="16">
        <f t="shared" si="8"/>
        <v>-460.73</v>
      </c>
      <c r="H41" s="17">
        <f t="shared" si="9"/>
        <v>-100</v>
      </c>
    </row>
    <row r="42" spans="1:8" ht="13.5" thickBot="1" x14ac:dyDescent="0.25">
      <c r="A42" s="13"/>
      <c r="B42" s="63" t="s">
        <v>2984</v>
      </c>
      <c r="C42" s="49">
        <f>+SUM(C35:C41)</f>
        <v>0</v>
      </c>
      <c r="D42" s="50" t="e">
        <f t="shared" si="7"/>
        <v>#DIV/0!</v>
      </c>
      <c r="E42" s="51">
        <f>+SUM(E35:E41)</f>
        <v>39687.19</v>
      </c>
      <c r="F42" s="50">
        <f t="shared" si="7"/>
        <v>10.37672180410552</v>
      </c>
      <c r="G42" s="51">
        <f>+SUM(G35:G41)</f>
        <v>-39687.19</v>
      </c>
      <c r="H42" s="50">
        <f t="shared" si="9"/>
        <v>-100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0</v>
      </c>
      <c r="D44" s="71" t="e">
        <f>(C44*100)/C$8</f>
        <v>#DIV/0!</v>
      </c>
      <c r="E44" s="72">
        <f>E18-E26-E33-E42</f>
        <v>137708.76999999999</v>
      </c>
      <c r="F44" s="71">
        <f>(E44*100)/E$8</f>
        <v>36.005713588579887</v>
      </c>
      <c r="G44" s="72">
        <f>G18-G26-G33-G42</f>
        <v>-137708.76999999999</v>
      </c>
      <c r="H44" s="71">
        <f>IF(E44=0,0,G44/E44*100)</f>
        <v>-100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VR7'!$H:$H,'BAL N VR7'!$I:$I,$A46,'BAL N VR7'!$J:$J,"T")</f>
        <v>0</v>
      </c>
      <c r="D46" s="17" t="e">
        <f t="shared" ref="D46:F49" si="10">(C46*100)/C$8</f>
        <v>#DIV/0!</v>
      </c>
      <c r="E46" s="16">
        <f>SUMIFS(DONNEESCUM_N1_NOUVEAU[MONTANT],DONNEESCUM_N1_NOUVEAU[TL2],A46,DONNEESCUM_N1_NOUVEAU[MOIS],DONNÉES!$C$5,DONNEESCUM_N1_NOUVEAU[SOCIETE],"VR7")</f>
        <v>59949.17</v>
      </c>
      <c r="F46" s="17">
        <f t="shared" si="10"/>
        <v>15.674474798468436</v>
      </c>
      <c r="G46" s="16">
        <f>+C46-E46</f>
        <v>-59949.17</v>
      </c>
      <c r="H46" s="17">
        <f>IF(E46=0,0,G46/E46*100)</f>
        <v>-100</v>
      </c>
    </row>
    <row r="47" spans="1:8" s="18" customFormat="1" x14ac:dyDescent="0.2">
      <c r="A47" s="13" t="s">
        <v>35</v>
      </c>
      <c r="B47" s="14" t="s">
        <v>2986</v>
      </c>
      <c r="C47" s="23">
        <f>SUMIFS('BAL N VR7'!$H:$H,'BAL N VR7'!$I:$I,$A47,'BAL N VR7'!$J:$J,"T")</f>
        <v>0</v>
      </c>
      <c r="D47" s="17" t="e">
        <f t="shared" si="10"/>
        <v>#DIV/0!</v>
      </c>
      <c r="E47" s="16">
        <f>SUMIFS(DONNEESCUM_N1_NOUVEAU[MONTANT],DONNEESCUM_N1_NOUVEAU[TL2],A47,DONNEESCUM_N1_NOUVEAU[MOIS],DONNÉES!$C$5,DONNEESCUM_N1_NOUVEAU[SOCIETE],"VR7")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VR7'!$H:$H,'BAL N VR7'!$I:$I,$A48,'BAL N VR7'!$J:$J,"T")</f>
        <v>0</v>
      </c>
      <c r="D48" s="17" t="e">
        <f t="shared" si="10"/>
        <v>#DIV/0!</v>
      </c>
      <c r="E48" s="16">
        <f>SUMIFS(DONNEESCUM_N1_NOUVEAU[MONTANT],DONNEESCUM_N1_NOUVEAU[TL2],A48,DONNEESCUM_N1_NOUVEAU[MOIS],DONNÉES!$C$5,DONNEESCUM_N1_NOUVEAU[SOCIETE],"VR7")</f>
        <v>-963.25</v>
      </c>
      <c r="F48" s="17">
        <f t="shared" si="10"/>
        <v>-0.25185399313492951</v>
      </c>
      <c r="G48" s="16">
        <f>+C48-E48</f>
        <v>963.25</v>
      </c>
      <c r="H48" s="17">
        <f>IF(E48=0,0,G48/E48*100)</f>
        <v>-100</v>
      </c>
    </row>
    <row r="49" spans="1:8" ht="13.5" thickBot="1" x14ac:dyDescent="0.25">
      <c r="A49" s="13"/>
      <c r="B49" s="63" t="s">
        <v>2988</v>
      </c>
      <c r="C49" s="49">
        <f>SUM(C46:C48)</f>
        <v>0</v>
      </c>
      <c r="D49" s="50" t="e">
        <f t="shared" si="10"/>
        <v>#DIV/0!</v>
      </c>
      <c r="E49" s="51">
        <f>SUM(E46:E48)</f>
        <v>58985.919999999998</v>
      </c>
      <c r="F49" s="50">
        <f t="shared" si="10"/>
        <v>15.422620805333507</v>
      </c>
      <c r="G49" s="51">
        <f>SUM(G46:G48)</f>
        <v>-58985.919999999998</v>
      </c>
      <c r="H49" s="50">
        <f>IF(E49=0,0,G49/E49*100)</f>
        <v>-100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VR7'!$H:$H,'BAL N VR7'!$I:$I,$A51,'BAL N VR7'!$J:$J,"T")</f>
        <v>0</v>
      </c>
      <c r="D51" s="17" t="e">
        <f t="shared" ref="D51:F59" si="11">(C51*100)/C$8</f>
        <v>#DIV/0!</v>
      </c>
      <c r="E51" s="16">
        <f>SUMIFS(DONNEESCUM_N1_NOUVEAU[MONTANT],DONNEESCUM_N1_NOUVEAU[TL2],A51,DONNEESCUM_N1_NOUVEAU[MOIS],DONNÉES!$C$5,DONNEESCUM_N1_NOUVEAU[SOCIETE],"VR7")</f>
        <v>1100</v>
      </c>
      <c r="F51" s="17">
        <f t="shared" si="11"/>
        <v>0.28760902408349071</v>
      </c>
      <c r="G51" s="16">
        <f t="shared" ref="G51:G58" si="12">+C51-E51</f>
        <v>-1100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VR7'!$H:$H,'BAL N VR7'!$I:$I,$A52,'BAL N VR7'!$J:$J,"T")</f>
        <v>0</v>
      </c>
      <c r="D52" s="17" t="e">
        <f t="shared" si="11"/>
        <v>#DIV/0!</v>
      </c>
      <c r="E52" s="16">
        <f>SUMIFS(DONNEESCUM_N1_NOUVEAU[MONTANT],DONNEESCUM_N1_NOUVEAU[TL2],A52,DONNEESCUM_N1_NOUVEAU[MOIS],DONNÉES!$C$5,DONNEESCUM_N1_NOUVEAU[SOCIETE],"VR7")</f>
        <v>19338.439999999999</v>
      </c>
      <c r="F52" s="17">
        <f t="shared" si="11"/>
        <v>5.0562816869973997</v>
      </c>
      <c r="G52" s="16">
        <f t="shared" si="12"/>
        <v>-19338.439999999999</v>
      </c>
      <c r="H52" s="17">
        <f t="shared" si="13"/>
        <v>-100</v>
      </c>
    </row>
    <row r="53" spans="1:8" s="18" customFormat="1" x14ac:dyDescent="0.2">
      <c r="A53" s="13" t="s">
        <v>44</v>
      </c>
      <c r="B53" s="14" t="s">
        <v>62</v>
      </c>
      <c r="C53" s="23">
        <f>SUMIFS('BAL N VR7'!$H:$H,'BAL N VR7'!$I:$I,$A53,'BAL N VR7'!$J:$J,"T")</f>
        <v>0</v>
      </c>
      <c r="D53" s="17" t="e">
        <f t="shared" si="11"/>
        <v>#DIV/0!</v>
      </c>
      <c r="E53" s="16">
        <f>SUMIFS(DONNEESCUM_N1_NOUVEAU[MONTANT],DONNEESCUM_N1_NOUVEAU[TL2],A53,DONNEESCUM_N1_NOUVEAU[MOIS],DONNÉES!$C$5,DONNEESCUM_N1_NOUVEAU[SOCIETE],"VR7")</f>
        <v>1649</v>
      </c>
      <c r="F53" s="17">
        <f t="shared" si="11"/>
        <v>0.43115207337606926</v>
      </c>
      <c r="G53" s="16">
        <f t="shared" si="12"/>
        <v>-1649</v>
      </c>
      <c r="H53" s="17">
        <f t="shared" si="13"/>
        <v>-100</v>
      </c>
    </row>
    <row r="54" spans="1:8" s="18" customFormat="1" x14ac:dyDescent="0.2">
      <c r="A54" s="13" t="s">
        <v>45</v>
      </c>
      <c r="B54" s="14" t="s">
        <v>41</v>
      </c>
      <c r="C54" s="23">
        <f>SUMIFS('BAL N VR7'!$H:$H,'BAL N VR7'!$I:$I,$A54,'BAL N VR7'!$J:$J,"T")</f>
        <v>0</v>
      </c>
      <c r="D54" s="17" t="e">
        <f t="shared" si="11"/>
        <v>#DIV/0!</v>
      </c>
      <c r="E54" s="16">
        <f>SUMIFS(DONNEESCUM_N1_NOUVEAU[MONTANT],DONNEESCUM_N1_NOUVEAU[TL2],A54,DONNEESCUM_N1_NOUVEAU[MOIS],DONNÉES!$C$5,DONNEESCUM_N1_NOUVEAU[SOCIETE],"VR7")</f>
        <v>1541.86</v>
      </c>
      <c r="F54" s="17">
        <f t="shared" si="11"/>
        <v>0.40313895443033726</v>
      </c>
      <c r="G54" s="16">
        <f t="shared" si="12"/>
        <v>-1541.86</v>
      </c>
      <c r="H54" s="17">
        <f t="shared" si="13"/>
        <v>-100</v>
      </c>
    </row>
    <row r="55" spans="1:8" s="18" customFormat="1" x14ac:dyDescent="0.2">
      <c r="A55" s="13" t="s">
        <v>47</v>
      </c>
      <c r="B55" s="14" t="s">
        <v>43</v>
      </c>
      <c r="C55" s="23">
        <f>SUMIFS('BAL N VR7'!$H:$H,'BAL N VR7'!$I:$I,$A55,'BAL N VR7'!$J:$J,"T")</f>
        <v>0</v>
      </c>
      <c r="D55" s="17" t="e">
        <f t="shared" si="11"/>
        <v>#DIV/0!</v>
      </c>
      <c r="E55" s="16">
        <f>SUMIFS(DONNEESCUM_N1_NOUVEAU[MONTANT],DONNEESCUM_N1_NOUVEAU[TL2],A55,DONNEESCUM_N1_NOUVEAU[MOIS],DONNÉES!$C$5,DONNEESCUM_N1_NOUVEAU[SOCIETE],"VR7")</f>
        <v>4006.61</v>
      </c>
      <c r="F55" s="17">
        <f t="shared" si="11"/>
        <v>1.0475792654392315</v>
      </c>
      <c r="G55" s="16">
        <f t="shared" si="12"/>
        <v>-4006.61</v>
      </c>
      <c r="H55" s="17">
        <f t="shared" si="13"/>
        <v>-100</v>
      </c>
    </row>
    <row r="56" spans="1:8" s="18" customFormat="1" x14ac:dyDescent="0.2">
      <c r="A56" s="13" t="s">
        <v>48</v>
      </c>
      <c r="B56" s="14" t="s">
        <v>46</v>
      </c>
      <c r="C56" s="23">
        <f>SUMIFS('BAL N VR7'!$H:$H,'BAL N VR7'!$I:$I,$A56,'BAL N VR7'!$J:$J,"T")</f>
        <v>0</v>
      </c>
      <c r="D56" s="17" t="e">
        <f t="shared" si="11"/>
        <v>#DIV/0!</v>
      </c>
      <c r="E56" s="16">
        <f>SUMIFS(DONNEESCUM_N1_NOUVEAU[MONTANT],DONNEESCUM_N1_NOUVEAU[TL2],A56,DONNEESCUM_N1_NOUVEAU[MOIS],DONNÉES!$C$5,DONNEESCUM_N1_NOUVEAU[SOCIETE],"VR7")</f>
        <v>23000</v>
      </c>
      <c r="F56" s="17">
        <f t="shared" si="11"/>
        <v>6.0136432308366246</v>
      </c>
      <c r="G56" s="16">
        <f t="shared" si="12"/>
        <v>-23000</v>
      </c>
      <c r="H56" s="17">
        <f t="shared" si="13"/>
        <v>-100</v>
      </c>
    </row>
    <row r="57" spans="1:8" s="18" customFormat="1" x14ac:dyDescent="0.2">
      <c r="A57" s="13" t="s">
        <v>50</v>
      </c>
      <c r="B57" s="14" t="s">
        <v>2990</v>
      </c>
      <c r="C57" s="23">
        <f>SUMIFS('BAL N VR7'!$H:$H,'BAL N VR7'!$I:$I,$A57,'BAL N VR7'!$J:$J,"T")</f>
        <v>0</v>
      </c>
      <c r="D57" s="17" t="e">
        <f t="shared" si="11"/>
        <v>#DIV/0!</v>
      </c>
      <c r="E57" s="16">
        <f>SUMIFS(DONNEESCUM_N1_NOUVEAU[MONTANT],DONNEESCUM_N1_NOUVEAU[TL2],A57,DONNEESCUM_N1_NOUVEAU[MOIS],DONNÉES!$C$5,DONNEESCUM_N1_NOUVEAU[SOCIETE],"VR7")</f>
        <v>0</v>
      </c>
      <c r="F57" s="17">
        <f t="shared" si="11"/>
        <v>0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VR7'!$H:$H,'BAL N VR7'!$I:$I,$A58,'BAL N VR7'!$J:$J,"T")</f>
        <v>0</v>
      </c>
      <c r="D58" s="17" t="e">
        <f t="shared" si="11"/>
        <v>#DIV/0!</v>
      </c>
      <c r="E58" s="16">
        <f>SUMIFS(DONNEESCUM_N1_NOUVEAU[MONTANT],DONNEESCUM_N1_NOUVEAU[TL2],A58,DONNEESCUM_N1_NOUVEAU[MOIS],DONNÉES!$C$5,DONNEESCUM_N1_NOUVEAU[SOCIETE],"VR7")</f>
        <v>2279.71</v>
      </c>
      <c r="F58" s="17">
        <f t="shared" si="11"/>
        <v>0.59605924390306786</v>
      </c>
      <c r="G58" s="16">
        <f t="shared" si="12"/>
        <v>-2279.71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0</v>
      </c>
      <c r="D59" s="50" t="e">
        <f t="shared" si="11"/>
        <v>#DIV/0!</v>
      </c>
      <c r="E59" s="51">
        <f>SUM(E51:E58)</f>
        <v>52915.62</v>
      </c>
      <c r="F59" s="50">
        <f t="shared" si="11"/>
        <v>13.835463479066222</v>
      </c>
      <c r="G59" s="51">
        <f>SUM(G51:G58)</f>
        <v>-52915.62</v>
      </c>
      <c r="H59" s="50">
        <f t="shared" si="13"/>
        <v>-100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0</v>
      </c>
      <c r="D61" s="71" t="e">
        <f>(C61*100)/C$8</f>
        <v>#DIV/0!</v>
      </c>
      <c r="E61" s="72">
        <f>E59+E49+E42+E33+E26</f>
        <v>265980.36</v>
      </c>
      <c r="F61" s="71">
        <f>(E61*100)/E$8</f>
        <v>69.54395614997776</v>
      </c>
      <c r="G61" s="72">
        <f>G59+G49+G42+G33+G26</f>
        <v>-265980.36</v>
      </c>
      <c r="H61" s="71">
        <f>IF(E61=0,0,G61/E61*100)</f>
        <v>-100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VR7'!$H:$H,'BAL N VR7'!$I:$I,$A63,'BAL N VR7'!$J:$J,"T")</f>
        <v>0</v>
      </c>
      <c r="D63" s="17" t="e">
        <f t="shared" ref="D63:F65" si="14">(C63*100)/C$8</f>
        <v>#DIV/0!</v>
      </c>
      <c r="E63" s="16">
        <f>-SUMIFS(DONNEESCUM_N1_NOUVEAU[MONTANT],DONNEESCUM_N1_NOUVEAU[TL2],A63,DONNEESCUM_N1_NOUVEAU[MOIS],DONNÉES!$C$5,DONNEESCUM_N1_NOUVEAU[SOCIETE],"VR7")</f>
        <v>4305.17</v>
      </c>
      <c r="F63" s="17">
        <f t="shared" si="14"/>
        <v>1.1256415838304743</v>
      </c>
      <c r="G63" s="16">
        <f>+C63-E63</f>
        <v>-4305.17</v>
      </c>
      <c r="H63" s="17">
        <f>IF(E63=0,0,G63/E63*100)</f>
        <v>-100</v>
      </c>
    </row>
    <row r="64" spans="1:8" s="18" customFormat="1" x14ac:dyDescent="0.2">
      <c r="A64" s="13" t="s">
        <v>2992</v>
      </c>
      <c r="B64" s="68" t="s">
        <v>65</v>
      </c>
      <c r="C64" s="23">
        <f>SUMIFS('BAL N VR7'!$H:$H,'BAL N VR7'!$I:$I,$A64,'BAL N VR7'!$J:$J,"T")</f>
        <v>0</v>
      </c>
      <c r="D64" s="17" t="e">
        <f t="shared" si="14"/>
        <v>#DIV/0!</v>
      </c>
      <c r="E64" s="24">
        <f>SUMIFS(DONNEESCUM_N1_NOUVEAU[MONTANT],DONNEESCUM_N1_NOUVEAU[TL2],A64,DONNEESCUM_N1_NOUVEAU[MOIS],DONNÉES!$C$5,DONNEESCUM_N1_NOUVEAU[SOCIETE],"VR7")</f>
        <v>2820.3</v>
      </c>
      <c r="F64" s="17">
        <f t="shared" si="14"/>
        <v>0.73740339147515355</v>
      </c>
      <c r="G64" s="16">
        <f>+C64-E64</f>
        <v>-2820.3</v>
      </c>
      <c r="H64" s="17">
        <f>IF(E64=0,0,G64/E64*100)</f>
        <v>-100</v>
      </c>
    </row>
    <row r="65" spans="1:9" s="59" customFormat="1" ht="13.5" x14ac:dyDescent="0.2">
      <c r="A65" s="13"/>
      <c r="B65" s="62" t="s">
        <v>53</v>
      </c>
      <c r="C65" s="67">
        <f>+C63-C64</f>
        <v>0</v>
      </c>
      <c r="D65" s="56" t="e">
        <f t="shared" si="14"/>
        <v>#DIV/0!</v>
      </c>
      <c r="E65" s="57">
        <f>+E63-E64</f>
        <v>1484.87</v>
      </c>
      <c r="F65" s="56">
        <f t="shared" si="14"/>
        <v>0.38823819235532081</v>
      </c>
      <c r="G65" s="58">
        <f>+G63-G64</f>
        <v>-1484.87</v>
      </c>
      <c r="H65" s="56">
        <f>IF(E65=0,0,G65/E65*100)</f>
        <v>-100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VR7'!$H:$H,'BAL N VR7'!$I:$I,$A67,'BAL N VR7'!$J:$J,"T")</f>
        <v>0</v>
      </c>
      <c r="D67" s="17" t="e">
        <f>(C67*100)/C$8</f>
        <v>#DIV/0!</v>
      </c>
      <c r="E67" s="16">
        <f>-SUMIFS(DONNEESCUM_N1_NOUVEAU[MONTANT],DONNEESCUM_N1_NOUVEAU[TL2],A67,DONNEESCUM_N1_NOUVEAU[MOIS],DONNÉES!$C$5,DONNEESCUM_N1_NOUVEAU[SOCIETE],"VR7")</f>
        <v>-438.64</v>
      </c>
      <c r="F67" s="17">
        <f>(E67*100)/E$8</f>
        <v>-0.11468802029452943</v>
      </c>
      <c r="G67" s="16">
        <f>+C67-E67</f>
        <v>438.64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0</v>
      </c>
      <c r="D69" s="10" t="e">
        <f>(C69*100)/C$8</f>
        <v>#DIV/0!</v>
      </c>
      <c r="E69" s="9">
        <f>E18-E61+E65+E67</f>
        <v>26853.459999999981</v>
      </c>
      <c r="F69" s="10">
        <f>(E69*100)/E$8</f>
        <v>7.0211794762409543</v>
      </c>
      <c r="G69" s="9">
        <f>G18-G61+G65+G67</f>
        <v>-26853.459999999981</v>
      </c>
      <c r="H69" s="10">
        <f>IF(E69=0,0,G69/E69*100)</f>
        <v>-100</v>
      </c>
    </row>
    <row r="70" spans="1:9" ht="13.5" thickBot="1" x14ac:dyDescent="0.25">
      <c r="A70" s="13"/>
      <c r="B70" s="63" t="s">
        <v>3034</v>
      </c>
      <c r="C70" s="49">
        <f>+C69-C67+C57+C56</f>
        <v>0</v>
      </c>
      <c r="D70" s="50" t="e">
        <f>(C70*100)/C$8</f>
        <v>#DIV/0!</v>
      </c>
      <c r="E70" s="49">
        <f>+E69-E67+E57+E56</f>
        <v>50292.099999999977</v>
      </c>
      <c r="F70" s="50">
        <f>(E70*100)/E$8</f>
        <v>13.149510727372107</v>
      </c>
      <c r="G70" s="49">
        <f>+G69-G67+G57+G56</f>
        <v>-50292.099999999977</v>
      </c>
      <c r="H70" s="50">
        <f>IF(E70=0,0,G70/E70*100)</f>
        <v>-100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VR7'!$H:$H,'BAL N VR7'!$I:$I,$A72,'BAL N VR7'!$J:$J,"T")</f>
        <v>0</v>
      </c>
      <c r="D72" s="17" t="e">
        <f>(C72*100)/C$8</f>
        <v>#DIV/0!</v>
      </c>
      <c r="E72" s="16">
        <f>-SUMIFS(DONNEESCUM_N1_NOUVEAU[MONTANT],DONNEESCUM_N1_NOUVEAU[TL2],A72,DONNEESCUM_N1_NOUVEAU[MOIS],DONNÉES!$C$5,DONNEESCUM_N1_NOUVEAU[SOCIETE],"VR7")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VR7'!$H:$H,'BAL N VR7'!$I:$I,$A74,'BAL N VR7'!$J:$J,"T")</f>
        <v>0</v>
      </c>
      <c r="D74" s="10" t="e">
        <f>(C74*100)/C$8</f>
        <v>#DIV/0!</v>
      </c>
      <c r="E74" s="9">
        <f>SUMIFS(DONNEESCUM_N1_NOUVEAU[MONTANT],DONNEESCUM_N1_NOUVEAU[TL2],A74,DONNEESCUM_N1_NOUVEAU[MOIS],DONNÉES!$C$5,DONNEESCUM_N1_NOUVEAU[SOCIETE],"VR7")</f>
        <v>26891.75</v>
      </c>
      <c r="F74" s="10">
        <f>(E74*100)/E$8</f>
        <v>7.0311908849065556</v>
      </c>
      <c r="G74" s="9">
        <f>+C74-E74</f>
        <v>-26891.75</v>
      </c>
      <c r="H74" s="10">
        <f>IF(E74=0,0,G74/E74*100)</f>
        <v>-100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0</v>
      </c>
      <c r="D76" s="71" t="e">
        <f>(C76*100)/C$8</f>
        <v>#DIV/0!</v>
      </c>
      <c r="E76" s="72">
        <f>E69-E74+E72</f>
        <v>-38.290000000019063</v>
      </c>
      <c r="F76" s="71">
        <f>(E76*100)/E$8</f>
        <v>-1.001140866560213E-2</v>
      </c>
      <c r="G76" s="72">
        <f>G69-G74+G72</f>
        <v>38.290000000019063</v>
      </c>
      <c r="H76" s="71">
        <f>IF(E76=0,0,G76/E76*100)</f>
        <v>-100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VLOOKUP(PARAMETRES!$C$2,DONNÉES!$AH$188:$AN$199,2,FALSE)</f>
        <v>0</v>
      </c>
      <c r="D78" s="324"/>
      <c r="E78" s="323">
        <f>VLOOKUP(PARAMETRES!$C$2,DONNÉES!$AH$188:$AN$199,3,FALSE)</f>
        <v>21218</v>
      </c>
      <c r="F78" s="324"/>
      <c r="G78" s="325">
        <f>C78-E78</f>
        <v>-21218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 t="e">
        <f>VLOOKUP(PARAMETRES!$C$2,DONNÉES!$AH$284:$AN$295,2,FALSE)</f>
        <v>#DIV/0!</v>
      </c>
      <c r="D80" s="316"/>
      <c r="E80" s="315">
        <f>VLOOKUP(PARAMETRES!$C$2,DONNÉES!$AH$284:$AN$295,3,FALSE)</f>
        <v>18.23</v>
      </c>
      <c r="F80" s="316"/>
      <c r="G80" s="317" t="e">
        <f>(C80-E80)/E80</f>
        <v>#DIV/0!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CD33-71BC-44AA-BC8A-85E52FEF0C6C}">
  <sheetPr>
    <tabColor rgb="FFFFC000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527E9-7226-4DEF-A464-49579ABD8EF1}">
  <sheetPr>
    <tabColor rgb="FFFFC000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14.28515625" style="6" customWidth="1"/>
    <col min="5" max="5" width="12.5703125" style="20" customWidth="1"/>
    <col min="6" max="6" width="14.8554687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32" t="s">
        <v>6897</v>
      </c>
      <c r="C3" s="333"/>
      <c r="D3" s="333"/>
      <c r="E3" s="333"/>
      <c r="F3" s="333"/>
      <c r="G3" s="333"/>
      <c r="H3" s="333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2156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TURVILLA'!$H:$H,'BAL N TURVILLA'!$I:$I,$A8,'BAL N TURVILLA'!$J:$J,"T")</f>
        <v>457867.94</v>
      </c>
      <c r="D8" s="71">
        <f>(C8*100)/C$8</f>
        <v>100</v>
      </c>
      <c r="E8" s="72">
        <f>-SUMIFS(DONNEESCUM_N1_NOUVEAU[MONTANT],DONNEESCUM_N1_NOUVEAU[TL2],A8,DONNEESCUM_N1_NOUVEAU[MOIS],DONNÉES!$C$5,DONNEESCUM_N1_NOUVEAU[SOCIETE],"TURVILLA")</f>
        <v>448803.22</v>
      </c>
      <c r="F8" s="71">
        <f>(E8*100)/E$8</f>
        <v>100</v>
      </c>
      <c r="G8" s="72">
        <f>+C8-E8</f>
        <v>9064.7200000000303</v>
      </c>
      <c r="H8" s="71">
        <f>IF(E8=0,0,G8/E8*100)</f>
        <v>2.0197537798414258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TURVILLA'!$H:$H,'BAL N TURVILLA'!$I:$I,$A10,'BAL N TURVILLA'!$J:$J,"T")</f>
        <v>104319.25</v>
      </c>
      <c r="D10" s="17">
        <f t="shared" ref="D10:F16" si="0">(C10*100)/C$8</f>
        <v>22.783698286453514</v>
      </c>
      <c r="E10" s="16">
        <f>SUMIFS(DONNEESCUM_N1_NOUVEAU[MONTANT],DONNEESCUM_N1_NOUVEAU[TL2],A10,DONNEESCUM_N1_NOUVEAU[MOIS],DONNÉES!$C$5,DONNEESCUM_N1_NOUVEAU[SOCIETE],"TURVILLA")</f>
        <v>99520.28</v>
      </c>
      <c r="F10" s="17">
        <f t="shared" si="0"/>
        <v>22.174591349857071</v>
      </c>
      <c r="G10" s="16">
        <f>+C10-E10</f>
        <v>4798.9700000000012</v>
      </c>
      <c r="H10" s="17">
        <f t="shared" ref="H10:H16" si="1">IF(E10=0,0,G10/E10*100)</f>
        <v>4.8221025905473756</v>
      </c>
    </row>
    <row r="11" spans="1:8" s="18" customFormat="1" x14ac:dyDescent="0.2">
      <c r="A11" s="13" t="s">
        <v>124</v>
      </c>
      <c r="B11" s="14" t="s">
        <v>4</v>
      </c>
      <c r="C11" s="23">
        <f>SUMIFS('BAL N TURVILLA'!$H:$H,'BAL N TURVILLA'!$I:$I,$A11,'BAL N TURVILLA'!$J:$J,"T")</f>
        <v>1982.79</v>
      </c>
      <c r="D11" s="17">
        <f t="shared" si="0"/>
        <v>0.43304844623976074</v>
      </c>
      <c r="E11" s="16">
        <f>SUMIFS(DONNEESCUM_N1_NOUVEAU[MONTANT],DONNEESCUM_N1_NOUVEAU[TL2],A11,DONNEESCUM_N1_NOUVEAU[MOIS],DONNÉES!$C$5,DONNEESCUM_N1_NOUVEAU[SOCIETE],"TURVILLA")</f>
        <v>1842.96</v>
      </c>
      <c r="F11" s="17">
        <f t="shared" si="0"/>
        <v>0.41063876502490337</v>
      </c>
      <c r="G11" s="16">
        <f>+C11-E11</f>
        <v>139.82999999999993</v>
      </c>
      <c r="H11" s="17">
        <f t="shared" si="1"/>
        <v>7.5872509441333458</v>
      </c>
    </row>
    <row r="12" spans="1:8" s="18" customFormat="1" x14ac:dyDescent="0.2">
      <c r="A12" s="13" t="s">
        <v>125</v>
      </c>
      <c r="B12" s="14" t="s">
        <v>2</v>
      </c>
      <c r="C12" s="23">
        <f>SUMIFS('BAL N TURVILLA'!$H:$H,'BAL N TURVILLA'!$I:$I,$A12,'BAL N TURVILLA'!$J:$J,"T")</f>
        <v>2641.78</v>
      </c>
      <c r="D12" s="17">
        <f t="shared" si="0"/>
        <v>0.57697422536288523</v>
      </c>
      <c r="E12" s="16">
        <f>SUMIFS(DONNEESCUM_N1_NOUVEAU[MONTANT],DONNEESCUM_N1_NOUVEAU[TL2],A12,DONNEESCUM_N1_NOUVEAU[MOIS],DONNÉES!$C$5,DONNEESCUM_N1_NOUVEAU[SOCIETE],"TURVILLA")</f>
        <v>1770.54</v>
      </c>
      <c r="F12" s="17">
        <f t="shared" si="0"/>
        <v>0.39450251716108459</v>
      </c>
      <c r="G12" s="16">
        <f>+C12-E12</f>
        <v>871.24000000000024</v>
      </c>
      <c r="H12" s="17">
        <f t="shared" si="1"/>
        <v>49.207586386074318</v>
      </c>
    </row>
    <row r="13" spans="1:8" s="59" customFormat="1" ht="13.5" x14ac:dyDescent="0.2">
      <c r="A13" s="60"/>
      <c r="B13" s="62" t="s">
        <v>6</v>
      </c>
      <c r="C13" s="55">
        <f>SUM(C10:C12)</f>
        <v>108943.81999999999</v>
      </c>
      <c r="D13" s="56">
        <f t="shared" si="0"/>
        <v>23.793720958056159</v>
      </c>
      <c r="E13" s="55">
        <f>SUM(E10:E12)</f>
        <v>103133.78</v>
      </c>
      <c r="F13" s="56">
        <f t="shared" si="0"/>
        <v>22.97973263204306</v>
      </c>
      <c r="G13" s="55">
        <f>SUM(G10:G12)</f>
        <v>5810.0400000000009</v>
      </c>
      <c r="H13" s="56">
        <f t="shared" si="1"/>
        <v>5.6334985491659477</v>
      </c>
    </row>
    <row r="14" spans="1:8" s="18" customFormat="1" x14ac:dyDescent="0.2">
      <c r="A14" s="13" t="s">
        <v>126</v>
      </c>
      <c r="B14" s="14" t="s">
        <v>8</v>
      </c>
      <c r="C14" s="23">
        <f>SUMIFS('BAL N TURVILLA'!$H:$H,'BAL N TURVILLA'!$I:$I,$A14,'BAL N TURVILLA'!$J:$J,"T")</f>
        <v>9613.99</v>
      </c>
      <c r="D14" s="17">
        <f t="shared" si="0"/>
        <v>2.0997298915490785</v>
      </c>
      <c r="E14" s="16">
        <f>SUMIFS(DONNEESCUM_N1_NOUVEAU[MONTANT],DONNEESCUM_N1_NOUVEAU[TL2],A14,DONNEESCUM_N1_NOUVEAU[MOIS],DONNÉES!$C$5,DONNEESCUM_N1_NOUVEAU[SOCIETE],"TURVILLA")</f>
        <v>9144.11</v>
      </c>
      <c r="F14" s="17">
        <f t="shared" si="0"/>
        <v>2.0374430468658402</v>
      </c>
      <c r="G14" s="16">
        <f>+C14-E14</f>
        <v>469.8799999999992</v>
      </c>
      <c r="H14" s="17">
        <f t="shared" si="1"/>
        <v>5.1386083500745192</v>
      </c>
    </row>
    <row r="15" spans="1:8" s="18" customFormat="1" x14ac:dyDescent="0.2">
      <c r="A15" s="13" t="s">
        <v>2964</v>
      </c>
      <c r="B15" s="14" t="s">
        <v>2965</v>
      </c>
      <c r="C15" s="23">
        <f>SUMIFS('BAL N TURVILLA'!$H:$H,'BAL N TURVILLA'!$I:$I,$A15,'BAL N TURVILLA'!$J:$J,"T")</f>
        <v>-1786.19</v>
      </c>
      <c r="D15" s="17">
        <f t="shared" si="0"/>
        <v>-0.39011030123664042</v>
      </c>
      <c r="E15" s="16">
        <f>SUMIFS(DONNEESCUM_N1_NOUVEAU[MONTANT],DONNEESCUM_N1_NOUVEAU[TL2],A15,DONNEESCUM_N1_NOUVEAU[MOIS],DONNÉES!$C$5,DONNEESCUM_N1_NOUVEAU[SOCIETE],"TURVILLA")</f>
        <v>3089.11</v>
      </c>
      <c r="F15" s="17">
        <f t="shared" si="0"/>
        <v>0.6882994288677341</v>
      </c>
      <c r="G15" s="16">
        <f>+C15-E15</f>
        <v>-4875.3</v>
      </c>
      <c r="H15" s="17">
        <f t="shared" si="1"/>
        <v>-157.82215589603479</v>
      </c>
    </row>
    <row r="16" spans="1:8" ht="13.5" thickBot="1" x14ac:dyDescent="0.25">
      <c r="A16" s="7"/>
      <c r="B16" s="63" t="s">
        <v>10</v>
      </c>
      <c r="C16" s="49">
        <f>+C13+SUM(C14:C15)</f>
        <v>116771.62</v>
      </c>
      <c r="D16" s="50">
        <f t="shared" si="0"/>
        <v>25.503340548368598</v>
      </c>
      <c r="E16" s="49">
        <f>+E13+SUM(E14:E15)</f>
        <v>115367</v>
      </c>
      <c r="F16" s="50">
        <f t="shared" si="0"/>
        <v>25.705475107776635</v>
      </c>
      <c r="G16" s="49">
        <f>+G13+SUM(G14:G15)</f>
        <v>1404.62</v>
      </c>
      <c r="H16" s="50">
        <f t="shared" si="1"/>
        <v>1.2175232085431709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341096.32</v>
      </c>
      <c r="D18" s="71">
        <f>(C18*100)/C$8</f>
        <v>74.496659451631402</v>
      </c>
      <c r="E18" s="70">
        <f>E8-E16</f>
        <v>333436.21999999997</v>
      </c>
      <c r="F18" s="71">
        <f>(E18*100)/E$8</f>
        <v>74.294524892223365</v>
      </c>
      <c r="G18" s="70">
        <f>G8-G16</f>
        <v>7660.1000000000304</v>
      </c>
      <c r="H18" s="71">
        <f>IF(E18=0,0,G18/E18*100)</f>
        <v>2.2973209089282598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TURVILLA'!$H:$H,'BAL N TURVILLA'!$I:$I,$A20,'BAL N TURVILLA'!$J:$J,"T")</f>
        <v>64605.69</v>
      </c>
      <c r="D20" s="17">
        <f t="shared" ref="D20:F26" si="2">(C20*100)/C$8</f>
        <v>14.110114370532255</v>
      </c>
      <c r="E20" s="16">
        <f>SUMIFS(DONNEESCUM_N1_NOUVEAU[MONTANT],DONNEESCUM_N1_NOUVEAU[TL2],A20,DONNEESCUM_N1_NOUVEAU[MOIS],DONNÉES!$C$5,DONNEESCUM_N1_NOUVEAU[SOCIETE],"TURVILLA")</f>
        <v>79042.67</v>
      </c>
      <c r="F20" s="17">
        <f t="shared" si="2"/>
        <v>17.611876759707741</v>
      </c>
      <c r="G20" s="16">
        <f t="shared" ref="G20:G25" si="3">+C20-E20</f>
        <v>-14436.979999999996</v>
      </c>
      <c r="H20" s="17">
        <f t="shared" ref="H20:H26" si="4">IF(E20=0,0,G20/E20*100)</f>
        <v>-18.264792927668051</v>
      </c>
    </row>
    <row r="21" spans="1:8" s="18" customFormat="1" x14ac:dyDescent="0.2">
      <c r="A21" s="13">
        <v>9</v>
      </c>
      <c r="B21" s="14" t="s">
        <v>2968</v>
      </c>
      <c r="C21" s="23">
        <f>SUMIFS('BAL N TURVILLA'!$H:$H,'BAL N TURVILLA'!$I:$I,$A21,'BAL N TURVILLA'!$J:$J,"T")</f>
        <v>7542.51</v>
      </c>
      <c r="D21" s="17">
        <f t="shared" si="2"/>
        <v>1.6473112312689986</v>
      </c>
      <c r="E21" s="16">
        <f>SUMIFS(DONNEESCUM_N1_NOUVEAU[MONTANT],DONNEESCUM_N1_NOUVEAU[TL2],A21,DONNEESCUM_N1_NOUVEAU[MOIS],DONNÉES!$C$5,DONNEESCUM_N1_NOUVEAU[SOCIETE],"TURVILLA")</f>
        <v>8981.56</v>
      </c>
      <c r="F21" s="17">
        <f t="shared" si="2"/>
        <v>2.001224501018509</v>
      </c>
      <c r="G21" s="16">
        <f t="shared" si="3"/>
        <v>-1439.0499999999993</v>
      </c>
      <c r="H21" s="17">
        <f t="shared" si="4"/>
        <v>-16.022272300134937</v>
      </c>
    </row>
    <row r="22" spans="1:8" s="18" customFormat="1" x14ac:dyDescent="0.2">
      <c r="A22" s="13" t="s">
        <v>12</v>
      </c>
      <c r="B22" s="14" t="s">
        <v>14</v>
      </c>
      <c r="C22" s="23">
        <f>SUMIFS('BAL N TURVILLA'!$H:$H,'BAL N TURVILLA'!$I:$I,$A22,'BAL N TURVILLA'!$J:$J,"T")</f>
        <v>21675.87</v>
      </c>
      <c r="D22" s="17">
        <f t="shared" si="2"/>
        <v>4.73408773717592</v>
      </c>
      <c r="E22" s="16">
        <f>SUMIFS(DONNEESCUM_N1_NOUVEAU[MONTANT],DONNEESCUM_N1_NOUVEAU[TL2],A22,DONNEESCUM_N1_NOUVEAU[MOIS],DONNÉES!$C$5,DONNEESCUM_N1_NOUVEAU[SOCIETE],"TURVILLA")</f>
        <v>17063.32</v>
      </c>
      <c r="F22" s="17">
        <f t="shared" si="2"/>
        <v>3.8019602444028813</v>
      </c>
      <c r="G22" s="16">
        <f t="shared" si="3"/>
        <v>4612.5499999999993</v>
      </c>
      <c r="H22" s="17">
        <f t="shared" si="4"/>
        <v>27.031960954843488</v>
      </c>
    </row>
    <row r="23" spans="1:8" s="18" customFormat="1" x14ac:dyDescent="0.2">
      <c r="A23" s="13" t="s">
        <v>13</v>
      </c>
      <c r="B23" s="14" t="s">
        <v>2966</v>
      </c>
      <c r="C23" s="23">
        <f>SUMIFS('BAL N TURVILLA'!$H:$H,'BAL N TURVILLA'!$I:$I,$A23,'BAL N TURVILLA'!$J:$J,"T")</f>
        <v>5195.2</v>
      </c>
      <c r="D23" s="17">
        <f t="shared" si="2"/>
        <v>1.1346503098688236</v>
      </c>
      <c r="E23" s="16">
        <f>SUMIFS(DONNEESCUM_N1_NOUVEAU[MONTANT],DONNEESCUM_N1_NOUVEAU[TL2],A23,DONNEESCUM_N1_NOUVEAU[MOIS],DONNÉES!$C$5,DONNEESCUM_N1_NOUVEAU[SOCIETE],"TURVILLA")</f>
        <v>4516.0600000000004</v>
      </c>
      <c r="F23" s="17">
        <f t="shared" si="2"/>
        <v>1.0062450086699468</v>
      </c>
      <c r="G23" s="16">
        <f t="shared" si="3"/>
        <v>679.13999999999942</v>
      </c>
      <c r="H23" s="17">
        <f t="shared" si="4"/>
        <v>15.038329871613737</v>
      </c>
    </row>
    <row r="24" spans="1:8" s="18" customFormat="1" x14ac:dyDescent="0.2">
      <c r="A24" s="13" t="s">
        <v>15</v>
      </c>
      <c r="B24" s="14" t="s">
        <v>2969</v>
      </c>
      <c r="C24" s="23">
        <f>SUMIFS('BAL N TURVILLA'!$H:$H,'BAL N TURVILLA'!$I:$I,$A24,'BAL N TURVILLA'!$J:$J,"T")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SUMIFS(DONNEESCUM_N1_NOUVEAU[MONTANT],DONNEESCUM_N1_NOUVEAU[TL2],A24,DONNEESCUM_N1_NOUVEAU[MOIS],DONNÉES!$C$5,DONNEESCUM_N1_NOUVEAU[SOCIETE],"TURVILLA")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TURVILLA'!$H:$H,'BAL N TURVILLA'!$I:$I,$A25,'BAL N TURVILLA'!$J:$J,"T")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SUMIFS(DONNEESCUM_N1_NOUVEAU[MONTANT],DONNEESCUM_N1_NOUVEAU[TL2],A25,DONNEESCUM_N1_NOUVEAU[MOIS],DONNÉES!$C$5,DONNEESCUM_N1_NOUVEAU[SOCIETE],"TURVILLA")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99019.26999999999</v>
      </c>
      <c r="D26" s="50">
        <f t="shared" si="2"/>
        <v>21.626163648845992</v>
      </c>
      <c r="E26" s="51">
        <f>SUM(E20:E25)</f>
        <v>109603.60999999999</v>
      </c>
      <c r="F26" s="50">
        <f t="shared" si="2"/>
        <v>24.421306513799074</v>
      </c>
      <c r="G26" s="51">
        <f>SUM(G20:G25)</f>
        <v>-10584.339999999997</v>
      </c>
      <c r="H26" s="50">
        <f t="shared" si="4"/>
        <v>-9.6569264461270912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TURVILLA'!$H:$H,'BAL N TURVILLA'!$I:$I,$A28,'BAL N TURVILLA'!$J:$J,"T")</f>
        <v>11700</v>
      </c>
      <c r="D28" s="17">
        <f t="shared" ref="D28:F33" si="5">(C28*100)/C$8</f>
        <v>2.5553219559334073</v>
      </c>
      <c r="E28" s="16">
        <f>SUMIFS(DONNEESCUM_N1_NOUVEAU[MONTANT],DONNEESCUM_N1_NOUVEAU[TL2],A28,DONNEESCUM_N1_NOUVEAU[MOIS],DONNÉES!$C$5,DONNEESCUM_N1_NOUVEAU[SOCIETE],"TURVILLA")</f>
        <v>0</v>
      </c>
      <c r="F28" s="17">
        <f t="shared" si="5"/>
        <v>0</v>
      </c>
      <c r="G28" s="16">
        <f>+C28-E28</f>
        <v>11700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TURVILLA'!$H:$H,'BAL N TURVILLA'!$I:$I,$A29,'BAL N TURVILLA'!$J:$J,"T")</f>
        <v>33</v>
      </c>
      <c r="D29" s="17">
        <f t="shared" si="5"/>
        <v>7.2073183372480722E-3</v>
      </c>
      <c r="E29" s="16">
        <f>SUMIFS(DONNEESCUM_N1_NOUVEAU[MONTANT],DONNEESCUM_N1_NOUVEAU[TL2],A29,DONNEESCUM_N1_NOUVEAU[MOIS],DONNÉES!$C$5,DONNEESCUM_N1_NOUVEAU[SOCIETE],"TURVILLA")</f>
        <v>29</v>
      </c>
      <c r="F29" s="17">
        <f t="shared" si="5"/>
        <v>6.4616292191486506E-3</v>
      </c>
      <c r="G29" s="16">
        <f>+C29-E29</f>
        <v>4</v>
      </c>
      <c r="H29" s="17">
        <f t="shared" si="6"/>
        <v>13.793103448275861</v>
      </c>
    </row>
    <row r="30" spans="1:8" s="18" customFormat="1" x14ac:dyDescent="0.2">
      <c r="A30" s="13" t="s">
        <v>21</v>
      </c>
      <c r="B30" s="14" t="s">
        <v>2973</v>
      </c>
      <c r="C30" s="23">
        <f>SUMIFS('BAL N TURVILLA'!$H:$H,'BAL N TURVILLA'!$I:$I,$A30,'BAL N TURVILLA'!$J:$J,"T")</f>
        <v>4742.9799999999996</v>
      </c>
      <c r="D30" s="17">
        <f t="shared" si="5"/>
        <v>1.0358838402182078</v>
      </c>
      <c r="E30" s="16">
        <f>SUMIFS(DONNEESCUM_N1_NOUVEAU[MONTANT],DONNEESCUM_N1_NOUVEAU[TL2],A30,DONNEESCUM_N1_NOUVEAU[MOIS],DONNÉES!$C$5,DONNEESCUM_N1_NOUVEAU[SOCIETE],"TURVILLA")</f>
        <v>4199.6899999999996</v>
      </c>
      <c r="F30" s="17">
        <f t="shared" si="5"/>
        <v>0.93575309018504804</v>
      </c>
      <c r="G30" s="16">
        <f>+C30-E30</f>
        <v>543.29</v>
      </c>
      <c r="H30" s="17">
        <f t="shared" si="6"/>
        <v>12.936431022289741</v>
      </c>
    </row>
    <row r="31" spans="1:8" s="18" customFormat="1" x14ac:dyDescent="0.2">
      <c r="A31" s="13" t="s">
        <v>23</v>
      </c>
      <c r="B31" s="14" t="s">
        <v>2974</v>
      </c>
      <c r="C31" s="23">
        <f>SUMIFS('BAL N TURVILLA'!$H:$H,'BAL N TURVILLA'!$I:$I,$A31,'BAL N TURVILLA'!$J:$J,"T")</f>
        <v>1882.74</v>
      </c>
      <c r="D31" s="17">
        <f t="shared" si="5"/>
        <v>0.41119716746274043</v>
      </c>
      <c r="E31" s="16">
        <f>SUMIFS(DONNEESCUM_N1_NOUVEAU[MONTANT],DONNEESCUM_N1_NOUVEAU[TL2],A31,DONNEESCUM_N1_NOUVEAU[MOIS],DONNÉES!$C$5,DONNEESCUM_N1_NOUVEAU[SOCIETE],"TURVILLA")</f>
        <v>1632.07</v>
      </c>
      <c r="F31" s="17">
        <f t="shared" si="5"/>
        <v>0.36364935171365304</v>
      </c>
      <c r="G31" s="16">
        <f>+C31-E31</f>
        <v>250.67000000000007</v>
      </c>
      <c r="H31" s="17">
        <f t="shared" si="6"/>
        <v>15.359022590942795</v>
      </c>
    </row>
    <row r="32" spans="1:8" s="18" customFormat="1" x14ac:dyDescent="0.2">
      <c r="A32" s="13" t="s">
        <v>25</v>
      </c>
      <c r="B32" s="14" t="s">
        <v>2975</v>
      </c>
      <c r="C32" s="23">
        <f>SUMIFS('BAL N TURVILLA'!$H:$H,'BAL N TURVILLA'!$I:$I,$A32,'BAL N TURVILLA'!$J:$J,"T")</f>
        <v>8674.4</v>
      </c>
      <c r="D32" s="17">
        <f t="shared" si="5"/>
        <v>1.8945200662007478</v>
      </c>
      <c r="E32" s="16">
        <f>SUMIFS(DONNEESCUM_N1_NOUVEAU[MONTANT],DONNEESCUM_N1_NOUVEAU[TL2],A32,DONNEESCUM_N1_NOUVEAU[MOIS],DONNÉES!$C$5,DONNEESCUM_N1_NOUVEAU[SOCIETE],"TURVILLA")</f>
        <v>9083.8799999999992</v>
      </c>
      <c r="F32" s="17">
        <f t="shared" si="5"/>
        <v>2.0240229114220702</v>
      </c>
      <c r="G32" s="16">
        <f>+C32-E32</f>
        <v>-409.47999999999956</v>
      </c>
      <c r="H32" s="17">
        <f t="shared" si="6"/>
        <v>-4.5077654042105317</v>
      </c>
    </row>
    <row r="33" spans="1:8" ht="13.5" thickBot="1" x14ac:dyDescent="0.25">
      <c r="A33" s="7"/>
      <c r="B33" s="63" t="s">
        <v>2976</v>
      </c>
      <c r="C33" s="49">
        <f>SUM(C28:C32)</f>
        <v>27033.120000000003</v>
      </c>
      <c r="D33" s="50">
        <f t="shared" si="5"/>
        <v>5.9041303481523526</v>
      </c>
      <c r="E33" s="51">
        <f>SUM(E28:E32)</f>
        <v>14944.64</v>
      </c>
      <c r="F33" s="50">
        <f t="shared" si="5"/>
        <v>3.3298869825399207</v>
      </c>
      <c r="G33" s="51">
        <f>SUM(G28:G32)</f>
        <v>12088.480000000001</v>
      </c>
      <c r="H33" s="50">
        <f t="shared" si="6"/>
        <v>80.888398783778001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TURVILLA'!$H:$H,'BAL N TURVILLA'!$I:$I,$A35,'BAL N TURVILLA'!$J:$J,"T")</f>
        <v>2808.89</v>
      </c>
      <c r="D35" s="17">
        <f t="shared" ref="D35:F42" si="7">(C35*100)/C$8</f>
        <v>0.61347164861553749</v>
      </c>
      <c r="E35" s="16">
        <f>SUMIFS(DONNEESCUM_N1_NOUVEAU[MONTANT],DONNEESCUM_N1_NOUVEAU[TL2],A35,DONNEESCUM_N1_NOUVEAU[MOIS],DONNÉES!$C$5,DONNEESCUM_N1_NOUVEAU[SOCIETE],"TURVILLA")</f>
        <v>1308.83</v>
      </c>
      <c r="F35" s="17">
        <f t="shared" si="7"/>
        <v>0.29162669554821824</v>
      </c>
      <c r="G35" s="16">
        <f t="shared" ref="G35:G41" si="8">+C35-E35</f>
        <v>1500.06</v>
      </c>
      <c r="H35" s="17">
        <f t="shared" ref="H35:H42" si="9">IF(E35=0,0,G35/E35*100)</f>
        <v>114.61075922770718</v>
      </c>
    </row>
    <row r="36" spans="1:8" s="18" customFormat="1" x14ac:dyDescent="0.2">
      <c r="A36" s="13" t="s">
        <v>30</v>
      </c>
      <c r="B36" s="14" t="s">
        <v>145</v>
      </c>
      <c r="C36" s="23">
        <f>SUMIFS('BAL N TURVILLA'!$H:$H,'BAL N TURVILLA'!$I:$I,$A36,'BAL N TURVILLA'!$J:$J,"T")</f>
        <v>18397.91</v>
      </c>
      <c r="D36" s="17">
        <f t="shared" si="7"/>
        <v>4.0181695184860509</v>
      </c>
      <c r="E36" s="16">
        <f>SUMIFS(DONNEESCUM_N1_NOUVEAU[MONTANT],DONNEESCUM_N1_NOUVEAU[TL2],A36,DONNEESCUM_N1_NOUVEAU[MOIS],DONNÉES!$C$5,DONNEESCUM_N1_NOUVEAU[SOCIETE],"TURVILLA")</f>
        <v>17994.57</v>
      </c>
      <c r="F36" s="17">
        <f t="shared" si="7"/>
        <v>4.0094565275177843</v>
      </c>
      <c r="G36" s="16">
        <f t="shared" si="8"/>
        <v>403.34000000000015</v>
      </c>
      <c r="H36" s="17">
        <f t="shared" si="9"/>
        <v>2.2414539497192774</v>
      </c>
    </row>
    <row r="37" spans="1:8" s="18" customFormat="1" x14ac:dyDescent="0.2">
      <c r="A37" s="13" t="s">
        <v>32</v>
      </c>
      <c r="B37" s="14" t="s">
        <v>19</v>
      </c>
      <c r="C37" s="23">
        <f>SUMIFS('BAL N TURVILLA'!$H:$H,'BAL N TURVILLA'!$I:$I,$A37,'BAL N TURVILLA'!$J:$J,"T")</f>
        <v>9310.24</v>
      </c>
      <c r="D37" s="17">
        <f t="shared" si="7"/>
        <v>2.0333898023084997</v>
      </c>
      <c r="E37" s="16">
        <f>SUMIFS(DONNEESCUM_N1_NOUVEAU[MONTANT],DONNEESCUM_N1_NOUVEAU[TL2],A37,DONNEESCUM_N1_NOUVEAU[MOIS],DONNÉES!$C$5,DONNEESCUM_N1_NOUVEAU[SOCIETE],"TURVILLA")</f>
        <v>7457.26</v>
      </c>
      <c r="F37" s="17">
        <f t="shared" si="7"/>
        <v>1.6615879003720162</v>
      </c>
      <c r="G37" s="16">
        <f t="shared" si="8"/>
        <v>1852.9799999999996</v>
      </c>
      <c r="H37" s="17">
        <f t="shared" si="9"/>
        <v>24.84800047202323</v>
      </c>
    </row>
    <row r="38" spans="1:8" s="18" customFormat="1" x14ac:dyDescent="0.2">
      <c r="A38" s="13" t="s">
        <v>34</v>
      </c>
      <c r="B38" s="14" t="s">
        <v>28</v>
      </c>
      <c r="C38" s="23">
        <f>SUMIFS('BAL N TURVILLA'!$H:$H,'BAL N TURVILLA'!$I:$I,$A38,'BAL N TURVILLA'!$J:$J,"T")</f>
        <v>12969</v>
      </c>
      <c r="D38" s="17">
        <f t="shared" si="7"/>
        <v>2.8324761065384925</v>
      </c>
      <c r="E38" s="16">
        <f>SUMIFS(DONNEESCUM_N1_NOUVEAU[MONTANT],DONNEESCUM_N1_NOUVEAU[TL2],A38,DONNEESCUM_N1_NOUVEAU[MOIS],DONNÉES!$C$5,DONNEESCUM_N1_NOUVEAU[SOCIETE],"TURVILLA")</f>
        <v>13424</v>
      </c>
      <c r="F38" s="17">
        <f t="shared" si="7"/>
        <v>2.9910658840638447</v>
      </c>
      <c r="G38" s="16">
        <f t="shared" si="8"/>
        <v>-455</v>
      </c>
      <c r="H38" s="17">
        <f t="shared" si="9"/>
        <v>-3.3894517282479142</v>
      </c>
    </row>
    <row r="39" spans="1:8" s="18" customFormat="1" x14ac:dyDescent="0.2">
      <c r="A39" s="13" t="s">
        <v>2978</v>
      </c>
      <c r="B39" s="14" t="s">
        <v>2980</v>
      </c>
      <c r="C39" s="23">
        <f>SUMIFS('BAL N TURVILLA'!$H:$H,'BAL N TURVILLA'!$I:$I,$A39,'BAL N TURVILLA'!$J:$J,"T")</f>
        <v>4201.25</v>
      </c>
      <c r="D39" s="17">
        <f t="shared" si="7"/>
        <v>0.91756806558677162</v>
      </c>
      <c r="E39" s="16">
        <f>SUMIFS(DONNEESCUM_N1_NOUVEAU[MONTANT],DONNEESCUM_N1_NOUVEAU[TL2],A39,DONNEESCUM_N1_NOUVEAU[MOIS],DONNÉES!$C$5,DONNEESCUM_N1_NOUVEAU[SOCIETE],"TURVILLA")</f>
        <v>4207.96</v>
      </c>
      <c r="F39" s="17">
        <f t="shared" si="7"/>
        <v>0.93759576858650884</v>
      </c>
      <c r="G39" s="16">
        <f t="shared" si="8"/>
        <v>-6.7100000000000364</v>
      </c>
      <c r="H39" s="17">
        <f t="shared" si="9"/>
        <v>-0.15945969068147123</v>
      </c>
    </row>
    <row r="40" spans="1:8" s="18" customFormat="1" x14ac:dyDescent="0.2">
      <c r="A40" s="13" t="s">
        <v>2979</v>
      </c>
      <c r="B40" s="14" t="s">
        <v>2981</v>
      </c>
      <c r="C40" s="23">
        <f>SUMIFS('BAL N TURVILLA'!$H:$H,'BAL N TURVILLA'!$I:$I,$A40,'BAL N TURVILLA'!$J:$J,"T")</f>
        <v>314.23</v>
      </c>
      <c r="D40" s="17">
        <f t="shared" si="7"/>
        <v>6.8628958821620054E-2</v>
      </c>
      <c r="E40" s="16">
        <f>SUMIFS(DONNEESCUM_N1_NOUVEAU[MONTANT],DONNEESCUM_N1_NOUVEAU[TL2],A40,DONNEESCUM_N1_NOUVEAU[MOIS],DONNÉES!$C$5,DONNEESCUM_N1_NOUVEAU[SOCIETE],"TURVILLA")</f>
        <v>20.32</v>
      </c>
      <c r="F40" s="17">
        <f t="shared" si="7"/>
        <v>4.5275967494172618E-3</v>
      </c>
      <c r="G40" s="16">
        <f t="shared" si="8"/>
        <v>293.91000000000003</v>
      </c>
      <c r="H40" s="17">
        <f t="shared" si="9"/>
        <v>1446.4074803149608</v>
      </c>
    </row>
    <row r="41" spans="1:8" s="18" customFormat="1" x14ac:dyDescent="0.2">
      <c r="A41" s="13" t="s">
        <v>2982</v>
      </c>
      <c r="B41" s="14" t="s">
        <v>2983</v>
      </c>
      <c r="C41" s="23">
        <f>SUMIFS('BAL N TURVILLA'!$H:$H,'BAL N TURVILLA'!$I:$I,$A41,'BAL N TURVILLA'!$J:$J,"T")</f>
        <v>3190.98</v>
      </c>
      <c r="D41" s="17">
        <f t="shared" si="7"/>
        <v>0.69692147478157129</v>
      </c>
      <c r="E41" s="16">
        <f>SUMIFS(DONNEESCUM_N1_NOUVEAU[MONTANT],DONNEESCUM_N1_NOUVEAU[TL2],A41,DONNEESCUM_N1_NOUVEAU[MOIS],DONNÉES!$C$5,DONNEESCUM_N1_NOUVEAU[SOCIETE],"TURVILLA")</f>
        <v>2809.24</v>
      </c>
      <c r="F41" s="17">
        <f t="shared" si="7"/>
        <v>0.62594025060693637</v>
      </c>
      <c r="G41" s="16">
        <f t="shared" si="8"/>
        <v>381.74000000000024</v>
      </c>
      <c r="H41" s="17">
        <f t="shared" si="9"/>
        <v>13.588728624111868</v>
      </c>
    </row>
    <row r="42" spans="1:8" ht="13.5" thickBot="1" x14ac:dyDescent="0.25">
      <c r="A42" s="13"/>
      <c r="B42" s="63" t="s">
        <v>2984</v>
      </c>
      <c r="C42" s="49">
        <f>+SUM(C35:C41)</f>
        <v>51192.500000000007</v>
      </c>
      <c r="D42" s="50">
        <f t="shared" si="7"/>
        <v>11.180625575138546</v>
      </c>
      <c r="E42" s="51">
        <f>+SUM(E35:E41)</f>
        <v>47222.18</v>
      </c>
      <c r="F42" s="50">
        <f t="shared" si="7"/>
        <v>10.521800623444726</v>
      </c>
      <c r="G42" s="51">
        <f>+SUM(G35:G41)</f>
        <v>3970.3199999999997</v>
      </c>
      <c r="H42" s="50">
        <f t="shared" si="9"/>
        <v>8.4077439881005063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163851.43000000002</v>
      </c>
      <c r="D44" s="71">
        <f>(C44*100)/C$8</f>
        <v>35.785739879494514</v>
      </c>
      <c r="E44" s="72">
        <f>E18-E26-E33-E42</f>
        <v>161665.78999999998</v>
      </c>
      <c r="F44" s="71">
        <f>(E44*100)/E$8</f>
        <v>36.021530772439647</v>
      </c>
      <c r="G44" s="72">
        <f>G18-G26-G33-G42</f>
        <v>2185.6400000000267</v>
      </c>
      <c r="H44" s="71">
        <f>IF(E44=0,0,G44/E44*100)</f>
        <v>1.351949599231864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TURVILLA'!$H:$H,'BAL N TURVILLA'!$I:$I,$A46,'BAL N TURVILLA'!$J:$J,"T")</f>
        <v>65303.63</v>
      </c>
      <c r="D46" s="17">
        <f t="shared" ref="D46:F49" si="10">(C46*100)/C$8</f>
        <v>14.262546969329192</v>
      </c>
      <c r="E46" s="16">
        <f>SUMIFS(DONNEESCUM_N1_NOUVEAU[MONTANT],DONNEESCUM_N1_NOUVEAU[TL2],A46,DONNEESCUM_N1_NOUVEAU[MOIS],DONNÉES!$C$5,DONNEESCUM_N1_NOUVEAU[SOCIETE],"TURVILLA")</f>
        <v>63901.78</v>
      </c>
      <c r="F46" s="17">
        <f t="shared" si="10"/>
        <v>14.238262372538237</v>
      </c>
      <c r="G46" s="16">
        <f>+C46-E46</f>
        <v>1401.8499999999985</v>
      </c>
      <c r="H46" s="17">
        <f>IF(E46=0,0,G46/E46*100)</f>
        <v>2.1937573569938094</v>
      </c>
    </row>
    <row r="47" spans="1:8" s="18" customFormat="1" x14ac:dyDescent="0.2">
      <c r="A47" s="13" t="s">
        <v>35</v>
      </c>
      <c r="B47" s="14" t="s">
        <v>2986</v>
      </c>
      <c r="C47" s="23">
        <f>SUMIFS('BAL N TURVILLA'!$H:$H,'BAL N TURVILLA'!$I:$I,$A47,'BAL N TURVILLA'!$J:$J,"T")</f>
        <v>1813.68</v>
      </c>
      <c r="D47" s="17">
        <f t="shared" si="10"/>
        <v>0.39611421581515405</v>
      </c>
      <c r="E47" s="16">
        <f>SUMIFS(DONNEESCUM_N1_NOUVEAU[MONTANT],DONNEESCUM_N1_NOUVEAU[TL2],A47,DONNEESCUM_N1_NOUVEAU[MOIS],DONNÉES!$C$5,DONNEESCUM_N1_NOUVEAU[SOCIETE],"TURVILLA")</f>
        <v>1624.14</v>
      </c>
      <c r="F47" s="17">
        <f t="shared" si="10"/>
        <v>0.36188243034441692</v>
      </c>
      <c r="G47" s="16">
        <f>+C47-E47</f>
        <v>189.53999999999996</v>
      </c>
      <c r="H47" s="17">
        <f>IF(E47=0,0,G47/E47*100)</f>
        <v>11.670176216336028</v>
      </c>
    </row>
    <row r="48" spans="1:8" s="18" customFormat="1" x14ac:dyDescent="0.2">
      <c r="A48" s="13" t="s">
        <v>37</v>
      </c>
      <c r="B48" s="14" t="s">
        <v>2987</v>
      </c>
      <c r="C48" s="23">
        <f>SUMIFS('BAL N TURVILLA'!$H:$H,'BAL N TURVILLA'!$I:$I,$A48,'BAL N TURVILLA'!$J:$J,"T")</f>
        <v>-3945.49</v>
      </c>
      <c r="D48" s="17">
        <f t="shared" si="10"/>
        <v>-0.86170916443723922</v>
      </c>
      <c r="E48" s="16">
        <f>SUMIFS(DONNEESCUM_N1_NOUVEAU[MONTANT],DONNEESCUM_N1_NOUVEAU[TL2],A48,DONNEESCUM_N1_NOUVEAU[MOIS],DONNÉES!$C$5,DONNEESCUM_N1_NOUVEAU[SOCIETE],"TURVILLA")</f>
        <v>-3959.6</v>
      </c>
      <c r="F48" s="17">
        <f t="shared" si="10"/>
        <v>-0.88225748469451715</v>
      </c>
      <c r="G48" s="16">
        <f>+C48-E48</f>
        <v>14.110000000000127</v>
      </c>
      <c r="H48" s="17">
        <f>IF(E48=0,0,G48/E48*100)</f>
        <v>-0.35634912617436426</v>
      </c>
    </row>
    <row r="49" spans="1:8" ht="13.5" thickBot="1" x14ac:dyDescent="0.25">
      <c r="A49" s="13"/>
      <c r="B49" s="63" t="s">
        <v>2988</v>
      </c>
      <c r="C49" s="49">
        <f>SUM(C46:C48)</f>
        <v>63171.82</v>
      </c>
      <c r="D49" s="50">
        <f t="shared" si="10"/>
        <v>13.796952020707106</v>
      </c>
      <c r="E49" s="51">
        <f>SUM(E46:E48)</f>
        <v>61566.32</v>
      </c>
      <c r="F49" s="50">
        <f t="shared" si="10"/>
        <v>13.717887318188136</v>
      </c>
      <c r="G49" s="51">
        <f>SUM(G46:G48)</f>
        <v>1605.4999999999986</v>
      </c>
      <c r="H49" s="50">
        <f>IF(E49=0,0,G49/E49*100)</f>
        <v>2.6077569684203938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TURVILLA'!$H:$H,'BAL N TURVILLA'!$I:$I,$A51,'BAL N TURVILLA'!$J:$J,"T")</f>
        <v>816</v>
      </c>
      <c r="D51" s="17">
        <f t="shared" ref="D51:F59" si="11">(C51*100)/C$8</f>
        <v>0.17821732615740687</v>
      </c>
      <c r="E51" s="16">
        <f>SUMIFS(DONNEESCUM_N1_NOUVEAU[MONTANT],DONNEESCUM_N1_NOUVEAU[TL2],A51,DONNEESCUM_N1_NOUVEAU[MOIS],DONNÉES!$C$5,DONNEESCUM_N1_NOUVEAU[SOCIETE],"TURVILLA")</f>
        <v>816</v>
      </c>
      <c r="F51" s="17">
        <f t="shared" si="11"/>
        <v>0.18181687733880342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TURVILLA'!$H:$H,'BAL N TURVILLA'!$I:$I,$A52,'BAL N TURVILLA'!$J:$J,"T")</f>
        <v>23322.080000000002</v>
      </c>
      <c r="D52" s="17">
        <f t="shared" si="11"/>
        <v>5.0936259044474701</v>
      </c>
      <c r="E52" s="16">
        <f>SUMIFS(DONNEESCUM_N1_NOUVEAU[MONTANT],DONNEESCUM_N1_NOUVEAU[TL2],A52,DONNEESCUM_N1_NOUVEAU[MOIS],DONNÉES!$C$5,DONNEESCUM_N1_NOUVEAU[SOCIETE],"TURVILLA")</f>
        <v>22822.06</v>
      </c>
      <c r="F52" s="17">
        <f t="shared" si="11"/>
        <v>5.0850927495573677</v>
      </c>
      <c r="G52" s="16">
        <f t="shared" si="12"/>
        <v>500.02000000000044</v>
      </c>
      <c r="H52" s="17">
        <f t="shared" si="13"/>
        <v>2.1909503348952741</v>
      </c>
    </row>
    <row r="53" spans="1:8" s="18" customFormat="1" x14ac:dyDescent="0.2">
      <c r="A53" s="13" t="s">
        <v>44</v>
      </c>
      <c r="B53" s="14" t="s">
        <v>62</v>
      </c>
      <c r="C53" s="23">
        <f>SUMIFS('BAL N TURVILLA'!$H:$H,'BAL N TURVILLA'!$I:$I,$A53,'BAL N TURVILLA'!$J:$J,"T")</f>
        <v>1689.33</v>
      </c>
      <c r="D53" s="17">
        <f t="shared" si="11"/>
        <v>0.36895572989888742</v>
      </c>
      <c r="E53" s="16">
        <f>SUMIFS(DONNEESCUM_N1_NOUVEAU[MONTANT],DONNEESCUM_N1_NOUVEAU[TL2],A53,DONNEESCUM_N1_NOUVEAU[MOIS],DONNÉES!$C$5,DONNEESCUM_N1_NOUVEAU[SOCIETE],"TURVILLA")</f>
        <v>1502</v>
      </c>
      <c r="F53" s="17">
        <f t="shared" si="11"/>
        <v>0.33466783059176808</v>
      </c>
      <c r="G53" s="16">
        <f t="shared" si="12"/>
        <v>187.32999999999993</v>
      </c>
      <c r="H53" s="17">
        <f t="shared" si="13"/>
        <v>12.472037283621832</v>
      </c>
    </row>
    <row r="54" spans="1:8" s="18" customFormat="1" x14ac:dyDescent="0.2">
      <c r="A54" s="13" t="s">
        <v>45</v>
      </c>
      <c r="B54" s="14" t="s">
        <v>41</v>
      </c>
      <c r="C54" s="23">
        <f>SUMIFS('BAL N TURVILLA'!$H:$H,'BAL N TURVILLA'!$I:$I,$A54,'BAL N TURVILLA'!$J:$J,"T")</f>
        <v>2119.56</v>
      </c>
      <c r="D54" s="17">
        <f t="shared" si="11"/>
        <v>0.46291950469386434</v>
      </c>
      <c r="E54" s="16">
        <f>SUMIFS(DONNEESCUM_N1_NOUVEAU[MONTANT],DONNEESCUM_N1_NOUVEAU[TL2],A54,DONNEESCUM_N1_NOUVEAU[MOIS],DONNÉES!$C$5,DONNEESCUM_N1_NOUVEAU[SOCIETE],"TURVILLA")</f>
        <v>1798.64</v>
      </c>
      <c r="F54" s="17">
        <f t="shared" si="11"/>
        <v>0.40076361305963892</v>
      </c>
      <c r="G54" s="16">
        <f t="shared" si="12"/>
        <v>320.91999999999985</v>
      </c>
      <c r="H54" s="17">
        <f t="shared" si="13"/>
        <v>17.842369790508375</v>
      </c>
    </row>
    <row r="55" spans="1:8" s="18" customFormat="1" x14ac:dyDescent="0.2">
      <c r="A55" s="13" t="s">
        <v>47</v>
      </c>
      <c r="B55" s="14" t="s">
        <v>43</v>
      </c>
      <c r="C55" s="23">
        <f>SUMIFS('BAL N TURVILLA'!$H:$H,'BAL N TURVILLA'!$I:$I,$A55,'BAL N TURVILLA'!$J:$J,"T")</f>
        <v>3625.3</v>
      </c>
      <c r="D55" s="17">
        <f t="shared" si="11"/>
        <v>0.79177852024319506</v>
      </c>
      <c r="E55" s="16">
        <f>SUMIFS(DONNEESCUM_N1_NOUVEAU[MONTANT],DONNEESCUM_N1_NOUVEAU[TL2],A55,DONNEESCUM_N1_NOUVEAU[MOIS],DONNÉES!$C$5,DONNEESCUM_N1_NOUVEAU[SOCIETE],"TURVILLA")</f>
        <v>3809.51</v>
      </c>
      <c r="F55" s="17">
        <f t="shared" si="11"/>
        <v>0.84881521126341297</v>
      </c>
      <c r="G55" s="16">
        <f t="shared" si="12"/>
        <v>-184.21000000000004</v>
      </c>
      <c r="H55" s="17">
        <f t="shared" si="13"/>
        <v>-4.835530028796355</v>
      </c>
    </row>
    <row r="56" spans="1:8" s="18" customFormat="1" x14ac:dyDescent="0.2">
      <c r="A56" s="13" t="s">
        <v>48</v>
      </c>
      <c r="B56" s="14" t="s">
        <v>46</v>
      </c>
      <c r="C56" s="23">
        <f>SUMIFS('BAL N TURVILLA'!$H:$H,'BAL N TURVILLA'!$I:$I,$A56,'BAL N TURVILLA'!$J:$J,"T")</f>
        <v>24500</v>
      </c>
      <c r="D56" s="17">
        <f t="shared" si="11"/>
        <v>5.3508878564417506</v>
      </c>
      <c r="E56" s="16">
        <f>SUMIFS(DONNEESCUM_N1_NOUVEAU[MONTANT],DONNEESCUM_N1_NOUVEAU[TL2],A56,DONNEESCUM_N1_NOUVEAU[MOIS],DONNÉES!$C$5,DONNEESCUM_N1_NOUVEAU[SOCIETE],"TURVILLA")</f>
        <v>27578.74</v>
      </c>
      <c r="F56" s="17">
        <f t="shared" si="11"/>
        <v>6.1449514555621949</v>
      </c>
      <c r="G56" s="16">
        <f t="shared" si="12"/>
        <v>-3078.7400000000016</v>
      </c>
      <c r="H56" s="17">
        <f t="shared" si="13"/>
        <v>-11.163454167956917</v>
      </c>
    </row>
    <row r="57" spans="1:8" s="18" customFormat="1" x14ac:dyDescent="0.2">
      <c r="A57" s="13" t="s">
        <v>50</v>
      </c>
      <c r="B57" s="14" t="s">
        <v>2990</v>
      </c>
      <c r="C57" s="23">
        <f>SUMIFS('BAL N TURVILLA'!$H:$H,'BAL N TURVILLA'!$I:$I,$A57,'BAL N TURVILLA'!$J:$J,"T")</f>
        <v>709.71</v>
      </c>
      <c r="D57" s="17">
        <f t="shared" si="11"/>
        <v>0.15500320900388875</v>
      </c>
      <c r="E57" s="16">
        <f>SUMIFS(DONNEESCUM_N1_NOUVEAU[MONTANT],DONNEESCUM_N1_NOUVEAU[TL2],A57,DONNEESCUM_N1_NOUVEAU[MOIS],DONNÉES!$C$5,DONNEESCUM_N1_NOUVEAU[SOCIETE],"TURVILLA")</f>
        <v>0</v>
      </c>
      <c r="F57" s="17">
        <f t="shared" si="11"/>
        <v>0</v>
      </c>
      <c r="G57" s="16">
        <f t="shared" si="12"/>
        <v>709.71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TURVILLA'!$H:$H,'BAL N TURVILLA'!$I:$I,$A58,'BAL N TURVILLA'!$J:$J,"T")</f>
        <v>429.58</v>
      </c>
      <c r="D58" s="17">
        <f t="shared" si="11"/>
        <v>9.3821812464091714E-2</v>
      </c>
      <c r="E58" s="16">
        <f>SUMIFS(DONNEESCUM_N1_NOUVEAU[MONTANT],DONNEESCUM_N1_NOUVEAU[TL2],A58,DONNEESCUM_N1_NOUVEAU[MOIS],DONNÉES!$C$5,DONNEESCUM_N1_NOUVEAU[SOCIETE],"TURVILLA")</f>
        <v>1162.94</v>
      </c>
      <c r="F58" s="17">
        <f t="shared" si="11"/>
        <v>0.25912024427988734</v>
      </c>
      <c r="G58" s="16">
        <f t="shared" si="12"/>
        <v>-733.36000000000013</v>
      </c>
      <c r="H58" s="17">
        <f t="shared" si="13"/>
        <v>-63.060862985192713</v>
      </c>
    </row>
    <row r="59" spans="1:8" ht="13.5" thickBot="1" x14ac:dyDescent="0.25">
      <c r="A59" s="13"/>
      <c r="B59" s="63" t="s">
        <v>2994</v>
      </c>
      <c r="C59" s="49">
        <f>SUM(C51:C58)</f>
        <v>57211.560000000005</v>
      </c>
      <c r="D59" s="50">
        <f t="shared" si="11"/>
        <v>12.495209863350556</v>
      </c>
      <c r="E59" s="51">
        <f>SUM(E51:E58)</f>
        <v>59489.89</v>
      </c>
      <c r="F59" s="50">
        <f t="shared" si="11"/>
        <v>13.255227981653073</v>
      </c>
      <c r="G59" s="51">
        <f>SUM(G51:G58)</f>
        <v>-2278.3300000000013</v>
      </c>
      <c r="H59" s="50">
        <f t="shared" si="13"/>
        <v>-3.8297767906445976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297628.27</v>
      </c>
      <c r="D61" s="71">
        <f>(C61*100)/C$8</f>
        <v>65.00308145619455</v>
      </c>
      <c r="E61" s="72">
        <f>E59+E49+E42+E33+E26</f>
        <v>292826.63999999996</v>
      </c>
      <c r="F61" s="71">
        <f>(E61*100)/E$8</f>
        <v>65.246109419624929</v>
      </c>
      <c r="G61" s="72">
        <f>G59+G49+G42+G33+G26</f>
        <v>4801.630000000001</v>
      </c>
      <c r="H61" s="71">
        <f>IF(E61=0,0,G61/E61*100)</f>
        <v>1.6397517657546465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TURVILLA'!$H:$H,'BAL N TURVILLA'!$I:$I,$A63,'BAL N TURVILLA'!$J:$J,"T")</f>
        <v>8593.67</v>
      </c>
      <c r="D63" s="17">
        <f t="shared" ref="D63:F65" si="14">(C63*100)/C$8</f>
        <v>1.8768883447048073</v>
      </c>
      <c r="E63" s="16">
        <f>-SUMIFS(DONNEESCUM_N1_NOUVEAU[MONTANT],DONNEESCUM_N1_NOUVEAU[TL2],A63,DONNEESCUM_N1_NOUVEAU[MOIS],DONNÉES!$C$5,DONNEESCUM_N1_NOUVEAU[SOCIETE],"TURVILLA")</f>
        <v>7638.04</v>
      </c>
      <c r="F63" s="17">
        <f t="shared" si="14"/>
        <v>1.7018683600353848</v>
      </c>
      <c r="G63" s="16">
        <f>+C63-E63</f>
        <v>955.63000000000011</v>
      </c>
      <c r="H63" s="17">
        <f>IF(E63=0,0,G63/E63*100)</f>
        <v>12.511455818508416</v>
      </c>
    </row>
    <row r="64" spans="1:8" s="18" customFormat="1" x14ac:dyDescent="0.2">
      <c r="A64" s="13" t="s">
        <v>2992</v>
      </c>
      <c r="B64" s="68" t="s">
        <v>65</v>
      </c>
      <c r="C64" s="23">
        <f>SUMIFS('BAL N TURVILLA'!$H:$H,'BAL N TURVILLA'!$I:$I,$A64,'BAL N TURVILLA'!$J:$J,"T")</f>
        <v>6616.1</v>
      </c>
      <c r="D64" s="17">
        <f t="shared" si="14"/>
        <v>1.4449799651838475</v>
      </c>
      <c r="E64" s="24">
        <f>SUMIFS(DONNEESCUM_N1_NOUVEAU[MONTANT],DONNEESCUM_N1_NOUVEAU[TL2],A64,DONNEESCUM_N1_NOUVEAU[MOIS],DONNÉES!$C$5,DONNEESCUM_N1_NOUVEAU[SOCIETE],"TURVILLA")</f>
        <v>7088.84</v>
      </c>
      <c r="F64" s="17">
        <f t="shared" si="14"/>
        <v>1.5794984715127491</v>
      </c>
      <c r="G64" s="16">
        <f>+C64-E64</f>
        <v>-472.73999999999978</v>
      </c>
      <c r="H64" s="17">
        <f>IF(E64=0,0,G64/E64*100)</f>
        <v>-6.6687920731741697</v>
      </c>
    </row>
    <row r="65" spans="1:9" s="59" customFormat="1" ht="13.5" x14ac:dyDescent="0.2">
      <c r="A65" s="13"/>
      <c r="B65" s="62" t="s">
        <v>53</v>
      </c>
      <c r="C65" s="67">
        <f>+C63-C64</f>
        <v>1977.5699999999997</v>
      </c>
      <c r="D65" s="56">
        <f t="shared" si="14"/>
        <v>0.43190837952095962</v>
      </c>
      <c r="E65" s="57">
        <f>+E63-E64</f>
        <v>549.19999999999982</v>
      </c>
      <c r="F65" s="56">
        <f t="shared" si="14"/>
        <v>0.12236988852263579</v>
      </c>
      <c r="G65" s="58">
        <f>+G63-G64</f>
        <v>1428.37</v>
      </c>
      <c r="H65" s="56">
        <f>IF(E65=0,0,G65/E65*100)</f>
        <v>260.08193736343782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TURVILLA'!$H:$H,'BAL N TURVILLA'!$I:$I,$A67,'BAL N TURVILLA'!$J:$J,"T")</f>
        <v>-559.09</v>
      </c>
      <c r="D67" s="17">
        <f>(C67*100)/C$8</f>
        <v>-0.12210726088400074</v>
      </c>
      <c r="E67" s="16">
        <f>-SUMIFS(DONNEESCUM_N1_NOUVEAU[MONTANT],DONNEESCUM_N1_NOUVEAU[TL2],A67,DONNEESCUM_N1_NOUVEAU[MOIS],DONNÉES!$C$5,DONNEESCUM_N1_NOUVEAU[SOCIETE],"TURVILLA")</f>
        <v>-722.56</v>
      </c>
      <c r="F67" s="17">
        <f>(E67*100)/E$8</f>
        <v>-0.16099706236510514</v>
      </c>
      <c r="G67" s="16">
        <f>+C67-E67</f>
        <v>163.46999999999991</v>
      </c>
      <c r="H67" s="17">
        <f>IF(E67=0,0,G67/E67*100)</f>
        <v>-22.623726749335685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44886.529999999992</v>
      </c>
      <c r="D69" s="10">
        <f>(C69*100)/C$8</f>
        <v>9.8033791140738078</v>
      </c>
      <c r="E69" s="9">
        <f>E18-E61+E65+E67</f>
        <v>40436.220000000016</v>
      </c>
      <c r="F69" s="10">
        <f>(E69*100)/E$8</f>
        <v>9.0097882987559714</v>
      </c>
      <c r="G69" s="9">
        <f>G18-G61+G65+G67</f>
        <v>4450.3100000000295</v>
      </c>
      <c r="H69" s="10">
        <f>IF(E69=0,0,G69/E69*100)</f>
        <v>11.005751774028402</v>
      </c>
    </row>
    <row r="70" spans="1:9" ht="13.5" thickBot="1" x14ac:dyDescent="0.25">
      <c r="A70" s="13"/>
      <c r="B70" s="63" t="s">
        <v>3034</v>
      </c>
      <c r="C70" s="49">
        <f>+C69-C67+C57+C56</f>
        <v>70655.329999999987</v>
      </c>
      <c r="D70" s="50">
        <f>(C70*100)/C$8</f>
        <v>15.431377440403446</v>
      </c>
      <c r="E70" s="49">
        <f>+E69-E67+E57+E56</f>
        <v>68737.520000000019</v>
      </c>
      <c r="F70" s="50">
        <f>(E70*100)/E$8</f>
        <v>15.315736816683271</v>
      </c>
      <c r="G70" s="49">
        <f>+G69-G67+G57+G56</f>
        <v>1917.8100000000277</v>
      </c>
      <c r="H70" s="50">
        <f>IF(E70=0,0,G70/E70*100)</f>
        <v>2.7900482880383626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TURVILLA'!$H:$H,'BAL N TURVILLA'!$I:$I,$A72,'BAL N TURVILLA'!$J:$J,"T")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-SUMIFS(DONNEESCUM_N1_NOUVEAU[MONTANT],DONNEESCUM_N1_NOUVEAU[TL2],A72,DONNEESCUM_N1_NOUVEAU[MOIS],DONNÉES!$C$5,DONNEESCUM_N1_NOUVEAU[SOCIETE],"TURVILLA")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TURVILLA'!$H:$H,'BAL N TURVILLA'!$I:$I,$A74,'BAL N TURVILLA'!$J:$J,"T")</f>
        <v>31887</v>
      </c>
      <c r="D74" s="10">
        <f>(C74*100)/C$8</f>
        <v>6.9642351460554321</v>
      </c>
      <c r="E74" s="9">
        <f>SUMIFS(DONNEESCUM_N1_NOUVEAU[MONTANT],DONNEESCUM_N1_NOUVEAU[TL2],A74,DONNEESCUM_N1_NOUVEAU[MOIS],DONNÉES!$C$5,DONNEESCUM_N1_NOUVEAU[SOCIETE],"TURVILLA")</f>
        <v>32952</v>
      </c>
      <c r="F74" s="10">
        <f>(E74*100)/E$8</f>
        <v>7.3421933113581499</v>
      </c>
      <c r="G74" s="9">
        <f>+C74-E74</f>
        <v>-1065</v>
      </c>
      <c r="H74" s="10">
        <f>IF(E74=0,0,G74/E74*100)</f>
        <v>-3.2319737800437003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12999.529999999992</v>
      </c>
      <c r="D76" s="71">
        <f>(C76*100)/C$8</f>
        <v>2.8391439680183748</v>
      </c>
      <c r="E76" s="72">
        <f>E69-E74+E72</f>
        <v>7484.2200000000157</v>
      </c>
      <c r="F76" s="71">
        <f>(E76*100)/E$8</f>
        <v>1.6675949873978215</v>
      </c>
      <c r="G76" s="72">
        <f>G69-G74+G72</f>
        <v>5515.3100000000295</v>
      </c>
      <c r="H76" s="71">
        <f>IF(E76=0,0,G76/E76*100)</f>
        <v>73.692515719741237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VLOOKUP(PARAMETRES!$C$2,DONNÉES!$AP$188:$AV$199,2,FALSE)</f>
        <v>27135</v>
      </c>
      <c r="D78" s="324"/>
      <c r="E78" s="323">
        <f>VLOOKUP(PARAMETRES!$C$2,DONNÉES!$AP$188:$AV$199,3,FALSE)</f>
        <v>27149</v>
      </c>
      <c r="F78" s="324"/>
      <c r="G78" s="325">
        <f>C78-E78</f>
        <v>-14</v>
      </c>
      <c r="H78" s="326"/>
    </row>
    <row r="79" spans="1:9" ht="13.5" thickTop="1" x14ac:dyDescent="0.2">
      <c r="A79" s="13"/>
      <c r="B79" s="65"/>
      <c r="C79" s="25"/>
      <c r="D79" s="26"/>
      <c r="E79" s="25"/>
      <c r="F79" s="26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VLOOKUP(PARAMETRES!$C$2,DONNÉES!$AP$284:$AV$295,2,FALSE)</f>
        <v>17.190000000000001</v>
      </c>
      <c r="D80" s="316"/>
      <c r="E80" s="315">
        <f>VLOOKUP(PARAMETRES!$C$2,DONNÉES!$AP$284:$AV$295,3,FALSE)</f>
        <v>16.809999999999999</v>
      </c>
      <c r="F80" s="316"/>
      <c r="G80" s="317">
        <f>(C80-E80)/E80</f>
        <v>2.2605591909577786E-2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BA6C1-B156-43CF-96C0-4617D69666C1}">
  <sheetPr>
    <tabColor rgb="FFFFC0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5151-102B-451B-B986-217124015A02}">
  <sheetPr>
    <tabColor rgb="FFFFC000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6898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3000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HART'!$H:$H,'BAL N HART'!$I:$I,$A8,'BAL N HART'!$J:$J,"T")</f>
        <v>0</v>
      </c>
      <c r="D8" s="71" t="e">
        <f>(C8*100)/C$8</f>
        <v>#DIV/0!</v>
      </c>
      <c r="E8" s="72">
        <f>-SUMIFS(DONNEESCUM_N1_NOUVEAU[MONTANT],DONNEESCUM_N1_NOUVEAU[TL2],A8,DONNEESCUM_N1_NOUVEAU[MOIS],DONNÉES!$C$5,DONNEESCUM_N1_NOUVEAU[SOCIETE],"HART")</f>
        <v>242390</v>
      </c>
      <c r="F8" s="71">
        <f>(E8*100)/E$8</f>
        <v>100</v>
      </c>
      <c r="G8" s="72">
        <f>+C8-E8</f>
        <v>-242390</v>
      </c>
      <c r="H8" s="71">
        <f>IF(E8=0,0,G8/E8*100)</f>
        <v>-100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HART'!$H:$H,'BAL N HART'!$I:$I,$A10,'BAL N HART'!$J:$J,"T")</f>
        <v>0</v>
      </c>
      <c r="D10" s="17" t="e">
        <f t="shared" ref="D10:F16" si="0">(C10*100)/C$8</f>
        <v>#DIV/0!</v>
      </c>
      <c r="E10" s="16">
        <f>SUMIFS(DONNEESCUM_N1_NOUVEAU[MONTANT],DONNEESCUM_N1_NOUVEAU[TL2],A10,DONNEESCUM_N1_NOUVEAU[MOIS],DONNÉES!$C$5,DONNEESCUM_N1_NOUVEAU[SOCIETE],"HART")</f>
        <v>52826.01</v>
      </c>
      <c r="F10" s="17">
        <f t="shared" si="0"/>
        <v>21.79380750030942</v>
      </c>
      <c r="G10" s="16">
        <f>+C10-E10</f>
        <v>-52826.01</v>
      </c>
      <c r="H10" s="17">
        <f t="shared" ref="H10:H16" si="1">IF(E10=0,0,G10/E10*100)</f>
        <v>-100</v>
      </c>
    </row>
    <row r="11" spans="1:8" s="18" customFormat="1" x14ac:dyDescent="0.2">
      <c r="A11" s="13" t="s">
        <v>124</v>
      </c>
      <c r="B11" s="14" t="s">
        <v>4</v>
      </c>
      <c r="C11" s="23">
        <f>SUMIFS('BAL N HART'!$H:$H,'BAL N HART'!$I:$I,$A11,'BAL N HART'!$J:$J,"T")</f>
        <v>0</v>
      </c>
      <c r="D11" s="17" t="e">
        <f t="shared" si="0"/>
        <v>#DIV/0!</v>
      </c>
      <c r="E11" s="16">
        <f>SUMIFS(DONNEESCUM_N1_NOUVEAU[MONTANT],DONNEESCUM_N1_NOUVEAU[TL2],A11,DONNEESCUM_N1_NOUVEAU[MOIS],DONNÉES!$C$5,DONNEESCUM_N1_NOUVEAU[SOCIETE],"HART")</f>
        <v>1231.93</v>
      </c>
      <c r="F11" s="17">
        <f t="shared" si="0"/>
        <v>0.50824291431164648</v>
      </c>
      <c r="G11" s="16">
        <f>+C11-E11</f>
        <v>-1231.93</v>
      </c>
      <c r="H11" s="17">
        <f t="shared" si="1"/>
        <v>-100</v>
      </c>
    </row>
    <row r="12" spans="1:8" s="18" customFormat="1" x14ac:dyDescent="0.2">
      <c r="A12" s="13" t="s">
        <v>125</v>
      </c>
      <c r="B12" s="14" t="s">
        <v>2</v>
      </c>
      <c r="C12" s="23">
        <f>SUMIFS('BAL N HART'!$H:$H,'BAL N HART'!$I:$I,$A12,'BAL N HART'!$J:$J,"T")</f>
        <v>0</v>
      </c>
      <c r="D12" s="17" t="e">
        <f t="shared" si="0"/>
        <v>#DIV/0!</v>
      </c>
      <c r="E12" s="16">
        <f>SUMIFS(DONNEESCUM_N1_NOUVEAU[MONTANT],DONNEESCUM_N1_NOUVEAU[TL2],A12,DONNEESCUM_N1_NOUVEAU[MOIS],DONNÉES!$C$5,DONNEESCUM_N1_NOUVEAU[SOCIETE],"HART")</f>
        <v>1503.01</v>
      </c>
      <c r="F12" s="17">
        <f t="shared" si="0"/>
        <v>0.62007921118858034</v>
      </c>
      <c r="G12" s="16">
        <f>+C12-E12</f>
        <v>-1503.01</v>
      </c>
      <c r="H12" s="17">
        <f t="shared" si="1"/>
        <v>-100</v>
      </c>
    </row>
    <row r="13" spans="1:8" s="59" customFormat="1" ht="13.5" x14ac:dyDescent="0.2">
      <c r="A13" s="60"/>
      <c r="B13" s="62" t="s">
        <v>6</v>
      </c>
      <c r="C13" s="55">
        <f>SUM(C10:C12)</f>
        <v>0</v>
      </c>
      <c r="D13" s="56" t="e">
        <f t="shared" si="0"/>
        <v>#DIV/0!</v>
      </c>
      <c r="E13" s="55">
        <f>SUM(E10:E12)</f>
        <v>55560.950000000004</v>
      </c>
      <c r="F13" s="56">
        <f t="shared" si="0"/>
        <v>22.922129625809646</v>
      </c>
      <c r="G13" s="55">
        <f>SUM(G10:G12)</f>
        <v>-55560.950000000004</v>
      </c>
      <c r="H13" s="56">
        <f t="shared" si="1"/>
        <v>-100</v>
      </c>
    </row>
    <row r="14" spans="1:8" s="18" customFormat="1" x14ac:dyDescent="0.2">
      <c r="A14" s="13" t="s">
        <v>126</v>
      </c>
      <c r="B14" s="14" t="s">
        <v>8</v>
      </c>
      <c r="C14" s="23">
        <f>SUMIFS('BAL N HART'!$H:$H,'BAL N HART'!$I:$I,$A14,'BAL N HART'!$J:$J,"T")</f>
        <v>0</v>
      </c>
      <c r="D14" s="17" t="e">
        <f t="shared" si="0"/>
        <v>#DIV/0!</v>
      </c>
      <c r="E14" s="16">
        <f>SUMIFS(DONNEESCUM_N1_NOUVEAU[MONTANT],DONNEESCUM_N1_NOUVEAU[TL2],A14,DONNEESCUM_N1_NOUVEAU[MOIS],DONNÉES!$C$5,DONNEESCUM_N1_NOUVEAU[SOCIETE],"HART")</f>
        <v>4996.8100000000004</v>
      </c>
      <c r="F14" s="17">
        <f t="shared" si="0"/>
        <v>2.0614753083873101</v>
      </c>
      <c r="G14" s="16">
        <f>+C14-E14</f>
        <v>-4996.8100000000004</v>
      </c>
      <c r="H14" s="17">
        <f t="shared" si="1"/>
        <v>-100</v>
      </c>
    </row>
    <row r="15" spans="1:8" s="18" customFormat="1" x14ac:dyDescent="0.2">
      <c r="A15" s="13" t="s">
        <v>2964</v>
      </c>
      <c r="B15" s="14" t="s">
        <v>2965</v>
      </c>
      <c r="C15" s="23">
        <f>SUMIFS('BAL N HART'!$H:$H,'BAL N HART'!$I:$I,$A15,'BAL N HART'!$J:$J,"T")</f>
        <v>0</v>
      </c>
      <c r="D15" s="17" t="e">
        <f t="shared" si="0"/>
        <v>#DIV/0!</v>
      </c>
      <c r="E15" s="16">
        <f>SUMIFS(DONNEESCUM_N1_NOUVEAU[MONTANT],DONNEESCUM_N1_NOUVEAU[TL2],A15,DONNEESCUM_N1_NOUVEAU[MOIS],DONNÉES!$C$5,DONNEESCUM_N1_NOUVEAU[SOCIETE],"HART")</f>
        <v>-24.32</v>
      </c>
      <c r="F15" s="17">
        <f t="shared" si="0"/>
        <v>-1.0033417220182351E-2</v>
      </c>
      <c r="G15" s="16">
        <f>+C15-E15</f>
        <v>24.32</v>
      </c>
      <c r="H15" s="17">
        <f t="shared" si="1"/>
        <v>-100</v>
      </c>
    </row>
    <row r="16" spans="1:8" ht="13.5" thickBot="1" x14ac:dyDescent="0.25">
      <c r="A16" s="7"/>
      <c r="B16" s="63" t="s">
        <v>10</v>
      </c>
      <c r="C16" s="49">
        <f>+C13+SUM(C14:C15)</f>
        <v>0</v>
      </c>
      <c r="D16" s="50" t="e">
        <f t="shared" si="0"/>
        <v>#DIV/0!</v>
      </c>
      <c r="E16" s="49">
        <f>+E13+SUM(E14:E15)</f>
        <v>60533.440000000002</v>
      </c>
      <c r="F16" s="50">
        <f t="shared" si="0"/>
        <v>24.973571516976772</v>
      </c>
      <c r="G16" s="49">
        <f>+G13+SUM(G14:G15)</f>
        <v>-60533.440000000002</v>
      </c>
      <c r="H16" s="50">
        <f t="shared" si="1"/>
        <v>-100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0</v>
      </c>
      <c r="D18" s="71" t="e">
        <f>(C18*100)/C$8</f>
        <v>#DIV/0!</v>
      </c>
      <c r="E18" s="70">
        <f>E8-E16</f>
        <v>181856.56</v>
      </c>
      <c r="F18" s="71">
        <f>(E18*100)/E$8</f>
        <v>75.026428483023224</v>
      </c>
      <c r="G18" s="70">
        <f>G8-G16</f>
        <v>-181856.56</v>
      </c>
      <c r="H18" s="71">
        <f>IF(E18=0,0,G18/E18*100)</f>
        <v>-100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HART'!$H:$H,'BAL N HART'!$I:$I,$A20,'BAL N HART'!$J:$J,"T")</f>
        <v>0</v>
      </c>
      <c r="D20" s="17" t="e">
        <f t="shared" ref="D20:F26" si="2">(C20*100)/C$8</f>
        <v>#DIV/0!</v>
      </c>
      <c r="E20" s="16">
        <f>SUMIFS(DONNEESCUM_N1_NOUVEAU[MONTANT],DONNEESCUM_N1_NOUVEAU[TL2],A20,DONNEESCUM_N1_NOUVEAU[MOIS],DONNÉES!$C$5,DONNEESCUM_N1_NOUVEAU[SOCIETE],"HART")</f>
        <v>43283.99</v>
      </c>
      <c r="F20" s="17">
        <f t="shared" si="2"/>
        <v>17.85716820000825</v>
      </c>
      <c r="G20" s="16">
        <f t="shared" ref="G20:G25" si="3">+C20-E20</f>
        <v>-43283.99</v>
      </c>
      <c r="H20" s="17">
        <f t="shared" ref="H20:H26" si="4">IF(E20=0,0,G20/E20*100)</f>
        <v>-100</v>
      </c>
    </row>
    <row r="21" spans="1:8" s="18" customFormat="1" x14ac:dyDescent="0.2">
      <c r="A21" s="13">
        <v>9</v>
      </c>
      <c r="B21" s="14" t="s">
        <v>2968</v>
      </c>
      <c r="C21" s="23">
        <f>SUMIFS('BAL N HART'!$H:$H,'BAL N HART'!$I:$I,$A21,'BAL N HART'!$J:$J,"T")</f>
        <v>0</v>
      </c>
      <c r="D21" s="17" t="e">
        <f t="shared" si="2"/>
        <v>#DIV/0!</v>
      </c>
      <c r="E21" s="16">
        <f>SUMIFS(DONNEESCUM_N1_NOUVEAU[MONTANT],DONNEESCUM_N1_NOUVEAU[TL2],A21,DONNEESCUM_N1_NOUVEAU[MOIS],DONNÉES!$C$5,DONNEESCUM_N1_NOUVEAU[SOCIETE],"HART")</f>
        <v>4934.9399999999996</v>
      </c>
      <c r="F21" s="17">
        <f t="shared" si="2"/>
        <v>2.0359503279838274</v>
      </c>
      <c r="G21" s="16">
        <f t="shared" si="3"/>
        <v>-4934.9399999999996</v>
      </c>
      <c r="H21" s="17">
        <f t="shared" si="4"/>
        <v>-100</v>
      </c>
    </row>
    <row r="22" spans="1:8" s="18" customFormat="1" x14ac:dyDescent="0.2">
      <c r="A22" s="13" t="s">
        <v>12</v>
      </c>
      <c r="B22" s="14" t="s">
        <v>14</v>
      </c>
      <c r="C22" s="23">
        <f>SUMIFS('BAL N HART'!$H:$H,'BAL N HART'!$I:$I,$A22,'BAL N HART'!$J:$J,"T")</f>
        <v>0</v>
      </c>
      <c r="D22" s="17" t="e">
        <f t="shared" si="2"/>
        <v>#DIV/0!</v>
      </c>
      <c r="E22" s="16">
        <f>SUMIFS(DONNEESCUM_N1_NOUVEAU[MONTANT],DONNEESCUM_N1_NOUVEAU[TL2],A22,DONNEESCUM_N1_NOUVEAU[MOIS],DONNÉES!$C$5,DONNEESCUM_N1_NOUVEAU[SOCIETE],"HART")</f>
        <v>15393.56</v>
      </c>
      <c r="F22" s="17">
        <f t="shared" si="2"/>
        <v>6.3507405421015717</v>
      </c>
      <c r="G22" s="16">
        <f t="shared" si="3"/>
        <v>-15393.56</v>
      </c>
      <c r="H22" s="17">
        <f t="shared" si="4"/>
        <v>-100</v>
      </c>
    </row>
    <row r="23" spans="1:8" s="18" customFormat="1" x14ac:dyDescent="0.2">
      <c r="A23" s="13" t="s">
        <v>13</v>
      </c>
      <c r="B23" s="14" t="s">
        <v>2966</v>
      </c>
      <c r="C23" s="23">
        <f>SUMIFS('BAL N HART'!$H:$H,'BAL N HART'!$I:$I,$A23,'BAL N HART'!$J:$J,"T")</f>
        <v>0</v>
      </c>
      <c r="D23" s="17" t="e">
        <f t="shared" si="2"/>
        <v>#DIV/0!</v>
      </c>
      <c r="E23" s="16">
        <f>SUMIFS(DONNEESCUM_N1_NOUVEAU[MONTANT],DONNEESCUM_N1_NOUVEAU[TL2],A23,DONNEESCUM_N1_NOUVEAU[MOIS],DONNÉES!$C$5,DONNEESCUM_N1_NOUVEAU[SOCIETE],"HART")</f>
        <v>3484.86</v>
      </c>
      <c r="F23" s="17">
        <f t="shared" si="2"/>
        <v>1.437707826230455</v>
      </c>
      <c r="G23" s="16">
        <f t="shared" si="3"/>
        <v>-3484.86</v>
      </c>
      <c r="H23" s="17">
        <f t="shared" si="4"/>
        <v>-100</v>
      </c>
    </row>
    <row r="24" spans="1:8" s="18" customFormat="1" x14ac:dyDescent="0.2">
      <c r="A24" s="13" t="s">
        <v>15</v>
      </c>
      <c r="B24" s="14" t="s">
        <v>2969</v>
      </c>
      <c r="C24" s="23">
        <f>SUMIFS('BAL N HART'!$H:$H,'BAL N HART'!$I:$I,$A24,'BAL N HART'!$J:$J,"T")</f>
        <v>0</v>
      </c>
      <c r="D24" s="17" t="e">
        <f t="shared" si="2"/>
        <v>#DIV/0!</v>
      </c>
      <c r="E24" s="16">
        <f>SUMIFS(DONNEESCUM_N1_NOUVEAU[MONTANT],DONNEESCUM_N1_NOUVEAU[TL2],A24,DONNEESCUM_N1_NOUVEAU[MOIS],DONNÉES!$C$5,DONNEESCUM_N1_NOUVEAU[SOCIETE],"HART")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HART'!$H:$H,'BAL N HART'!$I:$I,$A25,'BAL N HART'!$J:$J,"T")</f>
        <v>0</v>
      </c>
      <c r="D25" s="17" t="e">
        <f t="shared" si="2"/>
        <v>#DIV/0!</v>
      </c>
      <c r="E25" s="16">
        <f>SUMIFS(DONNEESCUM_N1_NOUVEAU[MONTANT],DONNEESCUM_N1_NOUVEAU[TL2],A25,DONNEESCUM_N1_NOUVEAU[MOIS],DONNÉES!$C$5,DONNEESCUM_N1_NOUVEAU[SOCIETE],"HART")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0</v>
      </c>
      <c r="D26" s="50" t="e">
        <f t="shared" si="2"/>
        <v>#DIV/0!</v>
      </c>
      <c r="E26" s="51">
        <f>SUM(E20:E25)</f>
        <v>67097.349999999991</v>
      </c>
      <c r="F26" s="50">
        <f t="shared" si="2"/>
        <v>27.681566896324103</v>
      </c>
      <c r="G26" s="51">
        <f>SUM(G20:G25)</f>
        <v>-67097.349999999991</v>
      </c>
      <c r="H26" s="50">
        <f t="shared" si="4"/>
        <v>-100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HART'!$H:$H,'BAL N HART'!$I:$I,$A28,'BAL N HART'!$J:$J,"T")</f>
        <v>0</v>
      </c>
      <c r="D28" s="17" t="e">
        <f t="shared" ref="D28:F33" si="5">(C28*100)/C$8</f>
        <v>#DIV/0!</v>
      </c>
      <c r="E28" s="16">
        <f>SUMIFS(DONNEESCUM_N1_NOUVEAU[MONTANT],DONNEESCUM_N1_NOUVEAU[TL2],A28,DONNEESCUM_N1_NOUVEAU[MOIS],DONNÉES!$C$5,DONNEESCUM_N1_NOUVEAU[SOCIETE],"HART")</f>
        <v>280</v>
      </c>
      <c r="F28" s="17">
        <f t="shared" si="5"/>
        <v>0.11551631667973102</v>
      </c>
      <c r="G28" s="16">
        <f>+C28-E28</f>
        <v>-280</v>
      </c>
      <c r="H28" s="17">
        <f t="shared" ref="H28:H33" si="6">IF(E28=0,0,G28/E28*100)</f>
        <v>-100</v>
      </c>
    </row>
    <row r="29" spans="1:8" s="18" customFormat="1" x14ac:dyDescent="0.2">
      <c r="A29" s="13" t="s">
        <v>20</v>
      </c>
      <c r="B29" s="14" t="s">
        <v>2972</v>
      </c>
      <c r="C29" s="23">
        <f>SUMIFS('BAL N HART'!$H:$H,'BAL N HART'!$I:$I,$A29,'BAL N HART'!$J:$J,"T")</f>
        <v>0</v>
      </c>
      <c r="D29" s="17" t="e">
        <f t="shared" si="5"/>
        <v>#DIV/0!</v>
      </c>
      <c r="E29" s="16">
        <f>SUMIFS(DONNEESCUM_N1_NOUVEAU[MONTANT],DONNEESCUM_N1_NOUVEAU[TL2],A29,DONNEESCUM_N1_NOUVEAU[MOIS],DONNÉES!$C$5,DONNEESCUM_N1_NOUVEAU[SOCIETE],"HART")</f>
        <v>77.44</v>
      </c>
      <c r="F29" s="17">
        <f t="shared" si="5"/>
        <v>3.1948512727422745E-2</v>
      </c>
      <c r="G29" s="16">
        <f>+C29-E29</f>
        <v>-77.44</v>
      </c>
      <c r="H29" s="17">
        <f t="shared" si="6"/>
        <v>-100</v>
      </c>
    </row>
    <row r="30" spans="1:8" s="18" customFormat="1" x14ac:dyDescent="0.2">
      <c r="A30" s="13" t="s">
        <v>21</v>
      </c>
      <c r="B30" s="14" t="s">
        <v>2973</v>
      </c>
      <c r="C30" s="23">
        <f>SUMIFS('BAL N HART'!$H:$H,'BAL N HART'!$I:$I,$A30,'BAL N HART'!$J:$J,"T")</f>
        <v>0</v>
      </c>
      <c r="D30" s="17" t="e">
        <f t="shared" si="5"/>
        <v>#DIV/0!</v>
      </c>
      <c r="E30" s="16">
        <f>SUMIFS(DONNEESCUM_N1_NOUVEAU[MONTANT],DONNEESCUM_N1_NOUVEAU[TL2],A30,DONNEESCUM_N1_NOUVEAU[MOIS],DONNÉES!$C$5,DONNEESCUM_N1_NOUVEAU[SOCIETE],"HART")</f>
        <v>2128.66</v>
      </c>
      <c r="F30" s="17">
        <f t="shared" si="5"/>
        <v>0.87819629522670073</v>
      </c>
      <c r="G30" s="16">
        <f>+C30-E30</f>
        <v>-2128.66</v>
      </c>
      <c r="H30" s="17">
        <f t="shared" si="6"/>
        <v>-100</v>
      </c>
    </row>
    <row r="31" spans="1:8" s="18" customFormat="1" x14ac:dyDescent="0.2">
      <c r="A31" s="13" t="s">
        <v>23</v>
      </c>
      <c r="B31" s="14" t="s">
        <v>2974</v>
      </c>
      <c r="C31" s="23">
        <f>SUMIFS('BAL N HART'!$H:$H,'BAL N HART'!$I:$I,$A31,'BAL N HART'!$J:$J,"T")</f>
        <v>0</v>
      </c>
      <c r="D31" s="17" t="e">
        <f t="shared" si="5"/>
        <v>#DIV/0!</v>
      </c>
      <c r="E31" s="16">
        <f>SUMIFS(DONNEESCUM_N1_NOUVEAU[MONTANT],DONNEESCUM_N1_NOUVEAU[TL2],A31,DONNEESCUM_N1_NOUVEAU[MOIS],DONNÉES!$C$5,DONNEESCUM_N1_NOUVEAU[SOCIETE],"HART")</f>
        <v>1022.47</v>
      </c>
      <c r="F31" s="17">
        <f t="shared" si="5"/>
        <v>0.42182845826973059</v>
      </c>
      <c r="G31" s="16">
        <f>+C31-E31</f>
        <v>-1022.47</v>
      </c>
      <c r="H31" s="17">
        <f t="shared" si="6"/>
        <v>-100</v>
      </c>
    </row>
    <row r="32" spans="1:8" s="18" customFormat="1" x14ac:dyDescent="0.2">
      <c r="A32" s="13" t="s">
        <v>25</v>
      </c>
      <c r="B32" s="14" t="s">
        <v>2975</v>
      </c>
      <c r="C32" s="23">
        <f>SUMIFS('BAL N HART'!$H:$H,'BAL N HART'!$I:$I,$A32,'BAL N HART'!$J:$J,"T")</f>
        <v>0</v>
      </c>
      <c r="D32" s="17" t="e">
        <f t="shared" si="5"/>
        <v>#DIV/0!</v>
      </c>
      <c r="E32" s="16">
        <f>SUMIFS(DONNEESCUM_N1_NOUVEAU[MONTANT],DONNEESCUM_N1_NOUVEAU[TL2],A32,DONNEESCUM_N1_NOUVEAU[MOIS],DONNÉES!$C$5,DONNEESCUM_N1_NOUVEAU[SOCIETE],"HART")</f>
        <v>8960.9699999999993</v>
      </c>
      <c r="F32" s="17">
        <f t="shared" si="5"/>
        <v>3.6969223152770323</v>
      </c>
      <c r="G32" s="16">
        <f>+C32-E32</f>
        <v>-8960.9699999999993</v>
      </c>
      <c r="H32" s="17">
        <f t="shared" si="6"/>
        <v>-100</v>
      </c>
    </row>
    <row r="33" spans="1:8" ht="13.5" thickBot="1" x14ac:dyDescent="0.25">
      <c r="A33" s="7"/>
      <c r="B33" s="63" t="s">
        <v>2976</v>
      </c>
      <c r="C33" s="49">
        <f>SUM(C28:C32)</f>
        <v>0</v>
      </c>
      <c r="D33" s="50" t="e">
        <f t="shared" si="5"/>
        <v>#DIV/0!</v>
      </c>
      <c r="E33" s="51">
        <f>SUM(E28:E32)</f>
        <v>12469.539999999999</v>
      </c>
      <c r="F33" s="50">
        <f t="shared" si="5"/>
        <v>5.1444118981806177</v>
      </c>
      <c r="G33" s="51">
        <f>SUM(G28:G32)</f>
        <v>-12469.539999999999</v>
      </c>
      <c r="H33" s="50">
        <f t="shared" si="6"/>
        <v>-100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HART'!$H:$H,'BAL N HART'!$I:$I,$A35,'BAL N HART'!$J:$J,"T")</f>
        <v>0</v>
      </c>
      <c r="D35" s="17" t="e">
        <f t="shared" ref="D35:F42" si="7">(C35*100)/C$8</f>
        <v>#DIV/0!</v>
      </c>
      <c r="E35" s="16">
        <f>SUMIFS(DONNEESCUM_N1_NOUVEAU[MONTANT],DONNEESCUM_N1_NOUVEAU[TL2],A35,DONNEESCUM_N1_NOUVEAU[MOIS],DONNÉES!$C$5,DONNEESCUM_N1_NOUVEAU[SOCIETE],"HART")</f>
        <v>0</v>
      </c>
      <c r="F35" s="17">
        <f t="shared" si="7"/>
        <v>0</v>
      </c>
      <c r="G35" s="16">
        <f t="shared" ref="G35:G41" si="8">+C35-E35</f>
        <v>0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HART'!$H:$H,'BAL N HART'!$I:$I,$A36,'BAL N HART'!$J:$J,"T")</f>
        <v>0</v>
      </c>
      <c r="D36" s="17" t="e">
        <f t="shared" si="7"/>
        <v>#DIV/0!</v>
      </c>
      <c r="E36" s="16">
        <f>SUMIFS(DONNEESCUM_N1_NOUVEAU[MONTANT],DONNEESCUM_N1_NOUVEAU[TL2],A36,DONNEESCUM_N1_NOUVEAU[MOIS],DONNÉES!$C$5,DONNEESCUM_N1_NOUVEAU[SOCIETE],"HART")</f>
        <v>9716.9500000000007</v>
      </c>
      <c r="F36" s="17">
        <f t="shared" si="7"/>
        <v>4.0088081191468303</v>
      </c>
      <c r="G36" s="16">
        <f t="shared" si="8"/>
        <v>-9716.9500000000007</v>
      </c>
      <c r="H36" s="17">
        <f t="shared" si="9"/>
        <v>-100</v>
      </c>
    </row>
    <row r="37" spans="1:8" s="18" customFormat="1" x14ac:dyDescent="0.2">
      <c r="A37" s="13" t="s">
        <v>32</v>
      </c>
      <c r="B37" s="14" t="s">
        <v>19</v>
      </c>
      <c r="C37" s="23">
        <f>SUMIFS('BAL N HART'!$H:$H,'BAL N HART'!$I:$I,$A37,'BAL N HART'!$J:$J,"T")</f>
        <v>0</v>
      </c>
      <c r="D37" s="17" t="e">
        <f t="shared" si="7"/>
        <v>#DIV/0!</v>
      </c>
      <c r="E37" s="16">
        <f>SUMIFS(DONNEESCUM_N1_NOUVEAU[MONTANT],DONNEESCUM_N1_NOUVEAU[TL2],A37,DONNEESCUM_N1_NOUVEAU[MOIS],DONNÉES!$C$5,DONNEESCUM_N1_NOUVEAU[SOCIETE],"HART")</f>
        <v>6144.66</v>
      </c>
      <c r="F37" s="17">
        <f t="shared" si="7"/>
        <v>2.5350303230331286</v>
      </c>
      <c r="G37" s="16">
        <f t="shared" si="8"/>
        <v>-6144.66</v>
      </c>
      <c r="H37" s="17">
        <f t="shared" si="9"/>
        <v>-100</v>
      </c>
    </row>
    <row r="38" spans="1:8" s="18" customFormat="1" x14ac:dyDescent="0.2">
      <c r="A38" s="13" t="s">
        <v>34</v>
      </c>
      <c r="B38" s="14" t="s">
        <v>28</v>
      </c>
      <c r="C38" s="23">
        <f>SUMIFS('BAL N HART'!$H:$H,'BAL N HART'!$I:$I,$A38,'BAL N HART'!$J:$J,"T")</f>
        <v>0</v>
      </c>
      <c r="D38" s="17" t="e">
        <f t="shared" si="7"/>
        <v>#DIV/0!</v>
      </c>
      <c r="E38" s="16">
        <f>SUMIFS(DONNEESCUM_N1_NOUVEAU[MONTANT],DONNEESCUM_N1_NOUVEAU[TL2],A38,DONNEESCUM_N1_NOUVEAU[MOIS],DONNÉES!$C$5,DONNEESCUM_N1_NOUVEAU[SOCIETE],"HART")</f>
        <v>10150</v>
      </c>
      <c r="F38" s="17">
        <f t="shared" si="7"/>
        <v>4.187466479640249</v>
      </c>
      <c r="G38" s="16">
        <f t="shared" si="8"/>
        <v>-10150</v>
      </c>
      <c r="H38" s="17">
        <f t="shared" si="9"/>
        <v>-100</v>
      </c>
    </row>
    <row r="39" spans="1:8" s="18" customFormat="1" x14ac:dyDescent="0.2">
      <c r="A39" s="13" t="s">
        <v>2978</v>
      </c>
      <c r="B39" s="14" t="s">
        <v>2980</v>
      </c>
      <c r="C39" s="23">
        <f>SUMIFS('BAL N HART'!$H:$H,'BAL N HART'!$I:$I,$A39,'BAL N HART'!$J:$J,"T")</f>
        <v>0</v>
      </c>
      <c r="D39" s="17" t="e">
        <f t="shared" si="7"/>
        <v>#DIV/0!</v>
      </c>
      <c r="E39" s="16">
        <f>SUMIFS(DONNEESCUM_N1_NOUVEAU[MONTANT],DONNEESCUM_N1_NOUVEAU[TL2],A39,DONNEESCUM_N1_NOUVEAU[MOIS],DONNÉES!$C$5,DONNEESCUM_N1_NOUVEAU[SOCIETE],"HART")</f>
        <v>2218.4499999999998</v>
      </c>
      <c r="F39" s="17">
        <f t="shared" si="7"/>
        <v>0.91523990263624722</v>
      </c>
      <c r="G39" s="16">
        <f t="shared" si="8"/>
        <v>-2218.4499999999998</v>
      </c>
      <c r="H39" s="17">
        <f t="shared" si="9"/>
        <v>-100</v>
      </c>
    </row>
    <row r="40" spans="1:8" s="18" customFormat="1" x14ac:dyDescent="0.2">
      <c r="A40" s="13" t="s">
        <v>2979</v>
      </c>
      <c r="B40" s="14" t="s">
        <v>2981</v>
      </c>
      <c r="C40" s="23">
        <f>SUMIFS('BAL N HART'!$H:$H,'BAL N HART'!$I:$I,$A40,'BAL N HART'!$J:$J,"T")</f>
        <v>0</v>
      </c>
      <c r="D40" s="17" t="e">
        <f t="shared" si="7"/>
        <v>#DIV/0!</v>
      </c>
      <c r="E40" s="16">
        <f>SUMIFS(DONNEESCUM_N1_NOUVEAU[MONTANT],DONNEESCUM_N1_NOUVEAU[TL2],A40,DONNEESCUM_N1_NOUVEAU[MOIS],DONNÉES!$C$5,DONNEESCUM_N1_NOUVEAU[SOCIETE],"HART")</f>
        <v>0</v>
      </c>
      <c r="F40" s="17">
        <f t="shared" si="7"/>
        <v>0</v>
      </c>
      <c r="G40" s="16">
        <f t="shared" si="8"/>
        <v>0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HART'!$H:$H,'BAL N HART'!$I:$I,$A41,'BAL N HART'!$J:$J,"T")</f>
        <v>0</v>
      </c>
      <c r="D41" s="17" t="e">
        <f t="shared" si="7"/>
        <v>#DIV/0!</v>
      </c>
      <c r="E41" s="16">
        <f>SUMIFS(DONNEESCUM_N1_NOUVEAU[MONTANT],DONNEESCUM_N1_NOUVEAU[TL2],A41,DONNEESCUM_N1_NOUVEAU[MOIS],DONNÉES!$C$5,DONNEESCUM_N1_NOUVEAU[SOCIETE],"HART")</f>
        <v>317.89</v>
      </c>
      <c r="F41" s="17">
        <f t="shared" si="7"/>
        <v>0.13114814967614175</v>
      </c>
      <c r="G41" s="16">
        <f t="shared" si="8"/>
        <v>-317.89</v>
      </c>
      <c r="H41" s="17">
        <f t="shared" si="9"/>
        <v>-100</v>
      </c>
    </row>
    <row r="42" spans="1:8" ht="13.5" thickBot="1" x14ac:dyDescent="0.25">
      <c r="A42" s="13"/>
      <c r="B42" s="63" t="s">
        <v>2984</v>
      </c>
      <c r="C42" s="49">
        <f>+SUM(C35:C41)</f>
        <v>0</v>
      </c>
      <c r="D42" s="50" t="e">
        <f t="shared" si="7"/>
        <v>#DIV/0!</v>
      </c>
      <c r="E42" s="51">
        <f>+SUM(E35:E41)</f>
        <v>28547.95</v>
      </c>
      <c r="F42" s="50">
        <f t="shared" si="7"/>
        <v>11.777692974132597</v>
      </c>
      <c r="G42" s="51">
        <f>+SUM(G35:G41)</f>
        <v>-28547.95</v>
      </c>
      <c r="H42" s="50">
        <f t="shared" si="9"/>
        <v>-100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0</v>
      </c>
      <c r="D44" s="71" t="e">
        <f>(C44*100)/C$8</f>
        <v>#DIV/0!</v>
      </c>
      <c r="E44" s="72">
        <f>E18-E26-E33-E42</f>
        <v>73741.720000000016</v>
      </c>
      <c r="F44" s="71">
        <f>(E44*100)/E$8</f>
        <v>30.422756714385915</v>
      </c>
      <c r="G44" s="72">
        <f>G18-G26-G33-G42</f>
        <v>-73741.720000000016</v>
      </c>
      <c r="H44" s="71">
        <f>IF(E44=0,0,G44/E44*100)</f>
        <v>-100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HART'!$H:$H,'BAL N HART'!$I:$I,$A46,'BAL N HART'!$J:$J,"T")</f>
        <v>0</v>
      </c>
      <c r="D46" s="17" t="e">
        <f t="shared" ref="D46:F49" si="10">(C46*100)/C$8</f>
        <v>#DIV/0!</v>
      </c>
      <c r="E46" s="16">
        <f>SUMIFS(DONNEESCUM_N1_NOUVEAU[MONTANT],DONNEESCUM_N1_NOUVEAU[TL2],A46,DONNEESCUM_N1_NOUVEAU[MOIS],DONNÉES!$C$5,DONNEESCUM_N1_NOUVEAU[SOCIETE],"HART")</f>
        <v>35628.19</v>
      </c>
      <c r="F46" s="17">
        <f t="shared" si="10"/>
        <v>14.698704567020092</v>
      </c>
      <c r="G46" s="16">
        <f>+C46-E46</f>
        <v>-35628.19</v>
      </c>
      <c r="H46" s="17">
        <f>IF(E46=0,0,G46/E46*100)</f>
        <v>-100</v>
      </c>
    </row>
    <row r="47" spans="1:8" s="18" customFormat="1" x14ac:dyDescent="0.2">
      <c r="A47" s="13" t="s">
        <v>35</v>
      </c>
      <c r="B47" s="14" t="s">
        <v>2986</v>
      </c>
      <c r="C47" s="23">
        <f>SUMIFS('BAL N HART'!$H:$H,'BAL N HART'!$I:$I,$A47,'BAL N HART'!$J:$J,"T")</f>
        <v>0</v>
      </c>
      <c r="D47" s="17" t="e">
        <f t="shared" si="10"/>
        <v>#DIV/0!</v>
      </c>
      <c r="E47" s="16">
        <f>SUMIFS(DONNEESCUM_N1_NOUVEAU[MONTANT],DONNEESCUM_N1_NOUVEAU[TL2],A47,DONNEESCUM_N1_NOUVEAU[MOIS],DONNÉES!$C$5,DONNEESCUM_N1_NOUVEAU[SOCIETE],"HART")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HART'!$H:$H,'BAL N HART'!$I:$I,$A48,'BAL N HART'!$J:$J,"T")</f>
        <v>0</v>
      </c>
      <c r="D48" s="17" t="e">
        <f t="shared" si="10"/>
        <v>#DIV/0!</v>
      </c>
      <c r="E48" s="16">
        <f>SUMIFS(DONNEESCUM_N1_NOUVEAU[MONTANT],DONNEESCUM_N1_NOUVEAU[TL2],A48,DONNEESCUM_N1_NOUVEAU[MOIS],DONNÉES!$C$5,DONNEESCUM_N1_NOUVEAU[SOCIETE],"HART")</f>
        <v>-543.76</v>
      </c>
      <c r="F48" s="17">
        <f t="shared" si="10"/>
        <v>-0.22433268699203762</v>
      </c>
      <c r="G48" s="16">
        <f>+C48-E48</f>
        <v>543.76</v>
      </c>
      <c r="H48" s="17">
        <f>IF(E48=0,0,G48/E48*100)</f>
        <v>-100</v>
      </c>
    </row>
    <row r="49" spans="1:8" ht="13.5" thickBot="1" x14ac:dyDescent="0.25">
      <c r="A49" s="13"/>
      <c r="B49" s="63" t="s">
        <v>2988</v>
      </c>
      <c r="C49" s="49">
        <f>SUM(C46:C48)</f>
        <v>0</v>
      </c>
      <c r="D49" s="50" t="e">
        <f t="shared" si="10"/>
        <v>#DIV/0!</v>
      </c>
      <c r="E49" s="51">
        <f>SUM(E46:E48)</f>
        <v>35084.43</v>
      </c>
      <c r="F49" s="50">
        <f t="shared" si="10"/>
        <v>14.474371880028054</v>
      </c>
      <c r="G49" s="51">
        <f>SUM(G46:G48)</f>
        <v>-35084.43</v>
      </c>
      <c r="H49" s="50">
        <f>IF(E49=0,0,G49/E49*100)</f>
        <v>-100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HART'!$H:$H,'BAL N HART'!$I:$I,$A51,'BAL N HART'!$J:$J,"T")</f>
        <v>0</v>
      </c>
      <c r="D51" s="17" t="e">
        <f t="shared" ref="D51:F59" si="11">(C51*100)/C$8</f>
        <v>#DIV/0!</v>
      </c>
      <c r="E51" s="16">
        <f>SUMIFS(DONNEESCUM_N1_NOUVEAU[MONTANT],DONNEESCUM_N1_NOUVEAU[TL2],A51,DONNEESCUM_N1_NOUVEAU[MOIS],DONNÉES!$C$5,DONNEESCUM_N1_NOUVEAU[SOCIETE],"HART")</f>
        <v>545</v>
      </c>
      <c r="F51" s="17">
        <f t="shared" si="11"/>
        <v>0.2248442592516193</v>
      </c>
      <c r="G51" s="16">
        <f t="shared" ref="G51:G58" si="12">+C51-E51</f>
        <v>-545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HART'!$H:$H,'BAL N HART'!$I:$I,$A52,'BAL N HART'!$J:$J,"T")</f>
        <v>0</v>
      </c>
      <c r="D52" s="17" t="e">
        <f t="shared" si="11"/>
        <v>#DIV/0!</v>
      </c>
      <c r="E52" s="16">
        <f>SUMIFS(DONNEESCUM_N1_NOUVEAU[MONTANT],DONNEESCUM_N1_NOUVEAU[TL2],A52,DONNEESCUM_N1_NOUVEAU[MOIS],DONNÉES!$C$5,DONNEESCUM_N1_NOUVEAU[SOCIETE],"HART")</f>
        <v>12285.58</v>
      </c>
      <c r="F52" s="17">
        <f t="shared" si="11"/>
        <v>5.0685176781220349</v>
      </c>
      <c r="G52" s="16">
        <f t="shared" si="12"/>
        <v>-12285.58</v>
      </c>
      <c r="H52" s="17">
        <f t="shared" si="13"/>
        <v>-100</v>
      </c>
    </row>
    <row r="53" spans="1:8" s="18" customFormat="1" x14ac:dyDescent="0.2">
      <c r="A53" s="13" t="s">
        <v>44</v>
      </c>
      <c r="B53" s="14" t="s">
        <v>62</v>
      </c>
      <c r="C53" s="23">
        <f>SUMIFS('BAL N HART'!$H:$H,'BAL N HART'!$I:$I,$A53,'BAL N HART'!$J:$J,"T")</f>
        <v>0</v>
      </c>
      <c r="D53" s="17" t="e">
        <f t="shared" si="11"/>
        <v>#DIV/0!</v>
      </c>
      <c r="E53" s="16">
        <f>SUMIFS(DONNEESCUM_N1_NOUVEAU[MONTANT],DONNEESCUM_N1_NOUVEAU[TL2],A53,DONNEESCUM_N1_NOUVEAU[MOIS],DONNÉES!$C$5,DONNEESCUM_N1_NOUVEAU[SOCIETE],"HART")</f>
        <v>1086.5</v>
      </c>
      <c r="F53" s="17">
        <f t="shared" si="11"/>
        <v>0.44824456454474193</v>
      </c>
      <c r="G53" s="16">
        <f t="shared" si="12"/>
        <v>-1086.5</v>
      </c>
      <c r="H53" s="17">
        <f t="shared" si="13"/>
        <v>-100</v>
      </c>
    </row>
    <row r="54" spans="1:8" s="18" customFormat="1" x14ac:dyDescent="0.2">
      <c r="A54" s="13" t="s">
        <v>45</v>
      </c>
      <c r="B54" s="14" t="s">
        <v>41</v>
      </c>
      <c r="C54" s="23">
        <f>SUMIFS('BAL N HART'!$H:$H,'BAL N HART'!$I:$I,$A54,'BAL N HART'!$J:$J,"T")</f>
        <v>0</v>
      </c>
      <c r="D54" s="17" t="e">
        <f t="shared" si="11"/>
        <v>#DIV/0!</v>
      </c>
      <c r="E54" s="16">
        <f>SUMIFS(DONNEESCUM_N1_NOUVEAU[MONTANT],DONNEESCUM_N1_NOUVEAU[TL2],A54,DONNEESCUM_N1_NOUVEAU[MOIS],DONNÉES!$C$5,DONNEESCUM_N1_NOUVEAU[SOCIETE],"HART")</f>
        <v>1000</v>
      </c>
      <c r="F54" s="17">
        <f t="shared" si="11"/>
        <v>0.41255827385618221</v>
      </c>
      <c r="G54" s="16">
        <f t="shared" si="12"/>
        <v>-1000</v>
      </c>
      <c r="H54" s="17">
        <f t="shared" si="13"/>
        <v>-100</v>
      </c>
    </row>
    <row r="55" spans="1:8" s="18" customFormat="1" x14ac:dyDescent="0.2">
      <c r="A55" s="13" t="s">
        <v>47</v>
      </c>
      <c r="B55" s="14" t="s">
        <v>43</v>
      </c>
      <c r="C55" s="23">
        <f>SUMIFS('BAL N HART'!$H:$H,'BAL N HART'!$I:$I,$A55,'BAL N HART'!$J:$J,"T")</f>
        <v>0</v>
      </c>
      <c r="D55" s="17" t="e">
        <f t="shared" si="11"/>
        <v>#DIV/0!</v>
      </c>
      <c r="E55" s="16">
        <f>SUMIFS(DONNEESCUM_N1_NOUVEAU[MONTANT],DONNEESCUM_N1_NOUVEAU[TL2],A55,DONNEESCUM_N1_NOUVEAU[MOIS],DONNÉES!$C$5,DONNEESCUM_N1_NOUVEAU[SOCIETE],"HART")</f>
        <v>1998.74</v>
      </c>
      <c r="F55" s="17">
        <f t="shared" si="11"/>
        <v>0.82459672428730557</v>
      </c>
      <c r="G55" s="16">
        <f t="shared" si="12"/>
        <v>-1998.74</v>
      </c>
      <c r="H55" s="17">
        <f t="shared" si="13"/>
        <v>-100</v>
      </c>
    </row>
    <row r="56" spans="1:8" s="18" customFormat="1" x14ac:dyDescent="0.2">
      <c r="A56" s="13" t="s">
        <v>48</v>
      </c>
      <c r="B56" s="14" t="s">
        <v>46</v>
      </c>
      <c r="C56" s="23">
        <f>SUMIFS('BAL N HART'!$H:$H,'BAL N HART'!$I:$I,$A56,'BAL N HART'!$J:$J,"T")</f>
        <v>0</v>
      </c>
      <c r="D56" s="17" t="e">
        <f t="shared" si="11"/>
        <v>#DIV/0!</v>
      </c>
      <c r="E56" s="16">
        <f>SUMIFS(DONNEESCUM_N1_NOUVEAU[MONTANT],DONNEESCUM_N1_NOUVEAU[TL2],A56,DONNEESCUM_N1_NOUVEAU[MOIS],DONNÉES!$C$5,DONNEESCUM_N1_NOUVEAU[SOCIETE],"HART")</f>
        <v>10000</v>
      </c>
      <c r="F56" s="17">
        <f t="shared" si="11"/>
        <v>4.125582738561822</v>
      </c>
      <c r="G56" s="16">
        <f t="shared" si="12"/>
        <v>-10000</v>
      </c>
      <c r="H56" s="17">
        <f t="shared" si="13"/>
        <v>-100</v>
      </c>
    </row>
    <row r="57" spans="1:8" s="18" customFormat="1" x14ac:dyDescent="0.2">
      <c r="A57" s="13" t="s">
        <v>50</v>
      </c>
      <c r="B57" s="14" t="s">
        <v>2990</v>
      </c>
      <c r="C57" s="23">
        <f>SUMIFS('BAL N HART'!$H:$H,'BAL N HART'!$I:$I,$A57,'BAL N HART'!$J:$J,"T")</f>
        <v>0</v>
      </c>
      <c r="D57" s="17" t="e">
        <f t="shared" si="11"/>
        <v>#DIV/0!</v>
      </c>
      <c r="E57" s="16">
        <f>SUMIFS(DONNEESCUM_N1_NOUVEAU[MONTANT],DONNEESCUM_N1_NOUVEAU[TL2],A57,DONNEESCUM_N1_NOUVEAU[MOIS],DONNÉES!$C$5,DONNEESCUM_N1_NOUVEAU[SOCIETE],"HART")</f>
        <v>0</v>
      </c>
      <c r="F57" s="17">
        <f t="shared" si="11"/>
        <v>0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HART'!$H:$H,'BAL N HART'!$I:$I,$A58,'BAL N HART'!$J:$J,"T")</f>
        <v>0</v>
      </c>
      <c r="D58" s="17" t="e">
        <f t="shared" si="11"/>
        <v>#DIV/0!</v>
      </c>
      <c r="E58" s="16">
        <f>SUMIFS(DONNEESCUM_N1_NOUVEAU[MONTANT],DONNEESCUM_N1_NOUVEAU[TL2],A58,DONNEESCUM_N1_NOUVEAU[MOIS],DONNÉES!$C$5,DONNEESCUM_N1_NOUVEAU[SOCIETE],"HART")</f>
        <v>0</v>
      </c>
      <c r="F58" s="17">
        <f t="shared" si="11"/>
        <v>0</v>
      </c>
      <c r="G58" s="16">
        <f t="shared" si="12"/>
        <v>0</v>
      </c>
      <c r="H58" s="17">
        <f t="shared" si="13"/>
        <v>0</v>
      </c>
    </row>
    <row r="59" spans="1:8" ht="13.5" thickBot="1" x14ac:dyDescent="0.25">
      <c r="A59" s="13"/>
      <c r="B59" s="63" t="s">
        <v>2994</v>
      </c>
      <c r="C59" s="49">
        <f>SUM(C51:C58)</f>
        <v>0</v>
      </c>
      <c r="D59" s="50" t="e">
        <f t="shared" si="11"/>
        <v>#DIV/0!</v>
      </c>
      <c r="E59" s="51">
        <f>SUM(E51:E58)</f>
        <v>26915.82</v>
      </c>
      <c r="F59" s="50">
        <f t="shared" si="11"/>
        <v>11.104344238623705</v>
      </c>
      <c r="G59" s="51">
        <f>SUM(G51:G58)</f>
        <v>-26915.82</v>
      </c>
      <c r="H59" s="50">
        <f t="shared" si="13"/>
        <v>-100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0</v>
      </c>
      <c r="D61" s="71" t="e">
        <f>(C61*100)/C$8</f>
        <v>#DIV/0!</v>
      </c>
      <c r="E61" s="72">
        <f>E59+E49+E42+E33+E26</f>
        <v>170115.08999999997</v>
      </c>
      <c r="F61" s="71">
        <f>(E61*100)/E$8</f>
        <v>70.182387887289067</v>
      </c>
      <c r="G61" s="72">
        <f>G59+G49+G42+G33+G26</f>
        <v>-170115.08999999997</v>
      </c>
      <c r="H61" s="71">
        <f>IF(E61=0,0,G61/E61*100)</f>
        <v>-100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HART'!$H:$H,'BAL N HART'!$I:$I,$A63,'BAL N HART'!$J:$J,"T")</f>
        <v>0</v>
      </c>
      <c r="D63" s="17" t="e">
        <f t="shared" ref="D63:F65" si="14">(C63*100)/C$8</f>
        <v>#DIV/0!</v>
      </c>
      <c r="E63" s="16">
        <f>-SUMIFS(DONNEESCUM_N1_NOUVEAU[MONTANT],DONNEESCUM_N1_NOUVEAU[TL2],A63,DONNEESCUM_N1_NOUVEAU[MOIS],DONNÉES!$C$5,DONNEESCUM_N1_NOUVEAU[SOCIETE],"HART")</f>
        <v>3321.64</v>
      </c>
      <c r="F63" s="17">
        <f t="shared" si="14"/>
        <v>1.370370064771649</v>
      </c>
      <c r="G63" s="16">
        <f>+C63-E63</f>
        <v>-3321.64</v>
      </c>
      <c r="H63" s="17">
        <f>IF(E63=0,0,G63/E63*100)</f>
        <v>-100</v>
      </c>
    </row>
    <row r="64" spans="1:8" s="18" customFormat="1" x14ac:dyDescent="0.2">
      <c r="A64" s="13" t="s">
        <v>2992</v>
      </c>
      <c r="B64" s="68" t="s">
        <v>65</v>
      </c>
      <c r="C64" s="23">
        <f>SUMIFS('BAL N HART'!$H:$H,'BAL N HART'!$I:$I,$A64,'BAL N HART'!$J:$J,"T")</f>
        <v>0</v>
      </c>
      <c r="D64" s="17" t="e">
        <f t="shared" si="14"/>
        <v>#DIV/0!</v>
      </c>
      <c r="E64" s="24">
        <f>SUMIFS(DONNEESCUM_N1_NOUVEAU[MONTANT],DONNEESCUM_N1_NOUVEAU[TL2],A64,DONNEESCUM_N1_NOUVEAU[MOIS],DONNÉES!$C$5,DONNEESCUM_N1_NOUVEAU[SOCIETE],"HART")</f>
        <v>1446.43</v>
      </c>
      <c r="F64" s="17">
        <f t="shared" si="14"/>
        <v>0.59673666405379755</v>
      </c>
      <c r="G64" s="16">
        <f>+C64-E64</f>
        <v>-1446.43</v>
      </c>
      <c r="H64" s="17">
        <f>IF(E64=0,0,G64/E64*100)</f>
        <v>-100</v>
      </c>
    </row>
    <row r="65" spans="1:9" s="59" customFormat="1" ht="13.5" x14ac:dyDescent="0.2">
      <c r="A65" s="13"/>
      <c r="B65" s="62" t="s">
        <v>53</v>
      </c>
      <c r="C65" s="67">
        <f>+C63-C64</f>
        <v>0</v>
      </c>
      <c r="D65" s="56" t="e">
        <f t="shared" si="14"/>
        <v>#DIV/0!</v>
      </c>
      <c r="E65" s="57">
        <f>+E63-E64</f>
        <v>1875.2099999999998</v>
      </c>
      <c r="F65" s="56">
        <f t="shared" si="14"/>
        <v>0.77363340071785125</v>
      </c>
      <c r="G65" s="58">
        <f>+G63-G64</f>
        <v>-1875.2099999999998</v>
      </c>
      <c r="H65" s="56">
        <f>IF(E65=0,0,G65/E65*100)</f>
        <v>-100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HART'!$H:$H,'BAL N HART'!$I:$I,$A67,'BAL N HART'!$J:$J,"T")</f>
        <v>0</v>
      </c>
      <c r="D67" s="17" t="e">
        <f>(C67*100)/C$8</f>
        <v>#DIV/0!</v>
      </c>
      <c r="E67" s="16">
        <f>-SUMIFS(DONNEESCUM_N1_NOUVEAU[MONTANT],DONNEESCUM_N1_NOUVEAU[TL2],A67,DONNEESCUM_N1_NOUVEAU[MOIS],DONNÉES!$C$5,DONNEESCUM_N1_NOUVEAU[SOCIETE],"HART")</f>
        <v>0</v>
      </c>
      <c r="F67" s="17">
        <f>(E67*100)/E$8</f>
        <v>0</v>
      </c>
      <c r="G67" s="16">
        <f>+C67-E67</f>
        <v>0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0</v>
      </c>
      <c r="D69" s="10" t="e">
        <f>(C69*100)/C$8</f>
        <v>#DIV/0!</v>
      </c>
      <c r="E69" s="9">
        <f>E18-E61+E65+E67</f>
        <v>13616.680000000029</v>
      </c>
      <c r="F69" s="10">
        <f>(E69*100)/E$8</f>
        <v>5.6176739964520115</v>
      </c>
      <c r="G69" s="9">
        <f>G18-G61+G65+G67</f>
        <v>-13616.680000000029</v>
      </c>
      <c r="H69" s="10">
        <f>IF(E69=0,0,G69/E69*100)</f>
        <v>-100</v>
      </c>
    </row>
    <row r="70" spans="1:9" ht="13.5" thickBot="1" x14ac:dyDescent="0.25">
      <c r="A70" s="13"/>
      <c r="B70" s="63" t="s">
        <v>3034</v>
      </c>
      <c r="C70" s="49">
        <f>+C69-C67+C57+C56</f>
        <v>0</v>
      </c>
      <c r="D70" s="50" t="e">
        <f>(C70*100)/C$8</f>
        <v>#DIV/0!</v>
      </c>
      <c r="E70" s="49">
        <f>+E69-E67+E57+E56</f>
        <v>23616.680000000029</v>
      </c>
      <c r="F70" s="50">
        <f>(E70*100)/E$8</f>
        <v>9.7432567350138317</v>
      </c>
      <c r="G70" s="49">
        <f>+G69-G67+G57+G56</f>
        <v>-23616.680000000029</v>
      </c>
      <c r="H70" s="50">
        <f>IF(E70=0,0,G70/E70*100)</f>
        <v>-100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HART'!$H:$H,'BAL N HART'!$I:$I,$A72,'BAL N HART'!$J:$J,"T")</f>
        <v>0</v>
      </c>
      <c r="D72" s="17" t="e">
        <f>(C72*100)/C$8</f>
        <v>#DIV/0!</v>
      </c>
      <c r="E72" s="16">
        <f>-SUMIFS(DONNEESCUM_N1_NOUVEAU[MONTANT],DONNEESCUM_N1_NOUVEAU[TL2],A72,DONNEESCUM_N1_NOUVEAU[MOIS],DONNÉES!$C$5,DONNEESCUM_N1_NOUVEAU[SOCIETE],"HART")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HART'!$H:$H,'BAL N HART'!$I:$I,$A74,'BAL N HART'!$J:$J,"T")</f>
        <v>0</v>
      </c>
      <c r="D74" s="10" t="e">
        <f>(C74*100)/C$8</f>
        <v>#DIV/0!</v>
      </c>
      <c r="E74" s="9">
        <f>SUMIFS(DONNEESCUM_N1_NOUVEAU[MONTANT],DONNEESCUM_N1_NOUVEAU[TL2],A74,DONNEESCUM_N1_NOUVEAU[MOIS],DONNÉES!$C$5,DONNEESCUM_N1_NOUVEAU[SOCIETE],"HART")</f>
        <v>16333.33</v>
      </c>
      <c r="F74" s="10">
        <f>(E74*100)/E$8</f>
        <v>6.7384504311233959</v>
      </c>
      <c r="G74" s="9">
        <f>+C74-E74</f>
        <v>-16333.33</v>
      </c>
      <c r="H74" s="10">
        <f>IF(E74=0,0,G74/E74*100)</f>
        <v>-100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0</v>
      </c>
      <c r="D76" s="71" t="e">
        <f>(C76*100)/C$8</f>
        <v>#DIV/0!</v>
      </c>
      <c r="E76" s="72">
        <f>E69-E74+E72</f>
        <v>-2716.6499999999705</v>
      </c>
      <c r="F76" s="71">
        <f>(E76*100)/E$8</f>
        <v>-1.1207764346713851</v>
      </c>
      <c r="G76" s="72">
        <f>G69-G74+G72</f>
        <v>2716.6499999999705</v>
      </c>
      <c r="H76" s="71">
        <f>IF(E76=0,0,G76/E76*100)</f>
        <v>-100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VLOOKUP(PARAMETRES!$C$2,DONNÉES!$AX$188:$BD$199,2,FALSE)</f>
        <v>0</v>
      </c>
      <c r="D78" s="324"/>
      <c r="E78" s="323">
        <f>VLOOKUP(PARAMETRES!$C$2,DONNÉES!$AX$188:$BD$199,3,FALSE)</f>
        <v>12467</v>
      </c>
      <c r="F78" s="324"/>
      <c r="G78" s="325">
        <f>C78-E78</f>
        <v>-12467</v>
      </c>
      <c r="H78" s="326"/>
    </row>
    <row r="79" spans="1:9" ht="13.5" thickTop="1" x14ac:dyDescent="0.2">
      <c r="A79" s="13"/>
      <c r="B79" s="65"/>
      <c r="C79" s="25"/>
      <c r="D79" s="26"/>
      <c r="E79" s="25"/>
      <c r="F79" s="26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 t="e">
        <f>VLOOKUP(PARAMETRES!$C$2,DONNÉES!$AX$284:$BD$295,2,FALSE)</f>
        <v>#DIV/0!</v>
      </c>
      <c r="D80" s="316"/>
      <c r="E80" s="315">
        <f>VLOOKUP(PARAMETRES!$C$2,DONNÉES!$AX$284:$BD$295,3,FALSE)</f>
        <v>19.8</v>
      </c>
      <c r="F80" s="316"/>
      <c r="G80" s="317" t="e">
        <f>(C80-E80)/E80</f>
        <v>#DIV/0!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FC09-8E8B-4E5D-BAE4-B10A0AB9AAE9}">
  <sheetPr codeName="Feuil65">
    <tabColor rgb="FFFFC000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F27EB-CBF5-4DEC-908E-8C651E35612E}">
  <sheetPr>
    <tabColor rgb="FFFFC000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0" width="7" style="6"/>
    <col min="11" max="11" width="8.7109375" style="6" bestFit="1" customWidth="1"/>
    <col min="12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6899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6900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VICTOIRE'!$H:$H,'BAL N VICTOIRE'!$I:$I,$A8,'BAL N VICTOIRE'!$J:$J,"T")</f>
        <v>225059.06</v>
      </c>
      <c r="D8" s="71">
        <f>(C8*100)/C$8</f>
        <v>100</v>
      </c>
      <c r="E8" s="72">
        <f>-SUMIFS(DONNEESCUM_N1_NOUVEAU[MONTANT],DONNEESCUM_N1_NOUVEAU[TL2],A8,DONNEESCUM_N1_NOUVEAU[MOIS],DONNÉES!$C$5,DONNEESCUM_N1_NOUVEAU[SOCIETE],"VICTOIRE")</f>
        <v>246524.07</v>
      </c>
      <c r="F8" s="71">
        <f>(E8*100)/E$8</f>
        <v>100</v>
      </c>
      <c r="G8" s="72">
        <f>+C8-E8</f>
        <v>-21465.010000000009</v>
      </c>
      <c r="H8" s="71">
        <f>IF(E8=0,0,G8/E8*100)</f>
        <v>-8.7070645880542248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VICTOIRE'!$H:$H,'BAL N VICTOIRE'!$I:$I,$A10,'BAL N VICTOIRE'!$J:$J,"T")</f>
        <v>49662.43</v>
      </c>
      <c r="D10" s="17">
        <f t="shared" ref="D10:D16" si="0">(C10*100)/C$8</f>
        <v>22.066398926575097</v>
      </c>
      <c r="E10" s="16">
        <f>SUMIFS(DONNEESCUM_N1_NOUVEAU[MONTANT],DONNEESCUM_N1_NOUVEAU[TL2],A10,DONNEESCUM_N1_NOUVEAU[MOIS],DONNÉES!$C$5,DONNEESCUM_N1_NOUVEAU[SOCIETE],"VICTOIRE")</f>
        <v>51504.92</v>
      </c>
      <c r="F10" s="17">
        <f t="shared" ref="F10:F16" si="1">(E10*100)/E$8</f>
        <v>20.892450785840101</v>
      </c>
      <c r="G10" s="16">
        <f>+C10-E10</f>
        <v>-1842.489999999998</v>
      </c>
      <c r="H10" s="17">
        <f t="shared" ref="H10:H16" si="2">IF(E10=0,0,G10/E10*100)</f>
        <v>-3.5773087308940541</v>
      </c>
    </row>
    <row r="11" spans="1:8" s="18" customFormat="1" x14ac:dyDescent="0.2">
      <c r="A11" s="13" t="s">
        <v>124</v>
      </c>
      <c r="B11" s="14" t="s">
        <v>4</v>
      </c>
      <c r="C11" s="23">
        <f>SUMIFS('BAL N VICTOIRE'!$H:$H,'BAL N VICTOIRE'!$I:$I,$A11,'BAL N VICTOIRE'!$J:$J,"T")</f>
        <v>1353.01</v>
      </c>
      <c r="D11" s="17">
        <f t="shared" si="0"/>
        <v>0.60117997471419282</v>
      </c>
      <c r="E11" s="16">
        <f>SUMIFS(DONNEESCUM_N1_NOUVEAU[MONTANT],DONNEESCUM_N1_NOUVEAU[TL2],A11,DONNEESCUM_N1_NOUVEAU[MOIS],DONNÉES!$C$5,DONNEESCUM_N1_NOUVEAU[SOCIETE],"VICTOIRE")</f>
        <v>1422.71</v>
      </c>
      <c r="F11" s="17">
        <f t="shared" si="1"/>
        <v>0.57710794730916126</v>
      </c>
      <c r="G11" s="16">
        <f>+C11-E11</f>
        <v>-69.700000000000045</v>
      </c>
      <c r="H11" s="17">
        <f t="shared" si="2"/>
        <v>-4.8991010114499822</v>
      </c>
    </row>
    <row r="12" spans="1:8" s="18" customFormat="1" x14ac:dyDescent="0.2">
      <c r="A12" s="13" t="s">
        <v>125</v>
      </c>
      <c r="B12" s="14" t="s">
        <v>2</v>
      </c>
      <c r="C12" s="23">
        <f>SUMIFS('BAL N VICTOIRE'!$H:$H,'BAL N VICTOIRE'!$I:$I,$A12,'BAL N VICTOIRE'!$J:$J,"T")</f>
        <v>1893.68</v>
      </c>
      <c r="D12" s="17">
        <f t="shared" si="0"/>
        <v>0.8414146935475515</v>
      </c>
      <c r="E12" s="16">
        <f>SUMIFS(DONNEESCUM_N1_NOUVEAU[MONTANT],DONNEESCUM_N1_NOUVEAU[TL2],A12,DONNEESCUM_N1_NOUVEAU[MOIS],DONNÉES!$C$5,DONNEESCUM_N1_NOUVEAU[SOCIETE],"VICTOIRE")</f>
        <v>1576.58</v>
      </c>
      <c r="F12" s="17">
        <f t="shared" si="1"/>
        <v>0.63952375928241001</v>
      </c>
      <c r="G12" s="16">
        <f>+C12-E12</f>
        <v>317.10000000000014</v>
      </c>
      <c r="H12" s="17">
        <f t="shared" si="2"/>
        <v>20.1131563257177</v>
      </c>
    </row>
    <row r="13" spans="1:8" s="59" customFormat="1" ht="13.5" x14ac:dyDescent="0.2">
      <c r="A13" s="60"/>
      <c r="B13" s="62" t="s">
        <v>6</v>
      </c>
      <c r="C13" s="55">
        <f>SUM(C10:C12)</f>
        <v>52909.120000000003</v>
      </c>
      <c r="D13" s="56">
        <f t="shared" si="0"/>
        <v>23.508993594836841</v>
      </c>
      <c r="E13" s="55">
        <f>SUM(E10:E12)</f>
        <v>54504.21</v>
      </c>
      <c r="F13" s="56">
        <f t="shared" si="1"/>
        <v>22.109082492431671</v>
      </c>
      <c r="G13" s="55">
        <f>SUM(G10:G12)</f>
        <v>-1595.0899999999979</v>
      </c>
      <c r="H13" s="56">
        <f t="shared" si="2"/>
        <v>-2.9265445733457982</v>
      </c>
    </row>
    <row r="14" spans="1:8" s="18" customFormat="1" x14ac:dyDescent="0.2">
      <c r="A14" s="13" t="s">
        <v>126</v>
      </c>
      <c r="B14" s="14" t="s">
        <v>8</v>
      </c>
      <c r="C14" s="23">
        <f>SUMIFS('BAL N VICTOIRE'!$H:$H,'BAL N VICTOIRE'!$I:$I,$A14,'BAL N VICTOIRE'!$J:$J,"T")</f>
        <v>4062.77</v>
      </c>
      <c r="D14" s="17">
        <f t="shared" si="0"/>
        <v>1.8052017101644342</v>
      </c>
      <c r="E14" s="16">
        <f>SUMIFS(DONNEESCUM_N1_NOUVEAU[MONTANT],DONNEESCUM_N1_NOUVEAU[TL2],A14,DONNEESCUM_N1_NOUVEAU[MOIS],DONNÉES!$C$5,DONNEESCUM_N1_NOUVEAU[SOCIETE],"VICTOIRE")</f>
        <v>4918.43</v>
      </c>
      <c r="F14" s="17">
        <f t="shared" si="1"/>
        <v>1.9951114712652602</v>
      </c>
      <c r="G14" s="16">
        <f>+C14-E14</f>
        <v>-855.66000000000031</v>
      </c>
      <c r="H14" s="17">
        <f t="shared" si="2"/>
        <v>-17.397014901096494</v>
      </c>
    </row>
    <row r="15" spans="1:8" s="18" customFormat="1" x14ac:dyDescent="0.2">
      <c r="A15" s="13" t="s">
        <v>2964</v>
      </c>
      <c r="B15" s="14" t="s">
        <v>2965</v>
      </c>
      <c r="C15" s="23">
        <f>SUMIFS('BAL N VICTOIRE'!$H:$H,'BAL N VICTOIRE'!$I:$I,$A15,'BAL N VICTOIRE'!$J:$J,"T")</f>
        <v>164.78</v>
      </c>
      <c r="D15" s="17">
        <f t="shared" si="0"/>
        <v>7.3216337080586752E-2</v>
      </c>
      <c r="E15" s="16">
        <f>SUMIFS(DONNEESCUM_N1_NOUVEAU[MONTANT],DONNEESCUM_N1_NOUVEAU[TL2],A15,DONNEESCUM_N1_NOUVEAU[MOIS],DONNÉES!$C$5,DONNEESCUM_N1_NOUVEAU[SOCIETE],"VICTOIRE")</f>
        <v>-82.49</v>
      </c>
      <c r="F15" s="17">
        <f t="shared" si="1"/>
        <v>-3.3461235651350389E-2</v>
      </c>
      <c r="G15" s="16">
        <f>+C15-E15</f>
        <v>247.26999999999998</v>
      </c>
      <c r="H15" s="17">
        <f t="shared" si="2"/>
        <v>-299.75754636925689</v>
      </c>
    </row>
    <row r="16" spans="1:8" ht="13.5" thickBot="1" x14ac:dyDescent="0.25">
      <c r="A16" s="7"/>
      <c r="B16" s="63" t="s">
        <v>10</v>
      </c>
      <c r="C16" s="49">
        <f>+C13+SUM(C14:C15)</f>
        <v>57136.670000000006</v>
      </c>
      <c r="D16" s="50">
        <f t="shared" si="0"/>
        <v>25.387411642081865</v>
      </c>
      <c r="E16" s="49">
        <f>+E13+SUM(E14:E15)</f>
        <v>59340.15</v>
      </c>
      <c r="F16" s="50">
        <f t="shared" si="1"/>
        <v>24.070732728045581</v>
      </c>
      <c r="G16" s="49">
        <f>+G13+SUM(G14:G15)</f>
        <v>-2203.4799999999982</v>
      </c>
      <c r="H16" s="50">
        <f t="shared" si="2"/>
        <v>-3.713303724375483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167922.38999999998</v>
      </c>
      <c r="D18" s="71">
        <f>(C18*100)/C$8</f>
        <v>74.612588357918142</v>
      </c>
      <c r="E18" s="70">
        <f>E8-E16</f>
        <v>187183.92</v>
      </c>
      <c r="F18" s="71">
        <f>(E18*100)/E$8</f>
        <v>75.929267271954416</v>
      </c>
      <c r="G18" s="70">
        <f>G8-G16</f>
        <v>-19261.53000000001</v>
      </c>
      <c r="H18" s="71">
        <f>IF(E18=0,0,G18/E18*100)</f>
        <v>-10.290162744748592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VICTOIRE'!$H:$H,'BAL N VICTOIRE'!$I:$I,$A20,'BAL N VICTOIRE'!$J:$J,"T")</f>
        <v>27614.92</v>
      </c>
      <c r="D20" s="17">
        <f t="shared" ref="D20:D26" si="3">(C20*100)/C$8</f>
        <v>12.270077018894508</v>
      </c>
      <c r="E20" s="16">
        <f>SUMIFS(DONNEESCUM_N1_NOUVEAU[MONTANT],DONNEESCUM_N1_NOUVEAU[TL2],A20,DONNEESCUM_N1_NOUVEAU[MOIS],DONNÉES!$C$5,DONNEESCUM_N1_NOUVEAU[SOCIETE],"VICTOIRE")</f>
        <v>35682.36</v>
      </c>
      <c r="F20" s="17">
        <f t="shared" ref="F20:F26" si="4">(E20*100)/E$8</f>
        <v>14.474189072085334</v>
      </c>
      <c r="G20" s="16">
        <f t="shared" ref="G20:G25" si="5">+C20-E20</f>
        <v>-8067.4400000000023</v>
      </c>
      <c r="H20" s="17">
        <f t="shared" ref="H20:H26" si="6">IF(E20=0,0,G20/E20*100)</f>
        <v>-22.609042675428427</v>
      </c>
    </row>
    <row r="21" spans="1:8" s="18" customFormat="1" x14ac:dyDescent="0.2">
      <c r="A21" s="13">
        <v>9</v>
      </c>
      <c r="B21" s="14" t="s">
        <v>2968</v>
      </c>
      <c r="C21" s="23">
        <f>SUMIFS('BAL N VICTOIRE'!$H:$H,'BAL N VICTOIRE'!$I:$I,$A21,'BAL N VICTOIRE'!$J:$J,"T")</f>
        <v>3379.71</v>
      </c>
      <c r="D21" s="17">
        <f t="shared" si="3"/>
        <v>1.5016991539909568</v>
      </c>
      <c r="E21" s="16">
        <f>SUMIFS(DONNEESCUM_N1_NOUVEAU[MONTANT],DONNEESCUM_N1_NOUVEAU[TL2],A21,DONNEESCUM_N1_NOUVEAU[MOIS],DONNÉES!$C$5,DONNEESCUM_N1_NOUVEAU[SOCIETE],"VICTOIRE")</f>
        <v>3798.85</v>
      </c>
      <c r="F21" s="17">
        <f t="shared" si="4"/>
        <v>1.5409651479468109</v>
      </c>
      <c r="G21" s="16">
        <f t="shared" si="5"/>
        <v>-419.13999999999987</v>
      </c>
      <c r="H21" s="17">
        <f t="shared" si="6"/>
        <v>-11.03333903681377</v>
      </c>
    </row>
    <row r="22" spans="1:8" s="18" customFormat="1" x14ac:dyDescent="0.2">
      <c r="A22" s="13" t="s">
        <v>12</v>
      </c>
      <c r="B22" s="14" t="s">
        <v>14</v>
      </c>
      <c r="C22" s="23">
        <f>SUMIFS('BAL N VICTOIRE'!$H:$H,'BAL N VICTOIRE'!$I:$I,$A22,'BAL N VICTOIRE'!$J:$J,"T")</f>
        <v>18309.689999999999</v>
      </c>
      <c r="D22" s="17">
        <f t="shared" si="3"/>
        <v>8.1355045204578733</v>
      </c>
      <c r="E22" s="16">
        <f>SUMIFS(DONNEESCUM_N1_NOUVEAU[MONTANT],DONNEESCUM_N1_NOUVEAU[TL2],A22,DONNEESCUM_N1_NOUVEAU[MOIS],DONNÉES!$C$5,DONNEESCUM_N1_NOUVEAU[SOCIETE],"VICTOIRE")</f>
        <v>21454.04</v>
      </c>
      <c r="F22" s="17">
        <f t="shared" si="4"/>
        <v>8.7026147183112794</v>
      </c>
      <c r="G22" s="16">
        <f t="shared" si="5"/>
        <v>-3144.3500000000022</v>
      </c>
      <c r="H22" s="17">
        <f t="shared" si="6"/>
        <v>-14.656213934531687</v>
      </c>
    </row>
    <row r="23" spans="1:8" s="18" customFormat="1" x14ac:dyDescent="0.2">
      <c r="A23" s="13" t="s">
        <v>13</v>
      </c>
      <c r="B23" s="14" t="s">
        <v>2966</v>
      </c>
      <c r="C23" s="23">
        <f>SUMIFS('BAL N VICTOIRE'!$H:$H,'BAL N VICTOIRE'!$I:$I,$A23,'BAL N VICTOIRE'!$J:$J,"T")</f>
        <v>4405.8599999999997</v>
      </c>
      <c r="D23" s="17">
        <f t="shared" si="3"/>
        <v>1.957646139639968</v>
      </c>
      <c r="E23" s="16">
        <f>SUMIFS(DONNEESCUM_N1_NOUVEAU[MONTANT],DONNEESCUM_N1_NOUVEAU[TL2],A23,DONNEESCUM_N1_NOUVEAU[MOIS],DONNÉES!$C$5,DONNEESCUM_N1_NOUVEAU[SOCIETE],"VICTOIRE")</f>
        <v>5237.3500000000004</v>
      </c>
      <c r="F23" s="17">
        <f t="shared" si="4"/>
        <v>2.1244781493344647</v>
      </c>
      <c r="G23" s="16">
        <f t="shared" si="5"/>
        <v>-831.49000000000069</v>
      </c>
      <c r="H23" s="17">
        <f t="shared" si="6"/>
        <v>-15.876158744403194</v>
      </c>
    </row>
    <row r="24" spans="1:8" s="18" customFormat="1" x14ac:dyDescent="0.2">
      <c r="A24" s="13" t="s">
        <v>15</v>
      </c>
      <c r="B24" s="14" t="s">
        <v>2969</v>
      </c>
      <c r="C24" s="23">
        <f>SUMIFS('BAL N VICTOIRE'!$H:$H,'BAL N VICTOIRE'!$I:$I,$A24,'BAL N VICTOIRE'!$J:$J,"T")</f>
        <v>-500</v>
      </c>
      <c r="D24" s="17">
        <f t="shared" si="3"/>
        <v>-0.22216390666521046</v>
      </c>
      <c r="E24" s="16">
        <f>SUMIFS(DONNEESCUM_N1_NOUVEAU[MONTANT],DONNEESCUM_N1_NOUVEAU[TL2],A24,DONNEESCUM_N1_NOUVEAU[MOIS],DONNÉES!$C$5,DONNEESCUM_N1_NOUVEAU[SOCIETE],"VICTOIRE")</f>
        <v>0</v>
      </c>
      <c r="F24" s="17">
        <f t="shared" si="4"/>
        <v>0</v>
      </c>
      <c r="G24" s="16">
        <f t="shared" si="5"/>
        <v>-500</v>
      </c>
      <c r="H24" s="17">
        <f t="shared" si="6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VICTOIRE'!$H:$H,'BAL N VICTOIRE'!$I:$I,$A25,'BAL N VICTOIRE'!$J:$J,"T")</f>
        <v>0</v>
      </c>
      <c r="D25" s="17">
        <f t="shared" si="3"/>
        <v>0</v>
      </c>
      <c r="E25" s="16">
        <f>SUMIFS(DONNEESCUM_N1_NOUVEAU[MONTANT],DONNEESCUM_N1_NOUVEAU[TL2],A25,DONNEESCUM_N1_NOUVEAU[MOIS],DONNÉES!$C$5,DONNEESCUM_N1_NOUVEAU[SOCIETE],"VICTOIRE")</f>
        <v>0</v>
      </c>
      <c r="F25" s="17">
        <f t="shared" si="4"/>
        <v>0</v>
      </c>
      <c r="G25" s="16">
        <f t="shared" si="5"/>
        <v>0</v>
      </c>
      <c r="H25" s="17">
        <f t="shared" si="6"/>
        <v>0</v>
      </c>
    </row>
    <row r="26" spans="1:8" ht="13.5" thickBot="1" x14ac:dyDescent="0.25">
      <c r="A26" s="7"/>
      <c r="B26" s="63" t="s">
        <v>2971</v>
      </c>
      <c r="C26" s="49">
        <f>SUM(C20:C25)</f>
        <v>53210.179999999993</v>
      </c>
      <c r="D26" s="50">
        <f t="shared" si="3"/>
        <v>23.642762926318092</v>
      </c>
      <c r="E26" s="51">
        <f>SUM(E20:E25)</f>
        <v>66172.600000000006</v>
      </c>
      <c r="F26" s="50">
        <f t="shared" si="4"/>
        <v>26.84224708767789</v>
      </c>
      <c r="G26" s="51">
        <f>SUM(G20:G25)</f>
        <v>-12962.420000000006</v>
      </c>
      <c r="H26" s="50">
        <f t="shared" si="6"/>
        <v>-19.58880261618858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VICTOIRE'!$H:$H,'BAL N VICTOIRE'!$I:$I,$A28,'BAL N VICTOIRE'!$J:$J,"T")</f>
        <v>9540</v>
      </c>
      <c r="D28" s="17">
        <f t="shared" ref="D28:D33" si="7">(C28*100)/C$8</f>
        <v>4.2388873391722157</v>
      </c>
      <c r="E28" s="16">
        <f>SUMIFS(DONNEESCUM_N1_NOUVEAU[MONTANT],DONNEESCUM_N1_NOUVEAU[TL2],A28,DONNEESCUM_N1_NOUVEAU[MOIS],DONNÉES!$C$5,DONNEESCUM_N1_NOUVEAU[SOCIETE],"VICTOIRE")</f>
        <v>0</v>
      </c>
      <c r="F28" s="17">
        <f t="shared" ref="F28:F33" si="8">(E28*100)/E$8</f>
        <v>0</v>
      </c>
      <c r="G28" s="16">
        <f>+C28-E28</f>
        <v>9540</v>
      </c>
      <c r="H28" s="17">
        <f t="shared" ref="H28:H33" si="9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VICTOIRE'!$H:$H,'BAL N VICTOIRE'!$I:$I,$A29,'BAL N VICTOIRE'!$J:$J,"T")</f>
        <v>58.23</v>
      </c>
      <c r="D29" s="17">
        <f t="shared" si="7"/>
        <v>2.587320857023041E-2</v>
      </c>
      <c r="E29" s="16">
        <f>SUMIFS(DONNEESCUM_N1_NOUVEAU[MONTANT],DONNEESCUM_N1_NOUVEAU[TL2],A29,DONNEESCUM_N1_NOUVEAU[MOIS],DONNÉES!$C$5,DONNEESCUM_N1_NOUVEAU[SOCIETE],"VICTOIRE")</f>
        <v>57</v>
      </c>
      <c r="F29" s="17">
        <f t="shared" si="8"/>
        <v>2.3121474507539971E-2</v>
      </c>
      <c r="G29" s="16">
        <f>+C29-E29</f>
        <v>1.2299999999999969</v>
      </c>
      <c r="H29" s="17">
        <f t="shared" si="9"/>
        <v>2.1578947368420995</v>
      </c>
    </row>
    <row r="30" spans="1:8" s="18" customFormat="1" x14ac:dyDescent="0.2">
      <c r="A30" s="13" t="s">
        <v>21</v>
      </c>
      <c r="B30" s="14" t="s">
        <v>2973</v>
      </c>
      <c r="C30" s="23">
        <f>SUMIFS('BAL N VICTOIRE'!$H:$H,'BAL N VICTOIRE'!$I:$I,$A30,'BAL N VICTOIRE'!$J:$J,"T")</f>
        <v>1677.22</v>
      </c>
      <c r="D30" s="17">
        <f t="shared" si="7"/>
        <v>0.74523549507404863</v>
      </c>
      <c r="E30" s="16">
        <f>SUMIFS(DONNEESCUM_N1_NOUVEAU[MONTANT],DONNEESCUM_N1_NOUVEAU[TL2],A30,DONNEESCUM_N1_NOUVEAU[MOIS],DONNÉES!$C$5,DONNEESCUM_N1_NOUVEAU[SOCIETE],"VICTOIRE")</f>
        <v>2042.52</v>
      </c>
      <c r="F30" s="17">
        <f t="shared" si="8"/>
        <v>0.82852761598492186</v>
      </c>
      <c r="G30" s="16">
        <f>+C30-E30</f>
        <v>-365.29999999999995</v>
      </c>
      <c r="H30" s="17">
        <f t="shared" si="9"/>
        <v>-17.884769794175821</v>
      </c>
    </row>
    <row r="31" spans="1:8" s="18" customFormat="1" x14ac:dyDescent="0.2">
      <c r="A31" s="13" t="s">
        <v>23</v>
      </c>
      <c r="B31" s="14" t="s">
        <v>2974</v>
      </c>
      <c r="C31" s="23">
        <f>SUMIFS('BAL N VICTOIRE'!$H:$H,'BAL N VICTOIRE'!$I:$I,$A31,'BAL N VICTOIRE'!$J:$J,"T")</f>
        <v>2890.53</v>
      </c>
      <c r="D31" s="17">
        <f t="shared" si="7"/>
        <v>1.2843428742659815</v>
      </c>
      <c r="E31" s="16">
        <f>SUMIFS(DONNEESCUM_N1_NOUVEAU[MONTANT],DONNEESCUM_N1_NOUVEAU[TL2],A31,DONNEESCUM_N1_NOUVEAU[MOIS],DONNÉES!$C$5,DONNEESCUM_N1_NOUVEAU[SOCIETE],"VICTOIRE")</f>
        <v>3331.04</v>
      </c>
      <c r="F31" s="17">
        <f t="shared" si="8"/>
        <v>1.3512027446244903</v>
      </c>
      <c r="G31" s="16">
        <f>+C31-E31</f>
        <v>-440.50999999999976</v>
      </c>
      <c r="H31" s="17">
        <f t="shared" si="9"/>
        <v>-13.224398386089623</v>
      </c>
    </row>
    <row r="32" spans="1:8" s="18" customFormat="1" x14ac:dyDescent="0.2">
      <c r="A32" s="13" t="s">
        <v>25</v>
      </c>
      <c r="B32" s="14" t="s">
        <v>2975</v>
      </c>
      <c r="C32" s="23">
        <f>SUMIFS('BAL N VICTOIRE'!$H:$H,'BAL N VICTOIRE'!$I:$I,$A32,'BAL N VICTOIRE'!$J:$J,"T")</f>
        <v>4651.0200000000004</v>
      </c>
      <c r="D32" s="17">
        <f t="shared" si="7"/>
        <v>2.0665775463560547</v>
      </c>
      <c r="E32" s="16">
        <f>SUMIFS(DONNEESCUM_N1_NOUVEAU[MONTANT],DONNEESCUM_N1_NOUVEAU[TL2],A32,DONNEESCUM_N1_NOUVEAU[MOIS],DONNÉES!$C$5,DONNEESCUM_N1_NOUVEAU[SOCIETE],"VICTOIRE")</f>
        <v>8689.08</v>
      </c>
      <c r="F32" s="17">
        <f t="shared" si="8"/>
        <v>3.5246375739293936</v>
      </c>
      <c r="G32" s="16">
        <f>+C32-E32</f>
        <v>-4038.0599999999995</v>
      </c>
      <c r="H32" s="17">
        <f t="shared" si="9"/>
        <v>-46.472814152936785</v>
      </c>
    </row>
    <row r="33" spans="1:8" ht="13.5" thickBot="1" x14ac:dyDescent="0.25">
      <c r="A33" s="7"/>
      <c r="B33" s="63" t="s">
        <v>2976</v>
      </c>
      <c r="C33" s="49">
        <f>SUM(C28:C32)</f>
        <v>18817</v>
      </c>
      <c r="D33" s="50">
        <f t="shared" si="7"/>
        <v>8.3609164634385298</v>
      </c>
      <c r="E33" s="51">
        <f>SUM(E28:E32)</f>
        <v>14119.64</v>
      </c>
      <c r="F33" s="50">
        <f t="shared" si="8"/>
        <v>5.7274894090463455</v>
      </c>
      <c r="G33" s="51">
        <f>SUM(G28:G32)</f>
        <v>4697.3600000000006</v>
      </c>
      <c r="H33" s="50">
        <f t="shared" si="9"/>
        <v>33.268270295843244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VICTOIRE'!$H:$H,'BAL N VICTOIRE'!$I:$I,$A35,'BAL N VICTOIRE'!$J:$J,"T")</f>
        <v>0</v>
      </c>
      <c r="D35" s="17">
        <f t="shared" ref="D35:D42" si="10">(C35*100)/C$8</f>
        <v>0</v>
      </c>
      <c r="E35" s="16">
        <f>SUMIFS(DONNEESCUM_N1_NOUVEAU[MONTANT],DONNEESCUM_N1_NOUVEAU[TL2],A35,DONNEESCUM_N1_NOUVEAU[MOIS],DONNÉES!$C$5,DONNEESCUM_N1_NOUVEAU[SOCIETE],"VICTOIRE")</f>
        <v>0</v>
      </c>
      <c r="F35" s="17">
        <f t="shared" ref="F35:F42" si="11">(E35*100)/E$8</f>
        <v>0</v>
      </c>
      <c r="G35" s="16">
        <f t="shared" ref="G35:G41" si="12">+C35-E35</f>
        <v>0</v>
      </c>
      <c r="H35" s="17">
        <f t="shared" ref="H35:H42" si="13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VICTOIRE'!$H:$H,'BAL N VICTOIRE'!$I:$I,$A36,'BAL N VICTOIRE'!$J:$J,"T")</f>
        <v>9030.2999999999993</v>
      </c>
      <c r="D36" s="17">
        <f t="shared" si="10"/>
        <v>4.0124134527176993</v>
      </c>
      <c r="E36" s="16">
        <f>SUMIFS(DONNEESCUM_N1_NOUVEAU[MONTANT],DONNEESCUM_N1_NOUVEAU[TL2],A36,DONNEESCUM_N1_NOUVEAU[MOIS],DONNÉES!$C$5,DONNEESCUM_N1_NOUVEAU[SOCIETE],"VICTOIRE")</f>
        <v>9870.25</v>
      </c>
      <c r="F36" s="17">
        <f t="shared" si="11"/>
        <v>4.0037672589130953</v>
      </c>
      <c r="G36" s="16">
        <f t="shared" si="12"/>
        <v>-839.95000000000073</v>
      </c>
      <c r="H36" s="17">
        <f t="shared" si="13"/>
        <v>-8.5099161622046111</v>
      </c>
    </row>
    <row r="37" spans="1:8" s="18" customFormat="1" x14ac:dyDescent="0.2">
      <c r="A37" s="13" t="s">
        <v>32</v>
      </c>
      <c r="B37" s="14" t="s">
        <v>19</v>
      </c>
      <c r="C37" s="23">
        <f>SUMIFS('BAL N VICTOIRE'!$H:$H,'BAL N VICTOIRE'!$I:$I,$A37,'BAL N VICTOIRE'!$J:$J,"T")</f>
        <v>5162.43</v>
      </c>
      <c r="D37" s="17">
        <f t="shared" si="10"/>
        <v>2.2938112333713647</v>
      </c>
      <c r="E37" s="16">
        <f>SUMIFS(DONNEESCUM_N1_NOUVEAU[MONTANT],DONNEESCUM_N1_NOUVEAU[TL2],A37,DONNEESCUM_N1_NOUVEAU[MOIS],DONNÉES!$C$5,DONNEESCUM_N1_NOUVEAU[SOCIETE],"VICTOIRE")</f>
        <v>5333.37</v>
      </c>
      <c r="F37" s="17">
        <f t="shared" si="11"/>
        <v>2.1634276928820784</v>
      </c>
      <c r="G37" s="16">
        <f t="shared" si="12"/>
        <v>-170.9399999999996</v>
      </c>
      <c r="H37" s="17">
        <f t="shared" si="13"/>
        <v>-3.2051029649171086</v>
      </c>
    </row>
    <row r="38" spans="1:8" s="18" customFormat="1" x14ac:dyDescent="0.2">
      <c r="A38" s="13" t="s">
        <v>34</v>
      </c>
      <c r="B38" s="14" t="s">
        <v>28</v>
      </c>
      <c r="C38" s="23">
        <f>SUMIFS('BAL N VICTOIRE'!$H:$H,'BAL N VICTOIRE'!$I:$I,$A38,'BAL N VICTOIRE'!$J:$J,"T")</f>
        <v>8650.75</v>
      </c>
      <c r="D38" s="17">
        <f t="shared" si="10"/>
        <v>3.8437688311681386</v>
      </c>
      <c r="E38" s="16">
        <f>SUMIFS(DONNEESCUM_N1_NOUVEAU[MONTANT],DONNEESCUM_N1_NOUVEAU[TL2],A38,DONNEESCUM_N1_NOUVEAU[MOIS],DONNÉES!$C$5,DONNEESCUM_N1_NOUVEAU[SOCIETE],"VICTOIRE")</f>
        <v>9078.49</v>
      </c>
      <c r="F38" s="17">
        <f t="shared" si="11"/>
        <v>3.6825978088062556</v>
      </c>
      <c r="G38" s="16">
        <f t="shared" si="12"/>
        <v>-427.73999999999978</v>
      </c>
      <c r="H38" s="17">
        <f t="shared" si="13"/>
        <v>-4.7115764846356587</v>
      </c>
    </row>
    <row r="39" spans="1:8" s="18" customFormat="1" x14ac:dyDescent="0.2">
      <c r="A39" s="13" t="s">
        <v>2978</v>
      </c>
      <c r="B39" s="14" t="s">
        <v>2980</v>
      </c>
      <c r="C39" s="23">
        <f>SUMIFS('BAL N VICTOIRE'!$H:$H,'BAL N VICTOIRE'!$I:$I,$A39,'BAL N VICTOIRE'!$J:$J,"T")</f>
        <v>2492.2199999999998</v>
      </c>
      <c r="D39" s="17">
        <f t="shared" si="10"/>
        <v>1.1073626629383415</v>
      </c>
      <c r="E39" s="16">
        <f>SUMIFS(DONNEESCUM_N1_NOUVEAU[MONTANT],DONNEESCUM_N1_NOUVEAU[TL2],A39,DONNEESCUM_N1_NOUVEAU[MOIS],DONNÉES!$C$5,DONNEESCUM_N1_NOUVEAU[SOCIETE],"VICTOIRE")</f>
        <v>2315.11</v>
      </c>
      <c r="F39" s="17">
        <f t="shared" si="11"/>
        <v>0.93910099731843621</v>
      </c>
      <c r="G39" s="16">
        <f t="shared" si="12"/>
        <v>177.10999999999967</v>
      </c>
      <c r="H39" s="17">
        <f t="shared" si="13"/>
        <v>7.6501764494991447</v>
      </c>
    </row>
    <row r="40" spans="1:8" s="18" customFormat="1" x14ac:dyDescent="0.2">
      <c r="A40" s="13" t="s">
        <v>2979</v>
      </c>
      <c r="B40" s="14" t="s">
        <v>2981</v>
      </c>
      <c r="C40" s="23">
        <f>SUMIFS('BAL N VICTOIRE'!$H:$H,'BAL N VICTOIRE'!$I:$I,$A40,'BAL N VICTOIRE'!$J:$J,"T")</f>
        <v>268.02999999999997</v>
      </c>
      <c r="D40" s="17">
        <f t="shared" si="10"/>
        <v>0.1190931838069527</v>
      </c>
      <c r="E40" s="16">
        <f>SUMIFS(DONNEESCUM_N1_NOUVEAU[MONTANT],DONNEESCUM_N1_NOUVEAU[TL2],A40,DONNEESCUM_N1_NOUVEAU[MOIS],DONNÉES!$C$5,DONNEESCUM_N1_NOUVEAU[SOCIETE],"VICTOIRE")</f>
        <v>221.43</v>
      </c>
      <c r="F40" s="17">
        <f t="shared" si="11"/>
        <v>8.9820843863238173E-2</v>
      </c>
      <c r="G40" s="16">
        <f t="shared" si="12"/>
        <v>46.599999999999966</v>
      </c>
      <c r="H40" s="17">
        <f t="shared" si="13"/>
        <v>21.045025515964397</v>
      </c>
    </row>
    <row r="41" spans="1:8" s="18" customFormat="1" x14ac:dyDescent="0.2">
      <c r="A41" s="13" t="s">
        <v>2982</v>
      </c>
      <c r="B41" s="14" t="s">
        <v>2983</v>
      </c>
      <c r="C41" s="23">
        <f>SUMIFS('BAL N VICTOIRE'!$H:$H,'BAL N VICTOIRE'!$I:$I,$A41,'BAL N VICTOIRE'!$J:$J,"T")</f>
        <v>173.12</v>
      </c>
      <c r="D41" s="17">
        <f t="shared" si="10"/>
        <v>7.6922031043762468E-2</v>
      </c>
      <c r="E41" s="16">
        <f>SUMIFS(DONNEESCUM_N1_NOUVEAU[MONTANT],DONNEESCUM_N1_NOUVEAU[TL2],A41,DONNEESCUM_N1_NOUVEAU[MOIS],DONNÉES!$C$5,DONNEESCUM_N1_NOUVEAU[SOCIETE],"VICTOIRE")</f>
        <v>1222.55</v>
      </c>
      <c r="F41" s="17">
        <f t="shared" si="11"/>
        <v>0.49591506419636833</v>
      </c>
      <c r="G41" s="16">
        <f t="shared" si="12"/>
        <v>-1049.4299999999998</v>
      </c>
      <c r="H41" s="17">
        <f t="shared" si="13"/>
        <v>-85.839433969980774</v>
      </c>
    </row>
    <row r="42" spans="1:8" ht="13.5" thickBot="1" x14ac:dyDescent="0.25">
      <c r="A42" s="13"/>
      <c r="B42" s="63" t="s">
        <v>2984</v>
      </c>
      <c r="C42" s="49">
        <f>+SUM(C35:C41)</f>
        <v>25776.85</v>
      </c>
      <c r="D42" s="50">
        <f t="shared" si="10"/>
        <v>11.453371395046261</v>
      </c>
      <c r="E42" s="51">
        <f>+SUM(E35:E41)</f>
        <v>28041.200000000001</v>
      </c>
      <c r="F42" s="50">
        <f t="shared" si="11"/>
        <v>11.374629665979471</v>
      </c>
      <c r="G42" s="51">
        <f>+SUM(G35:G41)</f>
        <v>-2264.3500000000004</v>
      </c>
      <c r="H42" s="50">
        <f t="shared" si="13"/>
        <v>-8.0750823787855026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70118.359999999986</v>
      </c>
      <c r="D44" s="71">
        <f>(C44*100)/C$8</f>
        <v>31.155537573115243</v>
      </c>
      <c r="E44" s="72">
        <f>E18-E26-E33-E42</f>
        <v>78850.48000000001</v>
      </c>
      <c r="F44" s="71">
        <f>(E44*100)/E$8</f>
        <v>31.984901109250714</v>
      </c>
      <c r="G44" s="72">
        <f>G18-G26-G33-G42</f>
        <v>-8732.1200000000044</v>
      </c>
      <c r="H44" s="71">
        <f>IF(E44=0,0,G44/E44*100)</f>
        <v>-11.074276275807076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VICTOIRE'!$H:$H,'BAL N VICTOIRE'!$I:$I,$A46,'BAL N VICTOIRE'!$J:$J,"T")</f>
        <v>28522.12</v>
      </c>
      <c r="D46" s="17">
        <f t="shared" ref="D46:D49" si="14">(C46*100)/C$8</f>
        <v>12.673171211147865</v>
      </c>
      <c r="E46" s="16">
        <f>SUMIFS(DONNEESCUM_N1_NOUVEAU[MONTANT],DONNEESCUM_N1_NOUVEAU[TL2],A46,DONNEESCUM_N1_NOUVEAU[MOIS],DONNÉES!$C$5,DONNEESCUM_N1_NOUVEAU[SOCIETE],"VICTOIRE")</f>
        <v>31131.42</v>
      </c>
      <c r="F46" s="17">
        <f t="shared" ref="F46:F49" si="15">(E46*100)/E$8</f>
        <v>12.628146209009124</v>
      </c>
      <c r="G46" s="16">
        <f>+C46-E46</f>
        <v>-2609.2999999999993</v>
      </c>
      <c r="H46" s="17">
        <f>IF(E46=0,0,G46/E46*100)</f>
        <v>-8.3815643488154379</v>
      </c>
    </row>
    <row r="47" spans="1:8" s="18" customFormat="1" x14ac:dyDescent="0.2">
      <c r="A47" s="13" t="s">
        <v>35</v>
      </c>
      <c r="B47" s="14" t="s">
        <v>2986</v>
      </c>
      <c r="C47" s="23">
        <f>SUMIFS('BAL N VICTOIRE'!$H:$H,'BAL N VICTOIRE'!$I:$I,$A47,'BAL N VICTOIRE'!$J:$J,"T")</f>
        <v>0</v>
      </c>
      <c r="D47" s="17">
        <f t="shared" si="14"/>
        <v>0</v>
      </c>
      <c r="E47" s="16">
        <f>SUMIFS(DONNEESCUM_N1_NOUVEAU[MONTANT],DONNEESCUM_N1_NOUVEAU[TL2],A47,DONNEESCUM_N1_NOUVEAU[MOIS],DONNÉES!$C$5,DONNEESCUM_N1_NOUVEAU[SOCIETE],"VICTOIRE")</f>
        <v>0</v>
      </c>
      <c r="F47" s="17">
        <f t="shared" si="15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VICTOIRE'!$H:$H,'BAL N VICTOIRE'!$I:$I,$A48,'BAL N VICTOIRE'!$J:$J,"T")</f>
        <v>-423.42</v>
      </c>
      <c r="D48" s="17">
        <f t="shared" si="14"/>
        <v>-0.18813728272036684</v>
      </c>
      <c r="E48" s="16">
        <f>SUMIFS(DONNEESCUM_N1_NOUVEAU[MONTANT],DONNEESCUM_N1_NOUVEAU[TL2],A48,DONNEESCUM_N1_NOUVEAU[MOIS],DONNÉES!$C$5,DONNEESCUM_N1_NOUVEAU[SOCIETE],"VICTOIRE")</f>
        <v>-401.63</v>
      </c>
      <c r="F48" s="17">
        <f t="shared" si="15"/>
        <v>-0.16291715449935579</v>
      </c>
      <c r="G48" s="16">
        <f>+C48-E48</f>
        <v>-21.79000000000002</v>
      </c>
      <c r="H48" s="17">
        <f>IF(E48=0,0,G48/E48*100)</f>
        <v>5.4253915295172224</v>
      </c>
    </row>
    <row r="49" spans="1:8" ht="13.5" thickBot="1" x14ac:dyDescent="0.25">
      <c r="A49" s="13"/>
      <c r="B49" s="63" t="s">
        <v>2988</v>
      </c>
      <c r="C49" s="49">
        <f>SUM(C46:C48)</f>
        <v>28098.7</v>
      </c>
      <c r="D49" s="50">
        <f t="shared" si="14"/>
        <v>12.485033928427498</v>
      </c>
      <c r="E49" s="51">
        <f>SUM(E46:E48)</f>
        <v>30729.789999999997</v>
      </c>
      <c r="F49" s="50">
        <f t="shared" si="15"/>
        <v>12.465229054509766</v>
      </c>
      <c r="G49" s="51">
        <f>SUM(G46:G48)</f>
        <v>-2631.0899999999992</v>
      </c>
      <c r="H49" s="50">
        <f>IF(E49=0,0,G49/E49*100)</f>
        <v>-8.5620175080923087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VICTOIRE'!$H:$H,'BAL N VICTOIRE'!$I:$I,$A51,'BAL N VICTOIRE'!$J:$J,"T")</f>
        <v>0</v>
      </c>
      <c r="D51" s="17">
        <f t="shared" ref="D51:D59" si="16">(C51*100)/C$8</f>
        <v>0</v>
      </c>
      <c r="E51" s="16">
        <f>SUMIFS(DONNEESCUM_N1_NOUVEAU[MONTANT],DONNEESCUM_N1_NOUVEAU[TL2],A51,DONNEESCUM_N1_NOUVEAU[MOIS],DONNÉES!$C$5,DONNEESCUM_N1_NOUVEAU[SOCIETE],"VICTOIRE")</f>
        <v>301.08</v>
      </c>
      <c r="F51" s="17">
        <f t="shared" ref="F51:F59" si="17">(E51*100)/E$8</f>
        <v>0.12213006218824798</v>
      </c>
      <c r="G51" s="16">
        <f t="shared" ref="G51:G58" si="18">+C51-E51</f>
        <v>-301.08</v>
      </c>
      <c r="H51" s="17">
        <f t="shared" ref="H51:H59" si="19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VICTOIRE'!$H:$H,'BAL N VICTOIRE'!$I:$I,$A52,'BAL N VICTOIRE'!$J:$J,"T")</f>
        <v>11408.85</v>
      </c>
      <c r="D52" s="17">
        <f t="shared" si="16"/>
        <v>5.0692693731147731</v>
      </c>
      <c r="E52" s="16">
        <f>SUMIFS(DONNEESCUM_N1_NOUVEAU[MONTANT],DONNEESCUM_N1_NOUVEAU[TL2],A52,DONNEESCUM_N1_NOUVEAU[MOIS],DONNÉES!$C$5,DONNEESCUM_N1_NOUVEAU[SOCIETE],"VICTOIRE")</f>
        <v>12452.57</v>
      </c>
      <c r="F52" s="17">
        <f t="shared" si="17"/>
        <v>5.0512592948834572</v>
      </c>
      <c r="G52" s="16">
        <f t="shared" si="18"/>
        <v>-1043.7199999999993</v>
      </c>
      <c r="H52" s="17">
        <f t="shared" si="19"/>
        <v>-8.3815630026572769</v>
      </c>
    </row>
    <row r="53" spans="1:8" s="18" customFormat="1" x14ac:dyDescent="0.2">
      <c r="A53" s="13" t="s">
        <v>44</v>
      </c>
      <c r="B53" s="14" t="s">
        <v>62</v>
      </c>
      <c r="C53" s="23">
        <f>SUMIFS('BAL N VICTOIRE'!$H:$H,'BAL N VICTOIRE'!$I:$I,$A53,'BAL N VICTOIRE'!$J:$J,"T")</f>
        <v>1588</v>
      </c>
      <c r="D53" s="17">
        <f t="shared" si="16"/>
        <v>0.70559256756870836</v>
      </c>
      <c r="E53" s="16">
        <f>SUMIFS(DONNEESCUM_N1_NOUVEAU[MONTANT],DONNEESCUM_N1_NOUVEAU[TL2],A53,DONNEESCUM_N1_NOUVEAU[MOIS],DONNÉES!$C$5,DONNEESCUM_N1_NOUVEAU[SOCIETE],"VICTOIRE")</f>
        <v>1302</v>
      </c>
      <c r="F53" s="17">
        <f t="shared" si="17"/>
        <v>0.52814315454064986</v>
      </c>
      <c r="G53" s="16">
        <f t="shared" si="18"/>
        <v>286</v>
      </c>
      <c r="H53" s="17">
        <f t="shared" si="19"/>
        <v>21.966205837173579</v>
      </c>
    </row>
    <row r="54" spans="1:8" s="18" customFormat="1" x14ac:dyDescent="0.2">
      <c r="A54" s="13" t="s">
        <v>45</v>
      </c>
      <c r="B54" s="14" t="s">
        <v>41</v>
      </c>
      <c r="C54" s="23">
        <f>SUMIFS('BAL N VICTOIRE'!$H:$H,'BAL N VICTOIRE'!$I:$I,$A54,'BAL N VICTOIRE'!$J:$J,"T")</f>
        <v>1380.05</v>
      </c>
      <c r="D54" s="17">
        <f t="shared" si="16"/>
        <v>0.61319459878664739</v>
      </c>
      <c r="E54" s="16">
        <f>SUMIFS(DONNEESCUM_N1_NOUVEAU[MONTANT],DONNEESCUM_N1_NOUVEAU[TL2],A54,DONNEESCUM_N1_NOUVEAU[MOIS],DONNÉES!$C$5,DONNEESCUM_N1_NOUVEAU[SOCIETE],"VICTOIRE")</f>
        <v>1040</v>
      </c>
      <c r="F54" s="17">
        <f t="shared" si="17"/>
        <v>0.42186549978669424</v>
      </c>
      <c r="G54" s="16">
        <f t="shared" si="18"/>
        <v>340.04999999999995</v>
      </c>
      <c r="H54" s="17">
        <f t="shared" si="19"/>
        <v>32.69711538461538</v>
      </c>
    </row>
    <row r="55" spans="1:8" s="18" customFormat="1" x14ac:dyDescent="0.2">
      <c r="A55" s="13" t="s">
        <v>47</v>
      </c>
      <c r="B55" s="14" t="s">
        <v>43</v>
      </c>
      <c r="C55" s="23">
        <f>SUMIFS('BAL N VICTOIRE'!$H:$H,'BAL N VICTOIRE'!$I:$I,$A55,'BAL N VICTOIRE'!$J:$J,"T")</f>
        <v>2010.55</v>
      </c>
      <c r="D55" s="17">
        <f t="shared" si="16"/>
        <v>0.89334328509147776</v>
      </c>
      <c r="E55" s="16">
        <f>SUMIFS(DONNEESCUM_N1_NOUVEAU[MONTANT],DONNEESCUM_N1_NOUVEAU[TL2],A55,DONNEESCUM_N1_NOUVEAU[MOIS],DONNÉES!$C$5,DONNEESCUM_N1_NOUVEAU[SOCIETE],"VICTOIRE")</f>
        <v>1671.7</v>
      </c>
      <c r="F55" s="17">
        <f t="shared" si="17"/>
        <v>0.67810822691674688</v>
      </c>
      <c r="G55" s="16">
        <f t="shared" si="18"/>
        <v>338.84999999999991</v>
      </c>
      <c r="H55" s="17">
        <f t="shared" si="19"/>
        <v>20.269785248549375</v>
      </c>
    </row>
    <row r="56" spans="1:8" s="18" customFormat="1" x14ac:dyDescent="0.2">
      <c r="A56" s="13" t="s">
        <v>48</v>
      </c>
      <c r="B56" s="14" t="s">
        <v>46</v>
      </c>
      <c r="C56" s="23">
        <f>SUMIFS('BAL N VICTOIRE'!$H:$H,'BAL N VICTOIRE'!$I:$I,$A56,'BAL N VICTOIRE'!$J:$J,"T")</f>
        <v>6110</v>
      </c>
      <c r="D56" s="17">
        <f t="shared" si="16"/>
        <v>2.714842939448872</v>
      </c>
      <c r="E56" s="16">
        <f>SUMIFS(DONNEESCUM_N1_NOUVEAU[MONTANT],DONNEESCUM_N1_NOUVEAU[TL2],A56,DONNEESCUM_N1_NOUVEAU[MOIS],DONNÉES!$C$5,DONNEESCUM_N1_NOUVEAU[SOCIETE],"VICTOIRE")</f>
        <v>6110</v>
      </c>
      <c r="F56" s="17">
        <f t="shared" si="17"/>
        <v>2.4784598112468288</v>
      </c>
      <c r="G56" s="16">
        <f t="shared" si="18"/>
        <v>0</v>
      </c>
      <c r="H56" s="17">
        <f t="shared" si="19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VICTOIRE'!$H:$H,'BAL N VICTOIRE'!$I:$I,$A57,'BAL N VICTOIRE'!$J:$J,"T")</f>
        <v>218.56</v>
      </c>
      <c r="D57" s="17">
        <f t="shared" si="16"/>
        <v>9.7112286881496798E-2</v>
      </c>
      <c r="E57" s="16">
        <f>SUMIFS(DONNEESCUM_N1_NOUVEAU[MONTANT],DONNEESCUM_N1_NOUVEAU[TL2],A57,DONNEESCUM_N1_NOUVEAU[MOIS],DONNÉES!$C$5,DONNEESCUM_N1_NOUVEAU[SOCIETE],"VICTOIRE")</f>
        <v>0</v>
      </c>
      <c r="F57" s="17">
        <f t="shared" si="17"/>
        <v>0</v>
      </c>
      <c r="G57" s="16">
        <f t="shared" si="18"/>
        <v>218.56</v>
      </c>
      <c r="H57" s="17">
        <f t="shared" si="19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VICTOIRE'!$H:$H,'BAL N VICTOIRE'!$I:$I,$A58,'BAL N VICTOIRE'!$J:$J,"T")</f>
        <v>2121.58</v>
      </c>
      <c r="D58" s="17">
        <f t="shared" si="16"/>
        <v>0.94267700220555439</v>
      </c>
      <c r="E58" s="16">
        <f>SUMIFS(DONNEESCUM_N1_NOUVEAU[MONTANT],DONNEESCUM_N1_NOUVEAU[TL2],A58,DONNEESCUM_N1_NOUVEAU[MOIS],DONNÉES!$C$5,DONNEESCUM_N1_NOUVEAU[SOCIETE],"VICTOIRE")</f>
        <v>3209.12</v>
      </c>
      <c r="F58" s="17">
        <f t="shared" si="17"/>
        <v>1.3017471275725734</v>
      </c>
      <c r="G58" s="16">
        <f t="shared" si="18"/>
        <v>-1087.54</v>
      </c>
      <c r="H58" s="17">
        <f t="shared" si="19"/>
        <v>-33.889041232487408</v>
      </c>
    </row>
    <row r="59" spans="1:8" ht="13.5" thickBot="1" x14ac:dyDescent="0.25">
      <c r="A59" s="13"/>
      <c r="B59" s="63" t="s">
        <v>2994</v>
      </c>
      <c r="C59" s="49">
        <f>SUM(C51:C58)</f>
        <v>24837.590000000004</v>
      </c>
      <c r="D59" s="50">
        <f t="shared" si="16"/>
        <v>11.036032053097532</v>
      </c>
      <c r="E59" s="51">
        <f>SUM(E51:E58)</f>
        <v>26086.469999999998</v>
      </c>
      <c r="F59" s="50">
        <f t="shared" si="17"/>
        <v>10.581713177135196</v>
      </c>
      <c r="G59" s="51">
        <f>SUM(G51:G58)</f>
        <v>-1248.8799999999994</v>
      </c>
      <c r="H59" s="50">
        <f t="shared" si="19"/>
        <v>-4.7874626195111851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150740.32</v>
      </c>
      <c r="D61" s="71">
        <f>(C61*100)/C$8</f>
        <v>66.978116766327915</v>
      </c>
      <c r="E61" s="72">
        <f>E59+E49+E42+E33+E26</f>
        <v>165149.70000000001</v>
      </c>
      <c r="F61" s="71">
        <f>(E61*100)/E$8</f>
        <v>66.991308394348678</v>
      </c>
      <c r="G61" s="72">
        <f>G59+G49+G42+G33+G26</f>
        <v>-14409.380000000005</v>
      </c>
      <c r="H61" s="71">
        <f>IF(E61=0,0,G61/E61*100)</f>
        <v>-8.7250415834845629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VICTOIRE'!$H:$H,'BAL N VICTOIRE'!$I:$I,$A63,'BAL N VICTOIRE'!$J:$J,"T")</f>
        <v>3117.88</v>
      </c>
      <c r="D63" s="17">
        <f t="shared" ref="D63:D65" si="20">(C63*100)/C$8</f>
        <v>1.3853608026266528</v>
      </c>
      <c r="E63" s="16">
        <f>-SUMIFS(DONNEESCUM_N1_NOUVEAU[MONTANT],DONNEESCUM_N1_NOUVEAU[TL2],A63,DONNEESCUM_N1_NOUVEAU[MOIS],DONNÉES!$C$5,DONNEESCUM_N1_NOUVEAU[SOCIETE],"VICTOIRE")</f>
        <v>2527.3000000000002</v>
      </c>
      <c r="F63" s="17">
        <f t="shared" ref="F63:F65" si="21">(E63*100)/E$8</f>
        <v>1.0251737284720313</v>
      </c>
      <c r="G63" s="16">
        <f>+C63-E63</f>
        <v>590.57999999999993</v>
      </c>
      <c r="H63" s="17">
        <f>IF(E63=0,0,G63/E63*100)</f>
        <v>23.368021208404222</v>
      </c>
    </row>
    <row r="64" spans="1:8" s="18" customFormat="1" x14ac:dyDescent="0.2">
      <c r="A64" s="13" t="s">
        <v>2992</v>
      </c>
      <c r="B64" s="68" t="s">
        <v>65</v>
      </c>
      <c r="C64" s="23">
        <f>SUMIFS('BAL N VICTOIRE'!$H:$H,'BAL N VICTOIRE'!$I:$I,$A64,'BAL N VICTOIRE'!$J:$J,"T")</f>
        <v>2975.81</v>
      </c>
      <c r="D64" s="17">
        <f t="shared" si="20"/>
        <v>1.3222351501867999</v>
      </c>
      <c r="E64" s="24">
        <f>SUMIFS(DONNEESCUM_N1_NOUVEAU[MONTANT],DONNEESCUM_N1_NOUVEAU[TL2],A64,DONNEESCUM_N1_NOUVEAU[MOIS],DONNÉES!$C$5,DONNEESCUM_N1_NOUVEAU[SOCIETE],"VICTOIRE")</f>
        <v>2458.4699999999998</v>
      </c>
      <c r="F64" s="17">
        <f t="shared" si="21"/>
        <v>0.9972535339044174</v>
      </c>
      <c r="G64" s="16">
        <f>+C64-E64</f>
        <v>517.34000000000015</v>
      </c>
      <c r="H64" s="17">
        <f>IF(E64=0,0,G64/E64*100)</f>
        <v>21.043169125513032</v>
      </c>
    </row>
    <row r="65" spans="1:9" s="59" customFormat="1" ht="13.5" x14ac:dyDescent="0.2">
      <c r="A65" s="13"/>
      <c r="B65" s="62" t="s">
        <v>53</v>
      </c>
      <c r="C65" s="67">
        <f>+C63-C64</f>
        <v>142.07000000000016</v>
      </c>
      <c r="D65" s="56">
        <f t="shared" si="20"/>
        <v>6.3125652439852978E-2</v>
      </c>
      <c r="E65" s="57">
        <f>+E63-E64</f>
        <v>68.830000000000382</v>
      </c>
      <c r="F65" s="56">
        <f t="shared" si="21"/>
        <v>2.7920194567613774E-2</v>
      </c>
      <c r="G65" s="58">
        <f>+G63-G64</f>
        <v>73.239999999999782</v>
      </c>
      <c r="H65" s="56">
        <f>IF(E65=0,0,G65/E65*100)</f>
        <v>106.40708993171491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VICTOIRE'!$H:$H,'BAL N VICTOIRE'!$I:$I,$A67,'BAL N VICTOIRE'!$J:$J,"T")</f>
        <v>-12.74</v>
      </c>
      <c r="D67" s="17">
        <f>(C67*100)/C$8</f>
        <v>-5.6607363418295625E-3</v>
      </c>
      <c r="E67" s="16">
        <f>SUMIFS(DONNEESCUM_N1_NOUVEAU[MONTANT],DONNEESCUM_N1_NOUVEAU[TL2],A67,DONNEESCUM_N1_NOUVEAU[MOIS],DONNÉES!$C$5,DONNEESCUM_N1_NOUVEAU[SOCIETE],"VICTOIRE")</f>
        <v>23.7</v>
      </c>
      <c r="F67" s="17">
        <f>(E67*100)/E$8</f>
        <v>9.6136657162929368E-3</v>
      </c>
      <c r="G67" s="16">
        <f>+C67-E67</f>
        <v>-36.44</v>
      </c>
      <c r="H67" s="17">
        <f>IF(E67=0,0,G67/E67*100)</f>
        <v>-153.75527426160338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17311.399999999976</v>
      </c>
      <c r="D69" s="10">
        <f>(C69*100)/C$8</f>
        <v>7.6919365076882382</v>
      </c>
      <c r="E69" s="9">
        <f>E18-E61+E65-E67</f>
        <v>22079.350000000002</v>
      </c>
      <c r="F69" s="10">
        <f>(E69*100)/E$8</f>
        <v>8.9562654064570655</v>
      </c>
      <c r="G69" s="9">
        <f>G18-G61+G65+G67</f>
        <v>-4815.3500000000049</v>
      </c>
      <c r="H69" s="10">
        <f>IF(E69=0,0,G69/E69*100)</f>
        <v>-21.809292393118476</v>
      </c>
    </row>
    <row r="70" spans="1:9" ht="13.5" thickBot="1" x14ac:dyDescent="0.25">
      <c r="A70" s="13"/>
      <c r="B70" s="63" t="s">
        <v>3034</v>
      </c>
      <c r="C70" s="49">
        <f>+C69-C67+C57+C56</f>
        <v>23652.699999999979</v>
      </c>
      <c r="D70" s="50">
        <f>(C70*100)/C$8</f>
        <v>10.509552470360436</v>
      </c>
      <c r="E70" s="49">
        <f>+E69-E67+E57+E56</f>
        <v>28165.65</v>
      </c>
      <c r="F70" s="50">
        <f>(E70*100)/E$8</f>
        <v>11.4251115519876</v>
      </c>
      <c r="G70" s="49">
        <f>+G69-G67+G57+G56</f>
        <v>-4560.3500000000049</v>
      </c>
      <c r="H70" s="50">
        <f>IF(E70=0,0,G70/E70*100)</f>
        <v>-16.191176131209488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VICTOIRE'!$H:$H,'BAL N VICTOIRE'!$I:$I,$A72,'BAL N VICTOIRE'!$J:$J,"T")</f>
        <v>0</v>
      </c>
      <c r="D72" s="17">
        <f>(C72*100)/C$8</f>
        <v>0</v>
      </c>
      <c r="E72" s="16">
        <f>SUMIFS(DONNEESCUM_N1_NOUVEAU[MONTANT],DONNEESCUM_N1_NOUVEAU[TL2],A72,DONNEESCUM_N1_NOUVEAU[MOIS],DONNÉES!$C$5,DONNEESCUM_N1_NOUVEAU[SOCIETE],"VICTOIRE")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VICTOIRE'!$H:$H,'BAL N VICTOIRE'!$I:$I,$A74,'BAL N VICTOIRE'!$J:$J,"T")</f>
        <v>18396</v>
      </c>
      <c r="D74" s="10">
        <f>(C74*100)/C$8</f>
        <v>8.173854454026424</v>
      </c>
      <c r="E74" s="9">
        <f>SUMIFS(DONNEESCUM_N1_NOUVEAU[MONTANT],DONNEESCUM_N1_NOUVEAU[TL2],A74,DONNEESCUM_N1_NOUVEAU[MOIS],DONNÉES!$C$5,DONNEESCUM_N1_NOUVEAU[SOCIETE],"VICTOIRE")</f>
        <v>17033</v>
      </c>
      <c r="F74" s="10">
        <f>(E74*100)/E$8</f>
        <v>6.9092644787180415</v>
      </c>
      <c r="G74" s="9">
        <f>+C74-E74</f>
        <v>1363</v>
      </c>
      <c r="H74" s="10">
        <f>IF(E74=0,0,G74/E74*100)</f>
        <v>8.0021135442963658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-1084.600000000024</v>
      </c>
      <c r="D76" s="71">
        <f>(C76*100)/C$8</f>
        <v>-0.48191794633818519</v>
      </c>
      <c r="E76" s="72">
        <f>E69-E74+E72</f>
        <v>5046.3500000000022</v>
      </c>
      <c r="F76" s="71">
        <f>(E76*100)/E$8</f>
        <v>2.0470009277390244</v>
      </c>
      <c r="G76" s="72">
        <f>G69-G74+G72</f>
        <v>-6178.3500000000049</v>
      </c>
      <c r="H76" s="71">
        <f>IF(E76=0,0,G76/E76*100)</f>
        <v>-122.4320548515264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VLOOKUP(PARAMETRES!$C$2,DONNÉES!$BF$188:$BL$199,2,FALSE)</f>
        <v>12604</v>
      </c>
      <c r="D78" s="324"/>
      <c r="E78" s="323">
        <f>VLOOKUP(PARAMETRES!$C$2,DONNÉES!$BF$188:$BL$199,3,FALSE)</f>
        <v>13598</v>
      </c>
      <c r="F78" s="324"/>
      <c r="G78" s="325">
        <f>C78-E78</f>
        <v>-994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VLOOKUP(PARAMETRES!$C$2,DONNÉES!$BF$284:$BL$295,2,FALSE)</f>
        <v>18.100000000000001</v>
      </c>
      <c r="D80" s="316"/>
      <c r="E80" s="315">
        <f>VLOOKUP(PARAMETRES!$C$2,DONNÉES!$BF$284:$BL$295,3,FALSE)</f>
        <v>18.32</v>
      </c>
      <c r="F80" s="316"/>
      <c r="G80" s="317">
        <f>(C80-E80)/E80</f>
        <v>-1.2008733624454086E-2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9DCC-FD60-4E85-9FBF-1E67A8002333}">
  <sheetPr>
    <tabColor rgb="FFFFC0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33DF7-DDD4-45F0-AE1A-82952F1C03DA}">
  <sheetPr>
    <tabColor rgb="FFFFC000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300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297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TH4'!$H:$H,'BAL N TH4'!$I:$I,$A8,'BAL N TH4'!$J:$J,"T")</f>
        <v>352127.46</v>
      </c>
      <c r="D8" s="71">
        <f>(C8*100)/C$8</f>
        <v>100</v>
      </c>
      <c r="E8" s="72">
        <f>-SUMIFS(DONNEESCUM_N1_NOUVEAU[MONTANT],DONNEESCUM_N1_NOUVEAU[TL2],A8,DONNEESCUM_N1_NOUVEAU[MOIS],DONNÉES!$C$5,DONNEESCUM_N1_NOUVEAU[SOCIETE],"TH4")</f>
        <v>335149.37</v>
      </c>
      <c r="F8" s="71">
        <f>(E8*100)/E$8</f>
        <v>100</v>
      </c>
      <c r="G8" s="72">
        <f>+C8-E8</f>
        <v>16978.090000000026</v>
      </c>
      <c r="H8" s="71">
        <f>IF(E8=0,0,G8/E8*100)</f>
        <v>5.065827812834625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TH4'!$H:$H,'BAL N TH4'!$I:$I,$A10,'BAL N TH4'!$J:$J,"T")</f>
        <v>79368.210000000006</v>
      </c>
      <c r="D10" s="17">
        <f t="shared" ref="D10:F16" si="0">(C10*100)/C$8</f>
        <v>22.539625282277051</v>
      </c>
      <c r="E10" s="16">
        <f>SUMIFS(DONNEESCUM_N1_NOUVEAU[MONTANT],DONNEESCUM_N1_NOUVEAU[TL2],A10,DONNEESCUM_N1_NOUVEAU[MOIS],DONNÉES!$C$5,DONNEESCUM_N1_NOUVEAU[SOCIETE],"TH4")</f>
        <v>73811.55</v>
      </c>
      <c r="F10" s="17">
        <f t="shared" si="0"/>
        <v>22.023478665646902</v>
      </c>
      <c r="G10" s="16">
        <f>+C10-E10</f>
        <v>5556.6600000000035</v>
      </c>
      <c r="H10" s="17">
        <f t="shared" ref="H10:H16" si="1">IF(E10=0,0,G10/E10*100)</f>
        <v>7.5281714040688801</v>
      </c>
    </row>
    <row r="11" spans="1:8" s="18" customFormat="1" x14ac:dyDescent="0.2">
      <c r="A11" s="13" t="s">
        <v>124</v>
      </c>
      <c r="B11" s="14" t="s">
        <v>4</v>
      </c>
      <c r="C11" s="23">
        <f>SUMIFS('BAL N TH4'!$H:$H,'BAL N TH4'!$I:$I,$A11,'BAL N TH4'!$J:$J,"T")</f>
        <v>1708.71</v>
      </c>
      <c r="D11" s="17">
        <f t="shared" si="0"/>
        <v>0.48525326596227397</v>
      </c>
      <c r="E11" s="16">
        <f>SUMIFS(DONNEESCUM_N1_NOUVEAU[MONTANT],DONNEESCUM_N1_NOUVEAU[TL2],A11,DONNEESCUM_N1_NOUVEAU[MOIS],DONNÉES!$C$5,DONNEESCUM_N1_NOUVEAU[SOCIETE],"TH4")</f>
        <v>1373.44</v>
      </c>
      <c r="F11" s="17">
        <f t="shared" si="0"/>
        <v>0.40979936796539407</v>
      </c>
      <c r="G11" s="16">
        <f>+C11-E11</f>
        <v>335.27</v>
      </c>
      <c r="H11" s="17">
        <f t="shared" si="1"/>
        <v>24.410968080149111</v>
      </c>
    </row>
    <row r="12" spans="1:8" s="18" customFormat="1" x14ac:dyDescent="0.2">
      <c r="A12" s="13" t="s">
        <v>125</v>
      </c>
      <c r="B12" s="14" t="s">
        <v>2</v>
      </c>
      <c r="C12" s="23">
        <f>SUMIFS('BAL N TH4'!$H:$H,'BAL N TH4'!$I:$I,$A12,'BAL N TH4'!$J:$J,"T")</f>
        <v>2849.78</v>
      </c>
      <c r="D12" s="17">
        <f t="shared" si="0"/>
        <v>0.80930354025783724</v>
      </c>
      <c r="E12" s="16">
        <f>SUMIFS(DONNEESCUM_N1_NOUVEAU[MONTANT],DONNEESCUM_N1_NOUVEAU[TL2],A12,DONNEESCUM_N1_NOUVEAU[MOIS],DONNÉES!$C$5,DONNEESCUM_N1_NOUVEAU[SOCIETE],"TH4")</f>
        <v>2226.6999999999998</v>
      </c>
      <c r="F12" s="17">
        <f t="shared" si="0"/>
        <v>0.66439032840789758</v>
      </c>
      <c r="G12" s="16">
        <f>+C12-E12</f>
        <v>623.08000000000038</v>
      </c>
      <c r="H12" s="17">
        <f t="shared" si="1"/>
        <v>27.982215835092312</v>
      </c>
    </row>
    <row r="13" spans="1:8" s="59" customFormat="1" ht="13.5" x14ac:dyDescent="0.2">
      <c r="A13" s="60"/>
      <c r="B13" s="62" t="s">
        <v>6</v>
      </c>
      <c r="C13" s="55">
        <f>SUM(C10:C12)</f>
        <v>83926.700000000012</v>
      </c>
      <c r="D13" s="56">
        <f t="shared" si="0"/>
        <v>23.834182088497162</v>
      </c>
      <c r="E13" s="55">
        <f>SUM(E10:E12)</f>
        <v>77411.69</v>
      </c>
      <c r="F13" s="56">
        <f t="shared" si="0"/>
        <v>23.097668362020194</v>
      </c>
      <c r="G13" s="55">
        <f>SUM(G10:G12)</f>
        <v>6515.0100000000039</v>
      </c>
      <c r="H13" s="56">
        <f t="shared" si="1"/>
        <v>8.4160544744598695</v>
      </c>
    </row>
    <row r="14" spans="1:8" s="18" customFormat="1" x14ac:dyDescent="0.2">
      <c r="A14" s="13" t="s">
        <v>126</v>
      </c>
      <c r="B14" s="14" t="s">
        <v>8</v>
      </c>
      <c r="C14" s="23">
        <f>SUMIFS('BAL N TH4'!$H:$H,'BAL N TH4'!$I:$I,$A14,'BAL N TH4'!$J:$J,"T")</f>
        <v>8180.9</v>
      </c>
      <c r="D14" s="17">
        <f t="shared" si="0"/>
        <v>2.3232780539183167</v>
      </c>
      <c r="E14" s="16">
        <f>SUMIFS(DONNEESCUM_N1_NOUVEAU[MONTANT],DONNEESCUM_N1_NOUVEAU[TL2],A14,DONNEESCUM_N1_NOUVEAU[MOIS],DONNÉES!$C$5,DONNEESCUM_N1_NOUVEAU[SOCIETE],"TH4")</f>
        <v>7311.17</v>
      </c>
      <c r="F14" s="17">
        <f t="shared" si="0"/>
        <v>2.1814661325486009</v>
      </c>
      <c r="G14" s="16">
        <f>+C14-E14</f>
        <v>869.72999999999956</v>
      </c>
      <c r="H14" s="17">
        <f t="shared" si="1"/>
        <v>11.895907221415991</v>
      </c>
    </row>
    <row r="15" spans="1:8" s="18" customFormat="1" x14ac:dyDescent="0.2">
      <c r="A15" s="13" t="s">
        <v>2964</v>
      </c>
      <c r="B15" s="14" t="s">
        <v>2965</v>
      </c>
      <c r="C15" s="23">
        <f>SUMIFS('BAL N TH4'!$H:$H,'BAL N TH4'!$I:$I,$A15,'BAL N TH4'!$J:$J,"T")</f>
        <v>952.43</v>
      </c>
      <c r="D15" s="17">
        <f t="shared" si="0"/>
        <v>0.27047876357044121</v>
      </c>
      <c r="E15" s="16">
        <f>SUMIFS(DONNEESCUM_N1_NOUVEAU[MONTANT],DONNEESCUM_N1_NOUVEAU[TL2],A15,DONNEESCUM_N1_NOUVEAU[MOIS],DONNÉES!$C$5,DONNEESCUM_N1_NOUVEAU[SOCIETE],"TH4")</f>
        <v>564.77</v>
      </c>
      <c r="F15" s="17">
        <f t="shared" si="0"/>
        <v>0.16851292305875437</v>
      </c>
      <c r="G15" s="16">
        <f>+C15-E15</f>
        <v>387.65999999999997</v>
      </c>
      <c r="H15" s="17">
        <f t="shared" si="1"/>
        <v>68.640331462365211</v>
      </c>
    </row>
    <row r="16" spans="1:8" ht="13.5" thickBot="1" x14ac:dyDescent="0.25">
      <c r="A16" s="7"/>
      <c r="B16" s="63" t="s">
        <v>10</v>
      </c>
      <c r="C16" s="49">
        <f>+C13+SUM(C14:C15)</f>
        <v>93060.030000000013</v>
      </c>
      <c r="D16" s="50">
        <f t="shared" si="0"/>
        <v>26.427938905985922</v>
      </c>
      <c r="E16" s="49">
        <f>+E13+SUM(E14:E15)</f>
        <v>85287.63</v>
      </c>
      <c r="F16" s="50">
        <f t="shared" si="0"/>
        <v>25.44764741762755</v>
      </c>
      <c r="G16" s="49">
        <f>+G13+SUM(G14:G15)</f>
        <v>7772.4000000000033</v>
      </c>
      <c r="H16" s="50">
        <f t="shared" si="1"/>
        <v>9.113162131483783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259067.43</v>
      </c>
      <c r="D18" s="71">
        <f>(C18*100)/C$8</f>
        <v>73.572061094014074</v>
      </c>
      <c r="E18" s="70">
        <f>E8-E16</f>
        <v>249861.74</v>
      </c>
      <c r="F18" s="71">
        <f>(E18*100)/E$8</f>
        <v>74.55235258237245</v>
      </c>
      <c r="G18" s="70">
        <f>G8-G16</f>
        <v>9205.6900000000223</v>
      </c>
      <c r="H18" s="71">
        <f>IF(E18=0,0,G18/E18*100)</f>
        <v>3.6843135727782985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TH4'!$H:$H,'BAL N TH4'!$I:$I,$A20,'BAL N TH4'!$J:$J,"T")</f>
        <v>59378.89</v>
      </c>
      <c r="D20" s="17">
        <f t="shared" ref="D20:F26" si="2">(C20*100)/C$8</f>
        <v>16.862896747671993</v>
      </c>
      <c r="E20" s="16">
        <f>SUMIFS(DONNEESCUM_N1_NOUVEAU[MONTANT],DONNEESCUM_N1_NOUVEAU[TL2],A20,DONNEESCUM_N1_NOUVEAU[MOIS],DONNÉES!$C$5,DONNEESCUM_N1_NOUVEAU[SOCIETE],"TH4")</f>
        <v>49568.02</v>
      </c>
      <c r="F20" s="17">
        <f t="shared" si="2"/>
        <v>14.789829382642134</v>
      </c>
      <c r="G20" s="16">
        <f t="shared" ref="G20:G25" si="3">+C20-E20</f>
        <v>9810.8700000000026</v>
      </c>
      <c r="H20" s="17">
        <f t="shared" ref="H20:H26" si="4">IF(E20=0,0,G20/E20*100)</f>
        <v>19.792741368325796</v>
      </c>
    </row>
    <row r="21" spans="1:8" s="18" customFormat="1" x14ac:dyDescent="0.2">
      <c r="A21" s="13">
        <v>9</v>
      </c>
      <c r="B21" s="14" t="s">
        <v>2968</v>
      </c>
      <c r="C21" s="23">
        <f>SUMIFS('BAL N TH4'!$H:$H,'BAL N TH4'!$I:$I,$A21,'BAL N TH4'!$J:$J,"T")</f>
        <v>6795.6</v>
      </c>
      <c r="D21" s="17">
        <f t="shared" si="2"/>
        <v>1.9298693717326105</v>
      </c>
      <c r="E21" s="16">
        <f>SUMIFS(DONNEESCUM_N1_NOUVEAU[MONTANT],DONNEESCUM_N1_NOUVEAU[TL2],A21,DONNEESCUM_N1_NOUVEAU[MOIS],DONNÉES!$C$5,DONNEESCUM_N1_NOUVEAU[SOCIETE],"TH4")</f>
        <v>5728.4</v>
      </c>
      <c r="F21" s="17">
        <f t="shared" si="2"/>
        <v>1.7092080465495132</v>
      </c>
      <c r="G21" s="16">
        <f t="shared" si="3"/>
        <v>1067.2000000000007</v>
      </c>
      <c r="H21" s="17">
        <f t="shared" si="4"/>
        <v>18.629983939669032</v>
      </c>
    </row>
    <row r="22" spans="1:8" s="18" customFormat="1" x14ac:dyDescent="0.2">
      <c r="A22" s="13" t="s">
        <v>12</v>
      </c>
      <c r="B22" s="14" t="s">
        <v>14</v>
      </c>
      <c r="C22" s="23">
        <f>SUMIFS('BAL N TH4'!$H:$H,'BAL N TH4'!$I:$I,$A22,'BAL N TH4'!$J:$J,"T")</f>
        <v>18922.07</v>
      </c>
      <c r="D22" s="17">
        <f t="shared" si="2"/>
        <v>5.3736422601066103</v>
      </c>
      <c r="E22" s="16">
        <f>SUMIFS(DONNEESCUM_N1_NOUVEAU[MONTANT],DONNEESCUM_N1_NOUVEAU[TL2],A22,DONNEESCUM_N1_NOUVEAU[MOIS],DONNÉES!$C$5,DONNEESCUM_N1_NOUVEAU[SOCIETE],"TH4")</f>
        <v>21188.22</v>
      </c>
      <c r="F22" s="17">
        <f t="shared" si="2"/>
        <v>6.3220229236892198</v>
      </c>
      <c r="G22" s="16">
        <f t="shared" si="3"/>
        <v>-2266.1500000000015</v>
      </c>
      <c r="H22" s="17">
        <f t="shared" si="4"/>
        <v>-10.695329763425153</v>
      </c>
    </row>
    <row r="23" spans="1:8" s="18" customFormat="1" x14ac:dyDescent="0.2">
      <c r="A23" s="13" t="s">
        <v>13</v>
      </c>
      <c r="B23" s="14" t="s">
        <v>2966</v>
      </c>
      <c r="C23" s="23">
        <f>SUMIFS('BAL N TH4'!$H:$H,'BAL N TH4'!$I:$I,$A23,'BAL N TH4'!$J:$J,"T")</f>
        <v>4795.1499999999996</v>
      </c>
      <c r="D23" s="17">
        <f t="shared" si="2"/>
        <v>1.361765424372186</v>
      </c>
      <c r="E23" s="16">
        <f>SUMIFS(DONNEESCUM_N1_NOUVEAU[MONTANT],DONNEESCUM_N1_NOUVEAU[TL2],A23,DONNEESCUM_N1_NOUVEAU[MOIS],DONNÉES!$C$5,DONNEESCUM_N1_NOUVEAU[SOCIETE],"TH4")</f>
        <v>5110.6099999999997</v>
      </c>
      <c r="F23" s="17">
        <f t="shared" si="2"/>
        <v>1.5248753115663023</v>
      </c>
      <c r="G23" s="16">
        <f t="shared" si="3"/>
        <v>-315.46000000000004</v>
      </c>
      <c r="H23" s="17">
        <f t="shared" si="4"/>
        <v>-6.1726486662061886</v>
      </c>
    </row>
    <row r="24" spans="1:8" s="18" customFormat="1" x14ac:dyDescent="0.2">
      <c r="A24" s="13" t="s">
        <v>15</v>
      </c>
      <c r="B24" s="14" t="s">
        <v>2969</v>
      </c>
      <c r="C24" s="23">
        <f>SUMIFS('BAL N TH4'!$H:$H,'BAL N TH4'!$I:$I,$A24,'BAL N TH4'!$J:$J,"T")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SUMIFS(DONNEESCUM_N1_NOUVEAU[MONTANT],DONNEESCUM_N1_NOUVEAU[TL2],A24,DONNEESCUM_N1_NOUVEAU[MOIS],DONNÉES!$C$5,DONNEESCUM_N1_NOUVEAU[SOCIETE],"TH4")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TH4'!$H:$H,'BAL N TH4'!$I:$I,$A25,'BAL N TH4'!$J:$J,"T")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SUMIFS(DONNEESCUM_N1_NOUVEAU[MONTANT],DONNEESCUM_N1_NOUVEAU[TL2],A25,DONNEESCUM_N1_NOUVEAU[MOIS],DONNÉES!$C$5,DONNEESCUM_N1_NOUVEAU[SOCIETE],"TH4")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89891.709999999992</v>
      </c>
      <c r="D26" s="50">
        <f t="shared" si="2"/>
        <v>25.528173803883398</v>
      </c>
      <c r="E26" s="51">
        <f>SUM(E20:E25)</f>
        <v>81595.25</v>
      </c>
      <c r="F26" s="50">
        <f t="shared" si="2"/>
        <v>24.345935664447168</v>
      </c>
      <c r="G26" s="51">
        <f>SUM(G20:G25)</f>
        <v>8296.4600000000028</v>
      </c>
      <c r="H26" s="50">
        <f t="shared" si="4"/>
        <v>10.167822269065912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TH4'!$H:$H,'BAL N TH4'!$I:$I,$A28,'BAL N TH4'!$J:$J,"T")</f>
        <v>649.16999999999996</v>
      </c>
      <c r="D28" s="17">
        <f t="shared" ref="D28:F33" si="5">(C28*100)/C$8</f>
        <v>0.18435653953258854</v>
      </c>
      <c r="E28" s="16">
        <f>SUMIFS(DONNEESCUM_N1_NOUVEAU[MONTANT],DONNEESCUM_N1_NOUVEAU[TL2],A28,DONNEESCUM_N1_NOUVEAU[MOIS],DONNÉES!$C$5,DONNEESCUM_N1_NOUVEAU[SOCIETE],"TH4")</f>
        <v>549.16999999999996</v>
      </c>
      <c r="F28" s="17">
        <f t="shared" si="5"/>
        <v>0.16385828205495356</v>
      </c>
      <c r="G28" s="16">
        <f>+C28-E28</f>
        <v>100</v>
      </c>
      <c r="H28" s="17">
        <f t="shared" ref="H28:H33" si="6">IF(E28=0,0,G28/E28*100)</f>
        <v>18.20929766738897</v>
      </c>
    </row>
    <row r="29" spans="1:8" s="18" customFormat="1" x14ac:dyDescent="0.2">
      <c r="A29" s="13" t="s">
        <v>20</v>
      </c>
      <c r="B29" s="14" t="s">
        <v>2972</v>
      </c>
      <c r="C29" s="23">
        <f>SUMIFS('BAL N TH4'!$H:$H,'BAL N TH4'!$I:$I,$A29,'BAL N TH4'!$J:$J,"T")</f>
        <v>668.99</v>
      </c>
      <c r="D29" s="17">
        <f t="shared" si="5"/>
        <v>0.18998518320610383</v>
      </c>
      <c r="E29" s="16">
        <f>SUMIFS(DONNEESCUM_N1_NOUVEAU[MONTANT],DONNEESCUM_N1_NOUVEAU[TL2],A29,DONNEESCUM_N1_NOUVEAU[MOIS],DONNÉES!$C$5,DONNEESCUM_N1_NOUVEAU[SOCIETE],"TH4")</f>
        <v>591.32000000000005</v>
      </c>
      <c r="F29" s="17">
        <f t="shared" si="5"/>
        <v>0.17643476399791533</v>
      </c>
      <c r="G29" s="16">
        <f>+C29-E29</f>
        <v>77.669999999999959</v>
      </c>
      <c r="H29" s="17">
        <f t="shared" si="6"/>
        <v>13.135019955354116</v>
      </c>
    </row>
    <row r="30" spans="1:8" s="18" customFormat="1" x14ac:dyDescent="0.2">
      <c r="A30" s="13" t="s">
        <v>21</v>
      </c>
      <c r="B30" s="14" t="s">
        <v>2973</v>
      </c>
      <c r="C30" s="23">
        <f>SUMIFS('BAL N TH4'!$H:$H,'BAL N TH4'!$I:$I,$A30,'BAL N TH4'!$J:$J,"T")</f>
        <v>2785.07</v>
      </c>
      <c r="D30" s="17">
        <f t="shared" si="5"/>
        <v>0.79092667183638554</v>
      </c>
      <c r="E30" s="16">
        <f>SUMIFS(DONNEESCUM_N1_NOUVEAU[MONTANT],DONNEESCUM_N1_NOUVEAU[TL2],A30,DONNEESCUM_N1_NOUVEAU[MOIS],DONNÉES!$C$5,DONNEESCUM_N1_NOUVEAU[SOCIETE],"TH4")</f>
        <v>2586.3200000000002</v>
      </c>
      <c r="F30" s="17">
        <f t="shared" si="5"/>
        <v>0.77169173852243866</v>
      </c>
      <c r="G30" s="16">
        <f>+C30-E30</f>
        <v>198.75</v>
      </c>
      <c r="H30" s="17">
        <f t="shared" si="6"/>
        <v>7.6846639240310557</v>
      </c>
    </row>
    <row r="31" spans="1:8" s="18" customFormat="1" x14ac:dyDescent="0.2">
      <c r="A31" s="13" t="s">
        <v>23</v>
      </c>
      <c r="B31" s="14" t="s">
        <v>2974</v>
      </c>
      <c r="C31" s="23">
        <f>SUMIFS('BAL N TH4'!$H:$H,'BAL N TH4'!$I:$I,$A31,'BAL N TH4'!$J:$J,"T")</f>
        <v>1355.23</v>
      </c>
      <c r="D31" s="17">
        <f t="shared" si="5"/>
        <v>0.38486916072946992</v>
      </c>
      <c r="E31" s="16">
        <f>SUMIFS(DONNEESCUM_N1_NOUVEAU[MONTANT],DONNEESCUM_N1_NOUVEAU[TL2],A31,DONNEESCUM_N1_NOUVEAU[MOIS],DONNÉES!$C$5,DONNEESCUM_N1_NOUVEAU[SOCIETE],"TH4")</f>
        <v>2795.93</v>
      </c>
      <c r="F31" s="17">
        <f t="shared" si="5"/>
        <v>0.83423400139466175</v>
      </c>
      <c r="G31" s="16">
        <f>+C31-E31</f>
        <v>-1440.6999999999998</v>
      </c>
      <c r="H31" s="17">
        <f t="shared" si="6"/>
        <v>-51.528471742854784</v>
      </c>
    </row>
    <row r="32" spans="1:8" s="18" customFormat="1" x14ac:dyDescent="0.2">
      <c r="A32" s="13" t="s">
        <v>25</v>
      </c>
      <c r="B32" s="14" t="s">
        <v>2975</v>
      </c>
      <c r="C32" s="23">
        <f>SUMIFS('BAL N TH4'!$H:$H,'BAL N TH4'!$I:$I,$A32,'BAL N TH4'!$J:$J,"T")</f>
        <v>5907.01</v>
      </c>
      <c r="D32" s="17">
        <f t="shared" si="5"/>
        <v>1.6775204069571852</v>
      </c>
      <c r="E32" s="16">
        <f>SUMIFS(DONNEESCUM_N1_NOUVEAU[MONTANT],DONNEESCUM_N1_NOUVEAU[TL2],A32,DONNEESCUM_N1_NOUVEAU[MOIS],DONNÉES!$C$5,DONNEESCUM_N1_NOUVEAU[SOCIETE],"TH4")</f>
        <v>6464.59</v>
      </c>
      <c r="F32" s="17">
        <f t="shared" si="5"/>
        <v>1.9288683132538784</v>
      </c>
      <c r="G32" s="16">
        <f>+C32-E32</f>
        <v>-557.57999999999993</v>
      </c>
      <c r="H32" s="17">
        <f t="shared" si="6"/>
        <v>-8.6251409602155729</v>
      </c>
    </row>
    <row r="33" spans="1:8" ht="13.5" thickBot="1" x14ac:dyDescent="0.25">
      <c r="A33" s="7"/>
      <c r="B33" s="63" t="s">
        <v>2976</v>
      </c>
      <c r="C33" s="49">
        <f>SUM(C28:C32)</f>
        <v>11365.47</v>
      </c>
      <c r="D33" s="50">
        <f t="shared" si="5"/>
        <v>3.2276579622617332</v>
      </c>
      <c r="E33" s="51">
        <f>SUM(E28:E32)</f>
        <v>12987.33</v>
      </c>
      <c r="F33" s="50">
        <f t="shared" si="5"/>
        <v>3.8750870992238475</v>
      </c>
      <c r="G33" s="51">
        <f>SUM(G28:G32)</f>
        <v>-1621.8599999999997</v>
      </c>
      <c r="H33" s="50">
        <f t="shared" si="6"/>
        <v>-12.488017167500939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TH4'!$H:$H,'BAL N TH4'!$I:$I,$A35,'BAL N TH4'!$J:$J,"T")</f>
        <v>2045.95</v>
      </c>
      <c r="D35" s="17">
        <f t="shared" ref="D35:F42" si="7">(C35*100)/C$8</f>
        <v>0.58102540483494236</v>
      </c>
      <c r="E35" s="16">
        <f>SUMIFS(DONNEESCUM_N1_NOUVEAU[MONTANT],DONNEESCUM_N1_NOUVEAU[TL2],A35,DONNEESCUM_N1_NOUVEAU[MOIS],DONNÉES!$C$5,DONNEESCUM_N1_NOUVEAU[SOCIETE],"TH4")</f>
        <v>0</v>
      </c>
      <c r="F35" s="17">
        <f t="shared" si="7"/>
        <v>0</v>
      </c>
      <c r="G35" s="16">
        <f t="shared" ref="G35:G41" si="8">+C35-E35</f>
        <v>2045.95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TH4'!$H:$H,'BAL N TH4'!$I:$I,$A36,'BAL N TH4'!$J:$J,"T")</f>
        <v>14087.42</v>
      </c>
      <c r="D36" s="17">
        <f t="shared" si="7"/>
        <v>4.0006593067180845</v>
      </c>
      <c r="E36" s="16">
        <f>SUMIFS(DONNEESCUM_N1_NOUVEAU[MONTANT],DONNEESCUM_N1_NOUVEAU[TL2],A36,DONNEESCUM_N1_NOUVEAU[MOIS],DONNÉES!$C$5,DONNEESCUM_N1_NOUVEAU[SOCIETE],"TH4")</f>
        <v>13394.96</v>
      </c>
      <c r="F36" s="17">
        <f t="shared" si="7"/>
        <v>3.9967134654020087</v>
      </c>
      <c r="G36" s="16">
        <f t="shared" si="8"/>
        <v>692.46000000000095</v>
      </c>
      <c r="H36" s="17">
        <f t="shared" si="9"/>
        <v>5.1695563107318048</v>
      </c>
    </row>
    <row r="37" spans="1:8" s="18" customFormat="1" x14ac:dyDescent="0.2">
      <c r="A37" s="13" t="s">
        <v>32</v>
      </c>
      <c r="B37" s="14" t="s">
        <v>19</v>
      </c>
      <c r="C37" s="23">
        <f>SUMIFS('BAL N TH4'!$H:$H,'BAL N TH4'!$I:$I,$A37,'BAL N TH4'!$J:$J,"T")</f>
        <v>8540.56</v>
      </c>
      <c r="D37" s="17">
        <f t="shared" si="7"/>
        <v>2.4254172054630443</v>
      </c>
      <c r="E37" s="16">
        <f>SUMIFS(DONNEESCUM_N1_NOUVEAU[MONTANT],DONNEESCUM_N1_NOUVEAU[TL2],A37,DONNEESCUM_N1_NOUVEAU[MOIS],DONNÉES!$C$5,DONNEESCUM_N1_NOUVEAU[SOCIETE],"TH4")</f>
        <v>7551.07</v>
      </c>
      <c r="F37" s="17">
        <f t="shared" si="7"/>
        <v>2.2530461567032036</v>
      </c>
      <c r="G37" s="16">
        <f t="shared" si="8"/>
        <v>989.48999999999978</v>
      </c>
      <c r="H37" s="17">
        <f t="shared" si="9"/>
        <v>13.103970695543806</v>
      </c>
    </row>
    <row r="38" spans="1:8" s="18" customFormat="1" x14ac:dyDescent="0.2">
      <c r="A38" s="13" t="s">
        <v>34</v>
      </c>
      <c r="B38" s="14" t="s">
        <v>28</v>
      </c>
      <c r="C38" s="23">
        <f>SUMIFS('BAL N TH4'!$H:$H,'BAL N TH4'!$I:$I,$A38,'BAL N TH4'!$J:$J,"T")</f>
        <v>9585</v>
      </c>
      <c r="D38" s="17">
        <f t="shared" si="7"/>
        <v>2.722025711939648</v>
      </c>
      <c r="E38" s="16">
        <f>SUMIFS(DONNEESCUM_N1_NOUVEAU[MONTANT],DONNEESCUM_N1_NOUVEAU[TL2],A38,DONNEESCUM_N1_NOUVEAU[MOIS],DONNÉES!$C$5,DONNEESCUM_N1_NOUVEAU[SOCIETE],"TH4")</f>
        <v>10821.79</v>
      </c>
      <c r="F38" s="17">
        <f t="shared" si="7"/>
        <v>3.2289453505462355</v>
      </c>
      <c r="G38" s="16">
        <f t="shared" si="8"/>
        <v>-1236.7900000000009</v>
      </c>
      <c r="H38" s="17">
        <f t="shared" si="9"/>
        <v>-11.428700797187902</v>
      </c>
    </row>
    <row r="39" spans="1:8" s="18" customFormat="1" x14ac:dyDescent="0.2">
      <c r="A39" s="13" t="s">
        <v>2978</v>
      </c>
      <c r="B39" s="14" t="s">
        <v>2980</v>
      </c>
      <c r="C39" s="23">
        <f>SUMIFS('BAL N TH4'!$H:$H,'BAL N TH4'!$I:$I,$A39,'BAL N TH4'!$J:$J,"T")</f>
        <v>2497.09</v>
      </c>
      <c r="D39" s="17">
        <f t="shared" si="7"/>
        <v>0.70914378560536007</v>
      </c>
      <c r="E39" s="16">
        <f>SUMIFS(DONNEESCUM_N1_NOUVEAU[MONTANT],DONNEESCUM_N1_NOUVEAU[TL2],A39,DONNEESCUM_N1_NOUVEAU[MOIS],DONNÉES!$C$5,DONNEESCUM_N1_NOUVEAU[SOCIETE],"TH4")</f>
        <v>2261.69</v>
      </c>
      <c r="F39" s="17">
        <f t="shared" si="7"/>
        <v>0.67483044947988413</v>
      </c>
      <c r="G39" s="16">
        <f t="shared" si="8"/>
        <v>235.40000000000009</v>
      </c>
      <c r="H39" s="17">
        <f t="shared" si="9"/>
        <v>10.40814612082116</v>
      </c>
    </row>
    <row r="40" spans="1:8" s="18" customFormat="1" x14ac:dyDescent="0.2">
      <c r="A40" s="13" t="s">
        <v>2979</v>
      </c>
      <c r="B40" s="14" t="s">
        <v>2981</v>
      </c>
      <c r="C40" s="23">
        <f>SUMIFS('BAL N TH4'!$H:$H,'BAL N TH4'!$I:$I,$A40,'BAL N TH4'!$J:$J,"T")</f>
        <v>256.47000000000003</v>
      </c>
      <c r="D40" s="17">
        <f t="shared" si="7"/>
        <v>7.2834421944826463E-2</v>
      </c>
      <c r="E40" s="16">
        <f>SUMIFS(DONNEESCUM_N1_NOUVEAU[MONTANT],DONNEESCUM_N1_NOUVEAU[TL2],A40,DONNEESCUM_N1_NOUVEAU[MOIS],DONNÉES!$C$5,DONNEESCUM_N1_NOUVEAU[SOCIETE],"TH4")</f>
        <v>410.44</v>
      </c>
      <c r="F40" s="17">
        <f t="shared" si="7"/>
        <v>0.12246479830769189</v>
      </c>
      <c r="G40" s="16">
        <f t="shared" si="8"/>
        <v>-153.96999999999997</v>
      </c>
      <c r="H40" s="17">
        <f t="shared" si="9"/>
        <v>-37.5134002533866</v>
      </c>
    </row>
    <row r="41" spans="1:8" s="18" customFormat="1" x14ac:dyDescent="0.2">
      <c r="A41" s="13" t="s">
        <v>2982</v>
      </c>
      <c r="B41" s="14" t="s">
        <v>2983</v>
      </c>
      <c r="C41" s="23">
        <f>SUMIFS('BAL N TH4'!$H:$H,'BAL N TH4'!$I:$I,$A41,'BAL N TH4'!$J:$J,"T")</f>
        <v>1484.54</v>
      </c>
      <c r="D41" s="17">
        <f t="shared" si="7"/>
        <v>0.42159165888397343</v>
      </c>
      <c r="E41" s="16">
        <f>SUMIFS(DONNEESCUM_N1_NOUVEAU[MONTANT],DONNEESCUM_N1_NOUVEAU[TL2],A41,DONNEESCUM_N1_NOUVEAU[MOIS],DONNÉES!$C$5,DONNEESCUM_N1_NOUVEAU[SOCIETE],"TH4")</f>
        <v>1070</v>
      </c>
      <c r="F41" s="17">
        <f t="shared" si="7"/>
        <v>0.31926063295300244</v>
      </c>
      <c r="G41" s="16">
        <f t="shared" si="8"/>
        <v>414.53999999999996</v>
      </c>
      <c r="H41" s="17">
        <f t="shared" si="9"/>
        <v>38.742056074766353</v>
      </c>
    </row>
    <row r="42" spans="1:8" ht="13.5" thickBot="1" x14ac:dyDescent="0.25">
      <c r="A42" s="13"/>
      <c r="B42" s="63" t="s">
        <v>2984</v>
      </c>
      <c r="C42" s="49">
        <f>+SUM(C35:C41)</f>
        <v>38497.030000000006</v>
      </c>
      <c r="D42" s="50">
        <f t="shared" si="7"/>
        <v>10.932697495389879</v>
      </c>
      <c r="E42" s="51">
        <f>+SUM(E35:E41)</f>
        <v>35509.950000000004</v>
      </c>
      <c r="F42" s="50">
        <f t="shared" si="7"/>
        <v>10.595260853392029</v>
      </c>
      <c r="G42" s="51">
        <f>+SUM(G35:G41)</f>
        <v>2987.08</v>
      </c>
      <c r="H42" s="50">
        <f t="shared" si="9"/>
        <v>8.4119521429909074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119313.22</v>
      </c>
      <c r="D44" s="71">
        <f>(C44*100)/C$8</f>
        <v>33.883531832479065</v>
      </c>
      <c r="E44" s="72">
        <f>E18-E26-E33-E42</f>
        <v>119769.20999999999</v>
      </c>
      <c r="F44" s="71">
        <f>(E44*100)/E$8</f>
        <v>35.736068965309407</v>
      </c>
      <c r="G44" s="72">
        <f>G18-G26-G33-G42</f>
        <v>-455.98999999998068</v>
      </c>
      <c r="H44" s="71">
        <f>IF(E44=0,0,G44/E44*100)</f>
        <v>-0.38072389389558531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TH4'!$H:$H,'BAL N TH4'!$I:$I,$A46,'BAL N TH4'!$J:$J,"T")</f>
        <v>49965.19</v>
      </c>
      <c r="D46" s="17">
        <f t="shared" ref="D46:F49" si="10">(C46*100)/C$8</f>
        <v>14.189518193213331</v>
      </c>
      <c r="E46" s="16">
        <f>SUMIFS(DONNEESCUM_N1_NOUVEAU[MONTANT],DONNEESCUM_N1_NOUVEAU[TL2],A46,DONNEESCUM_N1_NOUVEAU[MOIS],DONNÉES!$C$5,DONNEESCUM_N1_NOUVEAU[SOCIETE],"TH4")</f>
        <v>47488.38</v>
      </c>
      <c r="F46" s="17">
        <f t="shared" si="10"/>
        <v>14.169317996927758</v>
      </c>
      <c r="G46" s="16">
        <f>+C46-E46</f>
        <v>2476.8100000000049</v>
      </c>
      <c r="H46" s="17">
        <f>IF(E46=0,0,G46/E46*100)</f>
        <v>5.2156127456864292</v>
      </c>
    </row>
    <row r="47" spans="1:8" s="18" customFormat="1" x14ac:dyDescent="0.2">
      <c r="A47" s="13" t="s">
        <v>35</v>
      </c>
      <c r="B47" s="14" t="s">
        <v>2986</v>
      </c>
      <c r="C47" s="23">
        <f>SUMIFS('BAL N TH4'!$H:$H,'BAL N TH4'!$I:$I,$A47,'BAL N TH4'!$J:$J,"T")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SUMIFS(DONNEESCUM_N1_NOUVEAU[MONTANT],DONNEESCUM_N1_NOUVEAU[TL2],A47,DONNEESCUM_N1_NOUVEAU[MOIS],DONNÉES!$C$5,DONNEESCUM_N1_NOUVEAU[SOCIETE],"TH4")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TH4'!$H:$H,'BAL N TH4'!$I:$I,$A48,'BAL N TH4'!$J:$J,"T")</f>
        <v>-894.19</v>
      </c>
      <c r="D48" s="17">
        <f t="shared" si="10"/>
        <v>-0.25393929800305831</v>
      </c>
      <c r="E48" s="16">
        <f>SUMIFS(DONNEESCUM_N1_NOUVEAU[MONTANT],DONNEESCUM_N1_NOUVEAU[TL2],A48,DONNEESCUM_N1_NOUVEAU[MOIS],DONNÉES!$C$5,DONNEESCUM_N1_NOUVEAU[SOCIETE],"TH4")</f>
        <v>-839.85</v>
      </c>
      <c r="F48" s="17">
        <f t="shared" si="10"/>
        <v>-0.25058975942577483</v>
      </c>
      <c r="G48" s="16">
        <f>+C48-E48</f>
        <v>-54.340000000000032</v>
      </c>
      <c r="H48" s="17">
        <f>IF(E48=0,0,G48/E48*100)</f>
        <v>6.4702030124427017</v>
      </c>
    </row>
    <row r="49" spans="1:8" ht="13.5" thickBot="1" x14ac:dyDescent="0.25">
      <c r="A49" s="13"/>
      <c r="B49" s="63" t="s">
        <v>2988</v>
      </c>
      <c r="C49" s="49">
        <f>SUM(C46:C48)</f>
        <v>49071</v>
      </c>
      <c r="D49" s="50">
        <f t="shared" si="10"/>
        <v>13.935578895210273</v>
      </c>
      <c r="E49" s="51">
        <f>SUM(E46:E48)</f>
        <v>46648.53</v>
      </c>
      <c r="F49" s="50">
        <f t="shared" si="10"/>
        <v>13.918728237501984</v>
      </c>
      <c r="G49" s="51">
        <f>SUM(G46:G48)</f>
        <v>2422.4700000000048</v>
      </c>
      <c r="H49" s="50">
        <f>IF(E49=0,0,G49/E49*100)</f>
        <v>5.1930253750761377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TH4'!$H:$H,'BAL N TH4'!$I:$I,$A51,'BAL N TH4'!$J:$J,"T")</f>
        <v>550</v>
      </c>
      <c r="D51" s="17">
        <f t="shared" ref="D51:F59" si="11">(C51*100)/C$8</f>
        <v>0.15619344199966681</v>
      </c>
      <c r="E51" s="16">
        <f>SUMIFS(DONNEESCUM_N1_NOUVEAU[MONTANT],DONNEESCUM_N1_NOUVEAU[TL2],A51,DONNEESCUM_N1_NOUVEAU[MOIS],DONNÉES!$C$5,DONNEESCUM_N1_NOUVEAU[SOCIETE],"TH4")</f>
        <v>550</v>
      </c>
      <c r="F51" s="17">
        <f t="shared" si="11"/>
        <v>0.16410593282630967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TH4'!$H:$H,'BAL N TH4'!$I:$I,$A52,'BAL N TH4'!$J:$J,"T")</f>
        <v>17844.07</v>
      </c>
      <c r="D52" s="17">
        <f t="shared" si="11"/>
        <v>5.0675031137872626</v>
      </c>
      <c r="E52" s="16">
        <f>SUMIFS(DONNEESCUM_N1_NOUVEAU[MONTANT],DONNEESCUM_N1_NOUVEAU[TL2],A52,DONNEESCUM_N1_NOUVEAU[MOIS],DONNÉES!$C$5,DONNEESCUM_N1_NOUVEAU[SOCIETE],"TH4")</f>
        <v>16960.13</v>
      </c>
      <c r="F52" s="17">
        <f t="shared" si="11"/>
        <v>5.06046900819178</v>
      </c>
      <c r="G52" s="16">
        <f t="shared" si="12"/>
        <v>883.93999999999869</v>
      </c>
      <c r="H52" s="17">
        <f t="shared" si="13"/>
        <v>5.2118704278799672</v>
      </c>
    </row>
    <row r="53" spans="1:8" s="18" customFormat="1" x14ac:dyDescent="0.2">
      <c r="A53" s="13" t="s">
        <v>44</v>
      </c>
      <c r="B53" s="14" t="s">
        <v>62</v>
      </c>
      <c r="C53" s="23">
        <f>SUMIFS('BAL N TH4'!$H:$H,'BAL N TH4'!$I:$I,$A53,'BAL N TH4'!$J:$J,"T")</f>
        <v>1552.74</v>
      </c>
      <c r="D53" s="17">
        <f t="shared" si="11"/>
        <v>0.44095964569193208</v>
      </c>
      <c r="E53" s="16">
        <f>SUMIFS(DONNEESCUM_N1_NOUVEAU[MONTANT],DONNEESCUM_N1_NOUVEAU[TL2],A53,DONNEESCUM_N1_NOUVEAU[MOIS],DONNÉES!$C$5,DONNEESCUM_N1_NOUVEAU[SOCIETE],"TH4")</f>
        <v>1439</v>
      </c>
      <c r="F53" s="17">
        <f t="shared" si="11"/>
        <v>0.42936079515829018</v>
      </c>
      <c r="G53" s="16">
        <f t="shared" si="12"/>
        <v>113.74000000000001</v>
      </c>
      <c r="H53" s="17">
        <f t="shared" si="13"/>
        <v>7.9041000694927028</v>
      </c>
    </row>
    <row r="54" spans="1:8" s="18" customFormat="1" x14ac:dyDescent="0.2">
      <c r="A54" s="13" t="s">
        <v>45</v>
      </c>
      <c r="B54" s="14" t="s">
        <v>41</v>
      </c>
      <c r="C54" s="23">
        <f>SUMIFS('BAL N TH4'!$H:$H,'BAL N TH4'!$I:$I,$A54,'BAL N TH4'!$J:$J,"T")</f>
        <v>1615</v>
      </c>
      <c r="D54" s="17">
        <f t="shared" si="11"/>
        <v>0.4586407433262944</v>
      </c>
      <c r="E54" s="16">
        <f>SUMIFS(DONNEESCUM_N1_NOUVEAU[MONTANT],DONNEESCUM_N1_NOUVEAU[TL2],A54,DONNEESCUM_N1_NOUVEAU[MOIS],DONNÉES!$C$5,DONNEESCUM_N1_NOUVEAU[SOCIETE],"TH4")</f>
        <v>1627.8</v>
      </c>
      <c r="F54" s="17">
        <f t="shared" si="11"/>
        <v>0.48569388628121246</v>
      </c>
      <c r="G54" s="16">
        <f t="shared" si="12"/>
        <v>-12.799999999999955</v>
      </c>
      <c r="H54" s="17">
        <f t="shared" si="13"/>
        <v>-0.7863373878854869</v>
      </c>
    </row>
    <row r="55" spans="1:8" s="18" customFormat="1" x14ac:dyDescent="0.2">
      <c r="A55" s="13" t="s">
        <v>47</v>
      </c>
      <c r="B55" s="14" t="s">
        <v>43</v>
      </c>
      <c r="C55" s="23">
        <f>SUMIFS('BAL N TH4'!$H:$H,'BAL N TH4'!$I:$I,$A55,'BAL N TH4'!$J:$J,"T")</f>
        <v>2540.71</v>
      </c>
      <c r="D55" s="17">
        <f t="shared" si="11"/>
        <v>0.72153134549631537</v>
      </c>
      <c r="E55" s="16">
        <f>SUMIFS(DONNEESCUM_N1_NOUVEAU[MONTANT],DONNEESCUM_N1_NOUVEAU[TL2],A55,DONNEESCUM_N1_NOUVEAU[MOIS],DONNÉES!$C$5,DONNEESCUM_N1_NOUVEAU[SOCIETE],"TH4")</f>
        <v>2711.8</v>
      </c>
      <c r="F55" s="17">
        <f t="shared" si="11"/>
        <v>0.80913176116070273</v>
      </c>
      <c r="G55" s="16">
        <f t="shared" si="12"/>
        <v>-171.09000000000015</v>
      </c>
      <c r="H55" s="17">
        <f t="shared" si="13"/>
        <v>-6.3090935909727905</v>
      </c>
    </row>
    <row r="56" spans="1:8" s="18" customFormat="1" x14ac:dyDescent="0.2">
      <c r="A56" s="13" t="s">
        <v>48</v>
      </c>
      <c r="B56" s="14" t="s">
        <v>46</v>
      </c>
      <c r="C56" s="23">
        <f>SUMIFS('BAL N TH4'!$H:$H,'BAL N TH4'!$I:$I,$A56,'BAL N TH4'!$J:$J,"T")</f>
        <v>11000</v>
      </c>
      <c r="D56" s="17">
        <f t="shared" si="11"/>
        <v>3.1238688399933365</v>
      </c>
      <c r="E56" s="16">
        <f>SUMIFS(DONNEESCUM_N1_NOUVEAU[MONTANT],DONNEESCUM_N1_NOUVEAU[TL2],A56,DONNEESCUM_N1_NOUVEAU[MOIS],DONNÉES!$C$5,DONNEESCUM_N1_NOUVEAU[SOCIETE],"TH4")</f>
        <v>12000</v>
      </c>
      <c r="F56" s="17">
        <f t="shared" si="11"/>
        <v>3.580493079846756</v>
      </c>
      <c r="G56" s="16">
        <f t="shared" si="12"/>
        <v>-1000</v>
      </c>
      <c r="H56" s="17">
        <f t="shared" si="13"/>
        <v>-8.3333333333333321</v>
      </c>
    </row>
    <row r="57" spans="1:8" s="18" customFormat="1" x14ac:dyDescent="0.2">
      <c r="A57" s="13" t="s">
        <v>50</v>
      </c>
      <c r="B57" s="14" t="s">
        <v>2990</v>
      </c>
      <c r="C57" s="23">
        <f>SUMIFS('BAL N TH4'!$H:$H,'BAL N TH4'!$I:$I,$A57,'BAL N TH4'!$J:$J,"T")</f>
        <v>365.61</v>
      </c>
      <c r="D57" s="17">
        <f t="shared" si="11"/>
        <v>0.10382888059908761</v>
      </c>
      <c r="E57" s="16">
        <f>SUMIFS(DONNEESCUM_N1_NOUVEAU[MONTANT],DONNEESCUM_N1_NOUVEAU[TL2],A57,DONNEESCUM_N1_NOUVEAU[MOIS],DONNÉES!$C$5,DONNEESCUM_N1_NOUVEAU[SOCIETE],"TH4")</f>
        <v>0</v>
      </c>
      <c r="F57" s="17">
        <f t="shared" si="11"/>
        <v>0</v>
      </c>
      <c r="G57" s="16">
        <f t="shared" si="12"/>
        <v>365.61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TH4'!$H:$H,'BAL N TH4'!$I:$I,$A58,'BAL N TH4'!$J:$J,"T")</f>
        <v>429.58</v>
      </c>
      <c r="D58" s="17">
        <f t="shared" si="11"/>
        <v>0.12199559784403068</v>
      </c>
      <c r="E58" s="16">
        <f>SUMIFS(DONNEESCUM_N1_NOUVEAU[MONTANT],DONNEESCUM_N1_NOUVEAU[TL2],A58,DONNEESCUM_N1_NOUVEAU[MOIS],DONNÉES!$C$5,DONNEESCUM_N1_NOUVEAU[SOCIETE],"TH4")</f>
        <v>1113.97</v>
      </c>
      <c r="F58" s="17">
        <f t="shared" si="11"/>
        <v>0.33238015634640755</v>
      </c>
      <c r="G58" s="16">
        <f t="shared" si="12"/>
        <v>-684.3900000000001</v>
      </c>
      <c r="H58" s="17">
        <f t="shared" si="13"/>
        <v>-61.437022541002008</v>
      </c>
    </row>
    <row r="59" spans="1:8" ht="13.5" thickBot="1" x14ac:dyDescent="0.25">
      <c r="A59" s="13"/>
      <c r="B59" s="63" t="s">
        <v>2994</v>
      </c>
      <c r="C59" s="49">
        <f>SUM(C51:C58)</f>
        <v>35897.710000000006</v>
      </c>
      <c r="D59" s="50">
        <f t="shared" si="11"/>
        <v>10.194521608737928</v>
      </c>
      <c r="E59" s="51">
        <f>SUM(E51:E58)</f>
        <v>36402.699999999997</v>
      </c>
      <c r="F59" s="50">
        <f t="shared" si="11"/>
        <v>10.861634619811458</v>
      </c>
      <c r="G59" s="51">
        <f>SUM(G51:G58)</f>
        <v>-504.99000000000149</v>
      </c>
      <c r="H59" s="50">
        <f t="shared" si="13"/>
        <v>-1.3872322657385345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224722.92</v>
      </c>
      <c r="D61" s="71">
        <f>(C61*100)/C$8</f>
        <v>63.818629765483209</v>
      </c>
      <c r="E61" s="72">
        <f>E59+E49+E42+E33+E26</f>
        <v>213143.75999999998</v>
      </c>
      <c r="F61" s="71">
        <f>(E61*100)/E$8</f>
        <v>63.596646474376477</v>
      </c>
      <c r="G61" s="72">
        <f>G59+G49+G42+G33+G26</f>
        <v>11579.160000000007</v>
      </c>
      <c r="H61" s="71">
        <f>IF(E61=0,0,G61/E61*100)</f>
        <v>5.4325587575259107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TH4'!$H:$H,'BAL N TH4'!$I:$I,$A63,'BAL N TH4'!$J:$J,"T")</f>
        <v>4773.92</v>
      </c>
      <c r="D63" s="17">
        <f t="shared" ref="D63:F65" si="14">(C63*100)/C$8</f>
        <v>1.3557363575109989</v>
      </c>
      <c r="E63" s="16">
        <f>-SUMIFS(DONNEESCUM_N1_NOUVEAU[MONTANT],DONNEESCUM_N1_NOUVEAU[TL2],A63,DONNEESCUM_N1_NOUVEAU[MOIS],DONNÉES!$C$5,DONNEESCUM_N1_NOUVEAU[SOCIETE],"TH4")</f>
        <v>4053.31</v>
      </c>
      <c r="F63" s="17">
        <f t="shared" si="14"/>
        <v>1.2094040337894714</v>
      </c>
      <c r="G63" s="16">
        <f>+C63-E63</f>
        <v>720.61000000000013</v>
      </c>
      <c r="H63" s="17">
        <f>IF(E63=0,0,G63/E63*100)</f>
        <v>17.778309579084748</v>
      </c>
    </row>
    <row r="64" spans="1:8" s="18" customFormat="1" x14ac:dyDescent="0.2">
      <c r="A64" s="13" t="s">
        <v>2992</v>
      </c>
      <c r="B64" s="68" t="s">
        <v>65</v>
      </c>
      <c r="C64" s="23">
        <f>SUMIFS('BAL N TH4'!$H:$H,'BAL N TH4'!$I:$I,$A64,'BAL N TH4'!$J:$J,"T")</f>
        <v>5422.02</v>
      </c>
      <c r="D64" s="17">
        <f t="shared" si="14"/>
        <v>1.539789029801879</v>
      </c>
      <c r="E64" s="24">
        <f>SUMIFS(DONNEESCUM_N1_NOUVEAU[MONTANT],DONNEESCUM_N1_NOUVEAU[TL2],A64,DONNEESCUM_N1_NOUVEAU[MOIS],DONNÉES!$C$5,DONNEESCUM_N1_NOUVEAU[SOCIETE],"TH4")</f>
        <v>4503.93</v>
      </c>
      <c r="F64" s="17">
        <f t="shared" si="14"/>
        <v>1.3438575164261835</v>
      </c>
      <c r="G64" s="16">
        <f>+C64-E64</f>
        <v>918.09000000000015</v>
      </c>
      <c r="H64" s="17">
        <f>IF(E64=0,0,G64/E64*100)</f>
        <v>20.38419780058749</v>
      </c>
    </row>
    <row r="65" spans="1:9" s="59" customFormat="1" ht="13.5" x14ac:dyDescent="0.2">
      <c r="A65" s="13"/>
      <c r="B65" s="62" t="s">
        <v>53</v>
      </c>
      <c r="C65" s="67">
        <f>+C63-C64</f>
        <v>-648.10000000000036</v>
      </c>
      <c r="D65" s="56">
        <f t="shared" si="14"/>
        <v>-0.18405267229088021</v>
      </c>
      <c r="E65" s="57">
        <f>+E63-E64</f>
        <v>-450.62000000000035</v>
      </c>
      <c r="F65" s="56">
        <f t="shared" si="14"/>
        <v>-0.13445348263671222</v>
      </c>
      <c r="G65" s="58">
        <f>+G63-G64</f>
        <v>-197.48000000000002</v>
      </c>
      <c r="H65" s="56">
        <f>IF(E65=0,0,G65/E65*100)</f>
        <v>43.824064622076222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TH4'!$H:$H,'BAL N TH4'!$I:$I,$A67,'BAL N TH4'!$J:$J,"T")</f>
        <v>0</v>
      </c>
      <c r="D67" s="17">
        <f>(C67*100)/C$8</f>
        <v>0</v>
      </c>
      <c r="E67" s="16">
        <f>-SUMIFS(DONNEESCUM_N1_NOUVEAU[MONTANT],DONNEESCUM_N1_NOUVEAU[TL2],A67,DONNEESCUM_N1_NOUVEAU[MOIS],DONNÉES!$C$5,DONNEESCUM_N1_NOUVEAU[SOCIETE],"TH4")</f>
        <v>-30.11</v>
      </c>
      <c r="F67" s="17">
        <f>(E67*100)/E$8</f>
        <v>-8.9840538861821525E-3</v>
      </c>
      <c r="G67" s="16">
        <f>+C67-E67</f>
        <v>30.11</v>
      </c>
      <c r="H67" s="17">
        <f>IF(E67=0,0,G67/E67*100)</f>
        <v>-100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33696.409999999982</v>
      </c>
      <c r="D69" s="10">
        <f>(C69*100)/C$8</f>
        <v>9.5693786562399819</v>
      </c>
      <c r="E69" s="9">
        <f>E18-E61+E65+E67</f>
        <v>36237.250000000007</v>
      </c>
      <c r="F69" s="10">
        <f>(E69*100)/E$8</f>
        <v>10.812268571473075</v>
      </c>
      <c r="G69" s="9">
        <f>G18-G61+G65+G67</f>
        <v>-2540.8399999999847</v>
      </c>
      <c r="H69" s="10">
        <f>IF(E69=0,0,G69/E69*100)</f>
        <v>-7.0116799701963703</v>
      </c>
    </row>
    <row r="70" spans="1:9" ht="13.5" thickBot="1" x14ac:dyDescent="0.25">
      <c r="A70" s="13"/>
      <c r="B70" s="63" t="s">
        <v>3034</v>
      </c>
      <c r="C70" s="49">
        <f>+C69-C67+C57+C56</f>
        <v>45062.019999999982</v>
      </c>
      <c r="D70" s="50">
        <f>(C70*100)/C$8</f>
        <v>12.797076376832406</v>
      </c>
      <c r="E70" s="49">
        <f>+E69-E67+E57+E56</f>
        <v>48267.360000000008</v>
      </c>
      <c r="F70" s="50">
        <f>(E70*100)/E$8</f>
        <v>14.401745705206013</v>
      </c>
      <c r="G70" s="49">
        <f>+G69-G67+G57+G56</f>
        <v>-3205.3399999999847</v>
      </c>
      <c r="H70" s="50">
        <f>IF(E70=0,0,G70/E70*100)</f>
        <v>-6.640802397313597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TH4'!$H:$H,'BAL N TH4'!$I:$I,$A72,'BAL N TH4'!$J:$J,"T")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-SUMIFS(DONNEESCUM_N1_NOUVEAU[MONTANT],DONNEESCUM_N1_NOUVEAU[TL2],A72,DONNEESCUM_N1_NOUVEAU[MOIS],DONNÉES!$C$5,DONNEESCUM_N1_NOUVEAU[SOCIETE],"TH4")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TH4'!$H:$H,'BAL N TH4'!$I:$I,$A74,'BAL N TH4'!$J:$J,"T")</f>
        <v>23967.33</v>
      </c>
      <c r="D74" s="10">
        <f>(C74*100)/C$8</f>
        <v>6.8064359422579539</v>
      </c>
      <c r="E74" s="9">
        <f>SUMIFS(DONNEESCUM_N1_NOUVEAU[MONTANT],DONNEESCUM_N1_NOUVEAU[TL2],A74,DONNEESCUM_N1_NOUVEAU[MOIS],DONNÉES!$C$5,DONNEESCUM_N1_NOUVEAU[SOCIETE],"TH4")</f>
        <v>21233.33</v>
      </c>
      <c r="F74" s="10">
        <f>(E74*100)/E$8</f>
        <v>6.3354825939252102</v>
      </c>
      <c r="G74" s="9">
        <f>+C74-E74</f>
        <v>2734</v>
      </c>
      <c r="H74" s="10">
        <f>IF(E74=0,0,G74/E74*100)</f>
        <v>12.875983183042885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9729.0799999999799</v>
      </c>
      <c r="D76" s="71">
        <f>(C76*100)/C$8</f>
        <v>2.762942713982028</v>
      </c>
      <c r="E76" s="72">
        <f>E69-E74+E72</f>
        <v>15003.920000000006</v>
      </c>
      <c r="F76" s="71">
        <f>(E76*100)/E$8</f>
        <v>4.4767859775478636</v>
      </c>
      <c r="G76" s="72">
        <f>G69-G74+G72</f>
        <v>-5274.8399999999847</v>
      </c>
      <c r="H76" s="71">
        <f>IF(E76=0,0,G76/E76*100)</f>
        <v>-35.156412457544313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VLOOKUP(PARAMETRES!$C$2,DONNÉES!$BN$188:$BT$199,2,FALSE)</f>
        <v>21816</v>
      </c>
      <c r="D78" s="324"/>
      <c r="E78" s="323">
        <f>VLOOKUP(PARAMETRES!$C$2,DONNÉES!$BN$188:$BT$199,3,FALSE)</f>
        <v>20262</v>
      </c>
      <c r="F78" s="324"/>
      <c r="G78" s="325">
        <f>C78-E78</f>
        <v>1554</v>
      </c>
      <c r="H78" s="326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VLOOKUP(PARAMETRES!$C$2,DONNÉES!$BN$284:$BT$295,2,FALSE)</f>
        <v>16.36</v>
      </c>
      <c r="D80" s="316"/>
      <c r="E80" s="315">
        <f>VLOOKUP(PARAMETRES!$C$2,DONNÉES!$BN$284:$BT$295,3,FALSE)</f>
        <v>16.739999999999998</v>
      </c>
      <c r="F80" s="316"/>
      <c r="G80" s="317">
        <f>(C80-E80)/E80</f>
        <v>-2.2700119474312965E-2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766F-10D7-4DED-9603-7EE3CA602F6B}">
  <sheetPr codeName="Feuil63">
    <tabColor rgb="FFFFC000"/>
    <pageSetUpPr fitToPage="1"/>
  </sheetPr>
  <dimension ref="A1:H1"/>
  <sheetViews>
    <sheetView showGridLines="0" view="pageBreakPreview" topLeftCell="A34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54B4-909A-48D1-BA1E-D3620A731786}">
  <sheetPr>
    <tabColor rgb="FFFFC000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299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DIVES'!$H:$H,'BAL N DIVES'!$I:$I,$A8,'BAL N DIVES'!$J:$J,"T")</f>
        <v>241429.07</v>
      </c>
      <c r="D8" s="71">
        <f>(C8*100)/C$8</f>
        <v>100</v>
      </c>
      <c r="E8" s="72">
        <f>-SUMIFS(DONNEESCUM_N1_NOUVEAU[MONTANT],DONNEESCUM_N1_NOUVEAU[TL2],A8,DONNEESCUM_N1_NOUVEAU[MOIS],DONNÉES!$C$5,DONNEESCUM_N1_NOUVEAU[SOCIETE],"DIVES")</f>
        <v>232055.39</v>
      </c>
      <c r="F8" s="71">
        <f>(E8*100)/E$8</f>
        <v>100</v>
      </c>
      <c r="G8" s="72">
        <f>+C8-E8</f>
        <v>9373.679999999993</v>
      </c>
      <c r="H8" s="71">
        <f>IF(E8=0,0,G8/E8*100)</f>
        <v>4.0394149000374409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DIVES'!$H:$H,'BAL N DIVES'!$I:$I,$A10,'BAL N DIVES'!$J:$J,"T")</f>
        <v>54126.95</v>
      </c>
      <c r="D10" s="17">
        <f t="shared" ref="D10:F16" si="0">(C10*100)/C$8</f>
        <v>22.419400447510316</v>
      </c>
      <c r="E10" s="16">
        <f>SUMIFS(DONNEESCUM_N1_NOUVEAU[MONTANT],DONNEESCUM_N1_NOUVEAU[TL2],A10,DONNEESCUM_N1_NOUVEAU[MOIS],DONNÉES!$C$5,DONNEESCUM_N1_NOUVEAU[SOCIETE],"DIVES")</f>
        <v>52458.81</v>
      </c>
      <c r="F10" s="17">
        <f t="shared" si="0"/>
        <v>22.6061588140659</v>
      </c>
      <c r="G10" s="16">
        <f>+C10-E10</f>
        <v>1668.1399999999994</v>
      </c>
      <c r="H10" s="17">
        <f t="shared" ref="H10:H16" si="1">IF(E10=0,0,G10/E10*100)</f>
        <v>3.1799043859363176</v>
      </c>
    </row>
    <row r="11" spans="1:8" s="18" customFormat="1" x14ac:dyDescent="0.2">
      <c r="A11" s="13" t="s">
        <v>124</v>
      </c>
      <c r="B11" s="14" t="s">
        <v>4</v>
      </c>
      <c r="C11" s="23">
        <f>SUMIFS('BAL N DIVES'!$H:$H,'BAL N DIVES'!$I:$I,$A11,'BAL N DIVES'!$J:$J,"T")</f>
        <v>1309.58</v>
      </c>
      <c r="D11" s="17">
        <f t="shared" si="0"/>
        <v>0.54242846563589042</v>
      </c>
      <c r="E11" s="16">
        <f>SUMIFS(DONNEESCUM_N1_NOUVEAU[MONTANT],DONNEESCUM_N1_NOUVEAU[TL2],A11,DONNEESCUM_N1_NOUVEAU[MOIS],DONNÉES!$C$5,DONNEESCUM_N1_NOUVEAU[SOCIETE],"DIVES")</f>
        <v>854.89</v>
      </c>
      <c r="F11" s="17">
        <f t="shared" si="0"/>
        <v>0.3683991136771268</v>
      </c>
      <c r="G11" s="16">
        <f>+C11-E11</f>
        <v>454.68999999999994</v>
      </c>
      <c r="H11" s="17">
        <f t="shared" si="1"/>
        <v>53.186959725812677</v>
      </c>
    </row>
    <row r="12" spans="1:8" s="18" customFormat="1" x14ac:dyDescent="0.2">
      <c r="A12" s="13" t="s">
        <v>125</v>
      </c>
      <c r="B12" s="14" t="s">
        <v>2</v>
      </c>
      <c r="C12" s="23">
        <f>SUMIFS('BAL N DIVES'!$H:$H,'BAL N DIVES'!$I:$I,$A12,'BAL N DIVES'!$J:$J,"T")</f>
        <v>1897.66</v>
      </c>
      <c r="D12" s="17">
        <f t="shared" si="0"/>
        <v>0.78601139456818514</v>
      </c>
      <c r="E12" s="16">
        <f>SUMIFS(DONNEESCUM_N1_NOUVEAU[MONTANT],DONNEESCUM_N1_NOUVEAU[TL2],A12,DONNEESCUM_N1_NOUVEAU[MOIS],DONNÉES!$C$5,DONNEESCUM_N1_NOUVEAU[SOCIETE],"DIVES")</f>
        <v>1092.3</v>
      </c>
      <c r="F12" s="17">
        <f t="shared" si="0"/>
        <v>0.47070658432023488</v>
      </c>
      <c r="G12" s="16">
        <f>+C12-E12</f>
        <v>805.36000000000013</v>
      </c>
      <c r="H12" s="17">
        <f t="shared" si="1"/>
        <v>73.730660075070958</v>
      </c>
    </row>
    <row r="13" spans="1:8" s="59" customFormat="1" ht="13.5" x14ac:dyDescent="0.2">
      <c r="A13" s="60"/>
      <c r="B13" s="62" t="s">
        <v>6</v>
      </c>
      <c r="C13" s="55">
        <f>SUM(C10:C12)</f>
        <v>57334.19</v>
      </c>
      <c r="D13" s="56">
        <f t="shared" si="0"/>
        <v>23.747840307714394</v>
      </c>
      <c r="E13" s="55">
        <f>SUM(E10:E12)</f>
        <v>54406</v>
      </c>
      <c r="F13" s="56">
        <f t="shared" si="0"/>
        <v>23.445264512063261</v>
      </c>
      <c r="G13" s="55">
        <f>SUM(G10:G12)</f>
        <v>2928.1899999999996</v>
      </c>
      <c r="H13" s="56">
        <f t="shared" si="1"/>
        <v>5.382108590964231</v>
      </c>
    </row>
    <row r="14" spans="1:8" s="18" customFormat="1" x14ac:dyDescent="0.2">
      <c r="A14" s="13" t="s">
        <v>126</v>
      </c>
      <c r="B14" s="14" t="s">
        <v>8</v>
      </c>
      <c r="C14" s="23">
        <f>SUMIFS('BAL N DIVES'!$H:$H,'BAL N DIVES'!$I:$I,$A14,'BAL N DIVES'!$J:$J,"T")</f>
        <v>5388.11</v>
      </c>
      <c r="D14" s="17">
        <f t="shared" si="0"/>
        <v>2.2317569296853939</v>
      </c>
      <c r="E14" s="16">
        <f>SUMIFS(DONNEESCUM_N1_NOUVEAU[MONTANT],DONNEESCUM_N1_NOUVEAU[TL2],A14,DONNEESCUM_N1_NOUVEAU[MOIS],DONNÉES!$C$5,DONNEESCUM_N1_NOUVEAU[SOCIETE],"DIVES")</f>
        <v>5484.25</v>
      </c>
      <c r="F14" s="17">
        <f t="shared" si="0"/>
        <v>2.3633366154520261</v>
      </c>
      <c r="G14" s="16">
        <f>+C14-E14</f>
        <v>-96.140000000000327</v>
      </c>
      <c r="H14" s="17">
        <f t="shared" si="1"/>
        <v>-1.753020011852128</v>
      </c>
    </row>
    <row r="15" spans="1:8" s="18" customFormat="1" x14ac:dyDescent="0.2">
      <c r="A15" s="13" t="s">
        <v>2964</v>
      </c>
      <c r="B15" s="14" t="s">
        <v>2965</v>
      </c>
      <c r="C15" s="23">
        <f>SUMIFS('BAL N DIVES'!$H:$H,'BAL N DIVES'!$I:$I,$A15,'BAL N DIVES'!$J:$J,"T")</f>
        <v>-200.18</v>
      </c>
      <c r="D15" s="17">
        <f t="shared" si="0"/>
        <v>-8.291462167335524E-2</v>
      </c>
      <c r="E15" s="16">
        <f>SUMIFS(DONNEESCUM_N1_NOUVEAU[MONTANT],DONNEESCUM_N1_NOUVEAU[TL2],A15,DONNEESCUM_N1_NOUVEAU[MOIS],DONNÉES!$C$5,DONNEESCUM_N1_NOUVEAU[SOCIETE],"DIVES")</f>
        <v>805.18</v>
      </c>
      <c r="F15" s="17">
        <f t="shared" si="0"/>
        <v>0.34697750394851845</v>
      </c>
      <c r="G15" s="16">
        <f>+C15-E15</f>
        <v>-1005.3599999999999</v>
      </c>
      <c r="H15" s="17">
        <f t="shared" si="1"/>
        <v>-124.8615216473335</v>
      </c>
    </row>
    <row r="16" spans="1:8" ht="13.5" thickBot="1" x14ac:dyDescent="0.25">
      <c r="A16" s="7"/>
      <c r="B16" s="63" t="s">
        <v>10</v>
      </c>
      <c r="C16" s="49">
        <f>+C13+SUM(C14:C15)</f>
        <v>62522.12</v>
      </c>
      <c r="D16" s="50">
        <f t="shared" si="0"/>
        <v>25.896682615726434</v>
      </c>
      <c r="E16" s="49">
        <f>+E13+SUM(E14:E15)</f>
        <v>60695.43</v>
      </c>
      <c r="F16" s="50">
        <f t="shared" si="0"/>
        <v>26.155578631463804</v>
      </c>
      <c r="G16" s="49">
        <f>+G13+SUM(G14:G15)</f>
        <v>1826.6899999999994</v>
      </c>
      <c r="H16" s="50">
        <f t="shared" si="1"/>
        <v>3.0096005580650789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178906.95</v>
      </c>
      <c r="D18" s="71">
        <f>(C18*100)/C$8</f>
        <v>74.103317384273566</v>
      </c>
      <c r="E18" s="70">
        <f>E8-E16</f>
        <v>171359.96000000002</v>
      </c>
      <c r="F18" s="71">
        <f>(E18*100)/E$8</f>
        <v>73.844421368536203</v>
      </c>
      <c r="G18" s="70">
        <f>G8-G16</f>
        <v>7546.9899999999934</v>
      </c>
      <c r="H18" s="71">
        <f>IF(E18=0,0,G18/E18*100)</f>
        <v>4.4041735303859735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DIVES'!$H:$H,'BAL N DIVES'!$I:$I,$A20,'BAL N DIVES'!$J:$J,"T")</f>
        <v>34545.57</v>
      </c>
      <c r="D20" s="17">
        <f t="shared" ref="D20:F26" si="2">(C20*100)/C$8</f>
        <v>14.308786427417377</v>
      </c>
      <c r="E20" s="16">
        <f>SUMIFS(DONNEESCUM_N1_NOUVEAU[MONTANT],DONNEESCUM_N1_NOUVEAU[TL2],A20,DONNEESCUM_N1_NOUVEAU[MOIS],DONNÉES!$C$5,DONNEESCUM_N1_NOUVEAU[SOCIETE],"DIVES")</f>
        <v>37599.199999999997</v>
      </c>
      <c r="F20" s="17">
        <f t="shared" si="2"/>
        <v>16.202683333492057</v>
      </c>
      <c r="G20" s="16">
        <f t="shared" ref="G20:G25" si="3">+C20-E20</f>
        <v>-3053.6299999999974</v>
      </c>
      <c r="H20" s="17">
        <f t="shared" ref="H20:H26" si="4">IF(E20=0,0,G20/E20*100)</f>
        <v>-8.1215291814719404</v>
      </c>
    </row>
    <row r="21" spans="1:8" s="18" customFormat="1" x14ac:dyDescent="0.2">
      <c r="A21" s="13">
        <v>9</v>
      </c>
      <c r="B21" s="14" t="s">
        <v>2968</v>
      </c>
      <c r="C21" s="23">
        <f>SUMIFS('BAL N DIVES'!$H:$H,'BAL N DIVES'!$I:$I,$A21,'BAL N DIVES'!$J:$J,"T")</f>
        <v>5064.83</v>
      </c>
      <c r="D21" s="17">
        <f t="shared" si="2"/>
        <v>2.0978542476264352</v>
      </c>
      <c r="E21" s="16">
        <f>SUMIFS(DONNEESCUM_N1_NOUVEAU[MONTANT],DONNEESCUM_N1_NOUVEAU[TL2],A21,DONNEESCUM_N1_NOUVEAU[MOIS],DONNÉES!$C$5,DONNEESCUM_N1_NOUVEAU[SOCIETE],"DIVES")</f>
        <v>4206.49</v>
      </c>
      <c r="F21" s="17">
        <f t="shared" si="2"/>
        <v>1.8127094569964524</v>
      </c>
      <c r="G21" s="16">
        <f t="shared" si="3"/>
        <v>858.34000000000015</v>
      </c>
      <c r="H21" s="17">
        <f t="shared" si="4"/>
        <v>20.405135873376619</v>
      </c>
    </row>
    <row r="22" spans="1:8" s="18" customFormat="1" x14ac:dyDescent="0.2">
      <c r="A22" s="13" t="s">
        <v>12</v>
      </c>
      <c r="B22" s="14" t="s">
        <v>14</v>
      </c>
      <c r="C22" s="23">
        <f>SUMIFS('BAL N DIVES'!$H:$H,'BAL N DIVES'!$I:$I,$A22,'BAL N DIVES'!$J:$J,"T")</f>
        <v>17646.900000000001</v>
      </c>
      <c r="D22" s="17">
        <f t="shared" si="2"/>
        <v>7.3093517694451631</v>
      </c>
      <c r="E22" s="16">
        <f>SUMIFS(DONNEESCUM_N1_NOUVEAU[MONTANT],DONNEESCUM_N1_NOUVEAU[TL2],A22,DONNEESCUM_N1_NOUVEAU[MOIS],DONNÉES!$C$5,DONNEESCUM_N1_NOUVEAU[SOCIETE],"DIVES")</f>
        <v>15344.28</v>
      </c>
      <c r="F22" s="17">
        <f t="shared" si="2"/>
        <v>6.612335098098777</v>
      </c>
      <c r="G22" s="16">
        <f t="shared" si="3"/>
        <v>2302.6200000000008</v>
      </c>
      <c r="H22" s="17">
        <f t="shared" si="4"/>
        <v>15.006373710594442</v>
      </c>
    </row>
    <row r="23" spans="1:8" s="18" customFormat="1" x14ac:dyDescent="0.2">
      <c r="A23" s="13" t="s">
        <v>13</v>
      </c>
      <c r="B23" s="14" t="s">
        <v>2966</v>
      </c>
      <c r="C23" s="23">
        <f>SUMIFS('BAL N DIVES'!$H:$H,'BAL N DIVES'!$I:$I,$A23,'BAL N DIVES'!$J:$J,"T")</f>
        <v>3707.78</v>
      </c>
      <c r="D23" s="17">
        <f t="shared" si="2"/>
        <v>1.5357636924169902</v>
      </c>
      <c r="E23" s="16">
        <f>SUMIFS(DONNEESCUM_N1_NOUVEAU[MONTANT],DONNEESCUM_N1_NOUVEAU[TL2],A23,DONNEESCUM_N1_NOUVEAU[MOIS],DONNÉES!$C$5,DONNEESCUM_N1_NOUVEAU[SOCIETE],"DIVES")</f>
        <v>4070.07</v>
      </c>
      <c r="F23" s="17">
        <f t="shared" si="2"/>
        <v>1.753921768419169</v>
      </c>
      <c r="G23" s="16">
        <f t="shared" si="3"/>
        <v>-362.28999999999996</v>
      </c>
      <c r="H23" s="17">
        <f t="shared" si="4"/>
        <v>-8.9013211074993777</v>
      </c>
    </row>
    <row r="24" spans="1:8" s="18" customFormat="1" x14ac:dyDescent="0.2">
      <c r="A24" s="13" t="s">
        <v>15</v>
      </c>
      <c r="B24" s="14" t="s">
        <v>2969</v>
      </c>
      <c r="C24" s="23">
        <f>SUMIFS('BAL N DIVES'!$H:$H,'BAL N DIVES'!$I:$I,$A24,'BAL N DIVES'!$J:$J,"T")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SUMIFS(DONNEESCUM_N1_NOUVEAU[MONTANT],DONNEESCUM_N1_NOUVEAU[TL2],A24,DONNEESCUM_N1_NOUVEAU[MOIS],DONNÉES!$C$5,DONNEESCUM_N1_NOUVEAU[SOCIETE],"DIVES")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DIVES'!$H:$H,'BAL N DIVES'!$I:$I,$A25,'BAL N DIVES'!$J:$J,"T")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SUMIFS(DONNEESCUM_N1_NOUVEAU[MONTANT],DONNEESCUM_N1_NOUVEAU[TL2],A25,DONNEESCUM_N1_NOUVEAU[MOIS],DONNÉES!$C$5,DONNEESCUM_N1_NOUVEAU[SOCIETE],"DIVES")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60965.08</v>
      </c>
      <c r="D26" s="50">
        <f t="shared" si="2"/>
        <v>25.251756136905964</v>
      </c>
      <c r="E26" s="51">
        <f>SUM(E20:E25)</f>
        <v>61220.039999999994</v>
      </c>
      <c r="F26" s="50">
        <f t="shared" si="2"/>
        <v>26.381649657006452</v>
      </c>
      <c r="G26" s="51">
        <f>SUM(G20:G25)</f>
        <v>-254.9599999999964</v>
      </c>
      <c r="H26" s="50">
        <f t="shared" si="4"/>
        <v>-0.41646493533816126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DIVES'!$H:$H,'BAL N DIVES'!$I:$I,$A28,'BAL N DIVES'!$J:$J,"T")</f>
        <v>10079</v>
      </c>
      <c r="D28" s="17">
        <f t="shared" ref="D28:F33" si="5">(C28*100)/C$8</f>
        <v>4.174725106632768</v>
      </c>
      <c r="E28" s="16">
        <f>SUMIFS(DONNEESCUM_N1_NOUVEAU[MONTANT],DONNEESCUM_N1_NOUVEAU[TL2],A28,DONNEESCUM_N1_NOUVEAU[MOIS],DONNÉES!$C$5,DONNEESCUM_N1_NOUVEAU[SOCIETE],"DIVES")</f>
        <v>3290</v>
      </c>
      <c r="F28" s="17">
        <f t="shared" si="5"/>
        <v>1.417764956892404</v>
      </c>
      <c r="G28" s="16">
        <f>+C28-E28</f>
        <v>6789</v>
      </c>
      <c r="H28" s="17">
        <f t="shared" ref="H28:H33" si="6">IF(E28=0,0,G28/E28*100)</f>
        <v>206.35258358662614</v>
      </c>
    </row>
    <row r="29" spans="1:8" s="18" customFormat="1" x14ac:dyDescent="0.2">
      <c r="A29" s="13" t="s">
        <v>20</v>
      </c>
      <c r="B29" s="14" t="s">
        <v>2972</v>
      </c>
      <c r="C29" s="23">
        <f>SUMIFS('BAL N DIVES'!$H:$H,'BAL N DIVES'!$I:$I,$A29,'BAL N DIVES'!$J:$J,"T")</f>
        <v>55</v>
      </c>
      <c r="D29" s="17">
        <f t="shared" si="5"/>
        <v>2.2781018043933152E-2</v>
      </c>
      <c r="E29" s="16">
        <f>SUMIFS(DONNEESCUM_N1_NOUVEAU[MONTANT],DONNEESCUM_N1_NOUVEAU[TL2],A29,DONNEESCUM_N1_NOUVEAU[MOIS],DONNÉES!$C$5,DONNEESCUM_N1_NOUVEAU[SOCIETE],"DIVES")</f>
        <v>562.13</v>
      </c>
      <c r="F29" s="17">
        <f t="shared" si="5"/>
        <v>0.24223957909359484</v>
      </c>
      <c r="G29" s="16">
        <f>+C29-E29</f>
        <v>-507.13</v>
      </c>
      <c r="H29" s="17">
        <f t="shared" si="6"/>
        <v>-90.215786383932539</v>
      </c>
    </row>
    <row r="30" spans="1:8" s="18" customFormat="1" x14ac:dyDescent="0.2">
      <c r="A30" s="13" t="s">
        <v>21</v>
      </c>
      <c r="B30" s="14" t="s">
        <v>2973</v>
      </c>
      <c r="C30" s="23">
        <f>SUMIFS('BAL N DIVES'!$H:$H,'BAL N DIVES'!$I:$I,$A30,'BAL N DIVES'!$J:$J,"T")</f>
        <v>2132.15</v>
      </c>
      <c r="D30" s="17">
        <f t="shared" si="5"/>
        <v>0.88313722949767393</v>
      </c>
      <c r="E30" s="16">
        <f>SUMIFS(DONNEESCUM_N1_NOUVEAU[MONTANT],DONNEESCUM_N1_NOUVEAU[TL2],A30,DONNEESCUM_N1_NOUVEAU[MOIS],DONNÉES!$C$5,DONNEESCUM_N1_NOUVEAU[SOCIETE],"DIVES")</f>
        <v>2239.54</v>
      </c>
      <c r="F30" s="17">
        <f t="shared" si="5"/>
        <v>0.96508855062577936</v>
      </c>
      <c r="G30" s="16">
        <f>+C30-E30</f>
        <v>-107.38999999999987</v>
      </c>
      <c r="H30" s="17">
        <f t="shared" si="6"/>
        <v>-4.7951811532725417</v>
      </c>
    </row>
    <row r="31" spans="1:8" s="18" customFormat="1" x14ac:dyDescent="0.2">
      <c r="A31" s="13" t="s">
        <v>23</v>
      </c>
      <c r="B31" s="14" t="s">
        <v>2974</v>
      </c>
      <c r="C31" s="23">
        <f>SUMIFS('BAL N DIVES'!$H:$H,'BAL N DIVES'!$I:$I,$A31,'BAL N DIVES'!$J:$J,"T")</f>
        <v>307.05</v>
      </c>
      <c r="D31" s="17">
        <f t="shared" si="5"/>
        <v>0.1271802107343577</v>
      </c>
      <c r="E31" s="16">
        <f>SUMIFS(DONNEESCUM_N1_NOUVEAU[MONTANT],DONNEESCUM_N1_NOUVEAU[TL2],A31,DONNEESCUM_N1_NOUVEAU[MOIS],DONNÉES!$C$5,DONNEESCUM_N1_NOUVEAU[SOCIETE],"DIVES")</f>
        <v>2581.67</v>
      </c>
      <c r="F31" s="17">
        <f t="shared" si="5"/>
        <v>1.1125231781946543</v>
      </c>
      <c r="G31" s="16">
        <f>+C31-E31</f>
        <v>-2274.62</v>
      </c>
      <c r="H31" s="17">
        <f t="shared" si="6"/>
        <v>-88.106535692013296</v>
      </c>
    </row>
    <row r="32" spans="1:8" s="18" customFormat="1" x14ac:dyDescent="0.2">
      <c r="A32" s="13" t="s">
        <v>25</v>
      </c>
      <c r="B32" s="14" t="s">
        <v>2975</v>
      </c>
      <c r="C32" s="23">
        <f>SUMIFS('BAL N DIVES'!$H:$H,'BAL N DIVES'!$I:$I,$A32,'BAL N DIVES'!$J:$J,"T")</f>
        <v>6514.4</v>
      </c>
      <c r="D32" s="17">
        <f t="shared" si="5"/>
        <v>2.6982666171890566</v>
      </c>
      <c r="E32" s="16">
        <f>SUMIFS(DONNEESCUM_N1_NOUVEAU[MONTANT],DONNEESCUM_N1_NOUVEAU[TL2],A32,DONNEESCUM_N1_NOUVEAU[MOIS],DONNÉES!$C$5,DONNEESCUM_N1_NOUVEAU[SOCIETE],"DIVES")</f>
        <v>7111.06</v>
      </c>
      <c r="F32" s="17">
        <f t="shared" si="5"/>
        <v>3.0643804481335253</v>
      </c>
      <c r="G32" s="16">
        <f>+C32-E32</f>
        <v>-596.66000000000076</v>
      </c>
      <c r="H32" s="17">
        <f t="shared" si="6"/>
        <v>-8.3905915573768297</v>
      </c>
    </row>
    <row r="33" spans="1:8" ht="13.5" thickBot="1" x14ac:dyDescent="0.25">
      <c r="A33" s="7"/>
      <c r="B33" s="63" t="s">
        <v>2976</v>
      </c>
      <c r="C33" s="49">
        <f>SUM(C28:C32)</f>
        <v>19087.599999999999</v>
      </c>
      <c r="D33" s="50">
        <f t="shared" si="5"/>
        <v>7.9060901820977882</v>
      </c>
      <c r="E33" s="51">
        <f>SUM(E28:E32)</f>
        <v>15784.400000000001</v>
      </c>
      <c r="F33" s="50">
        <f t="shared" si="5"/>
        <v>6.8019967129399586</v>
      </c>
      <c r="G33" s="51">
        <f>SUM(G28:G32)</f>
        <v>3303.1999999999989</v>
      </c>
      <c r="H33" s="50">
        <f t="shared" si="6"/>
        <v>20.926991206507683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DIVES'!$H:$H,'BAL N DIVES'!$I:$I,$A35,'BAL N DIVES'!$J:$J,"T")</f>
        <v>215.56</v>
      </c>
      <c r="D35" s="17">
        <f t="shared" ref="D35:F42" si="7">(C35*100)/C$8</f>
        <v>8.9285022719095095E-2</v>
      </c>
      <c r="E35" s="16">
        <f>SUMIFS(DONNEESCUM_N1_NOUVEAU[MONTANT],DONNEESCUM_N1_NOUVEAU[TL2],A35,DONNEESCUM_N1_NOUVEAU[MOIS],DONNÉES!$C$5,DONNEESCUM_N1_NOUVEAU[SOCIETE],"DIVES")</f>
        <v>0</v>
      </c>
      <c r="F35" s="17">
        <f t="shared" si="7"/>
        <v>0</v>
      </c>
      <c r="G35" s="16">
        <f t="shared" ref="G35:G41" si="8">+C35-E35</f>
        <v>215.56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DIVES'!$H:$H,'BAL N DIVES'!$I:$I,$A36,'BAL N DIVES'!$J:$J,"T")</f>
        <v>9708.01</v>
      </c>
      <c r="D36" s="17">
        <f t="shared" si="7"/>
        <v>4.0210609269215176</v>
      </c>
      <c r="E36" s="16">
        <f>SUMIFS(DONNEESCUM_N1_NOUVEAU[MONTANT],DONNEESCUM_N1_NOUVEAU[TL2],A36,DONNEESCUM_N1_NOUVEAU[MOIS],DONNÉES!$C$5,DONNEESCUM_N1_NOUVEAU[SOCIETE],"DIVES")</f>
        <v>9273.61</v>
      </c>
      <c r="F36" s="17">
        <f t="shared" si="7"/>
        <v>3.996291575041631</v>
      </c>
      <c r="G36" s="16">
        <f t="shared" si="8"/>
        <v>434.39999999999964</v>
      </c>
      <c r="H36" s="17">
        <f t="shared" si="9"/>
        <v>4.6842599591744705</v>
      </c>
    </row>
    <row r="37" spans="1:8" s="18" customFormat="1" x14ac:dyDescent="0.2">
      <c r="A37" s="13" t="s">
        <v>32</v>
      </c>
      <c r="B37" s="14" t="s">
        <v>19</v>
      </c>
      <c r="C37" s="23">
        <f>SUMIFS('BAL N DIVES'!$H:$H,'BAL N DIVES'!$I:$I,$A37,'BAL N DIVES'!$J:$J,"T")</f>
        <v>4626.37</v>
      </c>
      <c r="D37" s="17">
        <f t="shared" si="7"/>
        <v>1.9162439717802002</v>
      </c>
      <c r="E37" s="16">
        <f>SUMIFS(DONNEESCUM_N1_NOUVEAU[MONTANT],DONNEESCUM_N1_NOUVEAU[TL2],A37,DONNEESCUM_N1_NOUVEAU[MOIS],DONNÉES!$C$5,DONNEESCUM_N1_NOUVEAU[SOCIETE],"DIVES")</f>
        <v>5320.34</v>
      </c>
      <c r="F37" s="17">
        <f t="shared" si="7"/>
        <v>2.2927026172501312</v>
      </c>
      <c r="G37" s="16">
        <f t="shared" si="8"/>
        <v>-693.97000000000025</v>
      </c>
      <c r="H37" s="17">
        <f t="shared" si="9"/>
        <v>-13.043715251280938</v>
      </c>
    </row>
    <row r="38" spans="1:8" s="18" customFormat="1" x14ac:dyDescent="0.2">
      <c r="A38" s="13" t="s">
        <v>34</v>
      </c>
      <c r="B38" s="14" t="s">
        <v>28</v>
      </c>
      <c r="C38" s="23">
        <f>SUMIFS('BAL N DIVES'!$H:$H,'BAL N DIVES'!$I:$I,$A38,'BAL N DIVES'!$J:$J,"T")</f>
        <v>8534.9</v>
      </c>
      <c r="D38" s="17">
        <f t="shared" si="7"/>
        <v>3.5351583800575463</v>
      </c>
      <c r="E38" s="16">
        <f>SUMIFS(DONNEESCUM_N1_NOUVEAU[MONTANT],DONNEESCUM_N1_NOUVEAU[TL2],A38,DONNEESCUM_N1_NOUVEAU[MOIS],DONNÉES!$C$5,DONNEESCUM_N1_NOUVEAU[SOCIETE],"DIVES")</f>
        <v>9487.7999999999993</v>
      </c>
      <c r="F38" s="17">
        <f t="shared" si="7"/>
        <v>4.0885928139829026</v>
      </c>
      <c r="G38" s="16">
        <f t="shared" si="8"/>
        <v>-952.89999999999964</v>
      </c>
      <c r="H38" s="17">
        <f t="shared" si="9"/>
        <v>-10.043424186850478</v>
      </c>
    </row>
    <row r="39" spans="1:8" s="18" customFormat="1" x14ac:dyDescent="0.2">
      <c r="A39" s="13" t="s">
        <v>2978</v>
      </c>
      <c r="B39" s="14" t="s">
        <v>2980</v>
      </c>
      <c r="C39" s="23">
        <f>SUMIFS('BAL N DIVES'!$H:$H,'BAL N DIVES'!$I:$I,$A39,'BAL N DIVES'!$J:$J,"T")</f>
        <v>633.1</v>
      </c>
      <c r="D39" s="17">
        <f t="shared" si="7"/>
        <v>0.26223022770207416</v>
      </c>
      <c r="E39" s="16">
        <f>SUMIFS(DONNEESCUM_N1_NOUVEAU[MONTANT],DONNEESCUM_N1_NOUVEAU[TL2],A39,DONNEESCUM_N1_NOUVEAU[MOIS],DONNÉES!$C$5,DONNEESCUM_N1_NOUVEAU[SOCIETE],"DIVES")</f>
        <v>2205.36</v>
      </c>
      <c r="F39" s="17">
        <f t="shared" si="7"/>
        <v>0.95035930861162066</v>
      </c>
      <c r="G39" s="16">
        <f t="shared" si="8"/>
        <v>-1572.2600000000002</v>
      </c>
      <c r="H39" s="17">
        <f t="shared" si="9"/>
        <v>-71.292668770631565</v>
      </c>
    </row>
    <row r="40" spans="1:8" s="18" customFormat="1" x14ac:dyDescent="0.2">
      <c r="A40" s="13" t="s">
        <v>2979</v>
      </c>
      <c r="B40" s="14" t="s">
        <v>2981</v>
      </c>
      <c r="C40" s="23">
        <f>SUMIFS('BAL N DIVES'!$H:$H,'BAL N DIVES'!$I:$I,$A40,'BAL N DIVES'!$J:$J,"T")</f>
        <v>0</v>
      </c>
      <c r="D40" s="17">
        <f t="shared" si="7"/>
        <v>0</v>
      </c>
      <c r="E40" s="16">
        <f>SUMIFS(DONNEESCUM_N1_NOUVEAU[MONTANT],DONNEESCUM_N1_NOUVEAU[TL2],A40,DONNEESCUM_N1_NOUVEAU[MOIS],DONNÉES!$C$5,DONNEESCUM_N1_NOUVEAU[SOCIETE],"DIVES")</f>
        <v>440.22</v>
      </c>
      <c r="F40" s="17">
        <f t="shared" si="7"/>
        <v>0.18970470800096476</v>
      </c>
      <c r="G40" s="16">
        <f t="shared" si="8"/>
        <v>-440.22</v>
      </c>
      <c r="H40" s="17">
        <f t="shared" si="9"/>
        <v>-100</v>
      </c>
    </row>
    <row r="41" spans="1:8" s="18" customFormat="1" x14ac:dyDescent="0.2">
      <c r="A41" s="13" t="s">
        <v>2982</v>
      </c>
      <c r="B41" s="14" t="s">
        <v>2983</v>
      </c>
      <c r="C41" s="23">
        <f>SUMIFS('BAL N DIVES'!$H:$H,'BAL N DIVES'!$I:$I,$A41,'BAL N DIVES'!$J:$J,"T")</f>
        <v>580.19000000000005</v>
      </c>
      <c r="D41" s="17">
        <f t="shared" si="7"/>
        <v>0.24031488834381048</v>
      </c>
      <c r="E41" s="16">
        <f>SUMIFS(DONNEESCUM_N1_NOUVEAU[MONTANT],DONNEESCUM_N1_NOUVEAU[TL2],A41,DONNEESCUM_N1_NOUVEAU[MOIS],DONNÉES!$C$5,DONNEESCUM_N1_NOUVEAU[SOCIETE],"DIVES")</f>
        <v>906.98</v>
      </c>
      <c r="F41" s="17">
        <f t="shared" si="7"/>
        <v>0.39084634060859347</v>
      </c>
      <c r="G41" s="16">
        <f t="shared" si="8"/>
        <v>-326.78999999999996</v>
      </c>
      <c r="H41" s="17">
        <f t="shared" si="9"/>
        <v>-36.030562967209853</v>
      </c>
    </row>
    <row r="42" spans="1:8" ht="13.5" thickBot="1" x14ac:dyDescent="0.25">
      <c r="A42" s="13"/>
      <c r="B42" s="63" t="s">
        <v>2984</v>
      </c>
      <c r="C42" s="49">
        <f>+SUM(C35:C41)</f>
        <v>24298.129999999994</v>
      </c>
      <c r="D42" s="50">
        <f t="shared" si="7"/>
        <v>10.064293417524242</v>
      </c>
      <c r="E42" s="51">
        <f>+SUM(E35:E41)</f>
        <v>27634.31</v>
      </c>
      <c r="F42" s="50">
        <f t="shared" si="7"/>
        <v>11.908497363495844</v>
      </c>
      <c r="G42" s="51">
        <f>+SUM(G35:G41)</f>
        <v>-3336.1800000000003</v>
      </c>
      <c r="H42" s="50">
        <f t="shared" si="9"/>
        <v>-12.072601052821657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74556.140000000029</v>
      </c>
      <c r="D44" s="71">
        <f>(C44*100)/C$8</f>
        <v>30.881177647745577</v>
      </c>
      <c r="E44" s="72">
        <f>E18-E26-E33-E42</f>
        <v>66721.210000000021</v>
      </c>
      <c r="F44" s="71">
        <f>(E44*100)/E$8</f>
        <v>28.75227763509394</v>
      </c>
      <c r="G44" s="72">
        <f>G18-G26-G33-G42</f>
        <v>7834.9299999999912</v>
      </c>
      <c r="H44" s="71">
        <f>IF(E44=0,0,G44/E44*100)</f>
        <v>11.742787638293713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DIVES'!$H:$H,'BAL N DIVES'!$I:$I,$A46,'BAL N DIVES'!$J:$J,"T")</f>
        <v>31894.48</v>
      </c>
      <c r="D46" s="17">
        <f t="shared" ref="D46:F49" si="10">(C46*100)/C$8</f>
        <v>13.210704079670274</v>
      </c>
      <c r="E46" s="16">
        <f>SUMIFS(DONNEESCUM_N1_NOUVEAU[MONTANT],DONNEESCUM_N1_NOUVEAU[TL2],A46,DONNEESCUM_N1_NOUVEAU[MOIS],DONNÉES!$C$5,DONNEESCUM_N1_NOUVEAU[SOCIETE],"DIVES")</f>
        <v>30449.45</v>
      </c>
      <c r="F46" s="17">
        <f t="shared" si="10"/>
        <v>13.121630141838118</v>
      </c>
      <c r="G46" s="16">
        <f>+C46-E46</f>
        <v>1445.0299999999988</v>
      </c>
      <c r="H46" s="17">
        <f>IF(E46=0,0,G46/E46*100)</f>
        <v>4.7456686409770912</v>
      </c>
    </row>
    <row r="47" spans="1:8" s="18" customFormat="1" x14ac:dyDescent="0.2">
      <c r="A47" s="13" t="s">
        <v>35</v>
      </c>
      <c r="B47" s="14" t="s">
        <v>2986</v>
      </c>
      <c r="C47" s="23">
        <f>SUMIFS('BAL N DIVES'!$H:$H,'BAL N DIVES'!$I:$I,$A47,'BAL N DIVES'!$J:$J,"T")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SUMIFS(DONNEESCUM_N1_NOUVEAU[MONTANT],DONNEESCUM_N1_NOUVEAU[TL2],A47,DONNEESCUM_N1_NOUVEAU[MOIS],DONNÉES!$C$5,DONNEESCUM_N1_NOUVEAU[SOCIETE],"DIVES")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DIVES'!$H:$H,'BAL N DIVES'!$I:$I,$A48,'BAL N DIVES'!$J:$J,"T")</f>
        <v>-475.1</v>
      </c>
      <c r="D48" s="17">
        <f t="shared" si="10"/>
        <v>-0.19678657586677528</v>
      </c>
      <c r="E48" s="16">
        <f>SUMIFS(DONNEESCUM_N1_NOUVEAU[MONTANT],DONNEESCUM_N1_NOUVEAU[TL2],A48,DONNEESCUM_N1_NOUVEAU[MOIS],DONNÉES!$C$5,DONNEESCUM_N1_NOUVEAU[SOCIETE],"DIVES")</f>
        <v>-429.57</v>
      </c>
      <c r="F48" s="17">
        <f t="shared" si="10"/>
        <v>-0.18511528648397263</v>
      </c>
      <c r="G48" s="16">
        <f>+C48-E48</f>
        <v>-45.53000000000003</v>
      </c>
      <c r="H48" s="17">
        <f>IF(E48=0,0,G48/E48*100)</f>
        <v>10.598971064087351</v>
      </c>
    </row>
    <row r="49" spans="1:8" ht="13.5" thickBot="1" x14ac:dyDescent="0.25">
      <c r="A49" s="13"/>
      <c r="B49" s="63" t="s">
        <v>2988</v>
      </c>
      <c r="C49" s="49">
        <f>SUM(C46:C48)</f>
        <v>31419.38</v>
      </c>
      <c r="D49" s="50">
        <f t="shared" si="10"/>
        <v>13.013917503803498</v>
      </c>
      <c r="E49" s="51">
        <f>SUM(E46:E48)</f>
        <v>30019.88</v>
      </c>
      <c r="F49" s="50">
        <f t="shared" si="10"/>
        <v>12.936514855354146</v>
      </c>
      <c r="G49" s="51">
        <f>SUM(G46:G48)</f>
        <v>1399.4999999999989</v>
      </c>
      <c r="H49" s="50">
        <f>IF(E49=0,0,G49/E49*100)</f>
        <v>4.6619107071713772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DIVES'!$H:$H,'BAL N DIVES'!$I:$I,$A51,'BAL N DIVES'!$J:$J,"T")</f>
        <v>520</v>
      </c>
      <c r="D51" s="17">
        <f t="shared" ref="D51:F59" si="11">(C51*100)/C$8</f>
        <v>0.21538417059718615</v>
      </c>
      <c r="E51" s="16">
        <f>SUMIFS(DONNEESCUM_N1_NOUVEAU[MONTANT],DONNEESCUM_N1_NOUVEAU[TL2],A51,DONNEESCUM_N1_NOUVEAU[MOIS],DONNÉES!$C$5,DONNEESCUM_N1_NOUVEAU[SOCIETE],"DIVES")</f>
        <v>520</v>
      </c>
      <c r="F51" s="17">
        <f t="shared" si="11"/>
        <v>0.22408443087661095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DIVES'!$H:$H,'BAL N DIVES'!$I:$I,$A52,'BAL N DIVES'!$J:$J,"T")</f>
        <v>12266.49</v>
      </c>
      <c r="D52" s="17">
        <f t="shared" si="11"/>
        <v>5.0807841822859192</v>
      </c>
      <c r="E52" s="16">
        <f>SUMIFS(DONNEESCUM_N1_NOUVEAU[MONTANT],DONNEESCUM_N1_NOUVEAU[TL2],A52,DONNEESCUM_N1_NOUVEAU[MOIS],DONNÉES!$C$5,DONNEESCUM_N1_NOUVEAU[SOCIETE],"DIVES")</f>
        <v>11711.33</v>
      </c>
      <c r="F52" s="17">
        <f t="shared" si="11"/>
        <v>5.0467821497272691</v>
      </c>
      <c r="G52" s="16">
        <f t="shared" si="12"/>
        <v>555.15999999999985</v>
      </c>
      <c r="H52" s="17">
        <f t="shared" si="13"/>
        <v>4.7403668071858602</v>
      </c>
    </row>
    <row r="53" spans="1:8" s="18" customFormat="1" x14ac:dyDescent="0.2">
      <c r="A53" s="13" t="s">
        <v>44</v>
      </c>
      <c r="B53" s="14" t="s">
        <v>62</v>
      </c>
      <c r="C53" s="23">
        <f>SUMIFS('BAL N DIVES'!$H:$H,'BAL N DIVES'!$I:$I,$A53,'BAL N DIVES'!$J:$J,"T")</f>
        <v>1091.28</v>
      </c>
      <c r="D53" s="17">
        <f t="shared" si="11"/>
        <v>0.45200853401787944</v>
      </c>
      <c r="E53" s="16">
        <f>SUMIFS(DONNEESCUM_N1_NOUVEAU[MONTANT],DONNEESCUM_N1_NOUVEAU[TL2],A53,DONNEESCUM_N1_NOUVEAU[MOIS],DONNÉES!$C$5,DONNEESCUM_N1_NOUVEAU[SOCIETE],"DIVES")</f>
        <v>1006.5</v>
      </c>
      <c r="F53" s="17">
        <f t="shared" si="11"/>
        <v>0.43373265322559407</v>
      </c>
      <c r="G53" s="16">
        <f t="shared" si="12"/>
        <v>84.779999999999973</v>
      </c>
      <c r="H53" s="17">
        <f t="shared" si="13"/>
        <v>8.4232488822652734</v>
      </c>
    </row>
    <row r="54" spans="1:8" s="18" customFormat="1" x14ac:dyDescent="0.2">
      <c r="A54" s="13" t="s">
        <v>45</v>
      </c>
      <c r="B54" s="14" t="s">
        <v>41</v>
      </c>
      <c r="C54" s="23">
        <f>SUMIFS('BAL N DIVES'!$H:$H,'BAL N DIVES'!$I:$I,$A54,'BAL N DIVES'!$J:$J,"T")</f>
        <v>1400</v>
      </c>
      <c r="D54" s="17">
        <f t="shared" si="11"/>
        <v>0.57988045930011656</v>
      </c>
      <c r="E54" s="16">
        <f>SUMIFS(DONNEESCUM_N1_NOUVEAU[MONTANT],DONNEESCUM_N1_NOUVEAU[TL2],A54,DONNEESCUM_N1_NOUVEAU[MOIS],DONNÉES!$C$5,DONNEESCUM_N1_NOUVEAU[SOCIETE],"DIVES")</f>
        <v>1812.54</v>
      </c>
      <c r="F54" s="17">
        <f t="shared" si="11"/>
        <v>0.78108075834825463</v>
      </c>
      <c r="G54" s="16">
        <f t="shared" si="12"/>
        <v>-412.53999999999996</v>
      </c>
      <c r="H54" s="17">
        <f t="shared" si="13"/>
        <v>-22.760325289372922</v>
      </c>
    </row>
    <row r="55" spans="1:8" s="18" customFormat="1" x14ac:dyDescent="0.2">
      <c r="A55" s="13" t="s">
        <v>47</v>
      </c>
      <c r="B55" s="14" t="s">
        <v>43</v>
      </c>
      <c r="C55" s="23">
        <f>SUMIFS('BAL N DIVES'!$H:$H,'BAL N DIVES'!$I:$I,$A55,'BAL N DIVES'!$J:$J,"T")</f>
        <v>3007.32</v>
      </c>
      <c r="D55" s="17">
        <f t="shared" si="11"/>
        <v>1.245632930616019</v>
      </c>
      <c r="E55" s="16">
        <f>SUMIFS(DONNEESCUM_N1_NOUVEAU[MONTANT],DONNEESCUM_N1_NOUVEAU[TL2],A55,DONNEESCUM_N1_NOUVEAU[MOIS],DONNÉES!$C$5,DONNEESCUM_N1_NOUVEAU[SOCIETE],"DIVES")</f>
        <v>3450.96</v>
      </c>
      <c r="F55" s="17">
        <f t="shared" si="11"/>
        <v>1.4871277068806719</v>
      </c>
      <c r="G55" s="16">
        <f t="shared" si="12"/>
        <v>-443.63999999999987</v>
      </c>
      <c r="H55" s="17">
        <f t="shared" si="13"/>
        <v>-12.855553237360034</v>
      </c>
    </row>
    <row r="56" spans="1:8" s="18" customFormat="1" x14ac:dyDescent="0.2">
      <c r="A56" s="13" t="s">
        <v>48</v>
      </c>
      <c r="B56" s="14" t="s">
        <v>46</v>
      </c>
      <c r="C56" s="23">
        <f>SUMIFS('BAL N DIVES'!$H:$H,'BAL N DIVES'!$I:$I,$A56,'BAL N DIVES'!$J:$J,"T")</f>
        <v>10000</v>
      </c>
      <c r="D56" s="17">
        <f t="shared" si="11"/>
        <v>4.1420032807151186</v>
      </c>
      <c r="E56" s="16">
        <f>SUMIFS(DONNEESCUM_N1_NOUVEAU[MONTANT],DONNEESCUM_N1_NOUVEAU[TL2],A56,DONNEESCUM_N1_NOUVEAU[MOIS],DONNÉES!$C$5,DONNEESCUM_N1_NOUVEAU[SOCIETE],"DIVES")</f>
        <v>11000</v>
      </c>
      <c r="F56" s="17">
        <f t="shared" si="11"/>
        <v>4.7402475762360012</v>
      </c>
      <c r="G56" s="16">
        <f t="shared" si="12"/>
        <v>-1000</v>
      </c>
      <c r="H56" s="17">
        <f t="shared" si="13"/>
        <v>-9.0909090909090917</v>
      </c>
    </row>
    <row r="57" spans="1:8" s="18" customFormat="1" x14ac:dyDescent="0.2">
      <c r="A57" s="13" t="s">
        <v>50</v>
      </c>
      <c r="B57" s="14" t="s">
        <v>2990</v>
      </c>
      <c r="C57" s="23">
        <f>SUMIFS('BAL N DIVES'!$H:$H,'BAL N DIVES'!$I:$I,$A57,'BAL N DIVES'!$J:$J,"T")</f>
        <v>710.32</v>
      </c>
      <c r="D57" s="17">
        <f t="shared" si="11"/>
        <v>0.29421477703575627</v>
      </c>
      <c r="E57" s="16">
        <f>SUMIFS(DONNEESCUM_N1_NOUVEAU[MONTANT],DONNEESCUM_N1_NOUVEAU[TL2],A57,DONNEESCUM_N1_NOUVEAU[MOIS],DONNÉES!$C$5,DONNEESCUM_N1_NOUVEAU[SOCIETE],"DIVES")</f>
        <v>0</v>
      </c>
      <c r="F57" s="17">
        <f t="shared" si="11"/>
        <v>0</v>
      </c>
      <c r="G57" s="16">
        <f t="shared" si="12"/>
        <v>710.32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DIVES'!$H:$H,'BAL N DIVES'!$I:$I,$A58,'BAL N DIVES'!$J:$J,"T")</f>
        <v>429.62</v>
      </c>
      <c r="D58" s="17">
        <f t="shared" si="11"/>
        <v>0.17794874494608293</v>
      </c>
      <c r="E58" s="16">
        <f>SUMIFS(DONNEESCUM_N1_NOUVEAU[MONTANT],DONNEESCUM_N1_NOUVEAU[TL2],A58,DONNEESCUM_N1_NOUVEAU[MOIS],DONNÉES!$C$5,DONNEESCUM_N1_NOUVEAU[SOCIETE],"DIVES")</f>
        <v>4513.42</v>
      </c>
      <c r="F58" s="17">
        <f t="shared" si="11"/>
        <v>1.9449752923213719</v>
      </c>
      <c r="G58" s="16">
        <f t="shared" si="12"/>
        <v>-4083.8</v>
      </c>
      <c r="H58" s="17">
        <f t="shared" si="13"/>
        <v>-90.481275839607221</v>
      </c>
    </row>
    <row r="59" spans="1:8" ht="13.5" thickBot="1" x14ac:dyDescent="0.25">
      <c r="A59" s="13"/>
      <c r="B59" s="63" t="s">
        <v>2994</v>
      </c>
      <c r="C59" s="49">
        <f>SUM(C51:C58)</f>
        <v>29425.03</v>
      </c>
      <c r="D59" s="50">
        <f t="shared" si="11"/>
        <v>12.187857079514078</v>
      </c>
      <c r="E59" s="51">
        <f>SUM(E51:E58)</f>
        <v>34014.75</v>
      </c>
      <c r="F59" s="50">
        <f t="shared" si="11"/>
        <v>14.658030567615773</v>
      </c>
      <c r="G59" s="51">
        <f>SUM(G51:G58)</f>
        <v>-4589.72</v>
      </c>
      <c r="H59" s="50">
        <f t="shared" si="13"/>
        <v>-13.493322749689474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165195.21999999997</v>
      </c>
      <c r="D61" s="71">
        <f>(C61*100)/C$8</f>
        <v>68.423914319845565</v>
      </c>
      <c r="E61" s="72">
        <f>E59+E49+E42+E33+E26</f>
        <v>168673.38</v>
      </c>
      <c r="F61" s="71">
        <f>(E61*100)/E$8</f>
        <v>72.686689156412172</v>
      </c>
      <c r="G61" s="72">
        <f>G59+G49+G42+G33+G26</f>
        <v>-3478.1599999999989</v>
      </c>
      <c r="H61" s="71">
        <f>IF(E61=0,0,G61/E61*100)</f>
        <v>-2.0620681224269051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DIVES'!$H:$H,'BAL N DIVES'!$I:$I,$A63,'BAL N DIVES'!$J:$J,"T")</f>
        <v>3920.76</v>
      </c>
      <c r="D63" s="17">
        <f t="shared" ref="D63:F65" si="14">(C63*100)/C$8</f>
        <v>1.6239800782896607</v>
      </c>
      <c r="E63" s="16">
        <f>-SUMIFS(DONNEESCUM_N1_NOUVEAU[MONTANT],DONNEESCUM_N1_NOUVEAU[TL2],A63,DONNEESCUM_N1_NOUVEAU[MOIS],DONNÉES!$C$5,DONNEESCUM_N1_NOUVEAU[SOCIETE],"DIVES")</f>
        <v>2171.15</v>
      </c>
      <c r="F63" s="17">
        <f t="shared" si="14"/>
        <v>0.93561713864952667</v>
      </c>
      <c r="G63" s="16">
        <f>+C63-E63</f>
        <v>1749.6100000000001</v>
      </c>
      <c r="H63" s="17">
        <f>IF(E63=0,0,G63/E63*100)</f>
        <v>80.584482877737599</v>
      </c>
    </row>
    <row r="64" spans="1:8" s="18" customFormat="1" x14ac:dyDescent="0.2">
      <c r="A64" s="13" t="s">
        <v>2992</v>
      </c>
      <c r="B64" s="68" t="s">
        <v>65</v>
      </c>
      <c r="C64" s="23">
        <f>SUMIFS('BAL N DIVES'!$H:$H,'BAL N DIVES'!$I:$I,$A64,'BAL N DIVES'!$J:$J,"T")</f>
        <v>2547.63</v>
      </c>
      <c r="D64" s="17">
        <f t="shared" si="14"/>
        <v>1.0552291818048256</v>
      </c>
      <c r="E64" s="24">
        <f>SUMIFS(DONNEESCUM_N1_NOUVEAU[MONTANT],DONNEESCUM_N1_NOUVEAU[TL2],A64,DONNEESCUM_N1_NOUVEAU[MOIS],DONNÉES!$C$5,DONNEESCUM_N1_NOUVEAU[SOCIETE],"DIVES")</f>
        <v>2747.77</v>
      </c>
      <c r="F64" s="17">
        <f t="shared" si="14"/>
        <v>1.1841009165958178</v>
      </c>
      <c r="G64" s="16">
        <f>+C64-E64</f>
        <v>-200.13999999999987</v>
      </c>
      <c r="H64" s="17">
        <f>IF(E64=0,0,G64/E64*100)</f>
        <v>-7.2837246203284796</v>
      </c>
    </row>
    <row r="65" spans="1:9" s="59" customFormat="1" ht="13.5" x14ac:dyDescent="0.2">
      <c r="A65" s="13"/>
      <c r="B65" s="62" t="s">
        <v>53</v>
      </c>
      <c r="C65" s="67">
        <f>+C63-C64</f>
        <v>1373.13</v>
      </c>
      <c r="D65" s="56">
        <f t="shared" si="14"/>
        <v>0.56875089648483501</v>
      </c>
      <c r="E65" s="57">
        <f>+E63-E64</f>
        <v>-576.61999999999989</v>
      </c>
      <c r="F65" s="56">
        <f t="shared" si="14"/>
        <v>-0.24848377794629112</v>
      </c>
      <c r="G65" s="58">
        <f>+G63-G64</f>
        <v>1949.75</v>
      </c>
      <c r="H65" s="56">
        <f>IF(E65=0,0,G65/E65*100)</f>
        <v>-338.13429988553992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DIVES'!$H:$H,'BAL N DIVES'!$I:$I,$A67,'BAL N DIVES'!$J:$J,"T")</f>
        <v>-0.91</v>
      </c>
      <c r="D67" s="17">
        <f>(C67*100)/C$8</f>
        <v>-3.7692229854507578E-4</v>
      </c>
      <c r="E67" s="16">
        <f>-SUMIFS(DONNEESCUM_N1_NOUVEAU[MONTANT],DONNEESCUM_N1_NOUVEAU[TL2],A67,DONNEESCUM_N1_NOUVEAU[MOIS],DONNÉES!$C$5,DONNEESCUM_N1_NOUVEAU[SOCIETE],"DIVES")</f>
        <v>-16.37</v>
      </c>
      <c r="F67" s="17">
        <f>(E67*100)/E$8</f>
        <v>-7.0543502566348488E-3</v>
      </c>
      <c r="G67" s="16">
        <f>+C67-E67</f>
        <v>15.46</v>
      </c>
      <c r="H67" s="17">
        <f>IF(E67=0,0,G67/E67*100)</f>
        <v>-94.441050702504583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15083.950000000041</v>
      </c>
      <c r="D69" s="10">
        <f>(C69*100)/C$8</f>
        <v>6.2477770386142986</v>
      </c>
      <c r="E69" s="9">
        <f>E18-E61+E65+E67</f>
        <v>2093.5900000000165</v>
      </c>
      <c r="F69" s="10">
        <f>(E69*100)/E$8</f>
        <v>0.90219408392109157</v>
      </c>
      <c r="G69" s="9">
        <f>G18-G61+G65+G67</f>
        <v>12990.359999999991</v>
      </c>
      <c r="H69" s="10">
        <f>IF(E69=0,0,G69/E69*100)</f>
        <v>620.4825204552892</v>
      </c>
    </row>
    <row r="70" spans="1:9" ht="13.5" thickBot="1" x14ac:dyDescent="0.25">
      <c r="A70" s="13"/>
      <c r="B70" s="63" t="s">
        <v>3034</v>
      </c>
      <c r="C70" s="49">
        <f>+C69-C67+C57+C56</f>
        <v>25795.18000000004</v>
      </c>
      <c r="D70" s="50">
        <f>(C70*100)/C$8</f>
        <v>10.684372018663717</v>
      </c>
      <c r="E70" s="49">
        <f>+E69-E67+E57+E56</f>
        <v>13109.960000000017</v>
      </c>
      <c r="F70" s="50">
        <f>(E70*100)/E$8</f>
        <v>5.6494960104137277</v>
      </c>
      <c r="G70" s="49">
        <f>+G69-G67+G57+G56</f>
        <v>12685.219999999992</v>
      </c>
      <c r="H70" s="50">
        <f>IF(E70=0,0,G70/E70*100)</f>
        <v>96.760173181306243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DIVES'!$H:$H,'BAL N DIVES'!$I:$I,$A72,'BAL N DIVES'!$J:$J,"T")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-SUMIFS(DONNEESCUM_N1_NOUVEAU[MONTANT],DONNEESCUM_N1_NOUVEAU[TL2],A72,DONNEESCUM_N1_NOUVEAU[MOIS],DONNÉES!$C$5,DONNEESCUM_N1_NOUVEAU[SOCIETE],"DIVES")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DIVES'!$H:$H,'BAL N DIVES'!$I:$I,$A74,'BAL N DIVES'!$J:$J,"T")</f>
        <v>20020.330000000002</v>
      </c>
      <c r="D74" s="10">
        <f>(C74*100)/C$8</f>
        <v>8.2924272540999322</v>
      </c>
      <c r="E74" s="9">
        <f>SUMIFS(DONNEESCUM_N1_NOUVEAU[MONTANT],DONNEESCUM_N1_NOUVEAU[TL2],A74,DONNEESCUM_N1_NOUVEAU[MOIS],DONNÉES!$C$5,DONNEESCUM_N1_NOUVEAU[SOCIETE],"DIVES")</f>
        <v>18233.330000000002</v>
      </c>
      <c r="F74" s="10">
        <f>(E74*100)/E$8</f>
        <v>7.8573180308373791</v>
      </c>
      <c r="G74" s="9">
        <f>+C74-E74</f>
        <v>1787</v>
      </c>
      <c r="H74" s="10">
        <f>IF(E74=0,0,G74/E74*100)</f>
        <v>9.8007330531504664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-4936.379999999961</v>
      </c>
      <c r="D76" s="71">
        <f>(C76*100)/C$8</f>
        <v>-2.0446502154856336</v>
      </c>
      <c r="E76" s="72">
        <f>E69-E74+E72</f>
        <v>-16139.739999999985</v>
      </c>
      <c r="F76" s="71">
        <f>(E76*100)/E$8</f>
        <v>-6.955123946916288</v>
      </c>
      <c r="G76" s="72">
        <f>G69-G74+G72</f>
        <v>11203.359999999991</v>
      </c>
      <c r="H76" s="71">
        <f>IF(E76=0,0,G76/E76*100)</f>
        <v>-69.414748936476073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VLOOKUP(PARAMETRES!$C$2,DONNÉES!$BV$188:$CB$199,2,FALSE)</f>
        <v>13437</v>
      </c>
      <c r="D78" s="324"/>
      <c r="E78" s="323">
        <f>VLOOKUP(PARAMETRES!$C$2,DONNÉES!$BV$188:$CB$199,3,FALSE)</f>
        <v>12786</v>
      </c>
      <c r="F78" s="324"/>
      <c r="G78" s="325">
        <f>C78-E78</f>
        <v>651</v>
      </c>
      <c r="H78" s="326"/>
    </row>
    <row r="79" spans="1:9" ht="13.5" thickTop="1" x14ac:dyDescent="0.2">
      <c r="A79" s="13"/>
      <c r="B79" s="65"/>
      <c r="C79" s="25"/>
      <c r="D79" s="26"/>
      <c r="E79" s="25"/>
      <c r="F79" s="26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VLOOKUP(PARAMETRES!$C$2,DONNÉES!$BV$284:$CB$295,2,FALSE)</f>
        <v>18.260000000000002</v>
      </c>
      <c r="D80" s="316"/>
      <c r="E80" s="315">
        <f>VLOOKUP(PARAMETRES!$C$2,DONNÉES!$BV$284:$CB$295,3,FALSE)</f>
        <v>18.32</v>
      </c>
      <c r="F80" s="316"/>
      <c r="G80" s="317">
        <f>(C80-E80)/E80</f>
        <v>-3.2751091703056069E-3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5586C-CF6A-438A-B3BB-5F7C4B2A4A50}">
  <sheetPr codeName="Feuil59">
    <tabColor rgb="FFFFC000"/>
    <pageSetUpPr fitToPage="1"/>
  </sheetPr>
  <dimension ref="A1:H1"/>
  <sheetViews>
    <sheetView showGridLines="0" view="pageBreakPreview" topLeftCell="A46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994E6-9B22-4410-8083-381B79078924}">
  <sheetPr>
    <tabColor rgb="FFFFC000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6901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292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R314'!$H:$H,'BAL N R314'!$I:$I,$A8,'BAL N R314'!$J:$J,"T")</f>
        <v>318555.94</v>
      </c>
      <c r="D8" s="71">
        <f>(C8*100)/C$8</f>
        <v>100</v>
      </c>
      <c r="E8" s="72">
        <f>-SUMIFS(DONNEESCUM_N1_NOUVEAU[MONTANT],DONNEESCUM_N1_NOUVEAU[TL2],A8,DONNEESCUM_N1_NOUVEAU[MOIS],DONNÉES!$C$5,DONNEESCUM_N1_NOUVEAU[SOCIETE],"R314")</f>
        <v>360434.46</v>
      </c>
      <c r="F8" s="71">
        <f>(E8*100)/E$8</f>
        <v>100</v>
      </c>
      <c r="G8" s="72">
        <f>+C8-E8</f>
        <v>-41878.520000000019</v>
      </c>
      <c r="H8" s="71">
        <f>IF(E8=0,0,G8/E8*100)</f>
        <v>-11.618900146229086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R314'!$H:$H,'BAL N R314'!$I:$I,$A10,'BAL N R314'!$J:$J,"T")</f>
        <v>69062.44</v>
      </c>
      <c r="D10" s="17">
        <f t="shared" ref="D10:F16" si="0">(C10*100)/C$8</f>
        <v>21.679846873990169</v>
      </c>
      <c r="E10" s="16">
        <f>SUMIFS(DONNEESCUM_N1_NOUVEAU[MONTANT],DONNEESCUM_N1_NOUVEAU[TL2],A10,DONNEESCUM_N1_NOUVEAU[MOIS],DONNÉES!$C$5,DONNEESCUM_N1_NOUVEAU[SOCIETE],"R314")</f>
        <v>77642.289999999994</v>
      </c>
      <c r="F10" s="17">
        <f t="shared" si="0"/>
        <v>21.541306011639392</v>
      </c>
      <c r="G10" s="16">
        <f>+C10-E10</f>
        <v>-8579.8499999999913</v>
      </c>
      <c r="H10" s="17">
        <f t="shared" ref="H10:H16" si="1">IF(E10=0,0,G10/E10*100)</f>
        <v>-11.050485502166399</v>
      </c>
    </row>
    <row r="11" spans="1:8" s="18" customFormat="1" x14ac:dyDescent="0.2">
      <c r="A11" s="13" t="s">
        <v>124</v>
      </c>
      <c r="B11" s="14" t="s">
        <v>4</v>
      </c>
      <c r="C11" s="23">
        <f>SUMIFS('BAL N R314'!$H:$H,'BAL N R314'!$I:$I,$A11,'BAL N R314'!$J:$J,"T")</f>
        <v>1654.31</v>
      </c>
      <c r="D11" s="17">
        <f t="shared" si="0"/>
        <v>0.51931538303759139</v>
      </c>
      <c r="E11" s="16">
        <f>SUMIFS(DONNEESCUM_N1_NOUVEAU[MONTANT],DONNEESCUM_N1_NOUVEAU[TL2],A11,DONNEESCUM_N1_NOUVEAU[MOIS],DONNÉES!$C$5,DONNEESCUM_N1_NOUVEAU[SOCIETE],"R314")</f>
        <v>1865.61</v>
      </c>
      <c r="F11" s="17">
        <f t="shared" si="0"/>
        <v>0.51760034265314137</v>
      </c>
      <c r="G11" s="16">
        <f>+C11-E11</f>
        <v>-211.29999999999995</v>
      </c>
      <c r="H11" s="17">
        <f t="shared" si="1"/>
        <v>-11.32605421283119</v>
      </c>
    </row>
    <row r="12" spans="1:8" s="18" customFormat="1" x14ac:dyDescent="0.2">
      <c r="A12" s="13" t="s">
        <v>125</v>
      </c>
      <c r="B12" s="14" t="s">
        <v>2</v>
      </c>
      <c r="C12" s="23">
        <f>SUMIFS('BAL N R314'!$H:$H,'BAL N R314'!$I:$I,$A12,'BAL N R314'!$J:$J,"T")</f>
        <v>2347.48</v>
      </c>
      <c r="D12" s="17">
        <f t="shared" si="0"/>
        <v>0.73691295789367484</v>
      </c>
      <c r="E12" s="16">
        <f>SUMIFS(DONNEESCUM_N1_NOUVEAU[MONTANT],DONNEESCUM_N1_NOUVEAU[TL2],A12,DONNEESCUM_N1_NOUVEAU[MOIS],DONNÉES!$C$5,DONNEESCUM_N1_NOUVEAU[SOCIETE],"R314")</f>
        <v>1980.99</v>
      </c>
      <c r="F12" s="17">
        <f t="shared" si="0"/>
        <v>0.54961171026765865</v>
      </c>
      <c r="G12" s="16">
        <f>+C12-E12</f>
        <v>366.49</v>
      </c>
      <c r="H12" s="17">
        <f t="shared" si="1"/>
        <v>18.50034578670261</v>
      </c>
    </row>
    <row r="13" spans="1:8" s="59" customFormat="1" ht="13.5" x14ac:dyDescent="0.2">
      <c r="A13" s="60"/>
      <c r="B13" s="62" t="s">
        <v>6</v>
      </c>
      <c r="C13" s="55">
        <f>SUM(C10:C12)</f>
        <v>73064.23</v>
      </c>
      <c r="D13" s="56">
        <f t="shared" si="0"/>
        <v>22.936075214921434</v>
      </c>
      <c r="E13" s="55">
        <f>SUM(E10:E12)</f>
        <v>81488.89</v>
      </c>
      <c r="F13" s="56">
        <f t="shared" si="0"/>
        <v>22.608518064560197</v>
      </c>
      <c r="G13" s="55">
        <f>SUM(G10:G12)</f>
        <v>-8424.6599999999908</v>
      </c>
      <c r="H13" s="56">
        <f t="shared" si="1"/>
        <v>-10.338415457616358</v>
      </c>
    </row>
    <row r="14" spans="1:8" s="18" customFormat="1" x14ac:dyDescent="0.2">
      <c r="A14" s="13" t="s">
        <v>126</v>
      </c>
      <c r="B14" s="14" t="s">
        <v>8</v>
      </c>
      <c r="C14" s="23">
        <f>SUMIFS('BAL N R314'!$H:$H,'BAL N R314'!$I:$I,$A14,'BAL N R314'!$J:$J,"T")</f>
        <v>7841.94</v>
      </c>
      <c r="D14" s="17">
        <f t="shared" si="0"/>
        <v>2.461715201417999</v>
      </c>
      <c r="E14" s="16">
        <f>SUMIFS(DONNEESCUM_N1_NOUVEAU[MONTANT],DONNEESCUM_N1_NOUVEAU[TL2],A14,DONNEESCUM_N1_NOUVEAU[MOIS],DONNÉES!$C$5,DONNEESCUM_N1_NOUVEAU[SOCIETE],"R314")</f>
        <v>8207.69</v>
      </c>
      <c r="F14" s="17">
        <f t="shared" si="0"/>
        <v>2.2771657293811471</v>
      </c>
      <c r="G14" s="16">
        <f>+C14-E14</f>
        <v>-365.75000000000091</v>
      </c>
      <c r="H14" s="17">
        <f t="shared" si="1"/>
        <v>-4.4561868199213279</v>
      </c>
    </row>
    <row r="15" spans="1:8" s="18" customFormat="1" x14ac:dyDescent="0.2">
      <c r="A15" s="13" t="s">
        <v>2964</v>
      </c>
      <c r="B15" s="14" t="s">
        <v>2965</v>
      </c>
      <c r="C15" s="23">
        <f>SUMIFS('BAL N R314'!$H:$H,'BAL N R314'!$I:$I,$A15,'BAL N R314'!$J:$J,"T")</f>
        <v>223.94</v>
      </c>
      <c r="D15" s="17">
        <f t="shared" si="0"/>
        <v>7.0298485094956953E-2</v>
      </c>
      <c r="E15" s="16">
        <f>SUMIFS(DONNEESCUM_N1_NOUVEAU[MONTANT],DONNEESCUM_N1_NOUVEAU[TL2],A15,DONNEESCUM_N1_NOUVEAU[MOIS],DONNÉES!$C$5,DONNEESCUM_N1_NOUVEAU[SOCIETE],"R314")</f>
        <v>47.57</v>
      </c>
      <c r="F15" s="17">
        <f t="shared" si="0"/>
        <v>1.3197961149441703E-2</v>
      </c>
      <c r="G15" s="16">
        <f>+C15-E15</f>
        <v>176.37</v>
      </c>
      <c r="H15" s="17">
        <f t="shared" si="1"/>
        <v>370.75888164809754</v>
      </c>
    </row>
    <row r="16" spans="1:8" ht="13.5" thickBot="1" x14ac:dyDescent="0.25">
      <c r="A16" s="7"/>
      <c r="B16" s="63" t="s">
        <v>10</v>
      </c>
      <c r="C16" s="49">
        <f>+C13+SUM(C14:C15)</f>
        <v>81130.11</v>
      </c>
      <c r="D16" s="50">
        <f t="shared" si="0"/>
        <v>25.468088901434392</v>
      </c>
      <c r="E16" s="49">
        <f>+E13+SUM(E14:E15)</f>
        <v>89744.15</v>
      </c>
      <c r="F16" s="50">
        <f t="shared" si="0"/>
        <v>24.898881755090784</v>
      </c>
      <c r="G16" s="49">
        <f>+G13+SUM(G14:G15)</f>
        <v>-8614.0399999999918</v>
      </c>
      <c r="H16" s="50">
        <f t="shared" si="1"/>
        <v>-9.5984417925848007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237425.83000000002</v>
      </c>
      <c r="D18" s="71">
        <f>(C18*100)/C$8</f>
        <v>74.531911098565601</v>
      </c>
      <c r="E18" s="70">
        <f>E8-E16</f>
        <v>270690.31000000006</v>
      </c>
      <c r="F18" s="71">
        <f>(E18*100)/E$8</f>
        <v>75.10111824490923</v>
      </c>
      <c r="G18" s="70">
        <f>G8-G16</f>
        <v>-33264.480000000025</v>
      </c>
      <c r="H18" s="71">
        <f>IF(E18=0,0,G18/E18*100)</f>
        <v>-12.288759061970122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R314'!$H:$H,'BAL N R314'!$I:$I,$A20,'BAL N R314'!$J:$J,"T")</f>
        <v>46251.02</v>
      </c>
      <c r="D20" s="17">
        <f t="shared" ref="D20:F26" si="2">(C20*100)/C$8</f>
        <v>14.518963294170563</v>
      </c>
      <c r="E20" s="16">
        <f>SUMIFS(DONNEESCUM_N1_NOUVEAU[MONTANT],DONNEESCUM_N1_NOUVEAU[TL2],A20,DONNEESCUM_N1_NOUVEAU[MOIS],DONNÉES!$C$5,DONNEESCUM_N1_NOUVEAU[SOCIETE],"R314")</f>
        <v>48977.82</v>
      </c>
      <c r="F20" s="17">
        <f t="shared" si="2"/>
        <v>13.588550883841682</v>
      </c>
      <c r="G20" s="16">
        <f t="shared" ref="G20:G25" si="3">+C20-E20</f>
        <v>-2726.8000000000029</v>
      </c>
      <c r="H20" s="17">
        <f t="shared" ref="H20:H26" si="4">IF(E20=0,0,G20/E20*100)</f>
        <v>-5.5674180680152832</v>
      </c>
    </row>
    <row r="21" spans="1:8" s="18" customFormat="1" x14ac:dyDescent="0.2">
      <c r="A21" s="13">
        <v>9</v>
      </c>
      <c r="B21" s="14" t="s">
        <v>2968</v>
      </c>
      <c r="C21" s="23">
        <f>SUMIFS('BAL N R314'!$H:$H,'BAL N R314'!$I:$I,$A21,'BAL N R314'!$J:$J,"T")</f>
        <v>8299.73</v>
      </c>
      <c r="D21" s="17">
        <f t="shared" si="2"/>
        <v>2.6054230851887428</v>
      </c>
      <c r="E21" s="16">
        <f>SUMIFS(DONNEESCUM_N1_NOUVEAU[MONTANT],DONNEESCUM_N1_NOUVEAU[TL2],A21,DONNEESCUM_N1_NOUVEAU[MOIS],DONNÉES!$C$5,DONNEESCUM_N1_NOUVEAU[SOCIETE],"R314")</f>
        <v>5723.62</v>
      </c>
      <c r="F21" s="17">
        <f t="shared" si="2"/>
        <v>1.5879780196377449</v>
      </c>
      <c r="G21" s="16">
        <f t="shared" si="3"/>
        <v>2576.1099999999997</v>
      </c>
      <c r="H21" s="17">
        <f t="shared" si="4"/>
        <v>45.008403772437717</v>
      </c>
    </row>
    <row r="22" spans="1:8" s="18" customFormat="1" x14ac:dyDescent="0.2">
      <c r="A22" s="13" t="s">
        <v>12</v>
      </c>
      <c r="B22" s="14" t="s">
        <v>14</v>
      </c>
      <c r="C22" s="23">
        <f>SUMIFS('BAL N R314'!$H:$H,'BAL N R314'!$I:$I,$A22,'BAL N R314'!$J:$J,"T")</f>
        <v>19116.21</v>
      </c>
      <c r="D22" s="17">
        <f t="shared" si="2"/>
        <v>6.0008957924313071</v>
      </c>
      <c r="E22" s="16">
        <f>SUMIFS(DONNEESCUM_N1_NOUVEAU[MONTANT],DONNEESCUM_N1_NOUVEAU[TL2],A22,DONNEESCUM_N1_NOUVEAU[MOIS],DONNÉES!$C$5,DONNEESCUM_N1_NOUVEAU[SOCIETE],"R314")</f>
        <v>17075.28</v>
      </c>
      <c r="F22" s="17">
        <f t="shared" si="2"/>
        <v>4.7374160617161856</v>
      </c>
      <c r="G22" s="16">
        <f t="shared" si="3"/>
        <v>2040.9300000000003</v>
      </c>
      <c r="H22" s="17">
        <f t="shared" si="4"/>
        <v>11.952541920249626</v>
      </c>
    </row>
    <row r="23" spans="1:8" s="18" customFormat="1" x14ac:dyDescent="0.2">
      <c r="A23" s="13" t="s">
        <v>13</v>
      </c>
      <c r="B23" s="14" t="s">
        <v>2966</v>
      </c>
      <c r="C23" s="23">
        <f>SUMIFS('BAL N R314'!$H:$H,'BAL N R314'!$I:$I,$A23,'BAL N R314'!$J:$J,"T")</f>
        <v>4953.54</v>
      </c>
      <c r="D23" s="17">
        <f t="shared" si="2"/>
        <v>1.5549984721678711</v>
      </c>
      <c r="E23" s="16">
        <f>SUMIFS(DONNEESCUM_N1_NOUVEAU[MONTANT],DONNEESCUM_N1_NOUVEAU[TL2],A23,DONNEESCUM_N1_NOUVEAU[MOIS],DONNÉES!$C$5,DONNEESCUM_N1_NOUVEAU[SOCIETE],"R314")</f>
        <v>4031.72</v>
      </c>
      <c r="F23" s="17">
        <f t="shared" si="2"/>
        <v>1.1185722918946206</v>
      </c>
      <c r="G23" s="16">
        <f t="shared" si="3"/>
        <v>921.82000000000016</v>
      </c>
      <c r="H23" s="17">
        <f t="shared" si="4"/>
        <v>22.864186997112903</v>
      </c>
    </row>
    <row r="24" spans="1:8" s="18" customFormat="1" x14ac:dyDescent="0.2">
      <c r="A24" s="13" t="s">
        <v>15</v>
      </c>
      <c r="B24" s="14" t="s">
        <v>2969</v>
      </c>
      <c r="C24" s="23">
        <f>SUMIFS('BAL N R314'!$H:$H,'BAL N R314'!$I:$I,$A24,'BAL N R314'!$J:$J,"T")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SUMIFS(DONNEESCUM_N1_NOUVEAU[MONTANT],DONNEESCUM_N1_NOUVEAU[TL2],A24,DONNEESCUM_N1_NOUVEAU[MOIS],DONNÉES!$C$5,DONNEESCUM_N1_NOUVEAU[SOCIETE],"R314")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R314'!$H:$H,'BAL N R314'!$I:$I,$A25,'BAL N R314'!$J:$J,"T")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SUMIFS(DONNEESCUM_N1_NOUVEAU[MONTANT],DONNEESCUM_N1_NOUVEAU[TL2],A25,DONNEESCUM_N1_NOUVEAU[MOIS],DONNÉES!$C$5,DONNEESCUM_N1_NOUVEAU[SOCIETE],"R314")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78620.499999999985</v>
      </c>
      <c r="D26" s="50">
        <f t="shared" si="2"/>
        <v>24.680280643958476</v>
      </c>
      <c r="E26" s="51">
        <f>SUM(E20:E25)</f>
        <v>75808.44</v>
      </c>
      <c r="F26" s="50">
        <f t="shared" si="2"/>
        <v>21.032517257090234</v>
      </c>
      <c r="G26" s="51">
        <f>SUM(G20:G25)</f>
        <v>2812.0599999999972</v>
      </c>
      <c r="H26" s="50">
        <f t="shared" si="4"/>
        <v>3.7094286599222954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R314'!$H:$H,'BAL N R314'!$I:$I,$A28,'BAL N R314'!$J:$J,"T")</f>
        <v>7257</v>
      </c>
      <c r="D28" s="17">
        <f t="shared" ref="D28:F33" si="5">(C28*100)/C$8</f>
        <v>2.2780928209971534</v>
      </c>
      <c r="E28" s="16">
        <f>SUMIFS(DONNEESCUM_N1_NOUVEAU[MONTANT],DONNEESCUM_N1_NOUVEAU[TL2],A28,DONNEESCUM_N1_NOUVEAU[MOIS],DONNÉES!$C$5,DONNEESCUM_N1_NOUVEAU[SOCIETE],"R314")</f>
        <v>7577.01</v>
      </c>
      <c r="F28" s="17">
        <f t="shared" si="5"/>
        <v>2.1021880094372771</v>
      </c>
      <c r="G28" s="16">
        <f>+C28-E28</f>
        <v>-320.01000000000022</v>
      </c>
      <c r="H28" s="17">
        <f t="shared" ref="H28:H33" si="6">IF(E28=0,0,G28/E28*100)</f>
        <v>-4.2234337819271746</v>
      </c>
    </row>
    <row r="29" spans="1:8" s="18" customFormat="1" x14ac:dyDescent="0.2">
      <c r="A29" s="13" t="s">
        <v>20</v>
      </c>
      <c r="B29" s="14" t="s">
        <v>2972</v>
      </c>
      <c r="C29" s="23">
        <f>SUMIFS('BAL N R314'!$H:$H,'BAL N R314'!$I:$I,$A29,'BAL N R314'!$J:$J,"T")</f>
        <v>47.67</v>
      </c>
      <c r="D29" s="17">
        <f t="shared" si="5"/>
        <v>1.4964404681953191E-2</v>
      </c>
      <c r="E29" s="16">
        <f>SUMIFS(DONNEESCUM_N1_NOUVEAU[MONTANT],DONNEESCUM_N1_NOUVEAU[TL2],A29,DONNEESCUM_N1_NOUVEAU[MOIS],DONNÉES!$C$5,DONNEESCUM_N1_NOUVEAU[SOCIETE],"R314")</f>
        <v>550.11</v>
      </c>
      <c r="F29" s="17">
        <f t="shared" si="5"/>
        <v>0.15262414143198183</v>
      </c>
      <c r="G29" s="16">
        <f>+C29-E29</f>
        <v>-502.44</v>
      </c>
      <c r="H29" s="17">
        <f t="shared" si="6"/>
        <v>-91.334460380651137</v>
      </c>
    </row>
    <row r="30" spans="1:8" s="18" customFormat="1" x14ac:dyDescent="0.2">
      <c r="A30" s="13" t="s">
        <v>21</v>
      </c>
      <c r="B30" s="14" t="s">
        <v>2973</v>
      </c>
      <c r="C30" s="23">
        <f>SUMIFS('BAL N R314'!$H:$H,'BAL N R314'!$I:$I,$A30,'BAL N R314'!$J:$J,"T")</f>
        <v>2404.12</v>
      </c>
      <c r="D30" s="17">
        <f t="shared" si="5"/>
        <v>0.75469319454535988</v>
      </c>
      <c r="E30" s="16">
        <f>SUMIFS(DONNEESCUM_N1_NOUVEAU[MONTANT],DONNEESCUM_N1_NOUVEAU[TL2],A30,DONNEESCUM_N1_NOUVEAU[MOIS],DONNÉES!$C$5,DONNEESCUM_N1_NOUVEAU[SOCIETE],"R314")</f>
        <v>2472.0100000000002</v>
      </c>
      <c r="F30" s="17">
        <f t="shared" si="5"/>
        <v>0.68584174776185391</v>
      </c>
      <c r="G30" s="16">
        <f>+C30-E30</f>
        <v>-67.890000000000327</v>
      </c>
      <c r="H30" s="17">
        <f t="shared" si="6"/>
        <v>-2.7463481134785184</v>
      </c>
    </row>
    <row r="31" spans="1:8" s="18" customFormat="1" x14ac:dyDescent="0.2">
      <c r="A31" s="13" t="s">
        <v>23</v>
      </c>
      <c r="B31" s="14" t="s">
        <v>2974</v>
      </c>
      <c r="C31" s="23">
        <f>SUMIFS('BAL N R314'!$H:$H,'BAL N R314'!$I:$I,$A31,'BAL N R314'!$J:$J,"T")</f>
        <v>261.52999999999997</v>
      </c>
      <c r="D31" s="17">
        <f t="shared" si="5"/>
        <v>8.2098610372796685E-2</v>
      </c>
      <c r="E31" s="16">
        <f>SUMIFS(DONNEESCUM_N1_NOUVEAU[MONTANT],DONNEESCUM_N1_NOUVEAU[TL2],A31,DONNEESCUM_N1_NOUVEAU[MOIS],DONNÉES!$C$5,DONNEESCUM_N1_NOUVEAU[SOCIETE],"R314")</f>
        <v>2091.6999999999998</v>
      </c>
      <c r="F31" s="17">
        <f t="shared" si="5"/>
        <v>0.5803274193039144</v>
      </c>
      <c r="G31" s="16">
        <f>+C31-E31</f>
        <v>-1830.1699999999998</v>
      </c>
      <c r="H31" s="17">
        <f t="shared" si="6"/>
        <v>-87.496772959793461</v>
      </c>
    </row>
    <row r="32" spans="1:8" s="18" customFormat="1" x14ac:dyDescent="0.2">
      <c r="A32" s="13" t="s">
        <v>25</v>
      </c>
      <c r="B32" s="14" t="s">
        <v>2975</v>
      </c>
      <c r="C32" s="23">
        <f>SUMIFS('BAL N R314'!$H:$H,'BAL N R314'!$I:$I,$A32,'BAL N R314'!$J:$J,"T")</f>
        <v>8140.93</v>
      </c>
      <c r="D32" s="17">
        <f t="shared" si="5"/>
        <v>2.5555731279096539</v>
      </c>
      <c r="E32" s="16">
        <f>SUMIFS(DONNEESCUM_N1_NOUVEAU[MONTANT],DONNEESCUM_N1_NOUVEAU[TL2],A32,DONNEESCUM_N1_NOUVEAU[MOIS],DONNÉES!$C$5,DONNEESCUM_N1_NOUVEAU[SOCIETE],"R314")</f>
        <v>8876.19</v>
      </c>
      <c r="F32" s="17">
        <f t="shared" si="5"/>
        <v>2.4626363417082815</v>
      </c>
      <c r="G32" s="16">
        <f>+C32-E32</f>
        <v>-735.26000000000022</v>
      </c>
      <c r="H32" s="17">
        <f t="shared" si="6"/>
        <v>-8.2835090280852501</v>
      </c>
    </row>
    <row r="33" spans="1:8" ht="13.5" thickBot="1" x14ac:dyDescent="0.25">
      <c r="A33" s="7"/>
      <c r="B33" s="63" t="s">
        <v>2976</v>
      </c>
      <c r="C33" s="49">
        <f>SUM(C28:C32)</f>
        <v>18111.25</v>
      </c>
      <c r="D33" s="50">
        <f t="shared" si="5"/>
        <v>5.6854221585069169</v>
      </c>
      <c r="E33" s="51">
        <f>SUM(E28:E32)</f>
        <v>21567.020000000004</v>
      </c>
      <c r="F33" s="50">
        <f t="shared" si="5"/>
        <v>5.9836176596433104</v>
      </c>
      <c r="G33" s="51">
        <f>SUM(G28:G32)</f>
        <v>-3455.7700000000004</v>
      </c>
      <c r="H33" s="50">
        <f t="shared" si="6"/>
        <v>-16.02340054397872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R314'!$H:$H,'BAL N R314'!$I:$I,$A35,'BAL N R314'!$J:$J,"T")</f>
        <v>5112.33</v>
      </c>
      <c r="D35" s="17">
        <f t="shared" ref="D35:F42" si="7">(C35*100)/C$8</f>
        <v>1.6048452902808845</v>
      </c>
      <c r="E35" s="16">
        <f>SUMIFS(DONNEESCUM_N1_NOUVEAU[MONTANT],DONNEESCUM_N1_NOUVEAU[TL2],A35,DONNEESCUM_N1_NOUVEAU[MOIS],DONNÉES!$C$5,DONNEESCUM_N1_NOUVEAU[SOCIETE],"R314")</f>
        <v>2698.52</v>
      </c>
      <c r="F35" s="17">
        <f t="shared" si="7"/>
        <v>0.7486853504517853</v>
      </c>
      <c r="G35" s="16">
        <f t="shared" ref="G35:G41" si="8">+C35-E35</f>
        <v>2413.81</v>
      </c>
      <c r="H35" s="17">
        <f t="shared" ref="H35:H42" si="9">IF(E35=0,0,G35/E35*100)</f>
        <v>89.449401894371732</v>
      </c>
    </row>
    <row r="36" spans="1:8" s="18" customFormat="1" x14ac:dyDescent="0.2">
      <c r="A36" s="13" t="s">
        <v>30</v>
      </c>
      <c r="B36" s="14" t="s">
        <v>145</v>
      </c>
      <c r="C36" s="23">
        <f>SUMIFS('BAL N R314'!$H:$H,'BAL N R314'!$I:$I,$A36,'BAL N R314'!$J:$J,"T")</f>
        <v>12854.06</v>
      </c>
      <c r="D36" s="17">
        <f t="shared" si="7"/>
        <v>4.0351029084562038</v>
      </c>
      <c r="E36" s="16">
        <f>SUMIFS(DONNEESCUM_N1_NOUVEAU[MONTANT],DONNEESCUM_N1_NOUVEAU[TL2],A36,DONNEESCUM_N1_NOUVEAU[MOIS],DONNÉES!$C$5,DONNEESCUM_N1_NOUVEAU[SOCIETE],"R314")</f>
        <v>14424.79</v>
      </c>
      <c r="F36" s="17">
        <f t="shared" si="7"/>
        <v>4.0020562961710153</v>
      </c>
      <c r="G36" s="16">
        <f t="shared" si="8"/>
        <v>-1570.7300000000014</v>
      </c>
      <c r="H36" s="17">
        <f t="shared" si="9"/>
        <v>-10.889101331804493</v>
      </c>
    </row>
    <row r="37" spans="1:8" s="18" customFormat="1" x14ac:dyDescent="0.2">
      <c r="A37" s="13" t="s">
        <v>32</v>
      </c>
      <c r="B37" s="14" t="s">
        <v>19</v>
      </c>
      <c r="C37" s="23">
        <f>SUMIFS('BAL N R314'!$H:$H,'BAL N R314'!$I:$I,$A37,'BAL N R314'!$J:$J,"T")</f>
        <v>4801.78</v>
      </c>
      <c r="D37" s="17">
        <f t="shared" si="7"/>
        <v>1.5073584878059407</v>
      </c>
      <c r="E37" s="16">
        <f>SUMIFS(DONNEESCUM_N1_NOUVEAU[MONTANT],DONNEESCUM_N1_NOUVEAU[TL2],A37,DONNEESCUM_N1_NOUVEAU[MOIS],DONNÉES!$C$5,DONNEESCUM_N1_NOUVEAU[SOCIETE],"R314")</f>
        <v>4748.97</v>
      </c>
      <c r="F37" s="17">
        <f t="shared" si="7"/>
        <v>1.3175682480526418</v>
      </c>
      <c r="G37" s="16">
        <f t="shared" si="8"/>
        <v>52.809999999999491</v>
      </c>
      <c r="H37" s="17">
        <f t="shared" si="9"/>
        <v>1.1120306087425167</v>
      </c>
    </row>
    <row r="38" spans="1:8" s="18" customFormat="1" x14ac:dyDescent="0.2">
      <c r="A38" s="13" t="s">
        <v>34</v>
      </c>
      <c r="B38" s="14" t="s">
        <v>28</v>
      </c>
      <c r="C38" s="23">
        <f>SUMIFS('BAL N R314'!$H:$H,'BAL N R314'!$I:$I,$A38,'BAL N R314'!$J:$J,"T")</f>
        <v>10583</v>
      </c>
      <c r="D38" s="17">
        <f t="shared" si="7"/>
        <v>3.322179457711572</v>
      </c>
      <c r="E38" s="16">
        <f>SUMIFS(DONNEESCUM_N1_NOUVEAU[MONTANT],DONNEESCUM_N1_NOUVEAU[TL2],A38,DONNEESCUM_N1_NOUVEAU[MOIS],DONNÉES!$C$5,DONNEESCUM_N1_NOUVEAU[SOCIETE],"R314")</f>
        <v>12410.8</v>
      </c>
      <c r="F38" s="17">
        <f t="shared" si="7"/>
        <v>3.44328896854091</v>
      </c>
      <c r="G38" s="16">
        <f t="shared" si="8"/>
        <v>-1827.7999999999993</v>
      </c>
      <c r="H38" s="17">
        <f t="shared" si="9"/>
        <v>-14.727495407225961</v>
      </c>
    </row>
    <row r="39" spans="1:8" s="18" customFormat="1" x14ac:dyDescent="0.2">
      <c r="A39" s="13" t="s">
        <v>2978</v>
      </c>
      <c r="B39" s="14" t="s">
        <v>2980</v>
      </c>
      <c r="C39" s="23">
        <f>SUMIFS('BAL N R314'!$H:$H,'BAL N R314'!$I:$I,$A39,'BAL N R314'!$J:$J,"T")</f>
        <v>519.17999999999995</v>
      </c>
      <c r="D39" s="17">
        <f t="shared" si="7"/>
        <v>0.16297922430829573</v>
      </c>
      <c r="E39" s="16">
        <f>SUMIFS(DONNEESCUM_N1_NOUVEAU[MONTANT],DONNEESCUM_N1_NOUVEAU[TL2],A39,DONNEESCUM_N1_NOUVEAU[MOIS],DONNÉES!$C$5,DONNEESCUM_N1_NOUVEAU[SOCIETE],"R314")</f>
        <v>3228.94</v>
      </c>
      <c r="F39" s="17">
        <f t="shared" si="7"/>
        <v>0.8958466401908407</v>
      </c>
      <c r="G39" s="16">
        <f t="shared" si="8"/>
        <v>-2709.76</v>
      </c>
      <c r="H39" s="17">
        <f t="shared" si="9"/>
        <v>-83.921039102615723</v>
      </c>
    </row>
    <row r="40" spans="1:8" s="18" customFormat="1" x14ac:dyDescent="0.2">
      <c r="A40" s="13" t="s">
        <v>2979</v>
      </c>
      <c r="B40" s="14" t="s">
        <v>2981</v>
      </c>
      <c r="C40" s="23">
        <f>SUMIFS('BAL N R314'!$H:$H,'BAL N R314'!$I:$I,$A40,'BAL N R314'!$J:$J,"T")</f>
        <v>82</v>
      </c>
      <c r="D40" s="17">
        <f t="shared" si="7"/>
        <v>2.5741161819176878E-2</v>
      </c>
      <c r="E40" s="16">
        <f>SUMIFS(DONNEESCUM_N1_NOUVEAU[MONTANT],DONNEESCUM_N1_NOUVEAU[TL2],A40,DONNEESCUM_N1_NOUVEAU[MOIS],DONNÉES!$C$5,DONNEESCUM_N1_NOUVEAU[SOCIETE],"R314")</f>
        <v>52.96</v>
      </c>
      <c r="F40" s="17">
        <f t="shared" si="7"/>
        <v>1.4693378651974618E-2</v>
      </c>
      <c r="G40" s="16">
        <f t="shared" si="8"/>
        <v>29.04</v>
      </c>
      <c r="H40" s="17">
        <f t="shared" si="9"/>
        <v>54.833836858006038</v>
      </c>
    </row>
    <row r="41" spans="1:8" s="18" customFormat="1" x14ac:dyDescent="0.2">
      <c r="A41" s="13" t="s">
        <v>2982</v>
      </c>
      <c r="B41" s="14" t="s">
        <v>2983</v>
      </c>
      <c r="C41" s="23">
        <f>SUMIFS('BAL N R314'!$H:$H,'BAL N R314'!$I:$I,$A41,'BAL N R314'!$J:$J,"T")</f>
        <v>780.4</v>
      </c>
      <c r="D41" s="17">
        <f t="shared" si="7"/>
        <v>0.24498052053275163</v>
      </c>
      <c r="E41" s="16">
        <f>SUMIFS(DONNEESCUM_N1_NOUVEAU[MONTANT],DONNEESCUM_N1_NOUVEAU[TL2],A41,DONNEESCUM_N1_NOUVEAU[MOIS],DONNÉES!$C$5,DONNEESCUM_N1_NOUVEAU[SOCIETE],"R314")</f>
        <v>924.22</v>
      </c>
      <c r="F41" s="17">
        <f t="shared" si="7"/>
        <v>0.25641832359758276</v>
      </c>
      <c r="G41" s="16">
        <f t="shared" si="8"/>
        <v>-143.82000000000005</v>
      </c>
      <c r="H41" s="17">
        <f t="shared" si="9"/>
        <v>-15.561230010170743</v>
      </c>
    </row>
    <row r="42" spans="1:8" ht="13.5" thickBot="1" x14ac:dyDescent="0.25">
      <c r="A42" s="13"/>
      <c r="B42" s="63" t="s">
        <v>2984</v>
      </c>
      <c r="C42" s="49">
        <f>+SUM(C35:C41)</f>
        <v>34732.75</v>
      </c>
      <c r="D42" s="50">
        <f t="shared" si="7"/>
        <v>10.903187050914825</v>
      </c>
      <c r="E42" s="51">
        <f>+SUM(E35:E41)</f>
        <v>38489.200000000004</v>
      </c>
      <c r="F42" s="50">
        <f t="shared" si="7"/>
        <v>10.678557205656752</v>
      </c>
      <c r="G42" s="51">
        <f>+SUM(G35:G41)</f>
        <v>-3756.4500000000016</v>
      </c>
      <c r="H42" s="50">
        <f t="shared" si="9"/>
        <v>-9.7597507872338252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105961.33000000002</v>
      </c>
      <c r="D44" s="71">
        <f>(C44*100)/C$8</f>
        <v>33.263021245185385</v>
      </c>
      <c r="E44" s="72">
        <f>E18-E26-E33-E42</f>
        <v>134825.65000000002</v>
      </c>
      <c r="F44" s="71">
        <f>(E44*100)/E$8</f>
        <v>37.406426122518923</v>
      </c>
      <c r="G44" s="72">
        <f>G18-G26-G33-G42</f>
        <v>-28864.320000000022</v>
      </c>
      <c r="H44" s="71">
        <f>IF(E44=0,0,G44/E44*100)</f>
        <v>-21.408626622604835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R314'!$H:$H,'BAL N R314'!$I:$I,$A46,'BAL N R314'!$J:$J,"T")</f>
        <v>53454.080000000002</v>
      </c>
      <c r="D46" s="17">
        <f t="shared" ref="D46:F49" si="10">(C46*100)/C$8</f>
        <v>16.780123453356417</v>
      </c>
      <c r="E46" s="16">
        <f>SUMIFS(DONNEESCUM_N1_NOUVEAU[MONTANT],DONNEESCUM_N1_NOUVEAU[TL2],A46,DONNEESCUM_N1_NOUVEAU[MOIS],DONNÉES!$C$5,DONNEESCUM_N1_NOUVEAU[SOCIETE],"R314")</f>
        <v>60005.91</v>
      </c>
      <c r="F46" s="17">
        <f t="shared" si="10"/>
        <v>16.648216710466585</v>
      </c>
      <c r="G46" s="16">
        <f>+C46-E46</f>
        <v>-6551.8300000000017</v>
      </c>
      <c r="H46" s="17">
        <f>IF(E46=0,0,G46/E46*100)</f>
        <v>-10.918641180510388</v>
      </c>
    </row>
    <row r="47" spans="1:8" s="18" customFormat="1" x14ac:dyDescent="0.2">
      <c r="A47" s="13" t="s">
        <v>35</v>
      </c>
      <c r="B47" s="14" t="s">
        <v>2986</v>
      </c>
      <c r="C47" s="23">
        <f>SUMIFS('BAL N R314'!$H:$H,'BAL N R314'!$I:$I,$A47,'BAL N R314'!$J:$J,"T")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SUMIFS(DONNEESCUM_N1_NOUVEAU[MONTANT],DONNEESCUM_N1_NOUVEAU[TL2],A47,DONNEESCUM_N1_NOUVEAU[MOIS],DONNÉES!$C$5,DONNEESCUM_N1_NOUVEAU[SOCIETE],"R314")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R314'!$H:$H,'BAL N R314'!$I:$I,$A48,'BAL N R314'!$J:$J,"T")</f>
        <v>-561.09</v>
      </c>
      <c r="D48" s="17">
        <f t="shared" si="10"/>
        <v>-0.17613546933075552</v>
      </c>
      <c r="E48" s="16">
        <f>SUMIFS(DONNEESCUM_N1_NOUVEAU[MONTANT],DONNEESCUM_N1_NOUVEAU[TL2],A48,DONNEESCUM_N1_NOUVEAU[MOIS],DONNÉES!$C$5,DONNEESCUM_N1_NOUVEAU[SOCIETE],"R314")</f>
        <v>-833.8</v>
      </c>
      <c r="F48" s="17">
        <f t="shared" si="10"/>
        <v>-0.23133193202447955</v>
      </c>
      <c r="G48" s="16">
        <f>+C48-E48</f>
        <v>272.70999999999992</v>
      </c>
      <c r="H48" s="17">
        <f>IF(E48=0,0,G48/E48*100)</f>
        <v>-32.706884144878863</v>
      </c>
    </row>
    <row r="49" spans="1:8" ht="13.5" thickBot="1" x14ac:dyDescent="0.25">
      <c r="A49" s="13"/>
      <c r="B49" s="63" t="s">
        <v>2988</v>
      </c>
      <c r="C49" s="49">
        <f>SUM(C46:C48)</f>
        <v>52892.990000000005</v>
      </c>
      <c r="D49" s="50">
        <f t="shared" si="10"/>
        <v>16.603987984025665</v>
      </c>
      <c r="E49" s="51">
        <f>SUM(E46:E48)</f>
        <v>59172.11</v>
      </c>
      <c r="F49" s="50">
        <f t="shared" si="10"/>
        <v>16.416884778442103</v>
      </c>
      <c r="G49" s="51">
        <f>SUM(G46:G48)</f>
        <v>-6279.1200000000017</v>
      </c>
      <c r="H49" s="50">
        <f>IF(E49=0,0,G49/E49*100)</f>
        <v>-10.611620913974509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R314'!$H:$H,'BAL N R314'!$I:$I,$A51,'BAL N R314'!$J:$J,"T")</f>
        <v>349</v>
      </c>
      <c r="D51" s="17">
        <f t="shared" ref="D51:F59" si="11">(C51*100)/C$8</f>
        <v>0.1095568960352772</v>
      </c>
      <c r="E51" s="16">
        <f>SUMIFS(DONNEESCUM_N1_NOUVEAU[MONTANT],DONNEESCUM_N1_NOUVEAU[TL2],A51,DONNEESCUM_N1_NOUVEAU[MOIS],DONNÉES!$C$5,DONNEESCUM_N1_NOUVEAU[SOCIETE],"R314")</f>
        <v>350</v>
      </c>
      <c r="F51" s="17">
        <f t="shared" si="11"/>
        <v>9.7105032632007496E-2</v>
      </c>
      <c r="G51" s="16">
        <f t="shared" ref="G51:G58" si="12">+C51-E51</f>
        <v>-1</v>
      </c>
      <c r="H51" s="17">
        <f t="shared" ref="H51:H59" si="13">IF(E51=0,0,G51/E51*100)</f>
        <v>-0.2857142857142857</v>
      </c>
    </row>
    <row r="52" spans="1:8" s="18" customFormat="1" x14ac:dyDescent="0.2">
      <c r="A52" s="13" t="s">
        <v>42</v>
      </c>
      <c r="B52" s="14" t="s">
        <v>38</v>
      </c>
      <c r="C52" s="23">
        <f>SUMIFS('BAL N R314'!$H:$H,'BAL N R314'!$I:$I,$A52,'BAL N R314'!$J:$J,"T")</f>
        <v>16197.51</v>
      </c>
      <c r="D52" s="17">
        <f t="shared" si="11"/>
        <v>5.0846673899723855</v>
      </c>
      <c r="E52" s="16">
        <f>SUMIFS(DONNEESCUM_N1_NOUVEAU[MONTANT],DONNEESCUM_N1_NOUVEAU[TL2],A52,DONNEESCUM_N1_NOUVEAU[MOIS],DONNÉES!$C$5,DONNEESCUM_N1_NOUVEAU[SOCIETE],"R314")</f>
        <v>18183.61</v>
      </c>
      <c r="F52" s="17">
        <f t="shared" si="11"/>
        <v>5.0449144069077079</v>
      </c>
      <c r="G52" s="16">
        <f t="shared" si="12"/>
        <v>-1986.1000000000004</v>
      </c>
      <c r="H52" s="17">
        <f t="shared" si="13"/>
        <v>-10.922473590227685</v>
      </c>
    </row>
    <row r="53" spans="1:8" s="18" customFormat="1" x14ac:dyDescent="0.2">
      <c r="A53" s="13" t="s">
        <v>44</v>
      </c>
      <c r="B53" s="14" t="s">
        <v>62</v>
      </c>
      <c r="C53" s="23">
        <f>SUMIFS('BAL N R314'!$H:$H,'BAL N R314'!$I:$I,$A53,'BAL N R314'!$J:$J,"T")</f>
        <v>1590.68</v>
      </c>
      <c r="D53" s="17">
        <f t="shared" si="11"/>
        <v>0.4993408692991253</v>
      </c>
      <c r="E53" s="16">
        <f>SUMIFS(DONNEESCUM_N1_NOUVEAU[MONTANT],DONNEESCUM_N1_NOUVEAU[TL2],A53,DONNEESCUM_N1_NOUVEAU[MOIS],DONNÉES!$C$5,DONNEESCUM_N1_NOUVEAU[SOCIETE],"R314")</f>
        <v>1436</v>
      </c>
      <c r="F53" s="17">
        <f t="shared" si="11"/>
        <v>0.39840807674160789</v>
      </c>
      <c r="G53" s="16">
        <f t="shared" si="12"/>
        <v>154.68000000000006</v>
      </c>
      <c r="H53" s="17">
        <f t="shared" si="13"/>
        <v>10.771587743732596</v>
      </c>
    </row>
    <row r="54" spans="1:8" s="18" customFormat="1" x14ac:dyDescent="0.2">
      <c r="A54" s="13" t="s">
        <v>45</v>
      </c>
      <c r="B54" s="14" t="s">
        <v>41</v>
      </c>
      <c r="C54" s="23">
        <f>SUMIFS('BAL N R314'!$H:$H,'BAL N R314'!$I:$I,$A54,'BAL N R314'!$J:$J,"T")</f>
        <v>1966</v>
      </c>
      <c r="D54" s="17">
        <f t="shared" si="11"/>
        <v>0.61716005044514322</v>
      </c>
      <c r="E54" s="16">
        <f>SUMIFS(DONNEESCUM_N1_NOUVEAU[MONTANT],DONNEESCUM_N1_NOUVEAU[TL2],A54,DONNEESCUM_N1_NOUVEAU[MOIS],DONNÉES!$C$5,DONNEESCUM_N1_NOUVEAU[SOCIETE],"R314")</f>
        <v>1728.8</v>
      </c>
      <c r="F54" s="17">
        <f t="shared" si="11"/>
        <v>0.47964337261204154</v>
      </c>
      <c r="G54" s="16">
        <f t="shared" si="12"/>
        <v>237.20000000000005</v>
      </c>
      <c r="H54" s="17">
        <f t="shared" si="13"/>
        <v>13.720499768625638</v>
      </c>
    </row>
    <row r="55" spans="1:8" s="18" customFormat="1" x14ac:dyDescent="0.2">
      <c r="A55" s="13" t="s">
        <v>47</v>
      </c>
      <c r="B55" s="14" t="s">
        <v>43</v>
      </c>
      <c r="C55" s="23">
        <f>SUMIFS('BAL N R314'!$H:$H,'BAL N R314'!$I:$I,$A55,'BAL N R314'!$J:$J,"T")</f>
        <v>4549.05</v>
      </c>
      <c r="D55" s="17">
        <f t="shared" si="11"/>
        <v>1.4280223435795922</v>
      </c>
      <c r="E55" s="16">
        <f>SUMIFS(DONNEESCUM_N1_NOUVEAU[MONTANT],DONNEESCUM_N1_NOUVEAU[TL2],A55,DONNEESCUM_N1_NOUVEAU[MOIS],DONNÉES!$C$5,DONNEESCUM_N1_NOUVEAU[SOCIETE],"R314")</f>
        <v>4717.59</v>
      </c>
      <c r="F55" s="17">
        <f t="shared" si="11"/>
        <v>1.3088620882698063</v>
      </c>
      <c r="G55" s="16">
        <f t="shared" si="12"/>
        <v>-168.53999999999996</v>
      </c>
      <c r="H55" s="17">
        <f t="shared" si="13"/>
        <v>-3.5725868504893379</v>
      </c>
    </row>
    <row r="56" spans="1:8" s="18" customFormat="1" x14ac:dyDescent="0.2">
      <c r="A56" s="13" t="s">
        <v>48</v>
      </c>
      <c r="B56" s="14" t="s">
        <v>46</v>
      </c>
      <c r="C56" s="23">
        <f>SUMIFS('BAL N R314'!$H:$H,'BAL N R314'!$I:$I,$A56,'BAL N R314'!$J:$J,"T")</f>
        <v>17300</v>
      </c>
      <c r="D56" s="17">
        <f t="shared" si="11"/>
        <v>5.4307573106312192</v>
      </c>
      <c r="E56" s="16">
        <f>SUMIFS(DONNEESCUM_N1_NOUVEAU[MONTANT],DONNEESCUM_N1_NOUVEAU[TL2],A56,DONNEESCUM_N1_NOUVEAU[MOIS],DONNÉES!$C$5,DONNEESCUM_N1_NOUVEAU[SOCIETE],"R314")</f>
        <v>22504</v>
      </c>
      <c r="F56" s="17">
        <f t="shared" si="11"/>
        <v>6.2435761552877045</v>
      </c>
      <c r="G56" s="16">
        <f t="shared" si="12"/>
        <v>-5204</v>
      </c>
      <c r="H56" s="17">
        <f t="shared" si="13"/>
        <v>-23.124777817276929</v>
      </c>
    </row>
    <row r="57" spans="1:8" s="18" customFormat="1" x14ac:dyDescent="0.2">
      <c r="A57" s="13" t="s">
        <v>50</v>
      </c>
      <c r="B57" s="14" t="s">
        <v>2990</v>
      </c>
      <c r="C57" s="23">
        <f>SUMIFS('BAL N R314'!$H:$H,'BAL N R314'!$I:$I,$A57,'BAL N R314'!$J:$J,"T")</f>
        <v>321.35000000000002</v>
      </c>
      <c r="D57" s="17">
        <f t="shared" si="11"/>
        <v>0.10087710183649379</v>
      </c>
      <c r="E57" s="16">
        <f>SUMIFS(DONNEESCUM_N1_NOUVEAU[MONTANT],DONNEESCUM_N1_NOUVEAU[TL2],A57,DONNEESCUM_N1_NOUVEAU[MOIS],DONNÉES!$C$5,DONNEESCUM_N1_NOUVEAU[SOCIETE],"R314")</f>
        <v>0</v>
      </c>
      <c r="F57" s="17">
        <f t="shared" si="11"/>
        <v>0</v>
      </c>
      <c r="G57" s="16">
        <f t="shared" si="12"/>
        <v>321.35000000000002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R314'!$H:$H,'BAL N R314'!$I:$I,$A58,'BAL N R314'!$J:$J,"T")</f>
        <v>4048.89</v>
      </c>
      <c r="D58" s="17">
        <f t="shared" si="11"/>
        <v>1.2710138131469153</v>
      </c>
      <c r="E58" s="16">
        <f>SUMIFS(DONNEESCUM_N1_NOUVEAU[MONTANT],DONNEESCUM_N1_NOUVEAU[TL2],A58,DONNEESCUM_N1_NOUVEAU[MOIS],DONNÉES!$C$5,DONNEESCUM_N1_NOUVEAU[SOCIETE],"R314")</f>
        <v>4940.41</v>
      </c>
      <c r="F58" s="17">
        <f t="shared" si="11"/>
        <v>1.370681926472846</v>
      </c>
      <c r="G58" s="16">
        <f t="shared" si="12"/>
        <v>-891.52</v>
      </c>
      <c r="H58" s="17">
        <f t="shared" si="13"/>
        <v>-18.045465862145043</v>
      </c>
    </row>
    <row r="59" spans="1:8" ht="13.5" thickBot="1" x14ac:dyDescent="0.25">
      <c r="A59" s="13"/>
      <c r="B59" s="63" t="s">
        <v>2994</v>
      </c>
      <c r="C59" s="49">
        <f>SUM(C51:C58)</f>
        <v>46322.48</v>
      </c>
      <c r="D59" s="50">
        <f t="shared" si="11"/>
        <v>14.541395774946153</v>
      </c>
      <c r="E59" s="51">
        <f>SUM(E51:E58)</f>
        <v>53860.41</v>
      </c>
      <c r="F59" s="50">
        <f t="shared" si="11"/>
        <v>14.943191058923722</v>
      </c>
      <c r="G59" s="51">
        <f>SUM(G51:G58)</f>
        <v>-7537.93</v>
      </c>
      <c r="H59" s="50">
        <f t="shared" si="13"/>
        <v>-13.995307499515878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230679.96999999997</v>
      </c>
      <c r="D61" s="71">
        <f>(C61*100)/C$8</f>
        <v>72.414273612352034</v>
      </c>
      <c r="E61" s="72">
        <f>E59+E49+E42+E33+E26</f>
        <v>248897.18</v>
      </c>
      <c r="F61" s="71">
        <f>(E61*100)/E$8</f>
        <v>69.05476795975612</v>
      </c>
      <c r="G61" s="72">
        <f>G59+G49+G42+G33+G26</f>
        <v>-18217.210000000006</v>
      </c>
      <c r="H61" s="71">
        <f>IF(E61=0,0,G61/E61*100)</f>
        <v>-7.3191709122618454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R314'!$H:$H,'BAL N R314'!$I:$I,$A63,'BAL N R314'!$J:$J,"T")</f>
        <v>5735.69</v>
      </c>
      <c r="D63" s="17">
        <f t="shared" ref="D63:F65" si="14">(C63*100)/C$8</f>
        <v>1.8005283467638369</v>
      </c>
      <c r="E63" s="16">
        <f>-SUMIFS(DONNEESCUM_N1_NOUVEAU[MONTANT],DONNEESCUM_N1_NOUVEAU[TL2],A63,DONNEESCUM_N1_NOUVEAU[MOIS],DONNÉES!$C$5,DONNEESCUM_N1_NOUVEAU[SOCIETE],"R314")</f>
        <v>3237.69</v>
      </c>
      <c r="F63" s="17">
        <f t="shared" si="14"/>
        <v>0.89827426600664095</v>
      </c>
      <c r="G63" s="16">
        <f>+C63-E63</f>
        <v>2497.9999999999995</v>
      </c>
      <c r="H63" s="17">
        <f>IF(E63=0,0,G63/E63*100)</f>
        <v>77.153773214853786</v>
      </c>
    </row>
    <row r="64" spans="1:8" s="18" customFormat="1" x14ac:dyDescent="0.2">
      <c r="A64" s="13" t="s">
        <v>2992</v>
      </c>
      <c r="B64" s="68" t="s">
        <v>65</v>
      </c>
      <c r="C64" s="23">
        <f>SUMIFS('BAL N R314'!$H:$H,'BAL N R314'!$I:$I,$A64,'BAL N R314'!$J:$J,"T")</f>
        <v>1009.42</v>
      </c>
      <c r="D64" s="17">
        <f t="shared" si="14"/>
        <v>0.31687370199406734</v>
      </c>
      <c r="E64" s="24">
        <f>SUMIFS(DONNEESCUM_N1_NOUVEAU[MONTANT],DONNEESCUM_N1_NOUVEAU[TL2],A64,DONNEESCUM_N1_NOUVEAU[MOIS],DONNÉES!$C$5,DONNEESCUM_N1_NOUVEAU[SOCIETE],"R314")</f>
        <v>2779.32</v>
      </c>
      <c r="F64" s="17">
        <f t="shared" si="14"/>
        <v>0.77110274084226016</v>
      </c>
      <c r="G64" s="16">
        <f>+C64-E64</f>
        <v>-1769.9</v>
      </c>
      <c r="H64" s="17">
        <f>IF(E64=0,0,G64/E64*100)</f>
        <v>-63.681044284213407</v>
      </c>
    </row>
    <row r="65" spans="1:9" s="59" customFormat="1" ht="13.5" x14ac:dyDescent="0.2">
      <c r="A65" s="13"/>
      <c r="B65" s="62" t="s">
        <v>53</v>
      </c>
      <c r="C65" s="67">
        <f>+C63-C64</f>
        <v>4726.2699999999995</v>
      </c>
      <c r="D65" s="56">
        <f t="shared" si="14"/>
        <v>1.4836546447697694</v>
      </c>
      <c r="E65" s="57">
        <f>+E63-E64</f>
        <v>458.36999999999989</v>
      </c>
      <c r="F65" s="56">
        <f t="shared" si="14"/>
        <v>0.12717152516438074</v>
      </c>
      <c r="G65" s="58">
        <f>+G63-G64</f>
        <v>4267.8999999999996</v>
      </c>
      <c r="H65" s="56">
        <f>IF(E65=0,0,G65/E65*100)</f>
        <v>931.10369352270015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R314'!$H:$H,'BAL N R314'!$I:$I,$A67,'BAL N R314'!$J:$J,"T")</f>
        <v>-276.07</v>
      </c>
      <c r="D67" s="17">
        <f>(C67*100)/C$8</f>
        <v>-8.6662957846587327E-2</v>
      </c>
      <c r="E67" s="16">
        <f>-SUMIFS(DONNEESCUM_N1_NOUVEAU[MONTANT],DONNEESCUM_N1_NOUVEAU[TL2],A67,DONNEESCUM_N1_NOUVEAU[MOIS],DONNÉES!$C$5,DONNEESCUM_N1_NOUVEAU[SOCIETE],"R314")</f>
        <v>-406.58</v>
      </c>
      <c r="F67" s="17">
        <f>(E67*100)/E$8</f>
        <v>-0.11280275476434744</v>
      </c>
      <c r="G67" s="16">
        <f>+C67-E67</f>
        <v>130.51</v>
      </c>
      <c r="H67" s="17">
        <f>IF(E67=0,0,G67/E67*100)</f>
        <v>-32.099463820158391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11196.060000000045</v>
      </c>
      <c r="D69" s="10">
        <f>(C69*100)/C$8</f>
        <v>3.5146291731367634</v>
      </c>
      <c r="E69" s="9">
        <f>E18-E61+E65+E67</f>
        <v>21844.92000000006</v>
      </c>
      <c r="F69" s="10">
        <f>(E69*100)/E$8</f>
        <v>6.0607190555531396</v>
      </c>
      <c r="G69" s="9">
        <f>G18-G61+G65+G67</f>
        <v>-10648.860000000019</v>
      </c>
      <c r="H69" s="10">
        <f>IF(E69=0,0,G69/E69*100)</f>
        <v>-48.74753489598492</v>
      </c>
    </row>
    <row r="70" spans="1:9" ht="13.5" thickBot="1" x14ac:dyDescent="0.25">
      <c r="A70" s="13"/>
      <c r="B70" s="63" t="s">
        <v>3034</v>
      </c>
      <c r="C70" s="49">
        <f>+C69-C67+C57+C56</f>
        <v>29093.480000000047</v>
      </c>
      <c r="D70" s="50">
        <f>(C70*100)/C$8</f>
        <v>9.1329265434510649</v>
      </c>
      <c r="E70" s="49">
        <f>+E69-E67+E57+E56</f>
        <v>44755.500000000058</v>
      </c>
      <c r="F70" s="50">
        <f>(E70*100)/E$8</f>
        <v>12.417097965605191</v>
      </c>
      <c r="G70" s="49">
        <f>+G69-G67+G57+G56</f>
        <v>-15662.020000000019</v>
      </c>
      <c r="H70" s="50">
        <f>IF(E70=0,0,G70/E70*100)</f>
        <v>-34.994626358771541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R314'!$H:$H,'BAL N R314'!$I:$I,$A72,'BAL N R314'!$J:$J,"T")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-SUMIFS(DONNEESCUM_N1_NOUVEAU[MONTANT],DONNEESCUM_N1_NOUVEAU[TL2],A72,DONNEESCUM_N1_NOUVEAU[MOIS],DONNÉES!$C$5,DONNEESCUM_N1_NOUVEAU[SOCIETE],"R314")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R314'!$H:$H,'BAL N R314'!$I:$I,$A74,'BAL N R314'!$J:$J,"T")</f>
        <v>28052.33</v>
      </c>
      <c r="D74" s="10">
        <f>(C74*100)/C$8</f>
        <v>8.8060922674993911</v>
      </c>
      <c r="E74" s="9">
        <f>SUMIFS(DONNEESCUM_N1_NOUVEAU[MONTANT],DONNEESCUM_N1_NOUVEAU[TL2],A74,DONNEESCUM_N1_NOUVEAU[MOIS],DONNÉES!$C$5,DONNEESCUM_N1_NOUVEAU[SOCIETE],"R314")</f>
        <v>25533.33</v>
      </c>
      <c r="F74" s="10">
        <f>(E74*100)/E$8</f>
        <v>7.084042408153759</v>
      </c>
      <c r="G74" s="9">
        <f>+C74-E74</f>
        <v>2519</v>
      </c>
      <c r="H74" s="10">
        <f>IF(E74=0,0,G74/E74*100)</f>
        <v>9.8655365359708256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-16856.269999999957</v>
      </c>
      <c r="D76" s="71">
        <f>(C76*100)/C$8</f>
        <v>-5.2914630943626273</v>
      </c>
      <c r="E76" s="72">
        <f>E69-E74+E72</f>
        <v>-3688.4099999999416</v>
      </c>
      <c r="F76" s="71">
        <f>(E76*100)/E$8</f>
        <v>-1.0233233526006202</v>
      </c>
      <c r="G76" s="72">
        <f>G69-G74+G72</f>
        <v>-13167.860000000019</v>
      </c>
      <c r="H76" s="71">
        <f>IF(E76=0,0,G76/E76*100)</f>
        <v>357.00640655459199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VLOOKUP(PARAMETRES!$C$2,DONNÉES!$CD$188:$CJ$199,2,FALSE)</f>
        <v>20186</v>
      </c>
      <c r="D78" s="324"/>
      <c r="E78" s="323">
        <f>VLOOKUP(PARAMETRES!$C$2,DONNÉES!$CD$188:$CJ$199,3,FALSE)</f>
        <v>21787</v>
      </c>
      <c r="F78" s="324"/>
      <c r="G78" s="325">
        <f>C78-E78</f>
        <v>-1601</v>
      </c>
      <c r="H78" s="326"/>
    </row>
    <row r="79" spans="1:9" ht="13.5" thickTop="1" x14ac:dyDescent="0.2">
      <c r="A79" s="13"/>
      <c r="B79" s="65"/>
      <c r="C79" s="25"/>
      <c r="D79" s="26"/>
      <c r="E79" s="25"/>
      <c r="F79" s="26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VLOOKUP(PARAMETRES!$C$2,DONNÉES!$CD$284:$CJ$295,2,FALSE)</f>
        <v>16.05</v>
      </c>
      <c r="D80" s="316"/>
      <c r="E80" s="315">
        <f>VLOOKUP(PARAMETRES!$C$2,DONNÉES!$CD$284:$CJ$295,3,FALSE)</f>
        <v>17.95</v>
      </c>
      <c r="F80" s="316"/>
      <c r="G80" s="317">
        <f>(C80-E80)/E80</f>
        <v>-0.10584958217270188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6542-EBCC-453B-8D14-DA098493C4D8}">
  <sheetPr codeName="Feuil61">
    <tabColor rgb="FFFFC000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9005-7218-4E67-9AD2-1385DB6168F3}">
  <sheetPr>
    <tabColor rgb="FFFFC000"/>
    <pageSetUpPr fitToPage="1"/>
  </sheetPr>
  <dimension ref="A1:I81"/>
  <sheetViews>
    <sheetView showGridLines="0" topLeftCell="B20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customWidth="1"/>
    <col min="6" max="6" width="8.5703125" style="21" customWidth="1"/>
    <col min="7" max="7" width="12.5703125" style="20" customWidth="1"/>
    <col min="8" max="8" width="8.42578125" style="2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298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294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LYSE'!$H:$H,'BAL N LYSE'!$I:$I,$A8,'BAL N LYSE'!$J:$J,"T")</f>
        <v>379222.46</v>
      </c>
      <c r="D8" s="71">
        <f>(C8*100)/C$8</f>
        <v>100</v>
      </c>
      <c r="E8" s="72">
        <f>-SUMIFS(DONNEESCUM_N1_NOUVEAU[MONTANT],DONNEESCUM_N1_NOUVEAU[TL2],A8,DONNEESCUM_N1_NOUVEAU[MOIS],DONNÉES!$C$5,DONNEESCUM_N1_NOUVEAU[SOCIETE],"LYSE")</f>
        <v>316396.07</v>
      </c>
      <c r="F8" s="71">
        <f>(E8*100)/E$8</f>
        <v>100</v>
      </c>
      <c r="G8" s="72">
        <f>+C8-E8</f>
        <v>62826.390000000014</v>
      </c>
      <c r="H8" s="71">
        <f>IF(E8=0,0,G8/E8*100)</f>
        <v>19.856880649623747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LYSE'!$H:$H,'BAL N LYSE'!$I:$I,$A10,'BAL N LYSE'!$J:$J,"T")</f>
        <v>83826.460000000006</v>
      </c>
      <c r="D10" s="17">
        <f t="shared" ref="D10:F16" si="0">(C10*100)/C$8</f>
        <v>22.104824698410532</v>
      </c>
      <c r="E10" s="16">
        <f>SUMIFS(DONNEESCUM_N1_NOUVEAU[MONTANT],DONNEESCUM_N1_NOUVEAU[TL2],A10,DONNEESCUM_N1_NOUVEAU[MOIS],DONNÉES!$C$5,DONNEESCUM_N1_NOUVEAU[SOCIETE],"LYSE")</f>
        <v>70289.440000000002</v>
      </c>
      <c r="F10" s="17">
        <f t="shared" si="0"/>
        <v>22.215648885904304</v>
      </c>
      <c r="G10" s="16">
        <f>+C10-E10</f>
        <v>13537.020000000004</v>
      </c>
      <c r="H10" s="17">
        <f t="shared" ref="H10:H16" si="1">IF(E10=0,0,G10/E10*100)</f>
        <v>19.258966923054167</v>
      </c>
    </row>
    <row r="11" spans="1:8" s="18" customFormat="1" x14ac:dyDescent="0.2">
      <c r="A11" s="13" t="s">
        <v>124</v>
      </c>
      <c r="B11" s="14" t="s">
        <v>4</v>
      </c>
      <c r="C11" s="23">
        <f>SUMIFS('BAL N LYSE'!$H:$H,'BAL N LYSE'!$I:$I,$A11,'BAL N LYSE'!$J:$J,"T")</f>
        <v>1513.63</v>
      </c>
      <c r="D11" s="17">
        <f t="shared" si="0"/>
        <v>0.39914038846749739</v>
      </c>
      <c r="E11" s="16">
        <f>SUMIFS(DONNEESCUM_N1_NOUVEAU[MONTANT],DONNEESCUM_N1_NOUVEAU[TL2],A11,DONNEESCUM_N1_NOUVEAU[MOIS],DONNÉES!$C$5,DONNEESCUM_N1_NOUVEAU[SOCIETE],"LYSE")</f>
        <v>1966.73</v>
      </c>
      <c r="F11" s="17">
        <f t="shared" si="0"/>
        <v>0.62160380184241859</v>
      </c>
      <c r="G11" s="16">
        <f>+C11-E11</f>
        <v>-453.09999999999991</v>
      </c>
      <c r="H11" s="17">
        <f t="shared" si="1"/>
        <v>-23.038241141386965</v>
      </c>
    </row>
    <row r="12" spans="1:8" s="18" customFormat="1" x14ac:dyDescent="0.2">
      <c r="A12" s="13" t="s">
        <v>125</v>
      </c>
      <c r="B12" s="14" t="s">
        <v>2</v>
      </c>
      <c r="C12" s="23">
        <f>SUMIFS('BAL N LYSE'!$H:$H,'BAL N LYSE'!$I:$I,$A12,'BAL N LYSE'!$J:$J,"T")</f>
        <v>2800.7</v>
      </c>
      <c r="D12" s="17">
        <f t="shared" si="0"/>
        <v>0.73853748008490838</v>
      </c>
      <c r="E12" s="16">
        <f>SUMIFS(DONNEESCUM_N1_NOUVEAU[MONTANT],DONNEESCUM_N1_NOUVEAU[TL2],A12,DONNEESCUM_N1_NOUVEAU[MOIS],DONNÉES!$C$5,DONNEESCUM_N1_NOUVEAU[SOCIETE],"LYSE")</f>
        <v>1924.48</v>
      </c>
      <c r="F12" s="17">
        <f t="shared" si="0"/>
        <v>0.60825028578894802</v>
      </c>
      <c r="G12" s="16">
        <f>+C12-E12</f>
        <v>876.2199999999998</v>
      </c>
      <c r="H12" s="17">
        <f t="shared" si="1"/>
        <v>45.530221150648472</v>
      </c>
    </row>
    <row r="13" spans="1:8" s="59" customFormat="1" ht="13.5" x14ac:dyDescent="0.2">
      <c r="A13" s="60"/>
      <c r="B13" s="62" t="s">
        <v>6</v>
      </c>
      <c r="C13" s="55">
        <f>SUM(C10:C12)</f>
        <v>88140.790000000008</v>
      </c>
      <c r="D13" s="56">
        <f t="shared" si="0"/>
        <v>23.242502566962937</v>
      </c>
      <c r="E13" s="55">
        <f>SUM(E10:E12)</f>
        <v>74180.649999999994</v>
      </c>
      <c r="F13" s="56">
        <f t="shared" si="0"/>
        <v>23.445502973535667</v>
      </c>
      <c r="G13" s="55">
        <f>SUM(G10:G12)</f>
        <v>13960.140000000003</v>
      </c>
      <c r="H13" s="56">
        <f t="shared" si="1"/>
        <v>18.819112531367686</v>
      </c>
    </row>
    <row r="14" spans="1:8" s="18" customFormat="1" x14ac:dyDescent="0.2">
      <c r="A14" s="13" t="s">
        <v>126</v>
      </c>
      <c r="B14" s="14" t="s">
        <v>8</v>
      </c>
      <c r="C14" s="23">
        <f>SUMIFS('BAL N LYSE'!$H:$H,'BAL N LYSE'!$I:$I,$A14,'BAL N LYSE'!$J:$J,"T")</f>
        <v>9133.39</v>
      </c>
      <c r="D14" s="17">
        <f t="shared" si="0"/>
        <v>2.4084517567867683</v>
      </c>
      <c r="E14" s="16">
        <f>SUMIFS(DONNEESCUM_N1_NOUVEAU[MONTANT],DONNEESCUM_N1_NOUVEAU[TL2],A14,DONNEESCUM_N1_NOUVEAU[MOIS],DONNÉES!$C$5,DONNEESCUM_N1_NOUVEAU[SOCIETE],"LYSE")</f>
        <v>7191.63</v>
      </c>
      <c r="F14" s="17">
        <f t="shared" si="0"/>
        <v>2.2729833527957539</v>
      </c>
      <c r="G14" s="16">
        <f>+C14-E14</f>
        <v>1941.7599999999993</v>
      </c>
      <c r="H14" s="17">
        <f t="shared" si="1"/>
        <v>27.000276710564915</v>
      </c>
    </row>
    <row r="15" spans="1:8" s="18" customFormat="1" x14ac:dyDescent="0.2">
      <c r="A15" s="13" t="s">
        <v>2964</v>
      </c>
      <c r="B15" s="14" t="s">
        <v>2965</v>
      </c>
      <c r="C15" s="23">
        <f>SUMIFS('BAL N LYSE'!$H:$H,'BAL N LYSE'!$I:$I,$A15,'BAL N LYSE'!$J:$J,"T")</f>
        <v>285.94</v>
      </c>
      <c r="D15" s="17">
        <f t="shared" si="0"/>
        <v>7.5401652106787134E-2</v>
      </c>
      <c r="E15" s="16">
        <f>SUMIFS(DONNEESCUM_N1_NOUVEAU[MONTANT],DONNEESCUM_N1_NOUVEAU[TL2],A15,DONNEESCUM_N1_NOUVEAU[MOIS],DONNÉES!$C$5,DONNEESCUM_N1_NOUVEAU[SOCIETE],"LYSE")</f>
        <v>233.14</v>
      </c>
      <c r="F15" s="17">
        <f t="shared" si="0"/>
        <v>7.3686123851032667E-2</v>
      </c>
      <c r="G15" s="16">
        <f>+C15-E15</f>
        <v>52.800000000000011</v>
      </c>
      <c r="H15" s="17">
        <f t="shared" si="1"/>
        <v>22.647336364416237</v>
      </c>
    </row>
    <row r="16" spans="1:8" ht="13.5" thickBot="1" x14ac:dyDescent="0.25">
      <c r="A16" s="7"/>
      <c r="B16" s="63" t="s">
        <v>10</v>
      </c>
      <c r="C16" s="49">
        <f>+C13+SUM(C14:C15)</f>
        <v>97560.12000000001</v>
      </c>
      <c r="D16" s="50">
        <f t="shared" si="0"/>
        <v>25.726355975856496</v>
      </c>
      <c r="E16" s="49">
        <f>+E13+SUM(E14:E15)</f>
        <v>81605.42</v>
      </c>
      <c r="F16" s="50">
        <f t="shared" si="0"/>
        <v>25.792172450182456</v>
      </c>
      <c r="G16" s="49">
        <f>+G13+SUM(G14:G15)</f>
        <v>15954.700000000003</v>
      </c>
      <c r="H16" s="50">
        <f t="shared" si="1"/>
        <v>19.551029821303541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281662.34000000003</v>
      </c>
      <c r="D18" s="71">
        <f>(C18*100)/C$8</f>
        <v>74.273644024143508</v>
      </c>
      <c r="E18" s="70">
        <f>E8-E16</f>
        <v>234790.65000000002</v>
      </c>
      <c r="F18" s="71">
        <f>(E18*100)/E$8</f>
        <v>74.207827549817551</v>
      </c>
      <c r="G18" s="70">
        <f>G8-G16</f>
        <v>46871.69000000001</v>
      </c>
      <c r="H18" s="71">
        <f>IF(E18=0,0,G18/E18*100)</f>
        <v>19.963184223903298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LYSE'!$H:$H,'BAL N LYSE'!$I:$I,$A20,'BAL N LYSE'!$J:$J,"T")</f>
        <v>56758.27</v>
      </c>
      <c r="D20" s="17">
        <f t="shared" ref="D20:F26" si="2">(C20*100)/C$8</f>
        <v>14.967011711278914</v>
      </c>
      <c r="E20" s="16">
        <f>SUMIFS(DONNEESCUM_N1_NOUVEAU[MONTANT],DONNEESCUM_N1_NOUVEAU[TL2],A20,DONNEESCUM_N1_NOUVEAU[MOIS],DONNÉES!$C$5,DONNEESCUM_N1_NOUVEAU[SOCIETE],"LYSE")</f>
        <v>63548.7</v>
      </c>
      <c r="F20" s="17">
        <f t="shared" si="2"/>
        <v>20.085173624312084</v>
      </c>
      <c r="G20" s="16">
        <f t="shared" ref="G20:G25" si="3">+C20-E20</f>
        <v>-6790.43</v>
      </c>
      <c r="H20" s="17">
        <f t="shared" ref="H20:H26" si="4">IF(E20=0,0,G20/E20*100)</f>
        <v>-10.685395609981008</v>
      </c>
    </row>
    <row r="21" spans="1:8" s="18" customFormat="1" x14ac:dyDescent="0.2">
      <c r="A21" s="13">
        <v>9</v>
      </c>
      <c r="B21" s="14" t="s">
        <v>2968</v>
      </c>
      <c r="C21" s="23">
        <f>SUMIFS('BAL N LYSE'!$H:$H,'BAL N LYSE'!$I:$I,$A21,'BAL N LYSE'!$J:$J,"T")</f>
        <v>8575.49</v>
      </c>
      <c r="D21" s="17">
        <f t="shared" si="2"/>
        <v>2.2613349430832761</v>
      </c>
      <c r="E21" s="16">
        <f>SUMIFS(DONNEESCUM_N1_NOUVEAU[MONTANT],DONNEESCUM_N1_NOUVEAU[TL2],A21,DONNEESCUM_N1_NOUVEAU[MOIS],DONNÉES!$C$5,DONNEESCUM_N1_NOUVEAU[SOCIETE],"LYSE")</f>
        <v>5602.49</v>
      </c>
      <c r="F21" s="17">
        <f t="shared" si="2"/>
        <v>1.770720477027417</v>
      </c>
      <c r="G21" s="16">
        <f t="shared" si="3"/>
        <v>2973</v>
      </c>
      <c r="H21" s="17">
        <f t="shared" si="4"/>
        <v>53.065690434074853</v>
      </c>
    </row>
    <row r="22" spans="1:8" s="18" customFormat="1" x14ac:dyDescent="0.2">
      <c r="A22" s="13" t="s">
        <v>12</v>
      </c>
      <c r="B22" s="14" t="s">
        <v>14</v>
      </c>
      <c r="C22" s="23">
        <f>SUMIFS('BAL N LYSE'!$H:$H,'BAL N LYSE'!$I:$I,$A22,'BAL N LYSE'!$J:$J,"T")</f>
        <v>11976.85</v>
      </c>
      <c r="D22" s="17">
        <f t="shared" si="2"/>
        <v>3.1582649403202541</v>
      </c>
      <c r="E22" s="16">
        <f>SUMIFS(DONNEESCUM_N1_NOUVEAU[MONTANT],DONNEESCUM_N1_NOUVEAU[TL2],A22,DONNEESCUM_N1_NOUVEAU[MOIS],DONNÉES!$C$5,DONNEESCUM_N1_NOUVEAU[SOCIETE],"LYSE")</f>
        <v>22103.54</v>
      </c>
      <c r="F22" s="17">
        <f t="shared" si="2"/>
        <v>6.9860349403202129</v>
      </c>
      <c r="G22" s="16">
        <f t="shared" si="3"/>
        <v>-10126.69</v>
      </c>
      <c r="H22" s="17">
        <f t="shared" si="4"/>
        <v>-45.814788038477097</v>
      </c>
    </row>
    <row r="23" spans="1:8" s="18" customFormat="1" x14ac:dyDescent="0.2">
      <c r="A23" s="13" t="s">
        <v>13</v>
      </c>
      <c r="B23" s="14" t="s">
        <v>2966</v>
      </c>
      <c r="C23" s="23">
        <f>SUMIFS('BAL N LYSE'!$H:$H,'BAL N LYSE'!$I:$I,$A23,'BAL N LYSE'!$J:$J,"T")</f>
        <v>1460.65</v>
      </c>
      <c r="D23" s="17">
        <f t="shared" si="2"/>
        <v>0.38516969696362391</v>
      </c>
      <c r="E23" s="16">
        <f>SUMIFS(DONNEESCUM_N1_NOUVEAU[MONTANT],DONNEESCUM_N1_NOUVEAU[TL2],A23,DONNEESCUM_N1_NOUVEAU[MOIS],DONNÉES!$C$5,DONNEESCUM_N1_NOUVEAU[SOCIETE],"LYSE")</f>
        <v>5680.01</v>
      </c>
      <c r="F23" s="17">
        <f t="shared" si="2"/>
        <v>1.7952214134644593</v>
      </c>
      <c r="G23" s="16">
        <f t="shared" si="3"/>
        <v>-4219.3600000000006</v>
      </c>
      <c r="H23" s="17">
        <f t="shared" si="4"/>
        <v>-74.284376259900966</v>
      </c>
    </row>
    <row r="24" spans="1:8" s="18" customFormat="1" x14ac:dyDescent="0.2">
      <c r="A24" s="13" t="s">
        <v>15</v>
      </c>
      <c r="B24" s="14" t="s">
        <v>2969</v>
      </c>
      <c r="C24" s="23">
        <f>SUMIFS('BAL N LYSE'!$H:$H,'BAL N LYSE'!$I:$I,$A24,'BAL N LYSE'!$J:$J,"T")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SUMIFS(DONNEESCUM_N1_NOUVEAU[MONTANT],DONNEESCUM_N1_NOUVEAU[TL2],A24,DONNEESCUM_N1_NOUVEAU[MOIS],DONNÉES!$C$5,DONNEESCUM_N1_NOUVEAU[SOCIETE],"LYSE")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LYSE'!$H:$H,'BAL N LYSE'!$I:$I,$A25,'BAL N LYSE'!$J:$J,"T")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SUMIFS(DONNEESCUM_N1_NOUVEAU[MONTANT],DONNEESCUM_N1_NOUVEAU[TL2],A25,DONNEESCUM_N1_NOUVEAU[MOIS],DONNÉES!$C$5,DONNEESCUM_N1_NOUVEAU[SOCIETE],"LYSE")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78771.259999999995</v>
      </c>
      <c r="D26" s="50">
        <f t="shared" si="2"/>
        <v>20.771781291646064</v>
      </c>
      <c r="E26" s="51">
        <f>SUM(E20:E25)</f>
        <v>96934.74</v>
      </c>
      <c r="F26" s="50">
        <f t="shared" si="2"/>
        <v>30.637150455124175</v>
      </c>
      <c r="G26" s="51">
        <f>SUM(G20:G25)</f>
        <v>-18163.480000000003</v>
      </c>
      <c r="H26" s="50">
        <f t="shared" si="4"/>
        <v>-18.737843625515477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LYSE'!$H:$H,'BAL N LYSE'!$I:$I,$A28,'BAL N LYSE'!$J:$J,"T")</f>
        <v>9078.89</v>
      </c>
      <c r="D28" s="17">
        <f t="shared" ref="D28:F33" si="5">(C28*100)/C$8</f>
        <v>2.3940802451415983</v>
      </c>
      <c r="E28" s="16">
        <f>SUMIFS(DONNEESCUM_N1_NOUVEAU[MONTANT],DONNEESCUM_N1_NOUVEAU[TL2],A28,DONNEESCUM_N1_NOUVEAU[MOIS],DONNÉES!$C$5,DONNEESCUM_N1_NOUVEAU[SOCIETE],"LYSE")</f>
        <v>395.83</v>
      </c>
      <c r="F28" s="17">
        <f t="shared" si="5"/>
        <v>0.12510585229456231</v>
      </c>
      <c r="G28" s="16">
        <f>+C28-E28</f>
        <v>8683.06</v>
      </c>
      <c r="H28" s="17">
        <f t="shared" ref="H28:H33" si="6">IF(E28=0,0,G28/E28*100)</f>
        <v>2193.6336305989944</v>
      </c>
    </row>
    <row r="29" spans="1:8" s="18" customFormat="1" x14ac:dyDescent="0.2">
      <c r="A29" s="13" t="s">
        <v>20</v>
      </c>
      <c r="B29" s="14" t="s">
        <v>2972</v>
      </c>
      <c r="C29" s="23">
        <f>SUMIFS('BAL N LYSE'!$H:$H,'BAL N LYSE'!$I:$I,$A29,'BAL N LYSE'!$J:$J,"T")</f>
        <v>520.23</v>
      </c>
      <c r="D29" s="17">
        <f t="shared" si="5"/>
        <v>0.13718333033333521</v>
      </c>
      <c r="E29" s="16">
        <f>SUMIFS(DONNEESCUM_N1_NOUVEAU[MONTANT],DONNEESCUM_N1_NOUVEAU[TL2],A29,DONNEESCUM_N1_NOUVEAU[MOIS],DONNÉES!$C$5,DONNEESCUM_N1_NOUVEAU[SOCIETE],"LYSE")</f>
        <v>521.23</v>
      </c>
      <c r="F29" s="17">
        <f t="shared" si="5"/>
        <v>0.16473972006036611</v>
      </c>
      <c r="G29" s="16">
        <f>+C29-E29</f>
        <v>-1</v>
      </c>
      <c r="H29" s="17">
        <f t="shared" si="6"/>
        <v>-0.19185388408188322</v>
      </c>
    </row>
    <row r="30" spans="1:8" s="18" customFormat="1" x14ac:dyDescent="0.2">
      <c r="A30" s="13" t="s">
        <v>21</v>
      </c>
      <c r="B30" s="14" t="s">
        <v>2973</v>
      </c>
      <c r="C30" s="23">
        <f>SUMIFS('BAL N LYSE'!$H:$H,'BAL N LYSE'!$I:$I,$A30,'BAL N LYSE'!$J:$J,"T")</f>
        <v>2733.75</v>
      </c>
      <c r="D30" s="17">
        <f t="shared" si="5"/>
        <v>0.72088293504556666</v>
      </c>
      <c r="E30" s="16">
        <f>SUMIFS(DONNEESCUM_N1_NOUVEAU[MONTANT],DONNEESCUM_N1_NOUVEAU[TL2],A30,DONNEESCUM_N1_NOUVEAU[MOIS],DONNÉES!$C$5,DONNEESCUM_N1_NOUVEAU[SOCIETE],"LYSE")</f>
        <v>2453.13</v>
      </c>
      <c r="F30" s="17">
        <f t="shared" si="5"/>
        <v>0.77533516772189992</v>
      </c>
      <c r="G30" s="16">
        <f>+C30-E30</f>
        <v>280.61999999999989</v>
      </c>
      <c r="H30" s="17">
        <f t="shared" si="6"/>
        <v>11.439263308507901</v>
      </c>
    </row>
    <row r="31" spans="1:8" s="18" customFormat="1" x14ac:dyDescent="0.2">
      <c r="A31" s="13" t="s">
        <v>23</v>
      </c>
      <c r="B31" s="14" t="s">
        <v>2974</v>
      </c>
      <c r="C31" s="23">
        <f>SUMIFS('BAL N LYSE'!$H:$H,'BAL N LYSE'!$I:$I,$A31,'BAL N LYSE'!$J:$J,"T")</f>
        <v>2351.33</v>
      </c>
      <c r="D31" s="17">
        <f t="shared" si="5"/>
        <v>0.62003975186490801</v>
      </c>
      <c r="E31" s="16">
        <f>SUMIFS(DONNEESCUM_N1_NOUVEAU[MONTANT],DONNEESCUM_N1_NOUVEAU[TL2],A31,DONNEESCUM_N1_NOUVEAU[MOIS],DONNÉES!$C$5,DONNEESCUM_N1_NOUVEAU[SOCIETE],"LYSE")</f>
        <v>7338.67</v>
      </c>
      <c r="F31" s="17">
        <f t="shared" si="5"/>
        <v>2.319456749257347</v>
      </c>
      <c r="G31" s="16">
        <f>+C31-E31</f>
        <v>-4987.34</v>
      </c>
      <c r="H31" s="17">
        <f t="shared" si="6"/>
        <v>-67.959725672362978</v>
      </c>
    </row>
    <row r="32" spans="1:8" s="18" customFormat="1" x14ac:dyDescent="0.2">
      <c r="A32" s="13" t="s">
        <v>25</v>
      </c>
      <c r="B32" s="14" t="s">
        <v>2975</v>
      </c>
      <c r="C32" s="23">
        <f>SUMIFS('BAL N LYSE'!$H:$H,'BAL N LYSE'!$I:$I,$A32,'BAL N LYSE'!$J:$J,"T")</f>
        <v>7956.45</v>
      </c>
      <c r="D32" s="17">
        <f t="shared" si="5"/>
        <v>2.0980956665910555</v>
      </c>
      <c r="E32" s="16">
        <f>SUMIFS(DONNEESCUM_N1_NOUVEAU[MONTANT],DONNEESCUM_N1_NOUVEAU[TL2],A32,DONNEESCUM_N1_NOUVEAU[MOIS],DONNÉES!$C$5,DONNEESCUM_N1_NOUVEAU[SOCIETE],"LYSE")</f>
        <v>8012.94</v>
      </c>
      <c r="F32" s="17">
        <f t="shared" si="5"/>
        <v>2.5325662230886747</v>
      </c>
      <c r="G32" s="16">
        <f>+C32-E32</f>
        <v>-56.489999999999782</v>
      </c>
      <c r="H32" s="17">
        <f t="shared" si="6"/>
        <v>-0.70498468726834074</v>
      </c>
    </row>
    <row r="33" spans="1:8" ht="13.5" thickBot="1" x14ac:dyDescent="0.25">
      <c r="A33" s="7"/>
      <c r="B33" s="63" t="s">
        <v>2976</v>
      </c>
      <c r="C33" s="49">
        <f>SUM(C28:C32)</f>
        <v>22640.649999999998</v>
      </c>
      <c r="D33" s="50">
        <f t="shared" si="5"/>
        <v>5.9702819289764637</v>
      </c>
      <c r="E33" s="51">
        <f>SUM(E28:E32)</f>
        <v>18721.8</v>
      </c>
      <c r="F33" s="50">
        <f t="shared" si="5"/>
        <v>5.9172037124228503</v>
      </c>
      <c r="G33" s="51">
        <f>SUM(G28:G32)</f>
        <v>3918.8500000000004</v>
      </c>
      <c r="H33" s="50">
        <f t="shared" si="6"/>
        <v>20.932015084019699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LYSE'!$H:$H,'BAL N LYSE'!$I:$I,$A35,'BAL N LYSE'!$J:$J,"T")</f>
        <v>6948.62</v>
      </c>
      <c r="D35" s="17">
        <f t="shared" ref="D35:F42" si="7">(C35*100)/C$8</f>
        <v>1.8323334540891907</v>
      </c>
      <c r="E35" s="16">
        <f>SUMIFS(DONNEESCUM_N1_NOUVEAU[MONTANT],DONNEESCUM_N1_NOUVEAU[TL2],A35,DONNEESCUM_N1_NOUVEAU[MOIS],DONNÉES!$C$5,DONNEESCUM_N1_NOUVEAU[SOCIETE],"LYSE")</f>
        <v>4522.33</v>
      </c>
      <c r="F35" s="17">
        <f t="shared" si="7"/>
        <v>1.4293255918128187</v>
      </c>
      <c r="G35" s="16">
        <f t="shared" ref="G35:G41" si="8">+C35-E35</f>
        <v>2426.29</v>
      </c>
      <c r="H35" s="17">
        <f t="shared" ref="H35:H42" si="9">IF(E35=0,0,G35/E35*100)</f>
        <v>53.651325754644176</v>
      </c>
    </row>
    <row r="36" spans="1:8" s="18" customFormat="1" x14ac:dyDescent="0.2">
      <c r="A36" s="13" t="s">
        <v>30</v>
      </c>
      <c r="B36" s="14" t="s">
        <v>145</v>
      </c>
      <c r="C36" s="23">
        <f>SUMIFS('BAL N LYSE'!$H:$H,'BAL N LYSE'!$I:$I,$A36,'BAL N LYSE'!$J:$J,"T")</f>
        <v>15259.5</v>
      </c>
      <c r="D36" s="17">
        <f t="shared" si="7"/>
        <v>4.0238914119168996</v>
      </c>
      <c r="E36" s="16">
        <f>SUMIFS(DONNEESCUM_N1_NOUVEAU[MONTANT],DONNEESCUM_N1_NOUVEAU[TL2],A36,DONNEESCUM_N1_NOUVEAU[MOIS],DONNÉES!$C$5,DONNEESCUM_N1_NOUVEAU[SOCIETE],"LYSE")</f>
        <v>12649.31</v>
      </c>
      <c r="F36" s="17">
        <f t="shared" si="7"/>
        <v>3.9979352461615596</v>
      </c>
      <c r="G36" s="16">
        <f t="shared" si="8"/>
        <v>2610.1900000000005</v>
      </c>
      <c r="H36" s="17">
        <f t="shared" si="9"/>
        <v>20.635038591037777</v>
      </c>
    </row>
    <row r="37" spans="1:8" s="18" customFormat="1" x14ac:dyDescent="0.2">
      <c r="A37" s="13" t="s">
        <v>32</v>
      </c>
      <c r="B37" s="14" t="s">
        <v>19</v>
      </c>
      <c r="C37" s="23">
        <f>SUMIFS('BAL N LYSE'!$H:$H,'BAL N LYSE'!$I:$I,$A37,'BAL N LYSE'!$J:$J,"T")</f>
        <v>7139.28</v>
      </c>
      <c r="D37" s="17">
        <f t="shared" si="7"/>
        <v>1.8826100120757614</v>
      </c>
      <c r="E37" s="16">
        <f>SUMIFS(DONNEESCUM_N1_NOUVEAU[MONTANT],DONNEESCUM_N1_NOUVEAU[TL2],A37,DONNEESCUM_N1_NOUVEAU[MOIS],DONNÉES!$C$5,DONNEESCUM_N1_NOUVEAU[SOCIETE],"LYSE")</f>
        <v>5689.32</v>
      </c>
      <c r="F37" s="17">
        <f t="shared" si="7"/>
        <v>1.7981639278894961</v>
      </c>
      <c r="G37" s="16">
        <f t="shared" si="8"/>
        <v>1449.96</v>
      </c>
      <c r="H37" s="17">
        <f t="shared" si="9"/>
        <v>25.485646790829136</v>
      </c>
    </row>
    <row r="38" spans="1:8" s="18" customFormat="1" x14ac:dyDescent="0.2">
      <c r="A38" s="13" t="s">
        <v>34</v>
      </c>
      <c r="B38" s="14" t="s">
        <v>28</v>
      </c>
      <c r="C38" s="23">
        <f>SUMIFS('BAL N LYSE'!$H:$H,'BAL N LYSE'!$I:$I,$A38,'BAL N LYSE'!$J:$J,"T")</f>
        <v>10666.98</v>
      </c>
      <c r="D38" s="17">
        <f t="shared" si="7"/>
        <v>2.8128555465833958</v>
      </c>
      <c r="E38" s="16">
        <f>SUMIFS(DONNEESCUM_N1_NOUVEAU[MONTANT],DONNEESCUM_N1_NOUVEAU[TL2],A38,DONNEESCUM_N1_NOUVEAU[MOIS],DONNÉES!$C$5,DONNEESCUM_N1_NOUVEAU[SOCIETE],"LYSE")</f>
        <v>11331.8</v>
      </c>
      <c r="F38" s="17">
        <f t="shared" si="7"/>
        <v>3.5815236263838548</v>
      </c>
      <c r="G38" s="16">
        <f t="shared" si="8"/>
        <v>-664.81999999999971</v>
      </c>
      <c r="H38" s="17">
        <f t="shared" si="9"/>
        <v>-5.8668525741717978</v>
      </c>
    </row>
    <row r="39" spans="1:8" s="18" customFormat="1" x14ac:dyDescent="0.2">
      <c r="A39" s="13" t="s">
        <v>2978</v>
      </c>
      <c r="B39" s="14" t="s">
        <v>2980</v>
      </c>
      <c r="C39" s="23">
        <f>SUMIFS('BAL N LYSE'!$H:$H,'BAL N LYSE'!$I:$I,$A39,'BAL N LYSE'!$J:$J,"T")</f>
        <v>3469.14</v>
      </c>
      <c r="D39" s="17">
        <f t="shared" si="7"/>
        <v>0.91480341116926456</v>
      </c>
      <c r="E39" s="16">
        <f>SUMIFS(DONNEESCUM_N1_NOUVEAU[MONTANT],DONNEESCUM_N1_NOUVEAU[TL2],A39,DONNEESCUM_N1_NOUVEAU[MOIS],DONNÉES!$C$5,DONNEESCUM_N1_NOUVEAU[SOCIETE],"LYSE")</f>
        <v>2674.53</v>
      </c>
      <c r="F39" s="17">
        <f t="shared" si="7"/>
        <v>0.84531075243760134</v>
      </c>
      <c r="G39" s="16">
        <f t="shared" si="8"/>
        <v>794.60999999999967</v>
      </c>
      <c r="H39" s="17">
        <f t="shared" si="9"/>
        <v>29.710266850624205</v>
      </c>
    </row>
    <row r="40" spans="1:8" s="18" customFormat="1" x14ac:dyDescent="0.2">
      <c r="A40" s="13" t="s">
        <v>2979</v>
      </c>
      <c r="B40" s="14" t="s">
        <v>2981</v>
      </c>
      <c r="C40" s="23">
        <f>SUMIFS('BAL N LYSE'!$H:$H,'BAL N LYSE'!$I:$I,$A40,'BAL N LYSE'!$J:$J,"T")</f>
        <v>134.59</v>
      </c>
      <c r="D40" s="17">
        <f t="shared" si="7"/>
        <v>3.5491041327035323E-2</v>
      </c>
      <c r="E40" s="16">
        <f>SUMIFS(DONNEESCUM_N1_NOUVEAU[MONTANT],DONNEESCUM_N1_NOUVEAU[TL2],A40,DONNEESCUM_N1_NOUVEAU[MOIS],DONNÉES!$C$5,DONNEESCUM_N1_NOUVEAU[SOCIETE],"LYSE")</f>
        <v>267.56</v>
      </c>
      <c r="F40" s="17">
        <f t="shared" si="7"/>
        <v>8.4564893615777209E-2</v>
      </c>
      <c r="G40" s="16">
        <f t="shared" si="8"/>
        <v>-132.97</v>
      </c>
      <c r="H40" s="17">
        <f t="shared" si="9"/>
        <v>-49.697264165047088</v>
      </c>
    </row>
    <row r="41" spans="1:8" s="18" customFormat="1" x14ac:dyDescent="0.2">
      <c r="A41" s="13" t="s">
        <v>2982</v>
      </c>
      <c r="B41" s="14" t="s">
        <v>2983</v>
      </c>
      <c r="C41" s="23">
        <f>SUMIFS('BAL N LYSE'!$H:$H,'BAL N LYSE'!$I:$I,$A41,'BAL N LYSE'!$J:$J,"T")</f>
        <v>2092.88</v>
      </c>
      <c r="D41" s="17">
        <f t="shared" si="7"/>
        <v>0.55188714297143682</v>
      </c>
      <c r="E41" s="16">
        <f>SUMIFS(DONNEESCUM_N1_NOUVEAU[MONTANT],DONNEESCUM_N1_NOUVEAU[TL2],A41,DONNEESCUM_N1_NOUVEAU[MOIS],DONNÉES!$C$5,DONNEESCUM_N1_NOUVEAU[SOCIETE],"LYSE")</f>
        <v>868.91</v>
      </c>
      <c r="F41" s="17">
        <f t="shared" si="7"/>
        <v>0.27462730494724541</v>
      </c>
      <c r="G41" s="16">
        <f t="shared" si="8"/>
        <v>1223.9700000000003</v>
      </c>
      <c r="H41" s="17">
        <f t="shared" si="9"/>
        <v>140.86269003694287</v>
      </c>
    </row>
    <row r="42" spans="1:8" ht="13.5" thickBot="1" x14ac:dyDescent="0.25">
      <c r="A42" s="13"/>
      <c r="B42" s="63" t="s">
        <v>2984</v>
      </c>
      <c r="C42" s="49">
        <f>+SUM(C35:C41)</f>
        <v>45710.989999999991</v>
      </c>
      <c r="D42" s="50">
        <f t="shared" si="7"/>
        <v>12.053872020132982</v>
      </c>
      <c r="E42" s="51">
        <f>+SUM(E35:E41)</f>
        <v>38003.759999999995</v>
      </c>
      <c r="F42" s="50">
        <f t="shared" si="7"/>
        <v>12.011451343248352</v>
      </c>
      <c r="G42" s="51">
        <f>+SUM(G35:G41)</f>
        <v>7707.2300000000005</v>
      </c>
      <c r="H42" s="50">
        <f t="shared" si="9"/>
        <v>20.280177540327593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134539.44000000003</v>
      </c>
      <c r="D44" s="71">
        <f>(C44*100)/C$8</f>
        <v>35.477708783387996</v>
      </c>
      <c r="E44" s="72">
        <f>E18-E26-E33-E42</f>
        <v>81130.350000000035</v>
      </c>
      <c r="F44" s="71">
        <f>(E44*100)/E$8</f>
        <v>25.642022039022176</v>
      </c>
      <c r="G44" s="72">
        <f>G18-G26-G33-G42</f>
        <v>53409.090000000011</v>
      </c>
      <c r="H44" s="71">
        <f>IF(E44=0,0,G44/E44*100)</f>
        <v>65.831208666054053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LYSE'!$H:$H,'BAL N LYSE'!$I:$I,$A46,'BAL N LYSE'!$J:$J,"T")</f>
        <v>54120.39</v>
      </c>
      <c r="D46" s="17">
        <f t="shared" ref="D46:F49" si="10">(C46*100)/C$8</f>
        <v>14.271409451855778</v>
      </c>
      <c r="E46" s="16">
        <f>SUMIFS(DONNEESCUM_N1_NOUVEAU[MONTANT],DONNEESCUM_N1_NOUVEAU[TL2],A46,DONNEESCUM_N1_NOUVEAU[MOIS],DONNÉES!$C$5,DONNEESCUM_N1_NOUVEAU[SOCIETE],"LYSE")</f>
        <v>44819.66</v>
      </c>
      <c r="F46" s="17">
        <f t="shared" si="10"/>
        <v>14.165681640735929</v>
      </c>
      <c r="G46" s="16">
        <f>+C46-E46</f>
        <v>9300.7299999999959</v>
      </c>
      <c r="H46" s="17">
        <f>IF(E46=0,0,G46/E46*100)</f>
        <v>20.751451483567692</v>
      </c>
    </row>
    <row r="47" spans="1:8" s="18" customFormat="1" x14ac:dyDescent="0.2">
      <c r="A47" s="13" t="s">
        <v>35</v>
      </c>
      <c r="B47" s="14" t="s">
        <v>2986</v>
      </c>
      <c r="C47" s="23">
        <f>SUMIFS('BAL N LYSE'!$H:$H,'BAL N LYSE'!$I:$I,$A47,'BAL N LYSE'!$J:$J,"T")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SUMIFS(DONNEESCUM_N1_NOUVEAU[MONTANT],DONNEESCUM_N1_NOUVEAU[TL2],A47,DONNEESCUM_N1_NOUVEAU[MOIS],DONNÉES!$C$5,DONNEESCUM_N1_NOUVEAU[SOCIETE],"LYSE")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LYSE'!$H:$H,'BAL N LYSE'!$I:$I,$A48,'BAL N LYSE'!$J:$J,"T")</f>
        <v>-965.86</v>
      </c>
      <c r="D48" s="17">
        <f t="shared" si="10"/>
        <v>-0.25469483004777721</v>
      </c>
      <c r="E48" s="16">
        <f>SUMIFS(DONNEESCUM_N1_NOUVEAU[MONTANT],DONNEESCUM_N1_NOUVEAU[TL2],A48,DONNEESCUM_N1_NOUVEAU[MOIS],DONNÉES!$C$5,DONNEESCUM_N1_NOUVEAU[SOCIETE],"LYSE")</f>
        <v>-1083.3399999999999</v>
      </c>
      <c r="F48" s="17">
        <f t="shared" si="10"/>
        <v>-0.34239995458856359</v>
      </c>
      <c r="G48" s="16">
        <f>+C48-E48</f>
        <v>117.4799999999999</v>
      </c>
      <c r="H48" s="17">
        <f>IF(E48=0,0,G48/E48*100)</f>
        <v>-10.844240958517171</v>
      </c>
    </row>
    <row r="49" spans="1:8" ht="13.5" thickBot="1" x14ac:dyDescent="0.25">
      <c r="A49" s="13"/>
      <c r="B49" s="63" t="s">
        <v>2988</v>
      </c>
      <c r="C49" s="49">
        <f>SUM(C46:C48)</f>
        <v>53154.53</v>
      </c>
      <c r="D49" s="50">
        <f t="shared" si="10"/>
        <v>14.016714621808001</v>
      </c>
      <c r="E49" s="51">
        <f>SUM(E46:E48)</f>
        <v>43736.320000000007</v>
      </c>
      <c r="F49" s="50">
        <f t="shared" si="10"/>
        <v>13.823281686147368</v>
      </c>
      <c r="G49" s="51">
        <f>SUM(G46:G48)</f>
        <v>9418.2099999999955</v>
      </c>
      <c r="H49" s="50">
        <f>IF(E49=0,0,G49/E49*100)</f>
        <v>21.534070539085121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LYSE'!$H:$H,'BAL N LYSE'!$I:$I,$A51,'BAL N LYSE'!$J:$J,"T")</f>
        <v>563</v>
      </c>
      <c r="D51" s="17">
        <f t="shared" ref="D51:F59" si="11">(C51*100)/C$8</f>
        <v>0.14846167075652639</v>
      </c>
      <c r="E51" s="16">
        <f>SUMIFS(DONNEESCUM_N1_NOUVEAU[MONTANT],DONNEESCUM_N1_NOUVEAU[TL2],A51,DONNEESCUM_N1_NOUVEAU[MOIS],DONNÉES!$C$5,DONNEESCUM_N1_NOUVEAU[SOCIETE],"LYSE")</f>
        <v>563</v>
      </c>
      <c r="F51" s="17">
        <f t="shared" si="11"/>
        <v>0.17794152752908721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LYSE'!$H:$H,'BAL N LYSE'!$I:$I,$A52,'BAL N LYSE'!$J:$J,"T")</f>
        <v>19328.07</v>
      </c>
      <c r="D52" s="17">
        <f t="shared" si="11"/>
        <v>5.0967629923607367</v>
      </c>
      <c r="E52" s="16">
        <f>SUMIFS(DONNEESCUM_N1_NOUVEAU[MONTANT],DONNEESCUM_N1_NOUVEAU[TL2],A52,DONNEESCUM_N1_NOUVEAU[MOIS],DONNÉES!$C$5,DONNEESCUM_N1_NOUVEAU[SOCIETE],"LYSE")</f>
        <v>16007.02</v>
      </c>
      <c r="F52" s="17">
        <f t="shared" si="11"/>
        <v>5.0591715630349015</v>
      </c>
      <c r="G52" s="16">
        <f t="shared" si="12"/>
        <v>3321.0499999999993</v>
      </c>
      <c r="H52" s="17">
        <f t="shared" si="13"/>
        <v>20.747459552121502</v>
      </c>
    </row>
    <row r="53" spans="1:8" s="18" customFormat="1" x14ac:dyDescent="0.2">
      <c r="A53" s="13" t="s">
        <v>44</v>
      </c>
      <c r="B53" s="14" t="s">
        <v>62</v>
      </c>
      <c r="C53" s="23">
        <f>SUMIFS('BAL N LYSE'!$H:$H,'BAL N LYSE'!$I:$I,$A53,'BAL N LYSE'!$J:$J,"T")</f>
        <v>2779</v>
      </c>
      <c r="D53" s="17">
        <f t="shared" si="11"/>
        <v>0.73281524517297836</v>
      </c>
      <c r="E53" s="16">
        <f>SUMIFS(DONNEESCUM_N1_NOUVEAU[MONTANT],DONNEESCUM_N1_NOUVEAU[TL2],A53,DONNEESCUM_N1_NOUVEAU[MOIS],DONNÉES!$C$5,DONNEESCUM_N1_NOUVEAU[SOCIETE],"LYSE")</f>
        <v>1450</v>
      </c>
      <c r="F53" s="17">
        <f t="shared" si="11"/>
        <v>0.45828634976407889</v>
      </c>
      <c r="G53" s="16">
        <f t="shared" si="12"/>
        <v>1329</v>
      </c>
      <c r="H53" s="17">
        <f t="shared" si="13"/>
        <v>91.65517241379311</v>
      </c>
    </row>
    <row r="54" spans="1:8" s="18" customFormat="1" x14ac:dyDescent="0.2">
      <c r="A54" s="13" t="s">
        <v>45</v>
      </c>
      <c r="B54" s="14" t="s">
        <v>41</v>
      </c>
      <c r="C54" s="23">
        <f>SUMIFS('BAL N LYSE'!$H:$H,'BAL N LYSE'!$I:$I,$A54,'BAL N LYSE'!$J:$J,"T")</f>
        <v>2219.58</v>
      </c>
      <c r="D54" s="17">
        <f t="shared" si="11"/>
        <v>0.5852976113281898</v>
      </c>
      <c r="E54" s="16">
        <f>SUMIFS(DONNEESCUM_N1_NOUVEAU[MONTANT],DONNEESCUM_N1_NOUVEAU[TL2],A54,DONNEESCUM_N1_NOUVEAU[MOIS],DONNÉES!$C$5,DONNEESCUM_N1_NOUVEAU[SOCIETE],"LYSE")</f>
        <v>1988.09</v>
      </c>
      <c r="F54" s="17">
        <f t="shared" si="11"/>
        <v>0.62835483386377078</v>
      </c>
      <c r="G54" s="16">
        <f t="shared" si="12"/>
        <v>231.49</v>
      </c>
      <c r="H54" s="17">
        <f t="shared" si="13"/>
        <v>11.643839061611899</v>
      </c>
    </row>
    <row r="55" spans="1:8" s="18" customFormat="1" x14ac:dyDescent="0.2">
      <c r="A55" s="13" t="s">
        <v>47</v>
      </c>
      <c r="B55" s="14" t="s">
        <v>43</v>
      </c>
      <c r="C55" s="23">
        <f>SUMIFS('BAL N LYSE'!$H:$H,'BAL N LYSE'!$I:$I,$A55,'BAL N LYSE'!$J:$J,"T")</f>
        <v>3063.1</v>
      </c>
      <c r="D55" s="17">
        <f t="shared" si="11"/>
        <v>0.80773169395082767</v>
      </c>
      <c r="E55" s="16">
        <f>SUMIFS(DONNEESCUM_N1_NOUVEAU[MONTANT],DONNEESCUM_N1_NOUVEAU[TL2],A55,DONNEESCUM_N1_NOUVEAU[MOIS],DONNÉES!$C$5,DONNEESCUM_N1_NOUVEAU[SOCIETE],"LYSE")</f>
        <v>3058.27</v>
      </c>
      <c r="F55" s="17">
        <f t="shared" si="11"/>
        <v>0.966595444753786</v>
      </c>
      <c r="G55" s="16">
        <f t="shared" si="12"/>
        <v>4.8299999999999272</v>
      </c>
      <c r="H55" s="17">
        <f t="shared" si="13"/>
        <v>0.15793242584859832</v>
      </c>
    </row>
    <row r="56" spans="1:8" s="18" customFormat="1" x14ac:dyDescent="0.2">
      <c r="A56" s="13" t="s">
        <v>48</v>
      </c>
      <c r="B56" s="14" t="s">
        <v>46</v>
      </c>
      <c r="C56" s="23">
        <f>SUMIFS('BAL N LYSE'!$H:$H,'BAL N LYSE'!$I:$I,$A56,'BAL N LYSE'!$J:$J,"T")</f>
        <v>20000</v>
      </c>
      <c r="D56" s="17">
        <f t="shared" si="11"/>
        <v>5.273949227585307</v>
      </c>
      <c r="E56" s="16">
        <f>SUMIFS(DONNEESCUM_N1_NOUVEAU[MONTANT],DONNEESCUM_N1_NOUVEAU[TL2],A56,DONNEESCUM_N1_NOUVEAU[MOIS],DONNÉES!$C$5,DONNEESCUM_N1_NOUVEAU[SOCIETE],"LYSE")</f>
        <v>15264.88</v>
      </c>
      <c r="F56" s="17">
        <f t="shared" si="11"/>
        <v>4.8246111274390984</v>
      </c>
      <c r="G56" s="16">
        <f t="shared" si="12"/>
        <v>4735.1200000000008</v>
      </c>
      <c r="H56" s="17">
        <f t="shared" si="13"/>
        <v>31.019700122110365</v>
      </c>
    </row>
    <row r="57" spans="1:8" s="18" customFormat="1" x14ac:dyDescent="0.2">
      <c r="A57" s="13" t="s">
        <v>50</v>
      </c>
      <c r="B57" s="14" t="s">
        <v>2990</v>
      </c>
      <c r="C57" s="23">
        <f>SUMIFS('BAL N LYSE'!$H:$H,'BAL N LYSE'!$I:$I,$A57,'BAL N LYSE'!$J:$J,"T")</f>
        <v>547.49</v>
      </c>
      <c r="D57" s="17">
        <f t="shared" si="11"/>
        <v>0.14437172313053398</v>
      </c>
      <c r="E57" s="16">
        <f>SUMIFS(DONNEESCUM_N1_NOUVEAU[MONTANT],DONNEESCUM_N1_NOUVEAU[TL2],A57,DONNEESCUM_N1_NOUVEAU[MOIS],DONNÉES!$C$5,DONNEESCUM_N1_NOUVEAU[SOCIETE],"LYSE")</f>
        <v>0</v>
      </c>
      <c r="F57" s="17">
        <f t="shared" si="11"/>
        <v>0</v>
      </c>
      <c r="G57" s="16">
        <f t="shared" si="12"/>
        <v>547.49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LYSE'!$H:$H,'BAL N LYSE'!$I:$I,$A58,'BAL N LYSE'!$J:$J,"T")</f>
        <v>1893.2</v>
      </c>
      <c r="D58" s="17">
        <f t="shared" si="11"/>
        <v>0.49923203388322512</v>
      </c>
      <c r="E58" s="16">
        <f>SUMIFS(DONNEESCUM_N1_NOUVEAU[MONTANT],DONNEESCUM_N1_NOUVEAU[TL2],A58,DONNEESCUM_N1_NOUVEAU[MOIS],DONNÉES!$C$5,DONNEESCUM_N1_NOUVEAU[SOCIETE],"LYSE")</f>
        <v>1033.42</v>
      </c>
      <c r="F58" s="17">
        <f t="shared" si="11"/>
        <v>0.32662226177461684</v>
      </c>
      <c r="G58" s="16">
        <f t="shared" si="12"/>
        <v>859.78</v>
      </c>
      <c r="H58" s="17">
        <f t="shared" si="13"/>
        <v>83.197538270983713</v>
      </c>
    </row>
    <row r="59" spans="1:8" ht="13.5" thickBot="1" x14ac:dyDescent="0.25">
      <c r="A59" s="13"/>
      <c r="B59" s="63" t="s">
        <v>2994</v>
      </c>
      <c r="C59" s="49">
        <f>SUM(C51:C58)</f>
        <v>50393.439999999995</v>
      </c>
      <c r="D59" s="50">
        <f t="shared" si="11"/>
        <v>13.288622198168323</v>
      </c>
      <c r="E59" s="51">
        <f>SUM(E51:E58)</f>
        <v>39364.68</v>
      </c>
      <c r="F59" s="50">
        <f t="shared" si="11"/>
        <v>12.441583108159339</v>
      </c>
      <c r="G59" s="51">
        <f>SUM(G51:G58)</f>
        <v>11028.76</v>
      </c>
      <c r="H59" s="50">
        <f t="shared" si="13"/>
        <v>28.01689230040737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250670.87</v>
      </c>
      <c r="D61" s="71">
        <f>(C61*100)/C$8</f>
        <v>66.101272060731844</v>
      </c>
      <c r="E61" s="72">
        <f>E59+E49+E42+E33+E26</f>
        <v>236761.3</v>
      </c>
      <c r="F61" s="71">
        <f>(E61*100)/E$8</f>
        <v>74.830670305102075</v>
      </c>
      <c r="G61" s="72">
        <f>G59+G49+G42+G33+G26</f>
        <v>13909.569999999992</v>
      </c>
      <c r="H61" s="71">
        <f>IF(E61=0,0,G61/E61*100)</f>
        <v>5.8749339524660469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LYSE'!$H:$H,'BAL N LYSE'!$I:$I,$A63,'BAL N LYSE'!$J:$J,"T")</f>
        <v>7358.87</v>
      </c>
      <c r="D63" s="17">
        <f t="shared" ref="D63:F65" si="14">(C63*100)/C$8</f>
        <v>1.9405153376200344</v>
      </c>
      <c r="E63" s="16">
        <f>-SUMIFS(DONNEESCUM_N1_NOUVEAU[MONTANT],DONNEESCUM_N1_NOUVEAU[TL2],A63,DONNEESCUM_N1_NOUVEAU[MOIS],DONNÉES!$C$5,DONNEESCUM_N1_NOUVEAU[SOCIETE],"LYSE")</f>
        <v>3744.36</v>
      </c>
      <c r="F63" s="17">
        <f t="shared" si="14"/>
        <v>1.1834407424845701</v>
      </c>
      <c r="G63" s="16">
        <f>+C63-E63</f>
        <v>3614.5099999999998</v>
      </c>
      <c r="H63" s="17">
        <f>IF(E63=0,0,G63/E63*100)</f>
        <v>96.532117638261269</v>
      </c>
    </row>
    <row r="64" spans="1:8" s="18" customFormat="1" x14ac:dyDescent="0.2">
      <c r="A64" s="13" t="s">
        <v>2992</v>
      </c>
      <c r="B64" s="68" t="s">
        <v>65</v>
      </c>
      <c r="C64" s="23">
        <f>SUMIFS('BAL N LYSE'!$H:$H,'BAL N LYSE'!$I:$I,$A64,'BAL N LYSE'!$J:$J,"T")</f>
        <v>3552.17</v>
      </c>
      <c r="D64" s="17">
        <f t="shared" si="14"/>
        <v>0.93669821138758491</v>
      </c>
      <c r="E64" s="24">
        <f>SUMIFS(DONNEESCUM_N1_NOUVEAU[MONTANT],DONNEESCUM_N1_NOUVEAU[TL2],A64,DONNEESCUM_N1_NOUVEAU[MOIS],DONNÉES!$C$5,DONNEESCUM_N1_NOUVEAU[SOCIETE],"LYSE")</f>
        <v>4073.23</v>
      </c>
      <c r="F64" s="17">
        <f t="shared" si="14"/>
        <v>1.2873832472065787</v>
      </c>
      <c r="G64" s="16">
        <f>+C64-E64</f>
        <v>-521.05999999999995</v>
      </c>
      <c r="H64" s="17">
        <f>IF(E64=0,0,G64/E64*100)</f>
        <v>-12.792304878437996</v>
      </c>
    </row>
    <row r="65" spans="1:9" s="59" customFormat="1" ht="13.5" x14ac:dyDescent="0.2">
      <c r="A65" s="13"/>
      <c r="B65" s="62" t="s">
        <v>53</v>
      </c>
      <c r="C65" s="67">
        <f>+C63-C64</f>
        <v>3806.7</v>
      </c>
      <c r="D65" s="56">
        <f t="shared" si="14"/>
        <v>1.0038171262324493</v>
      </c>
      <c r="E65" s="57">
        <f>+E63-E64</f>
        <v>-328.86999999999989</v>
      </c>
      <c r="F65" s="56">
        <f t="shared" si="14"/>
        <v>-0.10394250472200867</v>
      </c>
      <c r="G65" s="58">
        <f>+G63-G64</f>
        <v>4135.57</v>
      </c>
      <c r="H65" s="56">
        <f>IF(E65=0,0,G65/E65*100)</f>
        <v>-1257.5090461276495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LYSE'!$H:$H,'BAL N LYSE'!$I:$I,$A67,'BAL N LYSE'!$J:$J,"T")</f>
        <v>-306.69</v>
      </c>
      <c r="D67" s="17">
        <f>(C67*100)/C$8</f>
        <v>-8.0873374430406889E-2</v>
      </c>
      <c r="E67" s="16">
        <f>-SUMIFS(DONNEESCUM_N1_NOUVEAU[MONTANT],DONNEESCUM_N1_NOUVEAU[TL2],A67,DONNEESCUM_N1_NOUVEAU[MOIS],DONNÉES!$C$5,DONNEESCUM_N1_NOUVEAU[SOCIETE],"LYSE")</f>
        <v>-522.55999999999995</v>
      </c>
      <c r="F67" s="17">
        <f>(E67*100)/E$8</f>
        <v>-0.1651600792639428</v>
      </c>
      <c r="G67" s="16">
        <f>+C67-E67</f>
        <v>215.86999999999995</v>
      </c>
      <c r="H67" s="17">
        <f>IF(E67=0,0,G67/E67*100)</f>
        <v>-41.310088793631351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34491.480000000025</v>
      </c>
      <c r="D69" s="10">
        <f>(C69*100)/C$8</f>
        <v>9.0953157152137081</v>
      </c>
      <c r="E69" s="9">
        <f>E18-E61+E65+E67</f>
        <v>-2822.0799999999649</v>
      </c>
      <c r="F69" s="10">
        <f>(E69*100)/E$8</f>
        <v>-0.89194533927047992</v>
      </c>
      <c r="G69" s="9">
        <f>G18-G61+G65+G67</f>
        <v>37313.560000000019</v>
      </c>
      <c r="H69" s="10">
        <f>IF(E69=0,0,G69/E69*100)</f>
        <v>-1322.2006463318007</v>
      </c>
    </row>
    <row r="70" spans="1:9" ht="13.5" thickBot="1" x14ac:dyDescent="0.25">
      <c r="A70" s="13"/>
      <c r="B70" s="63" t="s">
        <v>3034</v>
      </c>
      <c r="C70" s="49">
        <f>+C69-C67+C57+C56</f>
        <v>55345.660000000025</v>
      </c>
      <c r="D70" s="50">
        <f>(C70*100)/C$8</f>
        <v>14.594510040359959</v>
      </c>
      <c r="E70" s="49">
        <f>+E69-E67+E57+E56</f>
        <v>12965.360000000033</v>
      </c>
      <c r="F70" s="50">
        <f>(E70*100)/E$8</f>
        <v>4.0978258674325607</v>
      </c>
      <c r="G70" s="49">
        <f>+G69-G67+G57+G56</f>
        <v>42380.300000000017</v>
      </c>
      <c r="H70" s="50">
        <f>IF(E70=0,0,G70/E70*100)</f>
        <v>326.87329931448033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LYSE'!$H:$H,'BAL N LYSE'!$I:$I,$A72,'BAL N LYSE'!$J:$J,"T")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-SUMIFS(DONNEESCUM_N1_NOUVEAU[MONTANT],DONNEESCUM_N1_NOUVEAU[TL2],A72,DONNEESCUM_N1_NOUVEAU[MOIS],DONNÉES!$C$5,DONNEESCUM_N1_NOUVEAU[SOCIETE],"LYSE")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LYSE'!$H:$H,'BAL N LYSE'!$I:$I,$A74,'BAL N LYSE'!$J:$J,"T")</f>
        <v>26129.33</v>
      </c>
      <c r="D74" s="10">
        <f>(C74*100)/C$8</f>
        <v>6.8902379885410792</v>
      </c>
      <c r="E74" s="9">
        <f>SUMIFS(DONNEESCUM_N1_NOUVEAU[MONTANT],DONNEESCUM_N1_NOUVEAU[TL2],A74,DONNEESCUM_N1_NOUVEAU[MOIS],DONNÉES!$C$5,DONNEESCUM_N1_NOUVEAU[SOCIETE],"LYSE")</f>
        <v>21733.33</v>
      </c>
      <c r="F74" s="10">
        <f>(E74*100)/E$8</f>
        <v>6.8690265337366547</v>
      </c>
      <c r="G74" s="9">
        <f>+C74-E74</f>
        <v>4396</v>
      </c>
      <c r="H74" s="10">
        <f>IF(E74=0,0,G74/E74*100)</f>
        <v>20.22699696733082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8362.1500000000233</v>
      </c>
      <c r="D76" s="71">
        <f>(C76*100)/C$8</f>
        <v>2.2050777266726298</v>
      </c>
      <c r="E76" s="72">
        <f>E69-E74+E72</f>
        <v>-24555.409999999967</v>
      </c>
      <c r="F76" s="71">
        <f>(E76*100)/E$8</f>
        <v>-7.7609718730071355</v>
      </c>
      <c r="G76" s="72">
        <f>G69-G74+G72</f>
        <v>32917.560000000019</v>
      </c>
      <c r="H76" s="71">
        <f>IF(E76=0,0,G76/E76*100)</f>
        <v>-134.05420638466254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VLOOKUP(PARAMETRES!$C$2,DONNÉES!$CL$188:$CR$199,2,FALSE)</f>
        <v>21593</v>
      </c>
      <c r="D78" s="324"/>
      <c r="E78" s="323">
        <f>VLOOKUP(PARAMETRES!$C$2,DONNÉES!$CL$188:$CR$199,3,FALSE)</f>
        <v>18689</v>
      </c>
      <c r="F78" s="324"/>
      <c r="G78" s="325">
        <f>C78-E78</f>
        <v>2904</v>
      </c>
      <c r="H78" s="326"/>
    </row>
    <row r="79" spans="1:9" ht="13.5" thickTop="1" x14ac:dyDescent="0.2">
      <c r="A79" s="13"/>
      <c r="B79" s="65"/>
      <c r="C79" s="25"/>
      <c r="D79" s="26"/>
      <c r="E79" s="25"/>
      <c r="F79" s="26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VLOOKUP(PARAMETRES!$C$2,DONNÉES!$CL$284:$CR$295,2,FALSE)</f>
        <v>17.899999999999999</v>
      </c>
      <c r="D80" s="316"/>
      <c r="E80" s="315">
        <f>VLOOKUP(PARAMETRES!$C$2,DONNÉES!$CL$284:$CR$295,3,FALSE)</f>
        <v>17.13</v>
      </c>
      <c r="F80" s="316"/>
      <c r="G80" s="317">
        <f>(C80-E80)/E80</f>
        <v>4.4950379451255087E-2</v>
      </c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B3:H3"/>
    <mergeCell ref="A5:A6"/>
    <mergeCell ref="B5:B6"/>
    <mergeCell ref="C5:H5"/>
    <mergeCell ref="C6:D6"/>
    <mergeCell ref="E6:F6"/>
    <mergeCell ref="G6:H6"/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E8C6-7991-4E20-8FDB-910B7715130E}">
  <sheetPr>
    <tabColor rgb="FFFFC000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0C85-E396-46DA-AC75-5051E4D1E9AA}">
  <sheetPr>
    <tabColor rgb="FFFFC0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6971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6963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ARTHUR'!$H:$H,'BAL N ARTHUR'!$I:$I,$A8,'BAL N ARTHUR'!$J:$J,"T")</f>
        <v>456583.12</v>
      </c>
      <c r="D8" s="71">
        <f>(C8*100)/C$8</f>
        <v>100</v>
      </c>
      <c r="E8" s="72">
        <f>-SUMIFS(DONNEESCUM_N1_NOUVEAU[MONTANT],DONNEESCUM_N1_NOUVEAU[TL2],A8,DONNEESCUM_N1_NOUVEAU[MOIS],DONNÉES!$C$5,DONNEESCUM_N1_NOUVEAU[SOCIETE],"ARTHUR")</f>
        <v>414258.29</v>
      </c>
      <c r="F8" s="71">
        <f>(E8*100)/E$8</f>
        <v>100</v>
      </c>
      <c r="G8" s="72">
        <f>+C8-E8</f>
        <v>42324.830000000016</v>
      </c>
      <c r="H8" s="71">
        <f>IF(E8=0,0,G8/E8*100)</f>
        <v>10.217014606997973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ARTHUR'!$H:$H,'BAL N ARTHUR'!$I:$I,$A10,'BAL N ARTHUR'!$J:$J,"T")</f>
        <v>102230.68</v>
      </c>
      <c r="D10" s="17">
        <f t="shared" ref="D10:F16" si="0">(C10*100)/C$8</f>
        <v>22.390376586852359</v>
      </c>
      <c r="E10" s="16">
        <f>SUMIFS(DONNEESCUM_N1_NOUVEAU[MONTANT],DONNEESCUM_N1_NOUVEAU[TL2],A10,DONNEESCUM_N1_NOUVEAU[MOIS],DONNÉES!$C$5,DONNEESCUM_N1_NOUVEAU[SOCIETE],"ARTHUR")</f>
        <v>87116.79</v>
      </c>
      <c r="F10" s="17">
        <f t="shared" si="0"/>
        <v>21.02958277551911</v>
      </c>
      <c r="G10" s="16">
        <f>+C10-E10</f>
        <v>15113.89</v>
      </c>
      <c r="H10" s="17">
        <f t="shared" ref="H10:H16" si="1">IF(E10=0,0,G10/E10*100)</f>
        <v>17.348997822348597</v>
      </c>
    </row>
    <row r="11" spans="1:8" s="18" customFormat="1" x14ac:dyDescent="0.2">
      <c r="A11" s="13" t="s">
        <v>124</v>
      </c>
      <c r="B11" s="14" t="s">
        <v>4</v>
      </c>
      <c r="C11" s="23">
        <f>SUMIFS('BAL N ARTHUR'!$H:$H,'BAL N ARTHUR'!$I:$I,$A11,'BAL N ARTHUR'!$J:$J,"T")</f>
        <v>2311.5500000000002</v>
      </c>
      <c r="D11" s="17">
        <f t="shared" si="0"/>
        <v>0.50627145392497219</v>
      </c>
      <c r="E11" s="16">
        <f>SUMIFS(DONNEESCUM_N1_NOUVEAU[MONTANT],DONNEESCUM_N1_NOUVEAU[TL2],A11,DONNEESCUM_N1_NOUVEAU[MOIS],DONNÉES!$C$5,DONNEESCUM_N1_NOUVEAU[SOCIETE],"ARTHUR")</f>
        <v>2095.84</v>
      </c>
      <c r="F11" s="17">
        <f t="shared" si="0"/>
        <v>0.5059259043433989</v>
      </c>
      <c r="G11" s="16">
        <f>+C11-E11</f>
        <v>215.71000000000004</v>
      </c>
      <c r="H11" s="17">
        <f t="shared" si="1"/>
        <v>10.29229330483243</v>
      </c>
    </row>
    <row r="12" spans="1:8" s="18" customFormat="1" x14ac:dyDescent="0.2">
      <c r="A12" s="13" t="s">
        <v>125</v>
      </c>
      <c r="B12" s="14" t="s">
        <v>2</v>
      </c>
      <c r="C12" s="23">
        <f>SUMIFS('BAL N ARTHUR'!$H:$H,'BAL N ARTHUR'!$I:$I,$A12,'BAL N ARTHUR'!$J:$J,"T")</f>
        <v>3055.25</v>
      </c>
      <c r="D12" s="17">
        <f t="shared" si="0"/>
        <v>0.6691552679389462</v>
      </c>
      <c r="E12" s="16">
        <f>SUMIFS(DONNEESCUM_N1_NOUVEAU[MONTANT],DONNEESCUM_N1_NOUVEAU[TL2],A12,DONNEESCUM_N1_NOUVEAU[MOIS],DONNÉES!$C$5,DONNEESCUM_N1_NOUVEAU[SOCIETE],"ARTHUR")</f>
        <v>3169.09</v>
      </c>
      <c r="F12" s="17">
        <f t="shared" si="0"/>
        <v>0.76500339920777449</v>
      </c>
      <c r="G12" s="16">
        <f>+C12-E12</f>
        <v>-113.84000000000015</v>
      </c>
      <c r="H12" s="17">
        <f t="shared" si="1"/>
        <v>-3.5921983913363187</v>
      </c>
    </row>
    <row r="13" spans="1:8" s="59" customFormat="1" ht="13.5" x14ac:dyDescent="0.2">
      <c r="A13" s="60"/>
      <c r="B13" s="62" t="s">
        <v>6</v>
      </c>
      <c r="C13" s="55">
        <f>SUM(C10:C12)</f>
        <v>107597.48</v>
      </c>
      <c r="D13" s="56">
        <f t="shared" si="0"/>
        <v>23.565803308716276</v>
      </c>
      <c r="E13" s="55">
        <f>SUM(E10:E12)</f>
        <v>92381.719999999987</v>
      </c>
      <c r="F13" s="56">
        <f t="shared" si="0"/>
        <v>22.30051207907028</v>
      </c>
      <c r="G13" s="55">
        <f>SUM(G10:G12)</f>
        <v>15215.759999999998</v>
      </c>
      <c r="H13" s="56">
        <f t="shared" si="1"/>
        <v>16.470531183008934</v>
      </c>
    </row>
    <row r="14" spans="1:8" s="18" customFormat="1" x14ac:dyDescent="0.2">
      <c r="A14" s="13" t="s">
        <v>126</v>
      </c>
      <c r="B14" s="14" t="s">
        <v>8</v>
      </c>
      <c r="C14" s="23">
        <f>SUMIFS('BAL N ARTHUR'!$H:$H,'BAL N ARTHUR'!$I:$I,$A14,'BAL N ARTHUR'!$J:$J,"T")</f>
        <v>10912.77</v>
      </c>
      <c r="D14" s="17">
        <f t="shared" si="0"/>
        <v>2.3900949294840337</v>
      </c>
      <c r="E14" s="16">
        <f>SUMIFS(DONNEESCUM_N1_NOUVEAU[MONTANT],DONNEESCUM_N1_NOUVEAU[TL2],A14,DONNEESCUM_N1_NOUVEAU[MOIS],DONNÉES!$C$5,DONNEESCUM_N1_NOUVEAU[SOCIETE],"ARTHUR")</f>
        <v>8803.99</v>
      </c>
      <c r="F14" s="17">
        <f t="shared" si="0"/>
        <v>2.1252417181560808</v>
      </c>
      <c r="G14" s="16">
        <f>+C14-E14</f>
        <v>2108.7800000000007</v>
      </c>
      <c r="H14" s="17">
        <f t="shared" si="1"/>
        <v>23.952548787538387</v>
      </c>
    </row>
    <row r="15" spans="1:8" s="18" customFormat="1" x14ac:dyDescent="0.2">
      <c r="A15" s="13" t="s">
        <v>2964</v>
      </c>
      <c r="B15" s="14" t="s">
        <v>2965</v>
      </c>
      <c r="C15" s="23">
        <f>SUMIFS('BAL N ARTHUR'!$H:$H,'BAL N ARTHUR'!$I:$I,$A15,'BAL N ARTHUR'!$J:$J,"T")</f>
        <v>-343.14</v>
      </c>
      <c r="D15" s="17">
        <f t="shared" si="0"/>
        <v>-7.5153895308262816E-2</v>
      </c>
      <c r="E15" s="16">
        <f>SUMIFS(DONNEESCUM_N1_NOUVEAU[MONTANT],DONNEESCUM_N1_NOUVEAU[TL2],A15,DONNEESCUM_N1_NOUVEAU[MOIS],DONNÉES!$C$5,DONNEESCUM_N1_NOUVEAU[SOCIETE],"ARTHUR")</f>
        <v>1001.5600000000002</v>
      </c>
      <c r="F15" s="17">
        <f t="shared" si="0"/>
        <v>0.24177186653283395</v>
      </c>
      <c r="G15" s="16">
        <f>+C15-E15</f>
        <v>-1344.7000000000003</v>
      </c>
      <c r="H15" s="17">
        <f t="shared" si="1"/>
        <v>-134.26055353648309</v>
      </c>
    </row>
    <row r="16" spans="1:8" ht="13.5" thickBot="1" x14ac:dyDescent="0.25">
      <c r="A16" s="7"/>
      <c r="B16" s="63" t="s">
        <v>10</v>
      </c>
      <c r="C16" s="49">
        <f>+C13+SUM(C14:C15)</f>
        <v>118167.11</v>
      </c>
      <c r="D16" s="50">
        <f t="shared" si="0"/>
        <v>25.880744342892047</v>
      </c>
      <c r="E16" s="49">
        <f>+E13+SUM(E14:E15)</f>
        <v>102187.26999999999</v>
      </c>
      <c r="F16" s="50">
        <f t="shared" si="0"/>
        <v>24.667525663759193</v>
      </c>
      <c r="G16" s="49">
        <f>+G13+SUM(G14:G15)</f>
        <v>15979.839999999998</v>
      </c>
      <c r="H16" s="50">
        <f t="shared" si="1"/>
        <v>15.637799111376594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338416.01</v>
      </c>
      <c r="D18" s="71">
        <f>(C18*100)/C$8</f>
        <v>74.119255657107956</v>
      </c>
      <c r="E18" s="70">
        <f>E8-E16</f>
        <v>312071.02</v>
      </c>
      <c r="F18" s="71">
        <f>(E18*100)/E$8</f>
        <v>75.332474336240807</v>
      </c>
      <c r="G18" s="70">
        <f>G8-G16</f>
        <v>26344.99000000002</v>
      </c>
      <c r="H18" s="71">
        <f>IF(E18=0,0,G18/E18*100)</f>
        <v>8.4419854172938003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ARTHUR'!$H:$H,'BAL N ARTHUR'!$I:$I,$A20,'BAL N ARTHUR'!$J:$J,"T")</f>
        <v>71165.5</v>
      </c>
      <c r="D20" s="17">
        <f t="shared" ref="D20:F26" si="2">(C20*100)/C$8</f>
        <v>15.586537671388291</v>
      </c>
      <c r="E20" s="16">
        <f>SUMIFS(DONNEESCUM_N1_NOUVEAU[MONTANT],DONNEESCUM_N1_NOUVEAU[TL2],A20,DONNEESCUM_N1_NOUVEAU[MOIS],DONNÉES!$C$5,DONNEESCUM_N1_NOUVEAU[SOCIETE],"ARTHUR")</f>
        <v>61128.460000000006</v>
      </c>
      <c r="F20" s="17">
        <f t="shared" si="2"/>
        <v>14.756122321655896</v>
      </c>
      <c r="G20" s="16">
        <f t="shared" ref="G20:G25" si="3">+C20-E20</f>
        <v>10037.039999999994</v>
      </c>
      <c r="H20" s="17">
        <f t="shared" ref="H20:H26" si="4">IF(E20=0,0,G20/E20*100)</f>
        <v>16.419585901558769</v>
      </c>
    </row>
    <row r="21" spans="1:8" s="18" customFormat="1" x14ac:dyDescent="0.2">
      <c r="A21" s="13">
        <v>9</v>
      </c>
      <c r="B21" s="14" t="s">
        <v>2968</v>
      </c>
      <c r="C21" s="23">
        <f>SUMIFS('BAL N ARTHUR'!$H:$H,'BAL N ARTHUR'!$I:$I,$A21,'BAL N ARTHUR'!$J:$J,"T")</f>
        <v>10039.93</v>
      </c>
      <c r="D21" s="17">
        <f t="shared" si="2"/>
        <v>2.1989271088252234</v>
      </c>
      <c r="E21" s="16">
        <f>SUMIFS(DONNEESCUM_N1_NOUVEAU[MONTANT],DONNEESCUM_N1_NOUVEAU[TL2],A21,DONNEESCUM_N1_NOUVEAU[MOIS],DONNÉES!$C$5,DONNEESCUM_N1_NOUVEAU[SOCIETE],"ARTHUR")</f>
        <v>9486.94</v>
      </c>
      <c r="F21" s="17">
        <f t="shared" si="2"/>
        <v>2.2901026313800505</v>
      </c>
      <c r="G21" s="16">
        <f t="shared" si="3"/>
        <v>552.98999999999978</v>
      </c>
      <c r="H21" s="17">
        <f t="shared" si="4"/>
        <v>5.82896065538519</v>
      </c>
    </row>
    <row r="22" spans="1:8" s="18" customFormat="1" x14ac:dyDescent="0.2">
      <c r="A22" s="13" t="s">
        <v>12</v>
      </c>
      <c r="B22" s="14" t="s">
        <v>14</v>
      </c>
      <c r="C22" s="23">
        <f>SUMIFS('BAL N ARTHUR'!$H:$H,'BAL N ARTHUR'!$I:$I,$A22,'BAL N ARTHUR'!$J:$J,"T")</f>
        <v>18858.77</v>
      </c>
      <c r="D22" s="17">
        <f t="shared" si="2"/>
        <v>4.1304133188279062</v>
      </c>
      <c r="E22" s="16">
        <f>SUMIFS(DONNEESCUM_N1_NOUVEAU[MONTANT],DONNEESCUM_N1_NOUVEAU[TL2],A22,DONNEESCUM_N1_NOUVEAU[MOIS],DONNÉES!$C$5,DONNEESCUM_N1_NOUVEAU[SOCIETE],"ARTHUR")</f>
        <v>26095.18</v>
      </c>
      <c r="F22" s="17">
        <f t="shared" si="2"/>
        <v>6.2992535405869612</v>
      </c>
      <c r="G22" s="16">
        <f t="shared" si="3"/>
        <v>-7236.41</v>
      </c>
      <c r="H22" s="17">
        <f t="shared" si="4"/>
        <v>-27.730829984694488</v>
      </c>
    </row>
    <row r="23" spans="1:8" s="18" customFormat="1" x14ac:dyDescent="0.2">
      <c r="A23" s="13" t="s">
        <v>13</v>
      </c>
      <c r="B23" s="14" t="s">
        <v>2966</v>
      </c>
      <c r="C23" s="23">
        <f>SUMIFS('BAL N ARTHUR'!$H:$H,'BAL N ARTHUR'!$I:$I,$A23,'BAL N ARTHUR'!$J:$J,"T")</f>
        <v>5409.8</v>
      </c>
      <c r="D23" s="17">
        <f t="shared" si="2"/>
        <v>1.1848445032308685</v>
      </c>
      <c r="E23" s="16">
        <f>SUMIFS(DONNEESCUM_N1_NOUVEAU[MONTANT],DONNEESCUM_N1_NOUVEAU[TL2],A23,DONNEESCUM_N1_NOUVEAU[MOIS],DONNÉES!$C$5,DONNEESCUM_N1_NOUVEAU[SOCIETE],"ARTHUR")</f>
        <v>6144.0300000000007</v>
      </c>
      <c r="F23" s="17">
        <f t="shared" si="2"/>
        <v>1.4831399028852268</v>
      </c>
      <c r="G23" s="16">
        <f t="shared" si="3"/>
        <v>-734.23000000000047</v>
      </c>
      <c r="H23" s="17">
        <f t="shared" si="4"/>
        <v>-11.950299721843813</v>
      </c>
    </row>
    <row r="24" spans="1:8" s="18" customFormat="1" x14ac:dyDescent="0.2">
      <c r="A24" s="13" t="s">
        <v>15</v>
      </c>
      <c r="B24" s="14" t="s">
        <v>2969</v>
      </c>
      <c r="C24" s="23">
        <f>SUMIFS('BAL N ARTHUR'!$H:$H,'BAL N ARTHUR'!$I:$I,$A24,'BAL N ARTHUR'!$J:$J,"T")</f>
        <v>-500</v>
      </c>
      <c r="D24" s="17">
        <f t="shared" si="2"/>
        <v>-0.10950908566221196</v>
      </c>
      <c r="E24" s="16">
        <f>SUMIFS(DONNEESCUM_N1_NOUVEAU[MONTANT],DONNEESCUM_N1_NOUVEAU[TL2],A24,DONNEESCUM_N1_NOUVEAU[MOIS],DONNÉES!$C$5,DONNEESCUM_N1_NOUVEAU[SOCIETE],"ARTHUR")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ARTHUR'!$H:$H,'BAL N ARTHUR'!$I:$I,$A25,'BAL N ARTHUR'!$J:$J,"T")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SUMIFS(DONNEESCUM_N1_NOUVEAU[MONTANT],DONNEESCUM_N1_NOUVEAU[TL2],A25,DONNEESCUM_N1_NOUVEAU[MOIS],DONNÉES!$C$5,DONNEESCUM_N1_NOUVEAU[SOCIETE],"ARTHUR")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104974</v>
      </c>
      <c r="D26" s="50">
        <f t="shared" si="2"/>
        <v>22.991213516610074</v>
      </c>
      <c r="E26" s="51">
        <f>SUM(E20:E25)</f>
        <v>102854.61000000002</v>
      </c>
      <c r="F26" s="50">
        <f t="shared" si="2"/>
        <v>24.828618396508137</v>
      </c>
      <c r="G26" s="51">
        <f>SUM(G20:G25)</f>
        <v>2119.3899999999931</v>
      </c>
      <c r="H26" s="50">
        <f t="shared" si="4"/>
        <v>2.0605687970621762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ARTHUR'!$H:$H,'BAL N ARTHUR'!$I:$I,$A28,'BAL N ARTHUR'!$J:$J,"T")</f>
        <v>10303.68</v>
      </c>
      <c r="D28" s="17">
        <f t="shared" ref="D28:F33" si="5">(C28*100)/C$8</f>
        <v>2.2566931515120401</v>
      </c>
      <c r="E28" s="16">
        <f>SUMIFS(DONNEESCUM_N1_NOUVEAU[MONTANT],DONNEESCUM_N1_NOUVEAU[TL2],A28,DONNEESCUM_N1_NOUVEAU[MOIS],DONNÉES!$C$5,DONNEESCUM_N1_NOUVEAU[SOCIETE],"ARTHUR")</f>
        <v>7977</v>
      </c>
      <c r="F28" s="17">
        <f t="shared" si="5"/>
        <v>1.9256102273777069</v>
      </c>
      <c r="G28" s="16">
        <f>+C28-E28</f>
        <v>2326.6800000000003</v>
      </c>
      <c r="H28" s="17">
        <f t="shared" ref="H28:H33" si="6">IF(E28=0,0,G28/E28*100)</f>
        <v>29.167356148928171</v>
      </c>
    </row>
    <row r="29" spans="1:8" s="18" customFormat="1" x14ac:dyDescent="0.2">
      <c r="A29" s="13" t="s">
        <v>20</v>
      </c>
      <c r="B29" s="14" t="s">
        <v>2972</v>
      </c>
      <c r="C29" s="23">
        <f>SUMIFS('BAL N ARTHUR'!$H:$H,'BAL N ARTHUR'!$I:$I,$A29,'BAL N ARTHUR'!$J:$J,"T")</f>
        <v>34.229999999999997</v>
      </c>
      <c r="D29" s="17">
        <f t="shared" si="5"/>
        <v>7.4969920044350297E-3</v>
      </c>
      <c r="E29" s="16">
        <f>SUMIFS(DONNEESCUM_N1_NOUVEAU[MONTANT],DONNEESCUM_N1_NOUVEAU[TL2],A29,DONNEESCUM_N1_NOUVEAU[MOIS],DONNÉES!$C$5,DONNEESCUM_N1_NOUVEAU[SOCIETE],"ARTHUR")</f>
        <v>1287.25</v>
      </c>
      <c r="F29" s="17">
        <f t="shared" si="5"/>
        <v>0.31073608689882826</v>
      </c>
      <c r="G29" s="16">
        <f>+C29-E29</f>
        <v>-1253.02</v>
      </c>
      <c r="H29" s="17">
        <f t="shared" si="6"/>
        <v>-97.340842882113037</v>
      </c>
    </row>
    <row r="30" spans="1:8" s="18" customFormat="1" x14ac:dyDescent="0.2">
      <c r="A30" s="13" t="s">
        <v>21</v>
      </c>
      <c r="B30" s="14" t="s">
        <v>2973</v>
      </c>
      <c r="C30" s="23">
        <f>SUMIFS('BAL N ARTHUR'!$H:$H,'BAL N ARTHUR'!$I:$I,$A30,'BAL N ARTHUR'!$J:$J,"T")</f>
        <v>4376.16</v>
      </c>
      <c r="D30" s="17">
        <f t="shared" si="5"/>
        <v>0.95845856062309098</v>
      </c>
      <c r="E30" s="16">
        <f>SUMIFS(DONNEESCUM_N1_NOUVEAU[MONTANT],DONNEESCUM_N1_NOUVEAU[TL2],A30,DONNEESCUM_N1_NOUVEAU[MOIS],DONNÉES!$C$5,DONNEESCUM_N1_NOUVEAU[SOCIETE],"ARTHUR")</f>
        <v>2139.63</v>
      </c>
      <c r="F30" s="17">
        <f t="shared" si="5"/>
        <v>0.51649660408727127</v>
      </c>
      <c r="G30" s="16">
        <f>+C30-E30</f>
        <v>2236.5299999999997</v>
      </c>
      <c r="H30" s="17">
        <f t="shared" si="6"/>
        <v>104.52882040352769</v>
      </c>
    </row>
    <row r="31" spans="1:8" s="18" customFormat="1" x14ac:dyDescent="0.2">
      <c r="A31" s="13" t="s">
        <v>23</v>
      </c>
      <c r="B31" s="14" t="s">
        <v>2974</v>
      </c>
      <c r="C31" s="23">
        <f>SUMIFS('BAL N ARTHUR'!$H:$H,'BAL N ARTHUR'!$I:$I,$A31,'BAL N ARTHUR'!$J:$J,"T")</f>
        <v>6206.35</v>
      </c>
      <c r="D31" s="17">
        <f t="shared" si="5"/>
        <v>1.3593034275993383</v>
      </c>
      <c r="E31" s="16">
        <f>SUMIFS(DONNEESCUM_N1_NOUVEAU[MONTANT],DONNEESCUM_N1_NOUVEAU[TL2],A31,DONNEESCUM_N1_NOUVEAU[MOIS],DONNÉES!$C$5,DONNEESCUM_N1_NOUVEAU[SOCIETE],"ARTHUR")</f>
        <v>5202.2000000000007</v>
      </c>
      <c r="F31" s="17">
        <f t="shared" si="5"/>
        <v>1.2557865770169623</v>
      </c>
      <c r="G31" s="16">
        <f>+C31-E31</f>
        <v>1004.1499999999996</v>
      </c>
      <c r="H31" s="17">
        <f t="shared" si="6"/>
        <v>19.302410518626726</v>
      </c>
    </row>
    <row r="32" spans="1:8" s="18" customFormat="1" x14ac:dyDescent="0.2">
      <c r="A32" s="13" t="s">
        <v>25</v>
      </c>
      <c r="B32" s="14" t="s">
        <v>2975</v>
      </c>
      <c r="C32" s="23">
        <f>SUMIFS('BAL N ARTHUR'!$H:$H,'BAL N ARTHUR'!$I:$I,$A32,'BAL N ARTHUR'!$J:$J,"T")</f>
        <v>4930.51</v>
      </c>
      <c r="D32" s="17">
        <f t="shared" si="5"/>
        <v>1.0798712838967854</v>
      </c>
      <c r="E32" s="16">
        <f>SUMIFS(DONNEESCUM_N1_NOUVEAU[MONTANT],DONNEESCUM_N1_NOUVEAU[TL2],A32,DONNEESCUM_N1_NOUVEAU[MOIS],DONNÉES!$C$5,DONNEESCUM_N1_NOUVEAU[SOCIETE],"ARTHUR")</f>
        <v>5280.59</v>
      </c>
      <c r="F32" s="17">
        <f t="shared" si="5"/>
        <v>1.2747095537907038</v>
      </c>
      <c r="G32" s="16">
        <f>+C32-E32</f>
        <v>-350.07999999999993</v>
      </c>
      <c r="H32" s="17">
        <f t="shared" si="6"/>
        <v>-6.6295622269481242</v>
      </c>
    </row>
    <row r="33" spans="1:8" ht="13.5" thickBot="1" x14ac:dyDescent="0.25">
      <c r="A33" s="7"/>
      <c r="B33" s="63" t="s">
        <v>2976</v>
      </c>
      <c r="C33" s="49">
        <f>SUM(C28:C32)</f>
        <v>25850.93</v>
      </c>
      <c r="D33" s="50">
        <f t="shared" si="5"/>
        <v>5.6618234156356895</v>
      </c>
      <c r="E33" s="51">
        <f>SUM(E28:E32)</f>
        <v>21886.670000000002</v>
      </c>
      <c r="F33" s="50">
        <f t="shared" si="5"/>
        <v>5.2833390491714729</v>
      </c>
      <c r="G33" s="51">
        <f>SUM(G28:G32)</f>
        <v>3964.26</v>
      </c>
      <c r="H33" s="50">
        <f t="shared" si="6"/>
        <v>18.112668578637134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ARTHUR'!$H:$H,'BAL N ARTHUR'!$I:$I,$A35,'BAL N ARTHUR'!$J:$J,"T")</f>
        <v>11592.97</v>
      </c>
      <c r="D35" s="17">
        <f t="shared" ref="D35:F42" si="7">(C35*100)/C$8</f>
        <v>2.5390710896189068</v>
      </c>
      <c r="E35" s="16">
        <f>SUMIFS(DONNEESCUM_N1_NOUVEAU[MONTANT],DONNEESCUM_N1_NOUVEAU[TL2],A35,DONNEESCUM_N1_NOUVEAU[MOIS],DONNÉES!$C$5,DONNEESCUM_N1_NOUVEAU[SOCIETE],"ARTHUR")</f>
        <v>12523.03</v>
      </c>
      <c r="F35" s="17">
        <f t="shared" si="7"/>
        <v>3.0230004570337026</v>
      </c>
      <c r="G35" s="16">
        <f t="shared" ref="G35:G41" si="8">+C35-E35</f>
        <v>-930.06000000000131</v>
      </c>
      <c r="H35" s="17">
        <f t="shared" ref="H35:H42" si="9">IF(E35=0,0,G35/E35*100)</f>
        <v>-7.42679686944774</v>
      </c>
    </row>
    <row r="36" spans="1:8" s="18" customFormat="1" x14ac:dyDescent="0.2">
      <c r="A36" s="13" t="s">
        <v>30</v>
      </c>
      <c r="B36" s="14" t="s">
        <v>145</v>
      </c>
      <c r="C36" s="23">
        <f>SUMIFS('BAL N ARTHUR'!$H:$H,'BAL N ARTHUR'!$I:$I,$A36,'BAL N ARTHUR'!$J:$J,"T")</f>
        <v>18521.27</v>
      </c>
      <c r="D36" s="17">
        <f t="shared" si="7"/>
        <v>4.0564946860059132</v>
      </c>
      <c r="E36" s="16">
        <f>SUMIFS(DONNEESCUM_N1_NOUVEAU[MONTANT],DONNEESCUM_N1_NOUVEAU[TL2],A36,DONNEESCUM_N1_NOUVEAU[MOIS],DONNÉES!$C$5,DONNEESCUM_N1_NOUVEAU[SOCIETE],"ARTHUR")</f>
        <v>16648.330000000002</v>
      </c>
      <c r="F36" s="17">
        <f t="shared" si="7"/>
        <v>4.0188284463782251</v>
      </c>
      <c r="G36" s="16">
        <f t="shared" si="8"/>
        <v>1872.9399999999987</v>
      </c>
      <c r="H36" s="17">
        <f t="shared" si="9"/>
        <v>11.250017268999345</v>
      </c>
    </row>
    <row r="37" spans="1:8" s="18" customFormat="1" x14ac:dyDescent="0.2">
      <c r="A37" s="13" t="s">
        <v>32</v>
      </c>
      <c r="B37" s="14" t="s">
        <v>19</v>
      </c>
      <c r="C37" s="23">
        <f>SUMIFS('BAL N ARTHUR'!$H:$H,'BAL N ARTHUR'!$I:$I,$A37,'BAL N ARTHUR'!$J:$J,"T")</f>
        <v>6471.76</v>
      </c>
      <c r="D37" s="17">
        <f t="shared" si="7"/>
        <v>1.4174330404505537</v>
      </c>
      <c r="E37" s="16">
        <f>SUMIFS(DONNEESCUM_N1_NOUVEAU[MONTANT],DONNEESCUM_N1_NOUVEAU[TL2],A37,DONNEESCUM_N1_NOUVEAU[MOIS],DONNÉES!$C$5,DONNEESCUM_N1_NOUVEAU[SOCIETE],"ARTHUR")</f>
        <v>5340.46</v>
      </c>
      <c r="F37" s="17">
        <f t="shared" si="7"/>
        <v>1.2891618897958566</v>
      </c>
      <c r="G37" s="16">
        <f t="shared" si="8"/>
        <v>1131.3000000000002</v>
      </c>
      <c r="H37" s="17">
        <f t="shared" si="9"/>
        <v>21.183568456649805</v>
      </c>
    </row>
    <row r="38" spans="1:8" s="18" customFormat="1" x14ac:dyDescent="0.2">
      <c r="A38" s="13" t="s">
        <v>34</v>
      </c>
      <c r="B38" s="14" t="s">
        <v>28</v>
      </c>
      <c r="C38" s="23">
        <f>SUMIFS('BAL N ARTHUR'!$H:$H,'BAL N ARTHUR'!$I:$I,$A38,'BAL N ARTHUR'!$J:$J,"T")</f>
        <v>10280.16</v>
      </c>
      <c r="D38" s="17">
        <f t="shared" si="7"/>
        <v>2.2515418441224897</v>
      </c>
      <c r="E38" s="16">
        <f>SUMIFS(DONNEESCUM_N1_NOUVEAU[MONTANT],DONNEESCUM_N1_NOUVEAU[TL2],A38,DONNEESCUM_N1_NOUVEAU[MOIS],DONNÉES!$C$5,DONNEESCUM_N1_NOUVEAU[SOCIETE],"ARTHUR")</f>
        <v>19150.32</v>
      </c>
      <c r="F38" s="17">
        <f t="shared" si="7"/>
        <v>4.6227970477066371</v>
      </c>
      <c r="G38" s="16">
        <f t="shared" si="8"/>
        <v>-8870.16</v>
      </c>
      <c r="H38" s="17">
        <f t="shared" si="9"/>
        <v>-46.3185993758851</v>
      </c>
    </row>
    <row r="39" spans="1:8" s="18" customFormat="1" x14ac:dyDescent="0.2">
      <c r="A39" s="13" t="s">
        <v>2978</v>
      </c>
      <c r="B39" s="14" t="s">
        <v>2980</v>
      </c>
      <c r="C39" s="23">
        <f>SUMIFS('BAL N ARTHUR'!$H:$H,'BAL N ARTHUR'!$I:$I,$A39,'BAL N ARTHUR'!$J:$J,"T")</f>
        <v>4758.1000000000004</v>
      </c>
      <c r="D39" s="17">
        <f t="shared" si="7"/>
        <v>1.0421103609787414</v>
      </c>
      <c r="E39" s="16">
        <f>SUMIFS(DONNEESCUM_N1_NOUVEAU[MONTANT],DONNEESCUM_N1_NOUVEAU[TL2],A39,DONNEESCUM_N1_NOUVEAU[MOIS],DONNÉES!$C$5,DONNEESCUM_N1_NOUVEAU[SOCIETE],"ARTHUR")</f>
        <v>8848.2899999999991</v>
      </c>
      <c r="F39" s="17">
        <f t="shared" si="7"/>
        <v>2.1359355294977922</v>
      </c>
      <c r="G39" s="16">
        <f t="shared" si="8"/>
        <v>-4090.1899999999987</v>
      </c>
      <c r="H39" s="17">
        <f t="shared" si="9"/>
        <v>-46.225767916738704</v>
      </c>
    </row>
    <row r="40" spans="1:8" s="18" customFormat="1" x14ac:dyDescent="0.2">
      <c r="A40" s="13" t="s">
        <v>2979</v>
      </c>
      <c r="B40" s="14" t="s">
        <v>2981</v>
      </c>
      <c r="C40" s="23">
        <f>SUMIFS('BAL N ARTHUR'!$H:$H,'BAL N ARTHUR'!$I:$I,$A40,'BAL N ARTHUR'!$J:$J,"T")</f>
        <v>244.59</v>
      </c>
      <c r="D40" s="17">
        <f t="shared" si="7"/>
        <v>5.3569654524240846E-2</v>
      </c>
      <c r="E40" s="16">
        <f>SUMIFS(DONNEESCUM_N1_NOUVEAU[MONTANT],DONNEESCUM_N1_NOUVEAU[TL2],A40,DONNEESCUM_N1_NOUVEAU[MOIS],DONNÉES!$C$5,DONNEESCUM_N1_NOUVEAU[SOCIETE],"ARTHUR")</f>
        <v>748.15</v>
      </c>
      <c r="F40" s="17">
        <f t="shared" si="7"/>
        <v>0.18059988612418595</v>
      </c>
      <c r="G40" s="16">
        <f t="shared" si="8"/>
        <v>-503.55999999999995</v>
      </c>
      <c r="H40" s="17">
        <f t="shared" si="9"/>
        <v>-67.307358150103582</v>
      </c>
    </row>
    <row r="41" spans="1:8" s="18" customFormat="1" x14ac:dyDescent="0.2">
      <c r="A41" s="13" t="s">
        <v>2982</v>
      </c>
      <c r="B41" s="14" t="s">
        <v>2983</v>
      </c>
      <c r="C41" s="23">
        <f>SUMIFS('BAL N ARTHUR'!$H:$H,'BAL N ARTHUR'!$I:$I,$A41,'BAL N ARTHUR'!$J:$J,"T")</f>
        <v>737.08</v>
      </c>
      <c r="D41" s="17">
        <f t="shared" si="7"/>
        <v>0.16143391371980637</v>
      </c>
      <c r="E41" s="16">
        <f>SUMIFS(DONNEESCUM_N1_NOUVEAU[MONTANT],DONNEESCUM_N1_NOUVEAU[TL2],A41,DONNEESCUM_N1_NOUVEAU[MOIS],DONNÉES!$C$5,DONNEESCUM_N1_NOUVEAU[SOCIETE],"ARTHUR")</f>
        <v>603.56000000000006</v>
      </c>
      <c r="F41" s="17">
        <f t="shared" si="7"/>
        <v>0.14569654116034711</v>
      </c>
      <c r="G41" s="16">
        <f t="shared" si="8"/>
        <v>133.51999999999998</v>
      </c>
      <c r="H41" s="17">
        <f t="shared" si="9"/>
        <v>22.122075684273305</v>
      </c>
    </row>
    <row r="42" spans="1:8" ht="13.5" thickBot="1" x14ac:dyDescent="0.25">
      <c r="A42" s="13"/>
      <c r="B42" s="63" t="s">
        <v>2984</v>
      </c>
      <c r="C42" s="49">
        <f>+SUM(C35:C41)</f>
        <v>52605.93</v>
      </c>
      <c r="D42" s="50">
        <f t="shared" si="7"/>
        <v>11.521654589420651</v>
      </c>
      <c r="E42" s="51">
        <f>+SUM(E35:E41)</f>
        <v>63862.14</v>
      </c>
      <c r="F42" s="50">
        <f t="shared" si="7"/>
        <v>15.416019797696746</v>
      </c>
      <c r="G42" s="51">
        <f>+SUM(G35:G41)</f>
        <v>-11256.210000000001</v>
      </c>
      <c r="H42" s="50">
        <f t="shared" si="9"/>
        <v>-17.625795189450276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154985.15000000002</v>
      </c>
      <c r="D44" s="71">
        <f>(C44*100)/C$8</f>
        <v>33.944564135441546</v>
      </c>
      <c r="E44" s="72">
        <f>E18-E26-E33-E42</f>
        <v>123467.59999999999</v>
      </c>
      <c r="F44" s="71">
        <f>(E44*100)/E$8</f>
        <v>29.804497092864455</v>
      </c>
      <c r="G44" s="72">
        <f>G18-G26-G33-G42</f>
        <v>31517.550000000025</v>
      </c>
      <c r="H44" s="71">
        <f>IF(E44=0,0,G44/E44*100)</f>
        <v>25.526980357599911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ARTHUR'!$H:$H,'BAL N ARTHUR'!$I:$I,$A46,'BAL N ARTHUR'!$J:$J,"T")</f>
        <v>70348.47</v>
      </c>
      <c r="D46" s="17">
        <f t="shared" ref="D46:F49" si="10">(C46*100)/C$8</f>
        <v>15.407593254871095</v>
      </c>
      <c r="E46" s="16">
        <f>SUMIFS(DONNEESCUM_N1_NOUVEAU[MONTANT],DONNEESCUM_N1_NOUVEAU[TL2],A46,DONNEESCUM_N1_NOUVEAU[MOIS],DONNÉES!$C$5,DONNEESCUM_N1_NOUVEAU[SOCIETE],"ARTHUR")</f>
        <v>62431.24</v>
      </c>
      <c r="F46" s="17">
        <f t="shared" si="10"/>
        <v>15.070607277406568</v>
      </c>
      <c r="G46" s="16">
        <f>+C46-E46</f>
        <v>7917.2300000000032</v>
      </c>
      <c r="H46" s="17">
        <f>IF(E46=0,0,G46/E46*100)</f>
        <v>12.681519700713942</v>
      </c>
    </row>
    <row r="47" spans="1:8" s="18" customFormat="1" x14ac:dyDescent="0.2">
      <c r="A47" s="13" t="s">
        <v>35</v>
      </c>
      <c r="B47" s="14" t="s">
        <v>2986</v>
      </c>
      <c r="C47" s="23">
        <f>SUMIFS('BAL N ARTHUR'!$H:$H,'BAL N ARTHUR'!$I:$I,$A47,'BAL N ARTHUR'!$J:$J,"T")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SUMIFS(DONNEESCUM_N1_NOUVEAU[MONTANT],DONNEESCUM_N1_NOUVEAU[TL2],A47,DONNEESCUM_N1_NOUVEAU[MOIS],DONNÉES!$C$5,DONNEESCUM_N1_NOUVEAU[SOCIETE],"ARTHUR")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ARTHUR'!$H:$H,'BAL N ARTHUR'!$I:$I,$A48,'BAL N ARTHUR'!$J:$J,"T")</f>
        <v>-2397.6799999999998</v>
      </c>
      <c r="D48" s="17">
        <f t="shared" si="10"/>
        <v>-0.52513548902114471</v>
      </c>
      <c r="E48" s="16">
        <f>SUMIFS(DONNEESCUM_N1_NOUVEAU[MONTANT],DONNEESCUM_N1_NOUVEAU[TL2],A48,DONNEESCUM_N1_NOUVEAU[MOIS],DONNÉES!$C$5,DONNEESCUM_N1_NOUVEAU[SOCIETE],"ARTHUR")</f>
        <v>0</v>
      </c>
      <c r="F48" s="17">
        <f t="shared" si="10"/>
        <v>0</v>
      </c>
      <c r="G48" s="16">
        <f>+C48-E48</f>
        <v>-2397.6799999999998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67950.790000000008</v>
      </c>
      <c r="D49" s="50">
        <f t="shared" si="10"/>
        <v>14.882457765849953</v>
      </c>
      <c r="E49" s="51">
        <f>SUM(E46:E48)</f>
        <v>62431.24</v>
      </c>
      <c r="F49" s="50">
        <f t="shared" si="10"/>
        <v>15.070607277406568</v>
      </c>
      <c r="G49" s="51">
        <f>SUM(G46:G48)</f>
        <v>5519.5500000000029</v>
      </c>
      <c r="H49" s="50">
        <f>IF(E49=0,0,G49/E49*100)</f>
        <v>8.8410065217349558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ARTHUR'!$H:$H,'BAL N ARTHUR'!$I:$I,$A51,'BAL N ARTHUR'!$J:$J,"T")</f>
        <v>0</v>
      </c>
      <c r="D51" s="17">
        <f t="shared" ref="D51:F59" si="11">(C51*100)/C$8</f>
        <v>0</v>
      </c>
      <c r="E51" s="16">
        <f>SUMIFS(DONNEESCUM_N1_NOUVEAU[MONTANT],DONNEESCUM_N1_NOUVEAU[TL2],A51,DONNEESCUM_N1_NOUVEAU[MOIS],DONNÉES!$C$5,DONNEESCUM_N1_NOUVEAU[SOCIETE],"ARTHUR")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ARTHUR'!$H:$H,'BAL N ARTHUR'!$I:$I,$A52,'BAL N ARTHUR'!$J:$J,"T")</f>
        <v>23449.49</v>
      </c>
      <c r="D52" s="17">
        <f t="shared" si="11"/>
        <v>5.1358644182903657</v>
      </c>
      <c r="E52" s="16">
        <f>SUMIFS(DONNEESCUM_N1_NOUVEAU[MONTANT],DONNEESCUM_N1_NOUVEAU[TL2],A52,DONNEESCUM_N1_NOUVEAU[MOIS],DONNÉES!$C$5,DONNEESCUM_N1_NOUVEAU[SOCIETE],"ARTHUR")</f>
        <v>20810.41</v>
      </c>
      <c r="F52" s="17">
        <f t="shared" si="11"/>
        <v>5.023534954484556</v>
      </c>
      <c r="G52" s="16">
        <f t="shared" si="12"/>
        <v>2639.0800000000017</v>
      </c>
      <c r="H52" s="17">
        <f t="shared" si="13"/>
        <v>12.681537749616666</v>
      </c>
    </row>
    <row r="53" spans="1:8" s="18" customFormat="1" x14ac:dyDescent="0.2">
      <c r="A53" s="13" t="s">
        <v>44</v>
      </c>
      <c r="B53" s="14" t="s">
        <v>62</v>
      </c>
      <c r="C53" s="23">
        <f>SUMIFS('BAL N ARTHUR'!$H:$H,'BAL N ARTHUR'!$I:$I,$A53,'BAL N ARTHUR'!$J:$J,"T")</f>
        <v>1696</v>
      </c>
      <c r="D53" s="17">
        <f t="shared" si="11"/>
        <v>0.37145481856622298</v>
      </c>
      <c r="E53" s="16">
        <f>SUMIFS(DONNEESCUM_N1_NOUVEAU[MONTANT],DONNEESCUM_N1_NOUVEAU[TL2],A53,DONNEESCUM_N1_NOUVEAU[MOIS],DONNÉES!$C$5,DONNEESCUM_N1_NOUVEAU[SOCIETE],"ARTHUR")</f>
        <v>1210</v>
      </c>
      <c r="F53" s="17">
        <f t="shared" si="11"/>
        <v>0.29208830075555037</v>
      </c>
      <c r="G53" s="16">
        <f t="shared" si="12"/>
        <v>486</v>
      </c>
      <c r="H53" s="17">
        <f t="shared" si="13"/>
        <v>40.165289256198342</v>
      </c>
    </row>
    <row r="54" spans="1:8" s="18" customFormat="1" x14ac:dyDescent="0.2">
      <c r="A54" s="13" t="s">
        <v>45</v>
      </c>
      <c r="B54" s="14" t="s">
        <v>41</v>
      </c>
      <c r="C54" s="23">
        <f>SUMIFS('BAL N ARTHUR'!$H:$H,'BAL N ARTHUR'!$I:$I,$A54,'BAL N ARTHUR'!$J:$J,"T")</f>
        <v>2135.29</v>
      </c>
      <c r="D54" s="17">
        <f t="shared" si="11"/>
        <v>0.46766731104732912</v>
      </c>
      <c r="E54" s="16">
        <f>SUMIFS(DONNEESCUM_N1_NOUVEAU[MONTANT],DONNEESCUM_N1_NOUVEAU[TL2],A54,DONNEESCUM_N1_NOUVEAU[MOIS],DONNÉES!$C$5,DONNEESCUM_N1_NOUVEAU[SOCIETE],"ARTHUR")</f>
        <v>1883.9799999999998</v>
      </c>
      <c r="F54" s="17">
        <f t="shared" si="11"/>
        <v>0.45478389822929066</v>
      </c>
      <c r="G54" s="16">
        <f t="shared" si="12"/>
        <v>251.31000000000017</v>
      </c>
      <c r="H54" s="17">
        <f t="shared" si="13"/>
        <v>13.339313580823585</v>
      </c>
    </row>
    <row r="55" spans="1:8" s="18" customFormat="1" x14ac:dyDescent="0.2">
      <c r="A55" s="13" t="s">
        <v>47</v>
      </c>
      <c r="B55" s="14" t="s">
        <v>43</v>
      </c>
      <c r="C55" s="23">
        <f>SUMIFS('BAL N ARTHUR'!$H:$H,'BAL N ARTHUR'!$I:$I,$A55,'BAL N ARTHUR'!$J:$J,"T")</f>
        <v>4065.82</v>
      </c>
      <c r="D55" s="17">
        <f t="shared" si="11"/>
        <v>0.89048846133426918</v>
      </c>
      <c r="E55" s="16">
        <f>SUMIFS(DONNEESCUM_N1_NOUVEAU[MONTANT],DONNEESCUM_N1_NOUVEAU[TL2],A55,DONNEESCUM_N1_NOUVEAU[MOIS],DONNÉES!$C$5,DONNEESCUM_N1_NOUVEAU[SOCIETE],"ARTHUR")</f>
        <v>4259.12</v>
      </c>
      <c r="F55" s="17">
        <f t="shared" si="11"/>
        <v>1.0281315070363468</v>
      </c>
      <c r="G55" s="16">
        <f t="shared" si="12"/>
        <v>-193.29999999999973</v>
      </c>
      <c r="H55" s="17">
        <f t="shared" si="13"/>
        <v>-4.5384962151805945</v>
      </c>
    </row>
    <row r="56" spans="1:8" s="18" customFormat="1" x14ac:dyDescent="0.2">
      <c r="A56" s="13" t="s">
        <v>48</v>
      </c>
      <c r="B56" s="14" t="s">
        <v>46</v>
      </c>
      <c r="C56" s="23">
        <f>SUMIFS('BAL N ARTHUR'!$H:$H,'BAL N ARTHUR'!$I:$I,$A56,'BAL N ARTHUR'!$J:$J,"T")</f>
        <v>7700</v>
      </c>
      <c r="D56" s="17">
        <f t="shared" si="11"/>
        <v>1.6864399191980641</v>
      </c>
      <c r="E56" s="16">
        <f>SUMIFS(DONNEESCUM_N1_NOUVEAU[MONTANT],DONNEESCUM_N1_NOUVEAU[TL2],A56,DONNEESCUM_N1_NOUVEAU[MOIS],DONNÉES!$C$5,DONNEESCUM_N1_NOUVEAU[SOCIETE],"ARTHUR")</f>
        <v>10000</v>
      </c>
      <c r="F56" s="17">
        <f t="shared" si="11"/>
        <v>2.4139528988062016</v>
      </c>
      <c r="G56" s="16">
        <f t="shared" si="12"/>
        <v>-2300</v>
      </c>
      <c r="H56" s="17">
        <f t="shared" si="13"/>
        <v>-23</v>
      </c>
    </row>
    <row r="57" spans="1:8" s="18" customFormat="1" x14ac:dyDescent="0.2">
      <c r="A57" s="13" t="s">
        <v>50</v>
      </c>
      <c r="B57" s="14" t="s">
        <v>2990</v>
      </c>
      <c r="C57" s="23">
        <f>SUMIFS('BAL N ARTHUR'!$H:$H,'BAL N ARTHUR'!$I:$I,$A57,'BAL N ARTHUR'!$J:$J,"T")</f>
        <v>1020.5</v>
      </c>
      <c r="D57" s="17">
        <f t="shared" si="11"/>
        <v>0.2235080438365746</v>
      </c>
      <c r="E57" s="16">
        <f>SUMIFS(DONNEESCUM_N1_NOUVEAU[MONTANT],DONNEESCUM_N1_NOUVEAU[TL2],A57,DONNEESCUM_N1_NOUVEAU[MOIS],DONNÉES!$C$5,DONNEESCUM_N1_NOUVEAU[SOCIETE],"ARTHUR")</f>
        <v>1020.5</v>
      </c>
      <c r="F57" s="17">
        <f t="shared" si="11"/>
        <v>0.24634389332317286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ARTHUR'!$H:$H,'BAL N ARTHUR'!$I:$I,$A58,'BAL N ARTHUR'!$J:$J,"T")</f>
        <v>0</v>
      </c>
      <c r="D58" s="17">
        <f t="shared" si="11"/>
        <v>0</v>
      </c>
      <c r="E58" s="16">
        <f>SUMIFS(DONNEESCUM_N1_NOUVEAU[MONTANT],DONNEESCUM_N1_NOUVEAU[TL2],A58,DONNEESCUM_N1_NOUVEAU[MOIS],DONNÉES!$C$5,DONNEESCUM_N1_NOUVEAU[SOCIETE],"ARTHUR")</f>
        <v>35</v>
      </c>
      <c r="F58" s="17">
        <f t="shared" si="11"/>
        <v>8.4488351458217054E-3</v>
      </c>
      <c r="G58" s="16">
        <f t="shared" si="12"/>
        <v>-35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40067.100000000006</v>
      </c>
      <c r="D59" s="50">
        <f t="shared" si="11"/>
        <v>8.7754229722728265</v>
      </c>
      <c r="E59" s="51">
        <f>SUM(E51:E58)</f>
        <v>39219.009999999995</v>
      </c>
      <c r="F59" s="50">
        <f t="shared" si="11"/>
        <v>9.4672842877809398</v>
      </c>
      <c r="G59" s="51">
        <f>SUM(G51:G58)</f>
        <v>848.09000000000242</v>
      </c>
      <c r="H59" s="50">
        <f t="shared" si="13"/>
        <v>2.1624462218704719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291448.75</v>
      </c>
      <c r="D61" s="71">
        <f>(C61*100)/C$8</f>
        <v>63.832572259789195</v>
      </c>
      <c r="E61" s="72">
        <f>E59+E49+E42+E33+E26</f>
        <v>290253.67000000004</v>
      </c>
      <c r="F61" s="71">
        <f>(E61*100)/E$8</f>
        <v>70.065868808563863</v>
      </c>
      <c r="G61" s="72">
        <f>G59+G49+G42+G33+G26</f>
        <v>1195.0799999999972</v>
      </c>
      <c r="H61" s="71">
        <f>IF(E61=0,0,G61/E61*100)</f>
        <v>0.41173639596012584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ARTHUR'!$H:$H,'BAL N ARTHUR'!$I:$I,$A63,'BAL N ARTHUR'!$J:$J,"T")</f>
        <v>6808.18</v>
      </c>
      <c r="D63" s="17">
        <f t="shared" ref="D63:F65" si="14">(C63*100)/C$8</f>
        <v>1.4911151336475164</v>
      </c>
      <c r="E63" s="16">
        <f>-SUMIFS(DONNEESCUM_N1_NOUVEAU[MONTANT],DONNEESCUM_N1_NOUVEAU[TL2],A63,DONNEESCUM_N1_NOUVEAU[MOIS],DONNÉES!$C$5,DONNEESCUM_N1_NOUVEAU[SOCIETE],"ARTHUR")</f>
        <v>4658.5599999999995</v>
      </c>
      <c r="F63" s="17">
        <f t="shared" si="14"/>
        <v>1.1245544416262616</v>
      </c>
      <c r="G63" s="16">
        <f>+C63-E63</f>
        <v>2149.6200000000008</v>
      </c>
      <c r="H63" s="17">
        <f>IF(E63=0,0,G63/E63*100)</f>
        <v>46.143443467509293</v>
      </c>
    </row>
    <row r="64" spans="1:8" s="18" customFormat="1" x14ac:dyDescent="0.2">
      <c r="A64" s="13" t="s">
        <v>2992</v>
      </c>
      <c r="B64" s="68" t="s">
        <v>65</v>
      </c>
      <c r="C64" s="23">
        <f>SUMIFS('BAL N ARTHUR'!$H:$H,'BAL N ARTHUR'!$I:$I,$A64,'BAL N ARTHUR'!$J:$J,"T")</f>
        <v>6548.99</v>
      </c>
      <c r="D64" s="17">
        <f t="shared" si="14"/>
        <v>1.434347813821939</v>
      </c>
      <c r="E64" s="24">
        <f>SUMIFS(DONNEESCUM_N1_NOUVEAU[MONTANT],DONNEESCUM_N1_NOUVEAU[TL2],A64,DONNEESCUM_N1_NOUVEAU[MOIS],DONNÉES!$C$5,DONNEESCUM_N1_NOUVEAU[SOCIETE],"ARTHUR")</f>
        <v>4431.8</v>
      </c>
      <c r="F64" s="17">
        <f t="shared" si="14"/>
        <v>1.0698156456929324</v>
      </c>
      <c r="G64" s="16">
        <f>+C64-E64</f>
        <v>2117.1899999999996</v>
      </c>
      <c r="H64" s="17">
        <f>IF(E64=0,0,G64/E64*100)</f>
        <v>47.772688298208394</v>
      </c>
    </row>
    <row r="65" spans="1:9" s="59" customFormat="1" ht="13.5" x14ac:dyDescent="0.2">
      <c r="A65" s="13"/>
      <c r="B65" s="62" t="s">
        <v>53</v>
      </c>
      <c r="C65" s="67">
        <f>+C63-C64</f>
        <v>259.19000000000051</v>
      </c>
      <c r="D65" s="56">
        <f t="shared" si="14"/>
        <v>5.6767319825577547E-2</v>
      </c>
      <c r="E65" s="57">
        <f>+E63-E64</f>
        <v>226.75999999999931</v>
      </c>
      <c r="F65" s="56">
        <f t="shared" si="14"/>
        <v>5.4738795933329254E-2</v>
      </c>
      <c r="G65" s="58">
        <f>+G63-G64</f>
        <v>32.430000000001201</v>
      </c>
      <c r="H65" s="56">
        <f>IF(E65=0,0,G65/E65*100)</f>
        <v>14.301464103016977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ARTHUR'!$H:$H,'BAL N ARTHUR'!$I:$I,$A67,'BAL N ARTHUR'!$J:$J,"T")</f>
        <v>-18.14</v>
      </c>
      <c r="D67" s="17">
        <f>(C67*100)/C$8</f>
        <v>-3.9729896278250494E-3</v>
      </c>
      <c r="E67" s="16">
        <f>-SUMIFS(DONNEESCUM_N1_NOUVEAU[MONTANT],DONNEESCUM_N1_NOUVEAU[TL2],A67,DONNEESCUM_N1_NOUVEAU[MOIS],DONNÉES!$C$5,DONNEESCUM_N1_NOUVEAU[SOCIETE],"ARTHUR")</f>
        <v>-33.549999999999997</v>
      </c>
      <c r="F67" s="17">
        <f>(E67*100)/E$8</f>
        <v>-8.0988119754948039E-3</v>
      </c>
      <c r="G67" s="16">
        <f>+C67-E67</f>
        <v>15.409999999999997</v>
      </c>
      <c r="H67" s="17">
        <f>IF(E67=0,0,G67/E67*100)</f>
        <v>-45.931445603576741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47208.310000000012</v>
      </c>
      <c r="D69" s="10">
        <f>(C69*100)/C$8</f>
        <v>10.339477727516517</v>
      </c>
      <c r="E69" s="9">
        <f>E18-E61+E65+E67</f>
        <v>22010.559999999976</v>
      </c>
      <c r="F69" s="10">
        <f>(E69*100)/E$8</f>
        <v>5.3132455116347765</v>
      </c>
      <c r="G69" s="9">
        <f>G18-G61+G65+G67</f>
        <v>25197.750000000022</v>
      </c>
      <c r="H69" s="10">
        <f>IF(E69=0,0,G69/E69*100)</f>
        <v>114.48027673989233</v>
      </c>
    </row>
    <row r="70" spans="1:9" ht="13.5" thickBot="1" x14ac:dyDescent="0.25">
      <c r="A70" s="13"/>
      <c r="B70" s="63" t="s">
        <v>3034</v>
      </c>
      <c r="C70" s="49">
        <f>+C69-C67+C57+C56</f>
        <v>55946.950000000012</v>
      </c>
      <c r="D70" s="50">
        <f>(C70*100)/C$8</f>
        <v>12.25339868017898</v>
      </c>
      <c r="E70" s="49">
        <f>+E69-E67+E57+E56</f>
        <v>33064.609999999971</v>
      </c>
      <c r="F70" s="50">
        <f>(E70*100)/E$8</f>
        <v>7.9816411157396452</v>
      </c>
      <c r="G70" s="49">
        <f>+G69-G67+G57+G56</f>
        <v>22882.340000000022</v>
      </c>
      <c r="H70" s="50">
        <f>IF(E70=0,0,G70/E70*100)</f>
        <v>69.204929379176221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ARTHUR'!$H:$H,'BAL N ARTHUR'!$I:$I,$A72,'BAL N ARTHUR'!$J:$J,"T")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-SUMIFS(DONNEESCUM_N1_NOUVEAU[MONTANT],DONNEESCUM_N1_NOUVEAU[TL2],A72,DONNEESCUM_N1_NOUVEAU[MOIS],DONNÉES!$C$5,DONNEESCUM_N1_NOUVEAU[SOCIETE],"ARTHUR")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ARTHUR'!$H:$H,'BAL N ARTHUR'!$I:$I,$A74,'BAL N ARTHUR'!$J:$J,"T")</f>
        <v>29505</v>
      </c>
      <c r="D74" s="10">
        <f>(C74*100)/C$8</f>
        <v>6.4621311449271275</v>
      </c>
      <c r="E74" s="9">
        <f>SUMIFS(DONNEESCUM_N1_NOUVEAU[MONTANT],DONNEESCUM_N1_NOUVEAU[TL2],A74,DONNEESCUM_N1_NOUVEAU[MOIS],DONNÉES!$C$5,DONNEESCUM_N1_NOUVEAU[SOCIETE],"ARTHUR")</f>
        <v>24700</v>
      </c>
      <c r="F74" s="10">
        <f>(E74*100)/E$8</f>
        <v>5.9624636600513172</v>
      </c>
      <c r="G74" s="9">
        <f>+C74-E74</f>
        <v>4805</v>
      </c>
      <c r="H74" s="10">
        <f>IF(E74=0,0,G74/E74*100)</f>
        <v>19.453441295546558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17703.310000000012</v>
      </c>
      <c r="D76" s="71">
        <f>(C76*100)/C$8</f>
        <v>3.8773465825893898</v>
      </c>
      <c r="E76" s="72">
        <f>E69-E74+E72</f>
        <v>-2689.4400000000242</v>
      </c>
      <c r="F76" s="71">
        <f>(E76*100)/E$8</f>
        <v>-0.64921814841654091</v>
      </c>
      <c r="G76" s="72">
        <f>G69-G74+G72</f>
        <v>20392.750000000022</v>
      </c>
      <c r="H76" s="71">
        <f>IF(E76=0,0,G76/E76*100)</f>
        <v>-758.25264739127249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VLOOKUP(PARAMETRES!$C$2,DONNÉES!$CT$188:$CZ$199,2,FALSE)</f>
        <v>28852</v>
      </c>
      <c r="D78" s="324"/>
      <c r="E78" s="323"/>
      <c r="F78" s="324"/>
      <c r="G78" s="317"/>
      <c r="H78" s="318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VLOOKUP(PARAMETRES!$C$2,DONNÉES!$CT$284:$ZR$295,2,FALSE)</f>
        <v>16.260000000000002</v>
      </c>
      <c r="D80" s="316"/>
      <c r="E80" s="315"/>
      <c r="F80" s="316"/>
      <c r="G80" s="317"/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FC5B-934F-4188-8250-72CC98C77FD5}">
  <sheetPr>
    <tabColor rgb="FFFFC000"/>
    <pageSetUpPr fitToPage="1"/>
  </sheetPr>
  <dimension ref="A1:H1"/>
  <sheetViews>
    <sheetView showGridLines="0" view="pageBreakPreview" topLeftCell="A16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18F0-67EE-4299-851B-88155FE6C6A1}">
  <sheetPr>
    <tabColor rgb="FFFFC000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6972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HUGO'!$H:$H,'BAL N HUGO'!$I:$I,$A8,'BAL N HUGO'!$J:$J,"T")</f>
        <v>539353.96</v>
      </c>
      <c r="D8" s="71">
        <f>(C8*100)/C$8</f>
        <v>100</v>
      </c>
      <c r="E8" s="72">
        <f>-SUMIFS(DONNEESCUM_N1_NOUVEAU[MONTANT],DONNEESCUM_N1_NOUVEAU[TL2],A8,DONNEESCUM_N1_NOUVEAU[MOIS],DONNÉES!$C$5,DONNEESCUM_N1_NOUVEAU[SOCIETE],"HUGO")</f>
        <v>507935.03</v>
      </c>
      <c r="F8" s="71">
        <f>(E8*100)/E$8</f>
        <v>100</v>
      </c>
      <c r="G8" s="72">
        <f>+C8-E8</f>
        <v>31418.929999999935</v>
      </c>
      <c r="H8" s="71">
        <f>IF(E8=0,0,G8/E8*100)</f>
        <v>6.1856198419707207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HUGO'!$H:$H,'BAL N HUGO'!$I:$I,$A10,'BAL N HUGO'!$J:$J,"T")</f>
        <v>122091.34</v>
      </c>
      <c r="D10" s="17">
        <f t="shared" ref="D10:F16" si="0">(C10*100)/C$8</f>
        <v>22.636589151955054</v>
      </c>
      <c r="E10" s="16">
        <f>SUMIFS(DONNEESCUM_N1_NOUVEAU[MONTANT],DONNEESCUM_N1_NOUVEAU[TL2],A10,DONNEESCUM_N1_NOUVEAU[MOIS],DONNÉES!$C$5,DONNEESCUM_N1_NOUVEAU[SOCIETE],"HUGO")</f>
        <v>113230.04000000001</v>
      </c>
      <c r="F10" s="17">
        <f t="shared" si="0"/>
        <v>22.292228988420032</v>
      </c>
      <c r="G10" s="16">
        <f>+C10-E10</f>
        <v>8861.2999999999884</v>
      </c>
      <c r="H10" s="17">
        <f t="shared" ref="H10:H16" si="1">IF(E10=0,0,G10/E10*100)</f>
        <v>7.8259267593652604</v>
      </c>
    </row>
    <row r="11" spans="1:8" s="18" customFormat="1" x14ac:dyDescent="0.2">
      <c r="A11" s="13" t="s">
        <v>124</v>
      </c>
      <c r="B11" s="14" t="s">
        <v>4</v>
      </c>
      <c r="C11" s="23">
        <f>SUMIFS('BAL N HUGO'!$H:$H,'BAL N HUGO'!$I:$I,$A11,'BAL N HUGO'!$J:$J,"T")</f>
        <v>1881.18</v>
      </c>
      <c r="D11" s="17">
        <f t="shared" si="0"/>
        <v>0.34878394143986635</v>
      </c>
      <c r="E11" s="16">
        <f>SUMIFS(DONNEESCUM_N1_NOUVEAU[MONTANT],DONNEESCUM_N1_NOUVEAU[TL2],A11,DONNEESCUM_N1_NOUVEAU[MOIS],DONNÉES!$C$5,DONNEESCUM_N1_NOUVEAU[SOCIETE],"HUGO")</f>
        <v>2216.9899999999998</v>
      </c>
      <c r="F11" s="17">
        <f t="shared" si="0"/>
        <v>0.43647117624472553</v>
      </c>
      <c r="G11" s="16">
        <f>+C11-E11</f>
        <v>-335.80999999999972</v>
      </c>
      <c r="H11" s="17">
        <f t="shared" si="1"/>
        <v>-15.147113879629575</v>
      </c>
    </row>
    <row r="12" spans="1:8" s="18" customFormat="1" x14ac:dyDescent="0.2">
      <c r="A12" s="13" t="s">
        <v>125</v>
      </c>
      <c r="B12" s="14" t="s">
        <v>2</v>
      </c>
      <c r="C12" s="23">
        <f>SUMIFS('BAL N HUGO'!$H:$H,'BAL N HUGO'!$I:$I,$A12,'BAL N HUGO'!$J:$J,"T")</f>
        <v>3908.97</v>
      </c>
      <c r="D12" s="17">
        <f t="shared" si="0"/>
        <v>0.72475040324168571</v>
      </c>
      <c r="E12" s="16">
        <f>SUMIFS(DONNEESCUM_N1_NOUVEAU[MONTANT],DONNEESCUM_N1_NOUVEAU[TL2],A12,DONNEESCUM_N1_NOUVEAU[MOIS],DONNÉES!$C$5,DONNEESCUM_N1_NOUVEAU[SOCIETE],"HUGO")</f>
        <v>4094.03</v>
      </c>
      <c r="F12" s="17">
        <f t="shared" si="0"/>
        <v>0.80601450150031984</v>
      </c>
      <c r="G12" s="16">
        <f>+C12-E12</f>
        <v>-185.0600000000004</v>
      </c>
      <c r="H12" s="17">
        <f t="shared" si="1"/>
        <v>-4.5202404476762599</v>
      </c>
    </row>
    <row r="13" spans="1:8" s="59" customFormat="1" ht="13.5" x14ac:dyDescent="0.2">
      <c r="A13" s="60"/>
      <c r="B13" s="62" t="s">
        <v>6</v>
      </c>
      <c r="C13" s="55">
        <f>SUM(C10:C12)</f>
        <v>127881.48999999999</v>
      </c>
      <c r="D13" s="56">
        <f t="shared" si="0"/>
        <v>23.710123496636609</v>
      </c>
      <c r="E13" s="55">
        <f>SUM(E10:E12)</f>
        <v>119541.06000000001</v>
      </c>
      <c r="F13" s="56">
        <f t="shared" si="0"/>
        <v>23.534714666165083</v>
      </c>
      <c r="G13" s="55">
        <f>SUM(G10:G12)</f>
        <v>8340.4299999999894</v>
      </c>
      <c r="H13" s="56">
        <f t="shared" si="1"/>
        <v>6.9770420305792742</v>
      </c>
    </row>
    <row r="14" spans="1:8" s="18" customFormat="1" x14ac:dyDescent="0.2">
      <c r="A14" s="13" t="s">
        <v>126</v>
      </c>
      <c r="B14" s="14" t="s">
        <v>8</v>
      </c>
      <c r="C14" s="23">
        <f>SUMIFS('BAL N HUGO'!$H:$H,'BAL N HUGO'!$I:$I,$A14,'BAL N HUGO'!$J:$J,"T")</f>
        <v>12190.04</v>
      </c>
      <c r="D14" s="17">
        <f t="shared" si="0"/>
        <v>2.2601187539255299</v>
      </c>
      <c r="E14" s="16">
        <f>SUMIFS(DONNEESCUM_N1_NOUVEAU[MONTANT],DONNEESCUM_N1_NOUVEAU[TL2],A14,DONNEESCUM_N1_NOUVEAU[MOIS],DONNÉES!$C$5,DONNEESCUM_N1_NOUVEAU[SOCIETE],"HUGO")</f>
        <v>10792.77</v>
      </c>
      <c r="F14" s="17">
        <f t="shared" si="0"/>
        <v>2.1248327763493688</v>
      </c>
      <c r="G14" s="16">
        <f>+C14-E14</f>
        <v>1397.2700000000004</v>
      </c>
      <c r="H14" s="17">
        <f t="shared" si="1"/>
        <v>12.946352048639973</v>
      </c>
    </row>
    <row r="15" spans="1:8" s="18" customFormat="1" x14ac:dyDescent="0.2">
      <c r="A15" s="13" t="s">
        <v>2964</v>
      </c>
      <c r="B15" s="14" t="s">
        <v>2965</v>
      </c>
      <c r="C15" s="23">
        <f>SUMIFS('BAL N HUGO'!$H:$H,'BAL N HUGO'!$I:$I,$A15,'BAL N HUGO'!$J:$J,"T")</f>
        <v>156</v>
      </c>
      <c r="D15" s="17">
        <f t="shared" si="0"/>
        <v>2.8923492097842392E-2</v>
      </c>
      <c r="E15" s="16">
        <f>SUMIFS(DONNEESCUM_N1_NOUVEAU[MONTANT],DONNEESCUM_N1_NOUVEAU[TL2],A15,DONNEESCUM_N1_NOUVEAU[MOIS],DONNÉES!$C$5,DONNEESCUM_N1_NOUVEAU[SOCIETE],"HUGO")</f>
        <v>1048.92</v>
      </c>
      <c r="F15" s="17">
        <f t="shared" si="0"/>
        <v>0.20650672587003893</v>
      </c>
      <c r="G15" s="16">
        <f>+C15-E15</f>
        <v>-892.92000000000007</v>
      </c>
      <c r="H15" s="17">
        <f t="shared" si="1"/>
        <v>-85.12755977576937</v>
      </c>
    </row>
    <row r="16" spans="1:8" ht="13.5" thickBot="1" x14ac:dyDescent="0.25">
      <c r="A16" s="7"/>
      <c r="B16" s="63" t="s">
        <v>10</v>
      </c>
      <c r="C16" s="49">
        <f>+C13+SUM(C14:C15)</f>
        <v>140227.53</v>
      </c>
      <c r="D16" s="50">
        <f t="shared" si="0"/>
        <v>25.999165742659979</v>
      </c>
      <c r="E16" s="49">
        <f>+E13+SUM(E14:E15)</f>
        <v>131382.75</v>
      </c>
      <c r="F16" s="50">
        <f t="shared" si="0"/>
        <v>25.866054168384487</v>
      </c>
      <c r="G16" s="49">
        <f>+G13+SUM(G14:G15)</f>
        <v>8844.7799999999897</v>
      </c>
      <c r="H16" s="50">
        <f t="shared" si="1"/>
        <v>6.7320709910547532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399126.42999999993</v>
      </c>
      <c r="D18" s="71">
        <f>(C18*100)/C$8</f>
        <v>74.000834257340017</v>
      </c>
      <c r="E18" s="70">
        <f>E8-E16</f>
        <v>376552.28</v>
      </c>
      <c r="F18" s="71">
        <f>(E18*100)/E$8</f>
        <v>74.133945831615506</v>
      </c>
      <c r="G18" s="70">
        <f>G8-G16</f>
        <v>22574.149999999943</v>
      </c>
      <c r="H18" s="71">
        <f>IF(E18=0,0,G18/E18*100)</f>
        <v>5.9949577253920605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HUGO'!$H:$H,'BAL N HUGO'!$I:$I,$A20,'BAL N HUGO'!$J:$J,"T")</f>
        <v>72086.84</v>
      </c>
      <c r="D20" s="17">
        <f t="shared" ref="D20:F26" si="2">(C20*100)/C$8</f>
        <v>13.365404789092493</v>
      </c>
      <c r="E20" s="16">
        <f>SUMIFS(DONNEESCUM_N1_NOUVEAU[MONTANT],DONNEESCUM_N1_NOUVEAU[TL2],A20,DONNEESCUM_N1_NOUVEAU[MOIS],DONNÉES!$C$5,DONNEESCUM_N1_NOUVEAU[SOCIETE],"HUGO")</f>
        <v>70920.37000000001</v>
      </c>
      <c r="F20" s="17">
        <f t="shared" si="2"/>
        <v>13.962488470228172</v>
      </c>
      <c r="G20" s="16">
        <f t="shared" ref="G20:G25" si="3">+C20-E20</f>
        <v>1166.4699999999866</v>
      </c>
      <c r="H20" s="17">
        <f t="shared" ref="H20:H26" si="4">IF(E20=0,0,G20/E20*100)</f>
        <v>1.6447601725709926</v>
      </c>
    </row>
    <row r="21" spans="1:8" s="18" customFormat="1" x14ac:dyDescent="0.2">
      <c r="A21" s="13">
        <v>9</v>
      </c>
      <c r="B21" s="14" t="s">
        <v>2968</v>
      </c>
      <c r="C21" s="23">
        <f>SUMIFS('BAL N HUGO'!$H:$H,'BAL N HUGO'!$I:$I,$A21,'BAL N HUGO'!$J:$J,"T")</f>
        <v>10795.29</v>
      </c>
      <c r="D21" s="17">
        <f t="shared" si="2"/>
        <v>2.0015223398007498</v>
      </c>
      <c r="E21" s="16">
        <f>SUMIFS(DONNEESCUM_N1_NOUVEAU[MONTANT],DONNEESCUM_N1_NOUVEAU[TL2],A21,DONNEESCUM_N1_NOUVEAU[MOIS],DONNÉES!$C$5,DONNEESCUM_N1_NOUVEAU[SOCIETE],"HUGO")</f>
        <v>14430.77</v>
      </c>
      <c r="F21" s="17">
        <f t="shared" si="2"/>
        <v>2.8410661103645478</v>
      </c>
      <c r="G21" s="16">
        <f t="shared" si="3"/>
        <v>-3635.4799999999996</v>
      </c>
      <c r="H21" s="17">
        <f t="shared" si="4"/>
        <v>-25.192557292507605</v>
      </c>
    </row>
    <row r="22" spans="1:8" s="18" customFormat="1" x14ac:dyDescent="0.2">
      <c r="A22" s="13" t="s">
        <v>12</v>
      </c>
      <c r="B22" s="14" t="s">
        <v>14</v>
      </c>
      <c r="C22" s="23">
        <f>SUMIFS('BAL N HUGO'!$H:$H,'BAL N HUGO'!$I:$I,$A22,'BAL N HUGO'!$J:$J,"T")</f>
        <v>24772.49</v>
      </c>
      <c r="D22" s="17">
        <f t="shared" si="2"/>
        <v>4.5929930689671776</v>
      </c>
      <c r="E22" s="16">
        <f>SUMIFS(DONNEESCUM_N1_NOUVEAU[MONTANT],DONNEESCUM_N1_NOUVEAU[TL2],A22,DONNEESCUM_N1_NOUVEAU[MOIS],DONNÉES!$C$5,DONNEESCUM_N1_NOUVEAU[SOCIETE],"HUGO")</f>
        <v>29840.020000000004</v>
      </c>
      <c r="F22" s="17">
        <f t="shared" si="2"/>
        <v>5.8747710312478354</v>
      </c>
      <c r="G22" s="16">
        <f t="shared" si="3"/>
        <v>-5067.5300000000025</v>
      </c>
      <c r="H22" s="17">
        <f t="shared" si="4"/>
        <v>-16.98232775983395</v>
      </c>
    </row>
    <row r="23" spans="1:8" s="18" customFormat="1" x14ac:dyDescent="0.2">
      <c r="A23" s="13" t="s">
        <v>13</v>
      </c>
      <c r="B23" s="14" t="s">
        <v>2966</v>
      </c>
      <c r="C23" s="23">
        <f>SUMIFS('BAL N HUGO'!$H:$H,'BAL N HUGO'!$I:$I,$A23,'BAL N HUGO'!$J:$J,"T")</f>
        <v>7984.86</v>
      </c>
      <c r="D23" s="17">
        <f t="shared" si="2"/>
        <v>1.4804489430280627</v>
      </c>
      <c r="E23" s="16">
        <f>SUMIFS(DONNEESCUM_N1_NOUVEAU[MONTANT],DONNEESCUM_N1_NOUVEAU[TL2],A23,DONNEESCUM_N1_NOUVEAU[MOIS],DONNÉES!$C$5,DONNEESCUM_N1_NOUVEAU[SOCIETE],"HUGO")</f>
        <v>9374.25</v>
      </c>
      <c r="F23" s="17">
        <f t="shared" si="2"/>
        <v>1.8455608387553029</v>
      </c>
      <c r="G23" s="16">
        <f t="shared" si="3"/>
        <v>-1389.3900000000003</v>
      </c>
      <c r="H23" s="17">
        <f t="shared" si="4"/>
        <v>-14.821345707656617</v>
      </c>
    </row>
    <row r="24" spans="1:8" s="18" customFormat="1" x14ac:dyDescent="0.2">
      <c r="A24" s="13" t="s">
        <v>15</v>
      </c>
      <c r="B24" s="14" t="s">
        <v>2969</v>
      </c>
      <c r="C24" s="23">
        <f>SUMIFS('BAL N HUGO'!$H:$H,'BAL N HUGO'!$I:$I,$A24,'BAL N HUGO'!$J:$J,"T")</f>
        <v>-500</v>
      </c>
      <c r="D24" s="17">
        <f t="shared" si="2"/>
        <v>-9.2703500313597406E-2</v>
      </c>
      <c r="E24" s="16">
        <f>SUMIFS(DONNEESCUM_N1_NOUVEAU[MONTANT],DONNEESCUM_N1_NOUVEAU[TL2],A24,DONNEESCUM_N1_NOUVEAU[MOIS],DONNÉES!$C$5,DONNEESCUM_N1_NOUVEAU[SOCIETE],"HUGO")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HUGO'!$H:$H,'BAL N HUGO'!$I:$I,$A25,'BAL N HUGO'!$J:$J,"T")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SUMIFS(DONNEESCUM_N1_NOUVEAU[MONTANT],DONNEESCUM_N1_NOUVEAU[TL2],A25,DONNEESCUM_N1_NOUVEAU[MOIS],DONNÉES!$C$5,DONNEESCUM_N1_NOUVEAU[SOCIETE],"HUGO")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115139.48000000001</v>
      </c>
      <c r="D26" s="50">
        <f t="shared" si="2"/>
        <v>21.347665640574888</v>
      </c>
      <c r="E26" s="51">
        <f>SUM(E20:E25)</f>
        <v>124565.41000000002</v>
      </c>
      <c r="F26" s="50">
        <f t="shared" si="2"/>
        <v>24.52388645059586</v>
      </c>
      <c r="G26" s="51">
        <f>SUM(G20:G25)</f>
        <v>-9425.9300000000148</v>
      </c>
      <c r="H26" s="50">
        <f t="shared" si="4"/>
        <v>-7.5670525228472441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HUGO'!$H:$H,'BAL N HUGO'!$I:$I,$A28,'BAL N HUGO'!$J:$J,"T")</f>
        <v>10141.41</v>
      </c>
      <c r="D28" s="17">
        <f t="shared" ref="D28:F33" si="5">(C28*100)/C$8</f>
        <v>1.8802884102306399</v>
      </c>
      <c r="E28" s="16">
        <f>SUMIFS(DONNEESCUM_N1_NOUVEAU[MONTANT],DONNEESCUM_N1_NOUVEAU[TL2],A28,DONNEESCUM_N1_NOUVEAU[MOIS],DONNÉES!$C$5,DONNEESCUM_N1_NOUVEAU[SOCIETE],"HUGO")</f>
        <v>7897.04</v>
      </c>
      <c r="F28" s="17">
        <f t="shared" si="5"/>
        <v>1.5547342737908822</v>
      </c>
      <c r="G28" s="16">
        <f>+C28-E28</f>
        <v>2244.37</v>
      </c>
      <c r="H28" s="17">
        <f t="shared" ref="H28:H33" si="6">IF(E28=0,0,G28/E28*100)</f>
        <v>28.42039548995573</v>
      </c>
    </row>
    <row r="29" spans="1:8" s="18" customFormat="1" x14ac:dyDescent="0.2">
      <c r="A29" s="13" t="s">
        <v>20</v>
      </c>
      <c r="B29" s="14" t="s">
        <v>2972</v>
      </c>
      <c r="C29" s="23">
        <f>SUMIFS('BAL N HUGO'!$H:$H,'BAL N HUGO'!$I:$I,$A29,'BAL N HUGO'!$J:$J,"T")</f>
        <v>29.17</v>
      </c>
      <c r="D29" s="17">
        <f t="shared" si="5"/>
        <v>5.4083222082952727E-3</v>
      </c>
      <c r="E29" s="16">
        <f>SUMIFS(DONNEESCUM_N1_NOUVEAU[MONTANT],DONNEESCUM_N1_NOUVEAU[TL2],A29,DONNEESCUM_N1_NOUVEAU[MOIS],DONNÉES!$C$5,DONNEESCUM_N1_NOUVEAU[SOCIETE],"HUGO")</f>
        <v>97.39</v>
      </c>
      <c r="F29" s="17">
        <f t="shared" si="5"/>
        <v>1.9173712039510248E-2</v>
      </c>
      <c r="G29" s="16">
        <f>+C29-E29</f>
        <v>-68.22</v>
      </c>
      <c r="H29" s="17">
        <f t="shared" si="6"/>
        <v>-70.048259574905018</v>
      </c>
    </row>
    <row r="30" spans="1:8" s="18" customFormat="1" x14ac:dyDescent="0.2">
      <c r="A30" s="13" t="s">
        <v>21</v>
      </c>
      <c r="B30" s="14" t="s">
        <v>2973</v>
      </c>
      <c r="C30" s="23">
        <f>SUMIFS('BAL N HUGO'!$H:$H,'BAL N HUGO'!$I:$I,$A30,'BAL N HUGO'!$J:$J,"T")</f>
        <v>4985.45</v>
      </c>
      <c r="D30" s="17">
        <f t="shared" si="5"/>
        <v>0.92433733127684836</v>
      </c>
      <c r="E30" s="16">
        <f>SUMIFS(DONNEESCUM_N1_NOUVEAU[MONTANT],DONNEESCUM_N1_NOUVEAU[TL2],A30,DONNEESCUM_N1_NOUVEAU[MOIS],DONNÉES!$C$5,DONNEESCUM_N1_NOUVEAU[SOCIETE],"HUGO")</f>
        <v>3016.4500000000003</v>
      </c>
      <c r="F30" s="17">
        <f t="shared" si="5"/>
        <v>0.59386532171250328</v>
      </c>
      <c r="G30" s="16">
        <f>+C30-E30</f>
        <v>1968.9999999999995</v>
      </c>
      <c r="H30" s="17">
        <f t="shared" si="6"/>
        <v>65.275406520910323</v>
      </c>
    </row>
    <row r="31" spans="1:8" s="18" customFormat="1" x14ac:dyDescent="0.2">
      <c r="A31" s="13" t="s">
        <v>23</v>
      </c>
      <c r="B31" s="14" t="s">
        <v>2974</v>
      </c>
      <c r="C31" s="23">
        <f>SUMIFS('BAL N HUGO'!$H:$H,'BAL N HUGO'!$I:$I,$A31,'BAL N HUGO'!$J:$J,"T")</f>
        <v>6110.32</v>
      </c>
      <c r="D31" s="17">
        <f t="shared" si="5"/>
        <v>1.1328961040723611</v>
      </c>
      <c r="E31" s="16">
        <f>SUMIFS(DONNEESCUM_N1_NOUVEAU[MONTANT],DONNEESCUM_N1_NOUVEAU[TL2],A31,DONNEESCUM_N1_NOUVEAU[MOIS],DONNÉES!$C$5,DONNEESCUM_N1_NOUVEAU[SOCIETE],"HUGO")</f>
        <v>4476.46</v>
      </c>
      <c r="F31" s="17">
        <f t="shared" si="5"/>
        <v>0.88130562682396596</v>
      </c>
      <c r="G31" s="16">
        <f>+C31-E31</f>
        <v>1633.8599999999997</v>
      </c>
      <c r="H31" s="17">
        <f t="shared" si="6"/>
        <v>36.498929958047199</v>
      </c>
    </row>
    <row r="32" spans="1:8" s="18" customFormat="1" x14ac:dyDescent="0.2">
      <c r="A32" s="13" t="s">
        <v>25</v>
      </c>
      <c r="B32" s="14" t="s">
        <v>2975</v>
      </c>
      <c r="C32" s="23">
        <f>SUMIFS('BAL N HUGO'!$H:$H,'BAL N HUGO'!$I:$I,$A32,'BAL N HUGO'!$J:$J,"T")</f>
        <v>6597.48</v>
      </c>
      <c r="D32" s="17">
        <f t="shared" si="5"/>
        <v>1.2232189784979053</v>
      </c>
      <c r="E32" s="16">
        <f>SUMIFS(DONNEESCUM_N1_NOUVEAU[MONTANT],DONNEESCUM_N1_NOUVEAU[TL2],A32,DONNEESCUM_N1_NOUVEAU[MOIS],DONNÉES!$C$5,DONNEESCUM_N1_NOUVEAU[SOCIETE],"HUGO")</f>
        <v>5729.57</v>
      </c>
      <c r="F32" s="17">
        <f t="shared" si="5"/>
        <v>1.1280123759135099</v>
      </c>
      <c r="G32" s="16">
        <f>+C32-E32</f>
        <v>867.90999999999985</v>
      </c>
      <c r="H32" s="17">
        <f t="shared" si="6"/>
        <v>15.147908132721998</v>
      </c>
    </row>
    <row r="33" spans="1:8" ht="13.5" thickBot="1" x14ac:dyDescent="0.25">
      <c r="A33" s="7"/>
      <c r="B33" s="63" t="s">
        <v>2976</v>
      </c>
      <c r="C33" s="49">
        <f>SUM(C28:C32)</f>
        <v>27863.829999999998</v>
      </c>
      <c r="D33" s="50">
        <f t="shared" si="5"/>
        <v>5.1661491462860498</v>
      </c>
      <c r="E33" s="51">
        <f>SUM(E28:E32)</f>
        <v>21216.91</v>
      </c>
      <c r="F33" s="50">
        <f t="shared" si="5"/>
        <v>4.1770913102803719</v>
      </c>
      <c r="G33" s="51">
        <f>SUM(G28:G32)</f>
        <v>6646.9199999999992</v>
      </c>
      <c r="H33" s="50">
        <f t="shared" si="6"/>
        <v>31.328407388257755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HUGO'!$H:$H,'BAL N HUGO'!$I:$I,$A35,'BAL N HUGO'!$J:$J,"T")</f>
        <v>6824.05</v>
      </c>
      <c r="D35" s="17">
        <f t="shared" ref="D35:F42" si="7">(C35*100)/C$8</f>
        <v>1.2652266426300087</v>
      </c>
      <c r="E35" s="16">
        <f>SUMIFS(DONNEESCUM_N1_NOUVEAU[MONTANT],DONNEESCUM_N1_NOUVEAU[TL2],A35,DONNEESCUM_N1_NOUVEAU[MOIS],DONNÉES!$C$5,DONNEESCUM_N1_NOUVEAU[SOCIETE],"HUGO")</f>
        <v>0</v>
      </c>
      <c r="F35" s="17">
        <f t="shared" si="7"/>
        <v>0</v>
      </c>
      <c r="G35" s="16">
        <f t="shared" ref="G35:G41" si="8">+C35-E35</f>
        <v>6824.05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HUGO'!$H:$H,'BAL N HUGO'!$I:$I,$A36,'BAL N HUGO'!$J:$J,"T")</f>
        <v>21734.36</v>
      </c>
      <c r="D36" s="17">
        <f t="shared" si="7"/>
        <v>4.0297024981516776</v>
      </c>
      <c r="E36" s="16">
        <f>SUMIFS(DONNEESCUM_N1_NOUVEAU[MONTANT],DONNEESCUM_N1_NOUVEAU[TL2],A36,DONNEESCUM_N1_NOUVEAU[MOIS],DONNÉES!$C$5,DONNEESCUM_N1_NOUVEAU[SOCIETE],"HUGO")</f>
        <v>20357.689999999999</v>
      </c>
      <c r="F36" s="17">
        <f t="shared" si="7"/>
        <v>4.0079318805792932</v>
      </c>
      <c r="G36" s="16">
        <f t="shared" si="8"/>
        <v>1376.6700000000019</v>
      </c>
      <c r="H36" s="17">
        <f t="shared" si="9"/>
        <v>6.7624077191469265</v>
      </c>
    </row>
    <row r="37" spans="1:8" s="18" customFormat="1" x14ac:dyDescent="0.2">
      <c r="A37" s="13" t="s">
        <v>32</v>
      </c>
      <c r="B37" s="14" t="s">
        <v>19</v>
      </c>
      <c r="C37" s="23">
        <f>SUMIFS('BAL N HUGO'!$H:$H,'BAL N HUGO'!$I:$I,$A37,'BAL N HUGO'!$J:$J,"T")</f>
        <v>9017.35</v>
      </c>
      <c r="D37" s="17">
        <f t="shared" si="7"/>
        <v>1.6718798171056353</v>
      </c>
      <c r="E37" s="16">
        <f>SUMIFS(DONNEESCUM_N1_NOUVEAU[MONTANT],DONNEESCUM_N1_NOUVEAU[TL2],A37,DONNEESCUM_N1_NOUVEAU[MOIS],DONNÉES!$C$5,DONNEESCUM_N1_NOUVEAU[SOCIETE],"HUGO")</f>
        <v>6179.51</v>
      </c>
      <c r="F37" s="17">
        <f t="shared" si="7"/>
        <v>1.2165945711600161</v>
      </c>
      <c r="G37" s="16">
        <f t="shared" si="8"/>
        <v>2837.84</v>
      </c>
      <c r="H37" s="17">
        <f t="shared" si="9"/>
        <v>45.923382274646372</v>
      </c>
    </row>
    <row r="38" spans="1:8" s="18" customFormat="1" x14ac:dyDescent="0.2">
      <c r="A38" s="13" t="s">
        <v>34</v>
      </c>
      <c r="B38" s="14" t="s">
        <v>28</v>
      </c>
      <c r="C38" s="23">
        <f>SUMIFS('BAL N HUGO'!$H:$H,'BAL N HUGO'!$I:$I,$A38,'BAL N HUGO'!$J:$J,"T")</f>
        <v>10901.88</v>
      </c>
      <c r="D38" s="17">
        <f t="shared" si="7"/>
        <v>2.0212848719976027</v>
      </c>
      <c r="E38" s="16">
        <f>SUMIFS(DONNEESCUM_N1_NOUVEAU[MONTANT],DONNEESCUM_N1_NOUVEAU[TL2],A38,DONNEESCUM_N1_NOUVEAU[MOIS],DONNÉES!$C$5,DONNEESCUM_N1_NOUVEAU[SOCIETE],"HUGO")</f>
        <v>23402.48</v>
      </c>
      <c r="F38" s="17">
        <f t="shared" si="7"/>
        <v>4.6073766560262639</v>
      </c>
      <c r="G38" s="16">
        <f t="shared" si="8"/>
        <v>-12500.6</v>
      </c>
      <c r="H38" s="17">
        <f t="shared" si="9"/>
        <v>-53.415706369581351</v>
      </c>
    </row>
    <row r="39" spans="1:8" s="18" customFormat="1" x14ac:dyDescent="0.2">
      <c r="A39" s="13" t="s">
        <v>2978</v>
      </c>
      <c r="B39" s="14" t="s">
        <v>2980</v>
      </c>
      <c r="C39" s="23">
        <f>SUMIFS('BAL N HUGO'!$H:$H,'BAL N HUGO'!$I:$I,$A39,'BAL N HUGO'!$J:$J,"T")</f>
        <v>4597.1000000000004</v>
      </c>
      <c r="D39" s="17">
        <f t="shared" si="7"/>
        <v>0.85233452258327735</v>
      </c>
      <c r="E39" s="16">
        <f>SUMIFS(DONNEESCUM_N1_NOUVEAU[MONTANT],DONNEESCUM_N1_NOUVEAU[TL2],A39,DONNEESCUM_N1_NOUVEAU[MOIS],DONNÉES!$C$5,DONNEESCUM_N1_NOUVEAU[SOCIETE],"HUGO")</f>
        <v>6101.05</v>
      </c>
      <c r="F39" s="17">
        <f t="shared" si="7"/>
        <v>1.2011477137144881</v>
      </c>
      <c r="G39" s="16">
        <f t="shared" si="8"/>
        <v>-1503.9499999999998</v>
      </c>
      <c r="H39" s="17">
        <f t="shared" si="9"/>
        <v>-24.650674883831467</v>
      </c>
    </row>
    <row r="40" spans="1:8" s="18" customFormat="1" x14ac:dyDescent="0.2">
      <c r="A40" s="13" t="s">
        <v>2979</v>
      </c>
      <c r="B40" s="14" t="s">
        <v>2981</v>
      </c>
      <c r="C40" s="23">
        <f>SUMIFS('BAL N HUGO'!$H:$H,'BAL N HUGO'!$I:$I,$A40,'BAL N HUGO'!$J:$J,"T")</f>
        <v>383.32</v>
      </c>
      <c r="D40" s="17">
        <f t="shared" si="7"/>
        <v>7.1070211480416312E-2</v>
      </c>
      <c r="E40" s="16">
        <f>SUMIFS(DONNEESCUM_N1_NOUVEAU[MONTANT],DONNEESCUM_N1_NOUVEAU[TL2],A40,DONNEESCUM_N1_NOUVEAU[MOIS],DONNÉES!$C$5,DONNEESCUM_N1_NOUVEAU[SOCIETE],"HUGO")</f>
        <v>800.03</v>
      </c>
      <c r="F40" s="17">
        <f t="shared" si="7"/>
        <v>0.15750636454430009</v>
      </c>
      <c r="G40" s="16">
        <f t="shared" si="8"/>
        <v>-416.71</v>
      </c>
      <c r="H40" s="17">
        <f t="shared" si="9"/>
        <v>-52.086796745122058</v>
      </c>
    </row>
    <row r="41" spans="1:8" s="18" customFormat="1" x14ac:dyDescent="0.2">
      <c r="A41" s="13" t="s">
        <v>2982</v>
      </c>
      <c r="B41" s="14" t="s">
        <v>2983</v>
      </c>
      <c r="C41" s="23">
        <f>SUMIFS('BAL N HUGO'!$H:$H,'BAL N HUGO'!$I:$I,$A41,'BAL N HUGO'!$J:$J,"T")</f>
        <v>370.35</v>
      </c>
      <c r="D41" s="17">
        <f t="shared" si="7"/>
        <v>6.8665482682281606E-2</v>
      </c>
      <c r="E41" s="16">
        <f>SUMIFS(DONNEESCUM_N1_NOUVEAU[MONTANT],DONNEESCUM_N1_NOUVEAU[TL2],A41,DONNEESCUM_N1_NOUVEAU[MOIS],DONNÉES!$C$5,DONNEESCUM_N1_NOUVEAU[SOCIETE],"HUGO")</f>
        <v>1421.3</v>
      </c>
      <c r="F41" s="17">
        <f t="shared" si="7"/>
        <v>0.2798192516865789</v>
      </c>
      <c r="G41" s="16">
        <f t="shared" si="8"/>
        <v>-1050.9499999999998</v>
      </c>
      <c r="H41" s="17">
        <f t="shared" si="9"/>
        <v>-73.942869204249618</v>
      </c>
    </row>
    <row r="42" spans="1:8" ht="13.5" thickBot="1" x14ac:dyDescent="0.25">
      <c r="A42" s="13"/>
      <c r="B42" s="63" t="s">
        <v>2984</v>
      </c>
      <c r="C42" s="49">
        <f>+SUM(C35:C41)</f>
        <v>53828.409999999996</v>
      </c>
      <c r="D42" s="50">
        <f t="shared" si="7"/>
        <v>9.9801640466309003</v>
      </c>
      <c r="E42" s="51">
        <f>+SUM(E35:E41)</f>
        <v>58262.06</v>
      </c>
      <c r="F42" s="50">
        <f t="shared" si="7"/>
        <v>11.470376437710941</v>
      </c>
      <c r="G42" s="51">
        <f>+SUM(G35:G41)</f>
        <v>-4433.6499999999987</v>
      </c>
      <c r="H42" s="50">
        <f t="shared" si="9"/>
        <v>-7.6098407780294739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202294.70999999996</v>
      </c>
      <c r="D44" s="71">
        <f>(C44*100)/C$8</f>
        <v>37.506855423848187</v>
      </c>
      <c r="E44" s="72">
        <f>E18-E26-E33-E42</f>
        <v>172507.9</v>
      </c>
      <c r="F44" s="71">
        <f>(E44*100)/E$8</f>
        <v>33.962591633028339</v>
      </c>
      <c r="G44" s="72">
        <f>G18-G26-G33-G42</f>
        <v>29786.809999999958</v>
      </c>
      <c r="H44" s="71">
        <f>IF(E44=0,0,G44/E44*100)</f>
        <v>17.266925166905374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HUGO'!$H:$H,'BAL N HUGO'!$I:$I,$A46,'BAL N HUGO'!$J:$J,"T")</f>
        <v>82739.990000000005</v>
      </c>
      <c r="D46" s="17">
        <f t="shared" ref="D46:F49" si="10">(C46*100)/C$8</f>
        <v>15.340573377824095</v>
      </c>
      <c r="E46" s="16">
        <f>SUMIFS(DONNEESCUM_N1_NOUVEAU[MONTANT],DONNEESCUM_N1_NOUVEAU[TL2],A46,DONNEESCUM_N1_NOUVEAU[MOIS],DONNÉES!$C$5,DONNEESCUM_N1_NOUVEAU[SOCIETE],"HUGO")</f>
        <v>76341.350000000006</v>
      </c>
      <c r="F46" s="17">
        <f t="shared" si="10"/>
        <v>15.029747013117014</v>
      </c>
      <c r="G46" s="16">
        <f>+C46-E46</f>
        <v>6398.6399999999994</v>
      </c>
      <c r="H46" s="17">
        <f>IF(E46=0,0,G46/E46*100)</f>
        <v>8.3816175637449426</v>
      </c>
    </row>
    <row r="47" spans="1:8" s="18" customFormat="1" x14ac:dyDescent="0.2">
      <c r="A47" s="13" t="s">
        <v>35</v>
      </c>
      <c r="B47" s="14" t="s">
        <v>2986</v>
      </c>
      <c r="C47" s="23">
        <f>SUMIFS('BAL N HUGO'!$H:$H,'BAL N HUGO'!$I:$I,$A47,'BAL N HUGO'!$J:$J,"T")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SUMIFS(DONNEESCUM_N1_NOUVEAU[MONTANT],DONNEESCUM_N1_NOUVEAU[TL2],A47,DONNEESCUM_N1_NOUVEAU[MOIS],DONNÉES!$C$5,DONNEESCUM_N1_NOUVEAU[SOCIETE],"HUGO")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HUGO'!$H:$H,'BAL N HUGO'!$I:$I,$A48,'BAL N HUGO'!$J:$J,"T")</f>
        <v>-2407.3000000000002</v>
      </c>
      <c r="D48" s="17">
        <f t="shared" si="10"/>
        <v>-0.44633027260984615</v>
      </c>
      <c r="E48" s="16">
        <f>SUMIFS(DONNEESCUM_N1_NOUVEAU[MONTANT],DONNEESCUM_N1_NOUVEAU[TL2],A48,DONNEESCUM_N1_NOUVEAU[MOIS],DONNÉES!$C$5,DONNEESCUM_N1_NOUVEAU[SOCIETE],"HUGO")</f>
        <v>0</v>
      </c>
      <c r="F48" s="17">
        <f t="shared" si="10"/>
        <v>0</v>
      </c>
      <c r="G48" s="16">
        <f>+C48-E48</f>
        <v>-2407.3000000000002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80332.69</v>
      </c>
      <c r="D49" s="50">
        <f t="shared" si="10"/>
        <v>14.894243105214247</v>
      </c>
      <c r="E49" s="51">
        <f>SUM(E46:E48)</f>
        <v>76341.350000000006</v>
      </c>
      <c r="F49" s="50">
        <f t="shared" si="10"/>
        <v>15.029747013117014</v>
      </c>
      <c r="G49" s="51">
        <f>SUM(G46:G48)</f>
        <v>3991.3399999999992</v>
      </c>
      <c r="H49" s="50">
        <f>IF(E49=0,0,G49/E49*100)</f>
        <v>5.2282806107044202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HUGO'!$H:$H,'BAL N HUGO'!$I:$I,$A51,'BAL N HUGO'!$J:$J,"T")</f>
        <v>0</v>
      </c>
      <c r="D51" s="17">
        <f t="shared" ref="D51:F59" si="11">(C51*100)/C$8</f>
        <v>0</v>
      </c>
      <c r="E51" s="16">
        <f>SUMIFS(DONNEESCUM_N1_NOUVEAU[MONTANT],DONNEESCUM_N1_NOUVEAU[TL2],A51,DONNEESCUM_N1_NOUVEAU[MOIS],DONNÉES!$C$5,DONNEESCUM_N1_NOUVEAU[SOCIETE],"HUGO")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HUGO'!$H:$H,'BAL N HUGO'!$I:$I,$A52,'BAL N HUGO'!$J:$J,"T")</f>
        <v>27580</v>
      </c>
      <c r="D52" s="17">
        <f t="shared" si="11"/>
        <v>5.113525077298033</v>
      </c>
      <c r="E52" s="16">
        <f>SUMIFS(DONNEESCUM_N1_NOUVEAU[MONTANT],DONNEESCUM_N1_NOUVEAU[TL2],A52,DONNEESCUM_N1_NOUVEAU[MOIS],DONNÉES!$C$5,DONNEESCUM_N1_NOUVEAU[SOCIETE],"HUGO")</f>
        <v>25447.119999999999</v>
      </c>
      <c r="F52" s="17">
        <f t="shared" si="11"/>
        <v>5.0099163272909131</v>
      </c>
      <c r="G52" s="16">
        <f t="shared" si="12"/>
        <v>2132.880000000001</v>
      </c>
      <c r="H52" s="17">
        <f t="shared" si="13"/>
        <v>8.3816164658318932</v>
      </c>
    </row>
    <row r="53" spans="1:8" s="18" customFormat="1" x14ac:dyDescent="0.2">
      <c r="A53" s="13" t="s">
        <v>44</v>
      </c>
      <c r="B53" s="14" t="s">
        <v>62</v>
      </c>
      <c r="C53" s="23">
        <f>SUMIFS('BAL N HUGO'!$H:$H,'BAL N HUGO'!$I:$I,$A53,'BAL N HUGO'!$J:$J,"T")</f>
        <v>1661</v>
      </c>
      <c r="D53" s="17">
        <f t="shared" si="11"/>
        <v>0.30796102804177061</v>
      </c>
      <c r="E53" s="16">
        <f>SUMIFS(DONNEESCUM_N1_NOUVEAU[MONTANT],DONNEESCUM_N1_NOUVEAU[TL2],A53,DONNEESCUM_N1_NOUVEAU[MOIS],DONNÉES!$C$5,DONNEESCUM_N1_NOUVEAU[SOCIETE],"HUGO")</f>
        <v>1161.5999999999999</v>
      </c>
      <c r="F53" s="17">
        <f t="shared" si="11"/>
        <v>0.22869066541837049</v>
      </c>
      <c r="G53" s="16">
        <f t="shared" si="12"/>
        <v>499.40000000000009</v>
      </c>
      <c r="H53" s="17">
        <f t="shared" si="13"/>
        <v>42.992424242424256</v>
      </c>
    </row>
    <row r="54" spans="1:8" s="18" customFormat="1" x14ac:dyDescent="0.2">
      <c r="A54" s="13" t="s">
        <v>45</v>
      </c>
      <c r="B54" s="14" t="s">
        <v>41</v>
      </c>
      <c r="C54" s="23">
        <f>SUMIFS('BAL N HUGO'!$H:$H,'BAL N HUGO'!$I:$I,$A54,'BAL N HUGO'!$J:$J,"T")</f>
        <v>2554.36</v>
      </c>
      <c r="D54" s="17">
        <f t="shared" si="11"/>
        <v>0.47359622612208135</v>
      </c>
      <c r="E54" s="16">
        <f>SUMIFS(DONNEESCUM_N1_NOUVEAU[MONTANT],DONNEESCUM_N1_NOUVEAU[TL2],A54,DONNEESCUM_N1_NOUVEAU[MOIS],DONNÉES!$C$5,DONNEESCUM_N1_NOUVEAU[SOCIETE],"HUGO")</f>
        <v>2162.4900000000002</v>
      </c>
      <c r="F54" s="17">
        <f t="shared" si="11"/>
        <v>0.42574145752459724</v>
      </c>
      <c r="G54" s="16">
        <f t="shared" si="12"/>
        <v>391.86999999999989</v>
      </c>
      <c r="H54" s="17">
        <f t="shared" si="13"/>
        <v>18.121239867005158</v>
      </c>
    </row>
    <row r="55" spans="1:8" s="18" customFormat="1" x14ac:dyDescent="0.2">
      <c r="A55" s="13" t="s">
        <v>47</v>
      </c>
      <c r="B55" s="14" t="s">
        <v>43</v>
      </c>
      <c r="C55" s="23">
        <f>SUMIFS('BAL N HUGO'!$H:$H,'BAL N HUGO'!$I:$I,$A55,'BAL N HUGO'!$J:$J,"T")</f>
        <v>5381.01</v>
      </c>
      <c r="D55" s="17">
        <f t="shared" si="11"/>
        <v>0.9976769244449416</v>
      </c>
      <c r="E55" s="16">
        <f>SUMIFS(DONNEESCUM_N1_NOUVEAU[MONTANT],DONNEESCUM_N1_NOUVEAU[TL2],A55,DONNEESCUM_N1_NOUVEAU[MOIS],DONNÉES!$C$5,DONNEESCUM_N1_NOUVEAU[SOCIETE],"HUGO")</f>
        <v>7461.6500000000005</v>
      </c>
      <c r="F55" s="17">
        <f t="shared" si="11"/>
        <v>1.469016618129291</v>
      </c>
      <c r="G55" s="16">
        <f t="shared" si="12"/>
        <v>-2080.6400000000003</v>
      </c>
      <c r="H55" s="17">
        <f t="shared" si="13"/>
        <v>-27.884449149986935</v>
      </c>
    </row>
    <row r="56" spans="1:8" s="18" customFormat="1" x14ac:dyDescent="0.2">
      <c r="A56" s="13" t="s">
        <v>48</v>
      </c>
      <c r="B56" s="14" t="s">
        <v>46</v>
      </c>
      <c r="C56" s="23">
        <f>SUMIFS('BAL N HUGO'!$H:$H,'BAL N HUGO'!$I:$I,$A56,'BAL N HUGO'!$J:$J,"T")</f>
        <v>6200</v>
      </c>
      <c r="D56" s="17">
        <f t="shared" si="11"/>
        <v>1.1495234038886077</v>
      </c>
      <c r="E56" s="16">
        <f>SUMIFS(DONNEESCUM_N1_NOUVEAU[MONTANT],DONNEESCUM_N1_NOUVEAU[TL2],A56,DONNEESCUM_N1_NOUVEAU[MOIS],DONNÉES!$C$5,DONNEESCUM_N1_NOUVEAU[SOCIETE],"HUGO")</f>
        <v>7500</v>
      </c>
      <c r="F56" s="17">
        <f t="shared" si="11"/>
        <v>1.4765667963479501</v>
      </c>
      <c r="G56" s="16">
        <f t="shared" si="12"/>
        <v>-1300</v>
      </c>
      <c r="H56" s="17">
        <f t="shared" si="13"/>
        <v>-17.333333333333336</v>
      </c>
    </row>
    <row r="57" spans="1:8" s="18" customFormat="1" x14ac:dyDescent="0.2">
      <c r="A57" s="13" t="s">
        <v>50</v>
      </c>
      <c r="B57" s="14" t="s">
        <v>2990</v>
      </c>
      <c r="C57" s="23">
        <f>SUMIFS('BAL N HUGO'!$H:$H,'BAL N HUGO'!$I:$I,$A57,'BAL N HUGO'!$J:$J,"T")</f>
        <v>1156.72</v>
      </c>
      <c r="D57" s="17">
        <f t="shared" si="11"/>
        <v>0.21446398576548878</v>
      </c>
      <c r="E57" s="16">
        <f>SUMIFS(DONNEESCUM_N1_NOUVEAU[MONTANT],DONNEESCUM_N1_NOUVEAU[TL2],A57,DONNEESCUM_N1_NOUVEAU[MOIS],DONNÉES!$C$5,DONNEESCUM_N1_NOUVEAU[SOCIETE],"HUGO")</f>
        <v>1156.72</v>
      </c>
      <c r="F57" s="17">
        <f t="shared" si="11"/>
        <v>0.22772991262288012</v>
      </c>
      <c r="G57" s="16">
        <f t="shared" si="12"/>
        <v>0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HUGO'!$H:$H,'BAL N HUGO'!$I:$I,$A58,'BAL N HUGO'!$J:$J,"T")</f>
        <v>-655.5</v>
      </c>
      <c r="D58" s="17">
        <f t="shared" si="11"/>
        <v>-0.12153428891112621</v>
      </c>
      <c r="E58" s="16">
        <f>SUMIFS(DONNEESCUM_N1_NOUVEAU[MONTANT],DONNEESCUM_N1_NOUVEAU[TL2],A58,DONNEESCUM_N1_NOUVEAU[MOIS],DONNÉES!$C$5,DONNEESCUM_N1_NOUVEAU[SOCIETE],"HUGO")</f>
        <v>35</v>
      </c>
      <c r="F58" s="17">
        <f t="shared" si="11"/>
        <v>6.8906450496237677E-3</v>
      </c>
      <c r="G58" s="16">
        <f t="shared" si="12"/>
        <v>-690.5</v>
      </c>
      <c r="H58" s="17">
        <f t="shared" si="13"/>
        <v>-1972.8571428571427</v>
      </c>
    </row>
    <row r="59" spans="1:8" ht="13.5" thickBot="1" x14ac:dyDescent="0.25">
      <c r="A59" s="13"/>
      <c r="B59" s="63" t="s">
        <v>2994</v>
      </c>
      <c r="C59" s="49">
        <f>SUM(C51:C58)</f>
        <v>43877.590000000004</v>
      </c>
      <c r="D59" s="50">
        <f t="shared" si="11"/>
        <v>8.1352123566497969</v>
      </c>
      <c r="E59" s="51">
        <f>SUM(E51:E58)</f>
        <v>44924.58</v>
      </c>
      <c r="F59" s="50">
        <f t="shared" si="11"/>
        <v>8.8445524223836252</v>
      </c>
      <c r="G59" s="51">
        <f>SUM(G51:G58)</f>
        <v>-1046.9899999999993</v>
      </c>
      <c r="H59" s="50">
        <f t="shared" si="13"/>
        <v>-2.3305504469936045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321042</v>
      </c>
      <c r="D61" s="71">
        <f>(C61*100)/C$8</f>
        <v>59.523434295355877</v>
      </c>
      <c r="E61" s="72">
        <f>E59+E49+E42+E33+E26</f>
        <v>325310.31</v>
      </c>
      <c r="F61" s="71">
        <f>(E61*100)/E$8</f>
        <v>64.045653634087799</v>
      </c>
      <c r="G61" s="72">
        <f>G59+G49+G42+G33+G26</f>
        <v>-4268.310000000014</v>
      </c>
      <c r="H61" s="71">
        <f>IF(E61=0,0,G61/E61*100)</f>
        <v>-1.3120733861770364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HUGO'!$H:$H,'BAL N HUGO'!$I:$I,$A63,'BAL N HUGO'!$J:$J,"T")</f>
        <v>8824.31</v>
      </c>
      <c r="D63" s="17">
        <f t="shared" ref="D63:F65" si="14">(C63*100)/C$8</f>
        <v>1.6360888497045614</v>
      </c>
      <c r="E63" s="16">
        <f>-SUMIFS(DONNEESCUM_N1_NOUVEAU[MONTANT],DONNEESCUM_N1_NOUVEAU[TL2],A63,DONNEESCUM_N1_NOUVEAU[MOIS],DONNÉES!$C$5,DONNEESCUM_N1_NOUVEAU[SOCIETE],"HUGO")</f>
        <v>7345.8000000000011</v>
      </c>
      <c r="F63" s="17">
        <f t="shared" si="14"/>
        <v>1.4462085830150366</v>
      </c>
      <c r="G63" s="16">
        <f>+C63-E63</f>
        <v>1478.5099999999984</v>
      </c>
      <c r="H63" s="17">
        <f>IF(E63=0,0,G63/E63*100)</f>
        <v>20.127283617849631</v>
      </c>
    </row>
    <row r="64" spans="1:8" s="18" customFormat="1" x14ac:dyDescent="0.2">
      <c r="A64" s="13" t="s">
        <v>2992</v>
      </c>
      <c r="B64" s="68" t="s">
        <v>65</v>
      </c>
      <c r="C64" s="23">
        <f>SUMIFS('BAL N HUGO'!$H:$H,'BAL N HUGO'!$I:$I,$A64,'BAL N HUGO'!$J:$J,"T")</f>
        <v>6935.79</v>
      </c>
      <c r="D64" s="17">
        <f t="shared" si="14"/>
        <v>1.2859440208800916</v>
      </c>
      <c r="E64" s="24">
        <f>SUMIFS(DONNEESCUM_N1_NOUVEAU[MONTANT],DONNEESCUM_N1_NOUVEAU[TL2],A64,DONNEESCUM_N1_NOUVEAU[MOIS],DONNÉES!$C$5,DONNEESCUM_N1_NOUVEAU[SOCIETE],"HUGO")</f>
        <v>7146.0599999999995</v>
      </c>
      <c r="F64" s="17">
        <f t="shared" si="14"/>
        <v>1.4068846560946977</v>
      </c>
      <c r="G64" s="16">
        <f>+C64-E64</f>
        <v>-210.26999999999953</v>
      </c>
      <c r="H64" s="17">
        <f>IF(E64=0,0,G64/E64*100)</f>
        <v>-2.9424606006666547</v>
      </c>
    </row>
    <row r="65" spans="1:9" s="59" customFormat="1" ht="13.5" x14ac:dyDescent="0.2">
      <c r="A65" s="13"/>
      <c r="B65" s="62" t="s">
        <v>53</v>
      </c>
      <c r="C65" s="67">
        <f>+C63-C64</f>
        <v>1888.5199999999995</v>
      </c>
      <c r="D65" s="56">
        <f t="shared" si="14"/>
        <v>0.35014482882446984</v>
      </c>
      <c r="E65" s="57">
        <f>+E63-E64</f>
        <v>199.7400000000016</v>
      </c>
      <c r="F65" s="56">
        <f t="shared" si="14"/>
        <v>3.9323926920338925E-2</v>
      </c>
      <c r="G65" s="58">
        <f>+G63-G64</f>
        <v>1688.7799999999979</v>
      </c>
      <c r="H65" s="56">
        <f>IF(E65=0,0,G65/E65*100)</f>
        <v>845.48913587663174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HUGO'!$H:$H,'BAL N HUGO'!$I:$I,$A67,'BAL N HUGO'!$J:$J,"T")</f>
        <v>496.14</v>
      </c>
      <c r="D67" s="17">
        <f>(C67*100)/C$8</f>
        <v>9.1987829291176437E-2</v>
      </c>
      <c r="E67" s="16">
        <f>-SUMIFS(DONNEESCUM_N1_NOUVEAU[MONTANT],DONNEESCUM_N1_NOUVEAU[TL2],A67,DONNEESCUM_N1_NOUVEAU[MOIS],DONNÉES!$C$5,DONNEESCUM_N1_NOUVEAU[SOCIETE],"HUGO")</f>
        <v>680.62</v>
      </c>
      <c r="F67" s="17">
        <f>(E67*100)/E$8</f>
        <v>0.13399745239071226</v>
      </c>
      <c r="G67" s="16">
        <f>+C67-E67</f>
        <v>-184.48000000000002</v>
      </c>
      <c r="H67" s="17">
        <f>IF(E67=0,0,G67/E67*100)</f>
        <v>-27.104698657106756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80469.089999999938</v>
      </c>
      <c r="D69" s="10">
        <f>(C69*100)/C$8</f>
        <v>14.919532620099783</v>
      </c>
      <c r="E69" s="9">
        <f>E18-E61+E65+E67</f>
        <v>52122.330000000038</v>
      </c>
      <c r="F69" s="10">
        <f>(E69*100)/E$8</f>
        <v>10.26161357683876</v>
      </c>
      <c r="G69" s="9">
        <f>G18-G61+G65+G67</f>
        <v>28346.759999999955</v>
      </c>
      <c r="H69" s="10">
        <f>IF(E69=0,0,G69/E69*100)</f>
        <v>54.385059148353378</v>
      </c>
    </row>
    <row r="70" spans="1:9" ht="13.5" thickBot="1" x14ac:dyDescent="0.25">
      <c r="A70" s="13"/>
      <c r="B70" s="63" t="s">
        <v>3034</v>
      </c>
      <c r="C70" s="49">
        <f>+C69-C67+C57+C56</f>
        <v>87329.66999999994</v>
      </c>
      <c r="D70" s="50">
        <f>(C70*100)/C$8</f>
        <v>16.191532180462705</v>
      </c>
      <c r="E70" s="49">
        <f>+E69-E67+E57+E56</f>
        <v>60098.430000000037</v>
      </c>
      <c r="F70" s="50">
        <f>(E70*100)/E$8</f>
        <v>11.83191283341888</v>
      </c>
      <c r="G70" s="49">
        <f>+G69-G67+G57+G56</f>
        <v>27231.239999999954</v>
      </c>
      <c r="H70" s="50">
        <f>IF(E70=0,0,G70/E70*100)</f>
        <v>45.3110671942677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HUGO'!$H:$H,'BAL N HUGO'!$I:$I,$A72,'BAL N HUGO'!$J:$J,"T")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-SUMIFS(DONNEESCUM_N1_NOUVEAU[MONTANT],DONNEESCUM_N1_NOUVEAU[TL2],A72,DONNEESCUM_N1_NOUVEAU[MOIS],DONNÉES!$C$5,DONNEESCUM_N1_NOUVEAU[SOCIETE],"HUGO")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HUGO'!$H:$H,'BAL N HUGO'!$I:$I,$A74,'BAL N HUGO'!$J:$J,"T")</f>
        <v>35146</v>
      </c>
      <c r="D74" s="10">
        <f>(C74*100)/C$8</f>
        <v>6.5163144440433891</v>
      </c>
      <c r="E74" s="9">
        <f>SUMIFS(DONNEESCUM_N1_NOUVEAU[MONTANT],DONNEESCUM_N1_NOUVEAU[TL2],A74,DONNEESCUM_N1_NOUVEAU[MOIS],DONNÉES!$C$5,DONNEESCUM_N1_NOUVEAU[SOCIETE],"HUGO")</f>
        <v>29800</v>
      </c>
      <c r="F74" s="10">
        <f>(E74*100)/E$8</f>
        <v>5.8668920708225221</v>
      </c>
      <c r="G74" s="9">
        <f>+C74-E74</f>
        <v>5346</v>
      </c>
      <c r="H74" s="10">
        <f>IF(E74=0,0,G74/E74*100)</f>
        <v>17.939597315436242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45323.089999999938</v>
      </c>
      <c r="D76" s="71">
        <f>(C76*100)/C$8</f>
        <v>8.4032181760563951</v>
      </c>
      <c r="E76" s="72">
        <f>E69-E74+E72</f>
        <v>22322.330000000038</v>
      </c>
      <c r="F76" s="71">
        <f>(E76*100)/E$8</f>
        <v>4.3947215060162392</v>
      </c>
      <c r="G76" s="72">
        <f>G69-G74+G72</f>
        <v>23000.759999999955</v>
      </c>
      <c r="H76" s="71">
        <f>IF(E76=0,0,G76/E76*100)</f>
        <v>103.03924366318353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VLOOKUP(PARAMETRES!$C$2,DONNÉES!$DB$188:$DH$199,2,FALSE)</f>
        <v>28506</v>
      </c>
      <c r="D78" s="324"/>
      <c r="E78" s="323"/>
      <c r="F78" s="324"/>
      <c r="G78" s="317"/>
      <c r="H78" s="318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VLOOKUP(PARAMETRES!$C$2,DONNÉES!$DB$284:$DH$295,2,FALSE)</f>
        <v>19.350000000000001</v>
      </c>
      <c r="D80" s="316"/>
      <c r="E80" s="315"/>
      <c r="F80" s="316"/>
      <c r="G80" s="317"/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286DC-C9E6-474B-A4CB-CFA1F511FAE3}">
  <sheetPr>
    <tabColor rgb="FFFFC000"/>
    <pageSetUpPr fitToPage="1"/>
  </sheetPr>
  <dimension ref="A1:H1"/>
  <sheetViews>
    <sheetView showGridLines="0" view="pageBreakPreview" topLeftCell="A31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43E9F-A512-42D3-BC41-A50D5155BC04}">
  <sheetPr>
    <tabColor rgb="FFFFC000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6973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6966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JEANCLO'!$H:$H,'BAL N JEANCLO'!$I:$I,$A8,'BAL N JEANCLO'!$J:$J,"T")</f>
        <v>217685.38</v>
      </c>
      <c r="D8" s="71">
        <f>(C8*100)/C$8</f>
        <v>100</v>
      </c>
      <c r="E8" s="72">
        <f>-SUMIFS(DONNEESCUM_N1_NOUVEAU[MONTANT],DONNEESCUM_N1_NOUVEAU[TL2],A8,DONNEESCUM_N1_NOUVEAU[MOIS],DONNÉES!$C$5,DONNEESCUM_N1_NOUVEAU[SOCIETE],"JEANCLO")</f>
        <v>210623.51</v>
      </c>
      <c r="F8" s="71">
        <f>(E8*100)/E$8</f>
        <v>100</v>
      </c>
      <c r="G8" s="72">
        <f>+C8-E8</f>
        <v>7061.8699999999953</v>
      </c>
      <c r="H8" s="71">
        <f>IF(E8=0,0,G8/E8*100)</f>
        <v>3.3528403358200585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JEANCLO'!$H:$H,'BAL N JEANCLO'!$I:$I,$A10,'BAL N JEANCLO'!$J:$J,"T")</f>
        <v>47830.02</v>
      </c>
      <c r="D10" s="17">
        <f t="shared" ref="D10:F16" si="0">(C10*100)/C$8</f>
        <v>21.972086503925986</v>
      </c>
      <c r="E10" s="16">
        <f>SUMIFS(DONNEESCUM_N1_NOUVEAU[MONTANT],DONNEESCUM_N1_NOUVEAU[TL2],A10,DONNEESCUM_N1_NOUVEAU[MOIS],DONNÉES!$C$5,DONNEESCUM_N1_NOUVEAU[SOCIETE],"JEANCLO")</f>
        <v>43794.619999999995</v>
      </c>
      <c r="F10" s="17">
        <f t="shared" si="0"/>
        <v>20.79284501525969</v>
      </c>
      <c r="G10" s="16">
        <f>+C10-E10</f>
        <v>4035.4000000000015</v>
      </c>
      <c r="H10" s="17">
        <f t="shared" ref="H10:H16" si="1">IF(E10=0,0,G10/E10*100)</f>
        <v>9.2143738203459744</v>
      </c>
    </row>
    <row r="11" spans="1:8" s="18" customFormat="1" x14ac:dyDescent="0.2">
      <c r="A11" s="13" t="s">
        <v>124</v>
      </c>
      <c r="B11" s="14" t="s">
        <v>4</v>
      </c>
      <c r="C11" s="23">
        <f>SUMIFS('BAL N JEANCLO'!$H:$H,'BAL N JEANCLO'!$I:$I,$A11,'BAL N JEANCLO'!$J:$J,"T")</f>
        <v>1208.45</v>
      </c>
      <c r="D11" s="17">
        <f t="shared" si="0"/>
        <v>0.55513604083103785</v>
      </c>
      <c r="E11" s="16">
        <f>SUMIFS(DONNEESCUM_N1_NOUVEAU[MONTANT],DONNEESCUM_N1_NOUVEAU[TL2],A11,DONNEESCUM_N1_NOUVEAU[MOIS],DONNÉES!$C$5,DONNEESCUM_N1_NOUVEAU[SOCIETE],"JEANCLO")</f>
        <v>1059.1600000000001</v>
      </c>
      <c r="F11" s="17">
        <f t="shared" si="0"/>
        <v>0.50286883928579484</v>
      </c>
      <c r="G11" s="16">
        <f>+C11-E11</f>
        <v>149.28999999999996</v>
      </c>
      <c r="H11" s="17">
        <f t="shared" si="1"/>
        <v>14.095131991389398</v>
      </c>
    </row>
    <row r="12" spans="1:8" s="18" customFormat="1" x14ac:dyDescent="0.2">
      <c r="A12" s="13" t="s">
        <v>125</v>
      </c>
      <c r="B12" s="14" t="s">
        <v>2</v>
      </c>
      <c r="C12" s="23">
        <f>SUMIFS('BAL N JEANCLO'!$H:$H,'BAL N JEANCLO'!$I:$I,$A12,'BAL N JEANCLO'!$J:$J,"T")</f>
        <v>1821.88</v>
      </c>
      <c r="D12" s="17">
        <f t="shared" si="0"/>
        <v>0.83693264104369336</v>
      </c>
      <c r="E12" s="16">
        <f>SUMIFS(DONNEESCUM_N1_NOUVEAU[MONTANT],DONNEESCUM_N1_NOUVEAU[TL2],A12,DONNEESCUM_N1_NOUVEAU[MOIS],DONNÉES!$C$5,DONNEESCUM_N1_NOUVEAU[SOCIETE],"JEANCLO")</f>
        <v>1685.57</v>
      </c>
      <c r="F12" s="17">
        <f t="shared" si="0"/>
        <v>0.80027628444706855</v>
      </c>
      <c r="G12" s="16">
        <f>+C12-E12</f>
        <v>136.31000000000017</v>
      </c>
      <c r="H12" s="17">
        <f t="shared" si="1"/>
        <v>8.0868786226617804</v>
      </c>
    </row>
    <row r="13" spans="1:8" s="59" customFormat="1" ht="13.5" x14ac:dyDescent="0.2">
      <c r="A13" s="60"/>
      <c r="B13" s="62" t="s">
        <v>6</v>
      </c>
      <c r="C13" s="55">
        <f>SUM(C10:C12)</f>
        <v>50860.349999999991</v>
      </c>
      <c r="D13" s="56">
        <f t="shared" si="0"/>
        <v>23.364155185800712</v>
      </c>
      <c r="E13" s="55">
        <f>SUM(E10:E12)</f>
        <v>46539.35</v>
      </c>
      <c r="F13" s="56">
        <f t="shared" si="0"/>
        <v>22.095990138992555</v>
      </c>
      <c r="G13" s="55">
        <f>SUM(G10:G12)</f>
        <v>4321.0000000000018</v>
      </c>
      <c r="H13" s="56">
        <f t="shared" si="1"/>
        <v>9.2846161366671467</v>
      </c>
    </row>
    <row r="14" spans="1:8" s="18" customFormat="1" x14ac:dyDescent="0.2">
      <c r="A14" s="13" t="s">
        <v>126</v>
      </c>
      <c r="B14" s="14" t="s">
        <v>8</v>
      </c>
      <c r="C14" s="23">
        <f>SUMIFS('BAL N JEANCLO'!$H:$H,'BAL N JEANCLO'!$I:$I,$A14,'BAL N JEANCLO'!$J:$J,"T")</f>
        <v>5086.7299999999996</v>
      </c>
      <c r="D14" s="17">
        <f t="shared" si="0"/>
        <v>2.3367347866907733</v>
      </c>
      <c r="E14" s="16">
        <f>SUMIFS(DONNEESCUM_N1_NOUVEAU[MONTANT],DONNEESCUM_N1_NOUVEAU[TL2],A14,DONNEESCUM_N1_NOUVEAU[MOIS],DONNÉES!$C$5,DONNEESCUM_N1_NOUVEAU[SOCIETE],"JEANCLO")</f>
        <v>4944.4299999999994</v>
      </c>
      <c r="F14" s="17">
        <f t="shared" si="0"/>
        <v>2.3475204643584182</v>
      </c>
      <c r="G14" s="16">
        <f>+C14-E14</f>
        <v>142.30000000000018</v>
      </c>
      <c r="H14" s="17">
        <f t="shared" si="1"/>
        <v>2.8779859356892543</v>
      </c>
    </row>
    <row r="15" spans="1:8" s="18" customFormat="1" x14ac:dyDescent="0.2">
      <c r="A15" s="13" t="s">
        <v>2964</v>
      </c>
      <c r="B15" s="14" t="s">
        <v>2965</v>
      </c>
      <c r="C15" s="23">
        <f>SUMIFS('BAL N JEANCLO'!$H:$H,'BAL N JEANCLO'!$I:$I,$A15,'BAL N JEANCLO'!$J:$J,"T")</f>
        <v>4274.5600000000004</v>
      </c>
      <c r="D15" s="17">
        <f t="shared" si="0"/>
        <v>1.9636412881747045</v>
      </c>
      <c r="E15" s="16">
        <f>SUMIFS(DONNEESCUM_N1_NOUVEAU[MONTANT],DONNEESCUM_N1_NOUVEAU[TL2],A15,DONNEESCUM_N1_NOUVEAU[MOIS],DONNÉES!$C$5,DONNEESCUM_N1_NOUVEAU[SOCIETE],"JEANCLO")</f>
        <v>0</v>
      </c>
      <c r="F15" s="17">
        <f t="shared" si="0"/>
        <v>0</v>
      </c>
      <c r="G15" s="16">
        <f>+C15-E15</f>
        <v>4274.5600000000004</v>
      </c>
      <c r="H15" s="17">
        <f t="shared" si="1"/>
        <v>0</v>
      </c>
    </row>
    <row r="16" spans="1:8" ht="13.5" thickBot="1" x14ac:dyDescent="0.25">
      <c r="A16" s="7"/>
      <c r="B16" s="63" t="s">
        <v>10</v>
      </c>
      <c r="C16" s="49">
        <f>+C13+SUM(C14:C15)</f>
        <v>60221.639999999992</v>
      </c>
      <c r="D16" s="50">
        <f t="shared" si="0"/>
        <v>27.664531260666191</v>
      </c>
      <c r="E16" s="49">
        <f>+E13+SUM(E14:E15)</f>
        <v>51483.78</v>
      </c>
      <c r="F16" s="50">
        <f t="shared" si="0"/>
        <v>24.443510603350973</v>
      </c>
      <c r="G16" s="49">
        <f>+G13+SUM(G14:G15)</f>
        <v>8737.8600000000024</v>
      </c>
      <c r="H16" s="50">
        <f t="shared" si="1"/>
        <v>16.972063822819543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157463.74000000002</v>
      </c>
      <c r="D18" s="71">
        <f>(C18*100)/C$8</f>
        <v>72.335468739333805</v>
      </c>
      <c r="E18" s="70">
        <f>E8-E16</f>
        <v>159139.73000000001</v>
      </c>
      <c r="F18" s="71">
        <f>(E18*100)/E$8</f>
        <v>75.556489396649027</v>
      </c>
      <c r="G18" s="70">
        <f>G8-G16</f>
        <v>-1675.9900000000071</v>
      </c>
      <c r="H18" s="71">
        <f>IF(E18=0,0,G18/E18*100)</f>
        <v>-1.0531562420019231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JEANCLO'!$H:$H,'BAL N JEANCLO'!$I:$I,$A20,'BAL N JEANCLO'!$J:$J,"T")</f>
        <v>37851.33</v>
      </c>
      <c r="D20" s="17">
        <f t="shared" ref="D20:F26" si="2">(C20*100)/C$8</f>
        <v>17.388090095898953</v>
      </c>
      <c r="E20" s="16">
        <f>SUMIFS(DONNEESCUM_N1_NOUVEAU[MONTANT],DONNEESCUM_N1_NOUVEAU[TL2],A20,DONNEESCUM_N1_NOUVEAU[MOIS],DONNÉES!$C$5,DONNEESCUM_N1_NOUVEAU[SOCIETE],"JEANCLO")</f>
        <v>38038.680000000008</v>
      </c>
      <c r="F20" s="17">
        <f t="shared" si="2"/>
        <v>18.060035178409098</v>
      </c>
      <c r="G20" s="16">
        <f t="shared" ref="G20:G25" si="3">+C20-E20</f>
        <v>-187.35000000000582</v>
      </c>
      <c r="H20" s="17">
        <f t="shared" ref="H20:H26" si="4">IF(E20=0,0,G20/E20*100)</f>
        <v>-0.49252497720742616</v>
      </c>
    </row>
    <row r="21" spans="1:8" s="18" customFormat="1" x14ac:dyDescent="0.2">
      <c r="A21" s="13">
        <v>9</v>
      </c>
      <c r="B21" s="14" t="s">
        <v>2968</v>
      </c>
      <c r="C21" s="23">
        <f>SUMIFS('BAL N JEANCLO'!$H:$H,'BAL N JEANCLO'!$I:$I,$A21,'BAL N JEANCLO'!$J:$J,"T")</f>
        <v>6354.98</v>
      </c>
      <c r="D21" s="17">
        <f t="shared" si="2"/>
        <v>2.9193416663994616</v>
      </c>
      <c r="E21" s="16">
        <f>SUMIFS(DONNEESCUM_N1_NOUVEAU[MONTANT],DONNEESCUM_N1_NOUVEAU[TL2],A21,DONNEESCUM_N1_NOUVEAU[MOIS],DONNÉES!$C$5,DONNEESCUM_N1_NOUVEAU[SOCIETE],"JEANCLO")</f>
        <v>6756.9</v>
      </c>
      <c r="F21" s="17">
        <f t="shared" si="2"/>
        <v>3.208046433183076</v>
      </c>
      <c r="G21" s="16">
        <f t="shared" si="3"/>
        <v>-401.92000000000007</v>
      </c>
      <c r="H21" s="17">
        <f t="shared" si="4"/>
        <v>-5.9482898962542015</v>
      </c>
    </row>
    <row r="22" spans="1:8" s="18" customFormat="1" x14ac:dyDescent="0.2">
      <c r="A22" s="13" t="s">
        <v>12</v>
      </c>
      <c r="B22" s="14" t="s">
        <v>14</v>
      </c>
      <c r="C22" s="23">
        <f>SUMIFS('BAL N JEANCLO'!$H:$H,'BAL N JEANCLO'!$I:$I,$A22,'BAL N JEANCLO'!$J:$J,"T")</f>
        <v>11027.81</v>
      </c>
      <c r="D22" s="17">
        <f t="shared" si="2"/>
        <v>5.0659396602564675</v>
      </c>
      <c r="E22" s="16">
        <f>SUMIFS(DONNEESCUM_N1_NOUVEAU[MONTANT],DONNEESCUM_N1_NOUVEAU[TL2],A22,DONNEESCUM_N1_NOUVEAU[MOIS],DONNÉES!$C$5,DONNEESCUM_N1_NOUVEAU[SOCIETE],"JEANCLO")</f>
        <v>13124.720000000001</v>
      </c>
      <c r="F22" s="17">
        <f t="shared" si="2"/>
        <v>6.2313651500727527</v>
      </c>
      <c r="G22" s="16">
        <f t="shared" si="3"/>
        <v>-2096.9100000000017</v>
      </c>
      <c r="H22" s="17">
        <f t="shared" si="4"/>
        <v>-15.976797981214085</v>
      </c>
    </row>
    <row r="23" spans="1:8" s="18" customFormat="1" x14ac:dyDescent="0.2">
      <c r="A23" s="13" t="s">
        <v>13</v>
      </c>
      <c r="B23" s="14" t="s">
        <v>2966</v>
      </c>
      <c r="C23" s="23">
        <f>SUMIFS('BAL N JEANCLO'!$H:$H,'BAL N JEANCLO'!$I:$I,$A23,'BAL N JEANCLO'!$J:$J,"T")</f>
        <v>3084.86</v>
      </c>
      <c r="D23" s="17">
        <f t="shared" si="2"/>
        <v>1.4171185956539663</v>
      </c>
      <c r="E23" s="16">
        <f>SUMIFS(DONNEESCUM_N1_NOUVEAU[MONTANT],DONNEESCUM_N1_NOUVEAU[TL2],A23,DONNEESCUM_N1_NOUVEAU[MOIS],DONNÉES!$C$5,DONNEESCUM_N1_NOUVEAU[SOCIETE],"JEANCLO")</f>
        <v>3435.35</v>
      </c>
      <c r="F23" s="17">
        <f t="shared" si="2"/>
        <v>1.6310382444960678</v>
      </c>
      <c r="G23" s="16">
        <f t="shared" si="3"/>
        <v>-350.48999999999978</v>
      </c>
      <c r="H23" s="17">
        <f t="shared" si="4"/>
        <v>-10.202453898438289</v>
      </c>
    </row>
    <row r="24" spans="1:8" s="18" customFormat="1" x14ac:dyDescent="0.2">
      <c r="A24" s="13" t="s">
        <v>15</v>
      </c>
      <c r="B24" s="14" t="s">
        <v>2969</v>
      </c>
      <c r="C24" s="23">
        <f>SUMIFS('BAL N JEANCLO'!$H:$H,'BAL N JEANCLO'!$I:$I,$A24,'BAL N JEANCLO'!$J:$J,"T")</f>
        <v>0</v>
      </c>
      <c r="D24" s="17">
        <f t="shared" si="2"/>
        <v>0</v>
      </c>
      <c r="E24" s="16">
        <f>SUMIFS(DONNEESCUM_N1_NOUVEAU[MONTANT],DONNEESCUM_N1_NOUVEAU[TL2],A24,DONNEESCUM_N1_NOUVEAU[MOIS],DONNÉES!$C$5,DONNEESCUM_N1_NOUVEAU[SOCIETE],"JEANCLO")</f>
        <v>0</v>
      </c>
      <c r="F24" s="17">
        <f t="shared" si="2"/>
        <v>0</v>
      </c>
      <c r="G24" s="16">
        <f t="shared" si="3"/>
        <v>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JEANCLO'!$H:$H,'BAL N JEANCLO'!$I:$I,$A25,'BAL N JEANCLO'!$J:$J,"T")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SUMIFS(DONNEESCUM_N1_NOUVEAU[MONTANT],DONNEESCUM_N1_NOUVEAU[TL2],A25,DONNEESCUM_N1_NOUVEAU[MOIS],DONNÉES!$C$5,DONNEESCUM_N1_NOUVEAU[SOCIETE],"JEANCLO")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58318.979999999996</v>
      </c>
      <c r="D26" s="50">
        <f t="shared" si="2"/>
        <v>26.790490018208846</v>
      </c>
      <c r="E26" s="51">
        <f>SUM(E20:E25)</f>
        <v>61355.650000000009</v>
      </c>
      <c r="F26" s="50">
        <f t="shared" si="2"/>
        <v>29.130485006160995</v>
      </c>
      <c r="G26" s="51">
        <f>SUM(G20:G25)</f>
        <v>-3036.6700000000073</v>
      </c>
      <c r="H26" s="50">
        <f t="shared" si="4"/>
        <v>-4.9492915485371061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JEANCLO'!$H:$H,'BAL N JEANCLO'!$I:$I,$A28,'BAL N JEANCLO'!$J:$J,"T")</f>
        <v>85.23</v>
      </c>
      <c r="D28" s="17">
        <f t="shared" ref="D28:F33" si="5">(C28*100)/C$8</f>
        <v>3.9152836079299397E-2</v>
      </c>
      <c r="E28" s="16">
        <f>SUMIFS(DONNEESCUM_N1_NOUVEAU[MONTANT],DONNEESCUM_N1_NOUVEAU[TL2],A28,DONNEESCUM_N1_NOUVEAU[MOIS],DONNÉES!$C$5,DONNEESCUM_N1_NOUVEAU[SOCIETE],"JEANCLO")</f>
        <v>85.23</v>
      </c>
      <c r="F28" s="17">
        <f t="shared" si="5"/>
        <v>4.0465568159983659E-2</v>
      </c>
      <c r="G28" s="16">
        <f>+C28-E28</f>
        <v>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JEANCLO'!$H:$H,'BAL N JEANCLO'!$I:$I,$A29,'BAL N JEANCLO'!$J:$J,"T")</f>
        <v>29.17</v>
      </c>
      <c r="D29" s="17">
        <f t="shared" si="5"/>
        <v>1.3400073077943957E-2</v>
      </c>
      <c r="E29" s="16">
        <f>SUMIFS(DONNEESCUM_N1_NOUVEAU[MONTANT],DONNEESCUM_N1_NOUVEAU[TL2],A29,DONNEESCUM_N1_NOUVEAU[MOIS],DONNÉES!$C$5,DONNEESCUM_N1_NOUVEAU[SOCIETE],"JEANCLO")</f>
        <v>97.39</v>
      </c>
      <c r="F29" s="17">
        <f t="shared" si="5"/>
        <v>4.6238902770160843E-2</v>
      </c>
      <c r="G29" s="16">
        <f>+C29-E29</f>
        <v>-68.22</v>
      </c>
      <c r="H29" s="17">
        <f t="shared" si="6"/>
        <v>-70.048259574905018</v>
      </c>
    </row>
    <row r="30" spans="1:8" s="18" customFormat="1" x14ac:dyDescent="0.2">
      <c r="A30" s="13" t="s">
        <v>21</v>
      </c>
      <c r="B30" s="14" t="s">
        <v>2973</v>
      </c>
      <c r="C30" s="23">
        <f>SUMIFS('BAL N JEANCLO'!$H:$H,'BAL N JEANCLO'!$I:$I,$A30,'BAL N JEANCLO'!$J:$J,"T")</f>
        <v>1492.38</v>
      </c>
      <c r="D30" s="17">
        <f t="shared" si="5"/>
        <v>0.68556740007068917</v>
      </c>
      <c r="E30" s="16">
        <f>SUMIFS(DONNEESCUM_N1_NOUVEAU[MONTANT],DONNEESCUM_N1_NOUVEAU[TL2],A30,DONNEESCUM_N1_NOUVEAU[MOIS],DONNÉES!$C$5,DONNEESCUM_N1_NOUVEAU[SOCIETE],"JEANCLO")</f>
        <v>756.56</v>
      </c>
      <c r="F30" s="17">
        <f t="shared" si="5"/>
        <v>0.35920016716082642</v>
      </c>
      <c r="G30" s="16">
        <f>+C30-E30</f>
        <v>735.82000000000016</v>
      </c>
      <c r="H30" s="17">
        <f t="shared" si="6"/>
        <v>97.258644390398672</v>
      </c>
    </row>
    <row r="31" spans="1:8" s="18" customFormat="1" x14ac:dyDescent="0.2">
      <c r="A31" s="13" t="s">
        <v>23</v>
      </c>
      <c r="B31" s="14" t="s">
        <v>2974</v>
      </c>
      <c r="C31" s="23">
        <f>SUMIFS('BAL N JEANCLO'!$H:$H,'BAL N JEANCLO'!$I:$I,$A31,'BAL N JEANCLO'!$J:$J,"T")</f>
        <v>4262.08</v>
      </c>
      <c r="D31" s="17">
        <f t="shared" si="5"/>
        <v>1.9579082435393687</v>
      </c>
      <c r="E31" s="16">
        <f>SUMIFS(DONNEESCUM_N1_NOUVEAU[MONTANT],DONNEESCUM_N1_NOUVEAU[TL2],A31,DONNEESCUM_N1_NOUVEAU[MOIS],DONNÉES!$C$5,DONNEESCUM_N1_NOUVEAU[SOCIETE],"JEANCLO")</f>
        <v>3534.7500000000005</v>
      </c>
      <c r="F31" s="17">
        <f t="shared" si="5"/>
        <v>1.6782314566878125</v>
      </c>
      <c r="G31" s="16">
        <f>+C31-E31</f>
        <v>727.32999999999947</v>
      </c>
      <c r="H31" s="17">
        <f t="shared" si="6"/>
        <v>20.576561284390674</v>
      </c>
    </row>
    <row r="32" spans="1:8" s="18" customFormat="1" x14ac:dyDescent="0.2">
      <c r="A32" s="13" t="s">
        <v>25</v>
      </c>
      <c r="B32" s="14" t="s">
        <v>2975</v>
      </c>
      <c r="C32" s="23">
        <f>SUMIFS('BAL N JEANCLO'!$H:$H,'BAL N JEANCLO'!$I:$I,$A32,'BAL N JEANCLO'!$J:$J,"T")</f>
        <v>2282.11</v>
      </c>
      <c r="D32" s="17">
        <f t="shared" si="5"/>
        <v>1.0483524433289915</v>
      </c>
      <c r="E32" s="16">
        <f>SUMIFS(DONNEESCUM_N1_NOUVEAU[MONTANT],DONNEESCUM_N1_NOUVEAU[TL2],A32,DONNEESCUM_N1_NOUVEAU[MOIS],DONNÉES!$C$5,DONNEESCUM_N1_NOUVEAU[SOCIETE],"JEANCLO")</f>
        <v>2810.47</v>
      </c>
      <c r="F32" s="17">
        <f t="shared" si="5"/>
        <v>1.3343572139691338</v>
      </c>
      <c r="G32" s="16">
        <f>+C32-E32</f>
        <v>-528.35999999999967</v>
      </c>
      <c r="H32" s="17">
        <f t="shared" si="6"/>
        <v>-18.799702540856146</v>
      </c>
    </row>
    <row r="33" spans="1:8" ht="13.5" thickBot="1" x14ac:dyDescent="0.25">
      <c r="A33" s="7"/>
      <c r="B33" s="63" t="s">
        <v>2976</v>
      </c>
      <c r="C33" s="49">
        <f>SUM(C28:C32)</f>
        <v>8150.9700000000012</v>
      </c>
      <c r="D33" s="50">
        <f t="shared" si="5"/>
        <v>3.744380996096293</v>
      </c>
      <c r="E33" s="51">
        <f>SUM(E28:E32)</f>
        <v>7284.4</v>
      </c>
      <c r="F33" s="50">
        <f t="shared" si="5"/>
        <v>3.4584933087479168</v>
      </c>
      <c r="G33" s="51">
        <f>SUM(G28:G32)</f>
        <v>866.56999999999994</v>
      </c>
      <c r="H33" s="50">
        <f t="shared" si="6"/>
        <v>11.896244028334522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JEANCLO'!$H:$H,'BAL N JEANCLO'!$I:$I,$A35,'BAL N JEANCLO'!$J:$J,"T")</f>
        <v>11722.3</v>
      </c>
      <c r="D35" s="17">
        <f t="shared" ref="D35:F42" si="7">(C35*100)/C$8</f>
        <v>5.3849734878842117</v>
      </c>
      <c r="E35" s="16">
        <f>SUMIFS(DONNEESCUM_N1_NOUVEAU[MONTANT],DONNEESCUM_N1_NOUVEAU[TL2],A35,DONNEESCUM_N1_NOUVEAU[MOIS],DONNÉES!$C$5,DONNEESCUM_N1_NOUVEAU[SOCIETE],"JEANCLO")</f>
        <v>11851.04</v>
      </c>
      <c r="F35" s="17">
        <f t="shared" si="7"/>
        <v>5.6266463321212337</v>
      </c>
      <c r="G35" s="16">
        <f t="shared" ref="G35:G41" si="8">+C35-E35</f>
        <v>-128.7400000000016</v>
      </c>
      <c r="H35" s="17">
        <f t="shared" ref="H35:H42" si="9">IF(E35=0,0,G35/E35*100)</f>
        <v>-1.0863181627941647</v>
      </c>
    </row>
    <row r="36" spans="1:8" s="18" customFormat="1" x14ac:dyDescent="0.2">
      <c r="A36" s="13" t="s">
        <v>30</v>
      </c>
      <c r="B36" s="14" t="s">
        <v>145</v>
      </c>
      <c r="C36" s="23">
        <f>SUMIFS('BAL N JEANCLO'!$H:$H,'BAL N JEANCLO'!$I:$I,$A36,'BAL N JEANCLO'!$J:$J,"T")</f>
        <v>8845.31</v>
      </c>
      <c r="D36" s="17">
        <f t="shared" si="7"/>
        <v>4.0633459169375543</v>
      </c>
      <c r="E36" s="16">
        <f>SUMIFS(DONNEESCUM_N1_NOUVEAU[MONTANT],DONNEESCUM_N1_NOUVEAU[TL2],A36,DONNEESCUM_N1_NOUVEAU[MOIS],DONNÉES!$C$5,DONNEESCUM_N1_NOUVEAU[SOCIETE],"JEANCLO")</f>
        <v>8490.31</v>
      </c>
      <c r="F36" s="17">
        <f t="shared" si="7"/>
        <v>4.0310362314254471</v>
      </c>
      <c r="G36" s="16">
        <f t="shared" si="8"/>
        <v>355</v>
      </c>
      <c r="H36" s="17">
        <f t="shared" si="9"/>
        <v>4.181237198641746</v>
      </c>
    </row>
    <row r="37" spans="1:8" s="18" customFormat="1" x14ac:dyDescent="0.2">
      <c r="A37" s="13" t="s">
        <v>32</v>
      </c>
      <c r="B37" s="14" t="s">
        <v>19</v>
      </c>
      <c r="C37" s="23">
        <f>SUMIFS('BAL N JEANCLO'!$H:$H,'BAL N JEANCLO'!$I:$I,$A37,'BAL N JEANCLO'!$J:$J,"T")</f>
        <v>5429.68</v>
      </c>
      <c r="D37" s="17">
        <f t="shared" si="7"/>
        <v>2.4942786695183665</v>
      </c>
      <c r="E37" s="16">
        <f>SUMIFS(DONNEESCUM_N1_NOUVEAU[MONTANT],DONNEESCUM_N1_NOUVEAU[TL2],A37,DONNEESCUM_N1_NOUVEAU[MOIS],DONNÉES!$C$5,DONNEESCUM_N1_NOUVEAU[SOCIETE],"JEANCLO")</f>
        <v>3402.41</v>
      </c>
      <c r="F37" s="17">
        <f t="shared" si="7"/>
        <v>1.6153989647214595</v>
      </c>
      <c r="G37" s="16">
        <f t="shared" si="8"/>
        <v>2027.2700000000004</v>
      </c>
      <c r="H37" s="17">
        <f t="shared" si="9"/>
        <v>59.583354151909987</v>
      </c>
    </row>
    <row r="38" spans="1:8" s="18" customFormat="1" x14ac:dyDescent="0.2">
      <c r="A38" s="13" t="s">
        <v>34</v>
      </c>
      <c r="B38" s="14" t="s">
        <v>28</v>
      </c>
      <c r="C38" s="23">
        <f>SUMIFS('BAL N JEANCLO'!$H:$H,'BAL N JEANCLO'!$I:$I,$A38,'BAL N JEANCLO'!$J:$J,"T")</f>
        <v>6521.4</v>
      </c>
      <c r="D38" s="17">
        <f t="shared" si="7"/>
        <v>2.9957914491088009</v>
      </c>
      <c r="E38" s="16">
        <f>SUMIFS(DONNEESCUM_N1_NOUVEAU[MONTANT],DONNEESCUM_N1_NOUVEAU[TL2],A38,DONNEESCUM_N1_NOUVEAU[MOIS],DONNÉES!$C$5,DONNEESCUM_N1_NOUVEAU[SOCIETE],"JEANCLO")</f>
        <v>19326.509999999998</v>
      </c>
      <c r="F38" s="17">
        <f t="shared" si="7"/>
        <v>9.1758560096163997</v>
      </c>
      <c r="G38" s="16">
        <f t="shared" si="8"/>
        <v>-12805.109999999999</v>
      </c>
      <c r="H38" s="17">
        <f t="shared" si="9"/>
        <v>-66.256711635986008</v>
      </c>
    </row>
    <row r="39" spans="1:8" s="18" customFormat="1" x14ac:dyDescent="0.2">
      <c r="A39" s="13" t="s">
        <v>2978</v>
      </c>
      <c r="B39" s="14" t="s">
        <v>2980</v>
      </c>
      <c r="C39" s="23">
        <f>SUMIFS('BAL N JEANCLO'!$H:$H,'BAL N JEANCLO'!$I:$I,$A39,'BAL N JEANCLO'!$J:$J,"T")</f>
        <v>1437.1</v>
      </c>
      <c r="D39" s="17">
        <f t="shared" si="7"/>
        <v>0.66017295235904216</v>
      </c>
      <c r="E39" s="16">
        <f>SUMIFS(DONNEESCUM_N1_NOUVEAU[MONTANT],DONNEESCUM_N1_NOUVEAU[TL2],A39,DONNEESCUM_N1_NOUVEAU[MOIS],DONNÉES!$C$5,DONNEESCUM_N1_NOUVEAU[SOCIETE],"JEANCLO")</f>
        <v>9357.0499999999993</v>
      </c>
      <c r="F39" s="17">
        <f t="shared" si="7"/>
        <v>4.4425477478748681</v>
      </c>
      <c r="G39" s="16">
        <f t="shared" si="8"/>
        <v>-7919.9499999999989</v>
      </c>
      <c r="H39" s="17">
        <f t="shared" si="9"/>
        <v>-84.641526976985261</v>
      </c>
    </row>
    <row r="40" spans="1:8" s="18" customFormat="1" x14ac:dyDescent="0.2">
      <c r="A40" s="13" t="s">
        <v>2979</v>
      </c>
      <c r="B40" s="14" t="s">
        <v>2981</v>
      </c>
      <c r="C40" s="23">
        <f>SUMIFS('BAL N JEANCLO'!$H:$H,'BAL N JEANCLO'!$I:$I,$A40,'BAL N JEANCLO'!$J:$J,"T")</f>
        <v>45</v>
      </c>
      <c r="D40" s="17">
        <f t="shared" si="7"/>
        <v>2.0672035944719853E-2</v>
      </c>
      <c r="E40" s="16">
        <f>SUMIFS(DONNEESCUM_N1_NOUVEAU[MONTANT],DONNEESCUM_N1_NOUVEAU[TL2],A40,DONNEESCUM_N1_NOUVEAU[MOIS],DONNÉES!$C$5,DONNEESCUM_N1_NOUVEAU[SOCIETE],"JEANCLO")</f>
        <v>533.01</v>
      </c>
      <c r="F40" s="17">
        <f t="shared" si="7"/>
        <v>0.25306291781007734</v>
      </c>
      <c r="G40" s="16">
        <f t="shared" si="8"/>
        <v>-488.01</v>
      </c>
      <c r="H40" s="17">
        <f t="shared" si="9"/>
        <v>-91.557381662632977</v>
      </c>
    </row>
    <row r="41" spans="1:8" s="18" customFormat="1" x14ac:dyDescent="0.2">
      <c r="A41" s="13" t="s">
        <v>2982</v>
      </c>
      <c r="B41" s="14" t="s">
        <v>2983</v>
      </c>
      <c r="C41" s="23">
        <f>SUMIFS('BAL N JEANCLO'!$H:$H,'BAL N JEANCLO'!$I:$I,$A41,'BAL N JEANCLO'!$J:$J,"T")</f>
        <v>507.75</v>
      </c>
      <c r="D41" s="17">
        <f t="shared" si="7"/>
        <v>0.23324947224292233</v>
      </c>
      <c r="E41" s="16">
        <f>SUMIFS(DONNEESCUM_N1_NOUVEAU[MONTANT],DONNEESCUM_N1_NOUVEAU[TL2],A41,DONNEESCUM_N1_NOUVEAU[MOIS],DONNÉES!$C$5,DONNEESCUM_N1_NOUVEAU[SOCIETE],"JEANCLO")</f>
        <v>1521.5800000000002</v>
      </c>
      <c r="F41" s="17">
        <f t="shared" si="7"/>
        <v>0.72241697994682563</v>
      </c>
      <c r="G41" s="16">
        <f t="shared" si="8"/>
        <v>-1013.8300000000002</v>
      </c>
      <c r="H41" s="17">
        <f t="shared" si="9"/>
        <v>-66.630081888563211</v>
      </c>
    </row>
    <row r="42" spans="1:8" ht="13.5" thickBot="1" x14ac:dyDescent="0.25">
      <c r="A42" s="13"/>
      <c r="B42" s="63" t="s">
        <v>2984</v>
      </c>
      <c r="C42" s="49">
        <f>+SUM(C35:C41)</f>
        <v>34508.54</v>
      </c>
      <c r="D42" s="50">
        <f t="shared" si="7"/>
        <v>15.852483983995617</v>
      </c>
      <c r="E42" s="51">
        <f>+SUM(E35:E41)</f>
        <v>54481.909999999996</v>
      </c>
      <c r="F42" s="50">
        <f t="shared" si="7"/>
        <v>25.866965183516314</v>
      </c>
      <c r="G42" s="51">
        <f>+SUM(G35:G41)</f>
        <v>-19973.37</v>
      </c>
      <c r="H42" s="50">
        <f t="shared" si="9"/>
        <v>-36.660553934324255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56485.250000000022</v>
      </c>
      <c r="D44" s="71">
        <f>(C44*100)/C$8</f>
        <v>25.948113741033055</v>
      </c>
      <c r="E44" s="72">
        <f>E18-E26-E33-E42</f>
        <v>36017.770000000011</v>
      </c>
      <c r="F44" s="71">
        <f>(E44*100)/E$8</f>
        <v>17.100545898223807</v>
      </c>
      <c r="G44" s="72">
        <f>G18-G26-G33-G42</f>
        <v>20467.48</v>
      </c>
      <c r="H44" s="71">
        <f>IF(E44=0,0,G44/E44*100)</f>
        <v>56.826061135933713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JEANCLO'!$H:$H,'BAL N JEANCLO'!$I:$I,$A46,'BAL N JEANCLO'!$J:$J,"T")</f>
        <v>22406.16</v>
      </c>
      <c r="D46" s="17">
        <f t="shared" ref="D46:F49" si="10">(C46*100)/C$8</f>
        <v>10.292909886736537</v>
      </c>
      <c r="E46" s="16">
        <f>SUMIFS(DONNEESCUM_N1_NOUVEAU[MONTANT],DONNEESCUM_N1_NOUVEAU[TL2],A46,DONNEESCUM_N1_NOUVEAU[MOIS],DONNÉES!$C$5,DONNEESCUM_N1_NOUVEAU[SOCIETE],"JEANCLO")</f>
        <v>21225.78</v>
      </c>
      <c r="F46" s="17">
        <f t="shared" si="10"/>
        <v>10.077592952467651</v>
      </c>
      <c r="G46" s="16">
        <f>+C46-E46</f>
        <v>1180.380000000001</v>
      </c>
      <c r="H46" s="17">
        <f>IF(E46=0,0,G46/E46*100)</f>
        <v>5.5610677204795351</v>
      </c>
    </row>
    <row r="47" spans="1:8" s="18" customFormat="1" x14ac:dyDescent="0.2">
      <c r="A47" s="13" t="s">
        <v>35</v>
      </c>
      <c r="B47" s="14" t="s">
        <v>2986</v>
      </c>
      <c r="C47" s="23">
        <f>SUMIFS('BAL N JEANCLO'!$H:$H,'BAL N JEANCLO'!$I:$I,$A47,'BAL N JEANCLO'!$J:$J,"T")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SUMIFS(DONNEESCUM_N1_NOUVEAU[MONTANT],DONNEESCUM_N1_NOUVEAU[TL2],A47,DONNEESCUM_N1_NOUVEAU[MOIS],DONNÉES!$C$5,DONNEESCUM_N1_NOUVEAU[SOCIETE],"JEANCLO")</f>
        <v>2100.1799999999998</v>
      </c>
      <c r="F47" s="17">
        <f t="shared" si="10"/>
        <v>0.99712515473699947</v>
      </c>
      <c r="G47" s="16">
        <f>+C47-E47</f>
        <v>-2100.1799999999998</v>
      </c>
      <c r="H47" s="17">
        <f>IF(E47=0,0,G47/E47*100)</f>
        <v>-100</v>
      </c>
    </row>
    <row r="48" spans="1:8" s="18" customFormat="1" x14ac:dyDescent="0.2">
      <c r="A48" s="13" t="s">
        <v>37</v>
      </c>
      <c r="B48" s="14" t="s">
        <v>2987</v>
      </c>
      <c r="C48" s="23">
        <f>SUMIFS('BAL N JEANCLO'!$H:$H,'BAL N JEANCLO'!$I:$I,$A48,'BAL N JEANCLO'!$J:$J,"T")</f>
        <v>-3403.9</v>
      </c>
      <c r="D48" s="17">
        <f t="shared" si="10"/>
        <v>-1.5636787367162646</v>
      </c>
      <c r="E48" s="16">
        <f>SUMIFS(DONNEESCUM_N1_NOUVEAU[MONTANT],DONNEESCUM_N1_NOUVEAU[TL2],A48,DONNEESCUM_N1_NOUVEAU[MOIS],DONNÉES!$C$5,DONNEESCUM_N1_NOUVEAU[SOCIETE],"JEANCLO")</f>
        <v>0</v>
      </c>
      <c r="F48" s="17">
        <f t="shared" si="10"/>
        <v>0</v>
      </c>
      <c r="G48" s="16">
        <f>+C48-E48</f>
        <v>-3403.9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19002.259999999998</v>
      </c>
      <c r="D49" s="50">
        <f t="shared" si="10"/>
        <v>8.7292311500202704</v>
      </c>
      <c r="E49" s="51">
        <f>SUM(E46:E48)</f>
        <v>23325.96</v>
      </c>
      <c r="F49" s="50">
        <f t="shared" si="10"/>
        <v>11.074718107204651</v>
      </c>
      <c r="G49" s="51">
        <f>SUM(G46:G48)</f>
        <v>-4323.6999999999989</v>
      </c>
      <c r="H49" s="50">
        <f>IF(E49=0,0,G49/E49*100)</f>
        <v>-18.536000233216548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JEANCLO'!$H:$H,'BAL N JEANCLO'!$I:$I,$A51,'BAL N JEANCLO'!$J:$J,"T")</f>
        <v>0</v>
      </c>
      <c r="D51" s="17">
        <f t="shared" ref="D51:F59" si="11">(C51*100)/C$8</f>
        <v>0</v>
      </c>
      <c r="E51" s="16">
        <f>SUMIFS(DONNEESCUM_N1_NOUVEAU[MONTANT],DONNEESCUM_N1_NOUVEAU[TL2],A51,DONNEESCUM_N1_NOUVEAU[MOIS],DONNÉES!$C$5,DONNEESCUM_N1_NOUVEAU[SOCIETE],"JEANCLO")</f>
        <v>2711.82</v>
      </c>
      <c r="F51" s="17">
        <f t="shared" si="11"/>
        <v>1.2875200873824579</v>
      </c>
      <c r="G51" s="16">
        <f t="shared" ref="G51:G58" si="12">+C51-E51</f>
        <v>-2711.82</v>
      </c>
      <c r="H51" s="17">
        <f t="shared" ref="H51:H59" si="13">IF(E51=0,0,G51/E51*100)</f>
        <v>-100</v>
      </c>
    </row>
    <row r="52" spans="1:8" s="18" customFormat="1" x14ac:dyDescent="0.2">
      <c r="A52" s="13" t="s">
        <v>42</v>
      </c>
      <c r="B52" s="14" t="s">
        <v>38</v>
      </c>
      <c r="C52" s="23">
        <f>SUMIFS('BAL N JEANCLO'!$H:$H,'BAL N JEANCLO'!$I:$I,$A52,'BAL N JEANCLO'!$J:$J,"T")</f>
        <v>11203.08</v>
      </c>
      <c r="D52" s="17">
        <f t="shared" si="11"/>
        <v>5.1464549433682683</v>
      </c>
      <c r="E52" s="16">
        <f>SUMIFS(DONNEESCUM_N1_NOUVEAU[MONTANT],DONNEESCUM_N1_NOUVEAU[TL2],A52,DONNEESCUM_N1_NOUVEAU[MOIS],DONNÉES!$C$5,DONNEESCUM_N1_NOUVEAU[SOCIETE],"JEANCLO")</f>
        <v>10612.88</v>
      </c>
      <c r="F52" s="17">
        <f t="shared" si="11"/>
        <v>5.0387917284257577</v>
      </c>
      <c r="G52" s="16">
        <f t="shared" si="12"/>
        <v>590.20000000000073</v>
      </c>
      <c r="H52" s="17">
        <f t="shared" si="13"/>
        <v>5.5611671855330576</v>
      </c>
    </row>
    <row r="53" spans="1:8" s="18" customFormat="1" x14ac:dyDescent="0.2">
      <c r="A53" s="13" t="s">
        <v>44</v>
      </c>
      <c r="B53" s="14" t="s">
        <v>62</v>
      </c>
      <c r="C53" s="23">
        <f>SUMIFS('BAL N JEANCLO'!$H:$H,'BAL N JEANCLO'!$I:$I,$A53,'BAL N JEANCLO'!$J:$J,"T")</f>
        <v>1286</v>
      </c>
      <c r="D53" s="17">
        <f t="shared" si="11"/>
        <v>0.59076084944243845</v>
      </c>
      <c r="E53" s="16">
        <f>SUMIFS(DONNEESCUM_N1_NOUVEAU[MONTANT],DONNEESCUM_N1_NOUVEAU[TL2],A53,DONNEESCUM_N1_NOUVEAU[MOIS],DONNÉES!$C$5,DONNEESCUM_N1_NOUVEAU[SOCIETE],"JEANCLO")</f>
        <v>733.85</v>
      </c>
      <c r="F53" s="17">
        <f t="shared" si="11"/>
        <v>0.34841789503935244</v>
      </c>
      <c r="G53" s="16">
        <f t="shared" si="12"/>
        <v>552.15</v>
      </c>
      <c r="H53" s="17">
        <f t="shared" si="13"/>
        <v>75.240171697213327</v>
      </c>
    </row>
    <row r="54" spans="1:8" s="18" customFormat="1" x14ac:dyDescent="0.2">
      <c r="A54" s="13" t="s">
        <v>45</v>
      </c>
      <c r="B54" s="14" t="s">
        <v>41</v>
      </c>
      <c r="C54" s="23">
        <f>SUMIFS('BAL N JEANCLO'!$H:$H,'BAL N JEANCLO'!$I:$I,$A54,'BAL N JEANCLO'!$J:$J,"T")</f>
        <v>1018.29</v>
      </c>
      <c r="D54" s="17">
        <f t="shared" si="11"/>
        <v>0.46778061071441729</v>
      </c>
      <c r="E54" s="16">
        <f>SUMIFS(DONNEESCUM_N1_NOUVEAU[MONTANT],DONNEESCUM_N1_NOUVEAU[TL2],A54,DONNEESCUM_N1_NOUVEAU[MOIS],DONNÉES!$C$5,DONNEESCUM_N1_NOUVEAU[SOCIETE],"JEANCLO")</f>
        <v>872.04</v>
      </c>
      <c r="F54" s="17">
        <f t="shared" si="11"/>
        <v>0.41402785472523934</v>
      </c>
      <c r="G54" s="16">
        <f t="shared" si="12"/>
        <v>146.25</v>
      </c>
      <c r="H54" s="17">
        <f t="shared" si="13"/>
        <v>16.771019677996424</v>
      </c>
    </row>
    <row r="55" spans="1:8" s="18" customFormat="1" x14ac:dyDescent="0.2">
      <c r="A55" s="13" t="s">
        <v>47</v>
      </c>
      <c r="B55" s="14" t="s">
        <v>43</v>
      </c>
      <c r="C55" s="23">
        <f>SUMIFS('BAL N JEANCLO'!$H:$H,'BAL N JEANCLO'!$I:$I,$A55,'BAL N JEANCLO'!$J:$J,"T")</f>
        <v>2048.69</v>
      </c>
      <c r="D55" s="17">
        <f t="shared" si="11"/>
        <v>0.9411242959908469</v>
      </c>
      <c r="E55" s="16">
        <f>SUMIFS(DONNEESCUM_N1_NOUVEAU[MONTANT],DONNEESCUM_N1_NOUVEAU[TL2],A55,DONNEESCUM_N1_NOUVEAU[MOIS],DONNÉES!$C$5,DONNEESCUM_N1_NOUVEAU[SOCIETE],"JEANCLO")</f>
        <v>2018.1399999999999</v>
      </c>
      <c r="F55" s="17">
        <f t="shared" si="11"/>
        <v>0.958174137350574</v>
      </c>
      <c r="G55" s="16">
        <f t="shared" si="12"/>
        <v>30.550000000000182</v>
      </c>
      <c r="H55" s="17">
        <f t="shared" si="13"/>
        <v>1.5137701051463319</v>
      </c>
    </row>
    <row r="56" spans="1:8" s="18" customFormat="1" x14ac:dyDescent="0.2">
      <c r="A56" s="13" t="s">
        <v>48</v>
      </c>
      <c r="B56" s="14" t="s">
        <v>46</v>
      </c>
      <c r="C56" s="23">
        <f>SUMIFS('BAL N JEANCLO'!$H:$H,'BAL N JEANCLO'!$I:$I,$A56,'BAL N JEANCLO'!$J:$J,"T")</f>
        <v>9200</v>
      </c>
      <c r="D56" s="17">
        <f t="shared" si="11"/>
        <v>4.2262829042538366</v>
      </c>
      <c r="E56" s="16">
        <f>SUMIFS(DONNEESCUM_N1_NOUVEAU[MONTANT],DONNEESCUM_N1_NOUVEAU[TL2],A56,DONNEESCUM_N1_NOUVEAU[MOIS],DONNÉES!$C$5,DONNEESCUM_N1_NOUVEAU[SOCIETE],"JEANCLO")</f>
        <v>9200</v>
      </c>
      <c r="F56" s="17">
        <f t="shared" si="11"/>
        <v>4.3679834221735261</v>
      </c>
      <c r="G56" s="16">
        <f t="shared" si="12"/>
        <v>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JEANCLO'!$H:$H,'BAL N JEANCLO'!$I:$I,$A57,'BAL N JEANCLO'!$J:$J,"T")</f>
        <v>668.65</v>
      </c>
      <c r="D57" s="17">
        <f t="shared" si="11"/>
        <v>0.30716348520970954</v>
      </c>
      <c r="E57" s="16">
        <f>SUMIFS(DONNEESCUM_N1_NOUVEAU[MONTANT],DONNEESCUM_N1_NOUVEAU[TL2],A57,DONNEESCUM_N1_NOUVEAU[MOIS],DONNÉES!$C$5,DONNEESCUM_N1_NOUVEAU[SOCIETE],"JEANCLO")</f>
        <v>556.53</v>
      </c>
      <c r="F57" s="17">
        <f t="shared" si="11"/>
        <v>0.26422976238502527</v>
      </c>
      <c r="G57" s="16">
        <f t="shared" si="12"/>
        <v>112.12</v>
      </c>
      <c r="H57" s="17">
        <f t="shared" si="13"/>
        <v>20.146263453901859</v>
      </c>
    </row>
    <row r="58" spans="1:8" s="18" customFormat="1" x14ac:dyDescent="0.2">
      <c r="A58" s="13" t="s">
        <v>52</v>
      </c>
      <c r="B58" s="14" t="s">
        <v>51</v>
      </c>
      <c r="C58" s="23">
        <f>SUMIFS('BAL N JEANCLO'!$H:$H,'BAL N JEANCLO'!$I:$I,$A58,'BAL N JEANCLO'!$J:$J,"T")</f>
        <v>0</v>
      </c>
      <c r="D58" s="17">
        <f t="shared" si="11"/>
        <v>0</v>
      </c>
      <c r="E58" s="16">
        <f>SUMIFS(DONNEESCUM_N1_NOUVEAU[MONTANT],DONNEESCUM_N1_NOUVEAU[TL2],A58,DONNEESCUM_N1_NOUVEAU[MOIS],DONNÉES!$C$5,DONNEESCUM_N1_NOUVEAU[SOCIETE],"JEANCLO")</f>
        <v>35</v>
      </c>
      <c r="F58" s="17">
        <f t="shared" si="11"/>
        <v>1.661732823652972E-2</v>
      </c>
      <c r="G58" s="16">
        <f t="shared" si="12"/>
        <v>-35</v>
      </c>
      <c r="H58" s="17">
        <f t="shared" si="13"/>
        <v>-100</v>
      </c>
    </row>
    <row r="59" spans="1:8" ht="13.5" thickBot="1" x14ac:dyDescent="0.25">
      <c r="A59" s="13"/>
      <c r="B59" s="63" t="s">
        <v>2994</v>
      </c>
      <c r="C59" s="49">
        <f>SUM(C51:C58)</f>
        <v>25424.71</v>
      </c>
      <c r="D59" s="50">
        <f t="shared" si="11"/>
        <v>11.679567088979518</v>
      </c>
      <c r="E59" s="51">
        <f>SUM(E51:E58)</f>
        <v>26740.26</v>
      </c>
      <c r="F59" s="50">
        <f t="shared" si="11"/>
        <v>12.695762215718464</v>
      </c>
      <c r="G59" s="51">
        <f>SUM(G51:G58)</f>
        <v>-1315.5499999999993</v>
      </c>
      <c r="H59" s="50">
        <f t="shared" si="13"/>
        <v>-4.9197352606145168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145405.46000000002</v>
      </c>
      <c r="D61" s="71">
        <f>(C61*100)/C$8</f>
        <v>66.796153237300558</v>
      </c>
      <c r="E61" s="72">
        <f>E59+E49+E42+E33+E26</f>
        <v>173188.18</v>
      </c>
      <c r="F61" s="71">
        <f>(E61*100)/E$8</f>
        <v>82.226423821348334</v>
      </c>
      <c r="G61" s="72">
        <f>G59+G49+G42+G33+G26</f>
        <v>-27782.720000000001</v>
      </c>
      <c r="H61" s="71">
        <f>IF(E61=0,0,G61/E61*100)</f>
        <v>-16.0419261868795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JEANCLO'!$H:$H,'BAL N JEANCLO'!$I:$I,$A63,'BAL N JEANCLO'!$J:$J,"T")</f>
        <v>3055.46</v>
      </c>
      <c r="D63" s="17">
        <f t="shared" ref="D63:F65" si="14">(C63*100)/C$8</f>
        <v>1.4036128655034159</v>
      </c>
      <c r="E63" s="16">
        <f>-SUMIFS(DONNEESCUM_N1_NOUVEAU[MONTANT],DONNEESCUM_N1_NOUVEAU[TL2],A63,DONNEESCUM_N1_NOUVEAU[MOIS],DONNÉES!$C$5,DONNEESCUM_N1_NOUVEAU[SOCIETE],"JEANCLO")</f>
        <v>2325.94</v>
      </c>
      <c r="F63" s="17">
        <f t="shared" si="14"/>
        <v>1.1043116696706838</v>
      </c>
      <c r="G63" s="16">
        <f>+C63-E63</f>
        <v>729.52</v>
      </c>
      <c r="H63" s="17">
        <f>IF(E63=0,0,G63/E63*100)</f>
        <v>31.364523590462351</v>
      </c>
    </row>
    <row r="64" spans="1:8" s="18" customFormat="1" x14ac:dyDescent="0.2">
      <c r="A64" s="13" t="s">
        <v>2992</v>
      </c>
      <c r="B64" s="68" t="s">
        <v>65</v>
      </c>
      <c r="C64" s="23">
        <f>SUMIFS('BAL N JEANCLO'!$H:$H,'BAL N JEANCLO'!$I:$I,$A64,'BAL N JEANCLO'!$J:$J,"T")</f>
        <v>2657.05</v>
      </c>
      <c r="D64" s="17">
        <f t="shared" si="14"/>
        <v>1.2205918468203973</v>
      </c>
      <c r="E64" s="24">
        <f>SUMIFS(DONNEESCUM_N1_NOUVEAU[MONTANT],DONNEESCUM_N1_NOUVEAU[TL2],A64,DONNEESCUM_N1_NOUVEAU[MOIS],DONNÉES!$C$5,DONNEESCUM_N1_NOUVEAU[SOCIETE],"JEANCLO")</f>
        <v>2058.79</v>
      </c>
      <c r="F64" s="17">
        <f t="shared" si="14"/>
        <v>0.97747397714528639</v>
      </c>
      <c r="G64" s="16">
        <f>+C64-E64</f>
        <v>598.26000000000022</v>
      </c>
      <c r="H64" s="17">
        <f>IF(E64=0,0,G64/E64*100)</f>
        <v>29.058816100719365</v>
      </c>
    </row>
    <row r="65" spans="1:9" s="59" customFormat="1" ht="13.5" x14ac:dyDescent="0.2">
      <c r="A65" s="13"/>
      <c r="B65" s="62" t="s">
        <v>53</v>
      </c>
      <c r="C65" s="67">
        <f>+C63-C64</f>
        <v>398.40999999999985</v>
      </c>
      <c r="D65" s="56">
        <f t="shared" si="14"/>
        <v>0.18302101868301851</v>
      </c>
      <c r="E65" s="57">
        <f>+E63-E64</f>
        <v>267.15000000000009</v>
      </c>
      <c r="F65" s="56">
        <f t="shared" si="14"/>
        <v>0.12683769252539759</v>
      </c>
      <c r="G65" s="58">
        <f>+G63-G64</f>
        <v>131.25999999999976</v>
      </c>
      <c r="H65" s="56">
        <f>IF(E65=0,0,G65/E65*100)</f>
        <v>49.133445629795894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JEANCLO'!$H:$H,'BAL N JEANCLO'!$I:$I,$A67,'BAL N JEANCLO'!$J:$J,"T")</f>
        <v>-218.69</v>
      </c>
      <c r="D67" s="17">
        <f>(C67*100)/C$8</f>
        <v>-0.10046150090557299</v>
      </c>
      <c r="E67" s="16">
        <f>-SUMIFS(DONNEESCUM_N1_NOUVEAU[MONTANT],DONNEESCUM_N1_NOUVEAU[TL2],A67,DONNEESCUM_N1_NOUVEAU[MOIS],DONNÉES!$C$5,DONNEESCUM_N1_NOUVEAU[SOCIETE],"JEANCLO")</f>
        <v>-303.48</v>
      </c>
      <c r="F67" s="17">
        <f>(E67*100)/E$8</f>
        <v>-0.14408647923491541</v>
      </c>
      <c r="G67" s="16">
        <f>+C67-E67</f>
        <v>84.79000000000002</v>
      </c>
      <c r="H67" s="17">
        <f>IF(E67=0,0,G67/E67*100)</f>
        <v>-27.939238170554901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12237.999999999998</v>
      </c>
      <c r="D69" s="10">
        <f>(C69*100)/C$8</f>
        <v>5.6218750198106999</v>
      </c>
      <c r="E69" s="9">
        <f>E18-E61+E65+E67</f>
        <v>-14084.779999999982</v>
      </c>
      <c r="F69" s="10">
        <f>(E69*100)/E$8</f>
        <v>-6.6871832114088221</v>
      </c>
      <c r="G69" s="9">
        <f>G18-G61+G65+G67</f>
        <v>26322.779999999995</v>
      </c>
      <c r="H69" s="10">
        <f>IF(E69=0,0,G69/E69*100)</f>
        <v>-186.88811610831002</v>
      </c>
    </row>
    <row r="70" spans="1:9" ht="13.5" thickBot="1" x14ac:dyDescent="0.25">
      <c r="A70" s="13"/>
      <c r="B70" s="63" t="s">
        <v>3034</v>
      </c>
      <c r="C70" s="49">
        <f>+C69-C67+C57+C56</f>
        <v>22325.339999999997</v>
      </c>
      <c r="D70" s="50">
        <f>(C70*100)/C$8</f>
        <v>10.255782910179818</v>
      </c>
      <c r="E70" s="49">
        <f>+E69-E67+E57+E56</f>
        <v>-4024.7699999999822</v>
      </c>
      <c r="F70" s="50">
        <f>(E70*100)/E$8</f>
        <v>-1.9108835476153552</v>
      </c>
      <c r="G70" s="49">
        <f>+G69-G67+G57+G56</f>
        <v>26350.109999999993</v>
      </c>
      <c r="H70" s="50">
        <f>IF(E70=0,0,G70/E70*100)</f>
        <v>-654.69852935695974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JEANCLO'!$H:$H,'BAL N JEANCLO'!$I:$I,$A72,'BAL N JEANCLO'!$J:$J,"T")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-SUMIFS(DONNEESCUM_N1_NOUVEAU[MONTANT],DONNEESCUM_N1_NOUVEAU[TL2],A72,DONNEESCUM_N1_NOUVEAU[MOIS],DONNÉES!$C$5,DONNEESCUM_N1_NOUVEAU[SOCIETE],"JEANCLO")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JEANCLO'!$H:$H,'BAL N JEANCLO'!$I:$I,$A74,'BAL N JEANCLO'!$J:$J,"T")</f>
        <v>14618</v>
      </c>
      <c r="D74" s="10">
        <f>(C74*100)/C$8</f>
        <v>6.7151960319981061</v>
      </c>
      <c r="E74" s="9">
        <f>SUMIFS(DONNEESCUM_N1_NOUVEAU[MONTANT],DONNEESCUM_N1_NOUVEAU[TL2],A74,DONNEESCUM_N1_NOUVEAU[MOIS],DONNÉES!$C$5,DONNEESCUM_N1_NOUVEAU[SOCIETE],"JEANCLO")</f>
        <v>12000</v>
      </c>
      <c r="F74" s="10">
        <f>(E74*100)/E$8</f>
        <v>5.6973696810959042</v>
      </c>
      <c r="G74" s="9">
        <f>+C74-E74</f>
        <v>2618</v>
      </c>
      <c r="H74" s="10">
        <f>IF(E74=0,0,G74/E74*100)</f>
        <v>21.816666666666666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-2380.0000000000018</v>
      </c>
      <c r="D76" s="71">
        <f>(C76*100)/C$8</f>
        <v>-1.0933210121874062</v>
      </c>
      <c r="E76" s="72">
        <f>E69-E74+E72</f>
        <v>-26084.779999999984</v>
      </c>
      <c r="F76" s="71">
        <f>(E76*100)/E$8</f>
        <v>-12.384552892504727</v>
      </c>
      <c r="G76" s="72">
        <f>G69-G74+G72</f>
        <v>23704.779999999995</v>
      </c>
      <c r="H76" s="71">
        <f>IF(E76=0,0,G76/E76*100)</f>
        <v>-90.875905413041664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VLOOKUP(PARAMETRES!$C$2,DONNÉES!$DJ$188:$DP$199,2,FALSE)</f>
        <v>12917</v>
      </c>
      <c r="D78" s="324"/>
      <c r="E78" s="323"/>
      <c r="F78" s="324"/>
      <c r="G78" s="317"/>
      <c r="H78" s="318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VLOOKUP(PARAMETRES!$C$2,DONNÉES!$DJ$284:$DP$295,2,FALSE)</f>
        <v>13.91</v>
      </c>
      <c r="D80" s="316"/>
      <c r="E80" s="315"/>
      <c r="F80" s="316"/>
      <c r="G80" s="317"/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C4893-6B32-4CCC-8F00-FE459A92BBED}">
  <sheetPr>
    <tabColor rgb="FFFFC000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0933-F84E-4F7D-B694-9085AAF31C9A}">
  <sheetPr>
    <tabColor rgb="FFFFC000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6974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6965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THOMAS'!$H:$H,'BAL N THOMAS'!$I:$I,$A8,'BAL N THOMAS'!$J:$J,"T")</f>
        <v>225059.06</v>
      </c>
      <c r="D8" s="71">
        <f>(C8*100)/C$8</f>
        <v>100</v>
      </c>
      <c r="E8" s="72">
        <f>-SUMIFS(DONNEESCUM_N1_NOUVEAU[MONTANT],DONNEESCUM_N1_NOUVEAU[TL2],A8,DONNEESCUM_N1_NOUVEAU[MOIS],DONNÉES!$C$5,DONNEESCUM_N1_NOUVEAU[SOCIETE],"THOMAS")</f>
        <v>349402.23000000004</v>
      </c>
      <c r="F8" s="71">
        <f>(E8*100)/E$8</f>
        <v>100.00000000000001</v>
      </c>
      <c r="G8" s="72">
        <f>+C8-E8</f>
        <v>-124343.17000000004</v>
      </c>
      <c r="H8" s="71">
        <f>IF(E8=0,0,G8/E8*100)</f>
        <v>-35.587400229242967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THOMAS'!$H:$H,'BAL N THOMAS'!$I:$I,$A10,'BAL N THOMAS'!$J:$J,"T")</f>
        <v>49662.43</v>
      </c>
      <c r="D10" s="17">
        <f t="shared" ref="D10:F16" si="0">(C10*100)/C$8</f>
        <v>22.066398926575097</v>
      </c>
      <c r="E10" s="16">
        <f>SUMIFS(DONNEESCUM_N1_NOUVEAU[MONTANT],DONNEESCUM_N1_NOUVEAU[TL2],A10,DONNEESCUM_N1_NOUVEAU[MOIS],DONNÉES!$C$5,DONNEESCUM_N1_NOUVEAU[SOCIETE],"THOMAS")</f>
        <v>77023.950000000012</v>
      </c>
      <c r="F10" s="17">
        <f t="shared" si="0"/>
        <v>22.044492961593292</v>
      </c>
      <c r="G10" s="16">
        <f>+C10-E10</f>
        <v>-27361.520000000011</v>
      </c>
      <c r="H10" s="17">
        <f t="shared" ref="H10:H16" si="1">IF(E10=0,0,G10/E10*100)</f>
        <v>-35.523392399377087</v>
      </c>
    </row>
    <row r="11" spans="1:8" s="18" customFormat="1" x14ac:dyDescent="0.2">
      <c r="A11" s="13" t="s">
        <v>124</v>
      </c>
      <c r="B11" s="14" t="s">
        <v>4</v>
      </c>
      <c r="C11" s="23">
        <f>SUMIFS('BAL N THOMAS'!$H:$H,'BAL N THOMAS'!$I:$I,$A11,'BAL N THOMAS'!$J:$J,"T")</f>
        <v>1353.01</v>
      </c>
      <c r="D11" s="17">
        <f t="shared" si="0"/>
        <v>0.60117997471419282</v>
      </c>
      <c r="E11" s="16">
        <f>SUMIFS(DONNEESCUM_N1_NOUVEAU[MONTANT],DONNEESCUM_N1_NOUVEAU[TL2],A11,DONNEESCUM_N1_NOUVEAU[MOIS],DONNÉES!$C$5,DONNEESCUM_N1_NOUVEAU[SOCIETE],"THOMAS")</f>
        <v>1700.81</v>
      </c>
      <c r="F11" s="17">
        <f t="shared" si="0"/>
        <v>0.48677708782797402</v>
      </c>
      <c r="G11" s="16">
        <f>+C11-E11</f>
        <v>-347.79999999999995</v>
      </c>
      <c r="H11" s="17">
        <f t="shared" si="1"/>
        <v>-20.449080144166601</v>
      </c>
    </row>
    <row r="12" spans="1:8" s="18" customFormat="1" x14ac:dyDescent="0.2">
      <c r="A12" s="13" t="s">
        <v>125</v>
      </c>
      <c r="B12" s="14" t="s">
        <v>2</v>
      </c>
      <c r="C12" s="23">
        <f>SUMIFS('BAL N THOMAS'!$H:$H,'BAL N THOMAS'!$I:$I,$A12,'BAL N THOMAS'!$J:$J,"T")</f>
        <v>1893.68</v>
      </c>
      <c r="D12" s="17">
        <f t="shared" si="0"/>
        <v>0.8414146935475515</v>
      </c>
      <c r="E12" s="16">
        <f>SUMIFS(DONNEESCUM_N1_NOUVEAU[MONTANT],DONNEESCUM_N1_NOUVEAU[TL2],A12,DONNEESCUM_N1_NOUVEAU[MOIS],DONNÉES!$C$5,DONNEESCUM_N1_NOUVEAU[SOCIETE],"THOMAS")</f>
        <v>3010.68</v>
      </c>
      <c r="F12" s="17">
        <f t="shared" si="0"/>
        <v>0.86166593727807628</v>
      </c>
      <c r="G12" s="16">
        <f>+C12-E12</f>
        <v>-1116.9999999999998</v>
      </c>
      <c r="H12" s="17">
        <f t="shared" si="1"/>
        <v>-37.101252873105075</v>
      </c>
    </row>
    <row r="13" spans="1:8" s="59" customFormat="1" ht="13.5" x14ac:dyDescent="0.2">
      <c r="A13" s="60"/>
      <c r="B13" s="62" t="s">
        <v>6</v>
      </c>
      <c r="C13" s="55">
        <f>SUM(C10:C12)</f>
        <v>52909.120000000003</v>
      </c>
      <c r="D13" s="56">
        <f t="shared" si="0"/>
        <v>23.508993594836841</v>
      </c>
      <c r="E13" s="55">
        <f>SUM(E10:E12)</f>
        <v>81735.44</v>
      </c>
      <c r="F13" s="56">
        <f t="shared" si="0"/>
        <v>23.392935986699339</v>
      </c>
      <c r="G13" s="55">
        <f>SUM(G10:G12)</f>
        <v>-28826.320000000011</v>
      </c>
      <c r="H13" s="56">
        <f t="shared" si="1"/>
        <v>-35.267834858416386</v>
      </c>
    </row>
    <row r="14" spans="1:8" s="18" customFormat="1" x14ac:dyDescent="0.2">
      <c r="A14" s="13" t="s">
        <v>126</v>
      </c>
      <c r="B14" s="14" t="s">
        <v>8</v>
      </c>
      <c r="C14" s="23">
        <f>SUMIFS('BAL N THOMAS'!$H:$H,'BAL N THOMAS'!$I:$I,$A14,'BAL N THOMAS'!$J:$J,"T")</f>
        <v>4062.77</v>
      </c>
      <c r="D14" s="17">
        <f t="shared" si="0"/>
        <v>1.8052017101644342</v>
      </c>
      <c r="E14" s="16">
        <f>SUMIFS(DONNEESCUM_N1_NOUVEAU[MONTANT],DONNEESCUM_N1_NOUVEAU[TL2],A14,DONNEESCUM_N1_NOUVEAU[MOIS],DONNÉES!$C$5,DONNEESCUM_N1_NOUVEAU[SOCIETE],"THOMAS")</f>
        <v>9108.7099999999991</v>
      </c>
      <c r="F14" s="17">
        <f t="shared" si="0"/>
        <v>2.6069410032099674</v>
      </c>
      <c r="G14" s="16">
        <f>+C14-E14</f>
        <v>-5045.9399999999987</v>
      </c>
      <c r="H14" s="17">
        <f t="shared" si="1"/>
        <v>-55.396867393955887</v>
      </c>
    </row>
    <row r="15" spans="1:8" s="18" customFormat="1" x14ac:dyDescent="0.2">
      <c r="A15" s="13" t="s">
        <v>2964</v>
      </c>
      <c r="B15" s="14" t="s">
        <v>2965</v>
      </c>
      <c r="C15" s="23">
        <f>SUMIFS('BAL N THOMAS'!$H:$H,'BAL N THOMAS'!$I:$I,$A15,'BAL N THOMAS'!$J:$J,"T")</f>
        <v>164.78</v>
      </c>
      <c r="D15" s="17">
        <f t="shared" si="0"/>
        <v>7.3216337080586752E-2</v>
      </c>
      <c r="E15" s="16">
        <f>SUMIFS(DONNEESCUM_N1_NOUVEAU[MONTANT],DONNEESCUM_N1_NOUVEAU[TL2],A15,DONNEESCUM_N1_NOUVEAU[MOIS],DONNÉES!$C$5,DONNEESCUM_N1_NOUVEAU[SOCIETE],"THOMAS")</f>
        <v>490.85</v>
      </c>
      <c r="F15" s="17">
        <f t="shared" si="0"/>
        <v>0.14048278970629349</v>
      </c>
      <c r="G15" s="16">
        <f>+C15-E15</f>
        <v>-326.07000000000005</v>
      </c>
      <c r="H15" s="17">
        <f t="shared" si="1"/>
        <v>-66.429662829785073</v>
      </c>
    </row>
    <row r="16" spans="1:8" ht="13.5" thickBot="1" x14ac:dyDescent="0.25">
      <c r="A16" s="7"/>
      <c r="B16" s="63" t="s">
        <v>10</v>
      </c>
      <c r="C16" s="49">
        <f>+C13+SUM(C14:C15)</f>
        <v>57136.670000000006</v>
      </c>
      <c r="D16" s="50">
        <f t="shared" si="0"/>
        <v>25.387411642081865</v>
      </c>
      <c r="E16" s="49">
        <f>+E13+SUM(E14:E15)</f>
        <v>91335</v>
      </c>
      <c r="F16" s="50">
        <f t="shared" si="0"/>
        <v>26.140359779615601</v>
      </c>
      <c r="G16" s="49">
        <f>+G13+SUM(G14:G15)</f>
        <v>-34198.330000000009</v>
      </c>
      <c r="H16" s="50">
        <f t="shared" si="1"/>
        <v>-37.4427437455521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167922.38999999998</v>
      </c>
      <c r="D18" s="71">
        <f>(C18*100)/C$8</f>
        <v>74.612588357918142</v>
      </c>
      <c r="E18" s="70">
        <f>E8-E16</f>
        <v>258067.23000000004</v>
      </c>
      <c r="F18" s="71">
        <f>(E18*100)/E$8</f>
        <v>73.859640220384406</v>
      </c>
      <c r="G18" s="70">
        <f>G8-G16</f>
        <v>-90144.840000000026</v>
      </c>
      <c r="H18" s="71">
        <f>IF(E18=0,0,G18/E18*100)</f>
        <v>-34.930758159414509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THOMAS'!$H:$H,'BAL N THOMAS'!$I:$I,$A20,'BAL N THOMAS'!$J:$J,"T")</f>
        <v>27614.92</v>
      </c>
      <c r="D20" s="17">
        <f t="shared" ref="D20:F26" si="2">(C20*100)/C$8</f>
        <v>12.270077018894508</v>
      </c>
      <c r="E20" s="16">
        <f>SUMIFS(DONNEESCUM_N1_NOUVEAU[MONTANT],DONNEESCUM_N1_NOUVEAU[TL2],A20,DONNEESCUM_N1_NOUVEAU[MOIS],DONNÉES!$C$5,DONNEESCUM_N1_NOUVEAU[SOCIETE],"THOMAS")</f>
        <v>58903.049999999996</v>
      </c>
      <c r="F20" s="17">
        <f t="shared" si="2"/>
        <v>16.858235278006095</v>
      </c>
      <c r="G20" s="16">
        <f t="shared" ref="G20:G25" si="3">+C20-E20</f>
        <v>-31288.129999999997</v>
      </c>
      <c r="H20" s="17">
        <f t="shared" ref="H20:H26" si="4">IF(E20=0,0,G20/E20*100)</f>
        <v>-53.118013413566864</v>
      </c>
    </row>
    <row r="21" spans="1:8" s="18" customFormat="1" x14ac:dyDescent="0.2">
      <c r="A21" s="13">
        <v>9</v>
      </c>
      <c r="B21" s="14" t="s">
        <v>2968</v>
      </c>
      <c r="C21" s="23">
        <f>SUMIFS('BAL N THOMAS'!$H:$H,'BAL N THOMAS'!$I:$I,$A21,'BAL N THOMAS'!$J:$J,"T")</f>
        <v>3379.71</v>
      </c>
      <c r="D21" s="17">
        <f t="shared" si="2"/>
        <v>1.5016991539909568</v>
      </c>
      <c r="E21" s="16">
        <f>SUMIFS(DONNEESCUM_N1_NOUVEAU[MONTANT],DONNEESCUM_N1_NOUVEAU[TL2],A21,DONNEESCUM_N1_NOUVEAU[MOIS],DONNÉES!$C$5,DONNEESCUM_N1_NOUVEAU[SOCIETE],"THOMAS")</f>
        <v>11776.67</v>
      </c>
      <c r="F21" s="17">
        <f t="shared" si="2"/>
        <v>3.3705194154027005</v>
      </c>
      <c r="G21" s="16">
        <f t="shared" si="3"/>
        <v>-8396.9599999999991</v>
      </c>
      <c r="H21" s="17">
        <f t="shared" si="4"/>
        <v>-71.301649787248849</v>
      </c>
    </row>
    <row r="22" spans="1:8" s="18" customFormat="1" x14ac:dyDescent="0.2">
      <c r="A22" s="13" t="s">
        <v>12</v>
      </c>
      <c r="B22" s="14" t="s">
        <v>14</v>
      </c>
      <c r="C22" s="23">
        <f>SUMIFS('BAL N THOMAS'!$H:$H,'BAL N THOMAS'!$I:$I,$A22,'BAL N THOMAS'!$J:$J,"T")</f>
        <v>18309.689999999999</v>
      </c>
      <c r="D22" s="17">
        <f t="shared" si="2"/>
        <v>8.1355045204578733</v>
      </c>
      <c r="E22" s="16">
        <f>SUMIFS(DONNEESCUM_N1_NOUVEAU[MONTANT],DONNEESCUM_N1_NOUVEAU[TL2],A22,DONNEESCUM_N1_NOUVEAU[MOIS],DONNÉES!$C$5,DONNEESCUM_N1_NOUVEAU[SOCIETE],"THOMAS")</f>
        <v>20461.649999999998</v>
      </c>
      <c r="F22" s="17">
        <f t="shared" si="2"/>
        <v>5.8561875807146384</v>
      </c>
      <c r="G22" s="16">
        <f t="shared" si="3"/>
        <v>-2151.9599999999991</v>
      </c>
      <c r="H22" s="17">
        <f t="shared" si="4"/>
        <v>-10.517040414629315</v>
      </c>
    </row>
    <row r="23" spans="1:8" s="18" customFormat="1" x14ac:dyDescent="0.2">
      <c r="A23" s="13" t="s">
        <v>13</v>
      </c>
      <c r="B23" s="14" t="s">
        <v>2966</v>
      </c>
      <c r="C23" s="23">
        <f>SUMIFS('BAL N THOMAS'!$H:$H,'BAL N THOMAS'!$I:$I,$A23,'BAL N THOMAS'!$J:$J,"T")</f>
        <v>4405.8599999999997</v>
      </c>
      <c r="D23" s="17">
        <f t="shared" si="2"/>
        <v>1.957646139639968</v>
      </c>
      <c r="E23" s="16">
        <f>SUMIFS(DONNEESCUM_N1_NOUVEAU[MONTANT],DONNEESCUM_N1_NOUVEAU[TL2],A23,DONNEESCUM_N1_NOUVEAU[MOIS],DONNÉES!$C$5,DONNEESCUM_N1_NOUVEAU[SOCIETE],"THOMAS")</f>
        <v>5981.2200000000012</v>
      </c>
      <c r="F23" s="17">
        <f t="shared" si="2"/>
        <v>1.7118436822798757</v>
      </c>
      <c r="G23" s="16">
        <f t="shared" si="3"/>
        <v>-1575.3600000000015</v>
      </c>
      <c r="H23" s="17">
        <f t="shared" si="4"/>
        <v>-26.338439315056146</v>
      </c>
    </row>
    <row r="24" spans="1:8" s="18" customFormat="1" x14ac:dyDescent="0.2">
      <c r="A24" s="13" t="s">
        <v>15</v>
      </c>
      <c r="B24" s="14" t="s">
        <v>2969</v>
      </c>
      <c r="C24" s="23">
        <f>SUMIFS('BAL N THOMAS'!$H:$H,'BAL N THOMAS'!$I:$I,$A24,'BAL N THOMAS'!$J:$J,"T")</f>
        <v>-500</v>
      </c>
      <c r="D24" s="17">
        <f t="shared" si="2"/>
        <v>-0.22216390666521046</v>
      </c>
      <c r="E24" s="16">
        <f>SUMIFS(DONNEESCUM_N1_NOUVEAU[MONTANT],DONNEESCUM_N1_NOUVEAU[TL2],A24,DONNEESCUM_N1_NOUVEAU[MOIS],DONNÉES!$C$5,DONNEESCUM_N1_NOUVEAU[SOCIETE],"THOMAS")</f>
        <v>0</v>
      </c>
      <c r="F24" s="17">
        <f t="shared" si="2"/>
        <v>0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THOMAS'!$H:$H,'BAL N THOMAS'!$I:$I,$A25,'BAL N THOMAS'!$J:$J,"T")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SUMIFS(DONNEESCUM_N1_NOUVEAU[MONTANT],DONNEESCUM_N1_NOUVEAU[TL2],A25,DONNEESCUM_N1_NOUVEAU[MOIS],DONNÉES!$C$5,DONNEESCUM_N1_NOUVEAU[SOCIETE],"THOMAS")</f>
        <v>0</v>
      </c>
      <c r="F25" s="17">
        <f t="shared" si="2"/>
        <v>0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53210.179999999993</v>
      </c>
      <c r="D26" s="50">
        <f t="shared" si="2"/>
        <v>23.642762926318092</v>
      </c>
      <c r="E26" s="51">
        <f>SUM(E20:E25)</f>
        <v>97122.59</v>
      </c>
      <c r="F26" s="50">
        <f t="shared" si="2"/>
        <v>27.796785956403308</v>
      </c>
      <c r="G26" s="51">
        <f>SUM(G20:G25)</f>
        <v>-43912.409999999996</v>
      </c>
      <c r="H26" s="50">
        <f t="shared" si="4"/>
        <v>-45.213384445369506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THOMAS'!$H:$H,'BAL N THOMAS'!$I:$I,$A28,'BAL N THOMAS'!$J:$J,"T")</f>
        <v>9540</v>
      </c>
      <c r="D28" s="17">
        <f t="shared" ref="D28:F33" si="5">(C28*100)/C$8</f>
        <v>4.2388873391722157</v>
      </c>
      <c r="E28" s="16">
        <f>SUMIFS(DONNEESCUM_N1_NOUVEAU[MONTANT],DONNEESCUM_N1_NOUVEAU[TL2],A28,DONNEESCUM_N1_NOUVEAU[MOIS],DONNÉES!$C$5,DONNEESCUM_N1_NOUVEAU[SOCIETE],"THOMAS")</f>
        <v>109.12</v>
      </c>
      <c r="F28" s="17">
        <f t="shared" si="5"/>
        <v>3.1230481843232651E-2</v>
      </c>
      <c r="G28" s="16">
        <f>+C28-E28</f>
        <v>9430.8799999999992</v>
      </c>
      <c r="H28" s="17">
        <f t="shared" ref="H28:H33" si="6">IF(E28=0,0,G28/E28*100)</f>
        <v>8642.6686217008792</v>
      </c>
    </row>
    <row r="29" spans="1:8" s="18" customFormat="1" x14ac:dyDescent="0.2">
      <c r="A29" s="13" t="s">
        <v>20</v>
      </c>
      <c r="B29" s="14" t="s">
        <v>2972</v>
      </c>
      <c r="C29" s="23">
        <f>SUMIFS('BAL N THOMAS'!$H:$H,'BAL N THOMAS'!$I:$I,$A29,'BAL N THOMAS'!$J:$J,"T")</f>
        <v>58.23</v>
      </c>
      <c r="D29" s="17">
        <f t="shared" si="5"/>
        <v>2.587320857023041E-2</v>
      </c>
      <c r="E29" s="16">
        <f>SUMIFS(DONNEESCUM_N1_NOUVEAU[MONTANT],DONNEESCUM_N1_NOUVEAU[TL2],A29,DONNEESCUM_N1_NOUVEAU[MOIS],DONNÉES!$C$5,DONNEESCUM_N1_NOUVEAU[SOCIETE],"THOMAS")</f>
        <v>65.39</v>
      </c>
      <c r="F29" s="17">
        <f t="shared" si="5"/>
        <v>1.8714820452061794E-2</v>
      </c>
      <c r="G29" s="16">
        <f>+C29-E29</f>
        <v>-7.1600000000000037</v>
      </c>
      <c r="H29" s="17">
        <f t="shared" si="6"/>
        <v>-10.949686496406184</v>
      </c>
    </row>
    <row r="30" spans="1:8" s="18" customFormat="1" x14ac:dyDescent="0.2">
      <c r="A30" s="13" t="s">
        <v>21</v>
      </c>
      <c r="B30" s="14" t="s">
        <v>2973</v>
      </c>
      <c r="C30" s="23">
        <f>SUMIFS('BAL N THOMAS'!$H:$H,'BAL N THOMAS'!$I:$I,$A30,'BAL N THOMAS'!$J:$J,"T")</f>
        <v>1677.22</v>
      </c>
      <c r="D30" s="17">
        <f t="shared" si="5"/>
        <v>0.74523549507404863</v>
      </c>
      <c r="E30" s="16">
        <f>SUMIFS(DONNEESCUM_N1_NOUVEAU[MONTANT],DONNEESCUM_N1_NOUVEAU[TL2],A30,DONNEESCUM_N1_NOUVEAU[MOIS],DONNÉES!$C$5,DONNEESCUM_N1_NOUVEAU[SOCIETE],"THOMAS")</f>
        <v>1949.2</v>
      </c>
      <c r="F30" s="17">
        <f t="shared" si="5"/>
        <v>0.55786707486097031</v>
      </c>
      <c r="G30" s="16">
        <f>+C30-E30</f>
        <v>-271.98</v>
      </c>
      <c r="H30" s="17">
        <f t="shared" si="6"/>
        <v>-13.953416786373898</v>
      </c>
    </row>
    <row r="31" spans="1:8" s="18" customFormat="1" x14ac:dyDescent="0.2">
      <c r="A31" s="13" t="s">
        <v>23</v>
      </c>
      <c r="B31" s="14" t="s">
        <v>2974</v>
      </c>
      <c r="C31" s="23">
        <f>SUMIFS('BAL N THOMAS'!$H:$H,'BAL N THOMAS'!$I:$I,$A31,'BAL N THOMAS'!$J:$J,"T")</f>
        <v>2890.53</v>
      </c>
      <c r="D31" s="17">
        <f t="shared" si="5"/>
        <v>1.2843428742659815</v>
      </c>
      <c r="E31" s="16">
        <f>SUMIFS(DONNEESCUM_N1_NOUVEAU[MONTANT],DONNEESCUM_N1_NOUVEAU[TL2],A31,DONNEESCUM_N1_NOUVEAU[MOIS],DONNÉES!$C$5,DONNEESCUM_N1_NOUVEAU[SOCIETE],"THOMAS")</f>
        <v>4641.37</v>
      </c>
      <c r="F31" s="17">
        <f t="shared" si="5"/>
        <v>1.328374464009574</v>
      </c>
      <c r="G31" s="16">
        <f>+C31-E31</f>
        <v>-1750.8399999999997</v>
      </c>
      <c r="H31" s="17">
        <f t="shared" si="6"/>
        <v>-37.72248280141423</v>
      </c>
    </row>
    <row r="32" spans="1:8" s="18" customFormat="1" x14ac:dyDescent="0.2">
      <c r="A32" s="13" t="s">
        <v>25</v>
      </c>
      <c r="B32" s="14" t="s">
        <v>2975</v>
      </c>
      <c r="C32" s="23">
        <f>SUMIFS('BAL N THOMAS'!$H:$H,'BAL N THOMAS'!$I:$I,$A32,'BAL N THOMAS'!$J:$J,"T")</f>
        <v>4651.0200000000004</v>
      </c>
      <c r="D32" s="17">
        <f t="shared" si="5"/>
        <v>2.0665775463560547</v>
      </c>
      <c r="E32" s="16">
        <f>SUMIFS(DONNEESCUM_N1_NOUVEAU[MONTANT],DONNEESCUM_N1_NOUVEAU[TL2],A32,DONNEESCUM_N1_NOUVEAU[MOIS],DONNÉES!$C$5,DONNEESCUM_N1_NOUVEAU[SOCIETE],"THOMAS")</f>
        <v>4002.3599999999997</v>
      </c>
      <c r="F32" s="17">
        <f t="shared" si="5"/>
        <v>1.1454878235894486</v>
      </c>
      <c r="G32" s="16">
        <f>+C32-E32</f>
        <v>648.66000000000076</v>
      </c>
      <c r="H32" s="17">
        <f t="shared" si="6"/>
        <v>16.206937906635105</v>
      </c>
    </row>
    <row r="33" spans="1:8" ht="13.5" thickBot="1" x14ac:dyDescent="0.25">
      <c r="A33" s="7"/>
      <c r="B33" s="63" t="s">
        <v>2976</v>
      </c>
      <c r="C33" s="49">
        <f>SUM(C28:C32)</f>
        <v>18817</v>
      </c>
      <c r="D33" s="50">
        <f t="shared" si="5"/>
        <v>8.3609164634385298</v>
      </c>
      <c r="E33" s="51">
        <f>SUM(E28:E32)</f>
        <v>10767.439999999999</v>
      </c>
      <c r="F33" s="50">
        <f t="shared" si="5"/>
        <v>3.0816746647552868</v>
      </c>
      <c r="G33" s="51">
        <f>SUM(G28:G32)</f>
        <v>8049.56</v>
      </c>
      <c r="H33" s="50">
        <f t="shared" si="6"/>
        <v>74.758345530599669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THOMAS'!$H:$H,'BAL N THOMAS'!$I:$I,$A35,'BAL N THOMAS'!$J:$J,"T")</f>
        <v>0</v>
      </c>
      <c r="D35" s="17">
        <f t="shared" ref="D35:F42" si="7">(C35*100)/C$8</f>
        <v>0</v>
      </c>
      <c r="E35" s="16">
        <f>SUMIFS(DONNEESCUM_N1_NOUVEAU[MONTANT],DONNEESCUM_N1_NOUVEAU[TL2],A35,DONNEESCUM_N1_NOUVEAU[MOIS],DONNÉES!$C$5,DONNEESCUM_N1_NOUVEAU[SOCIETE],"THOMAS")</f>
        <v>6492.0199999999995</v>
      </c>
      <c r="F35" s="17">
        <f t="shared" si="7"/>
        <v>1.858036223752779</v>
      </c>
      <c r="G35" s="16">
        <f t="shared" ref="G35:G41" si="8">+C35-E35</f>
        <v>-6492.0199999999995</v>
      </c>
      <c r="H35" s="17">
        <f t="shared" ref="H35:H42" si="9">IF(E35=0,0,G35/E35*100)</f>
        <v>-100</v>
      </c>
    </row>
    <row r="36" spans="1:8" s="18" customFormat="1" x14ac:dyDescent="0.2">
      <c r="A36" s="13" t="s">
        <v>30</v>
      </c>
      <c r="B36" s="14" t="s">
        <v>145</v>
      </c>
      <c r="C36" s="23">
        <f>SUMIFS('BAL N THOMAS'!$H:$H,'BAL N THOMAS'!$I:$I,$A36,'BAL N THOMAS'!$J:$J,"T")</f>
        <v>9030.2999999999993</v>
      </c>
      <c r="D36" s="17">
        <f t="shared" si="7"/>
        <v>4.0124134527176993</v>
      </c>
      <c r="E36" s="16">
        <f>SUMIFS(DONNEESCUM_N1_NOUVEAU[MONTANT],DONNEESCUM_N1_NOUVEAU[TL2],A36,DONNEESCUM_N1_NOUVEAU[MOIS],DONNÉES!$C$5,DONNEESCUM_N1_NOUVEAU[SOCIETE],"THOMAS")</f>
        <v>13991.45</v>
      </c>
      <c r="F36" s="17">
        <f t="shared" si="7"/>
        <v>4.004396308518122</v>
      </c>
      <c r="G36" s="16">
        <f t="shared" si="8"/>
        <v>-4961.1500000000015</v>
      </c>
      <c r="H36" s="17">
        <f t="shared" si="9"/>
        <v>-35.458440690564601</v>
      </c>
    </row>
    <row r="37" spans="1:8" s="18" customFormat="1" x14ac:dyDescent="0.2">
      <c r="A37" s="13" t="s">
        <v>32</v>
      </c>
      <c r="B37" s="14" t="s">
        <v>19</v>
      </c>
      <c r="C37" s="23">
        <f>SUMIFS('BAL N THOMAS'!$H:$H,'BAL N THOMAS'!$I:$I,$A37,'BAL N THOMAS'!$J:$J,"T")</f>
        <v>5162.43</v>
      </c>
      <c r="D37" s="17">
        <f t="shared" si="7"/>
        <v>2.2938112333713647</v>
      </c>
      <c r="E37" s="16">
        <f>SUMIFS(DONNEESCUM_N1_NOUVEAU[MONTANT],DONNEESCUM_N1_NOUVEAU[TL2],A37,DONNEESCUM_N1_NOUVEAU[MOIS],DONNÉES!$C$5,DONNEESCUM_N1_NOUVEAU[SOCIETE],"THOMAS")</f>
        <v>4333.13</v>
      </c>
      <c r="F37" s="17">
        <f t="shared" si="7"/>
        <v>1.2401552216767475</v>
      </c>
      <c r="G37" s="16">
        <f t="shared" si="8"/>
        <v>829.30000000000018</v>
      </c>
      <c r="H37" s="17">
        <f t="shared" si="9"/>
        <v>19.138590349239468</v>
      </c>
    </row>
    <row r="38" spans="1:8" s="18" customFormat="1" x14ac:dyDescent="0.2">
      <c r="A38" s="13" t="s">
        <v>34</v>
      </c>
      <c r="B38" s="14" t="s">
        <v>28</v>
      </c>
      <c r="C38" s="23">
        <f>SUMIFS('BAL N THOMAS'!$H:$H,'BAL N THOMAS'!$I:$I,$A38,'BAL N THOMAS'!$J:$J,"T")</f>
        <v>8650.75</v>
      </c>
      <c r="D38" s="17">
        <f t="shared" si="7"/>
        <v>3.8437688311681386</v>
      </c>
      <c r="E38" s="16">
        <f>SUMIFS(DONNEESCUM_N1_NOUVEAU[MONTANT],DONNEESCUM_N1_NOUVEAU[TL2],A38,DONNEESCUM_N1_NOUVEAU[MOIS],DONNÉES!$C$5,DONNEESCUM_N1_NOUVEAU[SOCIETE],"THOMAS")</f>
        <v>19297.620000000003</v>
      </c>
      <c r="F38" s="17">
        <f t="shared" si="7"/>
        <v>5.5230385907954851</v>
      </c>
      <c r="G38" s="16">
        <f t="shared" si="8"/>
        <v>-10646.870000000003</v>
      </c>
      <c r="H38" s="17">
        <f t="shared" si="9"/>
        <v>-55.171933119213669</v>
      </c>
    </row>
    <row r="39" spans="1:8" s="18" customFormat="1" x14ac:dyDescent="0.2">
      <c r="A39" s="13" t="s">
        <v>2978</v>
      </c>
      <c r="B39" s="14" t="s">
        <v>2980</v>
      </c>
      <c r="C39" s="23">
        <f>SUMIFS('BAL N THOMAS'!$H:$H,'BAL N THOMAS'!$I:$I,$A39,'BAL N THOMAS'!$J:$J,"T")</f>
        <v>2492.2199999999998</v>
      </c>
      <c r="D39" s="17">
        <f t="shared" si="7"/>
        <v>1.1073626629383415</v>
      </c>
      <c r="E39" s="16">
        <f>SUMIFS(DONNEESCUM_N1_NOUVEAU[MONTANT],DONNEESCUM_N1_NOUVEAU[TL2],A39,DONNEESCUM_N1_NOUVEAU[MOIS],DONNÉES!$C$5,DONNEESCUM_N1_NOUVEAU[SOCIETE],"THOMAS")</f>
        <v>4683.66</v>
      </c>
      <c r="F39" s="17">
        <f t="shared" si="7"/>
        <v>1.3404779929424033</v>
      </c>
      <c r="G39" s="16">
        <f t="shared" si="8"/>
        <v>-2191.44</v>
      </c>
      <c r="H39" s="17">
        <f t="shared" si="9"/>
        <v>-46.789049589423662</v>
      </c>
    </row>
    <row r="40" spans="1:8" s="18" customFormat="1" x14ac:dyDescent="0.2">
      <c r="A40" s="13" t="s">
        <v>2979</v>
      </c>
      <c r="B40" s="14" t="s">
        <v>2981</v>
      </c>
      <c r="C40" s="23">
        <f>SUMIFS('BAL N THOMAS'!$H:$H,'BAL N THOMAS'!$I:$I,$A40,'BAL N THOMAS'!$J:$J,"T")</f>
        <v>268.02999999999997</v>
      </c>
      <c r="D40" s="17">
        <f t="shared" si="7"/>
        <v>0.1190931838069527</v>
      </c>
      <c r="E40" s="16">
        <f>SUMIFS(DONNEESCUM_N1_NOUVEAU[MONTANT],DONNEESCUM_N1_NOUVEAU[TL2],A40,DONNEESCUM_N1_NOUVEAU[MOIS],DONNÉES!$C$5,DONNEESCUM_N1_NOUVEAU[SOCIETE],"THOMAS")</f>
        <v>802.97</v>
      </c>
      <c r="F40" s="17">
        <f t="shared" si="7"/>
        <v>0.22981250005187429</v>
      </c>
      <c r="G40" s="16">
        <f t="shared" si="8"/>
        <v>-534.94000000000005</v>
      </c>
      <c r="H40" s="17">
        <f t="shared" si="9"/>
        <v>-66.620172609188387</v>
      </c>
    </row>
    <row r="41" spans="1:8" s="18" customFormat="1" x14ac:dyDescent="0.2">
      <c r="A41" s="13" t="s">
        <v>2982</v>
      </c>
      <c r="B41" s="14" t="s">
        <v>2983</v>
      </c>
      <c r="C41" s="23">
        <f>SUMIFS('BAL N THOMAS'!$H:$H,'BAL N THOMAS'!$I:$I,$A41,'BAL N THOMAS'!$J:$J,"T")</f>
        <v>173.12</v>
      </c>
      <c r="D41" s="17">
        <f t="shared" si="7"/>
        <v>7.6922031043762468E-2</v>
      </c>
      <c r="E41" s="16">
        <f>SUMIFS(DONNEESCUM_N1_NOUVEAU[MONTANT],DONNEESCUM_N1_NOUVEAU[TL2],A41,DONNEESCUM_N1_NOUVEAU[MOIS],DONNÉES!$C$5,DONNEESCUM_N1_NOUVEAU[SOCIETE],"THOMAS")</f>
        <v>192.87000000000003</v>
      </c>
      <c r="F41" s="17">
        <f t="shared" si="7"/>
        <v>5.5199991139152152E-2</v>
      </c>
      <c r="G41" s="16">
        <f t="shared" si="8"/>
        <v>-19.750000000000028</v>
      </c>
      <c r="H41" s="17">
        <f t="shared" si="9"/>
        <v>-10.240058070202739</v>
      </c>
    </row>
    <row r="42" spans="1:8" ht="13.5" thickBot="1" x14ac:dyDescent="0.25">
      <c r="A42" s="13"/>
      <c r="B42" s="63" t="s">
        <v>2984</v>
      </c>
      <c r="C42" s="49">
        <f>+SUM(C35:C41)</f>
        <v>25776.85</v>
      </c>
      <c r="D42" s="50">
        <f t="shared" si="7"/>
        <v>11.453371395046261</v>
      </c>
      <c r="E42" s="51">
        <f>+SUM(E35:E41)</f>
        <v>49793.720000000008</v>
      </c>
      <c r="F42" s="50">
        <f t="shared" si="7"/>
        <v>14.251116828876565</v>
      </c>
      <c r="G42" s="51">
        <f>+SUM(G35:G41)</f>
        <v>-24016.870000000003</v>
      </c>
      <c r="H42" s="50">
        <f t="shared" si="9"/>
        <v>-48.232728946541847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70118.359999999986</v>
      </c>
      <c r="D44" s="71">
        <f>(C44*100)/C$8</f>
        <v>31.155537573115243</v>
      </c>
      <c r="E44" s="72">
        <f>E18-E26-E33-E42</f>
        <v>100383.48000000004</v>
      </c>
      <c r="F44" s="71">
        <f>(E44*100)/E$8</f>
        <v>28.730062770349242</v>
      </c>
      <c r="G44" s="72">
        <f>G18-G26-G33-G42</f>
        <v>-30265.120000000024</v>
      </c>
      <c r="H44" s="71">
        <f>IF(E44=0,0,G44/E44*100)</f>
        <v>-30.149502687095538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THOMAS'!$H:$H,'BAL N THOMAS'!$I:$I,$A46,'BAL N THOMAS'!$J:$J,"T")</f>
        <v>28522.12</v>
      </c>
      <c r="D46" s="17">
        <f t="shared" ref="D46:F49" si="10">(C46*100)/C$8</f>
        <v>12.673171211147865</v>
      </c>
      <c r="E46" s="16">
        <f>SUMIFS(DONNEESCUM_N1_NOUVEAU[MONTANT],DONNEESCUM_N1_NOUVEAU[TL2],A46,DONNEESCUM_N1_NOUVEAU[MOIS],DONNÉES!$C$5,DONNEESCUM_N1_NOUVEAU[SOCIETE],"THOMAS")</f>
        <v>62961.53</v>
      </c>
      <c r="F46" s="17">
        <f t="shared" si="10"/>
        <v>18.019784819347031</v>
      </c>
      <c r="G46" s="16">
        <f>+C46-E46</f>
        <v>-34439.410000000003</v>
      </c>
      <c r="H46" s="17">
        <f>IF(E46=0,0,G46/E46*100)</f>
        <v>-54.699131358466047</v>
      </c>
    </row>
    <row r="47" spans="1:8" s="18" customFormat="1" x14ac:dyDescent="0.2">
      <c r="A47" s="13" t="s">
        <v>35</v>
      </c>
      <c r="B47" s="14" t="s">
        <v>2986</v>
      </c>
      <c r="C47" s="23">
        <f>SUMIFS('BAL N THOMAS'!$H:$H,'BAL N THOMAS'!$I:$I,$A47,'BAL N THOMAS'!$J:$J,"T")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SUMIFS(DONNEESCUM_N1_NOUVEAU[MONTANT],DONNEESCUM_N1_NOUVEAU[TL2],A47,DONNEESCUM_N1_NOUVEAU[MOIS],DONNÉES!$C$5,DONNEESCUM_N1_NOUVEAU[SOCIETE],"THOMAS")</f>
        <v>0</v>
      </c>
      <c r="F47" s="17">
        <f t="shared" si="10"/>
        <v>0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THOMAS'!$H:$H,'BAL N THOMAS'!$I:$I,$A48,'BAL N THOMAS'!$J:$J,"T")</f>
        <v>-423.42</v>
      </c>
      <c r="D48" s="17">
        <f t="shared" si="10"/>
        <v>-0.18813728272036684</v>
      </c>
      <c r="E48" s="16">
        <f>SUMIFS(DONNEESCUM_N1_NOUVEAU[MONTANT],DONNEESCUM_N1_NOUVEAU[TL2],A48,DONNEESCUM_N1_NOUVEAU[MOIS],DONNÉES!$C$5,DONNEESCUM_N1_NOUVEAU[SOCIETE],"THOMAS")</f>
        <v>0</v>
      </c>
      <c r="F48" s="17">
        <f t="shared" si="10"/>
        <v>0</v>
      </c>
      <c r="G48" s="16">
        <f>+C48-E48</f>
        <v>-423.42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28098.7</v>
      </c>
      <c r="D49" s="50">
        <f t="shared" si="10"/>
        <v>12.485033928427498</v>
      </c>
      <c r="E49" s="51">
        <f>SUM(E46:E48)</f>
        <v>62961.53</v>
      </c>
      <c r="F49" s="50">
        <f t="shared" si="10"/>
        <v>18.019784819347031</v>
      </c>
      <c r="G49" s="51">
        <f>SUM(G46:G48)</f>
        <v>-34862.83</v>
      </c>
      <c r="H49" s="50">
        <f>IF(E49=0,0,G49/E49*100)</f>
        <v>-55.371637252144289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THOMAS'!$H:$H,'BAL N THOMAS'!$I:$I,$A51,'BAL N THOMAS'!$J:$J,"T")</f>
        <v>0</v>
      </c>
      <c r="D51" s="17">
        <f t="shared" ref="D51:F59" si="11">(C51*100)/C$8</f>
        <v>0</v>
      </c>
      <c r="E51" s="16">
        <f>SUMIFS(DONNEESCUM_N1_NOUVEAU[MONTANT],DONNEESCUM_N1_NOUVEAU[TL2],A51,DONNEESCUM_N1_NOUVEAU[MOIS],DONNÉES!$C$5,DONNEESCUM_N1_NOUVEAU[SOCIETE],"THOMAS")</f>
        <v>0</v>
      </c>
      <c r="F51" s="17">
        <f t="shared" si="11"/>
        <v>0</v>
      </c>
      <c r="G51" s="16">
        <f t="shared" ref="G51:G58" si="12">+C51-E51</f>
        <v>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THOMAS'!$H:$H,'BAL N THOMAS'!$I:$I,$A52,'BAL N THOMAS'!$J:$J,"T")</f>
        <v>11408.85</v>
      </c>
      <c r="D52" s="17">
        <f t="shared" si="11"/>
        <v>5.0692693731147731</v>
      </c>
      <c r="E52" s="16">
        <f>SUMIFS(DONNEESCUM_N1_NOUVEAU[MONTANT],DONNEESCUM_N1_NOUVEAU[TL2],A52,DONNEESCUM_N1_NOUVEAU[MOIS],DONNÉES!$C$5,DONNEESCUM_N1_NOUVEAU[SOCIETE],"THOMAS")</f>
        <v>17489.32</v>
      </c>
      <c r="F52" s="17">
        <f t="shared" si="11"/>
        <v>5.0054975321708728</v>
      </c>
      <c r="G52" s="16">
        <f t="shared" si="12"/>
        <v>-6080.4699999999993</v>
      </c>
      <c r="H52" s="17">
        <f t="shared" si="13"/>
        <v>-34.766760514416795</v>
      </c>
    </row>
    <row r="53" spans="1:8" s="18" customFormat="1" x14ac:dyDescent="0.2">
      <c r="A53" s="13" t="s">
        <v>44</v>
      </c>
      <c r="B53" s="14" t="s">
        <v>62</v>
      </c>
      <c r="C53" s="23">
        <f>SUMIFS('BAL N THOMAS'!$H:$H,'BAL N THOMAS'!$I:$I,$A53,'BAL N THOMAS'!$J:$J,"T")</f>
        <v>1588</v>
      </c>
      <c r="D53" s="17">
        <f t="shared" si="11"/>
        <v>0.70559256756870836</v>
      </c>
      <c r="E53" s="16">
        <f>SUMIFS(DONNEESCUM_N1_NOUVEAU[MONTANT],DONNEESCUM_N1_NOUVEAU[TL2],A53,DONNEESCUM_N1_NOUVEAU[MOIS],DONNÉES!$C$5,DONNEESCUM_N1_NOUVEAU[SOCIETE],"THOMAS")</f>
        <v>1059.5</v>
      </c>
      <c r="F53" s="17">
        <f t="shared" si="11"/>
        <v>0.30323218028688592</v>
      </c>
      <c r="G53" s="16">
        <f t="shared" si="12"/>
        <v>528.5</v>
      </c>
      <c r="H53" s="17">
        <f t="shared" si="13"/>
        <v>49.882019820670124</v>
      </c>
    </row>
    <row r="54" spans="1:8" s="18" customFormat="1" x14ac:dyDescent="0.2">
      <c r="A54" s="13" t="s">
        <v>45</v>
      </c>
      <c r="B54" s="14" t="s">
        <v>41</v>
      </c>
      <c r="C54" s="23">
        <f>SUMIFS('BAL N THOMAS'!$H:$H,'BAL N THOMAS'!$I:$I,$A54,'BAL N THOMAS'!$J:$J,"T")</f>
        <v>1380.05</v>
      </c>
      <c r="D54" s="17">
        <f t="shared" si="11"/>
        <v>0.61319459878664739</v>
      </c>
      <c r="E54" s="16">
        <f>SUMIFS(DONNEESCUM_N1_NOUVEAU[MONTANT],DONNEESCUM_N1_NOUVEAU[TL2],A54,DONNEESCUM_N1_NOUVEAU[MOIS],DONNÉES!$C$5,DONNEESCUM_N1_NOUVEAU[SOCIETE],"THOMAS")</f>
        <v>1565.76</v>
      </c>
      <c r="F54" s="17">
        <f t="shared" si="11"/>
        <v>0.44812535970362866</v>
      </c>
      <c r="G54" s="16">
        <f t="shared" si="12"/>
        <v>-185.71000000000004</v>
      </c>
      <c r="H54" s="17">
        <f t="shared" si="13"/>
        <v>-11.860693848354794</v>
      </c>
    </row>
    <row r="55" spans="1:8" s="18" customFormat="1" x14ac:dyDescent="0.2">
      <c r="A55" s="13" t="s">
        <v>47</v>
      </c>
      <c r="B55" s="14" t="s">
        <v>43</v>
      </c>
      <c r="C55" s="23">
        <f>SUMIFS('BAL N THOMAS'!$H:$H,'BAL N THOMAS'!$I:$I,$A55,'BAL N THOMAS'!$J:$J,"T")</f>
        <v>2010.55</v>
      </c>
      <c r="D55" s="17">
        <f t="shared" si="11"/>
        <v>0.89334328509147776</v>
      </c>
      <c r="E55" s="16">
        <f>SUMIFS(DONNEESCUM_N1_NOUVEAU[MONTANT],DONNEESCUM_N1_NOUVEAU[TL2],A55,DONNEESCUM_N1_NOUVEAU[MOIS],DONNÉES!$C$5,DONNEESCUM_N1_NOUVEAU[SOCIETE],"THOMAS")</f>
        <v>4509.01</v>
      </c>
      <c r="F55" s="17">
        <f t="shared" si="11"/>
        <v>1.2904926222136588</v>
      </c>
      <c r="G55" s="16">
        <f t="shared" si="12"/>
        <v>-2498.46</v>
      </c>
      <c r="H55" s="17">
        <f t="shared" si="13"/>
        <v>-55.410389420294024</v>
      </c>
    </row>
    <row r="56" spans="1:8" s="18" customFormat="1" x14ac:dyDescent="0.2">
      <c r="A56" s="13" t="s">
        <v>48</v>
      </c>
      <c r="B56" s="14" t="s">
        <v>46</v>
      </c>
      <c r="C56" s="23">
        <f>SUMIFS('BAL N THOMAS'!$H:$H,'BAL N THOMAS'!$I:$I,$A56,'BAL N THOMAS'!$J:$J,"T")</f>
        <v>6110</v>
      </c>
      <c r="D56" s="17">
        <f t="shared" si="11"/>
        <v>2.714842939448872</v>
      </c>
      <c r="E56" s="16">
        <f>SUMIFS(DONNEESCUM_N1_NOUVEAU[MONTANT],DONNEESCUM_N1_NOUVEAU[TL2],A56,DONNEESCUM_N1_NOUVEAU[MOIS],DONNÉES!$C$5,DONNEESCUM_N1_NOUVEAU[SOCIETE],"THOMAS")</f>
        <v>5000</v>
      </c>
      <c r="F56" s="17">
        <f t="shared" si="11"/>
        <v>1.4310154803534023</v>
      </c>
      <c r="G56" s="16">
        <f t="shared" si="12"/>
        <v>1110</v>
      </c>
      <c r="H56" s="17">
        <f t="shared" si="13"/>
        <v>22.2</v>
      </c>
    </row>
    <row r="57" spans="1:8" s="18" customFormat="1" x14ac:dyDescent="0.2">
      <c r="A57" s="13" t="s">
        <v>50</v>
      </c>
      <c r="B57" s="14" t="s">
        <v>2990</v>
      </c>
      <c r="C57" s="23">
        <f>SUMIFS('BAL N THOMAS'!$H:$H,'BAL N THOMAS'!$I:$I,$A57,'BAL N THOMAS'!$J:$J,"T")</f>
        <v>218.56</v>
      </c>
      <c r="D57" s="17">
        <f t="shared" si="11"/>
        <v>9.7112286881496798E-2</v>
      </c>
      <c r="E57" s="16">
        <f>SUMIFS(DONNEESCUM_N1_NOUVEAU[MONTANT],DONNEESCUM_N1_NOUVEAU[TL2],A57,DONNEESCUM_N1_NOUVEAU[MOIS],DONNÉES!$C$5,DONNEESCUM_N1_NOUVEAU[SOCIETE],"THOMAS")</f>
        <v>1038.23</v>
      </c>
      <c r="F57" s="17">
        <f t="shared" si="11"/>
        <v>0.29714464043346256</v>
      </c>
      <c r="G57" s="16">
        <f t="shared" si="12"/>
        <v>-819.67000000000007</v>
      </c>
      <c r="H57" s="17">
        <f t="shared" si="13"/>
        <v>-78.948787840844531</v>
      </c>
    </row>
    <row r="58" spans="1:8" s="18" customFormat="1" x14ac:dyDescent="0.2">
      <c r="A58" s="13" t="s">
        <v>52</v>
      </c>
      <c r="B58" s="14" t="s">
        <v>51</v>
      </c>
      <c r="C58" s="23">
        <f>SUMIFS('BAL N THOMAS'!$H:$H,'BAL N THOMAS'!$I:$I,$A58,'BAL N THOMAS'!$J:$J,"T")</f>
        <v>2121.58</v>
      </c>
      <c r="D58" s="17">
        <f t="shared" si="11"/>
        <v>0.94267700220555439</v>
      </c>
      <c r="E58" s="16">
        <f>SUMIFS(DONNEESCUM_N1_NOUVEAU[MONTANT],DONNEESCUM_N1_NOUVEAU[TL2],A58,DONNEESCUM_N1_NOUVEAU[MOIS],DONNÉES!$C$5,DONNEESCUM_N1_NOUVEAU[SOCIETE],"THOMAS")</f>
        <v>35</v>
      </c>
      <c r="F58" s="17">
        <f t="shared" si="11"/>
        <v>1.0017108362473815E-2</v>
      </c>
      <c r="G58" s="16">
        <f t="shared" si="12"/>
        <v>2086.58</v>
      </c>
      <c r="H58" s="17">
        <f t="shared" si="13"/>
        <v>5961.6571428571424</v>
      </c>
    </row>
    <row r="59" spans="1:8" ht="13.5" thickBot="1" x14ac:dyDescent="0.25">
      <c r="A59" s="13"/>
      <c r="B59" s="63" t="s">
        <v>2994</v>
      </c>
      <c r="C59" s="49">
        <f>SUM(C51:C58)</f>
        <v>24837.590000000004</v>
      </c>
      <c r="D59" s="50">
        <f t="shared" si="11"/>
        <v>11.036032053097532</v>
      </c>
      <c r="E59" s="51">
        <f>SUM(E51:E58)</f>
        <v>30696.819999999996</v>
      </c>
      <c r="F59" s="50">
        <f t="shared" si="11"/>
        <v>8.7855249235243846</v>
      </c>
      <c r="G59" s="51">
        <f>SUM(G51:G58)</f>
        <v>-5859.23</v>
      </c>
      <c r="H59" s="50">
        <f t="shared" si="13"/>
        <v>-19.087416872496892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150740.32</v>
      </c>
      <c r="D61" s="71">
        <f>(C61*100)/C$8</f>
        <v>66.978116766327915</v>
      </c>
      <c r="E61" s="72">
        <f>E59+E49+E42+E33+E26</f>
        <v>251342.1</v>
      </c>
      <c r="F61" s="71">
        <f>(E61*100)/E$8</f>
        <v>71.934887192906572</v>
      </c>
      <c r="G61" s="72">
        <f>G59+G49+G42+G33+G26</f>
        <v>-100601.78</v>
      </c>
      <c r="H61" s="71">
        <f>IF(E61=0,0,G61/E61*100)</f>
        <v>-40.025837295065173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THOMAS'!$H:$H,'BAL N THOMAS'!$I:$I,$A63,'BAL N THOMAS'!$J:$J,"T")</f>
        <v>3117.88</v>
      </c>
      <c r="D63" s="17">
        <f t="shared" ref="D63:F65" si="14">(C63*100)/C$8</f>
        <v>1.3853608026266528</v>
      </c>
      <c r="E63" s="16">
        <f>-SUMIFS(DONNEESCUM_N1_NOUVEAU[MONTANT],DONNEESCUM_N1_NOUVEAU[TL2],A63,DONNEESCUM_N1_NOUVEAU[MOIS],DONNÉES!$C$5,DONNEESCUM_N1_NOUVEAU[SOCIETE],"THOMAS")</f>
        <v>4809.01</v>
      </c>
      <c r="F63" s="17">
        <f t="shared" si="14"/>
        <v>1.376353551034863</v>
      </c>
      <c r="G63" s="16">
        <f>+C63-E63</f>
        <v>-1691.13</v>
      </c>
      <c r="H63" s="17">
        <f>IF(E63=0,0,G63/E63*100)</f>
        <v>-35.165865739518118</v>
      </c>
    </row>
    <row r="64" spans="1:8" s="18" customFormat="1" x14ac:dyDescent="0.2">
      <c r="A64" s="13" t="s">
        <v>2992</v>
      </c>
      <c r="B64" s="68" t="s">
        <v>65</v>
      </c>
      <c r="C64" s="23">
        <f>SUMIFS('BAL N THOMAS'!$H:$H,'BAL N THOMAS'!$I:$I,$A64,'BAL N THOMAS'!$J:$J,"T")</f>
        <v>2975.81</v>
      </c>
      <c r="D64" s="17">
        <f t="shared" si="14"/>
        <v>1.3222351501867999</v>
      </c>
      <c r="E64" s="24">
        <f>SUMIFS(DONNEESCUM_N1_NOUVEAU[MONTANT],DONNEESCUM_N1_NOUVEAU[TL2],A64,DONNEESCUM_N1_NOUVEAU[MOIS],DONNÉES!$C$5,DONNEESCUM_N1_NOUVEAU[SOCIETE],"THOMAS")</f>
        <v>4836.38</v>
      </c>
      <c r="F64" s="17">
        <f t="shared" si="14"/>
        <v>1.3841869297743175</v>
      </c>
      <c r="G64" s="16">
        <f>+C64-E64</f>
        <v>-1860.5700000000002</v>
      </c>
      <c r="H64" s="17">
        <f>IF(E64=0,0,G64/E64*100)</f>
        <v>-38.47030216815056</v>
      </c>
    </row>
    <row r="65" spans="1:9" s="59" customFormat="1" ht="13.5" x14ac:dyDescent="0.2">
      <c r="A65" s="13"/>
      <c r="B65" s="62" t="s">
        <v>53</v>
      </c>
      <c r="C65" s="67">
        <f>+C63-C64</f>
        <v>142.07000000000016</v>
      </c>
      <c r="D65" s="56">
        <f t="shared" si="14"/>
        <v>6.3125652439852978E-2</v>
      </c>
      <c r="E65" s="57">
        <f>+E63-E64</f>
        <v>-27.369999999999891</v>
      </c>
      <c r="F65" s="56">
        <f t="shared" si="14"/>
        <v>-7.8333787394544926E-3</v>
      </c>
      <c r="G65" s="58">
        <f>+G63-G64</f>
        <v>169.44000000000005</v>
      </c>
      <c r="H65" s="56">
        <f>IF(E65=0,0,G65/E65*100)</f>
        <v>-619.07197661673626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THOMAS'!$H:$H,'BAL N THOMAS'!$I:$I,$A67,'BAL N THOMAS'!$J:$J,"T")</f>
        <v>-12.74</v>
      </c>
      <c r="D67" s="17">
        <f>(C67*100)/C$8</f>
        <v>-5.6607363418295625E-3</v>
      </c>
      <c r="E67" s="16">
        <f>-SUMIFS(DONNEESCUM_N1_NOUVEAU[MONTANT],DONNEESCUM_N1_NOUVEAU[TL2],A67,DONNEESCUM_N1_NOUVEAU[MOIS],DONNÉES!$C$5,DONNEESCUM_N1_NOUVEAU[SOCIETE],"THOMAS")</f>
        <v>-26.49</v>
      </c>
      <c r="F67" s="17">
        <f>(E67*100)/E$8</f>
        <v>-7.5815200149123253E-3</v>
      </c>
      <c r="G67" s="16">
        <f>+C67-E67</f>
        <v>13.749999999999998</v>
      </c>
      <c r="H67" s="17">
        <f>IF(E67=0,0,G67/E67*100)</f>
        <v>-51.90637976594941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17311.399999999976</v>
      </c>
      <c r="D69" s="10">
        <f>(C69*100)/C$8</f>
        <v>7.6919365076882382</v>
      </c>
      <c r="E69" s="9">
        <f>E18-E61+E65+E67</f>
        <v>6671.2700000000341</v>
      </c>
      <c r="F69" s="10">
        <f>(E69*100)/E$8</f>
        <v>1.9093381287234581</v>
      </c>
      <c r="G69" s="9">
        <f>G18-G61+G65+G67</f>
        <v>10640.129999999974</v>
      </c>
      <c r="H69" s="10">
        <f>IF(E69=0,0,G69/E69*100)</f>
        <v>159.49182089766896</v>
      </c>
    </row>
    <row r="70" spans="1:9" ht="13.5" thickBot="1" x14ac:dyDescent="0.25">
      <c r="A70" s="13"/>
      <c r="B70" s="63" t="s">
        <v>3034</v>
      </c>
      <c r="C70" s="49">
        <f>+C69-C67+C57+C56</f>
        <v>23652.699999999979</v>
      </c>
      <c r="D70" s="50">
        <f>(C70*100)/C$8</f>
        <v>10.509552470360436</v>
      </c>
      <c r="E70" s="49">
        <f>+E69-E67+E57+E56</f>
        <v>12735.990000000034</v>
      </c>
      <c r="F70" s="50">
        <f>(E70*100)/E$8</f>
        <v>3.6450797695252355</v>
      </c>
      <c r="G70" s="49">
        <f>+G69-G67+G57+G56</f>
        <v>10916.709999999974</v>
      </c>
      <c r="H70" s="50">
        <f>IF(E70=0,0,G70/E70*100)</f>
        <v>85.715441045414948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THOMAS'!$H:$H,'BAL N THOMAS'!$I:$I,$A72,'BAL N THOMAS'!$J:$J,"T")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-SUMIFS(DONNEESCUM_N1_NOUVEAU[MONTANT],DONNEESCUM_N1_NOUVEAU[TL2],A72,DONNEESCUM_N1_NOUVEAU[MOIS],DONNÉES!$C$5,DONNEESCUM_N1_NOUVEAU[SOCIETE],"THOMAS")</f>
        <v>0</v>
      </c>
      <c r="F72" s="17">
        <f>(E72*100)/E$8</f>
        <v>0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THOMAS'!$H:$H,'BAL N THOMAS'!$I:$I,$A74,'BAL N THOMAS'!$J:$J,"T")</f>
        <v>18396</v>
      </c>
      <c r="D74" s="10">
        <f>(C74*100)/C$8</f>
        <v>8.173854454026424</v>
      </c>
      <c r="E74" s="9">
        <f>SUMIFS(DONNEESCUM_N1_NOUVEAU[MONTANT],DONNEESCUM_N1_NOUVEAU[TL2],A74,DONNEESCUM_N1_NOUVEAU[MOIS],DONNÉES!$C$5,DONNEESCUM_N1_NOUVEAU[SOCIETE],"THOMAS")</f>
        <v>21400</v>
      </c>
      <c r="F74" s="10">
        <f>(E74*100)/E$8</f>
        <v>6.1247462559125614</v>
      </c>
      <c r="G74" s="9">
        <f>+C74-E74</f>
        <v>-3004</v>
      </c>
      <c r="H74" s="10">
        <f>IF(E74=0,0,G74/E74*100)</f>
        <v>-14.037383177570092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-1084.600000000024</v>
      </c>
      <c r="D76" s="71">
        <f>(C76*100)/C$8</f>
        <v>-0.48191794633818519</v>
      </c>
      <c r="E76" s="72">
        <f>E69-E74+E72</f>
        <v>-14728.729999999967</v>
      </c>
      <c r="F76" s="71">
        <f>(E76*100)/E$8</f>
        <v>-4.2154081271891037</v>
      </c>
      <c r="G76" s="72">
        <f>G69-G74+G72</f>
        <v>13644.129999999974</v>
      </c>
      <c r="H76" s="71">
        <f>IF(E76=0,0,G76/E76*100)</f>
        <v>-92.636160755204315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VLOOKUP(PARAMETRES!$C$2,DONNÉES!$DR$188:$DX$199,2,FALSE)</f>
        <v>19144</v>
      </c>
      <c r="D78" s="324"/>
      <c r="E78" s="323"/>
      <c r="F78" s="324"/>
      <c r="G78" s="317"/>
      <c r="H78" s="318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VLOOKUP(PARAMETRES!$C$2,DONNÉES!$DR$284:$DX$295,2,FALSE)</f>
        <v>18.66</v>
      </c>
      <c r="D80" s="316"/>
      <c r="E80" s="315"/>
      <c r="F80" s="316"/>
      <c r="G80" s="317"/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3ADF-7769-42A8-AEB6-5A4E306AF476}">
  <sheetPr>
    <tabColor rgb="FFFFC000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Footer>&amp;C&amp;"Helv,Gras"&amp;11Page &amp;P / &amp;N</oddFoot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8182-2D0D-4BCC-9651-A2A6C3704FC9}">
  <sheetPr>
    <tabColor rgb="FFFFC000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 x14ac:dyDescent="0.2"/>
  <cols>
    <col min="1" max="1" width="8.5703125" style="1" hidden="1" customWidth="1"/>
    <col min="2" max="2" width="37.85546875" style="6" customWidth="1"/>
    <col min="3" max="3" width="12.5703125" style="6" customWidth="1"/>
    <col min="4" max="4" width="9.7109375" style="6" bestFit="1" customWidth="1"/>
    <col min="5" max="5" width="12.5703125" style="20" hidden="1" customWidth="1"/>
    <col min="6" max="6" width="8.5703125" style="21" hidden="1" customWidth="1"/>
    <col min="7" max="7" width="12.5703125" style="20" hidden="1" customWidth="1"/>
    <col min="8" max="8" width="8.42578125" style="21" hidden="1" customWidth="1"/>
    <col min="9" max="9" width="5.7109375" style="6" customWidth="1"/>
    <col min="10" max="16384" width="7" style="6"/>
  </cols>
  <sheetData>
    <row r="1" spans="1:8" x14ac:dyDescent="0.2">
      <c r="B1" s="74" t="s">
        <v>6996</v>
      </c>
      <c r="C1" s="44"/>
      <c r="D1" s="44"/>
      <c r="E1" s="44"/>
      <c r="F1" s="44"/>
      <c r="G1" s="44"/>
      <c r="H1" s="75" t="str">
        <f>CONCATENATE("P&amp;L ",RIGHT(DONNÉES!B5,LEN(DONNÉES!B5)-3))</f>
        <v>P&amp;L Janvier</v>
      </c>
    </row>
    <row r="2" spans="1:8" x14ac:dyDescent="0.2">
      <c r="B2" s="74"/>
      <c r="C2" s="44"/>
      <c r="D2" s="44"/>
      <c r="E2" s="44"/>
      <c r="F2" s="44"/>
      <c r="G2" s="44"/>
      <c r="H2" s="44"/>
    </row>
    <row r="3" spans="1:8" ht="15.75" x14ac:dyDescent="0.25">
      <c r="B3" s="300" t="s">
        <v>7097</v>
      </c>
      <c r="C3" s="301"/>
      <c r="D3" s="301"/>
      <c r="E3" s="301"/>
      <c r="F3" s="301"/>
      <c r="G3" s="301"/>
      <c r="H3" s="301"/>
    </row>
    <row r="4" spans="1:8" ht="12.6" customHeight="1" thickBot="1" x14ac:dyDescent="0.25"/>
    <row r="5" spans="1:8" s="1" customFormat="1" ht="16.899999999999999" customHeight="1" x14ac:dyDescent="0.2">
      <c r="A5" s="308" t="s">
        <v>2962</v>
      </c>
      <c r="B5" s="293" t="s">
        <v>70</v>
      </c>
      <c r="C5" s="293" t="s">
        <v>7094</v>
      </c>
      <c r="D5" s="296"/>
      <c r="E5" s="296"/>
      <c r="F5" s="296"/>
      <c r="G5" s="296"/>
      <c r="H5" s="297"/>
    </row>
    <row r="6" spans="1:8" s="1" customFormat="1" ht="16.899999999999999" customHeight="1" thickBot="1" x14ac:dyDescent="0.25">
      <c r="A6" s="309"/>
      <c r="B6" s="295"/>
      <c r="C6" s="313" t="str">
        <f>_xlfn.CONCAT("Cumulé à fin ",DONNÉES!D5)</f>
        <v>Cumulé à fin Janvier</v>
      </c>
      <c r="D6" s="314"/>
      <c r="E6" s="313" t="str">
        <f>_xlfn.CONCAT("Cumulé à fin ",DONNÉES!D6)</f>
        <v>Cumulé à fin Janvier 2024</v>
      </c>
      <c r="F6" s="314"/>
      <c r="G6" s="313" t="s">
        <v>177</v>
      </c>
      <c r="H6" s="314"/>
    </row>
    <row r="7" spans="1:8" x14ac:dyDescent="0.2">
      <c r="A7" s="43"/>
      <c r="B7" s="61"/>
      <c r="C7" s="2"/>
      <c r="D7" s="3"/>
      <c r="E7" s="4"/>
      <c r="F7" s="5"/>
      <c r="G7" s="4"/>
      <c r="H7" s="5"/>
    </row>
    <row r="8" spans="1:8" ht="16.899999999999999" customHeight="1" thickBot="1" x14ac:dyDescent="0.25">
      <c r="A8" s="7" t="s">
        <v>68</v>
      </c>
      <c r="B8" s="69" t="s">
        <v>109</v>
      </c>
      <c r="C8" s="70">
        <f>-SUMIFS('BAL N CATALINA'!$H:$H,'BAL N CATALINA'!$I:$I,$A8,'BAL N CATALINA'!$J:$J,"T")</f>
        <v>207907.62</v>
      </c>
      <c r="D8" s="71">
        <f>(C8*100)/C$8</f>
        <v>100</v>
      </c>
      <c r="E8" s="72">
        <f>-SUMIFS(DONNEESCUM_N1_NOUVEAU[MONTANT],DONNEESCUM_N1_NOUVEAU[TL2],A8,DONNEESCUM_N1_NOUVEAU[MOIS],DONNÉES!$C$5,DONNEESCUM_N1_NOUVEAU[SOCIETE],"CATALINA")</f>
        <v>0</v>
      </c>
      <c r="F8" s="71" t="e">
        <f>(E8*100)/E$8</f>
        <v>#DIV/0!</v>
      </c>
      <c r="G8" s="72">
        <f>+C8-E8</f>
        <v>207907.62</v>
      </c>
      <c r="H8" s="71">
        <f>IF(E8=0,0,G8/E8*100)</f>
        <v>0</v>
      </c>
    </row>
    <row r="9" spans="1:8" ht="7.15" customHeight="1" thickTop="1" x14ac:dyDescent="0.2">
      <c r="A9" s="8"/>
      <c r="B9" s="8"/>
      <c r="C9" s="42"/>
      <c r="D9" s="10"/>
      <c r="E9" s="9"/>
      <c r="F9" s="10"/>
      <c r="G9" s="9"/>
      <c r="H9" s="10"/>
    </row>
    <row r="10" spans="1:8" s="18" customFormat="1" x14ac:dyDescent="0.2">
      <c r="A10" s="13" t="s">
        <v>123</v>
      </c>
      <c r="B10" s="14" t="s">
        <v>2963</v>
      </c>
      <c r="C10" s="23">
        <f>SUMIFS('BAL N CATALINA'!$H:$H,'BAL N CATALINA'!$I:$I,$A10,'BAL N CATALINA'!$J:$J,"T")</f>
        <v>46670.29</v>
      </c>
      <c r="D10" s="17">
        <f t="shared" ref="D10:F16" si="0">(C10*100)/C$8</f>
        <v>22.447609183347875</v>
      </c>
      <c r="E10" s="16">
        <f>SUMIFS(DONNEESCUM_N1_NOUVEAU[MONTANT],DONNEESCUM_N1_NOUVEAU[TL2],A10,DONNEESCUM_N1_NOUVEAU[MOIS],DONNÉES!$C$5,DONNEESCUM_N1_NOUVEAU[SOCIETE],"CATALINA")</f>
        <v>0</v>
      </c>
      <c r="F10" s="17" t="e">
        <f t="shared" si="0"/>
        <v>#DIV/0!</v>
      </c>
      <c r="G10" s="16">
        <f>+C10-E10</f>
        <v>46670.29</v>
      </c>
      <c r="H10" s="17">
        <f t="shared" ref="H10:H16" si="1">IF(E10=0,0,G10/E10*100)</f>
        <v>0</v>
      </c>
    </row>
    <row r="11" spans="1:8" s="18" customFormat="1" x14ac:dyDescent="0.2">
      <c r="A11" s="13" t="s">
        <v>124</v>
      </c>
      <c r="B11" s="14" t="s">
        <v>4</v>
      </c>
      <c r="C11" s="23">
        <f>SUMIFS('BAL N CATALINA'!$H:$H,'BAL N CATALINA'!$I:$I,$A11,'BAL N CATALINA'!$J:$J,"T")</f>
        <v>1260.44</v>
      </c>
      <c r="D11" s="17">
        <f t="shared" si="0"/>
        <v>0.60625002585282828</v>
      </c>
      <c r="E11" s="16">
        <f>SUMIFS(DONNEESCUM_N1_NOUVEAU[MONTANT],DONNEESCUM_N1_NOUVEAU[TL2],A11,DONNEESCUM_N1_NOUVEAU[MOIS],DONNÉES!$C$5,DONNEESCUM_N1_NOUVEAU[SOCIETE],"CATALINA")</f>
        <v>0</v>
      </c>
      <c r="F11" s="17" t="e">
        <f t="shared" si="0"/>
        <v>#DIV/0!</v>
      </c>
      <c r="G11" s="16">
        <f>+C11-E11</f>
        <v>1260.44</v>
      </c>
      <c r="H11" s="17">
        <f t="shared" si="1"/>
        <v>0</v>
      </c>
    </row>
    <row r="12" spans="1:8" s="18" customFormat="1" x14ac:dyDescent="0.2">
      <c r="A12" s="13" t="s">
        <v>125</v>
      </c>
      <c r="B12" s="14" t="s">
        <v>2</v>
      </c>
      <c r="C12" s="23">
        <f>SUMIFS('BAL N CATALINA'!$H:$H,'BAL N CATALINA'!$I:$I,$A12,'BAL N CATALINA'!$J:$J,"T")</f>
        <v>1373.11</v>
      </c>
      <c r="D12" s="17">
        <f t="shared" si="0"/>
        <v>0.66044236377675813</v>
      </c>
      <c r="E12" s="16">
        <f>SUMIFS(DONNEESCUM_N1_NOUVEAU[MONTANT],DONNEESCUM_N1_NOUVEAU[TL2],A12,DONNEESCUM_N1_NOUVEAU[MOIS],DONNÉES!$C$5,DONNEESCUM_N1_NOUVEAU[SOCIETE],"CATALINA")</f>
        <v>0</v>
      </c>
      <c r="F12" s="17" t="e">
        <f t="shared" si="0"/>
        <v>#DIV/0!</v>
      </c>
      <c r="G12" s="16">
        <f>+C12-E12</f>
        <v>1373.11</v>
      </c>
      <c r="H12" s="17">
        <f t="shared" si="1"/>
        <v>0</v>
      </c>
    </row>
    <row r="13" spans="1:8" s="59" customFormat="1" ht="13.5" x14ac:dyDescent="0.2">
      <c r="A13" s="60"/>
      <c r="B13" s="62" t="s">
        <v>6</v>
      </c>
      <c r="C13" s="55">
        <f>SUM(C10:C12)</f>
        <v>49303.840000000004</v>
      </c>
      <c r="D13" s="56">
        <f t="shared" si="0"/>
        <v>23.714301572977462</v>
      </c>
      <c r="E13" s="55">
        <f>SUM(E10:E12)</f>
        <v>0</v>
      </c>
      <c r="F13" s="56" t="e">
        <f t="shared" si="0"/>
        <v>#DIV/0!</v>
      </c>
      <c r="G13" s="55">
        <f>SUM(G10:G12)</f>
        <v>49303.840000000004</v>
      </c>
      <c r="H13" s="56">
        <f t="shared" si="1"/>
        <v>0</v>
      </c>
    </row>
    <row r="14" spans="1:8" s="18" customFormat="1" x14ac:dyDescent="0.2">
      <c r="A14" s="13" t="s">
        <v>126</v>
      </c>
      <c r="B14" s="14" t="s">
        <v>8</v>
      </c>
      <c r="C14" s="23">
        <f>SUMIFS('BAL N CATALINA'!$H:$H,'BAL N CATALINA'!$I:$I,$A14,'BAL N CATALINA'!$J:$J,"T")</f>
        <v>4704.92</v>
      </c>
      <c r="D14" s="17">
        <f t="shared" si="0"/>
        <v>2.2629858395762503</v>
      </c>
      <c r="E14" s="16">
        <f>SUMIFS(DONNEESCUM_N1_NOUVEAU[MONTANT],DONNEESCUM_N1_NOUVEAU[TL2],A14,DONNEESCUM_N1_NOUVEAU[MOIS],DONNÉES!$C$5,DONNEESCUM_N1_NOUVEAU[SOCIETE],"CATALINA")</f>
        <v>0</v>
      </c>
      <c r="F14" s="17" t="e">
        <f t="shared" si="0"/>
        <v>#DIV/0!</v>
      </c>
      <c r="G14" s="16">
        <f>+C14-E14</f>
        <v>4704.92</v>
      </c>
      <c r="H14" s="17">
        <f t="shared" si="1"/>
        <v>0</v>
      </c>
    </row>
    <row r="15" spans="1:8" s="18" customFormat="1" x14ac:dyDescent="0.2">
      <c r="A15" s="13" t="s">
        <v>2964</v>
      </c>
      <c r="B15" s="14" t="s">
        <v>2965</v>
      </c>
      <c r="C15" s="23">
        <f>SUMIFS('BAL N CATALINA'!$H:$H,'BAL N CATALINA'!$I:$I,$A15,'BAL N CATALINA'!$J:$J,"T")</f>
        <v>2120.61</v>
      </c>
      <c r="D15" s="17">
        <f t="shared" si="0"/>
        <v>1.0199770455743757</v>
      </c>
      <c r="E15" s="16">
        <f>SUMIFS(DONNEESCUM_N1_NOUVEAU[MONTANT],DONNEESCUM_N1_NOUVEAU[TL2],A15,DONNEESCUM_N1_NOUVEAU[MOIS],DONNÉES!$C$5,DONNEESCUM_N1_NOUVEAU[SOCIETE],"CATALINA")</f>
        <v>0</v>
      </c>
      <c r="F15" s="17" t="e">
        <f t="shared" si="0"/>
        <v>#DIV/0!</v>
      </c>
      <c r="G15" s="16">
        <f>+C15-E15</f>
        <v>2120.61</v>
      </c>
      <c r="H15" s="17">
        <f t="shared" si="1"/>
        <v>0</v>
      </c>
    </row>
    <row r="16" spans="1:8" ht="13.5" thickBot="1" x14ac:dyDescent="0.25">
      <c r="A16" s="7"/>
      <c r="B16" s="63" t="s">
        <v>10</v>
      </c>
      <c r="C16" s="49">
        <f>+C13+SUM(C14:C15)</f>
        <v>56129.37</v>
      </c>
      <c r="D16" s="50">
        <f t="shared" si="0"/>
        <v>26.997264458128086</v>
      </c>
      <c r="E16" s="49">
        <f>+E13+SUM(E14:E15)</f>
        <v>0</v>
      </c>
      <c r="F16" s="50" t="e">
        <f t="shared" si="0"/>
        <v>#DIV/0!</v>
      </c>
      <c r="G16" s="49">
        <f>+G13+SUM(G14:G15)</f>
        <v>56129.37</v>
      </c>
      <c r="H16" s="50">
        <f t="shared" si="1"/>
        <v>0</v>
      </c>
    </row>
    <row r="17" spans="1:8" ht="14.25" thickTop="1" thickBot="1" x14ac:dyDescent="0.25">
      <c r="A17" s="8"/>
      <c r="B17" s="64"/>
      <c r="C17" s="52"/>
      <c r="D17" s="54"/>
      <c r="E17" s="53"/>
      <c r="F17" s="54"/>
      <c r="G17" s="53"/>
      <c r="H17" s="54"/>
    </row>
    <row r="18" spans="1:8" ht="16.899999999999999" customHeight="1" thickBot="1" x14ac:dyDescent="0.25">
      <c r="A18" s="7"/>
      <c r="B18" s="69" t="s">
        <v>58</v>
      </c>
      <c r="C18" s="70">
        <f>C8-C16</f>
        <v>151778.25</v>
      </c>
      <c r="D18" s="71">
        <f>(C18*100)/C$8</f>
        <v>73.002735541871914</v>
      </c>
      <c r="E18" s="70">
        <f>E8-E16</f>
        <v>0</v>
      </c>
      <c r="F18" s="71" t="e">
        <f>(E18*100)/E$8</f>
        <v>#DIV/0!</v>
      </c>
      <c r="G18" s="70">
        <f>G8-G16</f>
        <v>151778.25</v>
      </c>
      <c r="H18" s="71">
        <f>IF(E18=0,0,G18/E18*100)</f>
        <v>0</v>
      </c>
    </row>
    <row r="19" spans="1:8" ht="7.15" customHeight="1" thickTop="1" x14ac:dyDescent="0.2">
      <c r="A19" s="8"/>
      <c r="B19" s="11"/>
      <c r="C19" s="19"/>
      <c r="D19" s="10"/>
      <c r="E19" s="9"/>
      <c r="F19" s="10"/>
      <c r="G19" s="9"/>
      <c r="H19" s="10"/>
    </row>
    <row r="20" spans="1:8" s="18" customFormat="1" x14ac:dyDescent="0.2">
      <c r="A20" s="13">
        <v>8</v>
      </c>
      <c r="B20" s="14" t="s">
        <v>2967</v>
      </c>
      <c r="C20" s="23">
        <f>SUMIFS('BAL N CATALINA'!$H:$H,'BAL N CATALINA'!$I:$I,$A20,'BAL N CATALINA'!$J:$J,"T")</f>
        <v>31504.47</v>
      </c>
      <c r="D20" s="17">
        <f t="shared" ref="D20:F26" si="2">(C20*100)/C$8</f>
        <v>15.153109828297779</v>
      </c>
      <c r="E20" s="16">
        <f>SUMIFS(DONNEESCUM_N1_NOUVEAU[MONTANT],DONNEESCUM_N1_NOUVEAU[TL2],A20,DONNEESCUM_N1_NOUVEAU[MOIS],DONNÉES!$C$5,DONNEESCUM_N1_NOUVEAU[SOCIETE],"CATALINA")</f>
        <v>0</v>
      </c>
      <c r="F20" s="17" t="e">
        <f t="shared" si="2"/>
        <v>#DIV/0!</v>
      </c>
      <c r="G20" s="16">
        <f t="shared" ref="G20:G25" si="3">+C20-E20</f>
        <v>31504.47</v>
      </c>
      <c r="H20" s="17">
        <f t="shared" ref="H20:H26" si="4">IF(E20=0,0,G20/E20*100)</f>
        <v>0</v>
      </c>
    </row>
    <row r="21" spans="1:8" s="18" customFormat="1" x14ac:dyDescent="0.2">
      <c r="A21" s="13">
        <v>9</v>
      </c>
      <c r="B21" s="14" t="s">
        <v>2968</v>
      </c>
      <c r="C21" s="23">
        <f>SUMIFS('BAL N CATALINA'!$H:$H,'BAL N CATALINA'!$I:$I,$A21,'BAL N CATALINA'!$J:$J,"T")</f>
        <v>4668.12</v>
      </c>
      <c r="D21" s="17">
        <f t="shared" si="2"/>
        <v>2.2452856706262136</v>
      </c>
      <c r="E21" s="16">
        <f>SUMIFS(DONNEESCUM_N1_NOUVEAU[MONTANT],DONNEESCUM_N1_NOUVEAU[TL2],A21,DONNEESCUM_N1_NOUVEAU[MOIS],DONNÉES!$C$5,DONNEESCUM_N1_NOUVEAU[SOCIETE],"CATALINA")</f>
        <v>0</v>
      </c>
      <c r="F21" s="17" t="e">
        <f t="shared" si="2"/>
        <v>#DIV/0!</v>
      </c>
      <c r="G21" s="16">
        <f t="shared" si="3"/>
        <v>4668.12</v>
      </c>
      <c r="H21" s="17">
        <f t="shared" si="4"/>
        <v>0</v>
      </c>
    </row>
    <row r="22" spans="1:8" s="18" customFormat="1" x14ac:dyDescent="0.2">
      <c r="A22" s="13" t="s">
        <v>12</v>
      </c>
      <c r="B22" s="14" t="s">
        <v>14</v>
      </c>
      <c r="C22" s="23">
        <f>SUMIFS('BAL N CATALINA'!$H:$H,'BAL N CATALINA'!$I:$I,$A22,'BAL N CATALINA'!$J:$J,"T")</f>
        <v>13629.52</v>
      </c>
      <c r="D22" s="17">
        <f t="shared" si="2"/>
        <v>6.5555653996712584</v>
      </c>
      <c r="E22" s="16">
        <f>SUMIFS(DONNEESCUM_N1_NOUVEAU[MONTANT],DONNEESCUM_N1_NOUVEAU[TL2],A22,DONNEESCUM_N1_NOUVEAU[MOIS],DONNÉES!$C$5,DONNEESCUM_N1_NOUVEAU[SOCIETE],"CATALINA")</f>
        <v>0</v>
      </c>
      <c r="F22" s="17" t="e">
        <f t="shared" si="2"/>
        <v>#DIV/0!</v>
      </c>
      <c r="G22" s="16">
        <f t="shared" si="3"/>
        <v>13629.52</v>
      </c>
      <c r="H22" s="17">
        <f t="shared" si="4"/>
        <v>0</v>
      </c>
    </row>
    <row r="23" spans="1:8" s="18" customFormat="1" x14ac:dyDescent="0.2">
      <c r="A23" s="13" t="s">
        <v>13</v>
      </c>
      <c r="B23" s="14" t="s">
        <v>2966</v>
      </c>
      <c r="C23" s="23">
        <f>SUMIFS('BAL N CATALINA'!$H:$H,'BAL N CATALINA'!$I:$I,$A23,'BAL N CATALINA'!$J:$J,"T")</f>
        <v>3104.39</v>
      </c>
      <c r="D23" s="17">
        <f t="shared" si="2"/>
        <v>1.4931583556196739</v>
      </c>
      <c r="E23" s="16">
        <f>SUMIFS(DONNEESCUM_N1_NOUVEAU[MONTANT],DONNEESCUM_N1_NOUVEAU[TL2],A23,DONNEESCUM_N1_NOUVEAU[MOIS],DONNÉES!$C$5,DONNEESCUM_N1_NOUVEAU[SOCIETE],"CATALINA")</f>
        <v>0</v>
      </c>
      <c r="F23" s="17" t="e">
        <f t="shared" si="2"/>
        <v>#DIV/0!</v>
      </c>
      <c r="G23" s="16">
        <f t="shared" si="3"/>
        <v>3104.39</v>
      </c>
      <c r="H23" s="17">
        <f t="shared" si="4"/>
        <v>0</v>
      </c>
    </row>
    <row r="24" spans="1:8" s="18" customFormat="1" x14ac:dyDescent="0.2">
      <c r="A24" s="13" t="s">
        <v>15</v>
      </c>
      <c r="B24" s="14" t="s">
        <v>2969</v>
      </c>
      <c r="C24" s="23">
        <f>SUMIFS('BAL N CATALINA'!$H:$H,'BAL N CATALINA'!$I:$I,$A24,'BAL N CATALINA'!$J:$J,"T")</f>
        <v>-500</v>
      </c>
      <c r="D24" s="17">
        <f t="shared" si="2"/>
        <v>-0.24049142595158368</v>
      </c>
      <c r="E24" s="16">
        <f>SUMIFS(DONNEESCUM_N1_NOUVEAU[MONTANT],DONNEESCUM_N1_NOUVEAU[TL2],A24,DONNEESCUM_N1_NOUVEAU[MOIS],DONNÉES!$C$5,DONNEESCUM_N1_NOUVEAU[SOCIETE],"CATALINA")</f>
        <v>0</v>
      </c>
      <c r="F24" s="17" t="e">
        <f t="shared" si="2"/>
        <v>#DIV/0!</v>
      </c>
      <c r="G24" s="16">
        <f t="shared" si="3"/>
        <v>-500</v>
      </c>
      <c r="H24" s="17">
        <f t="shared" si="4"/>
        <v>0</v>
      </c>
    </row>
    <row r="25" spans="1:8" s="18" customFormat="1" x14ac:dyDescent="0.2">
      <c r="A25" s="13" t="s">
        <v>16</v>
      </c>
      <c r="B25" s="14" t="s">
        <v>2970</v>
      </c>
      <c r="C25" s="23">
        <f>SUMIFS('BAL N CATALINA'!$H:$H,'BAL N CATALINA'!$I:$I,$A25,'BAL N CATALINA'!$J:$J,"T")</f>
        <v>0</v>
      </c>
      <c r="D25" s="17">
        <f t="shared" si="2"/>
        <v>0</v>
      </c>
      <c r="E25" s="16">
        <f>SUMIFS(DONNEESCUM_N1_NOUVEAU[MONTANT],DONNEESCUM_N1_NOUVEAU[TL2],A25,DONNEESCUM_N1_NOUVEAU[MOIS],DONNÉES!$C$5,DONNEESCUM_N1_NOUVEAU[SOCIETE],"CATALINA")</f>
        <v>0</v>
      </c>
      <c r="F25" s="17" t="e">
        <f t="shared" si="2"/>
        <v>#DIV/0!</v>
      </c>
      <c r="G25" s="16">
        <f t="shared" si="3"/>
        <v>0</v>
      </c>
      <c r="H25" s="17">
        <f t="shared" si="4"/>
        <v>0</v>
      </c>
    </row>
    <row r="26" spans="1:8" ht="13.5" thickBot="1" x14ac:dyDescent="0.25">
      <c r="A26" s="7"/>
      <c r="B26" s="63" t="s">
        <v>2971</v>
      </c>
      <c r="C26" s="49">
        <f>SUM(C20:C25)</f>
        <v>52406.5</v>
      </c>
      <c r="D26" s="50">
        <f t="shared" si="2"/>
        <v>25.206627828263343</v>
      </c>
      <c r="E26" s="51">
        <f>SUM(E20:E25)</f>
        <v>0</v>
      </c>
      <c r="F26" s="50" t="e">
        <f t="shared" si="2"/>
        <v>#DIV/0!</v>
      </c>
      <c r="G26" s="51">
        <f>SUM(G20:G25)</f>
        <v>52406.5</v>
      </c>
      <c r="H26" s="50">
        <f t="shared" si="4"/>
        <v>0</v>
      </c>
    </row>
    <row r="27" spans="1:8" ht="7.15" customHeight="1" thickTop="1" x14ac:dyDescent="0.2">
      <c r="A27" s="8"/>
      <c r="B27" s="11"/>
      <c r="C27" s="19"/>
      <c r="D27" s="10"/>
      <c r="E27" s="9"/>
      <c r="F27" s="10"/>
      <c r="G27" s="9"/>
      <c r="H27" s="10"/>
    </row>
    <row r="28" spans="1:8" s="18" customFormat="1" x14ac:dyDescent="0.2">
      <c r="A28" s="13" t="s">
        <v>18</v>
      </c>
      <c r="B28" s="14" t="s">
        <v>2174</v>
      </c>
      <c r="C28" s="23">
        <f>SUMIFS('BAL N CATALINA'!$H:$H,'BAL N CATALINA'!$I:$I,$A28,'BAL N CATALINA'!$J:$J,"T")</f>
        <v>8500</v>
      </c>
      <c r="D28" s="17">
        <f t="shared" ref="D28:F33" si="5">(C28*100)/C$8</f>
        <v>4.0883542411769227</v>
      </c>
      <c r="E28" s="16">
        <f>SUMIFS(DONNEESCUM_N1_NOUVEAU[MONTANT],DONNEESCUM_N1_NOUVEAU[TL2],A28,DONNEESCUM_N1_NOUVEAU[MOIS],DONNÉES!$C$5,DONNEESCUM_N1_NOUVEAU[SOCIETE],"CATALINA")</f>
        <v>0</v>
      </c>
      <c r="F28" s="17" t="e">
        <f t="shared" si="5"/>
        <v>#DIV/0!</v>
      </c>
      <c r="G28" s="16">
        <f>+C28-E28</f>
        <v>8500</v>
      </c>
      <c r="H28" s="17">
        <f t="shared" ref="H28:H33" si="6">IF(E28=0,0,G28/E28*100)</f>
        <v>0</v>
      </c>
    </row>
    <row r="29" spans="1:8" s="18" customFormat="1" x14ac:dyDescent="0.2">
      <c r="A29" s="13" t="s">
        <v>20</v>
      </c>
      <c r="B29" s="14" t="s">
        <v>2972</v>
      </c>
      <c r="C29" s="23">
        <f>SUMIFS('BAL N CATALINA'!$H:$H,'BAL N CATALINA'!$I:$I,$A29,'BAL N CATALINA'!$J:$J,"T")</f>
        <v>29.17</v>
      </c>
      <c r="D29" s="17">
        <f t="shared" si="5"/>
        <v>1.4030269790015393E-2</v>
      </c>
      <c r="E29" s="16">
        <f>SUMIFS(DONNEESCUM_N1_NOUVEAU[MONTANT],DONNEESCUM_N1_NOUVEAU[TL2],A29,DONNEESCUM_N1_NOUVEAU[MOIS],DONNÉES!$C$5,DONNEESCUM_N1_NOUVEAU[SOCIETE],"CATALINA")</f>
        <v>0</v>
      </c>
      <c r="F29" s="17" t="e">
        <f t="shared" si="5"/>
        <v>#DIV/0!</v>
      </c>
      <c r="G29" s="16">
        <f>+C29-E29</f>
        <v>29.17</v>
      </c>
      <c r="H29" s="17">
        <f t="shared" si="6"/>
        <v>0</v>
      </c>
    </row>
    <row r="30" spans="1:8" s="18" customFormat="1" x14ac:dyDescent="0.2">
      <c r="A30" s="13" t="s">
        <v>21</v>
      </c>
      <c r="B30" s="14" t="s">
        <v>2973</v>
      </c>
      <c r="C30" s="23">
        <f>SUMIFS('BAL N CATALINA'!$H:$H,'BAL N CATALINA'!$I:$I,$A30,'BAL N CATALINA'!$J:$J,"T")</f>
        <v>1668.17</v>
      </c>
      <c r="D30" s="17">
        <f t="shared" si="5"/>
        <v>0.8023611640593068</v>
      </c>
      <c r="E30" s="16">
        <f>SUMIFS(DONNEESCUM_N1_NOUVEAU[MONTANT],DONNEESCUM_N1_NOUVEAU[TL2],A30,DONNEESCUM_N1_NOUVEAU[MOIS],DONNÉES!$C$5,DONNEESCUM_N1_NOUVEAU[SOCIETE],"CATALINA")</f>
        <v>0</v>
      </c>
      <c r="F30" s="17" t="e">
        <f t="shared" si="5"/>
        <v>#DIV/0!</v>
      </c>
      <c r="G30" s="16">
        <f>+C30-E30</f>
        <v>1668.17</v>
      </c>
      <c r="H30" s="17">
        <f t="shared" si="6"/>
        <v>0</v>
      </c>
    </row>
    <row r="31" spans="1:8" s="18" customFormat="1" x14ac:dyDescent="0.2">
      <c r="A31" s="13" t="s">
        <v>23</v>
      </c>
      <c r="B31" s="14" t="s">
        <v>2974</v>
      </c>
      <c r="C31" s="23">
        <f>SUMIFS('BAL N CATALINA'!$H:$H,'BAL N CATALINA'!$I:$I,$A31,'BAL N CATALINA'!$J:$J,"T")</f>
        <v>3217.58</v>
      </c>
      <c r="D31" s="17">
        <f t="shared" si="5"/>
        <v>1.5476008046265932</v>
      </c>
      <c r="E31" s="16">
        <f>SUMIFS(DONNEESCUM_N1_NOUVEAU[MONTANT],DONNEESCUM_N1_NOUVEAU[TL2],A31,DONNEESCUM_N1_NOUVEAU[MOIS],DONNÉES!$C$5,DONNEESCUM_N1_NOUVEAU[SOCIETE],"CATALINA")</f>
        <v>0</v>
      </c>
      <c r="F31" s="17" t="e">
        <f t="shared" si="5"/>
        <v>#DIV/0!</v>
      </c>
      <c r="G31" s="16">
        <f>+C31-E31</f>
        <v>3217.58</v>
      </c>
      <c r="H31" s="17">
        <f t="shared" si="6"/>
        <v>0</v>
      </c>
    </row>
    <row r="32" spans="1:8" s="18" customFormat="1" x14ac:dyDescent="0.2">
      <c r="A32" s="13" t="s">
        <v>25</v>
      </c>
      <c r="B32" s="14" t="s">
        <v>2975</v>
      </c>
      <c r="C32" s="23">
        <f>SUMIFS('BAL N CATALINA'!$H:$H,'BAL N CATALINA'!$I:$I,$A32,'BAL N CATALINA'!$J:$J,"T")</f>
        <v>4635.3900000000003</v>
      </c>
      <c r="D32" s="17">
        <f t="shared" si="5"/>
        <v>2.2295431018834235</v>
      </c>
      <c r="E32" s="16">
        <f>SUMIFS(DONNEESCUM_N1_NOUVEAU[MONTANT],DONNEESCUM_N1_NOUVEAU[TL2],A32,DONNEESCUM_N1_NOUVEAU[MOIS],DONNÉES!$C$5,DONNEESCUM_N1_NOUVEAU[SOCIETE],"CATALINA")</f>
        <v>0</v>
      </c>
      <c r="F32" s="17" t="e">
        <f t="shared" si="5"/>
        <v>#DIV/0!</v>
      </c>
      <c r="G32" s="16">
        <f>+C32-E32</f>
        <v>4635.3900000000003</v>
      </c>
      <c r="H32" s="17">
        <f t="shared" si="6"/>
        <v>0</v>
      </c>
    </row>
    <row r="33" spans="1:8" ht="13.5" thickBot="1" x14ac:dyDescent="0.25">
      <c r="A33" s="7"/>
      <c r="B33" s="63" t="s">
        <v>2976</v>
      </c>
      <c r="C33" s="49">
        <f>SUM(C28:C32)</f>
        <v>18050.310000000001</v>
      </c>
      <c r="D33" s="50">
        <f t="shared" si="5"/>
        <v>8.6818895815362627</v>
      </c>
      <c r="E33" s="51">
        <f>SUM(E28:E32)</f>
        <v>0</v>
      </c>
      <c r="F33" s="50" t="e">
        <f t="shared" si="5"/>
        <v>#DIV/0!</v>
      </c>
      <c r="G33" s="51">
        <f>SUM(G28:G32)</f>
        <v>18050.310000000001</v>
      </c>
      <c r="H33" s="50">
        <f t="shared" si="6"/>
        <v>0</v>
      </c>
    </row>
    <row r="34" spans="1:8" ht="7.15" customHeight="1" thickTop="1" x14ac:dyDescent="0.2">
      <c r="A34" s="8"/>
      <c r="B34" s="11"/>
      <c r="C34" s="19"/>
      <c r="D34" s="10"/>
      <c r="E34" s="9"/>
      <c r="F34" s="10"/>
      <c r="G34" s="9"/>
      <c r="H34" s="10"/>
    </row>
    <row r="35" spans="1:8" s="18" customFormat="1" x14ac:dyDescent="0.2">
      <c r="A35" s="13" t="s">
        <v>29</v>
      </c>
      <c r="B35" s="14" t="s">
        <v>2977</v>
      </c>
      <c r="C35" s="23">
        <f>SUMIFS('BAL N CATALINA'!$H:$H,'BAL N CATALINA'!$I:$I,$A35,'BAL N CATALINA'!$J:$J,"T")</f>
        <v>0</v>
      </c>
      <c r="D35" s="17">
        <f t="shared" ref="D35:F42" si="7">(C35*100)/C$8</f>
        <v>0</v>
      </c>
      <c r="E35" s="16">
        <f>SUMIFS(DONNEESCUM_N1_NOUVEAU[MONTANT],DONNEESCUM_N1_NOUVEAU[TL2],A35,DONNEESCUM_N1_NOUVEAU[MOIS],DONNÉES!$C$5,DONNEESCUM_N1_NOUVEAU[SOCIETE],"CATALINA")</f>
        <v>0</v>
      </c>
      <c r="F35" s="17" t="e">
        <f t="shared" si="7"/>
        <v>#DIV/0!</v>
      </c>
      <c r="G35" s="16">
        <f t="shared" ref="G35:G41" si="8">+C35-E35</f>
        <v>0</v>
      </c>
      <c r="H35" s="17">
        <f t="shared" ref="H35:H42" si="9">IF(E35=0,0,G35/E35*100)</f>
        <v>0</v>
      </c>
    </row>
    <row r="36" spans="1:8" s="18" customFormat="1" x14ac:dyDescent="0.2">
      <c r="A36" s="13" t="s">
        <v>30</v>
      </c>
      <c r="B36" s="14" t="s">
        <v>145</v>
      </c>
      <c r="C36" s="23">
        <f>SUMIFS('BAL N CATALINA'!$H:$H,'BAL N CATALINA'!$I:$I,$A36,'BAL N CATALINA'!$J:$J,"T")</f>
        <v>8344.64</v>
      </c>
      <c r="D36" s="17">
        <f t="shared" si="7"/>
        <v>4.0136287453052466</v>
      </c>
      <c r="E36" s="16">
        <f>SUMIFS(DONNEESCUM_N1_NOUVEAU[MONTANT],DONNEESCUM_N1_NOUVEAU[TL2],A36,DONNEESCUM_N1_NOUVEAU[MOIS],DONNÉES!$C$5,DONNEESCUM_N1_NOUVEAU[SOCIETE],"CATALINA")</f>
        <v>0</v>
      </c>
      <c r="F36" s="17" t="e">
        <f t="shared" si="7"/>
        <v>#DIV/0!</v>
      </c>
      <c r="G36" s="16">
        <f t="shared" si="8"/>
        <v>8344.64</v>
      </c>
      <c r="H36" s="17">
        <f t="shared" si="9"/>
        <v>0</v>
      </c>
    </row>
    <row r="37" spans="1:8" s="18" customFormat="1" x14ac:dyDescent="0.2">
      <c r="A37" s="13" t="s">
        <v>32</v>
      </c>
      <c r="B37" s="14" t="s">
        <v>19</v>
      </c>
      <c r="C37" s="23">
        <f>SUMIFS('BAL N CATALINA'!$H:$H,'BAL N CATALINA'!$I:$I,$A37,'BAL N CATALINA'!$J:$J,"T")</f>
        <v>4703.75</v>
      </c>
      <c r="D37" s="17">
        <f t="shared" si="7"/>
        <v>2.2624230896395234</v>
      </c>
      <c r="E37" s="16">
        <f>SUMIFS(DONNEESCUM_N1_NOUVEAU[MONTANT],DONNEESCUM_N1_NOUVEAU[TL2],A37,DONNEESCUM_N1_NOUVEAU[MOIS],DONNÉES!$C$5,DONNEESCUM_N1_NOUVEAU[SOCIETE],"CATALINA")</f>
        <v>0</v>
      </c>
      <c r="F37" s="17" t="e">
        <f t="shared" si="7"/>
        <v>#DIV/0!</v>
      </c>
      <c r="G37" s="16">
        <f t="shared" si="8"/>
        <v>4703.75</v>
      </c>
      <c r="H37" s="17">
        <f t="shared" si="9"/>
        <v>0</v>
      </c>
    </row>
    <row r="38" spans="1:8" s="18" customFormat="1" x14ac:dyDescent="0.2">
      <c r="A38" s="13" t="s">
        <v>34</v>
      </c>
      <c r="B38" s="14" t="s">
        <v>28</v>
      </c>
      <c r="C38" s="23">
        <f>SUMIFS('BAL N CATALINA'!$H:$H,'BAL N CATALINA'!$I:$I,$A38,'BAL N CATALINA'!$J:$J,"T")</f>
        <v>9177.14</v>
      </c>
      <c r="D38" s="17">
        <f t="shared" si="7"/>
        <v>4.4140469695146338</v>
      </c>
      <c r="E38" s="16">
        <f>SUMIFS(DONNEESCUM_N1_NOUVEAU[MONTANT],DONNEESCUM_N1_NOUVEAU[TL2],A38,DONNEESCUM_N1_NOUVEAU[MOIS],DONNÉES!$C$5,DONNEESCUM_N1_NOUVEAU[SOCIETE],"CATALINA")</f>
        <v>0</v>
      </c>
      <c r="F38" s="17" t="e">
        <f t="shared" si="7"/>
        <v>#DIV/0!</v>
      </c>
      <c r="G38" s="16">
        <f t="shared" si="8"/>
        <v>9177.14</v>
      </c>
      <c r="H38" s="17">
        <f t="shared" si="9"/>
        <v>0</v>
      </c>
    </row>
    <row r="39" spans="1:8" s="18" customFormat="1" x14ac:dyDescent="0.2">
      <c r="A39" s="13" t="s">
        <v>2978</v>
      </c>
      <c r="B39" s="14" t="s">
        <v>2980</v>
      </c>
      <c r="C39" s="23">
        <f>SUMIFS('BAL N CATALINA'!$H:$H,'BAL N CATALINA'!$I:$I,$A39,'BAL N CATALINA'!$J:$J,"T")</f>
        <v>1981.73</v>
      </c>
      <c r="D39" s="17">
        <f t="shared" si="7"/>
        <v>0.95317814710206394</v>
      </c>
      <c r="E39" s="16">
        <f>SUMIFS(DONNEESCUM_N1_NOUVEAU[MONTANT],DONNEESCUM_N1_NOUVEAU[TL2],A39,DONNEESCUM_N1_NOUVEAU[MOIS],DONNÉES!$C$5,DONNEESCUM_N1_NOUVEAU[SOCIETE],"CATALINA")</f>
        <v>0</v>
      </c>
      <c r="F39" s="17" t="e">
        <f t="shared" si="7"/>
        <v>#DIV/0!</v>
      </c>
      <c r="G39" s="16">
        <f t="shared" si="8"/>
        <v>1981.73</v>
      </c>
      <c r="H39" s="17">
        <f t="shared" si="9"/>
        <v>0</v>
      </c>
    </row>
    <row r="40" spans="1:8" s="18" customFormat="1" x14ac:dyDescent="0.2">
      <c r="A40" s="13" t="s">
        <v>2979</v>
      </c>
      <c r="B40" s="14" t="s">
        <v>2981</v>
      </c>
      <c r="C40" s="23">
        <f>SUMIFS('BAL N CATALINA'!$H:$H,'BAL N CATALINA'!$I:$I,$A40,'BAL N CATALINA'!$J:$J,"T")</f>
        <v>224.92</v>
      </c>
      <c r="D40" s="17">
        <f t="shared" si="7"/>
        <v>0.10818266305006041</v>
      </c>
      <c r="E40" s="16">
        <f>SUMIFS(DONNEESCUM_N1_NOUVEAU[MONTANT],DONNEESCUM_N1_NOUVEAU[TL2],A40,DONNEESCUM_N1_NOUVEAU[MOIS],DONNÉES!$C$5,DONNEESCUM_N1_NOUVEAU[SOCIETE],"CATALINA")</f>
        <v>0</v>
      </c>
      <c r="F40" s="17" t="e">
        <f t="shared" si="7"/>
        <v>#DIV/0!</v>
      </c>
      <c r="G40" s="16">
        <f t="shared" si="8"/>
        <v>224.92</v>
      </c>
      <c r="H40" s="17">
        <f t="shared" si="9"/>
        <v>0</v>
      </c>
    </row>
    <row r="41" spans="1:8" s="18" customFormat="1" x14ac:dyDescent="0.2">
      <c r="A41" s="13" t="s">
        <v>2982</v>
      </c>
      <c r="B41" s="14" t="s">
        <v>2983</v>
      </c>
      <c r="C41" s="23">
        <f>SUMIFS('BAL N CATALINA'!$H:$H,'BAL N CATALINA'!$I:$I,$A41,'BAL N CATALINA'!$J:$J,"T")</f>
        <v>-11.03</v>
      </c>
      <c r="D41" s="17">
        <f t="shared" si="7"/>
        <v>-5.3052408564919365E-3</v>
      </c>
      <c r="E41" s="16">
        <f>SUMIFS(DONNEESCUM_N1_NOUVEAU[MONTANT],DONNEESCUM_N1_NOUVEAU[TL2],A41,DONNEESCUM_N1_NOUVEAU[MOIS],DONNÉES!$C$5,DONNEESCUM_N1_NOUVEAU[SOCIETE],"CATALINA")</f>
        <v>0</v>
      </c>
      <c r="F41" s="17" t="e">
        <f t="shared" si="7"/>
        <v>#DIV/0!</v>
      </c>
      <c r="G41" s="16">
        <f t="shared" si="8"/>
        <v>-11.03</v>
      </c>
      <c r="H41" s="17">
        <f t="shared" si="9"/>
        <v>0</v>
      </c>
    </row>
    <row r="42" spans="1:8" ht="13.5" thickBot="1" x14ac:dyDescent="0.25">
      <c r="A42" s="13"/>
      <c r="B42" s="63" t="s">
        <v>2984</v>
      </c>
      <c r="C42" s="49">
        <f>+SUM(C35:C41)</f>
        <v>24421.149999999998</v>
      </c>
      <c r="D42" s="50">
        <f t="shared" si="7"/>
        <v>11.746154373755036</v>
      </c>
      <c r="E42" s="51">
        <f>+SUM(E35:E41)</f>
        <v>0</v>
      </c>
      <c r="F42" s="50" t="e">
        <f t="shared" si="7"/>
        <v>#DIV/0!</v>
      </c>
      <c r="G42" s="51">
        <f>+SUM(G35:G41)</f>
        <v>24421.149999999998</v>
      </c>
      <c r="H42" s="50">
        <f t="shared" si="9"/>
        <v>0</v>
      </c>
    </row>
    <row r="43" spans="1:8" ht="7.15" customHeight="1" thickTop="1" x14ac:dyDescent="0.2">
      <c r="A43" s="13"/>
      <c r="B43" s="11"/>
      <c r="C43" s="19"/>
      <c r="D43" s="10"/>
      <c r="E43" s="9"/>
      <c r="F43" s="10"/>
      <c r="G43" s="9"/>
      <c r="H43" s="10"/>
    </row>
    <row r="44" spans="1:8" ht="16.899999999999999" customHeight="1" thickBot="1" x14ac:dyDescent="0.25">
      <c r="A44" s="13"/>
      <c r="B44" s="69" t="s">
        <v>59</v>
      </c>
      <c r="C44" s="70">
        <f>C18-C26-C33-C42</f>
        <v>56900.290000000008</v>
      </c>
      <c r="D44" s="71">
        <f>(C44*100)/C$8</f>
        <v>27.36806375831728</v>
      </c>
      <c r="E44" s="72">
        <f>E18-E26-E33-E42</f>
        <v>0</v>
      </c>
      <c r="F44" s="71" t="e">
        <f>(E44*100)/E$8</f>
        <v>#DIV/0!</v>
      </c>
      <c r="G44" s="72">
        <f>G18-G26-G33-G42</f>
        <v>56900.290000000008</v>
      </c>
      <c r="H44" s="71">
        <f>IF(E44=0,0,G44/E44*100)</f>
        <v>0</v>
      </c>
    </row>
    <row r="45" spans="1:8" ht="7.15" customHeight="1" thickTop="1" x14ac:dyDescent="0.2">
      <c r="A45" s="13"/>
      <c r="B45" s="11"/>
      <c r="C45" s="19"/>
      <c r="D45" s="10"/>
      <c r="E45" s="9"/>
      <c r="F45" s="10"/>
      <c r="G45" s="9"/>
      <c r="H45" s="10"/>
    </row>
    <row r="46" spans="1:8" s="18" customFormat="1" x14ac:dyDescent="0.2">
      <c r="A46" s="13" t="s">
        <v>2985</v>
      </c>
      <c r="B46" s="14" t="s">
        <v>36</v>
      </c>
      <c r="C46" s="23">
        <f>SUMIFS('BAL N CATALINA'!$H:$H,'BAL N CATALINA'!$I:$I,$A46,'BAL N CATALINA'!$J:$J,"T")</f>
        <v>28459.119999999999</v>
      </c>
      <c r="D46" s="17">
        <f t="shared" ref="D46:F49" si="10">(C46*100)/C$8</f>
        <v>13.688348700254469</v>
      </c>
      <c r="E46" s="16">
        <f>SUMIFS(DONNEESCUM_N1_NOUVEAU[MONTANT],DONNEESCUM_N1_NOUVEAU[TL2],A46,DONNEESCUM_N1_NOUVEAU[MOIS],DONNÉES!$C$5,DONNEESCUM_N1_NOUVEAU[SOCIETE],"CATALINA")</f>
        <v>0</v>
      </c>
      <c r="F46" s="17" t="e">
        <f t="shared" si="10"/>
        <v>#DIV/0!</v>
      </c>
      <c r="G46" s="16">
        <f>+C46-E46</f>
        <v>28459.119999999999</v>
      </c>
      <c r="H46" s="17">
        <f>IF(E46=0,0,G46/E46*100)</f>
        <v>0</v>
      </c>
    </row>
    <row r="47" spans="1:8" s="18" customFormat="1" x14ac:dyDescent="0.2">
      <c r="A47" s="13" t="s">
        <v>35</v>
      </c>
      <c r="B47" s="14" t="s">
        <v>2986</v>
      </c>
      <c r="C47" s="23">
        <f>SUMIFS('BAL N CATALINA'!$H:$H,'BAL N CATALINA'!$I:$I,$A47,'BAL N CATALINA'!$J:$J,"T")</f>
        <v>0</v>
      </c>
      <c r="D47" s="17">
        <f t="shared" si="10"/>
        <v>0</v>
      </c>
      <c r="E47" s="16">
        <f>SUMIFS(DONNEESCUM_N1_NOUVEAU[MONTANT],DONNEESCUM_N1_NOUVEAU[TL2],A47,DONNEESCUM_N1_NOUVEAU[MOIS],DONNÉES!$C$5,DONNEESCUM_N1_NOUVEAU[SOCIETE],"CATALINA")</f>
        <v>0</v>
      </c>
      <c r="F47" s="17" t="e">
        <f t="shared" si="10"/>
        <v>#DIV/0!</v>
      </c>
      <c r="G47" s="16">
        <f>+C47-E47</f>
        <v>0</v>
      </c>
      <c r="H47" s="17">
        <f>IF(E47=0,0,G47/E47*100)</f>
        <v>0</v>
      </c>
    </row>
    <row r="48" spans="1:8" s="18" customFormat="1" x14ac:dyDescent="0.2">
      <c r="A48" s="13" t="s">
        <v>37</v>
      </c>
      <c r="B48" s="14" t="s">
        <v>2987</v>
      </c>
      <c r="C48" s="23">
        <f>SUMIFS('BAL N CATALINA'!$H:$H,'BAL N CATALINA'!$I:$I,$A48,'BAL N CATALINA'!$J:$J,"T")</f>
        <v>-405.56</v>
      </c>
      <c r="D48" s="17">
        <f t="shared" si="10"/>
        <v>-0.19506740541784856</v>
      </c>
      <c r="E48" s="16">
        <f>SUMIFS(DONNEESCUM_N1_NOUVEAU[MONTANT],DONNEESCUM_N1_NOUVEAU[TL2],A48,DONNEESCUM_N1_NOUVEAU[MOIS],DONNÉES!$C$5,DONNEESCUM_N1_NOUVEAU[SOCIETE],"CATALINA")</f>
        <v>0</v>
      </c>
      <c r="F48" s="17" t="e">
        <f t="shared" si="10"/>
        <v>#DIV/0!</v>
      </c>
      <c r="G48" s="16">
        <f>+C48-E48</f>
        <v>-405.56</v>
      </c>
      <c r="H48" s="17">
        <f>IF(E48=0,0,G48/E48*100)</f>
        <v>0</v>
      </c>
    </row>
    <row r="49" spans="1:8" ht="13.5" thickBot="1" x14ac:dyDescent="0.25">
      <c r="A49" s="13"/>
      <c r="B49" s="63" t="s">
        <v>2988</v>
      </c>
      <c r="C49" s="49">
        <f>SUM(C46:C48)</f>
        <v>28053.559999999998</v>
      </c>
      <c r="D49" s="50">
        <f t="shared" si="10"/>
        <v>13.493281294836621</v>
      </c>
      <c r="E49" s="51">
        <f>SUM(E46:E48)</f>
        <v>0</v>
      </c>
      <c r="F49" s="50" t="e">
        <f t="shared" si="10"/>
        <v>#DIV/0!</v>
      </c>
      <c r="G49" s="51">
        <f>SUM(G46:G48)</f>
        <v>28053.559999999998</v>
      </c>
      <c r="H49" s="50">
        <f>IF(E49=0,0,G49/E49*100)</f>
        <v>0</v>
      </c>
    </row>
    <row r="50" spans="1:8" ht="7.15" customHeight="1" thickTop="1" x14ac:dyDescent="0.2">
      <c r="A50" s="13"/>
      <c r="B50" s="11"/>
      <c r="C50" s="19"/>
      <c r="D50" s="10"/>
      <c r="E50" s="9"/>
      <c r="F50" s="10"/>
      <c r="G50" s="9"/>
      <c r="H50" s="10"/>
    </row>
    <row r="51" spans="1:8" s="18" customFormat="1" x14ac:dyDescent="0.2">
      <c r="A51" s="13" t="s">
        <v>40</v>
      </c>
      <c r="B51" s="14" t="s">
        <v>2989</v>
      </c>
      <c r="C51" s="23">
        <f>SUMIFS('BAL N CATALINA'!$H:$H,'BAL N CATALINA'!$I:$I,$A51,'BAL N CATALINA'!$J:$J,"T")</f>
        <v>250</v>
      </c>
      <c r="D51" s="17">
        <f t="shared" ref="D51:F59" si="11">(C51*100)/C$8</f>
        <v>0.12024571297579184</v>
      </c>
      <c r="E51" s="16">
        <f>SUMIFS(DONNEESCUM_N1_NOUVEAU[MONTANT],DONNEESCUM_N1_NOUVEAU[TL2],A51,DONNEESCUM_N1_NOUVEAU[MOIS],DONNÉES!$C$5,DONNEESCUM_N1_NOUVEAU[SOCIETE],"CATALINA")</f>
        <v>0</v>
      </c>
      <c r="F51" s="17" t="e">
        <f t="shared" si="11"/>
        <v>#DIV/0!</v>
      </c>
      <c r="G51" s="16">
        <f t="shared" ref="G51:G58" si="12">+C51-E51</f>
        <v>250</v>
      </c>
      <c r="H51" s="17">
        <f t="shared" ref="H51:H59" si="13">IF(E51=0,0,G51/E51*100)</f>
        <v>0</v>
      </c>
    </row>
    <row r="52" spans="1:8" s="18" customFormat="1" x14ac:dyDescent="0.2">
      <c r="A52" s="13" t="s">
        <v>42</v>
      </c>
      <c r="B52" s="14" t="s">
        <v>38</v>
      </c>
      <c r="C52" s="23">
        <f>SUMIFS('BAL N CATALINA'!$H:$H,'BAL N CATALINA'!$I:$I,$A52,'BAL N CATALINA'!$J:$J,"T")</f>
        <v>10540.41</v>
      </c>
      <c r="D52" s="17">
        <f t="shared" si="11"/>
        <v>5.0697564620286641</v>
      </c>
      <c r="E52" s="16">
        <f>SUMIFS(DONNEESCUM_N1_NOUVEAU[MONTANT],DONNEESCUM_N1_NOUVEAU[TL2],A52,DONNEESCUM_N1_NOUVEAU[MOIS],DONNÉES!$C$5,DONNEESCUM_N1_NOUVEAU[SOCIETE],"CATALINA")</f>
        <v>0</v>
      </c>
      <c r="F52" s="17" t="e">
        <f t="shared" si="11"/>
        <v>#DIV/0!</v>
      </c>
      <c r="G52" s="16">
        <f t="shared" si="12"/>
        <v>10540.41</v>
      </c>
      <c r="H52" s="17">
        <f t="shared" si="13"/>
        <v>0</v>
      </c>
    </row>
    <row r="53" spans="1:8" s="18" customFormat="1" x14ac:dyDescent="0.2">
      <c r="A53" s="13" t="s">
        <v>44</v>
      </c>
      <c r="B53" s="14" t="s">
        <v>62</v>
      </c>
      <c r="C53" s="23">
        <f>SUMIFS('BAL N CATALINA'!$H:$H,'BAL N CATALINA'!$I:$I,$A53,'BAL N CATALINA'!$J:$J,"T")</f>
        <v>1000</v>
      </c>
      <c r="D53" s="17">
        <f t="shared" si="11"/>
        <v>0.48098285190316736</v>
      </c>
      <c r="E53" s="16">
        <f>SUMIFS(DONNEESCUM_N1_NOUVEAU[MONTANT],DONNEESCUM_N1_NOUVEAU[TL2],A53,DONNEESCUM_N1_NOUVEAU[MOIS],DONNÉES!$C$5,DONNEESCUM_N1_NOUVEAU[SOCIETE],"CATALINA")</f>
        <v>0</v>
      </c>
      <c r="F53" s="17" t="e">
        <f t="shared" si="11"/>
        <v>#DIV/0!</v>
      </c>
      <c r="G53" s="16">
        <f t="shared" si="12"/>
        <v>1000</v>
      </c>
      <c r="H53" s="17">
        <f t="shared" si="13"/>
        <v>0</v>
      </c>
    </row>
    <row r="54" spans="1:8" s="18" customFormat="1" x14ac:dyDescent="0.2">
      <c r="A54" s="13" t="s">
        <v>45</v>
      </c>
      <c r="B54" s="14" t="s">
        <v>41</v>
      </c>
      <c r="C54" s="23">
        <f>SUMIFS('BAL N CATALINA'!$H:$H,'BAL N CATALINA'!$I:$I,$A54,'BAL N CATALINA'!$J:$J,"T")</f>
        <v>664.44</v>
      </c>
      <c r="D54" s="17">
        <f t="shared" si="11"/>
        <v>0.31958424611854053</v>
      </c>
      <c r="E54" s="16">
        <f>SUMIFS(DONNEESCUM_N1_NOUVEAU[MONTANT],DONNEESCUM_N1_NOUVEAU[TL2],A54,DONNEESCUM_N1_NOUVEAU[MOIS],DONNÉES!$C$5,DONNEESCUM_N1_NOUVEAU[SOCIETE],"CATALINA")</f>
        <v>0</v>
      </c>
      <c r="F54" s="17" t="e">
        <f t="shared" si="11"/>
        <v>#DIV/0!</v>
      </c>
      <c r="G54" s="16">
        <f t="shared" si="12"/>
        <v>664.44</v>
      </c>
      <c r="H54" s="17">
        <f t="shared" si="13"/>
        <v>0</v>
      </c>
    </row>
    <row r="55" spans="1:8" s="18" customFormat="1" x14ac:dyDescent="0.2">
      <c r="A55" s="13" t="s">
        <v>47</v>
      </c>
      <c r="B55" s="14" t="s">
        <v>43</v>
      </c>
      <c r="C55" s="23">
        <f>SUMIFS('BAL N CATALINA'!$H:$H,'BAL N CATALINA'!$I:$I,$A55,'BAL N CATALINA'!$J:$J,"T")</f>
        <v>2160.5100000000002</v>
      </c>
      <c r="D55" s="17">
        <f t="shared" si="11"/>
        <v>1.0391682613653124</v>
      </c>
      <c r="E55" s="16">
        <f>SUMIFS(DONNEESCUM_N1_NOUVEAU[MONTANT],DONNEESCUM_N1_NOUVEAU[TL2],A55,DONNEESCUM_N1_NOUVEAU[MOIS],DONNÉES!$C$5,DONNEESCUM_N1_NOUVEAU[SOCIETE],"CATALINA")</f>
        <v>0</v>
      </c>
      <c r="F55" s="17" t="e">
        <f t="shared" si="11"/>
        <v>#DIV/0!</v>
      </c>
      <c r="G55" s="16">
        <f t="shared" si="12"/>
        <v>2160.5100000000002</v>
      </c>
      <c r="H55" s="17">
        <f t="shared" si="13"/>
        <v>0</v>
      </c>
    </row>
    <row r="56" spans="1:8" s="18" customFormat="1" x14ac:dyDescent="0.2">
      <c r="A56" s="13" t="s">
        <v>48</v>
      </c>
      <c r="B56" s="14" t="s">
        <v>46</v>
      </c>
      <c r="C56" s="23">
        <f>SUMIFS('BAL N CATALINA'!$H:$H,'BAL N CATALINA'!$I:$I,$A56,'BAL N CATALINA'!$J:$J,"T")</f>
        <v>9000</v>
      </c>
      <c r="D56" s="17">
        <f t="shared" si="11"/>
        <v>4.3288456671285065</v>
      </c>
      <c r="E56" s="16">
        <f>SUMIFS(DONNEESCUM_N1_NOUVEAU[MONTANT],DONNEESCUM_N1_NOUVEAU[TL2],A56,DONNEESCUM_N1_NOUVEAU[MOIS],DONNÉES!$C$5,DONNEESCUM_N1_NOUVEAU[SOCIETE],"CATALINA")</f>
        <v>0</v>
      </c>
      <c r="F56" s="17" t="e">
        <f t="shared" si="11"/>
        <v>#DIV/0!</v>
      </c>
      <c r="G56" s="16">
        <f t="shared" si="12"/>
        <v>9000</v>
      </c>
      <c r="H56" s="17">
        <f t="shared" si="13"/>
        <v>0</v>
      </c>
    </row>
    <row r="57" spans="1:8" s="18" customFormat="1" x14ac:dyDescent="0.2">
      <c r="A57" s="13" t="s">
        <v>50</v>
      </c>
      <c r="B57" s="14" t="s">
        <v>2990</v>
      </c>
      <c r="C57" s="23">
        <f>SUMIFS('BAL N CATALINA'!$H:$H,'BAL N CATALINA'!$I:$I,$A57,'BAL N CATALINA'!$J:$J,"T")</f>
        <v>781.35</v>
      </c>
      <c r="D57" s="17">
        <f t="shared" si="11"/>
        <v>0.37581595133453982</v>
      </c>
      <c r="E57" s="16">
        <f>SUMIFS(DONNEESCUM_N1_NOUVEAU[MONTANT],DONNEESCUM_N1_NOUVEAU[TL2],A57,DONNEESCUM_N1_NOUVEAU[MOIS],DONNÉES!$C$5,DONNEESCUM_N1_NOUVEAU[SOCIETE],"CATALINA")</f>
        <v>0</v>
      </c>
      <c r="F57" s="17" t="e">
        <f t="shared" si="11"/>
        <v>#DIV/0!</v>
      </c>
      <c r="G57" s="16">
        <f t="shared" si="12"/>
        <v>781.35</v>
      </c>
      <c r="H57" s="17">
        <f t="shared" si="13"/>
        <v>0</v>
      </c>
    </row>
    <row r="58" spans="1:8" s="18" customFormat="1" x14ac:dyDescent="0.2">
      <c r="A58" s="13" t="s">
        <v>52</v>
      </c>
      <c r="B58" s="14" t="s">
        <v>51</v>
      </c>
      <c r="C58" s="23">
        <f>SUMIFS('BAL N CATALINA'!$H:$H,'BAL N CATALINA'!$I:$I,$A58,'BAL N CATALINA'!$J:$J,"T")</f>
        <v>429.58</v>
      </c>
      <c r="D58" s="17">
        <f t="shared" si="11"/>
        <v>0.20662061352056266</v>
      </c>
      <c r="E58" s="16">
        <f>SUMIFS(DONNEESCUM_N1_NOUVEAU[MONTANT],DONNEESCUM_N1_NOUVEAU[TL2],A58,DONNEESCUM_N1_NOUVEAU[MOIS],DONNÉES!$C$5,DONNEESCUM_N1_NOUVEAU[SOCIETE],"CATALINA")</f>
        <v>0</v>
      </c>
      <c r="F58" s="17" t="e">
        <f t="shared" si="11"/>
        <v>#DIV/0!</v>
      </c>
      <c r="G58" s="16">
        <f t="shared" si="12"/>
        <v>429.58</v>
      </c>
      <c r="H58" s="17">
        <f t="shared" si="13"/>
        <v>0</v>
      </c>
    </row>
    <row r="59" spans="1:8" ht="13.5" thickBot="1" x14ac:dyDescent="0.25">
      <c r="A59" s="13"/>
      <c r="B59" s="63" t="s">
        <v>2994</v>
      </c>
      <c r="C59" s="49">
        <f>SUM(C51:C58)</f>
        <v>24826.29</v>
      </c>
      <c r="D59" s="50">
        <f t="shared" si="11"/>
        <v>11.941019766375085</v>
      </c>
      <c r="E59" s="51">
        <f>SUM(E51:E58)</f>
        <v>0</v>
      </c>
      <c r="F59" s="50" t="e">
        <f t="shared" si="11"/>
        <v>#DIV/0!</v>
      </c>
      <c r="G59" s="51">
        <f>SUM(G51:G58)</f>
        <v>24826.29</v>
      </c>
      <c r="H59" s="50">
        <f t="shared" si="13"/>
        <v>0</v>
      </c>
    </row>
    <row r="60" spans="1:8" ht="7.15" customHeight="1" thickTop="1" x14ac:dyDescent="0.2">
      <c r="A60" s="13"/>
      <c r="B60" s="11"/>
      <c r="C60" s="19"/>
      <c r="D60" s="10"/>
      <c r="E60" s="9"/>
      <c r="F60" s="10"/>
      <c r="G60" s="9"/>
      <c r="H60" s="10"/>
    </row>
    <row r="61" spans="1:8" ht="16.899999999999999" customHeight="1" thickBot="1" x14ac:dyDescent="0.25">
      <c r="A61" s="13"/>
      <c r="B61" s="69" t="s">
        <v>60</v>
      </c>
      <c r="C61" s="70">
        <f>C59+C49+C42+C33+C26</f>
        <v>147757.81</v>
      </c>
      <c r="D61" s="71">
        <f>(C61*100)/C$8</f>
        <v>71.06897284476635</v>
      </c>
      <c r="E61" s="72">
        <f>E59+E49+E42+E33+E26</f>
        <v>0</v>
      </c>
      <c r="F61" s="71" t="e">
        <f>(E61*100)/E$8</f>
        <v>#DIV/0!</v>
      </c>
      <c r="G61" s="72">
        <f>G59+G49+G42+G33+G26</f>
        <v>147757.81</v>
      </c>
      <c r="H61" s="71">
        <f>IF(E61=0,0,G61/E61*100)</f>
        <v>0</v>
      </c>
    </row>
    <row r="62" spans="1:8" ht="7.15" customHeight="1" thickTop="1" x14ac:dyDescent="0.2">
      <c r="A62" s="13"/>
      <c r="B62" s="11"/>
      <c r="C62" s="19"/>
      <c r="D62" s="10"/>
      <c r="E62" s="9"/>
      <c r="F62" s="10"/>
      <c r="G62" s="9"/>
      <c r="H62" s="10"/>
    </row>
    <row r="63" spans="1:8" x14ac:dyDescent="0.2">
      <c r="A63" s="13" t="s">
        <v>2991</v>
      </c>
      <c r="B63" s="14" t="s">
        <v>64</v>
      </c>
      <c r="C63" s="23">
        <f>-SUMIFS('BAL N CATALINA'!$H:$H,'BAL N CATALINA'!$I:$I,$A63,'BAL N CATALINA'!$J:$J,"T")</f>
        <v>2900.64</v>
      </c>
      <c r="D63" s="17">
        <f t="shared" ref="D63:F65" si="14">(C63*100)/C$8</f>
        <v>1.3951580995444035</v>
      </c>
      <c r="E63" s="16">
        <f>-SUMIFS(DONNEESCUM_N1_NOUVEAU[MONTANT],DONNEESCUM_N1_NOUVEAU[TL2],A63,DONNEESCUM_N1_NOUVEAU[MOIS],DONNÉES!$C$5,DONNEESCUM_N1_NOUVEAU[SOCIETE],"CATALINA")</f>
        <v>0</v>
      </c>
      <c r="F63" s="17" t="e">
        <f t="shared" si="14"/>
        <v>#DIV/0!</v>
      </c>
      <c r="G63" s="16">
        <f>+C63-E63</f>
        <v>2900.64</v>
      </c>
      <c r="H63" s="17">
        <f>IF(E63=0,0,G63/E63*100)</f>
        <v>0</v>
      </c>
    </row>
    <row r="64" spans="1:8" s="18" customFormat="1" x14ac:dyDescent="0.2">
      <c r="A64" s="13" t="s">
        <v>2992</v>
      </c>
      <c r="B64" s="68" t="s">
        <v>65</v>
      </c>
      <c r="C64" s="23">
        <f>SUMIFS('BAL N CATALINA'!$H:$H,'BAL N CATALINA'!$I:$I,$A64,'BAL N CATALINA'!$J:$J,"T")</f>
        <v>1227.1099999999999</v>
      </c>
      <c r="D64" s="17">
        <f t="shared" si="14"/>
        <v>0.59021886739889562</v>
      </c>
      <c r="E64" s="24">
        <f>SUMIFS(DONNEESCUM_N1_NOUVEAU[MONTANT],DONNEESCUM_N1_NOUVEAU[TL2],A64,DONNEESCUM_N1_NOUVEAU[MOIS],DONNÉES!$C$5,DONNEESCUM_N1_NOUVEAU[SOCIETE],"CATALINA")</f>
        <v>0</v>
      </c>
      <c r="F64" s="17" t="e">
        <f t="shared" si="14"/>
        <v>#DIV/0!</v>
      </c>
      <c r="G64" s="16">
        <f>+C64-E64</f>
        <v>1227.1099999999999</v>
      </c>
      <c r="H64" s="17">
        <f>IF(E64=0,0,G64/E64*100)</f>
        <v>0</v>
      </c>
    </row>
    <row r="65" spans="1:9" s="59" customFormat="1" ht="13.5" x14ac:dyDescent="0.2">
      <c r="A65" s="13"/>
      <c r="B65" s="62" t="s">
        <v>53</v>
      </c>
      <c r="C65" s="67">
        <f>+C63-C64</f>
        <v>1673.53</v>
      </c>
      <c r="D65" s="56">
        <f t="shared" si="14"/>
        <v>0.80493923214550767</v>
      </c>
      <c r="E65" s="57">
        <f>+E63-E64</f>
        <v>0</v>
      </c>
      <c r="F65" s="56" t="e">
        <f t="shared" si="14"/>
        <v>#DIV/0!</v>
      </c>
      <c r="G65" s="58">
        <f>+G63-G64</f>
        <v>1673.53</v>
      </c>
      <c r="H65" s="56">
        <f>IF(E65=0,0,G65/E65*100)</f>
        <v>0</v>
      </c>
    </row>
    <row r="66" spans="1:9" s="18" customFormat="1" ht="7.15" customHeight="1" x14ac:dyDescent="0.2">
      <c r="A66" s="13"/>
      <c r="B66" s="14"/>
      <c r="C66" s="15"/>
      <c r="D66" s="17"/>
      <c r="E66" s="16"/>
      <c r="F66" s="17"/>
      <c r="G66" s="16"/>
      <c r="H66" s="17"/>
    </row>
    <row r="67" spans="1:9" s="18" customFormat="1" x14ac:dyDescent="0.2">
      <c r="A67" s="13" t="s">
        <v>286</v>
      </c>
      <c r="B67" s="14" t="s">
        <v>2993</v>
      </c>
      <c r="C67" s="15">
        <f>-SUMIFS('BAL N CATALINA'!$H:$H,'BAL N CATALINA'!$I:$I,$A67,'BAL N CATALINA'!$J:$J,"T")</f>
        <v>-2620.83</v>
      </c>
      <c r="D67" s="17">
        <f>(C67*100)/C$8</f>
        <v>-1.2605742877533781</v>
      </c>
      <c r="E67" s="16">
        <f>-SUMIFS(DONNEESCUM_N1_NOUVEAU[MONTANT],DONNEESCUM_N1_NOUVEAU[TL2],A67,DONNEESCUM_N1_NOUVEAU[MOIS],DONNÉES!$C$5,DONNEESCUM_N1_NOUVEAU[SOCIETE],"CATALINA")</f>
        <v>0</v>
      </c>
      <c r="F67" s="17" t="e">
        <f>(E67*100)/E$8</f>
        <v>#DIV/0!</v>
      </c>
      <c r="G67" s="16">
        <f>+C67-E67</f>
        <v>-2620.83</v>
      </c>
      <c r="H67" s="17">
        <f>IF(E67=0,0,G67/E67*100)</f>
        <v>0</v>
      </c>
    </row>
    <row r="68" spans="1:9" s="18" customFormat="1" ht="7.15" customHeight="1" x14ac:dyDescent="0.2">
      <c r="A68" s="13"/>
      <c r="B68" s="14"/>
      <c r="C68" s="15"/>
      <c r="D68" s="17"/>
      <c r="E68" s="16"/>
      <c r="F68" s="17"/>
      <c r="G68" s="16"/>
      <c r="H68" s="17"/>
    </row>
    <row r="69" spans="1:9" s="18" customFormat="1" x14ac:dyDescent="0.2">
      <c r="A69" s="13"/>
      <c r="B69" s="11" t="s">
        <v>55</v>
      </c>
      <c r="C69" s="22">
        <f>C18-C61+C65+C67</f>
        <v>3073.1400000000021</v>
      </c>
      <c r="D69" s="10">
        <f>(C69*100)/C$8</f>
        <v>1.4781276414977009</v>
      </c>
      <c r="E69" s="9">
        <f>E18-E61+E65+E67</f>
        <v>0</v>
      </c>
      <c r="F69" s="10" t="e">
        <f>(E69*100)/E$8</f>
        <v>#DIV/0!</v>
      </c>
      <c r="G69" s="9">
        <f>G18-G61+G65+G67</f>
        <v>3073.1400000000021</v>
      </c>
      <c r="H69" s="10">
        <f>IF(E69=0,0,G69/E69*100)</f>
        <v>0</v>
      </c>
    </row>
    <row r="70" spans="1:9" ht="13.5" thickBot="1" x14ac:dyDescent="0.25">
      <c r="A70" s="13"/>
      <c r="B70" s="63" t="s">
        <v>3034</v>
      </c>
      <c r="C70" s="49">
        <f>+C69-C67+C57+C56</f>
        <v>15475.320000000003</v>
      </c>
      <c r="D70" s="50">
        <f>(C70*100)/C$8</f>
        <v>7.4433635477141253</v>
      </c>
      <c r="E70" s="49">
        <f>+E69-E67+E57+E56</f>
        <v>0</v>
      </c>
      <c r="F70" s="50" t="e">
        <f>(E70*100)/E$8</f>
        <v>#DIV/0!</v>
      </c>
      <c r="G70" s="49">
        <f>+G69-G67+G57+G56</f>
        <v>15475.320000000003</v>
      </c>
      <c r="H70" s="50">
        <f>IF(E70=0,0,G70/E70*100)</f>
        <v>0</v>
      </c>
    </row>
    <row r="71" spans="1:9" ht="7.15" customHeight="1" thickTop="1" x14ac:dyDescent="0.2">
      <c r="A71" s="13"/>
      <c r="B71" s="11"/>
      <c r="C71" s="12"/>
      <c r="D71" s="10"/>
      <c r="E71" s="9"/>
      <c r="F71" s="10"/>
      <c r="G71" s="9"/>
      <c r="H71" s="10"/>
    </row>
    <row r="72" spans="1:9" x14ac:dyDescent="0.2">
      <c r="A72" s="13" t="s">
        <v>2995</v>
      </c>
      <c r="B72" s="14" t="s">
        <v>2996</v>
      </c>
      <c r="C72" s="15">
        <f>-SUMIFS('BAL N CATALINA'!$H:$H,'BAL N CATALINA'!$I:$I,$A72,'BAL N CATALINA'!$J:$J,"T")</f>
        <v>0</v>
      </c>
      <c r="D72" s="17">
        <f>(C72*100)/C$8</f>
        <v>0</v>
      </c>
      <c r="E72" s="16">
        <f>-SUMIFS(DONNEESCUM_N1_NOUVEAU[MONTANT],DONNEESCUM_N1_NOUVEAU[TL2],A72,DONNEESCUM_N1_NOUVEAU[MOIS],DONNÉES!$C$5,DONNEESCUM_N1_NOUVEAU[SOCIETE],"CATALINA")</f>
        <v>0</v>
      </c>
      <c r="F72" s="17" t="e">
        <f>(E72*100)/E$8</f>
        <v>#DIV/0!</v>
      </c>
      <c r="G72" s="16">
        <f>+C72-E72</f>
        <v>0</v>
      </c>
      <c r="H72" s="17">
        <f>IF(E72=0,0,G72/E72*100)</f>
        <v>0</v>
      </c>
      <c r="I72" s="18"/>
    </row>
    <row r="73" spans="1:9" ht="7.15" customHeight="1" x14ac:dyDescent="0.2">
      <c r="A73" s="13"/>
      <c r="B73" s="11"/>
      <c r="C73" s="12"/>
      <c r="D73" s="10"/>
      <c r="E73" s="9"/>
      <c r="F73" s="10"/>
      <c r="G73" s="9"/>
      <c r="H73" s="10"/>
    </row>
    <row r="74" spans="1:9" x14ac:dyDescent="0.2">
      <c r="A74" s="13" t="s">
        <v>288</v>
      </c>
      <c r="B74" s="11" t="s">
        <v>63</v>
      </c>
      <c r="C74" s="22">
        <f>SUMIFS('BAL N CATALINA'!$H:$H,'BAL N CATALINA'!$I:$I,$A74,'BAL N CATALINA'!$J:$J,"T")</f>
        <v>17040</v>
      </c>
      <c r="D74" s="10">
        <f>(C74*100)/C$8</f>
        <v>8.195947796429973</v>
      </c>
      <c r="E74" s="9">
        <f>SUMIFS(DONNEESCUM_N1_NOUVEAU[MONTANT],DONNEESCUM_N1_NOUVEAU[TL2],A74,DONNEESCUM_N1_NOUVEAU[MOIS],DONNÉES!$C$5,DONNEESCUM_N1_NOUVEAU[SOCIETE],"CATALINA")</f>
        <v>0</v>
      </c>
      <c r="F74" s="10" t="e">
        <f>(E74*100)/E$8</f>
        <v>#DIV/0!</v>
      </c>
      <c r="G74" s="9">
        <f>+C74-E74</f>
        <v>17040</v>
      </c>
      <c r="H74" s="10">
        <f>IF(E74=0,0,G74/E74*100)</f>
        <v>0</v>
      </c>
    </row>
    <row r="75" spans="1:9" ht="7.15" customHeight="1" x14ac:dyDescent="0.2">
      <c r="A75" s="13"/>
      <c r="B75" s="11"/>
      <c r="C75" s="12"/>
      <c r="D75" s="10"/>
      <c r="E75" s="9"/>
      <c r="F75" s="10"/>
      <c r="G75" s="9"/>
      <c r="H75" s="10"/>
    </row>
    <row r="76" spans="1:9" ht="16.899999999999999" customHeight="1" thickBot="1" x14ac:dyDescent="0.25">
      <c r="A76" s="13"/>
      <c r="B76" s="69" t="s">
        <v>61</v>
      </c>
      <c r="C76" s="70">
        <f>C69-C74+C72</f>
        <v>-13966.859999999997</v>
      </c>
      <c r="D76" s="71">
        <f>(C76*100)/C$8</f>
        <v>-6.7178201549322711</v>
      </c>
      <c r="E76" s="72">
        <f>E69-E74+E72</f>
        <v>0</v>
      </c>
      <c r="F76" s="71" t="e">
        <f>(E76*100)/E$8</f>
        <v>#DIV/0!</v>
      </c>
      <c r="G76" s="72">
        <f>G69-G74+G72</f>
        <v>-13966.859999999997</v>
      </c>
      <c r="H76" s="71">
        <f>IF(E76=0,0,G76/E76*100)</f>
        <v>0</v>
      </c>
    </row>
    <row r="77" spans="1:9" ht="13.5" thickTop="1" x14ac:dyDescent="0.2">
      <c r="A77" s="13"/>
      <c r="B77" s="11"/>
      <c r="C77" s="319"/>
      <c r="D77" s="320"/>
      <c r="E77" s="321"/>
      <c r="F77" s="322"/>
      <c r="G77" s="321"/>
      <c r="H77" s="322"/>
    </row>
    <row r="78" spans="1:9" ht="16.899999999999999" customHeight="1" thickBot="1" x14ac:dyDescent="0.25">
      <c r="A78" s="13"/>
      <c r="B78" s="73" t="s">
        <v>85</v>
      </c>
      <c r="C78" s="323">
        <f>VLOOKUP(PARAMETRES!$C$2,DONNÉES!$DZ$188:$EF$199,2,FALSE)</f>
        <v>11403</v>
      </c>
      <c r="D78" s="324"/>
      <c r="E78" s="323"/>
      <c r="F78" s="324"/>
      <c r="G78" s="317"/>
      <c r="H78" s="318"/>
    </row>
    <row r="79" spans="1:9" ht="13.5" thickTop="1" x14ac:dyDescent="0.2">
      <c r="A79" s="13"/>
      <c r="B79" s="65"/>
      <c r="C79" s="25"/>
      <c r="D79" s="26"/>
      <c r="E79" s="27"/>
      <c r="F79" s="28"/>
      <c r="G79" s="27"/>
      <c r="H79" s="28"/>
    </row>
    <row r="80" spans="1:9" ht="16.899999999999999" customHeight="1" thickBot="1" x14ac:dyDescent="0.25">
      <c r="A80" s="13"/>
      <c r="B80" s="73" t="s">
        <v>86</v>
      </c>
      <c r="C80" s="315">
        <f>VLOOKUP(PARAMETRES!$C$2,DONNÉES!$DZ$284:$EF$295,2,FALSE)</f>
        <v>18.489999999999998</v>
      </c>
      <c r="D80" s="316"/>
      <c r="E80" s="315"/>
      <c r="F80" s="316"/>
      <c r="G80" s="317"/>
      <c r="H80" s="318"/>
    </row>
    <row r="81" spans="1:8" ht="14.25" thickTop="1" thickBot="1" x14ac:dyDescent="0.25">
      <c r="A81" s="13"/>
      <c r="B81" s="66"/>
      <c r="C81" s="29"/>
      <c r="D81" s="30"/>
      <c r="E81" s="29"/>
      <c r="F81" s="30"/>
      <c r="G81" s="29"/>
      <c r="H81" s="30"/>
    </row>
  </sheetData>
  <mergeCells count="16">
    <mergeCell ref="C80:D80"/>
    <mergeCell ref="E80:F80"/>
    <mergeCell ref="G80:H80"/>
    <mergeCell ref="C77:D77"/>
    <mergeCell ref="E77:F77"/>
    <mergeCell ref="G77:H77"/>
    <mergeCell ref="C78:D78"/>
    <mergeCell ref="E78:F78"/>
    <mergeCell ref="G78:H78"/>
    <mergeCell ref="B3:H3"/>
    <mergeCell ref="A5:A6"/>
    <mergeCell ref="B5:B6"/>
    <mergeCell ref="C5:H5"/>
    <mergeCell ref="C6:D6"/>
    <mergeCell ref="E6:F6"/>
    <mergeCell ref="G6:H6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headerFooter>
    <oddFooter>&amp;C&amp;"Helv,Gras"&amp;11Page &amp;P / &amp;N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7FCE-5174-4720-AAEA-2C5AA7B471DC}">
  <sheetPr>
    <tabColor rgb="FF92D050"/>
    <pageSetUpPr fitToPage="1"/>
  </sheetPr>
  <dimension ref="A1:G3"/>
  <sheetViews>
    <sheetView zoomScaleNormal="100" zoomScaleSheetLayoutView="100" workbookViewId="0">
      <selection activeCell="G26" activeCellId="2" sqref="E16 M26 G26"/>
    </sheetView>
  </sheetViews>
  <sheetFormatPr baseColWidth="10" defaultRowHeight="12.75" x14ac:dyDescent="0.2"/>
  <sheetData>
    <row r="1" spans="1:7" x14ac:dyDescent="0.2">
      <c r="A1" s="282" t="s">
        <v>6997</v>
      </c>
    </row>
    <row r="2" spans="1:7" x14ac:dyDescent="0.2">
      <c r="C2" s="280"/>
      <c r="E2" s="280"/>
      <c r="G2" s="280"/>
    </row>
    <row r="3" spans="1:7" x14ac:dyDescent="0.2">
      <c r="C3" s="280"/>
      <c r="E3" s="280"/>
      <c r="G3" s="280"/>
    </row>
  </sheetData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&amp;C&amp;"Helv,Gras"&amp;11&amp;K00+000Page &amp;P / &amp;N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AF743-7DB9-40EE-84EF-1C04E8BB73C2}">
  <sheetPr>
    <tabColor rgb="FF92D050"/>
    <pageSetUpPr fitToPage="1"/>
  </sheetPr>
  <dimension ref="A2:I39"/>
  <sheetViews>
    <sheetView showGridLines="0" topLeftCell="A8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 x14ac:dyDescent="0.25"/>
  <cols>
    <col min="1" max="1" width="4.5703125" style="31" customWidth="1"/>
    <col min="2" max="2" width="13" style="31" bestFit="1" customWidth="1"/>
    <col min="3" max="7" width="11.42578125" style="31"/>
    <col min="8" max="8" width="0.28515625" style="31" hidden="1" customWidth="1"/>
    <col min="9" max="16384" width="11.42578125" style="31"/>
  </cols>
  <sheetData>
    <row r="2" spans="1:8" x14ac:dyDescent="0.25">
      <c r="C2" s="41"/>
      <c r="E2" s="41"/>
      <c r="G2" s="41"/>
    </row>
    <row r="3" spans="1:8" s="34" customFormat="1" ht="25.5" x14ac:dyDescent="0.35">
      <c r="A3" s="32"/>
      <c r="B3" s="33"/>
      <c r="C3" s="40"/>
      <c r="D3" s="33"/>
      <c r="E3" s="40"/>
      <c r="F3" s="33"/>
      <c r="G3" s="40"/>
      <c r="H3" s="33"/>
    </row>
    <row r="4" spans="1:8" x14ac:dyDescent="0.25">
      <c r="A4" s="35"/>
      <c r="B4" s="36"/>
      <c r="C4" s="36"/>
      <c r="D4" s="36"/>
      <c r="E4" s="36"/>
      <c r="F4" s="36"/>
      <c r="G4" s="36"/>
      <c r="H4" s="36"/>
    </row>
    <row r="5" spans="1:8" x14ac:dyDescent="0.25">
      <c r="A5" s="35"/>
      <c r="B5" s="36"/>
      <c r="C5" s="37"/>
      <c r="D5" s="36"/>
      <c r="E5" s="36"/>
      <c r="F5" s="36"/>
      <c r="G5" s="36"/>
      <c r="H5" s="36"/>
    </row>
    <row r="6" spans="1:8" x14ac:dyDescent="0.25">
      <c r="A6" s="35"/>
      <c r="B6" s="36"/>
      <c r="C6" s="36"/>
      <c r="D6" s="36"/>
      <c r="E6" s="36"/>
      <c r="F6" s="36"/>
      <c r="G6" s="36"/>
      <c r="H6" s="36"/>
    </row>
    <row r="7" spans="1:8" x14ac:dyDescent="0.25">
      <c r="A7" s="35"/>
      <c r="B7" s="36"/>
      <c r="C7" s="36"/>
      <c r="D7" s="36"/>
      <c r="E7" s="36"/>
      <c r="F7" s="36"/>
      <c r="G7" s="36"/>
      <c r="H7" s="36"/>
    </row>
    <row r="8" spans="1:8" x14ac:dyDescent="0.25">
      <c r="A8" s="35"/>
      <c r="B8" s="36"/>
      <c r="C8" s="36"/>
      <c r="D8" s="36"/>
      <c r="E8" s="36"/>
      <c r="F8" s="36"/>
      <c r="G8" s="36"/>
      <c r="H8" s="36"/>
    </row>
    <row r="9" spans="1:8" x14ac:dyDescent="0.25">
      <c r="A9" s="35"/>
      <c r="B9" s="36"/>
      <c r="C9" s="36"/>
      <c r="D9" s="36"/>
      <c r="E9" s="36"/>
      <c r="F9" s="36"/>
      <c r="G9" s="36"/>
      <c r="H9" s="36"/>
    </row>
    <row r="10" spans="1:8" x14ac:dyDescent="0.25">
      <c r="A10" s="35"/>
      <c r="B10" s="36"/>
      <c r="C10" s="36"/>
      <c r="D10" s="36"/>
      <c r="E10" s="36"/>
      <c r="F10" s="36"/>
      <c r="G10" s="36"/>
      <c r="H10" s="36"/>
    </row>
    <row r="11" spans="1:8" x14ac:dyDescent="0.25">
      <c r="A11" s="36"/>
      <c r="B11" s="36"/>
      <c r="C11" s="36"/>
      <c r="D11" s="36"/>
      <c r="E11" s="36"/>
      <c r="F11" s="36"/>
      <c r="G11" s="36"/>
    </row>
    <row r="12" spans="1:8" x14ac:dyDescent="0.25">
      <c r="A12" s="36"/>
      <c r="B12" s="36"/>
      <c r="C12" s="36"/>
      <c r="D12" s="36"/>
      <c r="E12" s="36"/>
      <c r="F12" s="36"/>
      <c r="G12" s="36"/>
    </row>
    <row r="13" spans="1:8" x14ac:dyDescent="0.25">
      <c r="A13" s="36"/>
      <c r="B13" s="36"/>
      <c r="C13" s="36"/>
      <c r="D13" s="36"/>
      <c r="E13" s="36"/>
      <c r="F13" s="36"/>
      <c r="G13" s="36"/>
    </row>
    <row r="14" spans="1:8" x14ac:dyDescent="0.25">
      <c r="A14" s="36"/>
      <c r="B14" s="36"/>
      <c r="C14" s="36"/>
      <c r="D14" s="36"/>
      <c r="E14" s="36"/>
      <c r="F14" s="36"/>
      <c r="G14" s="36"/>
    </row>
    <row r="15" spans="1:8" x14ac:dyDescent="0.25">
      <c r="A15" s="36"/>
      <c r="B15" s="36"/>
      <c r="C15" s="36"/>
      <c r="D15" s="36"/>
      <c r="E15" s="36"/>
      <c r="F15" s="36"/>
      <c r="G15" s="36"/>
    </row>
    <row r="16" spans="1:8" x14ac:dyDescent="0.25">
      <c r="A16" s="36"/>
      <c r="B16" s="36"/>
      <c r="C16" s="36"/>
      <c r="D16" s="36"/>
      <c r="E16" s="36"/>
      <c r="F16" s="36"/>
      <c r="G16" s="36"/>
    </row>
    <row r="17" spans="1:9" x14ac:dyDescent="0.25">
      <c r="A17" s="36"/>
      <c r="B17" s="36"/>
      <c r="C17" s="36"/>
      <c r="D17" s="36"/>
      <c r="E17" s="36"/>
      <c r="F17" s="36"/>
      <c r="G17" s="36"/>
    </row>
    <row r="18" spans="1:9" ht="7.5" customHeight="1" x14ac:dyDescent="0.25">
      <c r="A18" s="38"/>
      <c r="B18" s="36"/>
      <c r="C18" s="36"/>
      <c r="D18" s="36"/>
      <c r="E18" s="36"/>
      <c r="F18" s="36"/>
      <c r="G18" s="36"/>
    </row>
    <row r="19" spans="1:9" x14ac:dyDescent="0.25">
      <c r="A19" s="36"/>
      <c r="B19" s="36"/>
      <c r="C19" s="36"/>
      <c r="D19" s="36"/>
      <c r="E19" s="36"/>
      <c r="F19" s="36"/>
      <c r="G19" s="36"/>
      <c r="I19" s="31" t="s">
        <v>97</v>
      </c>
    </row>
    <row r="20" spans="1:9" ht="58.5" customHeight="1" x14ac:dyDescent="0.25">
      <c r="A20" s="306"/>
      <c r="B20" s="306"/>
      <c r="C20" s="306"/>
      <c r="D20" s="306"/>
      <c r="E20" s="306"/>
      <c r="F20" s="306"/>
      <c r="G20" s="306"/>
      <c r="H20" s="306"/>
      <c r="I20" s="306"/>
    </row>
    <row r="21" spans="1:9" ht="6" customHeight="1" x14ac:dyDescent="0.25">
      <c r="A21" s="36"/>
      <c r="B21" s="36"/>
      <c r="C21" s="36"/>
      <c r="D21" s="36"/>
      <c r="E21" s="36"/>
      <c r="F21" s="36"/>
      <c r="G21" s="36"/>
    </row>
    <row r="22" spans="1:9" x14ac:dyDescent="0.25">
      <c r="A22" s="36"/>
      <c r="B22" s="36"/>
      <c r="C22" s="36"/>
      <c r="D22" s="36"/>
      <c r="E22" s="36"/>
      <c r="F22" s="36"/>
      <c r="G22" s="36"/>
    </row>
    <row r="23" spans="1:9" x14ac:dyDescent="0.25">
      <c r="A23" s="36"/>
      <c r="B23" s="36"/>
      <c r="C23" s="36"/>
      <c r="D23" s="36"/>
      <c r="E23" s="36"/>
      <c r="F23" s="36"/>
      <c r="G23" s="36"/>
    </row>
    <row r="39" spans="1:8" x14ac:dyDescent="0.25">
      <c r="A39" s="39"/>
      <c r="B39" s="307"/>
      <c r="C39" s="307"/>
      <c r="D39" s="307"/>
      <c r="E39" s="307"/>
      <c r="F39" s="307"/>
      <c r="G39" s="307"/>
      <c r="H39" s="36" t="s">
        <v>98</v>
      </c>
    </row>
  </sheetData>
  <mergeCells count="2">
    <mergeCell ref="A20:I20"/>
    <mergeCell ref="B39:G39"/>
  </mergeCells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&amp;C&amp;"Helv,Gras"&amp;11&amp;K00+000Page &amp;P / &amp;N</oddFoot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8151-D083-4EBA-8E1F-129AC4121344}">
  <sheetPr codeName="Feuil101">
    <tabColor rgb="FF92D050"/>
    <pageSetUpPr fitToPage="1"/>
  </sheetPr>
  <dimension ref="A1:H1"/>
  <sheetViews>
    <sheetView showGridLines="0" view="pageBreakPreview" topLeftCell="A28" zoomScaleNormal="130" zoomScaleSheetLayoutView="100" workbookViewId="0">
      <selection activeCell="G26" activeCellId="2" sqref="E16 M26 G26"/>
    </sheetView>
  </sheetViews>
  <sheetFormatPr baseColWidth="10" defaultColWidth="11.5703125" defaultRowHeight="12.75" x14ac:dyDescent="0.2"/>
  <cols>
    <col min="1" max="16384" width="11.5703125" style="44"/>
  </cols>
  <sheetData>
    <row r="1" spans="1:8" x14ac:dyDescent="0.2">
      <c r="A1" s="74" t="s">
        <v>6996</v>
      </c>
      <c r="H1" s="75" t="str">
        <f>CONCATENATE("P&amp;L ",RIGHT(DONNÉES!B5,LEN(DONNÉES!B5)-3))</f>
        <v>P&amp;L Janvier</v>
      </c>
    </row>
  </sheetData>
  <pageMargins left="0.70866141732283472" right="0.70866141732283472" top="0.74803149606299213" bottom="0.74803149606299213" header="0.31496062992125984" footer="0.31496062992125984"/>
  <pageSetup paperSize="9" scale="85" orientation="portrait" r:id="rId1"/>
  <headerFooter>
    <oddFooter>&amp;C&amp;"Helv,Gras"&amp;11Page &amp;P / &amp;N</oddFoot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Feuil102">
    <tabColor rgb="FF92D050"/>
    <pageSetUpPr fitToPage="1"/>
  </sheetPr>
  <dimension ref="A1:M76"/>
  <sheetViews>
    <sheetView showGridLines="0" view="pageBreakPreview" topLeftCell="A41" zoomScaleNormal="100" zoomScaleSheetLayoutView="100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22.28515625" style="79" customWidth="1"/>
    <col min="2" max="13" width="8.28515625" style="82" customWidth="1"/>
    <col min="14" max="16384" width="11.42578125" style="79"/>
  </cols>
  <sheetData>
    <row r="1" spans="1:13" x14ac:dyDescent="0.2">
      <c r="A1" s="74" t="s">
        <v>6996</v>
      </c>
      <c r="B1" s="44"/>
      <c r="C1" s="44"/>
      <c r="D1" s="44"/>
      <c r="E1" s="44"/>
      <c r="F1" s="44"/>
      <c r="G1" s="44"/>
      <c r="H1" s="79"/>
      <c r="M1" s="75" t="str">
        <f>CONCATENATE("P&amp;L ",RIGHT(DONNÉES!B5,LEN(DONNÉES!B5)-3))</f>
        <v>P&amp;L Janvier</v>
      </c>
    </row>
    <row r="2" spans="1:13" x14ac:dyDescent="0.2">
      <c r="A2" s="74"/>
      <c r="B2" s="44"/>
      <c r="C2" s="44"/>
      <c r="D2" s="44"/>
      <c r="E2" s="44"/>
      <c r="F2" s="44"/>
      <c r="G2" s="44"/>
      <c r="H2" s="75"/>
    </row>
    <row r="3" spans="1:13" ht="15.6" customHeight="1" x14ac:dyDescent="0.25">
      <c r="A3" s="300" t="s">
        <v>117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</row>
    <row r="4" spans="1:13" ht="33" customHeight="1" x14ac:dyDescent="0.2">
      <c r="A4" s="6"/>
      <c r="B4" s="6"/>
      <c r="C4" s="6"/>
      <c r="D4" s="20"/>
      <c r="E4" s="21"/>
      <c r="F4" s="20"/>
      <c r="G4" s="21"/>
      <c r="H4" s="6"/>
    </row>
    <row r="5" spans="1:13" ht="24" customHeight="1" x14ac:dyDescent="0.2">
      <c r="A5" s="79" t="s">
        <v>7018</v>
      </c>
      <c r="B5" s="80" t="s">
        <v>118</v>
      </c>
      <c r="C5" s="80" t="s">
        <v>119</v>
      </c>
      <c r="D5" s="80" t="s">
        <v>89</v>
      </c>
      <c r="E5" s="80" t="s">
        <v>90</v>
      </c>
      <c r="F5" s="80" t="s">
        <v>91</v>
      </c>
      <c r="G5" s="80" t="s">
        <v>92</v>
      </c>
      <c r="H5" s="80" t="s">
        <v>120</v>
      </c>
      <c r="I5" s="80" t="s">
        <v>112</v>
      </c>
      <c r="J5" s="80" t="s">
        <v>113</v>
      </c>
      <c r="K5" s="80" t="s">
        <v>114</v>
      </c>
      <c r="L5" s="80" t="s">
        <v>115</v>
      </c>
      <c r="M5" s="80" t="s">
        <v>116</v>
      </c>
    </row>
    <row r="6" spans="1:13" s="81" customFormat="1" ht="15.6" customHeight="1" x14ac:dyDescent="0.2">
      <c r="A6" s="81" t="s">
        <v>2999</v>
      </c>
      <c r="B6" s="85">
        <f>IF(DONNÉES!$K$300="","",DONNÉES!$K$300)</f>
        <v>119.00608000000001</v>
      </c>
      <c r="C6" s="85" t="str">
        <f>IF(DONNÉES!$K$301="","",DONNÉES!$K$301)</f>
        <v/>
      </c>
      <c r="D6" s="85" t="str">
        <f>IF(DONNÉES!$K$302="","",DONNÉES!$K$302)</f>
        <v/>
      </c>
      <c r="E6" s="85" t="str">
        <f>IF(DONNÉES!$K$303="","",DONNÉES!$K$303)</f>
        <v/>
      </c>
      <c r="F6" s="85" t="str">
        <f>IF(DONNÉES!$K$304="","",DONNÉES!$K$304)</f>
        <v/>
      </c>
      <c r="G6" s="85" t="str">
        <f>IF(DONNÉES!$K$305="","",DONNÉES!$K$305)</f>
        <v/>
      </c>
      <c r="H6" s="85" t="str">
        <f>IF(DONNÉES!$K$306="","",DONNÉES!$K$306)</f>
        <v/>
      </c>
      <c r="I6" s="85" t="str">
        <f>IF(DONNÉES!$K$307="","",DONNÉES!$K$307)</f>
        <v/>
      </c>
      <c r="J6" s="85" t="str">
        <f>IF(DONNÉES!$K$308="","",DONNÉES!$K$308)</f>
        <v/>
      </c>
      <c r="K6" s="85" t="str">
        <f>IF(DONNÉES!$K$309="","",DONNÉES!$K$309)</f>
        <v/>
      </c>
      <c r="L6" s="85" t="str">
        <f>IF(DONNÉES!$K$310="","",DONNÉES!$K$310)</f>
        <v/>
      </c>
      <c r="M6" s="85" t="str">
        <f>IF(DONNÉES!$K$311="","",DONNÉES!$K$311)</f>
        <v/>
      </c>
    </row>
    <row r="7" spans="1:13" s="81" customFormat="1" ht="15.6" customHeight="1" x14ac:dyDescent="0.2">
      <c r="A7" s="81" t="s">
        <v>3001</v>
      </c>
      <c r="B7" s="85">
        <f>IF(DONNÉES!$S$300="","",DONNÉES!$S$300)</f>
        <v>64.110299999999995</v>
      </c>
      <c r="C7" s="85" t="str">
        <f>IF(DONNÉES!$S$301="","",DONNÉES!$S$301)</f>
        <v/>
      </c>
      <c r="D7" s="85" t="str">
        <f>IF(DONNÉES!$S$302="","",DONNÉES!$S$302)</f>
        <v/>
      </c>
      <c r="E7" s="85" t="str">
        <f>IF(DONNÉES!$S$303="","",DONNÉES!$S$303)</f>
        <v/>
      </c>
      <c r="F7" s="85" t="str">
        <f>IF(DONNÉES!$S$304="","",DONNÉES!$S$304)</f>
        <v/>
      </c>
      <c r="G7" s="85" t="str">
        <f>IF(DONNÉES!$S$305="","",DONNÉES!$S$305)</f>
        <v/>
      </c>
      <c r="H7" s="85" t="str">
        <f>IF(DONNÉES!$S$306="","",DONNÉES!$S$306)</f>
        <v/>
      </c>
      <c r="I7" s="85" t="str">
        <f>IF(DONNÉES!$S$307="","",DONNÉES!$S$307)</f>
        <v/>
      </c>
      <c r="J7" s="85" t="str">
        <f>IF(DONNÉES!$S$308="","",DONNÉES!$S$308)</f>
        <v/>
      </c>
      <c r="K7" s="85" t="str">
        <f>IF(DONNÉES!$S$309="","",DONNÉES!$S$309)</f>
        <v/>
      </c>
      <c r="L7" s="85" t="str">
        <f>IF(DONNÉES!$S$310="","",DONNÉES!$S$310)</f>
        <v/>
      </c>
      <c r="M7" s="85" t="str">
        <f>IF(DONNÉES!$S$311="","",DONNÉES!$S$311)</f>
        <v/>
      </c>
    </row>
    <row r="8" spans="1:13" s="81" customFormat="1" ht="15.6" customHeight="1" x14ac:dyDescent="0.2">
      <c r="A8" s="81" t="s">
        <v>210</v>
      </c>
      <c r="B8" s="85">
        <f>IF(DONNÉES!$AA$300="","",DONNÉES!$AA$300)</f>
        <v>319.16282999999999</v>
      </c>
      <c r="C8" s="85" t="str">
        <f>IF(DONNÉES!$AA$301="","",DONNÉES!$AA$301)</f>
        <v/>
      </c>
      <c r="D8" s="85" t="str">
        <f>IF(DONNÉES!$AA$302="","",DONNÉES!$AA$302)</f>
        <v/>
      </c>
      <c r="E8" s="85" t="str">
        <f>IF(DONNÉES!$AA$303="","",DONNÉES!$AA$303)</f>
        <v/>
      </c>
      <c r="F8" s="85" t="str">
        <f>IF(DONNÉES!$AA$304="","",DONNÉES!$AA$304)</f>
        <v/>
      </c>
      <c r="G8" s="85" t="str">
        <f>IF(DONNÉES!$AA$305="","",DONNÉES!$AA$305)</f>
        <v/>
      </c>
      <c r="H8" s="85" t="str">
        <f>IF(DONNÉES!$AA$306="","",DONNÉES!$AA$306)</f>
        <v/>
      </c>
      <c r="I8" s="85" t="str">
        <f>IF(DONNÉES!$AA$307="","",DONNÉES!$AA$307)</f>
        <v/>
      </c>
      <c r="J8" s="85" t="str">
        <f>IF(DONNÉES!$AA$308="","",DONNÉES!$AA$308)</f>
        <v/>
      </c>
      <c r="K8" s="85" t="str">
        <f>IF(DONNÉES!$AA$309="","",DONNÉES!$AA$309)</f>
        <v/>
      </c>
      <c r="L8" s="85" t="str">
        <f>IF(DONNÉES!$AA$310="","",DONNÉES!$AA$310)</f>
        <v/>
      </c>
      <c r="M8" s="85" t="str">
        <f>IF(DONNÉES!$AA$311="","",DONNÉES!$AA$311)</f>
        <v/>
      </c>
    </row>
    <row r="9" spans="1:13" ht="15.6" customHeight="1" x14ac:dyDescent="0.2">
      <c r="A9" s="79" t="s">
        <v>3003</v>
      </c>
      <c r="B9" s="85" t="str">
        <f>IF(DONNÉES!$AI$300="","",DONNÉES!$AI$300)</f>
        <v/>
      </c>
      <c r="C9" s="85" t="str">
        <f>IF(DONNÉES!$AI$301="","",DONNÉES!$AI$301)</f>
        <v/>
      </c>
      <c r="D9" s="85" t="str">
        <f>IF(DONNÉES!$AI$302="","",DONNÉES!$AI$302)</f>
        <v/>
      </c>
      <c r="E9" s="85" t="str">
        <f>IF(DONNÉES!$AI$303="","",DONNÉES!$AI$303)</f>
        <v/>
      </c>
      <c r="F9" s="85" t="str">
        <f>IF(DONNÉES!$AI$304="","",DONNÉES!$AI$304)</f>
        <v/>
      </c>
      <c r="G9" s="85" t="str">
        <f>IF(DONNÉES!$AI$305="","",DONNÉES!$AI$305)</f>
        <v/>
      </c>
      <c r="H9" s="85" t="str">
        <f>IF(DONNÉES!$AI$306="","",DONNÉES!$AI$306)</f>
        <v/>
      </c>
      <c r="I9" s="85" t="str">
        <f>IF(DONNÉES!$AI$307="","",DONNÉES!$AI$307)</f>
        <v/>
      </c>
      <c r="J9" s="85" t="str">
        <f>IF(DONNÉES!$AI$308="","",DONNÉES!$AI$308)</f>
        <v/>
      </c>
      <c r="K9" s="85" t="str">
        <f>IF(DONNÉES!$AI$309="","",DONNÉES!$AI$309)</f>
        <v/>
      </c>
      <c r="L9" s="85" t="str">
        <f>IF(DONNÉES!$AI$310="","",DONNÉES!$AI$310)</f>
        <v/>
      </c>
      <c r="M9" s="85" t="str">
        <f>IF(DONNÉES!$AI$311="","",DONNÉES!$AI$311)</f>
        <v/>
      </c>
    </row>
    <row r="10" spans="1:13" s="81" customFormat="1" ht="15.6" customHeight="1" x14ac:dyDescent="0.2">
      <c r="A10" s="81" t="s">
        <v>2156</v>
      </c>
      <c r="B10" s="85">
        <f>IF(DONNÉES!$AQ$300="","",DONNÉES!$AQ$300)</f>
        <v>382.70744999999999</v>
      </c>
      <c r="C10" s="85" t="str">
        <f>IF(DONNÉES!$AQ$301="","",DONNÉES!$AQ$301)</f>
        <v/>
      </c>
      <c r="D10" s="85" t="str">
        <f>IF(DONNÉES!$AQ$302="","",DONNÉES!$AQ$302)</f>
        <v/>
      </c>
      <c r="E10" s="85" t="str">
        <f>IF(DONNÉES!$AQ$303="","",DONNÉES!$AQ$303)</f>
        <v/>
      </c>
      <c r="F10" s="85" t="str">
        <f>IF(DONNÉES!$AQ$304="","",DONNÉES!$AQ$304)</f>
        <v/>
      </c>
      <c r="G10" s="85" t="str">
        <f>IF(DONNÉES!$AQ$305="","",DONNÉES!$AQ$305)</f>
        <v/>
      </c>
      <c r="H10" s="85" t="str">
        <f>IF(DONNÉES!$AQ$306="","",DONNÉES!$AQ$306)</f>
        <v/>
      </c>
      <c r="I10" s="85" t="str">
        <f>IF(DONNÉES!$AQ$307="","",DONNÉES!$AQ$307)</f>
        <v/>
      </c>
      <c r="J10" s="85" t="str">
        <f>IF(DONNÉES!$AQ$308="","",DONNÉES!$AQ$308)</f>
        <v/>
      </c>
      <c r="K10" s="85" t="str">
        <f>IF(DONNÉES!$AQ$309="","",DONNÉES!$AQ$309)</f>
        <v/>
      </c>
      <c r="L10" s="85" t="str">
        <f>IF(DONNÉES!$AQ$310="","",DONNÉES!$AQ$310)</f>
        <v/>
      </c>
      <c r="M10" s="85" t="str">
        <f>IF(DONNÉES!$AQ$311="","",DONNÉES!$AQ$311)</f>
        <v/>
      </c>
    </row>
    <row r="11" spans="1:13" s="81" customFormat="1" ht="15.6" customHeight="1" x14ac:dyDescent="0.2">
      <c r="A11" s="81" t="s">
        <v>3000</v>
      </c>
      <c r="B11" s="85" t="str">
        <f>IF(DONNÉES!$AY$300="","",DONNÉES!$AY$300)</f>
        <v/>
      </c>
      <c r="C11" s="85" t="str">
        <f>IF(DONNÉES!$AY$301="","",DONNÉES!$AY$301)</f>
        <v/>
      </c>
      <c r="D11" s="85" t="str">
        <f>IF(DONNÉES!$AY$302="","",DONNÉES!$AY$302)</f>
        <v/>
      </c>
      <c r="E11" s="85" t="str">
        <f>IF(DONNÉES!$AY$303="","",DONNÉES!$AY$303)</f>
        <v/>
      </c>
      <c r="F11" s="85" t="str">
        <f>IF(DONNÉES!$AY$304="","",DONNÉES!$AY$304)</f>
        <v/>
      </c>
      <c r="G11" s="85" t="str">
        <f>IF(DONNÉES!$AY$305="","",DONNÉES!$AY$305)</f>
        <v/>
      </c>
      <c r="H11" s="85" t="str">
        <f>IF(DONNÉES!$AY$306="","",DONNÉES!$AY$306)</f>
        <v/>
      </c>
      <c r="I11" s="85" t="str">
        <f>IF(DONNÉES!$AY$307="","",DONNÉES!$AY$307)</f>
        <v/>
      </c>
      <c r="J11" s="85" t="str">
        <f>IF(DONNÉES!$AY$308="","",DONNÉES!$AY$308)</f>
        <v/>
      </c>
      <c r="K11" s="85" t="str">
        <f>IF(DONNÉES!$AY$309="","",DONNÉES!$AY$309)</f>
        <v/>
      </c>
      <c r="L11" s="85" t="str">
        <f>IF(DONNÉES!$AY$310="","",DONNÉES!$AY$310)</f>
        <v/>
      </c>
      <c r="M11" s="85" t="str">
        <f>IF(DONNÉES!$AY$311="","",DONNÉES!$AY$311)</f>
        <v/>
      </c>
    </row>
    <row r="12" spans="1:13" s="81" customFormat="1" ht="15.6" customHeight="1" x14ac:dyDescent="0.2">
      <c r="A12" s="81" t="s">
        <v>3002</v>
      </c>
      <c r="B12" s="85">
        <f>IF(DONNÉES!$BG$300="","",DONNÉES!$BG$300)</f>
        <v>257.81667499999998</v>
      </c>
      <c r="C12" s="85" t="str">
        <f>IF(DONNÉES!$BG$301="","",DONNÉES!$BG$301)</f>
        <v/>
      </c>
      <c r="D12" s="85" t="str">
        <f>IF(DONNÉES!$BG$302="","",DONNÉES!$BG$302)</f>
        <v/>
      </c>
      <c r="E12" s="85" t="str">
        <f>IF(DONNÉES!$BG$303="","",DONNÉES!$BG$303)</f>
        <v/>
      </c>
      <c r="F12" s="85" t="str">
        <f>IF(DONNÉES!$BG$304="","",DONNÉES!$BG$304)</f>
        <v/>
      </c>
      <c r="G12" s="85" t="str">
        <f>IF(DONNÉES!$BG$305="","",DONNÉES!$BG$305)</f>
        <v/>
      </c>
      <c r="H12" s="85" t="str">
        <f>IF(DONNÉES!$BG$306="","",DONNÉES!$BG$306)</f>
        <v/>
      </c>
      <c r="I12" s="85" t="str">
        <f>IF(DONNÉES!$BG$307="","",DONNÉES!$BG$307)</f>
        <v/>
      </c>
      <c r="J12" s="85" t="str">
        <f>IF(DONNÉES!$BG$308="","",DONNÉES!$BG$308)</f>
        <v/>
      </c>
      <c r="K12" s="85" t="str">
        <f>IF(DONNÉES!$BG$309="","",DONNÉES!$BG$309)</f>
        <v/>
      </c>
      <c r="L12" s="85" t="str">
        <f>IF(DONNÉES!$BG$310="","",DONNÉES!$BG$310)</f>
        <v/>
      </c>
      <c r="M12" s="85" t="str">
        <f>IF(DONNÉES!$BG$311="","",DONNÉES!$BG$311)</f>
        <v/>
      </c>
    </row>
    <row r="13" spans="1:13" ht="15.6" customHeight="1" x14ac:dyDescent="0.2">
      <c r="A13" s="79" t="s">
        <v>297</v>
      </c>
      <c r="B13" s="85">
        <f>IF(DONNÉES!$BO$300="","",DONNÉES!$BO$300)</f>
        <v>372.45663000000002</v>
      </c>
      <c r="C13" s="85" t="str">
        <f>IF(DONNÉES!$BO$301="","",DONNÉES!$BO$301)</f>
        <v/>
      </c>
      <c r="D13" s="85" t="str">
        <f>IF(DONNÉES!$BO$302="","",DONNÉES!$BO$302)</f>
        <v/>
      </c>
      <c r="E13" s="85" t="str">
        <f>IF(DONNÉES!$BO$303="","",DONNÉES!$BO$303)</f>
        <v/>
      </c>
      <c r="F13" s="85" t="str">
        <f>IF(DONNÉES!$BO$304="","",DONNÉES!$BO$304)</f>
        <v/>
      </c>
      <c r="G13" s="85" t="str">
        <f>IF(DONNÉES!$BO$305="","",DONNÉES!$BO$305)</f>
        <v/>
      </c>
      <c r="H13" s="85" t="str">
        <f>IF(DONNÉES!$BO$306="","",DONNÉES!$BO$306)</f>
        <v/>
      </c>
      <c r="I13" s="85" t="str">
        <f>IF(DONNÉES!$BO$307="","",DONNÉES!$BO$307)</f>
        <v/>
      </c>
      <c r="J13" s="85" t="str">
        <f>IF(DONNÉES!$BO$308="","",DONNÉES!$BO$308)</f>
        <v/>
      </c>
      <c r="K13" s="85" t="str">
        <f>IF(DONNÉES!$BO$309="","",DONNÉES!$BO$309)</f>
        <v/>
      </c>
      <c r="L13" s="85" t="str">
        <f>IF(DONNÉES!$BO$310="","",DONNÉES!$BO$310)</f>
        <v/>
      </c>
      <c r="M13" s="85" t="str">
        <f>IF(DONNÉES!$BO$311="","",DONNÉES!$BO$311)</f>
        <v/>
      </c>
    </row>
    <row r="14" spans="1:13" s="81" customFormat="1" ht="15.6" customHeight="1" x14ac:dyDescent="0.2">
      <c r="A14" s="81" t="s">
        <v>296</v>
      </c>
      <c r="B14" s="85">
        <f>IF(DONNÉES!$BW$300="","",DONNÉES!$BW$300)</f>
        <v>366.46967999999998</v>
      </c>
      <c r="C14" s="85" t="str">
        <f>IF(DONNÉES!$BW$301="","",DONNÉES!$BW$301)</f>
        <v/>
      </c>
      <c r="D14" s="85" t="str">
        <f>IF(DONNÉES!$BW$302="","",DONNÉES!$BW$302)</f>
        <v/>
      </c>
      <c r="E14" s="85" t="str">
        <f>IF(DONNÉES!$BW$303="","",DONNÉES!$BW$303)</f>
        <v/>
      </c>
      <c r="F14" s="85" t="str">
        <f>IF(DONNÉES!$BW$304="","",DONNÉES!$BW$304)</f>
        <v/>
      </c>
      <c r="G14" s="85" t="str">
        <f>IF(DONNÉES!$BW$305="","",DONNÉES!$BW$305)</f>
        <v/>
      </c>
      <c r="H14" s="85" t="str">
        <f>IF(DONNÉES!$BW$306="","",DONNÉES!$BW$306)</f>
        <v/>
      </c>
      <c r="I14" s="85" t="str">
        <f>IF(DONNÉES!$BW$307="","",DONNÉES!$BW$307)</f>
        <v/>
      </c>
      <c r="J14" s="85" t="str">
        <f>IF(DONNÉES!$BW$308="","",DONNÉES!$BW$308)</f>
        <v/>
      </c>
      <c r="K14" s="85" t="str">
        <f>IF(DONNÉES!$BW$309="","",DONNÉES!$BW$309)</f>
        <v/>
      </c>
      <c r="L14" s="85" t="str">
        <f>IF(DONNÉES!$BW$310="","",DONNÉES!$BW$310)</f>
        <v/>
      </c>
      <c r="M14" s="85" t="str">
        <f>IF(DONNÉES!$BW$311="","",DONNÉES!$BW$311)</f>
        <v/>
      </c>
    </row>
    <row r="15" spans="1:13" s="81" customFormat="1" ht="15.6" customHeight="1" x14ac:dyDescent="0.2">
      <c r="A15" s="81" t="s">
        <v>301</v>
      </c>
      <c r="B15" s="85">
        <f>IF(DONNÉES!$CE$300="","",DONNÉES!$CE$300)</f>
        <v>250.17426</v>
      </c>
      <c r="C15" s="85" t="str">
        <f>IF(DONNÉES!$CE$301="","",DONNÉES!$CE$301)</f>
        <v/>
      </c>
      <c r="D15" s="85" t="str">
        <f>IF(DONNÉES!$CE$302="","",DONNÉES!$CE$302)</f>
        <v/>
      </c>
      <c r="E15" s="85" t="str">
        <f>IF(DONNÉES!$CE$303="","",DONNÉES!$CE$303)</f>
        <v/>
      </c>
      <c r="F15" s="85" t="str">
        <f>IF(DONNÉES!$CE$304="","",DONNÉES!$CE$304)</f>
        <v/>
      </c>
      <c r="G15" s="85" t="str">
        <f>IF(DONNÉES!$CE$305="","",DONNÉES!$CE$305)</f>
        <v/>
      </c>
      <c r="H15" s="85" t="str">
        <f>IF(DONNÉES!$CE$306="","",DONNÉES!$CE$306)</f>
        <v/>
      </c>
      <c r="I15" s="85" t="str">
        <f>IF(DONNÉES!$CE$307="","",DONNÉES!$CE$307)</f>
        <v/>
      </c>
      <c r="J15" s="85" t="str">
        <f>IF(DONNÉES!$CE$308="","",DONNÉES!$CE$308)</f>
        <v/>
      </c>
      <c r="K15" s="85" t="str">
        <f>IF(DONNÉES!$CE$309="","",DONNÉES!$CE$309)</f>
        <v/>
      </c>
      <c r="L15" s="85" t="str">
        <f>IF(DONNÉES!$CE$310="","",DONNÉES!$CE$310)</f>
        <v/>
      </c>
      <c r="M15" s="85" t="str">
        <f>IF(DONNÉES!$CE$311="","",DONNÉES!$CE$311)</f>
        <v/>
      </c>
    </row>
    <row r="16" spans="1:13" s="81" customFormat="1" ht="15.6" customHeight="1" x14ac:dyDescent="0.2">
      <c r="A16" s="81" t="s">
        <v>294</v>
      </c>
      <c r="B16" s="85">
        <f>IF(DONNÉES!$CM$300="","",DONNÉES!$CM$300)</f>
        <v>563.80840999999998</v>
      </c>
      <c r="C16" s="85" t="str">
        <f>IF(DONNÉES!$CM$301="","",DONNÉES!$CM$301)</f>
        <v/>
      </c>
      <c r="D16" s="85" t="str">
        <f>IF(DONNÉES!$CM$302="","",DONNÉES!$CM$302)</f>
        <v/>
      </c>
      <c r="E16" s="85" t="str">
        <f>IF(DONNÉES!$CM$303="","",DONNÉES!$CM$303)</f>
        <v/>
      </c>
      <c r="F16" s="85" t="str">
        <f>IF(DONNÉES!$CM$304="","",DONNÉES!$CM$304)</f>
        <v/>
      </c>
      <c r="G16" s="85" t="str">
        <f>IF(DONNÉES!$CM$305="","",DONNÉES!$CM$305)</f>
        <v/>
      </c>
      <c r="H16" s="85" t="str">
        <f>IF(DONNÉES!$CM$306="","",DONNÉES!$CM$306)</f>
        <v/>
      </c>
      <c r="I16" s="85" t="str">
        <f>IF(DONNÉES!$CM$307="","",DONNÉES!$CM$307)</f>
        <v/>
      </c>
      <c r="J16" s="85" t="str">
        <f>IF(DONNÉES!$CM$308="","",DONNÉES!$CM$308)</f>
        <v/>
      </c>
      <c r="K16" s="85" t="str">
        <f>IF(DONNÉES!$CM$309="","",DONNÉES!$CM$309)</f>
        <v/>
      </c>
      <c r="L16" s="85" t="str">
        <f>IF(DONNÉES!$CM$310="","",DONNÉES!$CM$310)</f>
        <v/>
      </c>
      <c r="M16" s="85" t="str">
        <f>IF(DONNÉES!$CM$311="","",DONNÉES!$CM$311)</f>
        <v/>
      </c>
    </row>
    <row r="17" spans="1:13" s="81" customFormat="1" ht="15.6" customHeight="1" x14ac:dyDescent="0.2">
      <c r="A17" s="285" t="s">
        <v>7019</v>
      </c>
      <c r="B17" s="286">
        <f>SUBTOTAL(109,B6:B16)</f>
        <v>2695.7123150000002</v>
      </c>
      <c r="C17" s="286">
        <f t="shared" ref="C17:M17" si="0">SUBTOTAL(109,C6:C16)</f>
        <v>0</v>
      </c>
      <c r="D17" s="286">
        <f t="shared" si="0"/>
        <v>0</v>
      </c>
      <c r="E17" s="286">
        <f t="shared" si="0"/>
        <v>0</v>
      </c>
      <c r="F17" s="286">
        <f t="shared" si="0"/>
        <v>0</v>
      </c>
      <c r="G17" s="286">
        <f t="shared" si="0"/>
        <v>0</v>
      </c>
      <c r="H17" s="286">
        <f t="shared" si="0"/>
        <v>0</v>
      </c>
      <c r="I17" s="286">
        <f t="shared" si="0"/>
        <v>0</v>
      </c>
      <c r="J17" s="286">
        <f t="shared" si="0"/>
        <v>0</v>
      </c>
      <c r="K17" s="286">
        <f t="shared" si="0"/>
        <v>0</v>
      </c>
      <c r="L17" s="286">
        <f t="shared" si="0"/>
        <v>0</v>
      </c>
      <c r="M17" s="286">
        <f t="shared" si="0"/>
        <v>0</v>
      </c>
    </row>
    <row r="18" spans="1:13" s="81" customFormat="1" ht="15.6" customHeight="1" x14ac:dyDescent="0.2">
      <c r="A18" s="81" t="s">
        <v>6963</v>
      </c>
      <c r="B18" s="284">
        <f>IF(DONNÉES!$CU$300="","",DONNÉES!$CU$300)</f>
        <v>721.95752000000005</v>
      </c>
      <c r="C18" s="284" t="str">
        <f>IF(DONNÉES!$CU$301="","",DONNÉES!$CU$301)</f>
        <v/>
      </c>
      <c r="D18" s="284" t="str">
        <f>IF(DONNÉES!$CU$302="","",DONNÉES!$CU$302)</f>
        <v/>
      </c>
      <c r="E18" s="284" t="str">
        <f>IF(DONNÉES!$CU$303="","",DONNÉES!$CU$303)</f>
        <v/>
      </c>
      <c r="F18" s="284" t="str">
        <f>IF(DONNÉES!$CU$304="","",DONNÉES!$CU$304)</f>
        <v/>
      </c>
      <c r="G18" s="284" t="str">
        <f>IF(DONNÉES!$CU$305="","",DONNÉES!$CU$305)</f>
        <v/>
      </c>
      <c r="H18" s="284" t="str">
        <f>IF(DONNÉES!$CU$306="","",DONNÉES!$CU$306)</f>
        <v/>
      </c>
      <c r="I18" s="284" t="str">
        <f>IF(DONNÉES!$CU$307="","",DONNÉES!$CU$307)</f>
        <v/>
      </c>
      <c r="J18" s="284" t="str">
        <f>IF(DONNÉES!$CU$308="","",DONNÉES!$CU$308)</f>
        <v/>
      </c>
      <c r="K18" s="284" t="str">
        <f>IF(DONNÉES!$CU$309="","",DONNÉES!$CU$309)</f>
        <v/>
      </c>
      <c r="L18" s="284" t="str">
        <f>IF(DONNÉES!$CU$310="","",DONNÉES!$CU$310)</f>
        <v/>
      </c>
      <c r="M18" s="284" t="str">
        <f>IF(DONNÉES!$CU$311="","",DONNÉES!$CU$311)</f>
        <v/>
      </c>
    </row>
    <row r="19" spans="1:13" s="81" customFormat="1" ht="15.6" customHeight="1" x14ac:dyDescent="0.2">
      <c r="A19" s="81" t="s">
        <v>6964</v>
      </c>
      <c r="B19" s="284">
        <f>IF(DONNÉES!$DC$300="","",DONNÉES!$DC$300)</f>
        <v>997.63301000000001</v>
      </c>
      <c r="C19" s="284" t="str">
        <f>IF(DONNÉES!$DC$301="","",DONNÉES!$DC$301)</f>
        <v/>
      </c>
      <c r="D19" s="284" t="str">
        <f>IF(DONNÉES!$DC$302="","",DONNÉES!$DC$302)</f>
        <v/>
      </c>
      <c r="E19" s="284" t="str">
        <f>IF(DONNÉES!$DC$303="","",DONNÉES!$DC$303)</f>
        <v/>
      </c>
      <c r="F19" s="284" t="str">
        <f>IF(DONNÉES!$DC$304="","",DONNÉES!$DC$304)</f>
        <v/>
      </c>
      <c r="G19" s="284" t="str">
        <f>IF(DONNÉES!$DC$305="","",DONNÉES!$DC$305)</f>
        <v/>
      </c>
      <c r="H19" s="284" t="str">
        <f>IF(DONNÉES!$DC$306="","",DONNÉES!$DC$306)</f>
        <v/>
      </c>
      <c r="I19" s="284" t="str">
        <f>IF(DONNÉES!$DC$307="","",DONNÉES!$DC$307)</f>
        <v/>
      </c>
      <c r="J19" s="284" t="str">
        <f>IF(DONNÉES!$DC$308="","",DONNÉES!$DC$308)</f>
        <v/>
      </c>
      <c r="K19" s="284" t="str">
        <f>IF(DONNÉES!$DC$309="","",DONNÉES!$DC$309)</f>
        <v/>
      </c>
      <c r="L19" s="284" t="str">
        <f>IF(DONNÉES!$DC$310="","",DONNÉES!$DC$310)</f>
        <v/>
      </c>
      <c r="M19" s="284" t="str">
        <f>IF(DONNÉES!$DC$311="","",DONNÉES!$DC$311)</f>
        <v/>
      </c>
    </row>
    <row r="20" spans="1:13" s="81" customFormat="1" ht="15.6" customHeight="1" x14ac:dyDescent="0.2">
      <c r="A20" s="81" t="s">
        <v>6966</v>
      </c>
      <c r="B20" s="284">
        <f>IF(DONNÉES!$DK$300="","",DONNÉES!$DK$300)</f>
        <v>314.25753999999995</v>
      </c>
      <c r="C20" s="284" t="str">
        <f>IF(DONNÉES!$DK$301="","",DONNÉES!$DK$301)</f>
        <v/>
      </c>
      <c r="D20" s="284" t="str">
        <f>IF(DONNÉES!$DK$302="","",DONNÉES!$DK$302)</f>
        <v/>
      </c>
      <c r="E20" s="284" t="str">
        <f>IF(DONNÉES!$DK$303="","",DONNÉES!$DK$303)</f>
        <v/>
      </c>
      <c r="F20" s="284" t="str">
        <f>IF(DONNÉES!$DK$304="","",DONNÉES!$DK$304)</f>
        <v/>
      </c>
      <c r="G20" s="284" t="str">
        <f>IF(DONNÉES!$DK$305="","",DONNÉES!$DK$305)</f>
        <v/>
      </c>
      <c r="H20" s="284" t="str">
        <f>IF(DONNÉES!$DK$306="","",DONNÉES!$DK$306)</f>
        <v/>
      </c>
      <c r="I20" s="284" t="str">
        <f>IF(DONNÉES!$DK$307="","",DONNÉES!$DK$307)</f>
        <v/>
      </c>
      <c r="J20" s="284" t="str">
        <f>IF(DONNÉES!$DK$308="","",DONNÉES!$DK$308)</f>
        <v/>
      </c>
      <c r="K20" s="284" t="str">
        <f>IF(DONNÉES!$DK$309="","",DONNÉES!$DK$309)</f>
        <v/>
      </c>
      <c r="L20" s="284" t="str">
        <f>IF(DONNÉES!$DK$310="","",DONNÉES!$DK$310)</f>
        <v/>
      </c>
      <c r="M20" s="284" t="str">
        <f>IF(DONNÉES!$DK$311="","",DONNÉES!$DK$311)</f>
        <v/>
      </c>
    </row>
    <row r="21" spans="1:13" s="81" customFormat="1" ht="15.6" customHeight="1" x14ac:dyDescent="0.2">
      <c r="A21" s="81" t="s">
        <v>6965</v>
      </c>
      <c r="B21" s="284">
        <f>IF(DONNÉES!$DS$300="","",DONNÉES!$DS$300)</f>
        <v>349.43583000000001</v>
      </c>
      <c r="C21" s="284" t="str">
        <f>IF(DONNÉES!$DS$301="","",DONNÉES!$DS$301)</f>
        <v/>
      </c>
      <c r="D21" s="284" t="str">
        <f>IF(DONNÉES!$DS$302="","",DONNÉES!$DS$302)</f>
        <v/>
      </c>
      <c r="E21" s="284" t="str">
        <f>IF(DONNÉES!$DS$303="","",DONNÉES!$DS$303)</f>
        <v/>
      </c>
      <c r="F21" s="284" t="str">
        <f>IF(DONNÉES!$DS$304="","",DONNÉES!$DS$304)</f>
        <v/>
      </c>
      <c r="G21" s="284" t="str">
        <f>IF(DONNÉES!$DS$305="","",DONNÉES!$DS$305)</f>
        <v/>
      </c>
      <c r="H21" s="284" t="str">
        <f>IF(DONNÉES!$DS$306="","",DONNÉES!$DS$306)</f>
        <v/>
      </c>
      <c r="I21" s="284" t="str">
        <f>IF(DONNÉES!$DS$307="","",DONNÉES!$DS$307)</f>
        <v/>
      </c>
      <c r="J21" s="284" t="str">
        <f>IF(DONNÉES!$DS$308="","",DONNÉES!$DS$308)</f>
        <v/>
      </c>
      <c r="K21" s="284" t="str">
        <f>IF(DONNÉES!$DS$309="","",DONNÉES!$DS$309)</f>
        <v/>
      </c>
      <c r="L21" s="284" t="str">
        <f>IF(DONNÉES!$DS$310="","",DONNÉES!$DS$310)</f>
        <v/>
      </c>
      <c r="M21" s="284" t="str">
        <f>IF(DONNÉES!$DS$311="","",DONNÉES!$DS$311)</f>
        <v/>
      </c>
    </row>
    <row r="22" spans="1:13" s="81" customFormat="1" ht="15.6" customHeight="1" x14ac:dyDescent="0.2">
      <c r="A22" s="81" t="s">
        <v>7094</v>
      </c>
      <c r="B22" s="284">
        <f>IF(DONNÉES!$EA$300="","",DONNÉES!$EA$300)</f>
        <v>70.845919999999992</v>
      </c>
      <c r="C22" s="284" t="str">
        <f>IF(DONNÉES!$EA$301="","",DONNÉES!$EA$301)</f>
        <v/>
      </c>
      <c r="D22" s="284" t="str">
        <f>IF(DONNÉES!$EA$302="","",DONNÉES!$EA$302)</f>
        <v/>
      </c>
      <c r="E22" s="284" t="str">
        <f>IF(DONNÉES!$EA$303="","",DONNÉES!$EA$303)</f>
        <v/>
      </c>
      <c r="F22" s="284" t="str">
        <f>IF(DONNÉES!$EA$304="","",DONNÉES!$EA$304)</f>
        <v/>
      </c>
      <c r="G22" s="284" t="str">
        <f>IF(DONNÉES!$EA$305="","",DONNÉES!$EA$305)</f>
        <v/>
      </c>
      <c r="H22" s="284" t="str">
        <f>IF(DONNÉES!$EA$306="","",DONNÉES!$EA$306)</f>
        <v/>
      </c>
      <c r="I22" s="284" t="str">
        <f>IF(DONNÉES!$EA$307="","",DONNÉES!$EA$307)</f>
        <v/>
      </c>
      <c r="J22" s="284" t="str">
        <f>IF(DONNÉES!$EA$308="","",DONNÉES!$EA$308)</f>
        <v/>
      </c>
      <c r="K22" s="284" t="str">
        <f>IF(DONNÉES!$EA$309="","",DONNÉES!$EA$309)</f>
        <v/>
      </c>
      <c r="L22" s="284" t="str">
        <f>IF(DONNÉES!$EA$310="","",DONNÉES!$EA$310)</f>
        <v/>
      </c>
      <c r="M22" s="284" t="str">
        <f>IF(DONNÉES!$EA$311="","",DONNÉES!$EA$311)</f>
        <v/>
      </c>
    </row>
    <row r="23" spans="1:13" ht="22.15" customHeight="1" x14ac:dyDescent="0.2">
      <c r="A23" s="46" t="s">
        <v>7019</v>
      </c>
      <c r="B23" s="92">
        <f>+SUM(B17:B22)</f>
        <v>5149.8421349999999</v>
      </c>
      <c r="C23" s="92">
        <f t="shared" ref="C23:M23" si="1">+SUM(C17:C22)</f>
        <v>0</v>
      </c>
      <c r="D23" s="92">
        <f t="shared" si="1"/>
        <v>0</v>
      </c>
      <c r="E23" s="92">
        <f t="shared" si="1"/>
        <v>0</v>
      </c>
      <c r="F23" s="92">
        <f t="shared" si="1"/>
        <v>0</v>
      </c>
      <c r="G23" s="92">
        <f t="shared" si="1"/>
        <v>0</v>
      </c>
      <c r="H23" s="92">
        <f t="shared" si="1"/>
        <v>0</v>
      </c>
      <c r="I23" s="92">
        <f t="shared" si="1"/>
        <v>0</v>
      </c>
      <c r="J23" s="92">
        <f t="shared" si="1"/>
        <v>0</v>
      </c>
      <c r="K23" s="92">
        <f t="shared" si="1"/>
        <v>0</v>
      </c>
      <c r="L23" s="92">
        <f t="shared" si="1"/>
        <v>0</v>
      </c>
      <c r="M23" s="92">
        <f t="shared" si="1"/>
        <v>0</v>
      </c>
    </row>
    <row r="24" spans="1:13" ht="22.15" customHeight="1" x14ac:dyDescent="0.2"/>
    <row r="25" spans="1:13" ht="22.15" customHeight="1" x14ac:dyDescent="0.2"/>
    <row r="26" spans="1:13" ht="24" customHeight="1" x14ac:dyDescent="0.2">
      <c r="A26" s="79" t="s">
        <v>6951</v>
      </c>
      <c r="B26" s="80" t="s">
        <v>118</v>
      </c>
      <c r="C26" s="80" t="s">
        <v>119</v>
      </c>
      <c r="D26" s="80" t="s">
        <v>89</v>
      </c>
      <c r="E26" s="80" t="s">
        <v>90</v>
      </c>
      <c r="F26" s="80" t="s">
        <v>91</v>
      </c>
      <c r="G26" s="80" t="s">
        <v>92</v>
      </c>
      <c r="H26" s="80" t="s">
        <v>120</v>
      </c>
      <c r="I26" s="80" t="s">
        <v>112</v>
      </c>
      <c r="J26" s="80" t="s">
        <v>113</v>
      </c>
      <c r="K26" s="80" t="s">
        <v>114</v>
      </c>
      <c r="L26" s="80" t="s">
        <v>115</v>
      </c>
      <c r="M26" s="80" t="s">
        <v>116</v>
      </c>
    </row>
    <row r="27" spans="1:13" s="81" customFormat="1" ht="15.6" customHeight="1" x14ac:dyDescent="0.2">
      <c r="A27" s="81" t="s">
        <v>2999</v>
      </c>
      <c r="B27" s="85">
        <f>DONNÉES!$L$300</f>
        <v>694.53708999999992</v>
      </c>
      <c r="C27" s="85">
        <f>DONNÉES!$L$301</f>
        <v>674.03405999999995</v>
      </c>
      <c r="D27" s="85">
        <f>DONNÉES!$L$302</f>
        <v>726.96634999999992</v>
      </c>
      <c r="E27" s="85">
        <f>DONNÉES!$L$303</f>
        <v>697.8407400000001</v>
      </c>
      <c r="F27" s="85">
        <f>DONNÉES!$L$304</f>
        <v>766.55128999999999</v>
      </c>
      <c r="G27" s="85">
        <f>DONNÉES!$L$305</f>
        <v>284</v>
      </c>
      <c r="H27" s="85">
        <f>DONNÉES!$L$306</f>
        <v>288.76974000000001</v>
      </c>
      <c r="I27" s="85">
        <f>DONNÉES!$L$307</f>
        <v>355.84031999999996</v>
      </c>
      <c r="J27" s="85">
        <f>DONNÉES!$L$308</f>
        <v>285.84357999999997</v>
      </c>
      <c r="K27" s="85">
        <f>DONNÉES!$L$309</f>
        <v>304.53622299999995</v>
      </c>
      <c r="L27" s="85">
        <f>DONNÉES!$L$310</f>
        <v>354.19603999999998</v>
      </c>
      <c r="M27" s="85">
        <f>DONNÉES!$L$311</f>
        <v>260.85359</v>
      </c>
    </row>
    <row r="28" spans="1:13" s="81" customFormat="1" ht="15.6" customHeight="1" x14ac:dyDescent="0.2">
      <c r="A28" s="81" t="s">
        <v>3001</v>
      </c>
      <c r="B28" s="85">
        <f>DONNÉES!$T$300</f>
        <v>81.605739999999997</v>
      </c>
      <c r="C28" s="85">
        <f>DONNÉES!$T$301</f>
        <v>88.965599999999995</v>
      </c>
      <c r="D28" s="85">
        <f>DONNÉES!$T$302</f>
        <v>64.109740000000002</v>
      </c>
      <c r="E28" s="85">
        <f>DONNÉES!$T$303</f>
        <v>78.749710000000007</v>
      </c>
      <c r="F28" s="85">
        <f>DONNÉES!$T$304</f>
        <v>102.44722</v>
      </c>
      <c r="G28" s="85">
        <f>DONNÉES!$T$305</f>
        <v>125.46578</v>
      </c>
      <c r="H28" s="85">
        <f>DONNÉES!$T$306</f>
        <v>125.83707</v>
      </c>
      <c r="I28" s="85">
        <f>DONNÉES!$T$307</f>
        <v>146.94900000000001</v>
      </c>
      <c r="J28" s="85">
        <f>DONNÉES!$T$308</f>
        <v>106.50503999999999</v>
      </c>
      <c r="K28" s="85">
        <f>DONNÉES!$T$309</f>
        <v>121.25279999999999</v>
      </c>
      <c r="L28" s="85">
        <f>DONNÉES!$T$310</f>
        <v>96.725659999999991</v>
      </c>
      <c r="M28" s="85">
        <f>DONNÉES!$T$311</f>
        <v>70.091000000000008</v>
      </c>
    </row>
    <row r="29" spans="1:13" s="81" customFormat="1" ht="15.6" customHeight="1" x14ac:dyDescent="0.2">
      <c r="A29" s="81" t="s">
        <v>210</v>
      </c>
      <c r="B29" s="85">
        <f>DONNÉES!$AB$300</f>
        <v>592.29236000000003</v>
      </c>
      <c r="C29" s="85">
        <f>DONNÉES!$AB$301</f>
        <v>541.05514000000005</v>
      </c>
      <c r="D29" s="85">
        <f>DONNÉES!$AB$302</f>
        <v>466.38653999999997</v>
      </c>
      <c r="E29" s="85">
        <f>DONNÉES!$AB$303</f>
        <v>348.15291000000002</v>
      </c>
      <c r="F29" s="86">
        <f>DONNÉES!$AB$304</f>
        <v>359.99680999999998</v>
      </c>
      <c r="G29" s="86">
        <f>DONNÉES!$AB$305</f>
        <v>288.70194999999995</v>
      </c>
      <c r="H29" s="86">
        <f>DONNÉES!$AB$306</f>
        <v>269.20307999999932</v>
      </c>
      <c r="I29" s="86">
        <f>DONNÉES!$AB$307</f>
        <v>287.58449999999999</v>
      </c>
      <c r="J29" s="86">
        <f>DONNÉES!$AB$308</f>
        <v>287.72989000000001</v>
      </c>
      <c r="K29" s="85">
        <f>DONNÉES!$AB$309</f>
        <v>305.34514999999999</v>
      </c>
      <c r="L29" s="85">
        <f>DONNÉES!$AB$310</f>
        <v>381.87310000000002</v>
      </c>
      <c r="M29" s="85">
        <f>DONNÉES!$AB$311</f>
        <v>315.80176</v>
      </c>
    </row>
    <row r="30" spans="1:13" ht="15.6" customHeight="1" x14ac:dyDescent="0.2">
      <c r="A30" s="79" t="s">
        <v>3003</v>
      </c>
      <c r="B30" s="85">
        <f>DONNÉES!$AJ$300</f>
        <v>503.64481999999998</v>
      </c>
      <c r="C30" s="85">
        <f>DONNÉES!$AJ$301</f>
        <v>514.83715999999993</v>
      </c>
      <c r="D30" s="85">
        <f>DONNÉES!$AJ$302</f>
        <v>540.78526999999997</v>
      </c>
      <c r="E30" s="85">
        <f>DONNÉES!$AJ$303</f>
        <v>527.73600999999996</v>
      </c>
      <c r="F30" s="86">
        <f>DONNÉES!$AJ$304</f>
        <v>581.78276000000005</v>
      </c>
      <c r="G30" s="86">
        <f>DONNÉES!$AJ$305</f>
        <v>371.32542999999998</v>
      </c>
      <c r="H30" s="86">
        <f>DONNÉES!$AJ$306</f>
        <v>359.90359999999998</v>
      </c>
      <c r="I30" s="86">
        <f>DONNÉES!$AJ$307</f>
        <v>336.54645999999997</v>
      </c>
      <c r="J30" s="86">
        <f>DONNÉES!$AJ$308</f>
        <v>283.48892999999998</v>
      </c>
      <c r="K30" s="85">
        <f>DONNÉES!$AJ$309</f>
        <v>271.27364</v>
      </c>
      <c r="L30" s="85">
        <f>DONNÉES!$AJ$310</f>
        <v>316.56866000000002</v>
      </c>
      <c r="M30" s="85">
        <f>DONNÉES!$AJ$311</f>
        <v>331.01371999999998</v>
      </c>
    </row>
    <row r="31" spans="1:13" s="81" customFormat="1" ht="15.6" customHeight="1" x14ac:dyDescent="0.2">
      <c r="A31" s="81" t="s">
        <v>2156</v>
      </c>
      <c r="B31" s="85">
        <f>DONNÉES!$AR$300</f>
        <v>732.76058999999998</v>
      </c>
      <c r="C31" s="85">
        <f>DONNÉES!$AR$301</f>
        <v>550.01233999999999</v>
      </c>
      <c r="D31" s="85">
        <f>DONNÉES!$AR$302</f>
        <v>629.99077999999997</v>
      </c>
      <c r="E31" s="85">
        <f>DONNÉES!$AR$303</f>
        <v>509.50229999999999</v>
      </c>
      <c r="F31" s="85">
        <f>DONNÉES!$AR$304</f>
        <v>606.06124999999997</v>
      </c>
      <c r="G31" s="85">
        <f>DONNÉES!$AR$305</f>
        <v>371.38663000000003</v>
      </c>
      <c r="H31" s="85">
        <f>DONNÉES!$AR$306</f>
        <v>452.92367000000002</v>
      </c>
      <c r="I31" s="85">
        <f>DONNÉES!$AR$307</f>
        <v>506.68974000000003</v>
      </c>
      <c r="J31" s="85">
        <f>DONNÉES!$AR$308</f>
        <v>399.90508999999997</v>
      </c>
      <c r="K31" s="85">
        <f>DONNÉES!$AR$309</f>
        <v>497.64530000000002</v>
      </c>
      <c r="L31" s="85">
        <f>DONNÉES!$AR$310</f>
        <v>559.47041999999999</v>
      </c>
      <c r="M31" s="85">
        <f>DONNÉES!$AR$311</f>
        <v>428.34728999999999</v>
      </c>
    </row>
    <row r="32" spans="1:13" s="81" customFormat="1" ht="15.6" customHeight="1" x14ac:dyDescent="0.2">
      <c r="A32" s="81" t="s">
        <v>3000</v>
      </c>
      <c r="B32" s="85">
        <f>DONNÉES!$AZ$300</f>
        <v>324.33757000000003</v>
      </c>
      <c r="C32" s="85">
        <f>DONNÉES!$AZ$301</f>
        <v>289.63531</v>
      </c>
      <c r="D32" s="85">
        <f>DONNÉES!$AZ$302</f>
        <v>266.53121999999996</v>
      </c>
      <c r="E32" s="85">
        <f>DONNÉES!$AZ$303</f>
        <v>217.07473999999999</v>
      </c>
      <c r="F32" s="85">
        <f>DONNÉES!$AZ$304</f>
        <v>272.53557000000001</v>
      </c>
      <c r="G32" s="85">
        <f>DONNÉES!$AZ$305</f>
        <v>221.55232000000001</v>
      </c>
      <c r="H32" s="85">
        <f>DONNÉES!$AZ$306</f>
        <v>240.29099000000002</v>
      </c>
      <c r="I32" s="85">
        <f>DONNÉES!$AZ$307</f>
        <v>258.71767</v>
      </c>
      <c r="J32" s="85">
        <f>DONNÉES!$AZ$308</f>
        <v>217.81972999999999</v>
      </c>
      <c r="K32" s="85">
        <f>DONNÉES!$AZ$309</f>
        <v>226.48397</v>
      </c>
      <c r="L32" s="85">
        <f>DONNÉES!$AZ$310</f>
        <v>141.76748000000001</v>
      </c>
      <c r="M32" s="85">
        <f>DONNÉES!$AZ$311</f>
        <v>110.35288</v>
      </c>
    </row>
    <row r="33" spans="1:13" s="81" customFormat="1" ht="15.6" customHeight="1" x14ac:dyDescent="0.2">
      <c r="A33" s="81" t="s">
        <v>3002</v>
      </c>
      <c r="B33" s="85">
        <f>DONNÉES!$BH$300</f>
        <v>373.63293000000004</v>
      </c>
      <c r="C33" s="85">
        <f>DONNÉES!$BH$301</f>
        <v>407.59987000000001</v>
      </c>
      <c r="D33" s="85">
        <f>DONNÉES!$BH$302</f>
        <v>378.98611999999997</v>
      </c>
      <c r="E33" s="85">
        <f>DONNÉES!$BH$303</f>
        <v>374.65194000000002</v>
      </c>
      <c r="F33" s="86">
        <f>DONNÉES!$BH$304</f>
        <v>397.65552000000002</v>
      </c>
      <c r="G33" s="86">
        <f>DONNÉES!$BH$305</f>
        <v>208</v>
      </c>
      <c r="H33" s="86">
        <f>DONNÉES!$BH$306</f>
        <v>274.0711</v>
      </c>
      <c r="I33" s="86">
        <f>DONNÉES!$BH$307</f>
        <v>355.90845999999999</v>
      </c>
      <c r="J33" s="86">
        <f>DONNÉES!$BH$308</f>
        <v>256.25178</v>
      </c>
      <c r="K33" s="85">
        <f>DONNÉES!$BH$309</f>
        <v>303.75915000000003</v>
      </c>
      <c r="L33" s="85">
        <f>DONNÉES!$BH$310</f>
        <v>297.68572</v>
      </c>
      <c r="M33" s="85">
        <f>DONNÉES!$BH$311</f>
        <v>283.49400000000003</v>
      </c>
    </row>
    <row r="34" spans="1:13" ht="15.6" customHeight="1" x14ac:dyDescent="0.2">
      <c r="A34" s="79" t="s">
        <v>297</v>
      </c>
      <c r="B34" s="85">
        <f>DONNÉES!$BP$300</f>
        <v>489.93441999999999</v>
      </c>
      <c r="C34" s="85">
        <f>DONNÉES!$BP$301</f>
        <v>535.42881000000011</v>
      </c>
      <c r="D34" s="85">
        <f>DONNÉES!$BP$302</f>
        <v>607.92081999999994</v>
      </c>
      <c r="E34" s="85">
        <f>DONNÉES!$BP$303</f>
        <v>495.20150999999998</v>
      </c>
      <c r="F34" s="86">
        <f>DONNÉES!$BP$304</f>
        <v>601.88761999999997</v>
      </c>
      <c r="G34" s="86">
        <f>DONNÉES!$BP$305</f>
        <v>265.65501999999998</v>
      </c>
      <c r="H34" s="86">
        <f>DONNÉES!$BP$306</f>
        <v>292.18272000000002</v>
      </c>
      <c r="I34" s="86">
        <f>DONNÉES!$BP$307</f>
        <v>369.67743000000002</v>
      </c>
      <c r="J34" s="86">
        <f>DONNÉES!$BP$308</f>
        <v>353.85082</v>
      </c>
      <c r="K34" s="85">
        <f>DONNÉES!$BP$309</f>
        <v>377.43509999999998</v>
      </c>
      <c r="L34" s="85">
        <f>DONNÉES!$BP$310</f>
        <v>448.41640000000001</v>
      </c>
      <c r="M34" s="85">
        <f>DONNÉES!$BP$311</f>
        <v>422.92904999999996</v>
      </c>
    </row>
    <row r="35" spans="1:13" s="81" customFormat="1" ht="15.6" customHeight="1" x14ac:dyDescent="0.2">
      <c r="A35" s="81" t="s">
        <v>296</v>
      </c>
      <c r="B35" s="85">
        <f>DONNÉES!$BX$300</f>
        <v>538.19520999999997</v>
      </c>
      <c r="C35" s="85">
        <f>DONNÉES!$BX$301</f>
        <v>305.90968999999996</v>
      </c>
      <c r="D35" s="85">
        <f>DONNÉES!$BX$302</f>
        <v>584.36090000000002</v>
      </c>
      <c r="E35" s="85">
        <f>DONNÉES!$BX$303</f>
        <v>536.06799000000001</v>
      </c>
      <c r="F35" s="86">
        <f>DONNÉES!$BX$304</f>
        <v>478.71170000000001</v>
      </c>
      <c r="G35" s="86">
        <f>DONNÉES!$BX$305</f>
        <v>383.82814999999999</v>
      </c>
      <c r="H35" s="86">
        <f>DONNÉES!$BX$306</f>
        <v>507.41973999999999</v>
      </c>
      <c r="I35" s="86">
        <f>DONNÉES!$BX$307</f>
        <v>630.11229000000003</v>
      </c>
      <c r="J35" s="86">
        <f>DONNÉES!$BX$308</f>
        <v>506.89931000000001</v>
      </c>
      <c r="K35" s="85">
        <f>DONNÉES!$BX$309</f>
        <v>427.18948</v>
      </c>
      <c r="L35" s="85">
        <f>DONNÉES!$BX$310</f>
        <v>443.39938999999998</v>
      </c>
      <c r="M35" s="85">
        <f>DONNÉES!$BX$311</f>
        <v>393.10101999999995</v>
      </c>
    </row>
    <row r="36" spans="1:13" s="81" customFormat="1" ht="15.6" customHeight="1" x14ac:dyDescent="0.2">
      <c r="A36" s="81" t="s">
        <v>301</v>
      </c>
      <c r="B36" s="85">
        <f>IF(DONNÉES!$CF$300="","",DONNÉES!$CF$300)</f>
        <v>569.00426999999991</v>
      </c>
      <c r="C36" s="85">
        <f>IF(DONNÉES!$CF$301="","",DONNÉES!$CF$301)</f>
        <v>415.17090000000002</v>
      </c>
      <c r="D36" s="85">
        <f>IF(DONNÉES!$CF$302="","",DONNÉES!$CF$302)</f>
        <v>446.67333999999994</v>
      </c>
      <c r="E36" s="85">
        <f>IF(DONNÉES!$CF$303="","",DONNÉES!$CF$303)</f>
        <v>298.67457999999999</v>
      </c>
      <c r="F36" s="85">
        <f>IF(DONNÉES!$CF$304="","",DONNÉES!$CF$304)</f>
        <v>242.68129999999999</v>
      </c>
      <c r="G36" s="85">
        <f>IF(DONNÉES!$CF$305="","",DONNÉES!$CF$305)</f>
        <v>235.09712000000002</v>
      </c>
      <c r="H36" s="85">
        <f>IF(DONNÉES!$CF$306="","",DONNÉES!$CF$306)</f>
        <v>321.26087999999999</v>
      </c>
      <c r="I36" s="85">
        <f>IF(DONNÉES!$CF$307="","",DONNÉES!$CF$307)</f>
        <v>458.15371000000005</v>
      </c>
      <c r="J36" s="85">
        <f>IF(DONNÉES!$CF$308="","",DONNÉES!$CF$308)</f>
        <v>239.44981999999999</v>
      </c>
      <c r="K36" s="85">
        <f>IF(DONNÉES!$CF$309="","",DONNÉES!$CF$309)</f>
        <v>264.54667999999998</v>
      </c>
      <c r="L36" s="85">
        <f>IF(DONNÉES!$CF$310="","",DONNÉES!$CF$310)</f>
        <v>244.89059000000003</v>
      </c>
      <c r="M36" s="85">
        <f>IF(DONNÉES!$CF$311="","",DONNÉES!$CF$311)</f>
        <v>306.65190000000001</v>
      </c>
    </row>
    <row r="37" spans="1:13" s="81" customFormat="1" ht="15.6" customHeight="1" x14ac:dyDescent="0.2">
      <c r="A37" s="81" t="s">
        <v>294</v>
      </c>
      <c r="B37" s="85">
        <f>IF(DONNÉES!$CN$300="","",DONNÉES!$CN$300)</f>
        <v>741.07914000000005</v>
      </c>
      <c r="C37" s="85">
        <f>IF(DONNÉES!$CN$301="","",DONNÉES!$CN$301)</f>
        <v>715.93683999999996</v>
      </c>
      <c r="D37" s="85">
        <f>IF(DONNÉES!$CN$302="","",DONNÉES!$CN$302)</f>
        <v>771.55803000000003</v>
      </c>
      <c r="E37" s="85">
        <f>IF(DONNÉES!$CN$303="","",DONNÉES!$CN$303)</f>
        <v>799.7192</v>
      </c>
      <c r="F37" s="85">
        <f>IF(DONNÉES!$CN$304="","",DONNÉES!$CN$304)</f>
        <v>865.13463999999999</v>
      </c>
      <c r="G37" s="85">
        <f>IF(DONNÉES!$CN$305="","",DONNÉES!$CN$305)</f>
        <v>513.93399999999997</v>
      </c>
      <c r="H37" s="85">
        <f>IF(DONNÉES!$CN$306="","",DONNÉES!$CN$306)</f>
        <v>486.38411000000002</v>
      </c>
      <c r="I37" s="85">
        <f>IF(DONNÉES!$CN$307="","",DONNÉES!$CN$307)</f>
        <v>590.97630000000004</v>
      </c>
      <c r="J37" s="85">
        <f>IF(DONNÉES!$CN$308="","",DONNÉES!$CN$308)</f>
        <v>580.35199</v>
      </c>
      <c r="K37" s="85">
        <f>IF(DONNÉES!$CN$309="","",DONNÉES!$CN$309)</f>
        <v>634.93585000000007</v>
      </c>
      <c r="L37" s="85">
        <f>IF(DONNÉES!$CN$310="","",DONNÉES!$CN$310)</f>
        <v>717.73329999999999</v>
      </c>
      <c r="M37" s="85">
        <f>IF(DONNÉES!$CN$311="","",DONNÉES!$CN$311)</f>
        <v>635.67600999999991</v>
      </c>
    </row>
    <row r="38" spans="1:13" ht="22.15" customHeight="1" x14ac:dyDescent="0.2">
      <c r="A38" s="46" t="s">
        <v>7017</v>
      </c>
      <c r="B38" s="76">
        <f>SUBTOTAL(109,TRESON1[JANV.])</f>
        <v>5641.0241399999995</v>
      </c>
      <c r="C38" s="76">
        <f>SUBTOTAL(109,TRESON1[FÉV.])</f>
        <v>5038.58572</v>
      </c>
      <c r="D38" s="76">
        <f>SUBTOTAL(109,TRESON1[MARS])</f>
        <v>5484.2691100000002</v>
      </c>
      <c r="E38" s="88">
        <f>SUBTOTAL(109,TRESON1[AVRIL])</f>
        <v>4883.3716299999996</v>
      </c>
      <c r="F38" s="76">
        <f>SUBTOTAL(109,TRESON1[MAI])</f>
        <v>5275.4456800000007</v>
      </c>
      <c r="G38" s="76">
        <f>SUBTOTAL(109,TRESON1[JUIN])</f>
        <v>3268.9463999999998</v>
      </c>
      <c r="H38" s="76">
        <f>SUBTOTAL(109,TRESON1[JUILL.])</f>
        <v>3618.2466999999992</v>
      </c>
      <c r="I38" s="76">
        <f>SUBTOTAL(109,TRESON1[AOÛT])</f>
        <v>4297.1558800000003</v>
      </c>
      <c r="J38" s="76">
        <f>SUBTOTAL(109,TRESON1[SEPT.])</f>
        <v>3518.0959800000001</v>
      </c>
      <c r="K38" s="88">
        <f>SUBTOTAL(109,TRESON1[OCT.])</f>
        <v>3734.4033429999999</v>
      </c>
      <c r="L38" s="88">
        <f>SUBTOTAL(109,TRESON1[NOV.])</f>
        <v>4002.72676</v>
      </c>
      <c r="M38" s="88">
        <f>SUBTOTAL(109,TRESON1[DÉC.])</f>
        <v>3558.3122199999998</v>
      </c>
    </row>
    <row r="39" spans="1:13" ht="22.15" customHeight="1" x14ac:dyDescent="0.2">
      <c r="K39" s="84"/>
    </row>
    <row r="40" spans="1:13" ht="22.15" customHeight="1" x14ac:dyDescent="0.2"/>
    <row r="41" spans="1:13" ht="24" customHeight="1" x14ac:dyDescent="0.2">
      <c r="A41" s="79" t="s">
        <v>1577</v>
      </c>
      <c r="B41" s="80" t="s">
        <v>118</v>
      </c>
      <c r="C41" s="80" t="s">
        <v>119</v>
      </c>
      <c r="D41" s="80" t="s">
        <v>89</v>
      </c>
      <c r="E41" s="80" t="s">
        <v>90</v>
      </c>
      <c r="F41" s="80" t="s">
        <v>91</v>
      </c>
      <c r="G41" s="80" t="s">
        <v>92</v>
      </c>
      <c r="H41" s="80" t="s">
        <v>120</v>
      </c>
      <c r="I41" s="80" t="s">
        <v>112</v>
      </c>
      <c r="J41" s="80" t="s">
        <v>113</v>
      </c>
      <c r="K41" s="80" t="s">
        <v>114</v>
      </c>
      <c r="L41" s="80" t="s">
        <v>115</v>
      </c>
      <c r="M41" s="80" t="s">
        <v>116</v>
      </c>
    </row>
    <row r="42" spans="1:13" s="81" customFormat="1" ht="15.6" customHeight="1" x14ac:dyDescent="0.2">
      <c r="A42" s="81" t="s">
        <v>2999</v>
      </c>
      <c r="B42" s="85">
        <f>DONNÉES!$M$300</f>
        <v>925.52098999999998</v>
      </c>
      <c r="C42" s="85">
        <f>DONNÉES!$M$301</f>
        <v>997.1855700000001</v>
      </c>
      <c r="D42" s="85">
        <f>DONNÉES!$M$302</f>
        <v>1026.4771799999999</v>
      </c>
      <c r="E42" s="85">
        <f>DONNÉES!$M$303</f>
        <v>1121.0295999999998</v>
      </c>
      <c r="F42" s="86">
        <f>DONNÉES!$M$304</f>
        <v>1243.6108800000002</v>
      </c>
      <c r="G42" s="86">
        <f>DONNÉES!$M$305</f>
        <v>1132.75063</v>
      </c>
      <c r="H42" s="86">
        <f>DONNÉES!$M$306</f>
        <v>1171.7503400000001</v>
      </c>
      <c r="I42" s="86">
        <f>DONNÉES!$M$307</f>
        <v>1249.1577100000002</v>
      </c>
      <c r="J42" s="86">
        <f>DONNÉES!$M$308</f>
        <v>1264.3008800000002</v>
      </c>
      <c r="K42" s="85">
        <f>DONNÉES!$M$309</f>
        <v>860.94523000000004</v>
      </c>
      <c r="L42" s="85">
        <f>DONNÉES!$M$310</f>
        <v>860.99795999999992</v>
      </c>
      <c r="M42" s="85">
        <f>DONNÉES!$M$311</f>
        <v>758.89460999999994</v>
      </c>
    </row>
    <row r="43" spans="1:13" s="81" customFormat="1" ht="15.6" customHeight="1" x14ac:dyDescent="0.2">
      <c r="A43" s="81" t="s">
        <v>3001</v>
      </c>
      <c r="B43" s="85">
        <f>DONNÉES!$U$300</f>
        <v>289.43341999999996</v>
      </c>
      <c r="C43" s="85">
        <f>DONNÉES!$U$301</f>
        <v>307.88986</v>
      </c>
      <c r="D43" s="85">
        <f>DONNÉES!$U$302</f>
        <v>288.47080999999997</v>
      </c>
      <c r="E43" s="85">
        <f>DONNÉES!$U$303</f>
        <v>232.99217000000002</v>
      </c>
      <c r="F43" s="86">
        <f>DONNÉES!$U$304</f>
        <v>223.17035000000001</v>
      </c>
      <c r="G43" s="86">
        <f>DONNÉES!$U$305</f>
        <v>230.76228</v>
      </c>
      <c r="H43" s="86">
        <f>DONNÉES!$U$306</f>
        <v>250.36281</v>
      </c>
      <c r="I43" s="86">
        <f>DONNÉES!$U$307</f>
        <v>253.95979</v>
      </c>
      <c r="J43" s="86">
        <f>DONNÉES!$U$308</f>
        <v>231.67424</v>
      </c>
      <c r="K43" s="85">
        <f>DONNÉES!$U$309</f>
        <v>165.08715000000001</v>
      </c>
      <c r="L43" s="85">
        <f>DONNÉES!$U$310</f>
        <v>138.24355</v>
      </c>
      <c r="M43" s="85">
        <f>DONNÉES!$U$311</f>
        <v>115.59205</v>
      </c>
    </row>
    <row r="44" spans="1:13" s="81" customFormat="1" ht="15.6" customHeight="1" x14ac:dyDescent="0.2">
      <c r="A44" s="81" t="s">
        <v>210</v>
      </c>
      <c r="B44" s="85">
        <f>DONNÉES!$AC$300</f>
        <v>806.14836000000003</v>
      </c>
      <c r="C44" s="85">
        <f>DONNÉES!$AC$301</f>
        <v>821.47163</v>
      </c>
      <c r="D44" s="85">
        <f>DONNÉES!$AC$302</f>
        <v>828.63139999999999</v>
      </c>
      <c r="E44" s="85">
        <f>DONNÉES!$AC$303</f>
        <v>823.02151000000003</v>
      </c>
      <c r="F44" s="86">
        <f>DONNÉES!$AC$304</f>
        <v>798.15758999999991</v>
      </c>
      <c r="G44" s="86">
        <f>DONNÉES!$AC$305</f>
        <v>772.30147999999997</v>
      </c>
      <c r="H44" s="86">
        <f>DONNÉES!$AC$306</f>
        <v>743.68088</v>
      </c>
      <c r="I44" s="86">
        <f>DONNÉES!$AC$307</f>
        <v>732.88667000000009</v>
      </c>
      <c r="J44" s="86">
        <f>DONNÉES!$AC$308</f>
        <v>762.23200999999995</v>
      </c>
      <c r="K44" s="85">
        <f>DONNÉES!$AC$309</f>
        <v>657.97261000000003</v>
      </c>
      <c r="L44" s="85">
        <f>DONNÉES!$AC$310</f>
        <v>652.23410000000001</v>
      </c>
      <c r="M44" s="85">
        <f>DONNÉES!$AC$311</f>
        <v>631.24454000000003</v>
      </c>
    </row>
    <row r="45" spans="1:13" ht="15.6" customHeight="1" x14ac:dyDescent="0.2">
      <c r="A45" s="79" t="s">
        <v>3003</v>
      </c>
      <c r="B45" s="85">
        <f>DONNÉES!$AK$300</f>
        <v>484.48925000000003</v>
      </c>
      <c r="C45" s="85">
        <f>DONNÉES!$AK$301</f>
        <v>513.00634000000002</v>
      </c>
      <c r="D45" s="85">
        <f>DONNÉES!$AK$302</f>
        <v>545.98968000000002</v>
      </c>
      <c r="E45" s="85">
        <f>DONNÉES!$AK$303</f>
        <v>575.40215000000001</v>
      </c>
      <c r="F45" s="86">
        <f>DONNÉES!$AK$304</f>
        <v>702.30399999999997</v>
      </c>
      <c r="G45" s="86">
        <f>DONNÉES!$AK$305</f>
        <v>690.56379000000004</v>
      </c>
      <c r="H45" s="86">
        <f>DONNÉES!$AK$306</f>
        <v>807.20411999999999</v>
      </c>
      <c r="I45" s="86">
        <f>DONNÉES!$AK$307</f>
        <v>786.39778999999999</v>
      </c>
      <c r="J45" s="86">
        <f>DONNÉES!$AK$308</f>
        <v>784.50843999999995</v>
      </c>
      <c r="K45" s="85">
        <f>DONNÉES!$AK$309</f>
        <v>824.29419999999993</v>
      </c>
      <c r="L45" s="85">
        <f>DONNÉES!$AK$310</f>
        <v>857.56389999999999</v>
      </c>
      <c r="M45" s="85">
        <f>DONNÉES!$AK$311</f>
        <v>803.56593000000009</v>
      </c>
    </row>
    <row r="46" spans="1:13" s="81" customFormat="1" ht="15.6" customHeight="1" x14ac:dyDescent="0.2">
      <c r="A46" s="81" t="s">
        <v>2156</v>
      </c>
      <c r="B46" s="85">
        <f>DONNÉES!$AS$300</f>
        <v>733.66306000000009</v>
      </c>
      <c r="C46" s="85">
        <f>DONNÉES!$AS$301</f>
        <v>833.63384999999994</v>
      </c>
      <c r="D46" s="85">
        <f>DONNÉES!$AS$302</f>
        <v>883.55306999999993</v>
      </c>
      <c r="E46" s="85">
        <f>DONNÉES!$AS$303</f>
        <v>918.07186000000002</v>
      </c>
      <c r="F46" s="86">
        <f>DONNÉES!$AS$304</f>
        <v>943.25976000000003</v>
      </c>
      <c r="G46" s="86">
        <f>DONNÉES!$AS$305</f>
        <v>802.55745999999999</v>
      </c>
      <c r="H46" s="86">
        <f>DONNÉES!$AS$306</f>
        <v>833.04417000000001</v>
      </c>
      <c r="I46" s="86">
        <f>DONNÉES!$AS$307</f>
        <v>940.71199999999999</v>
      </c>
      <c r="J46" s="86">
        <f>DONNÉES!$AS$308</f>
        <v>933.78731000000005</v>
      </c>
      <c r="K46" s="85">
        <f>DONNÉES!$AS$309</f>
        <v>914.90099999999995</v>
      </c>
      <c r="L46" s="85">
        <f>DONNÉES!$AS$310</f>
        <v>920.13693000000001</v>
      </c>
      <c r="M46" s="85">
        <f>DONNÉES!$AS$311</f>
        <v>991.40491000000009</v>
      </c>
    </row>
    <row r="47" spans="1:13" s="81" customFormat="1" ht="15.6" customHeight="1" x14ac:dyDescent="0.2">
      <c r="A47" s="81" t="s">
        <v>3000</v>
      </c>
      <c r="B47" s="85">
        <f>DONNÉES!$BA$300</f>
        <v>184.52216000000001</v>
      </c>
      <c r="C47" s="85">
        <f>DONNÉES!$BA$301</f>
        <v>293.02453000000003</v>
      </c>
      <c r="D47" s="85">
        <f>DONNÉES!$BA$302</f>
        <v>305.31403</v>
      </c>
      <c r="E47" s="85">
        <f>DONNÉES!$BA$303</f>
        <v>288.57139000000001</v>
      </c>
      <c r="F47" s="86">
        <f>DONNÉES!$BA$304</f>
        <v>295.31419</v>
      </c>
      <c r="G47" s="86">
        <f>DONNÉES!$BA$305</f>
        <v>281.25956000000002</v>
      </c>
      <c r="H47" s="86">
        <f>DONNÉES!$BA$306</f>
        <v>374.70234999999997</v>
      </c>
      <c r="I47" s="86">
        <f>DONNÉES!$BA$307</f>
        <v>342.49281999999999</v>
      </c>
      <c r="J47" s="86">
        <f>DONNÉES!$BA$308</f>
        <v>323.67230000000001</v>
      </c>
      <c r="K47" s="85">
        <f>DONNÉES!$BA$309</f>
        <v>356.55743999999999</v>
      </c>
      <c r="L47" s="85">
        <f>DONNÉES!$BA$310</f>
        <v>378.95600999999999</v>
      </c>
      <c r="M47" s="85">
        <f>DONNÉES!$BA$311</f>
        <v>372.80599999999998</v>
      </c>
    </row>
    <row r="48" spans="1:13" s="81" customFormat="1" ht="15.6" customHeight="1" x14ac:dyDescent="0.2">
      <c r="A48" s="81" t="s">
        <v>3002</v>
      </c>
      <c r="B48" s="85">
        <f>DONNÉES!$BI$300</f>
        <v>375.8997</v>
      </c>
      <c r="C48" s="85">
        <f>DONNÉES!$BI$301</f>
        <v>396.40183000000002</v>
      </c>
      <c r="D48" s="85">
        <f>DONNÉES!$BI$302</f>
        <v>386.29946000000001</v>
      </c>
      <c r="E48" s="85">
        <f>DONNÉES!$BI$303</f>
        <v>478.12547999999998</v>
      </c>
      <c r="F48" s="86">
        <f>DONNÉES!$BI$304</f>
        <v>476.39507000000003</v>
      </c>
      <c r="G48" s="86">
        <f>DONNÉES!$BI$305</f>
        <v>461.03639000000004</v>
      </c>
      <c r="H48" s="86">
        <f>DONNÉES!$BI$306</f>
        <v>609.95014000000003</v>
      </c>
      <c r="I48" s="86">
        <f>DONNÉES!$BI$307</f>
        <v>732.39513999999997</v>
      </c>
      <c r="J48" s="86">
        <f>DONNÉES!$BI$308</f>
        <v>633.97791000000007</v>
      </c>
      <c r="K48" s="85">
        <f>DONNÉES!$BI$309</f>
        <v>449.56158999999997</v>
      </c>
      <c r="L48" s="85">
        <f>DONNÉES!$BI$310</f>
        <v>475.50046000000003</v>
      </c>
      <c r="M48" s="85">
        <f>DONNÉES!$BI$311</f>
        <v>437.49682000000001</v>
      </c>
    </row>
    <row r="49" spans="1:13" ht="15.6" customHeight="1" x14ac:dyDescent="0.2">
      <c r="A49" s="79" t="s">
        <v>297</v>
      </c>
      <c r="B49" s="85">
        <f>DONNÉES!$BQ$300</f>
        <v>566.04499999999996</v>
      </c>
      <c r="C49" s="85">
        <f>DONNÉES!$BQ$301</f>
        <v>646.63823000000002</v>
      </c>
      <c r="D49" s="85">
        <f>DONNÉES!$BQ$302</f>
        <v>622.23705000000007</v>
      </c>
      <c r="E49" s="85">
        <f>DONNÉES!$BQ$303</f>
        <v>653.46271000000002</v>
      </c>
      <c r="F49" s="86">
        <f>DONNÉES!$BQ$304</f>
        <v>728.29502000000002</v>
      </c>
      <c r="G49" s="86">
        <f>DONNÉES!$BQ$305</f>
        <v>739.23599999999999</v>
      </c>
      <c r="H49" s="86">
        <f>DONNÉES!$BQ$306</f>
        <v>770.221</v>
      </c>
      <c r="I49" s="86">
        <f>DONNÉES!$BQ$307</f>
        <v>825.08051999999998</v>
      </c>
      <c r="J49" s="86">
        <f>DONNÉES!$BQ$308</f>
        <v>805.18469999999991</v>
      </c>
      <c r="K49" s="85">
        <f>DONNÉES!$BQ$309</f>
        <v>534.53514000000007</v>
      </c>
      <c r="L49" s="85">
        <f>DONNÉES!$BQ$310</f>
        <v>536.90354000000002</v>
      </c>
      <c r="M49" s="85">
        <f>DONNÉES!$BQ$311</f>
        <v>538.26023999999995</v>
      </c>
    </row>
    <row r="50" spans="1:13" s="81" customFormat="1" ht="15.6" customHeight="1" x14ac:dyDescent="0.2">
      <c r="A50" s="81" t="s">
        <v>296</v>
      </c>
      <c r="B50" s="85">
        <f>DONNÉES!$BY$300</f>
        <v>423.35606000000001</v>
      </c>
      <c r="C50" s="85">
        <f>DONNÉES!$BY$301</f>
        <v>488.13140000000004</v>
      </c>
      <c r="D50" s="85">
        <f>DONNÉES!$BY$302</f>
        <v>433.85605000000004</v>
      </c>
      <c r="E50" s="85">
        <f>DONNÉES!$BY$303</f>
        <v>468.06799000000001</v>
      </c>
      <c r="F50" s="86">
        <f>DONNÉES!$BY$304</f>
        <v>540.6714300000001</v>
      </c>
      <c r="G50" s="86">
        <f>DONNÉES!$BY$305</f>
        <v>516.82899999999995</v>
      </c>
      <c r="H50" s="86">
        <f>DONNÉES!$BY$306</f>
        <v>676.46401000000003</v>
      </c>
      <c r="I50" s="86">
        <f>DONNÉES!$BY$307</f>
        <v>812.06967000000009</v>
      </c>
      <c r="J50" s="86">
        <f>DONNÉES!$BY$308</f>
        <v>646.17356999999993</v>
      </c>
      <c r="K50" s="85">
        <f>DONNÉES!$BY$309</f>
        <v>678.15363000000002</v>
      </c>
      <c r="L50" s="85">
        <f>DONNÉES!$BY$310</f>
        <v>676.12009</v>
      </c>
      <c r="M50" s="85">
        <f>DONNÉES!$BY$311</f>
        <v>582.03387999999995</v>
      </c>
    </row>
    <row r="51" spans="1:13" s="81" customFormat="1" ht="15.6" customHeight="1" x14ac:dyDescent="0.2">
      <c r="A51" s="81" t="s">
        <v>301</v>
      </c>
      <c r="B51" s="85">
        <f>DONNÉES!$CG$300</f>
        <v>527.52963999999997</v>
      </c>
      <c r="C51" s="85">
        <f>DONNÉES!$CG$301</f>
        <v>512.19635000000005</v>
      </c>
      <c r="D51" s="85">
        <f>DONNÉES!$CG$302</f>
        <v>433.73109999999997</v>
      </c>
      <c r="E51" s="85">
        <f>DONNÉES!$CG$303</f>
        <v>474.02578999999997</v>
      </c>
      <c r="F51" s="86">
        <f>DONNÉES!$CG$304</f>
        <v>558.31054000000006</v>
      </c>
      <c r="G51" s="86">
        <f>DONNÉES!$CG$305</f>
        <v>553.50883999999996</v>
      </c>
      <c r="H51" s="86">
        <f>DONNÉES!$CG$306</f>
        <v>670.42711999999995</v>
      </c>
      <c r="I51" s="86">
        <f>DONNÉES!$CG$307</f>
        <v>848.06321000000003</v>
      </c>
      <c r="J51" s="86">
        <f>DONNÉES!$CG$308</f>
        <v>680.69506000000001</v>
      </c>
      <c r="K51" s="85">
        <f>DONNÉES!$CG$309</f>
        <v>664.47381000000007</v>
      </c>
      <c r="L51" s="85">
        <f>DONNÉES!$CG$310</f>
        <v>629.75261</v>
      </c>
      <c r="M51" s="85">
        <f>DONNÉES!$CG$311</f>
        <v>743.08967999999993</v>
      </c>
    </row>
    <row r="52" spans="1:13" s="81" customFormat="1" ht="15.6" customHeight="1" x14ac:dyDescent="0.2">
      <c r="A52" s="81" t="s">
        <v>294</v>
      </c>
      <c r="B52" s="85">
        <f>DONNÉES!$CO$300</f>
        <v>1721.14446</v>
      </c>
      <c r="C52" s="85">
        <f>DONNÉES!$CO$301</f>
        <v>1115.05414</v>
      </c>
      <c r="D52" s="85">
        <f>DONNÉES!$CO$302</f>
        <v>1165.1586399999999</v>
      </c>
      <c r="E52" s="85">
        <f>DONNÉES!$CO$303</f>
        <v>1149.7530300000001</v>
      </c>
      <c r="F52" s="86">
        <f>DONNÉES!$CO$304</f>
        <v>1302.8430499999999</v>
      </c>
      <c r="G52" s="86">
        <f>DONNÉES!$CO$305</f>
        <v>1202.1557700000001</v>
      </c>
      <c r="H52" s="86">
        <f>DONNÉES!$CO$306</f>
        <v>1369.02899</v>
      </c>
      <c r="I52" s="86">
        <f>DONNÉES!$CO$307</f>
        <v>1446.3767399999999</v>
      </c>
      <c r="J52" s="86">
        <f>DONNÉES!$CO$308</f>
        <v>1438.4330299999999</v>
      </c>
      <c r="K52" s="85">
        <f>DONNÉES!$CO$309</f>
        <v>1080.98226</v>
      </c>
      <c r="L52" s="85">
        <f>DONNÉES!$CO$310</f>
        <v>1151.47552</v>
      </c>
      <c r="M52" s="85">
        <f>DONNÉES!$CO$311</f>
        <v>941.84775000000002</v>
      </c>
    </row>
    <row r="53" spans="1:13" ht="22.15" customHeight="1" x14ac:dyDescent="0.2">
      <c r="A53" s="46" t="s">
        <v>7016</v>
      </c>
      <c r="B53" s="76">
        <f>SUBTOTAL(109,TRESON2[JANV.])</f>
        <v>7037.7520999999997</v>
      </c>
      <c r="C53" s="76">
        <f>SUBTOTAL(109,TRESON2[FÉV.])</f>
        <v>6924.6337300000014</v>
      </c>
      <c r="D53" s="76">
        <f>SUBTOTAL(109,TRESON2[MARS])</f>
        <v>6919.7184699999998</v>
      </c>
      <c r="E53" s="88">
        <f>SUBTOTAL(109,TRESON2[AVRIL])</f>
        <v>7182.5236799999984</v>
      </c>
      <c r="F53" s="76">
        <f>SUBTOTAL(109,TRESON2[MAI])</f>
        <v>7812.3318799999997</v>
      </c>
      <c r="G53" s="76">
        <f>SUBTOTAL(109,TRESON2[JUIN])</f>
        <v>7382.9612000000006</v>
      </c>
      <c r="H53" s="76">
        <f>SUBTOTAL(109,TRESON2[JUILL.])</f>
        <v>8276.8359300000011</v>
      </c>
      <c r="I53" s="76">
        <f>SUBTOTAL(109,TRESON2[AOÛT])</f>
        <v>8969.5920600000009</v>
      </c>
      <c r="J53" s="76">
        <f>SUBTOTAL(109,TRESON2[SEPT.])</f>
        <v>8504.6394499999988</v>
      </c>
      <c r="K53" s="88">
        <f>SUBTOTAL(109,TRESON2[OCT.])</f>
        <v>7187.4640600000002</v>
      </c>
      <c r="L53" s="88">
        <f>SUBTOTAL(109,TRESON2[NOV.])</f>
        <v>7277.8846700000013</v>
      </c>
      <c r="M53" s="88">
        <f>SUBTOTAL(109,TRESON2[DÉC.])</f>
        <v>6916.2364099999995</v>
      </c>
    </row>
    <row r="54" spans="1:13" ht="22.15" customHeight="1" x14ac:dyDescent="0.2">
      <c r="K54" s="84"/>
    </row>
    <row r="55" spans="1:13" ht="22.15" customHeight="1" x14ac:dyDescent="0.2"/>
    <row r="56" spans="1:13" ht="24" customHeight="1" x14ac:dyDescent="0.2">
      <c r="A56" s="79" t="s">
        <v>1542</v>
      </c>
      <c r="B56" s="80" t="s">
        <v>118</v>
      </c>
      <c r="C56" s="80" t="s">
        <v>119</v>
      </c>
      <c r="D56" s="80" t="s">
        <v>89</v>
      </c>
      <c r="E56" s="80" t="s">
        <v>90</v>
      </c>
      <c r="F56" s="80" t="s">
        <v>91</v>
      </c>
      <c r="G56" s="80" t="s">
        <v>92</v>
      </c>
      <c r="H56" s="80" t="s">
        <v>120</v>
      </c>
      <c r="I56" s="80" t="s">
        <v>112</v>
      </c>
      <c r="J56" s="80" t="s">
        <v>113</v>
      </c>
      <c r="K56" s="80" t="s">
        <v>114</v>
      </c>
      <c r="L56" s="80" t="s">
        <v>115</v>
      </c>
      <c r="M56" s="80" t="s">
        <v>116</v>
      </c>
    </row>
    <row r="57" spans="1:13" s="81" customFormat="1" ht="15.6" customHeight="1" x14ac:dyDescent="0.2">
      <c r="A57" s="81" t="s">
        <v>2999</v>
      </c>
      <c r="B57" s="85">
        <f>DONNÉES!$N$300</f>
        <v>1506</v>
      </c>
      <c r="C57" s="85">
        <f>DONNÉES!$N$301</f>
        <v>1627</v>
      </c>
      <c r="D57" s="85">
        <f>DONNÉES!$N$302</f>
        <v>1570</v>
      </c>
      <c r="E57" s="85">
        <f>DONNÉES!$N$303</f>
        <v>1691.3322499999999</v>
      </c>
      <c r="F57" s="86">
        <f>DONNÉES!$N$304</f>
        <v>1608.8128400000001</v>
      </c>
      <c r="G57" s="86">
        <f>DONNÉES!$N$305</f>
        <v>1554.9930899999999</v>
      </c>
      <c r="H57" s="86">
        <f>DONNÉES!$N$306</f>
        <v>1625.1353100000001</v>
      </c>
      <c r="I57" s="86">
        <f>DONNÉES!$N$307</f>
        <v>1686.88967</v>
      </c>
      <c r="J57" s="86">
        <f>DONNÉES!$N$308</f>
        <v>1691.91923</v>
      </c>
      <c r="K57" s="85">
        <f>DONNÉES!$N$309</f>
        <v>1735.76945</v>
      </c>
      <c r="L57" s="85">
        <f>DONNÉES!$N$310</f>
        <v>1658.922</v>
      </c>
      <c r="M57" s="85">
        <f>DONNÉES!$N$311</f>
        <v>1204.925</v>
      </c>
    </row>
    <row r="58" spans="1:13" s="81" customFormat="1" ht="15.6" customHeight="1" x14ac:dyDescent="0.2">
      <c r="A58" s="81" t="s">
        <v>3001</v>
      </c>
      <c r="B58" s="85">
        <f>DONNÉES!$V$300</f>
        <v>385</v>
      </c>
      <c r="C58" s="85">
        <f>DONNÉES!$V$301</f>
        <v>824</v>
      </c>
      <c r="D58" s="85">
        <f>DONNÉES!$V$302</f>
        <v>770</v>
      </c>
      <c r="E58" s="85">
        <f>DONNÉES!$V$303</f>
        <v>689.04498000000001</v>
      </c>
      <c r="F58" s="86">
        <f>DONNÉES!$V$304</f>
        <v>615.20600000000002</v>
      </c>
      <c r="G58" s="86">
        <f>DONNÉES!$V$305</f>
        <v>611.92804000000001</v>
      </c>
      <c r="H58" s="86">
        <f>DONNÉES!$V$306</f>
        <v>631.63471000000004</v>
      </c>
      <c r="I58" s="86">
        <f>DONNÉES!$V$307</f>
        <v>573.86276999999995</v>
      </c>
      <c r="J58" s="86">
        <f>DONNÉES!$V$308</f>
        <v>488.87601999999998</v>
      </c>
      <c r="K58" s="85">
        <f>DONNÉES!$V$309</f>
        <v>513.35230999999999</v>
      </c>
      <c r="L58" s="85">
        <f>DONNÉES!$V$310</f>
        <v>490.96800000000002</v>
      </c>
      <c r="M58" s="85">
        <f>DONNÉES!$V$311</f>
        <v>321.59199999999998</v>
      </c>
    </row>
    <row r="59" spans="1:13" s="81" customFormat="1" ht="15.6" customHeight="1" x14ac:dyDescent="0.2">
      <c r="A59" s="81" t="s">
        <v>210</v>
      </c>
      <c r="B59" s="85">
        <f>DONNÉES!$AD$300</f>
        <v>738</v>
      </c>
      <c r="C59" s="85">
        <f>DONNÉES!$AD$301</f>
        <v>1213</v>
      </c>
      <c r="D59" s="85">
        <f>DONNÉES!$AD$302</f>
        <v>1139</v>
      </c>
      <c r="E59" s="85">
        <f>DONNÉES!$AD$303</f>
        <v>1083.4947500000001</v>
      </c>
      <c r="F59" s="86">
        <f>DONNÉES!$AD$304</f>
        <v>1143.6853799999999</v>
      </c>
      <c r="G59" s="86">
        <f>DONNÉES!$AD$305</f>
        <v>1112.2332699999999</v>
      </c>
      <c r="H59" s="86">
        <f>DONNÉES!$AD$306</f>
        <v>1126.85078</v>
      </c>
      <c r="I59" s="86">
        <f>DONNÉES!$AD$307</f>
        <v>1032.49181</v>
      </c>
      <c r="J59" s="86">
        <f>DONNÉES!$AD$308</f>
        <v>944.79463999999996</v>
      </c>
      <c r="K59" s="85">
        <f>DONNÉES!$AD$309</f>
        <v>1017.3204199999999</v>
      </c>
      <c r="L59" s="85">
        <f>DONNÉES!$AD$310</f>
        <v>966.15700000000004</v>
      </c>
      <c r="M59" s="85">
        <f>DONNÉES!$AD$311</f>
        <v>776.02699999999993</v>
      </c>
    </row>
    <row r="60" spans="1:13" ht="15.6" customHeight="1" x14ac:dyDescent="0.2">
      <c r="A60" s="79" t="s">
        <v>3003</v>
      </c>
      <c r="B60" s="85">
        <f>DONNÉES!$AL$300</f>
        <v>824</v>
      </c>
      <c r="C60" s="85">
        <f>DONNÉES!$AL$301</f>
        <v>1367</v>
      </c>
      <c r="D60" s="85">
        <f>DONNÉES!$AL$302</f>
        <v>1509</v>
      </c>
      <c r="E60" s="85">
        <f>DONNÉES!$AL$303</f>
        <v>1050.4581800000001</v>
      </c>
      <c r="F60" s="86">
        <f>DONNÉES!$AL$304</f>
        <v>971.12777000000006</v>
      </c>
      <c r="G60" s="86">
        <f>DONNÉES!$AL$305</f>
        <v>968.79360999999994</v>
      </c>
      <c r="H60" s="86">
        <f>DONNÉES!$AL$306</f>
        <v>1018.304</v>
      </c>
      <c r="I60" s="86">
        <f>DONNÉES!$AL$307</f>
        <v>1032.49181</v>
      </c>
      <c r="J60" s="86">
        <f>DONNÉES!$AL$308</f>
        <v>917.73404999999991</v>
      </c>
      <c r="K60" s="85">
        <f>DONNÉES!$AL$309</f>
        <v>959.25067999999999</v>
      </c>
      <c r="L60" s="85">
        <f>DONNÉES!$AL$310</f>
        <v>958.22299999999996</v>
      </c>
      <c r="M60" s="85">
        <f>DONNÉES!$AL$311</f>
        <v>559.41300000000001</v>
      </c>
    </row>
    <row r="61" spans="1:13" s="81" customFormat="1" ht="15.6" customHeight="1" x14ac:dyDescent="0.2">
      <c r="A61" s="81" t="s">
        <v>2156</v>
      </c>
      <c r="B61" s="85">
        <f>DONNÉES!$AT$300</f>
        <v>618</v>
      </c>
      <c r="C61" s="85">
        <f>DONNÉES!$AT$301</f>
        <v>881</v>
      </c>
      <c r="D61" s="85">
        <f>DONNÉES!$AT$302</f>
        <v>846</v>
      </c>
      <c r="E61" s="85">
        <f>DONNÉES!$AT$303</f>
        <v>1146.1964399999999</v>
      </c>
      <c r="F61" s="86">
        <f>DONNÉES!$AT$304</f>
        <v>1151.4732300000001</v>
      </c>
      <c r="G61" s="86">
        <f>DONNÉES!$AT$305</f>
        <v>1164.8934900000002</v>
      </c>
      <c r="H61" s="86">
        <f>DONNÉES!$AT$306</f>
        <v>863.19536999999991</v>
      </c>
      <c r="I61" s="86">
        <f>DONNÉES!$AT$307</f>
        <v>936.21067000000005</v>
      </c>
      <c r="J61" s="86">
        <f>DONNÉES!$AT$308</f>
        <v>920.26685999999995</v>
      </c>
      <c r="K61" s="85">
        <f>DONNÉES!$AT$309</f>
        <v>990.28841</v>
      </c>
      <c r="L61" s="85">
        <f>DONNÉES!$AT$310</f>
        <v>973.34500000000003</v>
      </c>
      <c r="M61" s="85">
        <f>DONNÉES!$AT$311</f>
        <v>780.85500000000002</v>
      </c>
    </row>
    <row r="62" spans="1:13" s="81" customFormat="1" ht="15.6" customHeight="1" x14ac:dyDescent="0.2">
      <c r="A62" s="81" t="s">
        <v>3000</v>
      </c>
      <c r="B62" s="85">
        <f>DONNÉES!$BB$300</f>
        <v>222</v>
      </c>
      <c r="C62" s="85">
        <f>DONNÉES!$BB$301</f>
        <v>189</v>
      </c>
      <c r="D62" s="85">
        <f>DONNÉES!$BB$302</f>
        <v>227</v>
      </c>
      <c r="E62" s="85">
        <f>DONNÉES!$BB$303</f>
        <v>198.00856000000002</v>
      </c>
      <c r="F62" s="86">
        <f>DONNÉES!$BB$304</f>
        <v>258.34029999999996</v>
      </c>
      <c r="G62" s="86">
        <f>DONNÉES!$BB$305</f>
        <v>300.11645999999996</v>
      </c>
      <c r="H62" s="86">
        <f>DONNÉES!$BB$306</f>
        <v>261.94439999999997</v>
      </c>
      <c r="I62" s="86">
        <f>DONNÉES!$BB$307</f>
        <v>394.01600000000002</v>
      </c>
      <c r="J62" s="86">
        <f>DONNÉES!$BB$308</f>
        <v>278.09849000000003</v>
      </c>
      <c r="K62" s="85">
        <f>DONNÉES!$BB$309</f>
        <v>247.90257</v>
      </c>
      <c r="L62" s="85">
        <f>DONNÉES!$BB$310</f>
        <v>236.26300000000001</v>
      </c>
      <c r="M62" s="85">
        <f>DONNÉES!$BB$311</f>
        <v>213.5</v>
      </c>
    </row>
    <row r="63" spans="1:13" s="81" customFormat="1" ht="15.6" customHeight="1" x14ac:dyDescent="0.2">
      <c r="A63" s="81" t="s">
        <v>3002</v>
      </c>
      <c r="B63" s="85">
        <f>DONNÉES!$BJ$300</f>
        <v>0</v>
      </c>
      <c r="C63" s="85">
        <f>DONNÉES!$BJ$301</f>
        <v>0</v>
      </c>
      <c r="D63" s="85">
        <f>DONNÉES!$BJ$302</f>
        <v>0</v>
      </c>
      <c r="E63" s="85">
        <f>DONNÉES!$BJ$303</f>
        <v>634.90800000000002</v>
      </c>
      <c r="F63" s="86">
        <f>DONNÉES!$BJ$304</f>
        <v>662.09199999999998</v>
      </c>
      <c r="G63" s="86">
        <f>DONNÉES!$BJ$305</f>
        <v>668.05100000000004</v>
      </c>
      <c r="H63" s="86">
        <f>DONNÉES!$BJ$306</f>
        <v>778.798</v>
      </c>
      <c r="I63" s="86">
        <f>DONNÉES!$BJ$307</f>
        <v>575.45399999999995</v>
      </c>
      <c r="J63" s="86">
        <f>DONNÉES!$BJ$308</f>
        <v>379.411</v>
      </c>
      <c r="K63" s="85">
        <f>DONNÉES!$BJ$309</f>
        <v>482.87700000000001</v>
      </c>
      <c r="L63" s="85">
        <f>DONNÉES!$BJ$310</f>
        <v>376.86599999999999</v>
      </c>
      <c r="M63" s="85">
        <f>DONNÉES!$BJ$311</f>
        <v>403.46199999999999</v>
      </c>
    </row>
    <row r="64" spans="1:13" ht="15.6" customHeight="1" x14ac:dyDescent="0.2">
      <c r="A64" s="79" t="s">
        <v>297</v>
      </c>
      <c r="B64" s="85">
        <f>DONNÉES!$BR$300</f>
        <v>755</v>
      </c>
      <c r="C64" s="85">
        <f>DONNÉES!$BR$301</f>
        <v>858</v>
      </c>
      <c r="D64" s="85">
        <f>DONNÉES!$BR$302</f>
        <v>837</v>
      </c>
      <c r="E64" s="85">
        <f>DONNÉES!$BR$303</f>
        <v>865.16949</v>
      </c>
      <c r="F64" s="86">
        <f>DONNÉES!$BR$304</f>
        <v>919.80511999999999</v>
      </c>
      <c r="G64" s="86">
        <f>DONNÉES!$BR$305</f>
        <v>945.04309000000001</v>
      </c>
      <c r="H64" s="86">
        <f>DONNÉES!$BR$306</f>
        <v>985.60477000000003</v>
      </c>
      <c r="I64" s="86">
        <f>DONNÉES!$BR$307</f>
        <v>927.70968999999991</v>
      </c>
      <c r="J64" s="86">
        <f>DONNÉES!$BR$308</f>
        <v>891.00770999999997</v>
      </c>
      <c r="K64" s="85">
        <f>DONNÉES!$BR$309</f>
        <v>934.4314599999999</v>
      </c>
      <c r="L64" s="85">
        <f>DONNÉES!$BR$310</f>
        <v>728</v>
      </c>
      <c r="M64" s="85">
        <f>DONNÉES!$BR$311</f>
        <v>599</v>
      </c>
    </row>
    <row r="65" spans="1:13" s="81" customFormat="1" ht="15.6" customHeight="1" x14ac:dyDescent="0.2">
      <c r="A65" s="81" t="s">
        <v>296</v>
      </c>
      <c r="B65" s="85">
        <f>DONNÉES!$BZ$300</f>
        <v>596</v>
      </c>
      <c r="C65" s="85">
        <f>DONNÉES!$BZ$301</f>
        <v>742</v>
      </c>
      <c r="D65" s="85">
        <f>DONNÉES!$BZ$302</f>
        <v>674</v>
      </c>
      <c r="E65" s="85">
        <f>DONNÉES!$BZ$303</f>
        <v>767.7088</v>
      </c>
      <c r="F65" s="86">
        <f>DONNÉES!$BZ$304</f>
        <v>586.36146999999994</v>
      </c>
      <c r="G65" s="86">
        <f>DONNÉES!$BZ$305</f>
        <v>549.81306999999993</v>
      </c>
      <c r="H65" s="86">
        <f>DONNÉES!$BZ$306</f>
        <v>753.13664999999992</v>
      </c>
      <c r="I65" s="86">
        <f>DONNÉES!$BZ$307</f>
        <v>904.99601999999993</v>
      </c>
      <c r="J65" s="86">
        <f>DONNÉES!$BZ$308</f>
        <v>844.30419000000006</v>
      </c>
      <c r="K65" s="85">
        <f>DONNÉES!$BZ$309</f>
        <v>743.33978999999999</v>
      </c>
      <c r="L65" s="85">
        <f>DONNÉES!$BZ$310</f>
        <v>713</v>
      </c>
      <c r="M65" s="85">
        <f>DONNÉES!$BZ$311</f>
        <v>403</v>
      </c>
    </row>
    <row r="66" spans="1:13" s="81" customFormat="1" ht="15.6" customHeight="1" x14ac:dyDescent="0.2">
      <c r="A66" s="81" t="s">
        <v>301</v>
      </c>
      <c r="B66" s="85">
        <f>DONNÉES!$CH$300</f>
        <v>723</v>
      </c>
      <c r="C66" s="85">
        <f>DONNÉES!$CH$301</f>
        <v>835.327</v>
      </c>
      <c r="D66" s="85">
        <f>DONNÉES!$CH$302</f>
        <v>733</v>
      </c>
      <c r="E66" s="85">
        <f>DONNÉES!$CH$303</f>
        <v>719.07633999999996</v>
      </c>
      <c r="F66" s="86">
        <f>DONNÉES!$CH$304</f>
        <v>694.04373999999996</v>
      </c>
      <c r="G66" s="86">
        <f>DONNÉES!$CH$305</f>
        <v>630.69420000000002</v>
      </c>
      <c r="H66" s="86">
        <f>DONNÉES!$CH$306</f>
        <v>1068.03621</v>
      </c>
      <c r="I66" s="86">
        <f>DONNÉES!$CH$307</f>
        <v>1119.13975</v>
      </c>
      <c r="J66" s="86">
        <f>DONNÉES!$CH$308</f>
        <v>927.80642999999873</v>
      </c>
      <c r="K66" s="85">
        <f>DONNÉES!$CH$309</f>
        <v>881.74081000000115</v>
      </c>
      <c r="L66" s="85">
        <f>DONNÉES!$CH$310</f>
        <v>809</v>
      </c>
      <c r="M66" s="85">
        <f>DONNÉES!$CH$311</f>
        <v>530</v>
      </c>
    </row>
    <row r="67" spans="1:13" s="81" customFormat="1" ht="15.6" customHeight="1" x14ac:dyDescent="0.2">
      <c r="A67" s="81" t="s">
        <v>294</v>
      </c>
      <c r="B67" s="85">
        <f>DONNÉES!$CP$300</f>
        <v>865</v>
      </c>
      <c r="C67" s="85">
        <f>DONNÉES!$CP$301</f>
        <v>2128</v>
      </c>
      <c r="D67" s="85">
        <f>DONNÉES!$CP$302</f>
        <v>2099</v>
      </c>
      <c r="E67" s="85">
        <f>DONNÉES!$CP$303</f>
        <v>1887</v>
      </c>
      <c r="F67" s="86">
        <f>DONNÉES!$CP$304</f>
        <v>1842.61553</v>
      </c>
      <c r="G67" s="86">
        <f>DONNÉES!$CP$305</f>
        <v>1849.16275</v>
      </c>
      <c r="H67" s="86">
        <f>DONNÉES!$CP$306</f>
        <v>1938.37545</v>
      </c>
      <c r="I67" s="86">
        <f>DONNÉES!$CP$307</f>
        <v>2035.7486899999999</v>
      </c>
      <c r="J67" s="86">
        <f>DONNÉES!$CP$308</f>
        <v>1996.7143000000001</v>
      </c>
      <c r="K67" s="85">
        <f>DONNÉES!$CP$309</f>
        <v>1934.09494</v>
      </c>
      <c r="L67" s="85">
        <f>DONNÉES!$CP$310</f>
        <v>1943</v>
      </c>
      <c r="M67" s="85">
        <f>DONNÉES!$CP$311</f>
        <v>1845</v>
      </c>
    </row>
    <row r="68" spans="1:13" ht="22.15" customHeight="1" x14ac:dyDescent="0.2">
      <c r="A68" s="46" t="s">
        <v>7015</v>
      </c>
      <c r="B68" s="76">
        <f>SUBTOTAL(109,TRESON3[JANV.])</f>
        <v>7232</v>
      </c>
      <c r="C68" s="76">
        <f>SUBTOTAL(109,TRESON3[FÉV.])</f>
        <v>10664.326999999999</v>
      </c>
      <c r="D68" s="76">
        <f>SUBTOTAL(109,TRESON3[MARS])</f>
        <v>10404</v>
      </c>
      <c r="E68" s="88">
        <f>SUBTOTAL(109,TRESON3[AVRIL])</f>
        <v>10732.397790000001</v>
      </c>
      <c r="F68" s="76">
        <f>SUBTOTAL(109,TRESON3[MAI])</f>
        <v>10453.56338</v>
      </c>
      <c r="G68" s="76">
        <f>SUBTOTAL(109,TRESON3[JUIN])</f>
        <v>10355.72207</v>
      </c>
      <c r="H68" s="76">
        <f>SUBTOTAL(109,TRESON3[JUILL.])</f>
        <v>11051.015649999999</v>
      </c>
      <c r="I68" s="76">
        <f>SUBTOTAL(109,TRESON3[AOÛT])</f>
        <v>11219.01088</v>
      </c>
      <c r="J68" s="76">
        <f>SUBTOTAL(109,TRESON3[SEPT.])</f>
        <v>10280.932919999999</v>
      </c>
      <c r="K68" s="88">
        <f>SUBTOTAL(109,TRESON3[OCT.])</f>
        <v>10440.367840000003</v>
      </c>
      <c r="L68" s="88">
        <f>SUBTOTAL(109,TRESON3[NOV.])</f>
        <v>9853.7439999999988</v>
      </c>
      <c r="M68" s="88">
        <f>SUBTOTAL(109,TRESON3[DÉC.])</f>
        <v>7636.7739999999994</v>
      </c>
    </row>
    <row r="76" spans="1:13" x14ac:dyDescent="0.2">
      <c r="F76" s="83"/>
      <c r="G76" s="83"/>
      <c r="H76" s="83"/>
      <c r="I76" s="83"/>
      <c r="J76" s="83"/>
    </row>
  </sheetData>
  <mergeCells count="1">
    <mergeCell ref="A3:M3"/>
  </mergeCells>
  <pageMargins left="0.70866141732283472" right="0.70866141732283472" top="0.74803149606299213" bottom="0.74803149606299213" header="0.31496062992125984" footer="0.31496062992125984"/>
  <pageSetup paperSize="9" scale="65" orientation="portrait" r:id="rId1"/>
  <headerFooter>
    <oddFooter>&amp;C&amp;"Helv,Gras"&amp;11Page &amp;P / &amp;N</oddFooter>
  </headerFooter>
  <tableParts count="4">
    <tablePart r:id="rId2"/>
    <tablePart r:id="rId3"/>
    <tablePart r:id="rId4"/>
    <tablePart r:id="rId5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8BD3-BB65-4485-9FB0-BBA2F03BAF4F}">
  <sheetPr codeName="Feuil103">
    <tabColor rgb="FF92D050"/>
  </sheetPr>
  <dimension ref="A1:V254"/>
  <sheetViews>
    <sheetView showGridLines="0" view="pageBreakPreview" topLeftCell="A109" zoomScale="85" zoomScaleNormal="115" zoomScaleSheetLayoutView="85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14.28515625" style="79" customWidth="1"/>
    <col min="2" max="3" width="7.85546875" style="112" customWidth="1"/>
    <col min="4" max="4" width="7.85546875" style="101" customWidth="1"/>
    <col min="5" max="6" width="7.85546875" style="112" customWidth="1"/>
    <col min="7" max="7" width="7.85546875" style="118" customWidth="1"/>
    <col min="8" max="9" width="7.85546875" style="82" customWidth="1"/>
    <col min="10" max="11" width="7.85546875" style="112" customWidth="1"/>
    <col min="12" max="12" width="7.85546875" style="101" customWidth="1"/>
    <col min="13" max="13" width="7.85546875" style="118" customWidth="1"/>
    <col min="14" max="17" width="7.85546875" style="79" customWidth="1"/>
    <col min="18" max="18" width="4.28515625" style="79" customWidth="1"/>
    <col min="19" max="22" width="7.85546875" style="79" customWidth="1"/>
    <col min="23" max="16384" width="11.42578125" style="79"/>
  </cols>
  <sheetData>
    <row r="1" spans="1:22" x14ac:dyDescent="0.2">
      <c r="A1" s="74" t="s">
        <v>6996</v>
      </c>
      <c r="B1" s="106"/>
      <c r="C1" s="106"/>
      <c r="D1" s="98"/>
      <c r="E1" s="106"/>
      <c r="F1" s="106"/>
      <c r="G1" s="114"/>
      <c r="H1" s="79"/>
      <c r="I1" s="79"/>
      <c r="J1" s="121"/>
      <c r="V1" s="162" t="str">
        <f>CONCATENATE("P&amp;L ",RIGHT(DONNÉES!B5,LEN(DONNÉES!B5)-3))</f>
        <v>P&amp;L Janvier</v>
      </c>
    </row>
    <row r="2" spans="1:22" x14ac:dyDescent="0.2">
      <c r="A2" s="74"/>
      <c r="B2" s="106"/>
      <c r="C2" s="106"/>
      <c r="D2" s="98"/>
      <c r="E2" s="106"/>
      <c r="F2" s="106"/>
      <c r="G2" s="114"/>
      <c r="H2" s="75"/>
      <c r="I2" s="75"/>
      <c r="J2" s="122"/>
    </row>
    <row r="3" spans="1:22" ht="15.6" customHeight="1" x14ac:dyDescent="0.25">
      <c r="A3" s="300" t="s">
        <v>200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300"/>
    </row>
    <row r="4" spans="1:22" ht="14.65" customHeight="1" x14ac:dyDescent="0.2">
      <c r="A4" s="253"/>
      <c r="B4" s="340" t="s">
        <v>195</v>
      </c>
      <c r="C4" s="340"/>
      <c r="D4" s="340"/>
      <c r="E4" s="341"/>
      <c r="F4" s="340" t="s">
        <v>196</v>
      </c>
      <c r="G4" s="340"/>
      <c r="H4" s="340"/>
      <c r="I4" s="341"/>
      <c r="J4" s="340" t="s">
        <v>198</v>
      </c>
      <c r="K4" s="340"/>
      <c r="L4" s="340"/>
      <c r="M4" s="341"/>
      <c r="N4" s="340" t="s">
        <v>199</v>
      </c>
      <c r="O4" s="340"/>
      <c r="P4" s="340"/>
      <c r="Q4" s="340"/>
      <c r="S4" s="340" t="s">
        <v>197</v>
      </c>
      <c r="T4" s="340"/>
      <c r="U4" s="340"/>
      <c r="V4" s="340"/>
    </row>
    <row r="5" spans="1:22" ht="28.9" customHeight="1" x14ac:dyDescent="0.2">
      <c r="A5" s="169" t="s">
        <v>2999</v>
      </c>
      <c r="B5" s="108" t="s">
        <v>6962</v>
      </c>
      <c r="C5" s="166" t="s">
        <v>2169</v>
      </c>
      <c r="D5" s="108" t="s">
        <v>6986</v>
      </c>
      <c r="E5" s="172" t="s">
        <v>6944</v>
      </c>
      <c r="F5" s="211" t="s">
        <v>6987</v>
      </c>
      <c r="G5" s="166" t="s">
        <v>6945</v>
      </c>
      <c r="H5" s="108" t="s">
        <v>6988</v>
      </c>
      <c r="I5" s="172" t="s">
        <v>6946</v>
      </c>
      <c r="J5" s="108" t="s">
        <v>6989</v>
      </c>
      <c r="K5" s="166" t="s">
        <v>6947</v>
      </c>
      <c r="L5" s="108" t="s">
        <v>6990</v>
      </c>
      <c r="M5" s="172" t="s">
        <v>6948</v>
      </c>
      <c r="N5" s="108" t="s">
        <v>6991</v>
      </c>
      <c r="O5" s="166" t="s">
        <v>6949</v>
      </c>
      <c r="P5" s="108" t="s">
        <v>6992</v>
      </c>
      <c r="Q5" s="94" t="s">
        <v>6950</v>
      </c>
      <c r="S5" s="108" t="s">
        <v>6962</v>
      </c>
      <c r="T5" s="166" t="s">
        <v>2169</v>
      </c>
      <c r="U5" s="108" t="s">
        <v>6986</v>
      </c>
      <c r="V5" s="172" t="s">
        <v>6944</v>
      </c>
    </row>
    <row r="6" spans="1:22" s="81" customFormat="1" ht="11.65" customHeight="1" x14ac:dyDescent="0.2">
      <c r="A6" s="170" t="s">
        <v>73</v>
      </c>
      <c r="B6" s="128">
        <f>IF(DONNÉES!K44="","",DONNÉES!K44)</f>
        <v>2414</v>
      </c>
      <c r="C6" s="177">
        <f>IF(TRDGLR5[[#This Row],[2024]]="","",DONNÉES!L44)</f>
        <v>3045</v>
      </c>
      <c r="D6" s="128">
        <f>IF(TRDGLR5[[#This Row],[2024]]="","",DONNÉES!K124)</f>
        <v>2414</v>
      </c>
      <c r="E6" s="178">
        <f>IF(TRDGLR5[[#This Row],[2024]]="","",DONNÉES!L124)</f>
        <v>3045</v>
      </c>
      <c r="F6" s="128">
        <f>IF(TRDGLR5[[#This Row],[2024]]="","",DONNÉES!K60)</f>
        <v>5170</v>
      </c>
      <c r="G6" s="177">
        <f>IF(TRDGLR5[[#This Row],[2024]]="","",DONNÉES!L60)</f>
        <v>3309</v>
      </c>
      <c r="H6" s="128">
        <f>IF(TRDGLR5[[#This Row],[2024]]="","",DONNÉES!K140)</f>
        <v>5170</v>
      </c>
      <c r="I6" s="178">
        <f>IF(TRDGLR5[[#This Row],[2024]]="","",DONNÉES!L140)</f>
        <v>3309</v>
      </c>
      <c r="J6" s="128">
        <f>IF(TRDGLR5[[#This Row],[2024]]="","",DONNÉES!K76)</f>
        <v>9483</v>
      </c>
      <c r="K6" s="177">
        <f>IF(TRDGLR5[[#This Row],[2024]]="","",DONNÉES!L76)</f>
        <v>9713</v>
      </c>
      <c r="L6" s="128">
        <f>IF(TRDGLR5[[#This Row],[2024]]="","",DONNÉES!K156)</f>
        <v>9483</v>
      </c>
      <c r="M6" s="178">
        <f>IF(TRDGLR5[[#This Row],[2024]]="","",DONNÉES!L156)</f>
        <v>9713</v>
      </c>
      <c r="N6" s="128">
        <f>IF(TRDGLR5[[#This Row],[2024]]="","",DONNÉES!K92)</f>
        <v>7792</v>
      </c>
      <c r="O6" s="177">
        <f>IF(TRDGLR5[[#This Row],[2024]]="","",DONNÉES!L92)</f>
        <v>7485</v>
      </c>
      <c r="P6" s="128">
        <f>IF(TRDGLR5[[#This Row],[2024]]="","",DONNÉES!K172)</f>
        <v>7792</v>
      </c>
      <c r="Q6" s="179">
        <f>IF(TRDGLR5[[#This Row],[2024]]="","",DONNÉES!L172)</f>
        <v>7485</v>
      </c>
      <c r="R6" s="180"/>
      <c r="S6" s="128">
        <f>IF(TRDGLR5[[#This Row],[2024]]="","",DONNÉES!K108)</f>
        <v>24859</v>
      </c>
      <c r="T6" s="177">
        <f>IF(TRDGLR5[[#This Row],[2024]]="","",DONNÉES!L108)</f>
        <v>23552</v>
      </c>
      <c r="U6" s="128">
        <f>IF(TRDGLR5[[#This Row],[2024]]="","",DONNÉES!K188)</f>
        <v>24859</v>
      </c>
      <c r="V6" s="128">
        <f>IF(TRDGLR5[[#This Row],[2024]]="","",DONNÉES!L188)</f>
        <v>23552</v>
      </c>
    </row>
    <row r="7" spans="1:22" s="81" customFormat="1" ht="11.65" customHeight="1" x14ac:dyDescent="0.2">
      <c r="A7" s="170" t="s">
        <v>74</v>
      </c>
      <c r="B7" s="128" t="str">
        <f>IF(DONNÉES!K45="","",DONNÉES!K45)</f>
        <v/>
      </c>
      <c r="C7" s="177" t="str">
        <f>IF(TRDGLR5[[#This Row],[2024]]="","",DONNÉES!L45)</f>
        <v/>
      </c>
      <c r="D7" s="128" t="str">
        <f>IF(TRDGLR5[[#This Row],[2024]]="","",DONNÉES!K125)</f>
        <v/>
      </c>
      <c r="E7" s="178" t="str">
        <f>IF(TRDGLR5[[#This Row],[2024]]="","",DONNÉES!L125)</f>
        <v/>
      </c>
      <c r="F7" s="128" t="str">
        <f>IF(TRDGLR5[[#This Row],[2024]]="","",DONNÉES!K61)</f>
        <v/>
      </c>
      <c r="G7" s="177" t="str">
        <f>IF(TRDGLR5[[#This Row],[2024]]="","",DONNÉES!L61)</f>
        <v/>
      </c>
      <c r="H7" s="128" t="str">
        <f>IF(TRDGLR5[[#This Row],[2024]]="","",DONNÉES!K141)</f>
        <v/>
      </c>
      <c r="I7" s="178" t="str">
        <f>IF(TRDGLR5[[#This Row],[2024]]="","",DONNÉES!L141)</f>
        <v/>
      </c>
      <c r="J7" s="128" t="str">
        <f>IF(TRDGLR5[[#This Row],[2024]]="","",DONNÉES!K77)</f>
        <v/>
      </c>
      <c r="K7" s="177" t="str">
        <f>IF(TRDGLR5[[#This Row],[2024]]="","",DONNÉES!L77)</f>
        <v/>
      </c>
      <c r="L7" s="128" t="str">
        <f>IF(TRDGLR5[[#This Row],[2024]]="","",DONNÉES!K157)</f>
        <v/>
      </c>
      <c r="M7" s="178" t="str">
        <f>IF(TRDGLR5[[#This Row],[2024]]="","",DONNÉES!L157)</f>
        <v/>
      </c>
      <c r="N7" s="128" t="str">
        <f>IF(TRDGLR5[[#This Row],[2024]]="","",DONNÉES!K93)</f>
        <v/>
      </c>
      <c r="O7" s="177" t="str">
        <f>IF(TRDGLR5[[#This Row],[2024]]="","",DONNÉES!L93)</f>
        <v/>
      </c>
      <c r="P7" s="128" t="str">
        <f>IF(TRDGLR5[[#This Row],[2024]]="","",DONNÉES!K173)</f>
        <v/>
      </c>
      <c r="Q7" s="179" t="str">
        <f>IF(TRDGLR5[[#This Row],[2024]]="","",DONNÉES!L173)</f>
        <v/>
      </c>
      <c r="R7" s="180"/>
      <c r="S7" s="128" t="str">
        <f>IF(TRDGLR5[[#This Row],[2024]]="","",DONNÉES!K109)</f>
        <v/>
      </c>
      <c r="T7" s="177" t="str">
        <f>IF(TRDGLR5[[#This Row],[2024]]="","",DONNÉES!L109)</f>
        <v/>
      </c>
      <c r="U7" s="128" t="str">
        <f>IF(TRDGLR5[[#This Row],[2024]]="","",DONNÉES!K189)</f>
        <v/>
      </c>
      <c r="V7" s="128" t="str">
        <f>IF(TRDGLR5[[#This Row],[2024]]="","",DONNÉES!L189)</f>
        <v/>
      </c>
    </row>
    <row r="8" spans="1:22" s="81" customFormat="1" ht="11.65" customHeight="1" x14ac:dyDescent="0.2">
      <c r="A8" s="169" t="s">
        <v>75</v>
      </c>
      <c r="B8" s="128" t="str">
        <f>IF(DONNÉES!K46="","",DONNÉES!K46)</f>
        <v/>
      </c>
      <c r="C8" s="177" t="str">
        <f>IF(TRDGLR5[[#This Row],[2024]]="","",DONNÉES!L46)</f>
        <v/>
      </c>
      <c r="D8" s="128" t="str">
        <f>IF(TRDGLR5[[#This Row],[2024]]="","",DONNÉES!K126)</f>
        <v/>
      </c>
      <c r="E8" s="178" t="str">
        <f>IF(TRDGLR5[[#This Row],[2024]]="","",DONNÉES!L126)</f>
        <v/>
      </c>
      <c r="F8" s="128" t="str">
        <f>IF(TRDGLR5[[#This Row],[2024]]="","",DONNÉES!K62)</f>
        <v/>
      </c>
      <c r="G8" s="177" t="str">
        <f>IF(TRDGLR5[[#This Row],[2024]]="","",DONNÉES!L62)</f>
        <v/>
      </c>
      <c r="H8" s="128" t="str">
        <f>IF(TRDGLR5[[#This Row],[2024]]="","",DONNÉES!K142)</f>
        <v/>
      </c>
      <c r="I8" s="178" t="str">
        <f>IF(TRDGLR5[[#This Row],[2024]]="","",DONNÉES!L142)</f>
        <v/>
      </c>
      <c r="J8" s="128" t="str">
        <f>IF(TRDGLR5[[#This Row],[2024]]="","",DONNÉES!K78)</f>
        <v/>
      </c>
      <c r="K8" s="177" t="str">
        <f>IF(TRDGLR5[[#This Row],[2024]]="","",DONNÉES!L78)</f>
        <v/>
      </c>
      <c r="L8" s="128" t="str">
        <f>IF(TRDGLR5[[#This Row],[2024]]="","",DONNÉES!K158)</f>
        <v/>
      </c>
      <c r="M8" s="178" t="str">
        <f>IF(TRDGLR5[[#This Row],[2024]]="","",DONNÉES!L158)</f>
        <v/>
      </c>
      <c r="N8" s="128" t="str">
        <f>IF(TRDGLR5[[#This Row],[2024]]="","",DONNÉES!K94)</f>
        <v/>
      </c>
      <c r="O8" s="177" t="str">
        <f>IF(TRDGLR5[[#This Row],[2024]]="","",DONNÉES!L94)</f>
        <v/>
      </c>
      <c r="P8" s="128" t="str">
        <f>IF(TRDGLR5[[#This Row],[2024]]="","",DONNÉES!K174)</f>
        <v/>
      </c>
      <c r="Q8" s="179" t="str">
        <f>IF(TRDGLR5[[#This Row],[2024]]="","",DONNÉES!L174)</f>
        <v/>
      </c>
      <c r="R8" s="180"/>
      <c r="S8" s="128" t="str">
        <f>IF(TRDGLR5[[#This Row],[2024]]="","",DONNÉES!K110)</f>
        <v/>
      </c>
      <c r="T8" s="177" t="str">
        <f>IF(TRDGLR5[[#This Row],[2024]]="","",DONNÉES!L110)</f>
        <v/>
      </c>
      <c r="U8" s="128" t="str">
        <f>IF(TRDGLR5[[#This Row],[2024]]="","",DONNÉES!K190)</f>
        <v/>
      </c>
      <c r="V8" s="128" t="str">
        <f>IF(TRDGLR5[[#This Row],[2024]]="","",DONNÉES!L190)</f>
        <v/>
      </c>
    </row>
    <row r="9" spans="1:22" ht="11.65" customHeight="1" x14ac:dyDescent="0.2">
      <c r="A9" s="170" t="s">
        <v>76</v>
      </c>
      <c r="B9" s="128" t="str">
        <f>IF(DONNÉES!K47="","",DONNÉES!K47)</f>
        <v/>
      </c>
      <c r="C9" s="177" t="str">
        <f>IF(TRDGLR5[[#This Row],[2024]]="","",DONNÉES!L47)</f>
        <v/>
      </c>
      <c r="D9" s="128" t="str">
        <f>IF(TRDGLR5[[#This Row],[2024]]="","",DONNÉES!K127)</f>
        <v/>
      </c>
      <c r="E9" s="178" t="str">
        <f>IF(TRDGLR5[[#This Row],[2024]]="","",DONNÉES!L127)</f>
        <v/>
      </c>
      <c r="F9" s="128" t="str">
        <f>IF(TRDGLR5[[#This Row],[2024]]="","",DONNÉES!K63)</f>
        <v/>
      </c>
      <c r="G9" s="177" t="str">
        <f>IF(TRDGLR5[[#This Row],[2024]]="","",DONNÉES!L63)</f>
        <v/>
      </c>
      <c r="H9" s="128" t="str">
        <f>IF(TRDGLR5[[#This Row],[2024]]="","",DONNÉES!K143)</f>
        <v/>
      </c>
      <c r="I9" s="178" t="str">
        <f>IF(TRDGLR5[[#This Row],[2024]]="","",DONNÉES!L143)</f>
        <v/>
      </c>
      <c r="J9" s="128" t="str">
        <f>IF(TRDGLR5[[#This Row],[2024]]="","",DONNÉES!K79)</f>
        <v/>
      </c>
      <c r="K9" s="177" t="str">
        <f>IF(TRDGLR5[[#This Row],[2024]]="","",DONNÉES!L79)</f>
        <v/>
      </c>
      <c r="L9" s="128" t="str">
        <f>IF(TRDGLR5[[#This Row],[2024]]="","",DONNÉES!K159)</f>
        <v/>
      </c>
      <c r="M9" s="178" t="str">
        <f>IF(TRDGLR5[[#This Row],[2024]]="","",DONNÉES!L159)</f>
        <v/>
      </c>
      <c r="N9" s="128" t="str">
        <f>IF(TRDGLR5[[#This Row],[2024]]="","",DONNÉES!K95)</f>
        <v/>
      </c>
      <c r="O9" s="177" t="str">
        <f>IF(TRDGLR5[[#This Row],[2024]]="","",DONNÉES!L95)</f>
        <v/>
      </c>
      <c r="P9" s="128" t="str">
        <f>IF(TRDGLR5[[#This Row],[2024]]="","",DONNÉES!K175)</f>
        <v/>
      </c>
      <c r="Q9" s="179" t="str">
        <f>IF(TRDGLR5[[#This Row],[2024]]="","",DONNÉES!L175)</f>
        <v/>
      </c>
      <c r="R9" s="181"/>
      <c r="S9" s="128" t="str">
        <f>IF(TRDGLR5[[#This Row],[2024]]="","",DONNÉES!K111)</f>
        <v/>
      </c>
      <c r="T9" s="177" t="str">
        <f>IF(TRDGLR5[[#This Row],[2024]]="","",DONNÉES!L111)</f>
        <v/>
      </c>
      <c r="U9" s="128" t="str">
        <f>IF(TRDGLR5[[#This Row],[2024]]="","",DONNÉES!K191)</f>
        <v/>
      </c>
      <c r="V9" s="128" t="str">
        <f>IF(TRDGLR5[[#This Row],[2024]]="","",DONNÉES!L191)</f>
        <v/>
      </c>
    </row>
    <row r="10" spans="1:22" ht="11.65" customHeight="1" x14ac:dyDescent="0.2">
      <c r="A10" s="169" t="s">
        <v>77</v>
      </c>
      <c r="B10" s="128" t="str">
        <f>IF(DONNÉES!K48="","",DONNÉES!K48)</f>
        <v/>
      </c>
      <c r="C10" s="177" t="str">
        <f>IF(TRDGLR5[[#This Row],[2024]]="","",DONNÉES!L48)</f>
        <v/>
      </c>
      <c r="D10" s="128" t="str">
        <f>IF(TRDGLR5[[#This Row],[2024]]="","",DONNÉES!K128)</f>
        <v/>
      </c>
      <c r="E10" s="178" t="str">
        <f>IF(TRDGLR5[[#This Row],[2024]]="","",DONNÉES!L128)</f>
        <v/>
      </c>
      <c r="F10" s="128" t="str">
        <f>IF(TRDGLR5[[#This Row],[2024]]="","",DONNÉES!K64)</f>
        <v/>
      </c>
      <c r="G10" s="177" t="str">
        <f>IF(TRDGLR5[[#This Row],[2024]]="","",DONNÉES!L64)</f>
        <v/>
      </c>
      <c r="H10" s="128" t="str">
        <f>IF(TRDGLR5[[#This Row],[2024]]="","",DONNÉES!K144)</f>
        <v/>
      </c>
      <c r="I10" s="178" t="str">
        <f>IF(TRDGLR5[[#This Row],[2024]]="","",DONNÉES!L144)</f>
        <v/>
      </c>
      <c r="J10" s="128" t="str">
        <f>IF(TRDGLR5[[#This Row],[2024]]="","",DONNÉES!K80)</f>
        <v/>
      </c>
      <c r="K10" s="177" t="str">
        <f>IF(TRDGLR5[[#This Row],[2024]]="","",DONNÉES!L80)</f>
        <v/>
      </c>
      <c r="L10" s="128" t="str">
        <f>IF(TRDGLR5[[#This Row],[2024]]="","",DONNÉES!K160)</f>
        <v/>
      </c>
      <c r="M10" s="178" t="str">
        <f>IF(TRDGLR5[[#This Row],[2024]]="","",DONNÉES!L160)</f>
        <v/>
      </c>
      <c r="N10" s="128" t="str">
        <f>IF(TRDGLR5[[#This Row],[2024]]="","",DONNÉES!K96)</f>
        <v/>
      </c>
      <c r="O10" s="177" t="str">
        <f>IF(TRDGLR5[[#This Row],[2024]]="","",DONNÉES!L96)</f>
        <v/>
      </c>
      <c r="P10" s="128" t="str">
        <f>IF(TRDGLR5[[#This Row],[2024]]="","",DONNÉES!K176)</f>
        <v/>
      </c>
      <c r="Q10" s="179" t="str">
        <f>IF(TRDGLR5[[#This Row],[2024]]="","",DONNÉES!L176)</f>
        <v/>
      </c>
      <c r="R10" s="181"/>
      <c r="S10" s="128" t="str">
        <f>IF(TRDGLR5[[#This Row],[2024]]="","",DONNÉES!K112)</f>
        <v/>
      </c>
      <c r="T10" s="177" t="str">
        <f>IF(TRDGLR5[[#This Row],[2024]]="","",DONNÉES!L112)</f>
        <v/>
      </c>
      <c r="U10" s="128" t="str">
        <f>IF(TRDGLR5[[#This Row],[2024]]="","",DONNÉES!K192)</f>
        <v/>
      </c>
      <c r="V10" s="128" t="str">
        <f>IF(TRDGLR5[[#This Row],[2024]]="","",DONNÉES!L192)</f>
        <v/>
      </c>
    </row>
    <row r="11" spans="1:22" ht="11.65" customHeight="1" x14ac:dyDescent="0.2">
      <c r="A11" s="170" t="s">
        <v>78</v>
      </c>
      <c r="B11" s="128" t="str">
        <f>IF(DONNÉES!K49="","",DONNÉES!K49)</f>
        <v/>
      </c>
      <c r="C11" s="177" t="str">
        <f>IF(TRDGLR5[[#This Row],[2024]]="","",DONNÉES!L49)</f>
        <v/>
      </c>
      <c r="D11" s="128" t="str">
        <f>IF(TRDGLR5[[#This Row],[2024]]="","",DONNÉES!K129)</f>
        <v/>
      </c>
      <c r="E11" s="178" t="str">
        <f>IF(TRDGLR5[[#This Row],[2024]]="","",DONNÉES!L129)</f>
        <v/>
      </c>
      <c r="F11" s="128" t="str">
        <f>IF(TRDGLR5[[#This Row],[2024]]="","",DONNÉES!K65)</f>
        <v/>
      </c>
      <c r="G11" s="177" t="str">
        <f>IF(TRDGLR5[[#This Row],[2024]]="","",DONNÉES!L65)</f>
        <v/>
      </c>
      <c r="H11" s="128" t="str">
        <f>IF(TRDGLR5[[#This Row],[2024]]="","",DONNÉES!K145)</f>
        <v/>
      </c>
      <c r="I11" s="178" t="str">
        <f>IF(TRDGLR5[[#This Row],[2024]]="","",DONNÉES!L145)</f>
        <v/>
      </c>
      <c r="J11" s="128" t="str">
        <f>IF(TRDGLR5[[#This Row],[2024]]="","",DONNÉES!K81)</f>
        <v/>
      </c>
      <c r="K11" s="177" t="str">
        <f>IF(TRDGLR5[[#This Row],[2024]]="","",DONNÉES!L81)</f>
        <v/>
      </c>
      <c r="L11" s="128" t="str">
        <f>IF(TRDGLR5[[#This Row],[2024]]="","",DONNÉES!K161)</f>
        <v/>
      </c>
      <c r="M11" s="178" t="str">
        <f>IF(TRDGLR5[[#This Row],[2024]]="","",DONNÉES!L161)</f>
        <v/>
      </c>
      <c r="N11" s="128" t="str">
        <f>IF(TRDGLR5[[#This Row],[2024]]="","",DONNÉES!K97)</f>
        <v/>
      </c>
      <c r="O11" s="177" t="str">
        <f>IF(TRDGLR5[[#This Row],[2024]]="","",DONNÉES!L97)</f>
        <v/>
      </c>
      <c r="P11" s="128" t="str">
        <f>IF(TRDGLR5[[#This Row],[2024]]="","",DONNÉES!K177)</f>
        <v/>
      </c>
      <c r="Q11" s="179" t="str">
        <f>IF(TRDGLR5[[#This Row],[2024]]="","",DONNÉES!L177)</f>
        <v/>
      </c>
      <c r="R11" s="181"/>
      <c r="S11" s="128" t="str">
        <f>IF(TRDGLR5[[#This Row],[2024]]="","",DONNÉES!K113)</f>
        <v/>
      </c>
      <c r="T11" s="177" t="str">
        <f>IF(TRDGLR5[[#This Row],[2024]]="","",DONNÉES!L113)</f>
        <v/>
      </c>
      <c r="U11" s="128" t="str">
        <f>IF(TRDGLR5[[#This Row],[2024]]="","",DONNÉES!K193)</f>
        <v/>
      </c>
      <c r="V11" s="128" t="str">
        <f>IF(TRDGLR5[[#This Row],[2024]]="","",DONNÉES!L193)</f>
        <v/>
      </c>
    </row>
    <row r="12" spans="1:22" ht="11.65" customHeight="1" x14ac:dyDescent="0.2">
      <c r="A12" s="169" t="s">
        <v>79</v>
      </c>
      <c r="B12" s="128" t="str">
        <f>IF(DONNÉES!K50="","",DONNÉES!K50)</f>
        <v/>
      </c>
      <c r="C12" s="177" t="str">
        <f>IF(TRDGLR5[[#This Row],[2024]]="","",DONNÉES!L50)</f>
        <v/>
      </c>
      <c r="D12" s="128" t="str">
        <f>IF(TRDGLR5[[#This Row],[2024]]="","",DONNÉES!K130)</f>
        <v/>
      </c>
      <c r="E12" s="178" t="str">
        <f>IF(TRDGLR5[[#This Row],[2024]]="","",DONNÉES!L130)</f>
        <v/>
      </c>
      <c r="F12" s="128" t="str">
        <f>IF(TRDGLR5[[#This Row],[2024]]="","",DONNÉES!K66)</f>
        <v/>
      </c>
      <c r="G12" s="177" t="str">
        <f>IF(TRDGLR5[[#This Row],[2024]]="","",DONNÉES!L66)</f>
        <v/>
      </c>
      <c r="H12" s="128" t="str">
        <f>IF(TRDGLR5[[#This Row],[2024]]="","",DONNÉES!K146)</f>
        <v/>
      </c>
      <c r="I12" s="178" t="str">
        <f>IF(TRDGLR5[[#This Row],[2024]]="","",DONNÉES!L146)</f>
        <v/>
      </c>
      <c r="J12" s="128" t="str">
        <f>IF(TRDGLR5[[#This Row],[2024]]="","",DONNÉES!K82)</f>
        <v/>
      </c>
      <c r="K12" s="177" t="str">
        <f>IF(TRDGLR5[[#This Row],[2024]]="","",DONNÉES!L82)</f>
        <v/>
      </c>
      <c r="L12" s="128" t="str">
        <f>IF(TRDGLR5[[#This Row],[2024]]="","",DONNÉES!K162)</f>
        <v/>
      </c>
      <c r="M12" s="178" t="str">
        <f>IF(TRDGLR5[[#This Row],[2024]]="","",DONNÉES!L162)</f>
        <v/>
      </c>
      <c r="N12" s="128" t="str">
        <f>IF(TRDGLR5[[#This Row],[2024]]="","",DONNÉES!K98)</f>
        <v/>
      </c>
      <c r="O12" s="177" t="str">
        <f>IF(TRDGLR5[[#This Row],[2024]]="","",DONNÉES!L98)</f>
        <v/>
      </c>
      <c r="P12" s="128" t="str">
        <f>IF(TRDGLR5[[#This Row],[2024]]="","",DONNÉES!K178)</f>
        <v/>
      </c>
      <c r="Q12" s="179" t="str">
        <f>IF(TRDGLR5[[#This Row],[2024]]="","",DONNÉES!L178)</f>
        <v/>
      </c>
      <c r="R12" s="181"/>
      <c r="S12" s="128" t="str">
        <f>IF(TRDGLR5[[#This Row],[2024]]="","",DONNÉES!K114)</f>
        <v/>
      </c>
      <c r="T12" s="177" t="str">
        <f>IF(TRDGLR5[[#This Row],[2024]]="","",DONNÉES!L114)</f>
        <v/>
      </c>
      <c r="U12" s="128" t="str">
        <f>IF(TRDGLR5[[#This Row],[2024]]="","",DONNÉES!K194)</f>
        <v/>
      </c>
      <c r="V12" s="128" t="str">
        <f>IF(TRDGLR5[[#This Row],[2024]]="","",DONNÉES!L194)</f>
        <v/>
      </c>
    </row>
    <row r="13" spans="1:22" ht="11.65" customHeight="1" x14ac:dyDescent="0.2">
      <c r="A13" s="170" t="s">
        <v>80</v>
      </c>
      <c r="B13" s="128" t="str">
        <f>IF(DONNÉES!K51="","",DONNÉES!K51)</f>
        <v/>
      </c>
      <c r="C13" s="177" t="str">
        <f>IF(TRDGLR5[[#This Row],[2024]]="","",DONNÉES!L51)</f>
        <v/>
      </c>
      <c r="D13" s="128" t="str">
        <f>IF(TRDGLR5[[#This Row],[2024]]="","",DONNÉES!K131)</f>
        <v/>
      </c>
      <c r="E13" s="178" t="str">
        <f>IF(TRDGLR5[[#This Row],[2024]]="","",DONNÉES!L131)</f>
        <v/>
      </c>
      <c r="F13" s="128" t="str">
        <f>IF(TRDGLR5[[#This Row],[2024]]="","",DONNÉES!K67)</f>
        <v/>
      </c>
      <c r="G13" s="177" t="str">
        <f>IF(TRDGLR5[[#This Row],[2024]]="","",DONNÉES!L67)</f>
        <v/>
      </c>
      <c r="H13" s="128" t="str">
        <f>IF(TRDGLR5[[#This Row],[2024]]="","",DONNÉES!K147)</f>
        <v/>
      </c>
      <c r="I13" s="178" t="str">
        <f>IF(TRDGLR5[[#This Row],[2024]]="","",DONNÉES!L147)</f>
        <v/>
      </c>
      <c r="J13" s="128" t="str">
        <f>IF(TRDGLR5[[#This Row],[2024]]="","",DONNÉES!K83)</f>
        <v/>
      </c>
      <c r="K13" s="177" t="str">
        <f>IF(TRDGLR5[[#This Row],[2024]]="","",DONNÉES!L83)</f>
        <v/>
      </c>
      <c r="L13" s="128" t="str">
        <f>IF(TRDGLR5[[#This Row],[2024]]="","",DONNÉES!K163)</f>
        <v/>
      </c>
      <c r="M13" s="178" t="str">
        <f>IF(TRDGLR5[[#This Row],[2024]]="","",DONNÉES!L163)</f>
        <v/>
      </c>
      <c r="N13" s="128" t="str">
        <f>IF(TRDGLR5[[#This Row],[2024]]="","",DONNÉES!K99)</f>
        <v/>
      </c>
      <c r="O13" s="177" t="str">
        <f>IF(TRDGLR5[[#This Row],[2024]]="","",DONNÉES!L99)</f>
        <v/>
      </c>
      <c r="P13" s="128" t="str">
        <f>IF(TRDGLR5[[#This Row],[2024]]="","",DONNÉES!K179)</f>
        <v/>
      </c>
      <c r="Q13" s="179" t="str">
        <f>IF(TRDGLR5[[#This Row],[2024]]="","",DONNÉES!L179)</f>
        <v/>
      </c>
      <c r="R13" s="181"/>
      <c r="S13" s="128" t="str">
        <f>IF(TRDGLR5[[#This Row],[2024]]="","",DONNÉES!K115)</f>
        <v/>
      </c>
      <c r="T13" s="177" t="str">
        <f>IF(TRDGLR5[[#This Row],[2024]]="","",DONNÉES!L115)</f>
        <v/>
      </c>
      <c r="U13" s="128" t="str">
        <f>IF(TRDGLR5[[#This Row],[2024]]="","",DONNÉES!K195)</f>
        <v/>
      </c>
      <c r="V13" s="128" t="str">
        <f>IF(TRDGLR5[[#This Row],[2024]]="","",DONNÉES!L195)</f>
        <v/>
      </c>
    </row>
    <row r="14" spans="1:22" ht="11.65" customHeight="1" x14ac:dyDescent="0.2">
      <c r="A14" s="169" t="s">
        <v>81</v>
      </c>
      <c r="B14" s="128" t="str">
        <f>IF(DONNÉES!K52="","",DONNÉES!K52)</f>
        <v/>
      </c>
      <c r="C14" s="177" t="str">
        <f>IF(TRDGLR5[[#This Row],[2024]]="","",DONNÉES!L52)</f>
        <v/>
      </c>
      <c r="D14" s="128" t="str">
        <f>IF(TRDGLR5[[#This Row],[2024]]="","",DONNÉES!K132)</f>
        <v/>
      </c>
      <c r="E14" s="183" t="str">
        <f>IF(TRDGLR5[[#This Row],[2024]]="","",DONNÉES!L132)</f>
        <v/>
      </c>
      <c r="F14" s="128" t="str">
        <f>IF(TRDGLR5[[#This Row],[2024]]="","",DONNÉES!K68)</f>
        <v/>
      </c>
      <c r="G14" s="177" t="str">
        <f>IF(TRDGLR5[[#This Row],[2024]]="","",DONNÉES!L68)</f>
        <v/>
      </c>
      <c r="H14" s="130" t="str">
        <f>IF(TRDGLR5[[#This Row],[2024]]="","",DONNÉES!K148)</f>
        <v/>
      </c>
      <c r="I14" s="183" t="str">
        <f>IF(TRDGLR5[[#This Row],[2024]]="","",DONNÉES!L148)</f>
        <v/>
      </c>
      <c r="J14" s="130" t="str">
        <f>IF(TRDGLR5[[#This Row],[2024]]="","",DONNÉES!K84)</f>
        <v/>
      </c>
      <c r="K14" s="182" t="str">
        <f>IF(TRDGLR5[[#This Row],[2024]]="","",DONNÉES!L84)</f>
        <v/>
      </c>
      <c r="L14" s="130" t="str">
        <f>IF(TRDGLR5[[#This Row],[2024]]="","",DONNÉES!K164)</f>
        <v/>
      </c>
      <c r="M14" s="183" t="str">
        <f>IF(TRDGLR5[[#This Row],[2024]]="","",DONNÉES!L164)</f>
        <v/>
      </c>
      <c r="N14" s="130" t="str">
        <f>IF(TRDGLR5[[#This Row],[2024]]="","",DONNÉES!K100)</f>
        <v/>
      </c>
      <c r="O14" s="182" t="str">
        <f>IF(TRDGLR5[[#This Row],[2024]]="","",DONNÉES!L100)</f>
        <v/>
      </c>
      <c r="P14" s="130" t="str">
        <f>IF(TRDGLR5[[#This Row],[2024]]="","",DONNÉES!K180)</f>
        <v/>
      </c>
      <c r="Q14" s="184" t="str">
        <f>IF(TRDGLR5[[#This Row],[2024]]="","",DONNÉES!L180)</f>
        <v/>
      </c>
      <c r="R14" s="185"/>
      <c r="S14" s="130" t="str">
        <f>IF(TRDGLR5[[#This Row],[2024]]="","",DONNÉES!K116)</f>
        <v/>
      </c>
      <c r="T14" s="182" t="str">
        <f>IF(TRDGLR5[[#This Row],[2024]]="","",DONNÉES!L116)</f>
        <v/>
      </c>
      <c r="U14" s="130" t="str">
        <f>IF(TRDGLR5[[#This Row],[2024]]="","",DONNÉES!K196)</f>
        <v/>
      </c>
      <c r="V14" s="130" t="str">
        <f>IF(TRDGLR5[[#This Row],[2024]]="","",DONNÉES!L196)</f>
        <v/>
      </c>
    </row>
    <row r="15" spans="1:22" ht="11.65" customHeight="1" x14ac:dyDescent="0.2">
      <c r="A15" s="170" t="s">
        <v>82</v>
      </c>
      <c r="B15" s="128" t="str">
        <f>IF(DONNÉES!K53="","",DONNÉES!K53)</f>
        <v/>
      </c>
      <c r="C15" s="177" t="str">
        <f>IF(TRDGLR5[[#This Row],[2024]]="","",DONNÉES!L53)</f>
        <v/>
      </c>
      <c r="D15" s="128" t="str">
        <f>IF(TRDGLR5[[#This Row],[2024]]="","",DONNÉES!K133)</f>
        <v/>
      </c>
      <c r="E15" s="183" t="str">
        <f>IF(TRDGLR5[[#This Row],[2024]]="","",DONNÉES!L133)</f>
        <v/>
      </c>
      <c r="F15" s="128" t="str">
        <f>IF(TRDGLR5[[#This Row],[2024]]="","",DONNÉES!K69)</f>
        <v/>
      </c>
      <c r="G15" s="177" t="str">
        <f>IF(TRDGLR5[[#This Row],[2024]]="","",DONNÉES!L69)</f>
        <v/>
      </c>
      <c r="H15" s="130" t="str">
        <f>IF(TRDGLR5[[#This Row],[2024]]="","",DONNÉES!K149)</f>
        <v/>
      </c>
      <c r="I15" s="183" t="str">
        <f>IF(TRDGLR5[[#This Row],[2024]]="","",DONNÉES!L149)</f>
        <v/>
      </c>
      <c r="J15" s="130" t="str">
        <f>IF(TRDGLR5[[#This Row],[2024]]="","",DONNÉES!K85)</f>
        <v/>
      </c>
      <c r="K15" s="182" t="str">
        <f>IF(TRDGLR5[[#This Row],[2024]]="","",DONNÉES!L85)</f>
        <v/>
      </c>
      <c r="L15" s="130" t="str">
        <f>IF(TRDGLR5[[#This Row],[2024]]="","",DONNÉES!K165)</f>
        <v/>
      </c>
      <c r="M15" s="183" t="str">
        <f>IF(TRDGLR5[[#This Row],[2024]]="","",DONNÉES!L165)</f>
        <v/>
      </c>
      <c r="N15" s="130" t="str">
        <f>IF(TRDGLR5[[#This Row],[2024]]="","",DONNÉES!K101)</f>
        <v/>
      </c>
      <c r="O15" s="182" t="str">
        <f>IF(TRDGLR5[[#This Row],[2024]]="","",DONNÉES!L101)</f>
        <v/>
      </c>
      <c r="P15" s="130" t="str">
        <f>IF(TRDGLR5[[#This Row],[2024]]="","",DONNÉES!K181)</f>
        <v/>
      </c>
      <c r="Q15" s="184" t="str">
        <f>IF(TRDGLR5[[#This Row],[2024]]="","",DONNÉES!L181)</f>
        <v/>
      </c>
      <c r="R15" s="181"/>
      <c r="S15" s="130" t="str">
        <f>IF(TRDGLR5[[#This Row],[2024]]="","",DONNÉES!K117)</f>
        <v/>
      </c>
      <c r="T15" s="182" t="str">
        <f>IF(TRDGLR5[[#This Row],[2024]]="","",DONNÉES!L117)</f>
        <v/>
      </c>
      <c r="U15" s="130" t="str">
        <f>IF(TRDGLR5[[#This Row],[2024]]="","",DONNÉES!K197)</f>
        <v/>
      </c>
      <c r="V15" s="130" t="str">
        <f>IF(TRDGLR5[[#This Row],[2024]]="","",DONNÉES!L197)</f>
        <v/>
      </c>
    </row>
    <row r="16" spans="1:22" s="81" customFormat="1" ht="11.65" customHeight="1" x14ac:dyDescent="0.2">
      <c r="A16" s="169" t="s">
        <v>83</v>
      </c>
      <c r="B16" s="128" t="str">
        <f>IF(DONNÉES!K54="","",DONNÉES!K54)</f>
        <v/>
      </c>
      <c r="C16" s="177" t="str">
        <f>IF(TRDGLR5[[#This Row],[2024]]="","",DONNÉES!L54)</f>
        <v/>
      </c>
      <c r="D16" s="128" t="str">
        <f>IF(TRDGLR5[[#This Row],[2024]]="","",DONNÉES!K134)</f>
        <v/>
      </c>
      <c r="E16" s="183" t="str">
        <f>IF(TRDGLR5[[#This Row],[2024]]="","",DONNÉES!L134)</f>
        <v/>
      </c>
      <c r="F16" s="128" t="str">
        <f>IF(TRDGLR5[[#This Row],[2024]]="","",DONNÉES!K70)</f>
        <v/>
      </c>
      <c r="G16" s="177" t="str">
        <f>IF(TRDGLR5[[#This Row],[2024]]="","",DONNÉES!L70)</f>
        <v/>
      </c>
      <c r="H16" s="130" t="str">
        <f>IF(TRDGLR5[[#This Row],[2024]]="","",DONNÉES!K150)</f>
        <v/>
      </c>
      <c r="I16" s="183" t="str">
        <f>IF(TRDGLR5[[#This Row],[2024]]="","",DONNÉES!L150)</f>
        <v/>
      </c>
      <c r="J16" s="130" t="str">
        <f>IF(TRDGLR5[[#This Row],[2024]]="","",DONNÉES!K86)</f>
        <v/>
      </c>
      <c r="K16" s="182" t="str">
        <f>IF(TRDGLR5[[#This Row],[2024]]="","",DONNÉES!L86)</f>
        <v/>
      </c>
      <c r="L16" s="130" t="str">
        <f>IF(TRDGLR5[[#This Row],[2024]]="","",DONNÉES!K166)</f>
        <v/>
      </c>
      <c r="M16" s="183" t="str">
        <f>IF(TRDGLR5[[#This Row],[2024]]="","",DONNÉES!L166)</f>
        <v/>
      </c>
      <c r="N16" s="130" t="str">
        <f>IF(TRDGLR5[[#This Row],[2024]]="","",DONNÉES!K102)</f>
        <v/>
      </c>
      <c r="O16" s="182" t="str">
        <f>IF(TRDGLR5[[#This Row],[2024]]="","",DONNÉES!L102)</f>
        <v/>
      </c>
      <c r="P16" s="130" t="str">
        <f>IF(TRDGLR5[[#This Row],[2024]]="","",DONNÉES!K182)</f>
        <v/>
      </c>
      <c r="Q16" s="184" t="str">
        <f>IF(TRDGLR5[[#This Row],[2024]]="","",DONNÉES!L182)</f>
        <v/>
      </c>
      <c r="R16" s="180"/>
      <c r="S16" s="130" t="str">
        <f>IF(TRDGLR5[[#This Row],[2024]]="","",DONNÉES!K118)</f>
        <v/>
      </c>
      <c r="T16" s="182" t="str">
        <f>IF(TRDGLR5[[#This Row],[2024]]="","",DONNÉES!L118)</f>
        <v/>
      </c>
      <c r="U16" s="130" t="str">
        <f>IF(TRDGLR5[[#This Row],[2024]]="","",DONNÉES!K198)</f>
        <v/>
      </c>
      <c r="V16" s="130" t="str">
        <f>IF(TRDGLR5[[#This Row],[2024]]="","",DONNÉES!L198)</f>
        <v/>
      </c>
    </row>
    <row r="17" spans="1:22" s="81" customFormat="1" ht="11.65" customHeight="1" x14ac:dyDescent="0.2">
      <c r="A17" s="169" t="s">
        <v>84</v>
      </c>
      <c r="B17" s="128" t="str">
        <f>IF(DONNÉES!K55="","",DONNÉES!K55)</f>
        <v/>
      </c>
      <c r="C17" s="177" t="str">
        <f>IF(TRDGLR5[[#This Row],[2024]]="","",DONNÉES!L55)</f>
        <v/>
      </c>
      <c r="D17" s="128" t="str">
        <f>IF(TRDGLR5[[#This Row],[2024]]="","",DONNÉES!K135)</f>
        <v/>
      </c>
      <c r="E17" s="183" t="str">
        <f>IF(TRDGLR5[[#This Row],[2024]]="","",DONNÉES!L135)</f>
        <v/>
      </c>
      <c r="F17" s="128" t="str">
        <f>IF(TRDGLR5[[#This Row],[2024]]="","",DONNÉES!K71)</f>
        <v/>
      </c>
      <c r="G17" s="177" t="str">
        <f>IF(TRDGLR5[[#This Row],[2024]]="","",DONNÉES!L71)</f>
        <v/>
      </c>
      <c r="H17" s="130" t="str">
        <f>IF(TRDGLR5[[#This Row],[2024]]="","",DONNÉES!K151)</f>
        <v/>
      </c>
      <c r="I17" s="183" t="str">
        <f>IF(TRDGLR5[[#This Row],[2024]]="","",DONNÉES!L151)</f>
        <v/>
      </c>
      <c r="J17" s="130" t="str">
        <f>IF(TRDGLR5[[#This Row],[2024]]="","",DONNÉES!K87)</f>
        <v/>
      </c>
      <c r="K17" s="182" t="str">
        <f>IF(TRDGLR5[[#This Row],[2024]]="","",DONNÉES!L87)</f>
        <v/>
      </c>
      <c r="L17" s="130" t="str">
        <f>IF(TRDGLR5[[#This Row],[2024]]="","",DONNÉES!K167)</f>
        <v/>
      </c>
      <c r="M17" s="183" t="str">
        <f>IF(TRDGLR5[[#This Row],[2024]]="","",DONNÉES!L167)</f>
        <v/>
      </c>
      <c r="N17" s="130" t="str">
        <f>IF(TRDGLR5[[#This Row],[2024]]="","",DONNÉES!K103)</f>
        <v/>
      </c>
      <c r="O17" s="182" t="str">
        <f>IF(TRDGLR5[[#This Row],[2024]]="","",DONNÉES!L103)</f>
        <v/>
      </c>
      <c r="P17" s="130" t="str">
        <f>IF(TRDGLR5[[#This Row],[2024]]="","",DONNÉES!K183)</f>
        <v/>
      </c>
      <c r="Q17" s="184" t="str">
        <f>IF(TRDGLR5[[#This Row],[2024]]="","",DONNÉES!L183)</f>
        <v/>
      </c>
      <c r="R17" s="180"/>
      <c r="S17" s="130" t="str">
        <f>IF(TRDGLR5[[#This Row],[2024]]="","",DONNÉES!K119)</f>
        <v/>
      </c>
      <c r="T17" s="182" t="str">
        <f>IF(TRDGLR5[[#This Row],[2024]]="","",DONNÉES!L119)</f>
        <v/>
      </c>
      <c r="U17" s="130" t="str">
        <f>IF(TRDGLR5[[#This Row],[2024]]="","",DONNÉES!K199)</f>
        <v/>
      </c>
      <c r="V17" s="130" t="str">
        <f>IF(TRDGLR5[[#This Row],[2024]]="","",DONNÉES!L199)</f>
        <v/>
      </c>
    </row>
    <row r="18" spans="1:22" s="81" customFormat="1" ht="11.65" customHeight="1" x14ac:dyDescent="0.2">
      <c r="A18" s="79"/>
      <c r="B18" s="112"/>
      <c r="C18" s="112"/>
      <c r="D18" s="101"/>
      <c r="E18" s="112"/>
      <c r="F18" s="112"/>
      <c r="G18" s="118"/>
      <c r="H18" s="79"/>
      <c r="I18" s="82"/>
      <c r="J18" s="112"/>
      <c r="K18" s="112"/>
      <c r="L18" s="101"/>
      <c r="M18" s="118"/>
      <c r="N18" s="79"/>
      <c r="O18" s="79"/>
      <c r="P18" s="79"/>
      <c r="Q18" s="79"/>
      <c r="R18" s="180"/>
      <c r="S18" s="79"/>
      <c r="T18" s="79"/>
      <c r="U18" s="79"/>
      <c r="V18" s="79"/>
    </row>
    <row r="19" spans="1:22" ht="14.65" customHeight="1" x14ac:dyDescent="0.2">
      <c r="A19" s="253"/>
      <c r="B19" s="340" t="s">
        <v>195</v>
      </c>
      <c r="C19" s="340"/>
      <c r="D19" s="340"/>
      <c r="E19" s="341"/>
      <c r="F19" s="340" t="s">
        <v>196</v>
      </c>
      <c r="G19" s="340"/>
      <c r="H19" s="340"/>
      <c r="I19" s="341"/>
      <c r="J19" s="340" t="s">
        <v>198</v>
      </c>
      <c r="K19" s="340"/>
      <c r="L19" s="340"/>
      <c r="M19" s="341"/>
      <c r="N19" s="340" t="s">
        <v>199</v>
      </c>
      <c r="O19" s="340"/>
      <c r="P19" s="340"/>
      <c r="Q19" s="340"/>
      <c r="S19" s="342" t="s">
        <v>197</v>
      </c>
      <c r="T19" s="342"/>
      <c r="U19" s="342"/>
      <c r="V19" s="342"/>
    </row>
    <row r="20" spans="1:22" ht="28.9" customHeight="1" x14ac:dyDescent="0.2">
      <c r="A20" s="169" t="s">
        <v>3001</v>
      </c>
      <c r="B20" s="108" t="s">
        <v>6962</v>
      </c>
      <c r="C20" s="166" t="s">
        <v>2169</v>
      </c>
      <c r="D20" s="108" t="s">
        <v>6986</v>
      </c>
      <c r="E20" s="172" t="s">
        <v>6944</v>
      </c>
      <c r="F20" s="211" t="s">
        <v>6987</v>
      </c>
      <c r="G20" s="166" t="s">
        <v>6945</v>
      </c>
      <c r="H20" s="108" t="s">
        <v>6988</v>
      </c>
      <c r="I20" s="172" t="s">
        <v>6946</v>
      </c>
      <c r="J20" s="108" t="s">
        <v>6989</v>
      </c>
      <c r="K20" s="166" t="s">
        <v>6947</v>
      </c>
      <c r="L20" s="108" t="s">
        <v>6990</v>
      </c>
      <c r="M20" s="172" t="s">
        <v>6948</v>
      </c>
      <c r="N20" s="108" t="s">
        <v>6991</v>
      </c>
      <c r="O20" s="166" t="s">
        <v>6949</v>
      </c>
      <c r="P20" s="108" t="s">
        <v>6992</v>
      </c>
      <c r="Q20" s="94" t="s">
        <v>6950</v>
      </c>
      <c r="S20" s="108" t="s">
        <v>6962</v>
      </c>
      <c r="T20" s="166" t="s">
        <v>2169</v>
      </c>
      <c r="U20" s="108" t="s">
        <v>6986</v>
      </c>
      <c r="V20" s="172" t="s">
        <v>6944</v>
      </c>
    </row>
    <row r="21" spans="1:22" ht="11.65" customHeight="1" x14ac:dyDescent="0.2">
      <c r="A21" s="170" t="s">
        <v>73</v>
      </c>
      <c r="B21" s="128">
        <f>IF(DONNÉES!S44="","",DONNÉES!S44)</f>
        <v>999</v>
      </c>
      <c r="C21" s="177">
        <f>IF(TRDHTR8[[#This Row],[2024]]="","",DONNÉES!T44)</f>
        <v>1028</v>
      </c>
      <c r="D21" s="128">
        <f>IF(TRDHTR8[[#This Row],[2024]]="","",DONNÉES!S124)</f>
        <v>999</v>
      </c>
      <c r="E21" s="178">
        <f>IF(TRDHTR8[[#This Row],[2024]]="","",DONNÉES!T124)</f>
        <v>1028</v>
      </c>
      <c r="F21" s="128">
        <f>IF(TRDHTR8[[#This Row],[2024]]="","",DONNÉES!S60)</f>
        <v>2001</v>
      </c>
      <c r="G21" s="177">
        <f>IF(TRDHTR8[[#This Row],[2024]]="","",DONNÉES!T60)</f>
        <v>1388</v>
      </c>
      <c r="H21" s="128">
        <f>IF(TRDHTR8[[#This Row],[2024]]="","",DONNÉES!S140)</f>
        <v>2001</v>
      </c>
      <c r="I21" s="178">
        <f>IF(TRDHTR8[[#This Row],[2024]]="","",DONNÉES!T140)</f>
        <v>1388</v>
      </c>
      <c r="J21" s="128">
        <f>IF(TRDHTR8[[#This Row],[2024]]="","",DONNÉES!S76)</f>
        <v>4471</v>
      </c>
      <c r="K21" s="177">
        <f>IF(TRDHTR8[[#This Row],[2024]]="","",DONNÉES!T76)</f>
        <v>4668</v>
      </c>
      <c r="L21" s="128">
        <f>IF(TRDHTR8[[#This Row],[2024]]="","",DONNÉES!S156)</f>
        <v>4471</v>
      </c>
      <c r="M21" s="178">
        <f>IF(TRDHTR8[[#This Row],[2024]]="","",DONNÉES!T156)</f>
        <v>4668</v>
      </c>
      <c r="N21" s="128">
        <f>IF(TRDHTR8[[#This Row],[2024]]="","",DONNÉES!S92)</f>
        <v>5239</v>
      </c>
      <c r="O21" s="177">
        <f>IF(TRDHTR8[[#This Row],[2024]]="","",DONNÉES!T92)</f>
        <v>4875</v>
      </c>
      <c r="P21" s="128">
        <f>IF(TRDHTR8[[#This Row],[2024]]="","",DONNÉES!S172)</f>
        <v>5239</v>
      </c>
      <c r="Q21" s="179">
        <f>IF(TRDHTR8[[#This Row],[2024]]="","",DONNÉES!T172)</f>
        <v>4875</v>
      </c>
      <c r="R21" s="180"/>
      <c r="S21" s="128">
        <f>IF(TRDHTR8[[#This Row],[2024]]="","",DONNÉES!S108)</f>
        <v>12710</v>
      </c>
      <c r="T21" s="177">
        <f>IF(TRDHTR8[[#This Row],[2024]]="","",DONNÉES!T108)</f>
        <v>11959</v>
      </c>
      <c r="U21" s="128">
        <f>IF(TRDHTR8[[#This Row],[2024]]="","",DONNÉES!S188)</f>
        <v>12710</v>
      </c>
      <c r="V21" s="128">
        <f>IF(TRDHTR8[[#This Row],[2024]]="","",DONNÉES!T188)</f>
        <v>11959</v>
      </c>
    </row>
    <row r="22" spans="1:22" s="81" customFormat="1" ht="11.65" customHeight="1" x14ac:dyDescent="0.2">
      <c r="A22" s="170" t="s">
        <v>74</v>
      </c>
      <c r="B22" s="128" t="str">
        <f>IF(DONNÉES!S45="","",DONNÉES!S45)</f>
        <v/>
      </c>
      <c r="C22" s="177" t="str">
        <f>IF(TRDHTR8[[#This Row],[2024]]="","",DONNÉES!T45)</f>
        <v/>
      </c>
      <c r="D22" s="128" t="str">
        <f>IF(TRDHTR8[[#This Row],[2024]]="","",DONNÉES!S125)</f>
        <v/>
      </c>
      <c r="E22" s="178" t="str">
        <f>IF(TRDHTR8[[#This Row],[2024]]="","",DONNÉES!T125)</f>
        <v/>
      </c>
      <c r="F22" s="128" t="str">
        <f>IF(TRDHTR8[[#This Row],[2024]]="","",DONNÉES!S61)</f>
        <v/>
      </c>
      <c r="G22" s="177" t="str">
        <f>IF(TRDHTR8[[#This Row],[2024]]="","",DONNÉES!T61)</f>
        <v/>
      </c>
      <c r="H22" s="128" t="str">
        <f>IF(TRDHTR8[[#This Row],[2024]]="","",DONNÉES!S141)</f>
        <v/>
      </c>
      <c r="I22" s="178" t="str">
        <f>IF(TRDHTR8[[#This Row],[2024]]="","",DONNÉES!T141)</f>
        <v/>
      </c>
      <c r="J22" s="128" t="str">
        <f>IF(TRDHTR8[[#This Row],[2024]]="","",DONNÉES!S77)</f>
        <v/>
      </c>
      <c r="K22" s="177" t="str">
        <f>IF(TRDHTR8[[#This Row],[2024]]="","",DONNÉES!T77)</f>
        <v/>
      </c>
      <c r="L22" s="128" t="str">
        <f>IF(TRDHTR8[[#This Row],[2024]]="","",DONNÉES!S157)</f>
        <v/>
      </c>
      <c r="M22" s="178" t="str">
        <f>IF(TRDHTR8[[#This Row],[2024]]="","",DONNÉES!T157)</f>
        <v/>
      </c>
      <c r="N22" s="128" t="str">
        <f>IF(TRDHTR8[[#This Row],[2024]]="","",DONNÉES!S93)</f>
        <v/>
      </c>
      <c r="O22" s="177" t="str">
        <f>IF(TRDHTR8[[#This Row],[2024]]="","",DONNÉES!T93)</f>
        <v/>
      </c>
      <c r="P22" s="128" t="str">
        <f>IF(TRDHTR8[[#This Row],[2024]]="","",DONNÉES!S173)</f>
        <v/>
      </c>
      <c r="Q22" s="179" t="str">
        <f>IF(TRDHTR8[[#This Row],[2024]]="","",DONNÉES!T173)</f>
        <v/>
      </c>
      <c r="R22" s="180"/>
      <c r="S22" s="128" t="str">
        <f>IF(TRDHTR8[[#This Row],[2024]]="","",DONNÉES!S109)</f>
        <v/>
      </c>
      <c r="T22" s="177" t="str">
        <f>IF(TRDHTR8[[#This Row],[2024]]="","",DONNÉES!T109)</f>
        <v/>
      </c>
      <c r="U22" s="128" t="str">
        <f>IF(TRDHTR8[[#This Row],[2024]]="","",DONNÉES!S189)</f>
        <v/>
      </c>
      <c r="V22" s="128" t="str">
        <f>IF(TRDHTR8[[#This Row],[2024]]="","",DONNÉES!T189)</f>
        <v/>
      </c>
    </row>
    <row r="23" spans="1:22" s="81" customFormat="1" ht="11.65" customHeight="1" x14ac:dyDescent="0.2">
      <c r="A23" s="169" t="s">
        <v>75</v>
      </c>
      <c r="B23" s="128" t="str">
        <f>IF(DONNÉES!S46="","",DONNÉES!S46)</f>
        <v/>
      </c>
      <c r="C23" s="177" t="str">
        <f>IF(TRDHTR8[[#This Row],[2024]]="","",DONNÉES!T46)</f>
        <v/>
      </c>
      <c r="D23" s="128" t="str">
        <f>IF(TRDHTR8[[#This Row],[2024]]="","",DONNÉES!S126)</f>
        <v/>
      </c>
      <c r="E23" s="178" t="str">
        <f>IF(TRDHTR8[[#This Row],[2024]]="","",DONNÉES!T126)</f>
        <v/>
      </c>
      <c r="F23" s="128" t="str">
        <f>IF(TRDHTR8[[#This Row],[2024]]="","",DONNÉES!S62)</f>
        <v/>
      </c>
      <c r="G23" s="177" t="str">
        <f>IF(TRDHTR8[[#This Row],[2024]]="","",DONNÉES!T62)</f>
        <v/>
      </c>
      <c r="H23" s="128" t="str">
        <f>IF(TRDHTR8[[#This Row],[2024]]="","",DONNÉES!S142)</f>
        <v/>
      </c>
      <c r="I23" s="178" t="str">
        <f>IF(TRDHTR8[[#This Row],[2024]]="","",DONNÉES!T142)</f>
        <v/>
      </c>
      <c r="J23" s="128" t="str">
        <f>IF(TRDHTR8[[#This Row],[2024]]="","",DONNÉES!S78)</f>
        <v/>
      </c>
      <c r="K23" s="177" t="str">
        <f>IF(TRDHTR8[[#This Row],[2024]]="","",DONNÉES!T78)</f>
        <v/>
      </c>
      <c r="L23" s="128" t="str">
        <f>IF(TRDHTR8[[#This Row],[2024]]="","",DONNÉES!S158)</f>
        <v/>
      </c>
      <c r="M23" s="178" t="str">
        <f>IF(TRDHTR8[[#This Row],[2024]]="","",DONNÉES!T158)</f>
        <v/>
      </c>
      <c r="N23" s="128" t="str">
        <f>IF(TRDHTR8[[#This Row],[2024]]="","",DONNÉES!S94)</f>
        <v/>
      </c>
      <c r="O23" s="177" t="str">
        <f>IF(TRDHTR8[[#This Row],[2024]]="","",DONNÉES!T94)</f>
        <v/>
      </c>
      <c r="P23" s="128" t="str">
        <f>IF(TRDHTR8[[#This Row],[2024]]="","",DONNÉES!S174)</f>
        <v/>
      </c>
      <c r="Q23" s="179" t="str">
        <f>IF(TRDHTR8[[#This Row],[2024]]="","",DONNÉES!T174)</f>
        <v/>
      </c>
      <c r="R23" s="180"/>
      <c r="S23" s="128" t="str">
        <f>IF(TRDHTR8[[#This Row],[2024]]="","",DONNÉES!S110)</f>
        <v/>
      </c>
      <c r="T23" s="177" t="str">
        <f>IF(TRDHTR8[[#This Row],[2024]]="","",DONNÉES!T110)</f>
        <v/>
      </c>
      <c r="U23" s="128" t="str">
        <f>IF(TRDHTR8[[#This Row],[2024]]="","",DONNÉES!S190)</f>
        <v/>
      </c>
      <c r="V23" s="128" t="str">
        <f>IF(TRDHTR8[[#This Row],[2024]]="","",DONNÉES!T190)</f>
        <v/>
      </c>
    </row>
    <row r="24" spans="1:22" s="81" customFormat="1" ht="11.65" customHeight="1" x14ac:dyDescent="0.2">
      <c r="A24" s="170" t="s">
        <v>76</v>
      </c>
      <c r="B24" s="128" t="str">
        <f>IF(DONNÉES!S47="","",DONNÉES!S47)</f>
        <v/>
      </c>
      <c r="C24" s="177" t="str">
        <f>IF(TRDHTR8[[#This Row],[2024]]="","",DONNÉES!T47)</f>
        <v/>
      </c>
      <c r="D24" s="128" t="str">
        <f>IF(TRDHTR8[[#This Row],[2024]]="","",DONNÉES!S127)</f>
        <v/>
      </c>
      <c r="E24" s="178" t="str">
        <f>IF(TRDHTR8[[#This Row],[2024]]="","",DONNÉES!T127)</f>
        <v/>
      </c>
      <c r="F24" s="128" t="str">
        <f>IF(TRDHTR8[[#This Row],[2024]]="","",DONNÉES!S63)</f>
        <v/>
      </c>
      <c r="G24" s="177" t="str">
        <f>IF(TRDHTR8[[#This Row],[2024]]="","",DONNÉES!T63)</f>
        <v/>
      </c>
      <c r="H24" s="128" t="str">
        <f>IF(TRDHTR8[[#This Row],[2024]]="","",DONNÉES!S143)</f>
        <v/>
      </c>
      <c r="I24" s="178" t="str">
        <f>IF(TRDHTR8[[#This Row],[2024]]="","",DONNÉES!T143)</f>
        <v/>
      </c>
      <c r="J24" s="128" t="str">
        <f>IF(TRDHTR8[[#This Row],[2024]]="","",DONNÉES!S79)</f>
        <v/>
      </c>
      <c r="K24" s="177" t="str">
        <f>IF(TRDHTR8[[#This Row],[2024]]="","",DONNÉES!T79)</f>
        <v/>
      </c>
      <c r="L24" s="128" t="str">
        <f>IF(TRDHTR8[[#This Row],[2024]]="","",DONNÉES!S159)</f>
        <v/>
      </c>
      <c r="M24" s="178" t="str">
        <f>IF(TRDHTR8[[#This Row],[2024]]="","",DONNÉES!T159)</f>
        <v/>
      </c>
      <c r="N24" s="128" t="str">
        <f>IF(TRDHTR8[[#This Row],[2024]]="","",DONNÉES!S95)</f>
        <v/>
      </c>
      <c r="O24" s="177" t="str">
        <f>IF(TRDHTR8[[#This Row],[2024]]="","",DONNÉES!T95)</f>
        <v/>
      </c>
      <c r="P24" s="128" t="str">
        <f>IF(TRDHTR8[[#This Row],[2024]]="","",DONNÉES!S175)</f>
        <v/>
      </c>
      <c r="Q24" s="179" t="str">
        <f>IF(TRDHTR8[[#This Row],[2024]]="","",DONNÉES!T175)</f>
        <v/>
      </c>
      <c r="R24" s="181"/>
      <c r="S24" s="128" t="str">
        <f>IF(TRDHTR8[[#This Row],[2024]]="","",DONNÉES!S111)</f>
        <v/>
      </c>
      <c r="T24" s="177" t="str">
        <f>IF(TRDHTR8[[#This Row],[2024]]="","",DONNÉES!T111)</f>
        <v/>
      </c>
      <c r="U24" s="128" t="str">
        <f>IF(TRDHTR8[[#This Row],[2024]]="","",DONNÉES!S191)</f>
        <v/>
      </c>
      <c r="V24" s="128" t="str">
        <f>IF(TRDHTR8[[#This Row],[2024]]="","",DONNÉES!T191)</f>
        <v/>
      </c>
    </row>
    <row r="25" spans="1:22" ht="11.65" customHeight="1" x14ac:dyDescent="0.2">
      <c r="A25" s="169" t="s">
        <v>77</v>
      </c>
      <c r="B25" s="128" t="str">
        <f>IF(DONNÉES!S48="","",DONNÉES!S48)</f>
        <v/>
      </c>
      <c r="C25" s="177" t="str">
        <f>IF(TRDHTR8[[#This Row],[2024]]="","",DONNÉES!T48)</f>
        <v/>
      </c>
      <c r="D25" s="128" t="str">
        <f>IF(TRDHTR8[[#This Row],[2024]]="","",DONNÉES!S128)</f>
        <v/>
      </c>
      <c r="E25" s="178" t="str">
        <f>IF(TRDHTR8[[#This Row],[2024]]="","",DONNÉES!T128)</f>
        <v/>
      </c>
      <c r="F25" s="128" t="str">
        <f>IF(TRDHTR8[[#This Row],[2024]]="","",DONNÉES!S64)</f>
        <v/>
      </c>
      <c r="G25" s="177" t="str">
        <f>IF(TRDHTR8[[#This Row],[2024]]="","",DONNÉES!T64)</f>
        <v/>
      </c>
      <c r="H25" s="128" t="str">
        <f>IF(TRDHTR8[[#This Row],[2024]]="","",DONNÉES!S144)</f>
        <v/>
      </c>
      <c r="I25" s="178" t="str">
        <f>IF(TRDHTR8[[#This Row],[2024]]="","",DONNÉES!T144)</f>
        <v/>
      </c>
      <c r="J25" s="128" t="str">
        <f>IF(TRDHTR8[[#This Row],[2024]]="","",DONNÉES!S80)</f>
        <v/>
      </c>
      <c r="K25" s="177" t="str">
        <f>IF(TRDHTR8[[#This Row],[2024]]="","",DONNÉES!T80)</f>
        <v/>
      </c>
      <c r="L25" s="128" t="str">
        <f>IF(TRDHTR8[[#This Row],[2024]]="","",DONNÉES!S160)</f>
        <v/>
      </c>
      <c r="M25" s="178" t="str">
        <f>IF(TRDHTR8[[#This Row],[2024]]="","",DONNÉES!T160)</f>
        <v/>
      </c>
      <c r="N25" s="128" t="str">
        <f>IF(TRDHTR8[[#This Row],[2024]]="","",DONNÉES!S96)</f>
        <v/>
      </c>
      <c r="O25" s="177" t="str">
        <f>IF(TRDHTR8[[#This Row],[2024]]="","",DONNÉES!T96)</f>
        <v/>
      </c>
      <c r="P25" s="128" t="str">
        <f>IF(TRDHTR8[[#This Row],[2024]]="","",DONNÉES!S176)</f>
        <v/>
      </c>
      <c r="Q25" s="179" t="str">
        <f>IF(TRDHTR8[[#This Row],[2024]]="","",DONNÉES!T176)</f>
        <v/>
      </c>
      <c r="R25" s="181"/>
      <c r="S25" s="128" t="str">
        <f>IF(TRDHTR8[[#This Row],[2024]]="","",DONNÉES!S112)</f>
        <v/>
      </c>
      <c r="T25" s="177" t="str">
        <f>IF(TRDHTR8[[#This Row],[2024]]="","",DONNÉES!T112)</f>
        <v/>
      </c>
      <c r="U25" s="128" t="str">
        <f>IF(TRDHTR8[[#This Row],[2024]]="","",DONNÉES!S192)</f>
        <v/>
      </c>
      <c r="V25" s="128" t="str">
        <f>IF(TRDHTR8[[#This Row],[2024]]="","",DONNÉES!T192)</f>
        <v/>
      </c>
    </row>
    <row r="26" spans="1:22" ht="11.65" customHeight="1" x14ac:dyDescent="0.2">
      <c r="A26" s="170" t="s">
        <v>78</v>
      </c>
      <c r="B26" s="128" t="str">
        <f>IF(DONNÉES!S49="","",DONNÉES!S49)</f>
        <v/>
      </c>
      <c r="C26" s="177" t="str">
        <f>IF(TRDHTR8[[#This Row],[2024]]="","",DONNÉES!T49)</f>
        <v/>
      </c>
      <c r="D26" s="128" t="str">
        <f>IF(TRDHTR8[[#This Row],[2024]]="","",DONNÉES!S129)</f>
        <v/>
      </c>
      <c r="E26" s="178" t="str">
        <f>IF(TRDHTR8[[#This Row],[2024]]="","",DONNÉES!T129)</f>
        <v/>
      </c>
      <c r="F26" s="128" t="str">
        <f>IF(TRDHTR8[[#This Row],[2024]]="","",DONNÉES!S65)</f>
        <v/>
      </c>
      <c r="G26" s="177" t="str">
        <f>IF(TRDHTR8[[#This Row],[2024]]="","",DONNÉES!T65)</f>
        <v/>
      </c>
      <c r="H26" s="128" t="str">
        <f>IF(TRDHTR8[[#This Row],[2024]]="","",DONNÉES!S145)</f>
        <v/>
      </c>
      <c r="I26" s="178" t="str">
        <f>IF(TRDHTR8[[#This Row],[2024]]="","",DONNÉES!T145)</f>
        <v/>
      </c>
      <c r="J26" s="128" t="str">
        <f>IF(TRDHTR8[[#This Row],[2024]]="","",DONNÉES!S81)</f>
        <v/>
      </c>
      <c r="K26" s="177" t="str">
        <f>IF(TRDHTR8[[#This Row],[2024]]="","",DONNÉES!T81)</f>
        <v/>
      </c>
      <c r="L26" s="128" t="str">
        <f>IF(TRDHTR8[[#This Row],[2024]]="","",DONNÉES!S161)</f>
        <v/>
      </c>
      <c r="M26" s="178" t="str">
        <f>IF(TRDHTR8[[#This Row],[2024]]="","",DONNÉES!T161)</f>
        <v/>
      </c>
      <c r="N26" s="128" t="str">
        <f>IF(TRDHTR8[[#This Row],[2024]]="","",DONNÉES!S97)</f>
        <v/>
      </c>
      <c r="O26" s="177" t="str">
        <f>IF(TRDHTR8[[#This Row],[2024]]="","",DONNÉES!T97)</f>
        <v/>
      </c>
      <c r="P26" s="128" t="str">
        <f>IF(TRDHTR8[[#This Row],[2024]]="","",DONNÉES!S177)</f>
        <v/>
      </c>
      <c r="Q26" s="179" t="str">
        <f>IF(TRDHTR8[[#This Row],[2024]]="","",DONNÉES!T177)</f>
        <v/>
      </c>
      <c r="R26" s="181"/>
      <c r="S26" s="128" t="str">
        <f>IF(TRDHTR8[[#This Row],[2024]]="","",DONNÉES!S113)</f>
        <v/>
      </c>
      <c r="T26" s="177" t="str">
        <f>IF(TRDHTR8[[#This Row],[2024]]="","",DONNÉES!T113)</f>
        <v/>
      </c>
      <c r="U26" s="128" t="str">
        <f>IF(TRDHTR8[[#This Row],[2024]]="","",DONNÉES!S193)</f>
        <v/>
      </c>
      <c r="V26" s="128" t="str">
        <f>IF(TRDHTR8[[#This Row],[2024]]="","",DONNÉES!T193)</f>
        <v/>
      </c>
    </row>
    <row r="27" spans="1:22" ht="11.65" customHeight="1" x14ac:dyDescent="0.2">
      <c r="A27" s="169" t="s">
        <v>79</v>
      </c>
      <c r="B27" s="128" t="str">
        <f>IF(DONNÉES!S50="","",DONNÉES!S50)</f>
        <v/>
      </c>
      <c r="C27" s="177" t="str">
        <f>IF(TRDHTR8[[#This Row],[2024]]="","",DONNÉES!T50)</f>
        <v/>
      </c>
      <c r="D27" s="128" t="str">
        <f>IF(TRDHTR8[[#This Row],[2024]]="","",DONNÉES!S130)</f>
        <v/>
      </c>
      <c r="E27" s="178" t="str">
        <f>IF(TRDHTR8[[#This Row],[2024]]="","",DONNÉES!T130)</f>
        <v/>
      </c>
      <c r="F27" s="128" t="str">
        <f>IF(TRDHTR8[[#This Row],[2024]]="","",DONNÉES!S66)</f>
        <v/>
      </c>
      <c r="G27" s="177" t="str">
        <f>IF(TRDHTR8[[#This Row],[2024]]="","",DONNÉES!T66)</f>
        <v/>
      </c>
      <c r="H27" s="128" t="str">
        <f>IF(TRDHTR8[[#This Row],[2024]]="","",DONNÉES!S146)</f>
        <v/>
      </c>
      <c r="I27" s="178" t="str">
        <f>IF(TRDHTR8[[#This Row],[2024]]="","",DONNÉES!T146)</f>
        <v/>
      </c>
      <c r="J27" s="128" t="str">
        <f>IF(TRDHTR8[[#This Row],[2024]]="","",DONNÉES!S82)</f>
        <v/>
      </c>
      <c r="K27" s="177" t="str">
        <f>IF(TRDHTR8[[#This Row],[2024]]="","",DONNÉES!T82)</f>
        <v/>
      </c>
      <c r="L27" s="128" t="str">
        <f>IF(TRDHTR8[[#This Row],[2024]]="","",DONNÉES!S162)</f>
        <v/>
      </c>
      <c r="M27" s="178" t="str">
        <f>IF(TRDHTR8[[#This Row],[2024]]="","",DONNÉES!T162)</f>
        <v/>
      </c>
      <c r="N27" s="128" t="str">
        <f>IF(TRDHTR8[[#This Row],[2024]]="","",DONNÉES!S98)</f>
        <v/>
      </c>
      <c r="O27" s="177" t="str">
        <f>IF(TRDHTR8[[#This Row],[2024]]="","",DONNÉES!T98)</f>
        <v/>
      </c>
      <c r="P27" s="128" t="str">
        <f>IF(TRDHTR8[[#This Row],[2024]]="","",DONNÉES!S178)</f>
        <v/>
      </c>
      <c r="Q27" s="179" t="str">
        <f>IF(TRDHTR8[[#This Row],[2024]]="","",DONNÉES!T178)</f>
        <v/>
      </c>
      <c r="R27" s="181"/>
      <c r="S27" s="128" t="str">
        <f>IF(TRDHTR8[[#This Row],[2024]]="","",DONNÉES!S114)</f>
        <v/>
      </c>
      <c r="T27" s="177" t="str">
        <f>IF(TRDHTR8[[#This Row],[2024]]="","",DONNÉES!T114)</f>
        <v/>
      </c>
      <c r="U27" s="128" t="str">
        <f>IF(TRDHTR8[[#This Row],[2024]]="","",DONNÉES!S194)</f>
        <v/>
      </c>
      <c r="V27" s="128" t="str">
        <f>IF(TRDHTR8[[#This Row],[2024]]="","",DONNÉES!T194)</f>
        <v/>
      </c>
    </row>
    <row r="28" spans="1:22" ht="11.65" customHeight="1" x14ac:dyDescent="0.2">
      <c r="A28" s="170" t="s">
        <v>80</v>
      </c>
      <c r="B28" s="128" t="str">
        <f>IF(DONNÉES!S51="","",DONNÉES!S51)</f>
        <v/>
      </c>
      <c r="C28" s="177" t="str">
        <f>IF(TRDHTR8[[#This Row],[2024]]="","",DONNÉES!T51)</f>
        <v/>
      </c>
      <c r="D28" s="128" t="str">
        <f>IF(TRDHTR8[[#This Row],[2024]]="","",DONNÉES!S131)</f>
        <v/>
      </c>
      <c r="E28" s="178" t="str">
        <f>IF(TRDHTR8[[#This Row],[2024]]="","",DONNÉES!T131)</f>
        <v/>
      </c>
      <c r="F28" s="128" t="str">
        <f>IF(TRDHTR8[[#This Row],[2024]]="","",DONNÉES!S67)</f>
        <v/>
      </c>
      <c r="G28" s="177" t="str">
        <f>IF(TRDHTR8[[#This Row],[2024]]="","",DONNÉES!T67)</f>
        <v/>
      </c>
      <c r="H28" s="128" t="str">
        <f>IF(TRDHTR8[[#This Row],[2024]]="","",DONNÉES!S147)</f>
        <v/>
      </c>
      <c r="I28" s="178" t="str">
        <f>IF(TRDHTR8[[#This Row],[2024]]="","",DONNÉES!T147)</f>
        <v/>
      </c>
      <c r="J28" s="128" t="str">
        <f>IF(TRDHTR8[[#This Row],[2024]]="","",DONNÉES!S83)</f>
        <v/>
      </c>
      <c r="K28" s="177" t="str">
        <f>IF(TRDHTR8[[#This Row],[2024]]="","",DONNÉES!T83)</f>
        <v/>
      </c>
      <c r="L28" s="128" t="str">
        <f>IF(TRDHTR8[[#This Row],[2024]]="","",DONNÉES!S163)</f>
        <v/>
      </c>
      <c r="M28" s="178" t="str">
        <f>IF(TRDHTR8[[#This Row],[2024]]="","",DONNÉES!T163)</f>
        <v/>
      </c>
      <c r="N28" s="128" t="str">
        <f>IF(TRDHTR8[[#This Row],[2024]]="","",DONNÉES!S99)</f>
        <v/>
      </c>
      <c r="O28" s="177" t="str">
        <f>IF(TRDHTR8[[#This Row],[2024]]="","",DONNÉES!T99)</f>
        <v/>
      </c>
      <c r="P28" s="128" t="str">
        <f>IF(TRDHTR8[[#This Row],[2024]]="","",DONNÉES!S179)</f>
        <v/>
      </c>
      <c r="Q28" s="179" t="str">
        <f>IF(TRDHTR8[[#This Row],[2024]]="","",DONNÉES!T179)</f>
        <v/>
      </c>
      <c r="R28" s="181"/>
      <c r="S28" s="128" t="str">
        <f>IF(TRDHTR8[[#This Row],[2024]]="","",DONNÉES!S115)</f>
        <v/>
      </c>
      <c r="T28" s="177" t="str">
        <f>IF(TRDHTR8[[#This Row],[2024]]="","",DONNÉES!T115)</f>
        <v/>
      </c>
      <c r="U28" s="128" t="str">
        <f>IF(TRDHTR8[[#This Row],[2024]]="","",DONNÉES!S195)</f>
        <v/>
      </c>
      <c r="V28" s="128" t="str">
        <f>IF(TRDHTR8[[#This Row],[2024]]="","",DONNÉES!T195)</f>
        <v/>
      </c>
    </row>
    <row r="29" spans="1:22" ht="11.65" customHeight="1" x14ac:dyDescent="0.2">
      <c r="A29" s="169" t="s">
        <v>81</v>
      </c>
      <c r="B29" s="128" t="str">
        <f>IF(DONNÉES!S52="","",DONNÉES!S52)</f>
        <v/>
      </c>
      <c r="C29" s="182" t="str">
        <f>IF(TRDHTR8[[#This Row],[2024]]="","",DONNÉES!T52)</f>
        <v/>
      </c>
      <c r="D29" s="130" t="str">
        <f>IF(TRDHTR8[[#This Row],[2024]]="","",DONNÉES!S132)</f>
        <v/>
      </c>
      <c r="E29" s="183" t="str">
        <f>IF(TRDHTR8[[#This Row],[2024]]="","",DONNÉES!T132)</f>
        <v/>
      </c>
      <c r="F29" s="128" t="str">
        <f>IF(TRDHTR8[[#This Row],[2024]]="","",DONNÉES!S68)</f>
        <v/>
      </c>
      <c r="G29" s="177" t="str">
        <f>IF(TRDHTR8[[#This Row],[2024]]="","",DONNÉES!T68)</f>
        <v/>
      </c>
      <c r="H29" s="130" t="str">
        <f>IF(TRDHTR8[[#This Row],[2024]]="","",DONNÉES!S148)</f>
        <v/>
      </c>
      <c r="I29" s="183" t="str">
        <f>IF(TRDHTR8[[#This Row],[2024]]="","",DONNÉES!T148)</f>
        <v/>
      </c>
      <c r="J29" s="130" t="str">
        <f>IF(TRDHTR8[[#This Row],[2024]]="","",DONNÉES!S84)</f>
        <v/>
      </c>
      <c r="K29" s="182" t="str">
        <f>IF(TRDHTR8[[#This Row],[2024]]="","",DONNÉES!T84)</f>
        <v/>
      </c>
      <c r="L29" s="130" t="str">
        <f>IF(TRDHTR8[[#This Row],[2024]]="","",DONNÉES!S164)</f>
        <v/>
      </c>
      <c r="M29" s="183" t="str">
        <f>IF(TRDHTR8[[#This Row],[2024]]="","",DONNÉES!T164)</f>
        <v/>
      </c>
      <c r="N29" s="130" t="str">
        <f>IF(TRDHTR8[[#This Row],[2024]]="","",DONNÉES!S100)</f>
        <v/>
      </c>
      <c r="O29" s="182" t="str">
        <f>IF(TRDHTR8[[#This Row],[2024]]="","",DONNÉES!T100)</f>
        <v/>
      </c>
      <c r="P29" s="130" t="str">
        <f>IF(TRDHTR8[[#This Row],[2024]]="","",DONNÉES!S180)</f>
        <v/>
      </c>
      <c r="Q29" s="184" t="str">
        <f>IF(TRDHTR8[[#This Row],[2024]]="","",DONNÉES!T180)</f>
        <v/>
      </c>
      <c r="R29" s="185"/>
      <c r="S29" s="130" t="str">
        <f>IF(TRDHTR8[[#This Row],[2024]]="","",DONNÉES!S116)</f>
        <v/>
      </c>
      <c r="T29" s="182" t="str">
        <f>IF(TRDHTR8[[#This Row],[2024]]="","",DONNÉES!T116)</f>
        <v/>
      </c>
      <c r="U29" s="130" t="str">
        <f>IF(TRDHTR8[[#This Row],[2024]]="","",DONNÉES!S196)</f>
        <v/>
      </c>
      <c r="V29" s="130" t="str">
        <f>IF(TRDHTR8[[#This Row],[2024]]="","",DONNÉES!T196)</f>
        <v/>
      </c>
    </row>
    <row r="30" spans="1:22" ht="11.65" customHeight="1" x14ac:dyDescent="0.2">
      <c r="A30" s="170" t="s">
        <v>82</v>
      </c>
      <c r="B30" s="128" t="str">
        <f>IF(DONNÉES!S53="","",DONNÉES!S53)</f>
        <v/>
      </c>
      <c r="C30" s="182" t="str">
        <f>IF(TRDHTR8[[#This Row],[2024]]="","",DONNÉES!T53)</f>
        <v/>
      </c>
      <c r="D30" s="130" t="str">
        <f>IF(TRDHTR8[[#This Row],[2024]]="","",DONNÉES!S133)</f>
        <v/>
      </c>
      <c r="E30" s="183" t="str">
        <f>IF(TRDHTR8[[#This Row],[2024]]="","",DONNÉES!T133)</f>
        <v/>
      </c>
      <c r="F30" s="128" t="str">
        <f>IF(TRDHTR8[[#This Row],[2024]]="","",DONNÉES!S69)</f>
        <v/>
      </c>
      <c r="G30" s="177" t="str">
        <f>IF(TRDHTR8[[#This Row],[2024]]="","",DONNÉES!T69)</f>
        <v/>
      </c>
      <c r="H30" s="130" t="str">
        <f>IF(TRDHTR8[[#This Row],[2024]]="","",DONNÉES!S149)</f>
        <v/>
      </c>
      <c r="I30" s="183" t="str">
        <f>IF(TRDHTR8[[#This Row],[2024]]="","",DONNÉES!T149)</f>
        <v/>
      </c>
      <c r="J30" s="130" t="str">
        <f>IF(TRDHTR8[[#This Row],[2024]]="","",DONNÉES!S85)</f>
        <v/>
      </c>
      <c r="K30" s="182" t="str">
        <f>IF(TRDHTR8[[#This Row],[2024]]="","",DONNÉES!T85)</f>
        <v/>
      </c>
      <c r="L30" s="130" t="str">
        <f>IF(TRDHTR8[[#This Row],[2024]]="","",DONNÉES!S165)</f>
        <v/>
      </c>
      <c r="M30" s="183" t="str">
        <f>IF(TRDHTR8[[#This Row],[2024]]="","",DONNÉES!T165)</f>
        <v/>
      </c>
      <c r="N30" s="130" t="str">
        <f>IF(TRDHTR8[[#This Row],[2024]]="","",DONNÉES!S101)</f>
        <v/>
      </c>
      <c r="O30" s="182" t="str">
        <f>IF(TRDHTR8[[#This Row],[2024]]="","",DONNÉES!T101)</f>
        <v/>
      </c>
      <c r="P30" s="130" t="str">
        <f>IF(TRDHTR8[[#This Row],[2024]]="","",DONNÉES!S181)</f>
        <v/>
      </c>
      <c r="Q30" s="184" t="str">
        <f>IF(TRDHTR8[[#This Row],[2024]]="","",DONNÉES!T181)</f>
        <v/>
      </c>
      <c r="R30" s="181"/>
      <c r="S30" s="130" t="str">
        <f>IF(TRDHTR8[[#This Row],[2024]]="","",DONNÉES!S117)</f>
        <v/>
      </c>
      <c r="T30" s="182" t="str">
        <f>IF(TRDHTR8[[#This Row],[2024]]="","",DONNÉES!T117)</f>
        <v/>
      </c>
      <c r="U30" s="130" t="str">
        <f>IF(TRDHTR8[[#This Row],[2024]]="","",DONNÉES!S197)</f>
        <v/>
      </c>
      <c r="V30" s="130" t="str">
        <f>IF(TRDHTR8[[#This Row],[2024]]="","",DONNÉES!T197)</f>
        <v/>
      </c>
    </row>
    <row r="31" spans="1:22" ht="11.65" customHeight="1" x14ac:dyDescent="0.2">
      <c r="A31" s="169" t="s">
        <v>83</v>
      </c>
      <c r="B31" s="128" t="str">
        <f>IF(DONNÉES!S54="","",DONNÉES!S54)</f>
        <v/>
      </c>
      <c r="C31" s="182" t="str">
        <f>IF(TRDHTR8[[#This Row],[2024]]="","",DONNÉES!T54)</f>
        <v/>
      </c>
      <c r="D31" s="130" t="str">
        <f>IF(TRDHTR8[[#This Row],[2024]]="","",DONNÉES!S134)</f>
        <v/>
      </c>
      <c r="E31" s="183" t="str">
        <f>IF(TRDHTR8[[#This Row],[2024]]="","",DONNÉES!T134)</f>
        <v/>
      </c>
      <c r="F31" s="128" t="str">
        <f>IF(TRDHTR8[[#This Row],[2024]]="","",DONNÉES!S70)</f>
        <v/>
      </c>
      <c r="G31" s="177" t="str">
        <f>IF(TRDHTR8[[#This Row],[2024]]="","",DONNÉES!T70)</f>
        <v/>
      </c>
      <c r="H31" s="130" t="str">
        <f>IF(TRDHTR8[[#This Row],[2024]]="","",DONNÉES!S150)</f>
        <v/>
      </c>
      <c r="I31" s="183" t="str">
        <f>IF(TRDHTR8[[#This Row],[2024]]="","",DONNÉES!T150)</f>
        <v/>
      </c>
      <c r="J31" s="130" t="str">
        <f>IF(TRDHTR8[[#This Row],[2024]]="","",DONNÉES!S86)</f>
        <v/>
      </c>
      <c r="K31" s="182" t="str">
        <f>IF(TRDHTR8[[#This Row],[2024]]="","",DONNÉES!T86)</f>
        <v/>
      </c>
      <c r="L31" s="130" t="str">
        <f>IF(TRDHTR8[[#This Row],[2024]]="","",DONNÉES!S166)</f>
        <v/>
      </c>
      <c r="M31" s="183" t="str">
        <f>IF(TRDHTR8[[#This Row],[2024]]="","",DONNÉES!T166)</f>
        <v/>
      </c>
      <c r="N31" s="130" t="str">
        <f>IF(TRDHTR8[[#This Row],[2024]]="","",DONNÉES!S102)</f>
        <v/>
      </c>
      <c r="O31" s="182" t="str">
        <f>IF(TRDHTR8[[#This Row],[2024]]="","",DONNÉES!T102)</f>
        <v/>
      </c>
      <c r="P31" s="130" t="str">
        <f>IF(TRDHTR8[[#This Row],[2024]]="","",DONNÉES!S182)</f>
        <v/>
      </c>
      <c r="Q31" s="184" t="str">
        <f>IF(TRDHTR8[[#This Row],[2024]]="","",DONNÉES!T182)</f>
        <v/>
      </c>
      <c r="R31" s="180"/>
      <c r="S31" s="130" t="str">
        <f>IF(TRDHTR8[[#This Row],[2024]]="","",DONNÉES!S118)</f>
        <v/>
      </c>
      <c r="T31" s="182" t="str">
        <f>IF(TRDHTR8[[#This Row],[2024]]="","",DONNÉES!T118)</f>
        <v/>
      </c>
      <c r="U31" s="130" t="str">
        <f>IF(TRDHTR8[[#This Row],[2024]]="","",DONNÉES!S198)</f>
        <v/>
      </c>
      <c r="V31" s="130" t="str">
        <f>IF(TRDHTR8[[#This Row],[2024]]="","",DONNÉES!T198)</f>
        <v/>
      </c>
    </row>
    <row r="32" spans="1:22" s="81" customFormat="1" ht="11.65" customHeight="1" x14ac:dyDescent="0.2">
      <c r="A32" s="169" t="s">
        <v>84</v>
      </c>
      <c r="B32" s="128" t="str">
        <f>IF(DONNÉES!S55="","",DONNÉES!S55)</f>
        <v/>
      </c>
      <c r="C32" s="182" t="str">
        <f>IF(TRDHTR8[[#This Row],[2024]]="","",DONNÉES!T55)</f>
        <v/>
      </c>
      <c r="D32" s="130" t="str">
        <f>IF(TRDHTR8[[#This Row],[2024]]="","",DONNÉES!S135)</f>
        <v/>
      </c>
      <c r="E32" s="183" t="str">
        <f>IF(TRDHTR8[[#This Row],[2024]]="","",DONNÉES!T135)</f>
        <v/>
      </c>
      <c r="F32" s="128" t="str">
        <f>IF(TRDHTR8[[#This Row],[2024]]="","",DONNÉES!S71)</f>
        <v/>
      </c>
      <c r="G32" s="177" t="str">
        <f>IF(TRDHTR8[[#This Row],[2024]]="","",DONNÉES!T71)</f>
        <v/>
      </c>
      <c r="H32" s="130" t="str">
        <f>IF(TRDHTR8[[#This Row],[2024]]="","",DONNÉES!S151)</f>
        <v/>
      </c>
      <c r="I32" s="183" t="str">
        <f>IF(TRDHTR8[[#This Row],[2024]]="","",DONNÉES!T151)</f>
        <v/>
      </c>
      <c r="J32" s="130" t="str">
        <f>IF(TRDHTR8[[#This Row],[2024]]="","",DONNÉES!S87)</f>
        <v/>
      </c>
      <c r="K32" s="182" t="str">
        <f>IF(TRDHTR8[[#This Row],[2024]]="","",DONNÉES!T87)</f>
        <v/>
      </c>
      <c r="L32" s="130" t="str">
        <f>IF(TRDHTR8[[#This Row],[2024]]="","",DONNÉES!S167)</f>
        <v/>
      </c>
      <c r="M32" s="183" t="str">
        <f>IF(TRDHTR8[[#This Row],[2024]]="","",DONNÉES!T167)</f>
        <v/>
      </c>
      <c r="N32" s="130" t="str">
        <f>IF(TRDHTR8[[#This Row],[2024]]="","",DONNÉES!S103)</f>
        <v/>
      </c>
      <c r="O32" s="182" t="str">
        <f>IF(TRDHTR8[[#This Row],[2024]]="","",DONNÉES!T103)</f>
        <v/>
      </c>
      <c r="P32" s="130" t="str">
        <f>IF(TRDHTR8[[#This Row],[2024]]="","",DONNÉES!S183)</f>
        <v/>
      </c>
      <c r="Q32" s="184" t="str">
        <f>IF(TRDHTR8[[#This Row],[2024]]="","",DONNÉES!T183)</f>
        <v/>
      </c>
      <c r="R32" s="180"/>
      <c r="S32" s="130" t="str">
        <f>IF(TRDHTR8[[#This Row],[2024]]="","",DONNÉES!S119)</f>
        <v/>
      </c>
      <c r="T32" s="182" t="str">
        <f>IF(TRDHTR8[[#This Row],[2024]]="","",DONNÉES!T119)</f>
        <v/>
      </c>
      <c r="U32" s="130" t="str">
        <f>IF(TRDHTR8[[#This Row],[2024]]="","",DONNÉES!S199)</f>
        <v/>
      </c>
      <c r="V32" s="130" t="str">
        <f>IF(TRDHTR8[[#This Row],[2024]]="","",DONNÉES!T199)</f>
        <v/>
      </c>
    </row>
    <row r="33" spans="1:22" s="81" customFormat="1" ht="10.15" customHeight="1" x14ac:dyDescent="0.2">
      <c r="A33" s="79"/>
      <c r="B33" s="112"/>
      <c r="C33" s="112"/>
      <c r="D33" s="101"/>
      <c r="E33" s="112"/>
      <c r="F33" s="112"/>
      <c r="G33" s="118"/>
      <c r="H33" s="79"/>
      <c r="I33" s="82"/>
      <c r="J33" s="112"/>
      <c r="K33" s="112"/>
      <c r="L33" s="101"/>
      <c r="M33" s="118"/>
      <c r="N33" s="79"/>
      <c r="O33" s="79"/>
      <c r="P33" s="79"/>
      <c r="Q33" s="79"/>
      <c r="R33" s="180"/>
      <c r="S33" s="79"/>
      <c r="T33" s="79"/>
      <c r="U33" s="79"/>
      <c r="V33" s="79"/>
    </row>
    <row r="34" spans="1:22" s="81" customFormat="1" ht="14.65" customHeight="1" x14ac:dyDescent="0.2">
      <c r="A34" s="176"/>
      <c r="B34" s="343" t="s">
        <v>195</v>
      </c>
      <c r="C34" s="343"/>
      <c r="D34" s="343"/>
      <c r="E34" s="344"/>
      <c r="F34" s="343" t="s">
        <v>196</v>
      </c>
      <c r="G34" s="343"/>
      <c r="H34" s="343"/>
      <c r="I34" s="344"/>
      <c r="J34" s="343" t="s">
        <v>198</v>
      </c>
      <c r="K34" s="343"/>
      <c r="L34" s="343"/>
      <c r="M34" s="344"/>
      <c r="N34" s="343" t="s">
        <v>199</v>
      </c>
      <c r="O34" s="343"/>
      <c r="P34" s="343"/>
      <c r="Q34" s="343"/>
      <c r="R34" s="180"/>
      <c r="S34" s="343" t="s">
        <v>197</v>
      </c>
      <c r="T34" s="343"/>
      <c r="U34" s="343"/>
      <c r="V34" s="343"/>
    </row>
    <row r="35" spans="1:22" ht="28.9" customHeight="1" x14ac:dyDescent="0.2">
      <c r="A35" s="169" t="s">
        <v>210</v>
      </c>
      <c r="B35" s="108" t="s">
        <v>6962</v>
      </c>
      <c r="C35" s="166" t="s">
        <v>2169</v>
      </c>
      <c r="D35" s="108" t="s">
        <v>6986</v>
      </c>
      <c r="E35" s="172" t="s">
        <v>6944</v>
      </c>
      <c r="F35" s="211" t="s">
        <v>6987</v>
      </c>
      <c r="G35" s="166" t="s">
        <v>6945</v>
      </c>
      <c r="H35" s="108" t="s">
        <v>6988</v>
      </c>
      <c r="I35" s="172" t="s">
        <v>6946</v>
      </c>
      <c r="J35" s="108" t="s">
        <v>6989</v>
      </c>
      <c r="K35" s="166" t="s">
        <v>6947</v>
      </c>
      <c r="L35" s="108" t="s">
        <v>6990</v>
      </c>
      <c r="M35" s="172" t="s">
        <v>6948</v>
      </c>
      <c r="N35" s="108" t="s">
        <v>6991</v>
      </c>
      <c r="O35" s="166" t="s">
        <v>6949</v>
      </c>
      <c r="P35" s="108" t="s">
        <v>6992</v>
      </c>
      <c r="Q35" s="94" t="s">
        <v>6950</v>
      </c>
      <c r="S35" s="108" t="s">
        <v>6962</v>
      </c>
      <c r="T35" s="166" t="s">
        <v>2169</v>
      </c>
      <c r="U35" s="108" t="s">
        <v>6986</v>
      </c>
      <c r="V35" s="172" t="s">
        <v>6944</v>
      </c>
    </row>
    <row r="36" spans="1:22" ht="11.65" customHeight="1" x14ac:dyDescent="0.2">
      <c r="A36" s="170" t="s">
        <v>73</v>
      </c>
      <c r="B36" s="128">
        <f>IF(DONNÉES!AA44="","",DONNÉES!AA44)</f>
        <v>1913</v>
      </c>
      <c r="C36" s="177">
        <f>IF(TRDTIRR[[#This Row],[2024]]="","",DONNÉES!AB44)</f>
        <v>1973</v>
      </c>
      <c r="D36" s="128">
        <f>IF(TRDTIRR[[#This Row],[2024]]="","",DONNÉES!AA124)</f>
        <v>1913</v>
      </c>
      <c r="E36" s="178">
        <f>IF(TRDTIRR[[#This Row],[2024]]="","",DONNÉES!AB124)</f>
        <v>1973</v>
      </c>
      <c r="F36" s="128">
        <f>IF(TRDTIRR[[#This Row],[2024]]="","",DONNÉES!AA60)</f>
        <v>2741</v>
      </c>
      <c r="G36" s="177">
        <f>IF(TRDTIRR[[#This Row],[2024]]="","",DONNÉES!AB60)</f>
        <v>2716</v>
      </c>
      <c r="H36" s="128">
        <f>IF(TRDTIRR[[#This Row],[2024]]="","",DONNÉES!AA140)</f>
        <v>2741</v>
      </c>
      <c r="I36" s="178">
        <f>IF(TRDTIRR[[#This Row],[2024]]="","",DONNÉES!AB140)</f>
        <v>2716</v>
      </c>
      <c r="J36" s="128">
        <f>IF(TRDTIRR[[#This Row],[2024]]="","",DONNÉES!AA76)</f>
        <v>4830</v>
      </c>
      <c r="K36" s="177">
        <f>IF(TRDTIRR[[#This Row],[2024]]="","",DONNÉES!AB76)</f>
        <v>5314</v>
      </c>
      <c r="L36" s="128">
        <f>IF(TRDTIRR[[#This Row],[2024]]="","",DONNÉES!AA156)</f>
        <v>4830</v>
      </c>
      <c r="M36" s="178">
        <f>IF(TRDTIRR[[#This Row],[2024]]="","",DONNÉES!AB156)</f>
        <v>5314</v>
      </c>
      <c r="N36" s="128">
        <f>IF(TRDTIRR[[#This Row],[2024]]="","",DONNÉES!AA92)</f>
        <v>7289</v>
      </c>
      <c r="O36" s="177">
        <f>IF(TRDTIRR[[#This Row],[2024]]="","",DONNÉES!AB92)</f>
        <v>6099</v>
      </c>
      <c r="P36" s="128">
        <f>IF(TRDTIRR[[#This Row],[2024]]="","",DONNÉES!AA172)</f>
        <v>7289</v>
      </c>
      <c r="Q36" s="128">
        <f>IF(TRDTIRR[[#This Row],[2024]]="","",DONNÉES!AB172)</f>
        <v>6099</v>
      </c>
      <c r="S36" s="128">
        <f>IF(TRDTIRR[[#This Row],[2024]]="","",DONNÉES!AA108)</f>
        <v>16773</v>
      </c>
      <c r="T36" s="177">
        <f>IF(TRDTIRR[[#This Row],[2024]]="","",DONNÉES!AB108)</f>
        <v>16102</v>
      </c>
      <c r="U36" s="177">
        <f>IF(TRDTIRR[[#This Row],[2024]]="","",DONNÉES!AA188)</f>
        <v>16773</v>
      </c>
      <c r="V36" s="128">
        <f>IF(TRDTIRR[[#This Row],[2024]]="","",DONNÉES!AB188)</f>
        <v>16102</v>
      </c>
    </row>
    <row r="37" spans="1:22" ht="11.65" customHeight="1" x14ac:dyDescent="0.2">
      <c r="A37" s="170" t="s">
        <v>74</v>
      </c>
      <c r="B37" s="128" t="str">
        <f>IF(DONNÉES!AA45="","",DONNÉES!AA45)</f>
        <v/>
      </c>
      <c r="C37" s="177" t="str">
        <f>IF(TRDTIRR[[#This Row],[2024]]="","",DONNÉES!AB45)</f>
        <v/>
      </c>
      <c r="D37" s="128" t="str">
        <f>IF(TRDTIRR[[#This Row],[2024]]="","",DONNÉES!AA125)</f>
        <v/>
      </c>
      <c r="E37" s="178" t="str">
        <f>IF(TRDTIRR[[#This Row],[2024]]="","",DONNÉES!AB125)</f>
        <v/>
      </c>
      <c r="F37" s="128" t="str">
        <f>IF(TRDTIRR[[#This Row],[2024]]="","",DONNÉES!AA61)</f>
        <v/>
      </c>
      <c r="G37" s="177" t="str">
        <f>IF(TRDTIRR[[#This Row],[2024]]="","",DONNÉES!AB61)</f>
        <v/>
      </c>
      <c r="H37" s="128" t="str">
        <f>IF(TRDTIRR[[#This Row],[2024]]="","",DONNÉES!AA141)</f>
        <v/>
      </c>
      <c r="I37" s="178" t="str">
        <f>IF(TRDTIRR[[#This Row],[2024]]="","",DONNÉES!AB141)</f>
        <v/>
      </c>
      <c r="J37" s="128" t="str">
        <f>IF(TRDTIRR[[#This Row],[2024]]="","",DONNÉES!AA77)</f>
        <v/>
      </c>
      <c r="K37" s="177" t="str">
        <f>IF(TRDTIRR[[#This Row],[2024]]="","",DONNÉES!AB77)</f>
        <v/>
      </c>
      <c r="L37" s="128" t="str">
        <f>IF(TRDTIRR[[#This Row],[2024]]="","",DONNÉES!AA157)</f>
        <v/>
      </c>
      <c r="M37" s="178" t="str">
        <f>IF(TRDTIRR[[#This Row],[2024]]="","",DONNÉES!AB157)</f>
        <v/>
      </c>
      <c r="N37" s="128" t="str">
        <f>IF(TRDTIRR[[#This Row],[2024]]="","",DONNÉES!AA93)</f>
        <v/>
      </c>
      <c r="O37" s="177" t="str">
        <f>IF(TRDTIRR[[#This Row],[2024]]="","",DONNÉES!AB93)</f>
        <v/>
      </c>
      <c r="P37" s="128" t="str">
        <f>IF(TRDTIRR[[#This Row],[2024]]="","",DONNÉES!AA173)</f>
        <v/>
      </c>
      <c r="Q37" s="128" t="str">
        <f>IF(TRDTIRR[[#This Row],[2024]]="","",DONNÉES!AB173)</f>
        <v/>
      </c>
      <c r="S37" s="128" t="str">
        <f>IF(TRDTIRR[[#This Row],[2024]]="","",DONNÉES!AA109)</f>
        <v/>
      </c>
      <c r="T37" s="177" t="str">
        <f>IF(TRDTIRR[[#This Row],[2024]]="","",DONNÉES!AB109)</f>
        <v/>
      </c>
      <c r="U37" s="177" t="str">
        <f>IF(TRDTIRR[[#This Row],[2024]]="","",DONNÉES!AA189)</f>
        <v/>
      </c>
      <c r="V37" s="128" t="str">
        <f>IF(TRDTIRR[[#This Row],[2024]]="","",DONNÉES!AB189)</f>
        <v/>
      </c>
    </row>
    <row r="38" spans="1:22" s="81" customFormat="1" ht="11.65" customHeight="1" x14ac:dyDescent="0.2">
      <c r="A38" s="169" t="s">
        <v>75</v>
      </c>
      <c r="B38" s="128" t="str">
        <f>IF(DONNÉES!AA46="","",DONNÉES!AA46)</f>
        <v/>
      </c>
      <c r="C38" s="177" t="str">
        <f>IF(TRDTIRR[[#This Row],[2024]]="","",DONNÉES!AB46)</f>
        <v/>
      </c>
      <c r="D38" s="128" t="str">
        <f>IF(TRDTIRR[[#This Row],[2024]]="","",DONNÉES!AA126)</f>
        <v/>
      </c>
      <c r="E38" s="178" t="str">
        <f>IF(TRDTIRR[[#This Row],[2024]]="","",DONNÉES!AB126)</f>
        <v/>
      </c>
      <c r="F38" s="128" t="str">
        <f>IF(TRDTIRR[[#This Row],[2024]]="","",DONNÉES!AA62)</f>
        <v/>
      </c>
      <c r="G38" s="177" t="str">
        <f>IF(TRDTIRR[[#This Row],[2024]]="","",DONNÉES!AB62)</f>
        <v/>
      </c>
      <c r="H38" s="128" t="str">
        <f>IF(TRDTIRR[[#This Row],[2024]]="","",DONNÉES!AA142)</f>
        <v/>
      </c>
      <c r="I38" s="178" t="str">
        <f>IF(TRDTIRR[[#This Row],[2024]]="","",DONNÉES!AB142)</f>
        <v/>
      </c>
      <c r="J38" s="128" t="str">
        <f>IF(TRDTIRR[[#This Row],[2024]]="","",DONNÉES!AA78)</f>
        <v/>
      </c>
      <c r="K38" s="177" t="str">
        <f>IF(TRDTIRR[[#This Row],[2024]]="","",DONNÉES!AB78)</f>
        <v/>
      </c>
      <c r="L38" s="128" t="str">
        <f>IF(TRDTIRR[[#This Row],[2024]]="","",DONNÉES!AA158)</f>
        <v/>
      </c>
      <c r="M38" s="178" t="str">
        <f>IF(TRDTIRR[[#This Row],[2024]]="","",DONNÉES!AB158)</f>
        <v/>
      </c>
      <c r="N38" s="128" t="str">
        <f>IF(TRDTIRR[[#This Row],[2024]]="","",DONNÉES!AA94)</f>
        <v/>
      </c>
      <c r="O38" s="177" t="str">
        <f>IF(TRDTIRR[[#This Row],[2024]]="","",DONNÉES!AB94)</f>
        <v/>
      </c>
      <c r="P38" s="128" t="str">
        <f>IF(TRDTIRR[[#This Row],[2024]]="","",DONNÉES!AA174)</f>
        <v/>
      </c>
      <c r="Q38" s="128" t="str">
        <f>IF(TRDTIRR[[#This Row],[2024]]="","",DONNÉES!AB174)</f>
        <v/>
      </c>
      <c r="R38" s="180"/>
      <c r="S38" s="128" t="str">
        <f>IF(TRDTIRR[[#This Row],[2024]]="","",DONNÉES!AA110)</f>
        <v/>
      </c>
      <c r="T38" s="177" t="str">
        <f>IF(TRDTIRR[[#This Row],[2024]]="","",DONNÉES!AB110)</f>
        <v/>
      </c>
      <c r="U38" s="177" t="str">
        <f>IF(TRDTIRR[[#This Row],[2024]]="","",DONNÉES!AA190)</f>
        <v/>
      </c>
      <c r="V38" s="128" t="str">
        <f>IF(TRDTIRR[[#This Row],[2024]]="","",DONNÉES!AB190)</f>
        <v/>
      </c>
    </row>
    <row r="39" spans="1:22" s="81" customFormat="1" ht="11.65" customHeight="1" x14ac:dyDescent="0.2">
      <c r="A39" s="170" t="s">
        <v>76</v>
      </c>
      <c r="B39" s="128" t="str">
        <f>IF(DONNÉES!AA47="","",DONNÉES!AA47)</f>
        <v/>
      </c>
      <c r="C39" s="177" t="str">
        <f>IF(TRDTIRR[[#This Row],[2024]]="","",DONNÉES!AB47)</f>
        <v/>
      </c>
      <c r="D39" s="128" t="str">
        <f>IF(TRDTIRR[[#This Row],[2024]]="","",DONNÉES!AA127)</f>
        <v/>
      </c>
      <c r="E39" s="178" t="str">
        <f>IF(TRDTIRR[[#This Row],[2024]]="","",DONNÉES!AB127)</f>
        <v/>
      </c>
      <c r="F39" s="128" t="str">
        <f>IF(TRDTIRR[[#This Row],[2024]]="","",DONNÉES!AA63)</f>
        <v/>
      </c>
      <c r="G39" s="177" t="str">
        <f>IF(TRDTIRR[[#This Row],[2024]]="","",DONNÉES!AB63)</f>
        <v/>
      </c>
      <c r="H39" s="128" t="str">
        <f>IF(TRDTIRR[[#This Row],[2024]]="","",DONNÉES!AA143)</f>
        <v/>
      </c>
      <c r="I39" s="178" t="str">
        <f>IF(TRDTIRR[[#This Row],[2024]]="","",DONNÉES!AB143)</f>
        <v/>
      </c>
      <c r="J39" s="128" t="str">
        <f>IF(TRDTIRR[[#This Row],[2024]]="","",DONNÉES!AA79)</f>
        <v/>
      </c>
      <c r="K39" s="177" t="str">
        <f>IF(TRDTIRR[[#This Row],[2024]]="","",DONNÉES!AB79)</f>
        <v/>
      </c>
      <c r="L39" s="128" t="str">
        <f>IF(TRDTIRR[[#This Row],[2024]]="","",DONNÉES!AA159)</f>
        <v/>
      </c>
      <c r="M39" s="178" t="str">
        <f>IF(TRDTIRR[[#This Row],[2024]]="","",DONNÉES!AB159)</f>
        <v/>
      </c>
      <c r="N39" s="128" t="str">
        <f>IF(TRDTIRR[[#This Row],[2024]]="","",DONNÉES!AA95)</f>
        <v/>
      </c>
      <c r="O39" s="177" t="str">
        <f>IF(TRDTIRR[[#This Row],[2024]]="","",DONNÉES!AB95)</f>
        <v/>
      </c>
      <c r="P39" s="128" t="str">
        <f>IF(TRDTIRR[[#This Row],[2024]]="","",DONNÉES!AA175)</f>
        <v/>
      </c>
      <c r="Q39" s="128" t="str">
        <f>IF(TRDTIRR[[#This Row],[2024]]="","",DONNÉES!AB175)</f>
        <v/>
      </c>
      <c r="R39" s="180"/>
      <c r="S39" s="128" t="str">
        <f>IF(TRDTIRR[[#This Row],[2024]]="","",DONNÉES!AA111)</f>
        <v/>
      </c>
      <c r="T39" s="177" t="str">
        <f>IF(TRDTIRR[[#This Row],[2024]]="","",DONNÉES!AB111)</f>
        <v/>
      </c>
      <c r="U39" s="177" t="str">
        <f>IF(TRDTIRR[[#This Row],[2024]]="","",DONNÉES!AA191)</f>
        <v/>
      </c>
      <c r="V39" s="128" t="str">
        <f>IF(TRDTIRR[[#This Row],[2024]]="","",DONNÉES!AB191)</f>
        <v/>
      </c>
    </row>
    <row r="40" spans="1:22" s="81" customFormat="1" ht="11.65" customHeight="1" x14ac:dyDescent="0.2">
      <c r="A40" s="169" t="s">
        <v>77</v>
      </c>
      <c r="B40" s="128" t="str">
        <f>IF(DONNÉES!AA48="","",DONNÉES!AA48)</f>
        <v/>
      </c>
      <c r="C40" s="177" t="str">
        <f>IF(TRDTIRR[[#This Row],[2024]]="","",DONNÉES!AB48)</f>
        <v/>
      </c>
      <c r="D40" s="128" t="str">
        <f>IF(TRDTIRR[[#This Row],[2024]]="","",DONNÉES!AA128)</f>
        <v/>
      </c>
      <c r="E40" s="178" t="str">
        <f>IF(TRDTIRR[[#This Row],[2024]]="","",DONNÉES!AB128)</f>
        <v/>
      </c>
      <c r="F40" s="128" t="str">
        <f>IF(TRDTIRR[[#This Row],[2024]]="","",DONNÉES!AA64)</f>
        <v/>
      </c>
      <c r="G40" s="177" t="str">
        <f>IF(TRDTIRR[[#This Row],[2024]]="","",DONNÉES!AB64)</f>
        <v/>
      </c>
      <c r="H40" s="128" t="str">
        <f>IF(TRDTIRR[[#This Row],[2024]]="","",DONNÉES!AA144)</f>
        <v/>
      </c>
      <c r="I40" s="178" t="str">
        <f>IF(TRDTIRR[[#This Row],[2024]]="","",DONNÉES!AB144)</f>
        <v/>
      </c>
      <c r="J40" s="128" t="str">
        <f>IF(TRDTIRR[[#This Row],[2024]]="","",DONNÉES!AA80)</f>
        <v/>
      </c>
      <c r="K40" s="177" t="str">
        <f>IF(TRDTIRR[[#This Row],[2024]]="","",DONNÉES!AB80)</f>
        <v/>
      </c>
      <c r="L40" s="128" t="str">
        <f>IF(TRDTIRR[[#This Row],[2024]]="","",DONNÉES!AA160)</f>
        <v/>
      </c>
      <c r="M40" s="178" t="str">
        <f>IF(TRDTIRR[[#This Row],[2024]]="","",DONNÉES!AB160)</f>
        <v/>
      </c>
      <c r="N40" s="128" t="str">
        <f>IF(TRDTIRR[[#This Row],[2024]]="","",DONNÉES!AA96)</f>
        <v/>
      </c>
      <c r="O40" s="177" t="str">
        <f>IF(TRDTIRR[[#This Row],[2024]]="","",DONNÉES!AB96)</f>
        <v/>
      </c>
      <c r="P40" s="128" t="str">
        <f>IF(TRDTIRR[[#This Row],[2024]]="","",DONNÉES!AA176)</f>
        <v/>
      </c>
      <c r="Q40" s="128" t="str">
        <f>IF(TRDTIRR[[#This Row],[2024]]="","",DONNÉES!AB176)</f>
        <v/>
      </c>
      <c r="R40" s="180"/>
      <c r="S40" s="128" t="str">
        <f>IF(TRDTIRR[[#This Row],[2024]]="","",DONNÉES!AA112)</f>
        <v/>
      </c>
      <c r="T40" s="177" t="str">
        <f>IF(TRDTIRR[[#This Row],[2024]]="","",DONNÉES!AB112)</f>
        <v/>
      </c>
      <c r="U40" s="177" t="str">
        <f>IF(TRDTIRR[[#This Row],[2024]]="","",DONNÉES!AA192)</f>
        <v/>
      </c>
      <c r="V40" s="128" t="str">
        <f>IF(TRDTIRR[[#This Row],[2024]]="","",DONNÉES!AB192)</f>
        <v/>
      </c>
    </row>
    <row r="41" spans="1:22" ht="11.65" customHeight="1" x14ac:dyDescent="0.2">
      <c r="A41" s="170" t="s">
        <v>78</v>
      </c>
      <c r="B41" s="128" t="str">
        <f>IF(DONNÉES!AA49="","",DONNÉES!AA49)</f>
        <v/>
      </c>
      <c r="C41" s="177" t="str">
        <f>IF(TRDTIRR[[#This Row],[2024]]="","",DONNÉES!AB49)</f>
        <v/>
      </c>
      <c r="D41" s="128" t="str">
        <f>IF(TRDTIRR[[#This Row],[2024]]="","",DONNÉES!AA129)</f>
        <v/>
      </c>
      <c r="E41" s="178" t="str">
        <f>IF(TRDTIRR[[#This Row],[2024]]="","",DONNÉES!AB129)</f>
        <v/>
      </c>
      <c r="F41" s="128" t="str">
        <f>IF(TRDTIRR[[#This Row],[2024]]="","",DONNÉES!AA65)</f>
        <v/>
      </c>
      <c r="G41" s="177" t="str">
        <f>IF(TRDTIRR[[#This Row],[2024]]="","",DONNÉES!AB65)</f>
        <v/>
      </c>
      <c r="H41" s="128" t="str">
        <f>IF(TRDTIRR[[#This Row],[2024]]="","",DONNÉES!AA145)</f>
        <v/>
      </c>
      <c r="I41" s="178" t="str">
        <f>IF(TRDTIRR[[#This Row],[2024]]="","",DONNÉES!AB145)</f>
        <v/>
      </c>
      <c r="J41" s="128" t="str">
        <f>IF(TRDTIRR[[#This Row],[2024]]="","",DONNÉES!AA81)</f>
        <v/>
      </c>
      <c r="K41" s="177" t="str">
        <f>IF(TRDTIRR[[#This Row],[2024]]="","",DONNÉES!AB81)</f>
        <v/>
      </c>
      <c r="L41" s="128" t="str">
        <f>IF(TRDTIRR[[#This Row],[2024]]="","",DONNÉES!AA161)</f>
        <v/>
      </c>
      <c r="M41" s="178" t="str">
        <f>IF(TRDTIRR[[#This Row],[2024]]="","",DONNÉES!AB161)</f>
        <v/>
      </c>
      <c r="N41" s="128" t="str">
        <f>IF(TRDTIRR[[#This Row],[2024]]="","",DONNÉES!AA97)</f>
        <v/>
      </c>
      <c r="O41" s="177" t="str">
        <f>IF(TRDTIRR[[#This Row],[2024]]="","",DONNÉES!AB97)</f>
        <v/>
      </c>
      <c r="P41" s="128" t="str">
        <f>IF(TRDTIRR[[#This Row],[2024]]="","",DONNÉES!AA177)</f>
        <v/>
      </c>
      <c r="Q41" s="128" t="str">
        <f>IF(TRDTIRR[[#This Row],[2024]]="","",DONNÉES!AB177)</f>
        <v/>
      </c>
      <c r="R41" s="181"/>
      <c r="S41" s="128" t="str">
        <f>IF(TRDTIRR[[#This Row],[2024]]="","",DONNÉES!AA113)</f>
        <v/>
      </c>
      <c r="T41" s="177" t="str">
        <f>IF(TRDTIRR[[#This Row],[2024]]="","",DONNÉES!AB113)</f>
        <v/>
      </c>
      <c r="U41" s="177" t="str">
        <f>IF(TRDTIRR[[#This Row],[2024]]="","",DONNÉES!AA193)</f>
        <v/>
      </c>
      <c r="V41" s="128" t="str">
        <f>IF(TRDTIRR[[#This Row],[2024]]="","",DONNÉES!AB193)</f>
        <v/>
      </c>
    </row>
    <row r="42" spans="1:22" ht="11.65" customHeight="1" x14ac:dyDescent="0.2">
      <c r="A42" s="169" t="s">
        <v>79</v>
      </c>
      <c r="B42" s="128" t="str">
        <f>IF(DONNÉES!AA50="","",DONNÉES!AA50)</f>
        <v/>
      </c>
      <c r="C42" s="177" t="str">
        <f>IF(TRDTIRR[[#This Row],[2024]]="","",DONNÉES!AB50)</f>
        <v/>
      </c>
      <c r="D42" s="128" t="str">
        <f>IF(TRDTIRR[[#This Row],[2024]]="","",DONNÉES!AA130)</f>
        <v/>
      </c>
      <c r="E42" s="178" t="str">
        <f>IF(TRDTIRR[[#This Row],[2024]]="","",DONNÉES!AB130)</f>
        <v/>
      </c>
      <c r="F42" s="128" t="str">
        <f>IF(TRDTIRR[[#This Row],[2024]]="","",DONNÉES!AA66)</f>
        <v/>
      </c>
      <c r="G42" s="177" t="str">
        <f>IF(TRDTIRR[[#This Row],[2024]]="","",DONNÉES!AB66)</f>
        <v/>
      </c>
      <c r="H42" s="128" t="str">
        <f>IF(TRDTIRR[[#This Row],[2024]]="","",DONNÉES!AA146)</f>
        <v/>
      </c>
      <c r="I42" s="178" t="str">
        <f>IF(TRDTIRR[[#This Row],[2024]]="","",DONNÉES!AB146)</f>
        <v/>
      </c>
      <c r="J42" s="128" t="str">
        <f>IF(TRDTIRR[[#This Row],[2024]]="","",DONNÉES!AA82)</f>
        <v/>
      </c>
      <c r="K42" s="177" t="str">
        <f>IF(TRDTIRR[[#This Row],[2024]]="","",DONNÉES!AB82)</f>
        <v/>
      </c>
      <c r="L42" s="128" t="str">
        <f>IF(TRDTIRR[[#This Row],[2024]]="","",DONNÉES!AA162)</f>
        <v/>
      </c>
      <c r="M42" s="178" t="str">
        <f>IF(TRDTIRR[[#This Row],[2024]]="","",DONNÉES!AB162)</f>
        <v/>
      </c>
      <c r="N42" s="128" t="str">
        <f>IF(TRDTIRR[[#This Row],[2024]]="","",DONNÉES!AA98)</f>
        <v/>
      </c>
      <c r="O42" s="177" t="str">
        <f>IF(TRDTIRR[[#This Row],[2024]]="","",DONNÉES!AB98)</f>
        <v/>
      </c>
      <c r="P42" s="128" t="str">
        <f>IF(TRDTIRR[[#This Row],[2024]]="","",DONNÉES!AA178)</f>
        <v/>
      </c>
      <c r="Q42" s="128" t="str">
        <f>IF(TRDTIRR[[#This Row],[2024]]="","",DONNÉES!AB178)</f>
        <v/>
      </c>
      <c r="R42" s="181"/>
      <c r="S42" s="128" t="str">
        <f>IF(TRDTIRR[[#This Row],[2024]]="","",DONNÉES!AA114)</f>
        <v/>
      </c>
      <c r="T42" s="177" t="str">
        <f>IF(TRDTIRR[[#This Row],[2024]]="","",DONNÉES!AB114)</f>
        <v/>
      </c>
      <c r="U42" s="177" t="str">
        <f>IF(TRDTIRR[[#This Row],[2024]]="","",DONNÉES!AA194)</f>
        <v/>
      </c>
      <c r="V42" s="128" t="str">
        <f>IF(TRDTIRR[[#This Row],[2024]]="","",DONNÉES!AB194)</f>
        <v/>
      </c>
    </row>
    <row r="43" spans="1:22" ht="11.65" customHeight="1" x14ac:dyDescent="0.2">
      <c r="A43" s="170" t="s">
        <v>80</v>
      </c>
      <c r="B43" s="128" t="str">
        <f>IF(DONNÉES!AA51="","",DONNÉES!AA51)</f>
        <v/>
      </c>
      <c r="C43" s="177" t="str">
        <f>IF(TRDTIRR[[#This Row],[2024]]="","",DONNÉES!AB51)</f>
        <v/>
      </c>
      <c r="D43" s="128" t="str">
        <f>IF(TRDTIRR[[#This Row],[2024]]="","",DONNÉES!AA131)</f>
        <v/>
      </c>
      <c r="E43" s="178" t="str">
        <f>IF(TRDTIRR[[#This Row],[2024]]="","",DONNÉES!AB131)</f>
        <v/>
      </c>
      <c r="F43" s="128" t="str">
        <f>IF(TRDTIRR[[#This Row],[2024]]="","",DONNÉES!AA67)</f>
        <v/>
      </c>
      <c r="G43" s="177" t="str">
        <f>IF(TRDTIRR[[#This Row],[2024]]="","",DONNÉES!AB67)</f>
        <v/>
      </c>
      <c r="H43" s="128" t="str">
        <f>IF(TRDTIRR[[#This Row],[2024]]="","",DONNÉES!AA147)</f>
        <v/>
      </c>
      <c r="I43" s="178" t="str">
        <f>IF(TRDTIRR[[#This Row],[2024]]="","",DONNÉES!AB147)</f>
        <v/>
      </c>
      <c r="J43" s="128" t="str">
        <f>IF(TRDTIRR[[#This Row],[2024]]="","",DONNÉES!AA83)</f>
        <v/>
      </c>
      <c r="K43" s="177" t="str">
        <f>IF(TRDTIRR[[#This Row],[2024]]="","",DONNÉES!AB83)</f>
        <v/>
      </c>
      <c r="L43" s="128" t="str">
        <f>IF(TRDTIRR[[#This Row],[2024]]="","",DONNÉES!AA163)</f>
        <v/>
      </c>
      <c r="M43" s="178" t="str">
        <f>IF(TRDTIRR[[#This Row],[2024]]="","",DONNÉES!AB163)</f>
        <v/>
      </c>
      <c r="N43" s="128" t="str">
        <f>IF(TRDTIRR[[#This Row],[2024]]="","",DONNÉES!AA99)</f>
        <v/>
      </c>
      <c r="O43" s="177" t="str">
        <f>IF(TRDTIRR[[#This Row],[2024]]="","",DONNÉES!AB99)</f>
        <v/>
      </c>
      <c r="P43" s="128" t="str">
        <f>IF(TRDTIRR[[#This Row],[2024]]="","",DONNÉES!AA179)</f>
        <v/>
      </c>
      <c r="Q43" s="128" t="str">
        <f>IF(TRDTIRR[[#This Row],[2024]]="","",DONNÉES!AB179)</f>
        <v/>
      </c>
      <c r="R43" s="181"/>
      <c r="S43" s="128" t="str">
        <f>IF(TRDTIRR[[#This Row],[2024]]="","",DONNÉES!AA115)</f>
        <v/>
      </c>
      <c r="T43" s="177" t="str">
        <f>IF(TRDTIRR[[#This Row],[2024]]="","",DONNÉES!AB115)</f>
        <v/>
      </c>
      <c r="U43" s="177" t="str">
        <f>IF(TRDTIRR[[#This Row],[2024]]="","",DONNÉES!AA195)</f>
        <v/>
      </c>
      <c r="V43" s="128" t="str">
        <f>IF(TRDTIRR[[#This Row],[2024]]="","",DONNÉES!AB195)</f>
        <v/>
      </c>
    </row>
    <row r="44" spans="1:22" ht="11.65" customHeight="1" x14ac:dyDescent="0.2">
      <c r="A44" s="169" t="s">
        <v>81</v>
      </c>
      <c r="B44" s="130" t="str">
        <f>IF(DONNÉES!AA52="","",DONNÉES!AA52)</f>
        <v/>
      </c>
      <c r="C44" s="182" t="str">
        <f>IF(TRDTIRR[[#This Row],[2024]]="","",DONNÉES!AB52)</f>
        <v/>
      </c>
      <c r="D44" s="130" t="str">
        <f>IF(TRDTIRR[[#This Row],[2024]]="","",DONNÉES!AA132)</f>
        <v/>
      </c>
      <c r="E44" s="183" t="str">
        <f>IF(TRDTIRR[[#This Row],[2024]]="","",DONNÉES!AB132)</f>
        <v/>
      </c>
      <c r="F44" s="128" t="str">
        <f>IF(TRDTIRR[[#This Row],[2024]]="","",DONNÉES!AA68)</f>
        <v/>
      </c>
      <c r="G44" s="177" t="str">
        <f>IF(TRDTIRR[[#This Row],[2024]]="","",DONNÉES!AB68)</f>
        <v/>
      </c>
      <c r="H44" s="130" t="str">
        <f>IF(TRDTIRR[[#This Row],[2024]]="","",DONNÉES!AA148)</f>
        <v/>
      </c>
      <c r="I44" s="183" t="str">
        <f>IF(TRDTIRR[[#This Row],[2024]]="","",DONNÉES!AB148)</f>
        <v/>
      </c>
      <c r="J44" s="130" t="str">
        <f>IF(TRDTIRR[[#This Row],[2024]]="","",DONNÉES!AA84)</f>
        <v/>
      </c>
      <c r="K44" s="182" t="str">
        <f>IF(TRDTIRR[[#This Row],[2024]]="","",DONNÉES!AB84)</f>
        <v/>
      </c>
      <c r="L44" s="130" t="str">
        <f>IF(TRDTIRR[[#This Row],[2024]]="","",DONNÉES!AA164)</f>
        <v/>
      </c>
      <c r="M44" s="183" t="str">
        <f>IF(TRDTIRR[[#This Row],[2024]]="","",DONNÉES!AB164)</f>
        <v/>
      </c>
      <c r="N44" s="130" t="str">
        <f>IF(TRDTIRR[[#This Row],[2024]]="","",DONNÉES!AA100)</f>
        <v/>
      </c>
      <c r="O44" s="182" t="str">
        <f>IF(TRDTIRR[[#This Row],[2024]]="","",DONNÉES!AB100)</f>
        <v/>
      </c>
      <c r="P44" s="130" t="str">
        <f>IF(TRDTIRR[[#This Row],[2024]]="","",DONNÉES!AA180)</f>
        <v/>
      </c>
      <c r="Q44" s="130" t="str">
        <f>IF(TRDTIRR[[#This Row],[2024]]="","",DONNÉES!AB180)</f>
        <v/>
      </c>
      <c r="R44" s="181"/>
      <c r="S44" s="130" t="str">
        <f>IF(TRDTIRR[[#This Row],[2024]]="","",DONNÉES!AA116)</f>
        <v/>
      </c>
      <c r="T44" s="182" t="str">
        <f>IF(TRDTIRR[[#This Row],[2024]]="","",DONNÉES!AB116)</f>
        <v/>
      </c>
      <c r="U44" s="182" t="str">
        <f>IF(TRDTIRR[[#This Row],[2024]]="","",DONNÉES!AA196)</f>
        <v/>
      </c>
      <c r="V44" s="130" t="str">
        <f>IF(TRDTIRR[[#This Row],[2024]]="","",DONNÉES!AB196)</f>
        <v/>
      </c>
    </row>
    <row r="45" spans="1:22" ht="11.65" customHeight="1" x14ac:dyDescent="0.2">
      <c r="A45" s="170" t="s">
        <v>82</v>
      </c>
      <c r="B45" s="130" t="str">
        <f>IF(DONNÉES!AA53="","",DONNÉES!AA53)</f>
        <v/>
      </c>
      <c r="C45" s="182" t="str">
        <f>IF(TRDTIRR[[#This Row],[2024]]="","",DONNÉES!AB53)</f>
        <v/>
      </c>
      <c r="D45" s="130" t="str">
        <f>IF(TRDTIRR[[#This Row],[2024]]="","",DONNÉES!AA133)</f>
        <v/>
      </c>
      <c r="E45" s="183" t="str">
        <f>IF(TRDTIRR[[#This Row],[2024]]="","",DONNÉES!AB133)</f>
        <v/>
      </c>
      <c r="F45" s="128" t="str">
        <f>IF(TRDTIRR[[#This Row],[2024]]="","",DONNÉES!AA69)</f>
        <v/>
      </c>
      <c r="G45" s="177" t="str">
        <f>IF(TRDTIRR[[#This Row],[2024]]="","",DONNÉES!AB69)</f>
        <v/>
      </c>
      <c r="H45" s="130" t="str">
        <f>IF(TRDTIRR[[#This Row],[2024]]="","",DONNÉES!AA149)</f>
        <v/>
      </c>
      <c r="I45" s="183" t="str">
        <f>IF(TRDTIRR[[#This Row],[2024]]="","",DONNÉES!AB149)</f>
        <v/>
      </c>
      <c r="J45" s="130" t="str">
        <f>IF(TRDTIRR[[#This Row],[2024]]="","",DONNÉES!AA85)</f>
        <v/>
      </c>
      <c r="K45" s="182" t="str">
        <f>IF(TRDTIRR[[#This Row],[2024]]="","",DONNÉES!AB85)</f>
        <v/>
      </c>
      <c r="L45" s="130" t="str">
        <f>IF(TRDTIRR[[#This Row],[2024]]="","",DONNÉES!AA165)</f>
        <v/>
      </c>
      <c r="M45" s="183" t="str">
        <f>IF(TRDTIRR[[#This Row],[2024]]="","",DONNÉES!AB165)</f>
        <v/>
      </c>
      <c r="N45" s="130" t="str">
        <f>IF(TRDTIRR[[#This Row],[2024]]="","",DONNÉES!AA101)</f>
        <v/>
      </c>
      <c r="O45" s="182" t="str">
        <f>IF(TRDTIRR[[#This Row],[2024]]="","",DONNÉES!AB101)</f>
        <v/>
      </c>
      <c r="P45" s="130" t="str">
        <f>IF(TRDTIRR[[#This Row],[2024]]="","",DONNÉES!AA181)</f>
        <v/>
      </c>
      <c r="Q45" s="130" t="str">
        <f>IF(TRDTIRR[[#This Row],[2024]]="","",DONNÉES!AB181)</f>
        <v/>
      </c>
      <c r="R45" s="181"/>
      <c r="S45" s="130" t="str">
        <f>IF(TRDTIRR[[#This Row],[2024]]="","",DONNÉES!AA117)</f>
        <v/>
      </c>
      <c r="T45" s="182" t="str">
        <f>IF(TRDTIRR[[#This Row],[2024]]="","",DONNÉES!AB117)</f>
        <v/>
      </c>
      <c r="U45" s="182" t="str">
        <f>IF(TRDTIRR[[#This Row],[2024]]="","",DONNÉES!AA197)</f>
        <v/>
      </c>
      <c r="V45" s="130" t="str">
        <f>IF(TRDTIRR[[#This Row],[2024]]="","",DONNÉES!AB197)</f>
        <v/>
      </c>
    </row>
    <row r="46" spans="1:22" ht="11.65" customHeight="1" x14ac:dyDescent="0.2">
      <c r="A46" s="169" t="s">
        <v>83</v>
      </c>
      <c r="B46" s="130" t="str">
        <f>IF(DONNÉES!AA54="","",DONNÉES!AA54)</f>
        <v/>
      </c>
      <c r="C46" s="182" t="str">
        <f>IF(TRDTIRR[[#This Row],[2024]]="","",DONNÉES!AB54)</f>
        <v/>
      </c>
      <c r="D46" s="130" t="str">
        <f>IF(TRDTIRR[[#This Row],[2024]]="","",DONNÉES!AA134)</f>
        <v/>
      </c>
      <c r="E46" s="183" t="str">
        <f>IF(TRDTIRR[[#This Row],[2024]]="","",DONNÉES!AB134)</f>
        <v/>
      </c>
      <c r="F46" s="128" t="str">
        <f>IF(TRDTIRR[[#This Row],[2024]]="","",DONNÉES!AA70)</f>
        <v/>
      </c>
      <c r="G46" s="177" t="str">
        <f>IF(TRDTIRR[[#This Row],[2024]]="","",DONNÉES!AB70)</f>
        <v/>
      </c>
      <c r="H46" s="130" t="str">
        <f>IF(TRDTIRR[[#This Row],[2024]]="","",DONNÉES!AA150)</f>
        <v/>
      </c>
      <c r="I46" s="183" t="str">
        <f>IF(TRDTIRR[[#This Row],[2024]]="","",DONNÉES!AB150)</f>
        <v/>
      </c>
      <c r="J46" s="130" t="str">
        <f>IF(TRDTIRR[[#This Row],[2024]]="","",DONNÉES!AA86)</f>
        <v/>
      </c>
      <c r="K46" s="182" t="str">
        <f>IF(TRDTIRR[[#This Row],[2024]]="","",DONNÉES!AB86)</f>
        <v/>
      </c>
      <c r="L46" s="130" t="str">
        <f>IF(TRDTIRR[[#This Row],[2024]]="","",DONNÉES!AA166)</f>
        <v/>
      </c>
      <c r="M46" s="183" t="str">
        <f>IF(TRDTIRR[[#This Row],[2024]]="","",DONNÉES!AB166)</f>
        <v/>
      </c>
      <c r="N46" s="130" t="str">
        <f>IF(TRDTIRR[[#This Row],[2024]]="","",DONNÉES!AA102)</f>
        <v/>
      </c>
      <c r="O46" s="182" t="str">
        <f>IF(TRDTIRR[[#This Row],[2024]]="","",DONNÉES!AB102)</f>
        <v/>
      </c>
      <c r="P46" s="130" t="str">
        <f>IF(TRDTIRR[[#This Row],[2024]]="","",DONNÉES!AA182)</f>
        <v/>
      </c>
      <c r="Q46" s="130" t="str">
        <f>IF(TRDTIRR[[#This Row],[2024]]="","",DONNÉES!AB182)</f>
        <v/>
      </c>
      <c r="R46" s="185"/>
      <c r="S46" s="130" t="str">
        <f>IF(TRDTIRR[[#This Row],[2024]]="","",DONNÉES!AA118)</f>
        <v/>
      </c>
      <c r="T46" s="182" t="str">
        <f>IF(TRDTIRR[[#This Row],[2024]]="","",DONNÉES!AB118)</f>
        <v/>
      </c>
      <c r="U46" s="182" t="str">
        <f>IF(TRDTIRR[[#This Row],[2024]]="","",DONNÉES!AA198)</f>
        <v/>
      </c>
      <c r="V46" s="130" t="str">
        <f>IF(TRDTIRR[[#This Row],[2024]]="","",DONNÉES!AB198)</f>
        <v/>
      </c>
    </row>
    <row r="47" spans="1:22" ht="11.65" customHeight="1" x14ac:dyDescent="0.2">
      <c r="A47" s="169" t="s">
        <v>84</v>
      </c>
      <c r="B47" s="130" t="str">
        <f>IF(DONNÉES!AA55="","",DONNÉES!AA55)</f>
        <v/>
      </c>
      <c r="C47" s="182" t="str">
        <f>IF(TRDTIRR[[#This Row],[2024]]="","",DONNÉES!AB55)</f>
        <v/>
      </c>
      <c r="D47" s="130" t="str">
        <f>IF(TRDTIRR[[#This Row],[2024]]="","",DONNÉES!AA135)</f>
        <v/>
      </c>
      <c r="E47" s="183" t="str">
        <f>IF(TRDTIRR[[#This Row],[2024]]="","",DONNÉES!AB135)</f>
        <v/>
      </c>
      <c r="F47" s="128" t="str">
        <f>IF(TRDTIRR[[#This Row],[2024]]="","",DONNÉES!AA71)</f>
        <v/>
      </c>
      <c r="G47" s="177" t="str">
        <f>IF(TRDTIRR[[#This Row],[2024]]="","",DONNÉES!AB71)</f>
        <v/>
      </c>
      <c r="H47" s="130" t="str">
        <f>IF(TRDTIRR[[#This Row],[2024]]="","",DONNÉES!AA151)</f>
        <v/>
      </c>
      <c r="I47" s="183" t="str">
        <f>IF(TRDTIRR[[#This Row],[2024]]="","",DONNÉES!AB151)</f>
        <v/>
      </c>
      <c r="J47" s="130" t="str">
        <f>IF(TRDTIRR[[#This Row],[2024]]="","",DONNÉES!AA87)</f>
        <v/>
      </c>
      <c r="K47" s="182" t="str">
        <f>IF(TRDTIRR[[#This Row],[2024]]="","",DONNÉES!AB87)</f>
        <v/>
      </c>
      <c r="L47" s="130" t="str">
        <f>IF(TRDTIRR[[#This Row],[2024]]="","",DONNÉES!AA167)</f>
        <v/>
      </c>
      <c r="M47" s="183" t="str">
        <f>IF(TRDTIRR[[#This Row],[2024]]="","",DONNÉES!AB167)</f>
        <v/>
      </c>
      <c r="N47" s="130" t="str">
        <f>IF(TRDTIRR[[#This Row],[2024]]="","",DONNÉES!AA103)</f>
        <v/>
      </c>
      <c r="O47" s="182" t="str">
        <f>IF(TRDTIRR[[#This Row],[2024]]="","",DONNÉES!AB103)</f>
        <v/>
      </c>
      <c r="P47" s="130" t="str">
        <f>IF(TRDTIRR[[#This Row],[2024]]="","",DONNÉES!AA183)</f>
        <v/>
      </c>
      <c r="Q47" s="130" t="str">
        <f>IF(TRDTIRR[[#This Row],[2024]]="","",DONNÉES!AB183)</f>
        <v/>
      </c>
      <c r="R47" s="181"/>
      <c r="S47" s="130" t="str">
        <f>IF(TRDTIRR[[#This Row],[2024]]="","",DONNÉES!AA119)</f>
        <v/>
      </c>
      <c r="T47" s="182" t="str">
        <f>IF(TRDTIRR[[#This Row],[2024]]="","",DONNÉES!AB119)</f>
        <v/>
      </c>
      <c r="U47" s="182" t="str">
        <f>IF(TRDTIRR[[#This Row],[2024]]="","",DONNÉES!AA199)</f>
        <v/>
      </c>
      <c r="V47" s="130" t="str">
        <f>IF(TRDTIRR[[#This Row],[2024]]="","",DONNÉES!AB199)</f>
        <v/>
      </c>
    </row>
    <row r="48" spans="1:22" s="81" customFormat="1" ht="10.15" customHeight="1" x14ac:dyDescent="0.2">
      <c r="A48" s="79"/>
      <c r="B48" s="112"/>
      <c r="C48" s="112"/>
      <c r="D48" s="101"/>
      <c r="E48" s="112"/>
      <c r="F48" s="112"/>
      <c r="G48" s="118"/>
      <c r="H48" s="79"/>
      <c r="I48" s="82"/>
      <c r="J48" s="112"/>
      <c r="K48" s="112"/>
      <c r="L48" s="101"/>
      <c r="M48" s="118"/>
      <c r="N48" s="79"/>
      <c r="O48" s="79"/>
      <c r="P48" s="79"/>
      <c r="Q48" s="79"/>
      <c r="R48" s="180"/>
      <c r="S48" s="79"/>
      <c r="T48" s="79"/>
      <c r="U48" s="79"/>
      <c r="V48" s="79"/>
    </row>
    <row r="49" spans="1:22" s="81" customFormat="1" ht="11.65" customHeight="1" x14ac:dyDescent="0.2">
      <c r="A49" s="79"/>
      <c r="B49" s="112"/>
      <c r="C49" s="112"/>
      <c r="D49" s="101"/>
      <c r="E49" s="112"/>
      <c r="F49" s="112"/>
      <c r="G49" s="118"/>
      <c r="H49" s="79"/>
      <c r="I49" s="82"/>
      <c r="J49" s="112"/>
      <c r="K49" s="112"/>
      <c r="L49" s="101"/>
      <c r="M49" s="118"/>
      <c r="N49" s="79"/>
      <c r="O49" s="79"/>
      <c r="P49" s="79"/>
      <c r="Q49" s="79"/>
      <c r="R49" s="180"/>
      <c r="S49" s="79"/>
      <c r="T49" s="79"/>
      <c r="U49" s="79"/>
      <c r="V49" s="79"/>
    </row>
    <row r="50" spans="1:22" s="81" customFormat="1" ht="11.65" customHeight="1" x14ac:dyDescent="0.2">
      <c r="A50" s="79"/>
      <c r="B50" s="112"/>
      <c r="C50" s="112"/>
      <c r="D50" s="101"/>
      <c r="E50" s="112"/>
      <c r="F50" s="112"/>
      <c r="G50" s="118"/>
      <c r="H50" s="79"/>
      <c r="I50" s="82"/>
      <c r="J50" s="112"/>
      <c r="K50" s="112"/>
      <c r="L50" s="101"/>
      <c r="M50" s="118"/>
      <c r="N50" s="79"/>
      <c r="O50" s="79"/>
      <c r="P50" s="79"/>
      <c r="Q50" s="79"/>
      <c r="R50" s="180"/>
      <c r="S50" s="79"/>
      <c r="T50" s="79"/>
      <c r="U50" s="79"/>
      <c r="V50" s="79"/>
    </row>
    <row r="51" spans="1:22" s="81" customFormat="1" ht="14.65" customHeight="1" x14ac:dyDescent="0.2">
      <c r="A51" s="176"/>
      <c r="B51" s="343" t="s">
        <v>195</v>
      </c>
      <c r="C51" s="343"/>
      <c r="D51" s="343"/>
      <c r="E51" s="344"/>
      <c r="F51" s="343" t="s">
        <v>196</v>
      </c>
      <c r="G51" s="343"/>
      <c r="H51" s="343"/>
      <c r="I51" s="344"/>
      <c r="J51" s="343" t="s">
        <v>198</v>
      </c>
      <c r="K51" s="343"/>
      <c r="L51" s="343"/>
      <c r="M51" s="344"/>
      <c r="N51" s="343" t="s">
        <v>199</v>
      </c>
      <c r="O51" s="343"/>
      <c r="P51" s="343"/>
      <c r="Q51" s="343"/>
      <c r="R51" s="180"/>
      <c r="S51" s="343" t="s">
        <v>197</v>
      </c>
      <c r="T51" s="343"/>
      <c r="U51" s="343"/>
      <c r="V51" s="343"/>
    </row>
    <row r="52" spans="1:22" s="81" customFormat="1" ht="28.9" customHeight="1" x14ac:dyDescent="0.2">
      <c r="A52" s="169" t="s">
        <v>3003</v>
      </c>
      <c r="B52" s="108" t="s">
        <v>6962</v>
      </c>
      <c r="C52" s="166" t="s">
        <v>2169</v>
      </c>
      <c r="D52" s="108" t="s">
        <v>6986</v>
      </c>
      <c r="E52" s="172" t="s">
        <v>6944</v>
      </c>
      <c r="F52" s="211" t="s">
        <v>6987</v>
      </c>
      <c r="G52" s="166" t="s">
        <v>6945</v>
      </c>
      <c r="H52" s="108" t="s">
        <v>6988</v>
      </c>
      <c r="I52" s="172" t="s">
        <v>6946</v>
      </c>
      <c r="J52" s="108" t="s">
        <v>6989</v>
      </c>
      <c r="K52" s="166" t="s">
        <v>6947</v>
      </c>
      <c r="L52" s="108" t="s">
        <v>6990</v>
      </c>
      <c r="M52" s="172" t="s">
        <v>6948</v>
      </c>
      <c r="N52" s="108" t="s">
        <v>6991</v>
      </c>
      <c r="O52" s="166" t="s">
        <v>6949</v>
      </c>
      <c r="P52" s="108" t="s">
        <v>6992</v>
      </c>
      <c r="Q52" s="94" t="s">
        <v>6950</v>
      </c>
      <c r="R52" s="79"/>
      <c r="S52" s="108" t="s">
        <v>6962</v>
      </c>
      <c r="T52" s="166" t="s">
        <v>2169</v>
      </c>
      <c r="U52" s="108" t="s">
        <v>6986</v>
      </c>
      <c r="V52" s="172" t="s">
        <v>6944</v>
      </c>
    </row>
    <row r="53" spans="1:22" ht="11.65" customHeight="1" x14ac:dyDescent="0.2">
      <c r="A53" s="170" t="s">
        <v>73</v>
      </c>
      <c r="B53" s="128" t="str">
        <f>IF(DONNÉES!AI44="","",DONNÉES!AI44)</f>
        <v/>
      </c>
      <c r="C53" s="177" t="str">
        <f>IF(TRDVR7[[#This Row],[2024]]="","",DONNÉES!AJ44)</f>
        <v/>
      </c>
      <c r="D53" s="128" t="str">
        <f>IF(TRDVR7[[#This Row],[2024]]="","",DONNÉES!AI124)</f>
        <v/>
      </c>
      <c r="E53" s="178" t="str">
        <f>IF(TRDVR7[[#This Row],[2024]]="","",DONNÉES!AJ124)</f>
        <v/>
      </c>
      <c r="F53" s="128" t="str">
        <f>IF(TRDVR7[[#This Row],[2024]]="","",DONNÉES!AI60)</f>
        <v/>
      </c>
      <c r="G53" s="177" t="str">
        <f>IF(TRDVR7[[#This Row],[2024]]="","",DONNÉES!AJ60)</f>
        <v/>
      </c>
      <c r="H53" s="128" t="str">
        <f>IF(TRDVR7[[#This Row],[2024]]="","",DONNÉES!AI140)</f>
        <v/>
      </c>
      <c r="I53" s="178" t="str">
        <f>IF(TRDVR7[[#This Row],[2024]]="","",DONNÉES!AJ140)</f>
        <v/>
      </c>
      <c r="J53" s="128" t="str">
        <f>IF(TRDVR7[[#This Row],[2024]]="","",DONNÉES!AI76)</f>
        <v/>
      </c>
      <c r="K53" s="177" t="str">
        <f>IF(TRDVR7[[#This Row],[2024]]="","",DONNÉES!AJ76)</f>
        <v/>
      </c>
      <c r="L53" s="128" t="str">
        <f>IF(TRDVR7[[#This Row],[2024]]="","",DONNÉES!AI156)</f>
        <v/>
      </c>
      <c r="M53" s="178" t="str">
        <f>IF(TRDVR7[[#This Row],[2024]]="","",DONNÉES!AJ156)</f>
        <v/>
      </c>
      <c r="N53" s="128" t="str">
        <f>IF(TRDVR7[[#This Row],[2024]]="","",DONNÉES!AI92)</f>
        <v/>
      </c>
      <c r="O53" s="177" t="str">
        <f>IF(TRDVR7[[#This Row],[2024]]="","",DONNÉES!AJ92)</f>
        <v/>
      </c>
      <c r="P53" s="128" t="str">
        <f>IF(TRDVR7[[#This Row],[2024]]="","",DONNÉES!AI172)</f>
        <v/>
      </c>
      <c r="Q53" s="128" t="str">
        <f>IF(TRDVR7[[#This Row],[2024]]="","",DONNÉES!AJ172)</f>
        <v/>
      </c>
      <c r="S53" s="128" t="str">
        <f>IF(TRDVR7[[#This Row],[2024]]="","",DONNÉES!AI108)</f>
        <v/>
      </c>
      <c r="T53" s="177" t="str">
        <f>IF(TRDVR7[[#This Row],[2024]]="","",DONNÉES!AJ108)</f>
        <v/>
      </c>
      <c r="U53" s="128" t="str">
        <f>IF(TRDVR7[[#This Row],[2024]]="","",DONNÉES!AI188)</f>
        <v/>
      </c>
      <c r="V53" s="128" t="str">
        <f>IF(TRDVR7[[#This Row],[2024]]="","",DONNÉES!AJ188)</f>
        <v/>
      </c>
    </row>
    <row r="54" spans="1:22" ht="11.65" customHeight="1" x14ac:dyDescent="0.2">
      <c r="A54" s="170" t="s">
        <v>74</v>
      </c>
      <c r="B54" s="128" t="str">
        <f>IF(DONNÉES!AI45="","",DONNÉES!AI45)</f>
        <v/>
      </c>
      <c r="C54" s="177" t="str">
        <f>IF(TRDVR7[[#This Row],[2024]]="","",DONNÉES!AJ45)</f>
        <v/>
      </c>
      <c r="D54" s="128" t="str">
        <f>IF(TRDVR7[[#This Row],[2024]]="","",DONNÉES!AI125)</f>
        <v/>
      </c>
      <c r="E54" s="178" t="str">
        <f>IF(TRDVR7[[#This Row],[2024]]="","",DONNÉES!AJ125)</f>
        <v/>
      </c>
      <c r="F54" s="128" t="str">
        <f>IF(TRDVR7[[#This Row],[2024]]="","",DONNÉES!AI61)</f>
        <v/>
      </c>
      <c r="G54" s="177" t="str">
        <f>IF(TRDVR7[[#This Row],[2024]]="","",DONNÉES!AJ61)</f>
        <v/>
      </c>
      <c r="H54" s="128" t="str">
        <f>IF(TRDVR7[[#This Row],[2024]]="","",DONNÉES!AI141)</f>
        <v/>
      </c>
      <c r="I54" s="178" t="str">
        <f>IF(TRDVR7[[#This Row],[2024]]="","",DONNÉES!AJ141)</f>
        <v/>
      </c>
      <c r="J54" s="128" t="str">
        <f>IF(TRDVR7[[#This Row],[2024]]="","",DONNÉES!AI77)</f>
        <v/>
      </c>
      <c r="K54" s="177" t="str">
        <f>IF(TRDVR7[[#This Row],[2024]]="","",DONNÉES!AJ77)</f>
        <v/>
      </c>
      <c r="L54" s="128" t="str">
        <f>IF(TRDVR7[[#This Row],[2024]]="","",DONNÉES!AI157)</f>
        <v/>
      </c>
      <c r="M54" s="178" t="str">
        <f>IF(TRDVR7[[#This Row],[2024]]="","",DONNÉES!AJ157)</f>
        <v/>
      </c>
      <c r="N54" s="128" t="str">
        <f>IF(TRDVR7[[#This Row],[2024]]="","",DONNÉES!AI93)</f>
        <v/>
      </c>
      <c r="O54" s="177" t="str">
        <f>IF(TRDVR7[[#This Row],[2024]]="","",DONNÉES!AJ93)</f>
        <v/>
      </c>
      <c r="P54" s="128" t="str">
        <f>IF(TRDVR7[[#This Row],[2024]]="","",DONNÉES!AI173)</f>
        <v/>
      </c>
      <c r="Q54" s="128" t="str">
        <f>IF(TRDVR7[[#This Row],[2024]]="","",DONNÉES!AJ173)</f>
        <v/>
      </c>
      <c r="S54" s="128" t="str">
        <f>IF(TRDVR7[[#This Row],[2024]]="","",DONNÉES!AI109)</f>
        <v/>
      </c>
      <c r="T54" s="177" t="str">
        <f>IF(TRDVR7[[#This Row],[2024]]="","",DONNÉES!AJ109)</f>
        <v/>
      </c>
      <c r="U54" s="128" t="str">
        <f>IF(TRDVR7[[#This Row],[2024]]="","",DONNÉES!AI189)</f>
        <v/>
      </c>
      <c r="V54" s="128" t="str">
        <f>IF(TRDVR7[[#This Row],[2024]]="","",DONNÉES!AJ189)</f>
        <v/>
      </c>
    </row>
    <row r="55" spans="1:22" ht="11.65" customHeight="1" x14ac:dyDescent="0.2">
      <c r="A55" s="169" t="s">
        <v>75</v>
      </c>
      <c r="B55" s="128" t="str">
        <f>IF(DONNÉES!AI46="","",DONNÉES!AI46)</f>
        <v/>
      </c>
      <c r="C55" s="177" t="str">
        <f>IF(TRDVR7[[#This Row],[2024]]="","",DONNÉES!AJ46)</f>
        <v/>
      </c>
      <c r="D55" s="128" t="str">
        <f>IF(TRDVR7[[#This Row],[2024]]="","",DONNÉES!AI126)</f>
        <v/>
      </c>
      <c r="E55" s="178" t="str">
        <f>IF(TRDVR7[[#This Row],[2024]]="","",DONNÉES!AJ126)</f>
        <v/>
      </c>
      <c r="F55" s="128" t="str">
        <f>IF(TRDVR7[[#This Row],[2024]]="","",DONNÉES!AI62)</f>
        <v/>
      </c>
      <c r="G55" s="177" t="str">
        <f>IF(TRDVR7[[#This Row],[2024]]="","",DONNÉES!AJ62)</f>
        <v/>
      </c>
      <c r="H55" s="128" t="str">
        <f>IF(TRDVR7[[#This Row],[2024]]="","",DONNÉES!AI142)</f>
        <v/>
      </c>
      <c r="I55" s="178" t="str">
        <f>IF(TRDVR7[[#This Row],[2024]]="","",DONNÉES!AJ142)</f>
        <v/>
      </c>
      <c r="J55" s="128" t="str">
        <f>IF(TRDVR7[[#This Row],[2024]]="","",DONNÉES!AI78)</f>
        <v/>
      </c>
      <c r="K55" s="177" t="str">
        <f>IF(TRDVR7[[#This Row],[2024]]="","",DONNÉES!AJ78)</f>
        <v/>
      </c>
      <c r="L55" s="128" t="str">
        <f>IF(TRDVR7[[#This Row],[2024]]="","",DONNÉES!AI158)</f>
        <v/>
      </c>
      <c r="M55" s="178" t="str">
        <f>IF(TRDVR7[[#This Row],[2024]]="","",DONNÉES!AJ158)</f>
        <v/>
      </c>
      <c r="N55" s="128" t="str">
        <f>IF(TRDVR7[[#This Row],[2024]]="","",DONNÉES!AI94)</f>
        <v/>
      </c>
      <c r="O55" s="177" t="str">
        <f>IF(TRDVR7[[#This Row],[2024]]="","",DONNÉES!AJ94)</f>
        <v/>
      </c>
      <c r="P55" s="128" t="str">
        <f>IF(TRDVR7[[#This Row],[2024]]="","",DONNÉES!AI174)</f>
        <v/>
      </c>
      <c r="Q55" s="128" t="str">
        <f>IF(TRDVR7[[#This Row],[2024]]="","",DONNÉES!AJ174)</f>
        <v/>
      </c>
      <c r="S55" s="128" t="str">
        <f>IF(TRDVR7[[#This Row],[2024]]="","",DONNÉES!AI110)</f>
        <v/>
      </c>
      <c r="T55" s="177" t="str">
        <f>IF(TRDVR7[[#This Row],[2024]]="","",DONNÉES!AJ110)</f>
        <v/>
      </c>
      <c r="U55" s="128" t="str">
        <f>IF(TRDVR7[[#This Row],[2024]]="","",DONNÉES!AI190)</f>
        <v/>
      </c>
      <c r="V55" s="128" t="str">
        <f>IF(TRDVR7[[#This Row],[2024]]="","",DONNÉES!AJ190)</f>
        <v/>
      </c>
    </row>
    <row r="56" spans="1:22" s="81" customFormat="1" ht="11.65" customHeight="1" x14ac:dyDescent="0.2">
      <c r="A56" s="170" t="s">
        <v>76</v>
      </c>
      <c r="B56" s="128" t="str">
        <f>IF(DONNÉES!AI47="","",DONNÉES!AI47)</f>
        <v/>
      </c>
      <c r="C56" s="177" t="str">
        <f>IF(TRDVR7[[#This Row],[2024]]="","",DONNÉES!AJ47)</f>
        <v/>
      </c>
      <c r="D56" s="128" t="str">
        <f>IF(TRDVR7[[#This Row],[2024]]="","",DONNÉES!AI127)</f>
        <v/>
      </c>
      <c r="E56" s="178" t="str">
        <f>IF(TRDVR7[[#This Row],[2024]]="","",DONNÉES!AJ127)</f>
        <v/>
      </c>
      <c r="F56" s="128" t="str">
        <f>IF(TRDVR7[[#This Row],[2024]]="","",DONNÉES!AI63)</f>
        <v/>
      </c>
      <c r="G56" s="177" t="str">
        <f>IF(TRDVR7[[#This Row],[2024]]="","",DONNÉES!AJ63)</f>
        <v/>
      </c>
      <c r="H56" s="128" t="str">
        <f>IF(TRDVR7[[#This Row],[2024]]="","",DONNÉES!AI143)</f>
        <v/>
      </c>
      <c r="I56" s="178" t="str">
        <f>IF(TRDVR7[[#This Row],[2024]]="","",DONNÉES!AJ143)</f>
        <v/>
      </c>
      <c r="J56" s="128" t="str">
        <f>IF(TRDVR7[[#This Row],[2024]]="","",DONNÉES!AI79)</f>
        <v/>
      </c>
      <c r="K56" s="177" t="str">
        <f>IF(TRDVR7[[#This Row],[2024]]="","",DONNÉES!AJ79)</f>
        <v/>
      </c>
      <c r="L56" s="128" t="str">
        <f>IF(TRDVR7[[#This Row],[2024]]="","",DONNÉES!AI159)</f>
        <v/>
      </c>
      <c r="M56" s="178" t="str">
        <f>IF(TRDVR7[[#This Row],[2024]]="","",DONNÉES!AJ159)</f>
        <v/>
      </c>
      <c r="N56" s="128" t="str">
        <f>IF(TRDVR7[[#This Row],[2024]]="","",DONNÉES!AI95)</f>
        <v/>
      </c>
      <c r="O56" s="177" t="str">
        <f>IF(TRDVR7[[#This Row],[2024]]="","",DONNÉES!AJ95)</f>
        <v/>
      </c>
      <c r="P56" s="128" t="str">
        <f>IF(TRDVR7[[#This Row],[2024]]="","",DONNÉES!AI175)</f>
        <v/>
      </c>
      <c r="Q56" s="128" t="str">
        <f>IF(TRDVR7[[#This Row],[2024]]="","",DONNÉES!AJ175)</f>
        <v/>
      </c>
      <c r="R56" s="180"/>
      <c r="S56" s="128" t="str">
        <f>IF(TRDVR7[[#This Row],[2024]]="","",DONNÉES!AI111)</f>
        <v/>
      </c>
      <c r="T56" s="177" t="str">
        <f>IF(TRDVR7[[#This Row],[2024]]="","",DONNÉES!AJ111)</f>
        <v/>
      </c>
      <c r="U56" s="128" t="str">
        <f>IF(TRDVR7[[#This Row],[2024]]="","",DONNÉES!AI191)</f>
        <v/>
      </c>
      <c r="V56" s="128" t="str">
        <f>IF(TRDVR7[[#This Row],[2024]]="","",DONNÉES!AJ191)</f>
        <v/>
      </c>
    </row>
    <row r="57" spans="1:22" s="81" customFormat="1" ht="11.65" customHeight="1" x14ac:dyDescent="0.2">
      <c r="A57" s="169" t="s">
        <v>77</v>
      </c>
      <c r="B57" s="128" t="str">
        <f>IF(DONNÉES!AI48="","",DONNÉES!AI48)</f>
        <v/>
      </c>
      <c r="C57" s="177" t="str">
        <f>IF(TRDVR7[[#This Row],[2024]]="","",DONNÉES!AJ48)</f>
        <v/>
      </c>
      <c r="D57" s="128" t="str">
        <f>IF(TRDVR7[[#This Row],[2024]]="","",DONNÉES!AI128)</f>
        <v/>
      </c>
      <c r="E57" s="178" t="str">
        <f>IF(TRDVR7[[#This Row],[2024]]="","",DONNÉES!AJ128)</f>
        <v/>
      </c>
      <c r="F57" s="128" t="str">
        <f>IF(TRDVR7[[#This Row],[2024]]="","",DONNÉES!AI64)</f>
        <v/>
      </c>
      <c r="G57" s="177" t="str">
        <f>IF(TRDVR7[[#This Row],[2024]]="","",DONNÉES!AJ64)</f>
        <v/>
      </c>
      <c r="H57" s="128" t="str">
        <f>IF(TRDVR7[[#This Row],[2024]]="","",DONNÉES!AI144)</f>
        <v/>
      </c>
      <c r="I57" s="178" t="str">
        <f>IF(TRDVR7[[#This Row],[2024]]="","",DONNÉES!AJ144)</f>
        <v/>
      </c>
      <c r="J57" s="128" t="str">
        <f>IF(TRDVR7[[#This Row],[2024]]="","",DONNÉES!AI80)</f>
        <v/>
      </c>
      <c r="K57" s="177" t="str">
        <f>IF(TRDVR7[[#This Row],[2024]]="","",DONNÉES!AJ80)</f>
        <v/>
      </c>
      <c r="L57" s="128" t="str">
        <f>IF(TRDVR7[[#This Row],[2024]]="","",DONNÉES!AI160)</f>
        <v/>
      </c>
      <c r="M57" s="178" t="str">
        <f>IF(TRDVR7[[#This Row],[2024]]="","",DONNÉES!AJ160)</f>
        <v/>
      </c>
      <c r="N57" s="128" t="str">
        <f>IF(TRDVR7[[#This Row],[2024]]="","",DONNÉES!AI96)</f>
        <v/>
      </c>
      <c r="O57" s="177" t="str">
        <f>IF(TRDVR7[[#This Row],[2024]]="","",DONNÉES!AJ96)</f>
        <v/>
      </c>
      <c r="P57" s="128" t="str">
        <f>IF(TRDVR7[[#This Row],[2024]]="","",DONNÉES!AI176)</f>
        <v/>
      </c>
      <c r="Q57" s="128" t="str">
        <f>IF(TRDVR7[[#This Row],[2024]]="","",DONNÉES!AJ176)</f>
        <v/>
      </c>
      <c r="R57" s="180"/>
      <c r="S57" s="128" t="str">
        <f>IF(TRDVR7[[#This Row],[2024]]="","",DONNÉES!AI112)</f>
        <v/>
      </c>
      <c r="T57" s="177" t="str">
        <f>IF(TRDVR7[[#This Row],[2024]]="","",DONNÉES!AJ112)</f>
        <v/>
      </c>
      <c r="U57" s="128" t="str">
        <f>IF(TRDVR7[[#This Row],[2024]]="","",DONNÉES!AI192)</f>
        <v/>
      </c>
      <c r="V57" s="128" t="str">
        <f>IF(TRDVR7[[#This Row],[2024]]="","",DONNÉES!AJ192)</f>
        <v/>
      </c>
    </row>
    <row r="58" spans="1:22" s="81" customFormat="1" ht="11.65" customHeight="1" x14ac:dyDescent="0.2">
      <c r="A58" s="170" t="s">
        <v>78</v>
      </c>
      <c r="B58" s="128" t="str">
        <f>IF(DONNÉES!AI49="","",DONNÉES!AI49)</f>
        <v/>
      </c>
      <c r="C58" s="177" t="str">
        <f>IF(TRDVR7[[#This Row],[2024]]="","",DONNÉES!AJ49)</f>
        <v/>
      </c>
      <c r="D58" s="128" t="str">
        <f>IF(TRDVR7[[#This Row],[2024]]="","",DONNÉES!AI129)</f>
        <v/>
      </c>
      <c r="E58" s="178" t="str">
        <f>IF(TRDVR7[[#This Row],[2024]]="","",DONNÉES!AJ129)</f>
        <v/>
      </c>
      <c r="F58" s="128" t="str">
        <f>IF(TRDVR7[[#This Row],[2024]]="","",DONNÉES!AI65)</f>
        <v/>
      </c>
      <c r="G58" s="177" t="str">
        <f>IF(TRDVR7[[#This Row],[2024]]="","",DONNÉES!AJ65)</f>
        <v/>
      </c>
      <c r="H58" s="128" t="str">
        <f>IF(TRDVR7[[#This Row],[2024]]="","",DONNÉES!AI145)</f>
        <v/>
      </c>
      <c r="I58" s="178" t="str">
        <f>IF(TRDVR7[[#This Row],[2024]]="","",DONNÉES!AJ145)</f>
        <v/>
      </c>
      <c r="J58" s="128" t="str">
        <f>IF(TRDVR7[[#This Row],[2024]]="","",DONNÉES!AI81)</f>
        <v/>
      </c>
      <c r="K58" s="177" t="str">
        <f>IF(TRDVR7[[#This Row],[2024]]="","",DONNÉES!AJ81)</f>
        <v/>
      </c>
      <c r="L58" s="128" t="str">
        <f>IF(TRDVR7[[#This Row],[2024]]="","",DONNÉES!AI161)</f>
        <v/>
      </c>
      <c r="M58" s="178" t="str">
        <f>IF(TRDVR7[[#This Row],[2024]]="","",DONNÉES!AJ161)</f>
        <v/>
      </c>
      <c r="N58" s="128" t="str">
        <f>IF(TRDVR7[[#This Row],[2024]]="","",DONNÉES!AI97)</f>
        <v/>
      </c>
      <c r="O58" s="177" t="str">
        <f>IF(TRDVR7[[#This Row],[2024]]="","",DONNÉES!AJ97)</f>
        <v/>
      </c>
      <c r="P58" s="128" t="str">
        <f>IF(TRDVR7[[#This Row],[2024]]="","",DONNÉES!AI177)</f>
        <v/>
      </c>
      <c r="Q58" s="128" t="str">
        <f>IF(TRDVR7[[#This Row],[2024]]="","",DONNÉES!AJ177)</f>
        <v/>
      </c>
      <c r="R58" s="180"/>
      <c r="S58" s="128" t="str">
        <f>IF(TRDVR7[[#This Row],[2024]]="","",DONNÉES!AI113)</f>
        <v/>
      </c>
      <c r="T58" s="177" t="str">
        <f>IF(TRDVR7[[#This Row],[2024]]="","",DONNÉES!AJ113)</f>
        <v/>
      </c>
      <c r="U58" s="128" t="str">
        <f>IF(TRDVR7[[#This Row],[2024]]="","",DONNÉES!AI193)</f>
        <v/>
      </c>
      <c r="V58" s="128" t="str">
        <f>IF(TRDVR7[[#This Row],[2024]]="","",DONNÉES!AJ193)</f>
        <v/>
      </c>
    </row>
    <row r="59" spans="1:22" ht="11.65" customHeight="1" x14ac:dyDescent="0.2">
      <c r="A59" s="169" t="s">
        <v>79</v>
      </c>
      <c r="B59" s="128" t="str">
        <f>IF(DONNÉES!AI50="","",DONNÉES!AI50)</f>
        <v/>
      </c>
      <c r="C59" s="177" t="str">
        <f>IF(TRDVR7[[#This Row],[2024]]="","",DONNÉES!AJ50)</f>
        <v/>
      </c>
      <c r="D59" s="128" t="str">
        <f>IF(TRDVR7[[#This Row],[2024]]="","",DONNÉES!AI130)</f>
        <v/>
      </c>
      <c r="E59" s="178" t="str">
        <f>IF(TRDVR7[[#This Row],[2024]]="","",DONNÉES!AJ130)</f>
        <v/>
      </c>
      <c r="F59" s="128" t="str">
        <f>IF(TRDVR7[[#This Row],[2024]]="","",DONNÉES!AI66)</f>
        <v/>
      </c>
      <c r="G59" s="177" t="str">
        <f>IF(TRDVR7[[#This Row],[2024]]="","",DONNÉES!AJ66)</f>
        <v/>
      </c>
      <c r="H59" s="128" t="str">
        <f>IF(TRDVR7[[#This Row],[2024]]="","",DONNÉES!AI146)</f>
        <v/>
      </c>
      <c r="I59" s="178" t="str">
        <f>IF(TRDVR7[[#This Row],[2024]]="","",DONNÉES!AJ146)</f>
        <v/>
      </c>
      <c r="J59" s="128" t="str">
        <f>IF(TRDVR7[[#This Row],[2024]]="","",DONNÉES!AI82)</f>
        <v/>
      </c>
      <c r="K59" s="177" t="str">
        <f>IF(TRDVR7[[#This Row],[2024]]="","",DONNÉES!AJ82)</f>
        <v/>
      </c>
      <c r="L59" s="128" t="str">
        <f>IF(TRDVR7[[#This Row],[2024]]="","",DONNÉES!AI162)</f>
        <v/>
      </c>
      <c r="M59" s="178" t="str">
        <f>IF(TRDVR7[[#This Row],[2024]]="","",DONNÉES!AJ162)</f>
        <v/>
      </c>
      <c r="N59" s="128" t="str">
        <f>IF(TRDVR7[[#This Row],[2024]]="","",DONNÉES!AI98)</f>
        <v/>
      </c>
      <c r="O59" s="177" t="str">
        <f>IF(TRDVR7[[#This Row],[2024]]="","",DONNÉES!AJ98)</f>
        <v/>
      </c>
      <c r="P59" s="128" t="str">
        <f>IF(TRDVR7[[#This Row],[2024]]="","",DONNÉES!AI178)</f>
        <v/>
      </c>
      <c r="Q59" s="128" t="str">
        <f>IF(TRDVR7[[#This Row],[2024]]="","",DONNÉES!AJ178)</f>
        <v/>
      </c>
      <c r="R59" s="181"/>
      <c r="S59" s="128" t="str">
        <f>IF(TRDVR7[[#This Row],[2024]]="","",DONNÉES!AI114)</f>
        <v/>
      </c>
      <c r="T59" s="177" t="str">
        <f>IF(TRDVR7[[#This Row],[2024]]="","",DONNÉES!AJ114)</f>
        <v/>
      </c>
      <c r="U59" s="128" t="str">
        <f>IF(TRDVR7[[#This Row],[2024]]="","",DONNÉES!AI194)</f>
        <v/>
      </c>
      <c r="V59" s="128" t="str">
        <f>IF(TRDVR7[[#This Row],[2024]]="","",DONNÉES!AJ194)</f>
        <v/>
      </c>
    </row>
    <row r="60" spans="1:22" ht="11.65" customHeight="1" x14ac:dyDescent="0.2">
      <c r="A60" s="170" t="s">
        <v>80</v>
      </c>
      <c r="B60" s="128" t="str">
        <f>IF(DONNÉES!AI51="","",DONNÉES!AI51)</f>
        <v/>
      </c>
      <c r="C60" s="177" t="str">
        <f>IF(TRDVR7[[#This Row],[2024]]="","",DONNÉES!AJ51)</f>
        <v/>
      </c>
      <c r="D60" s="128" t="str">
        <f>IF(TRDVR7[[#This Row],[2024]]="","",DONNÉES!AI131)</f>
        <v/>
      </c>
      <c r="E60" s="178" t="str">
        <f>IF(TRDVR7[[#This Row],[2024]]="","",DONNÉES!AJ131)</f>
        <v/>
      </c>
      <c r="F60" s="128" t="str">
        <f>IF(TRDVR7[[#This Row],[2024]]="","",DONNÉES!AI67)</f>
        <v/>
      </c>
      <c r="G60" s="177" t="str">
        <f>IF(TRDVR7[[#This Row],[2024]]="","",DONNÉES!AJ67)</f>
        <v/>
      </c>
      <c r="H60" s="128" t="str">
        <f>IF(TRDVR7[[#This Row],[2024]]="","",DONNÉES!AI147)</f>
        <v/>
      </c>
      <c r="I60" s="178" t="str">
        <f>IF(TRDVR7[[#This Row],[2024]]="","",DONNÉES!AJ147)</f>
        <v/>
      </c>
      <c r="J60" s="128" t="str">
        <f>IF(TRDVR7[[#This Row],[2024]]="","",DONNÉES!AI83)</f>
        <v/>
      </c>
      <c r="K60" s="177" t="str">
        <f>IF(TRDVR7[[#This Row],[2024]]="","",DONNÉES!AJ83)</f>
        <v/>
      </c>
      <c r="L60" s="128" t="str">
        <f>IF(TRDVR7[[#This Row],[2024]]="","",DONNÉES!AI163)</f>
        <v/>
      </c>
      <c r="M60" s="178" t="str">
        <f>IF(TRDVR7[[#This Row],[2024]]="","",DONNÉES!AJ163)</f>
        <v/>
      </c>
      <c r="N60" s="128" t="str">
        <f>IF(TRDVR7[[#This Row],[2024]]="","",DONNÉES!AI99)</f>
        <v/>
      </c>
      <c r="O60" s="177" t="str">
        <f>IF(TRDVR7[[#This Row],[2024]]="","",DONNÉES!AJ99)</f>
        <v/>
      </c>
      <c r="P60" s="128" t="str">
        <f>IF(TRDVR7[[#This Row],[2024]]="","",DONNÉES!AI179)</f>
        <v/>
      </c>
      <c r="Q60" s="128" t="str">
        <f>IF(TRDVR7[[#This Row],[2024]]="","",DONNÉES!AJ179)</f>
        <v/>
      </c>
      <c r="R60" s="181"/>
      <c r="S60" s="128" t="str">
        <f>IF(TRDVR7[[#This Row],[2024]]="","",DONNÉES!AI115)</f>
        <v/>
      </c>
      <c r="T60" s="177" t="str">
        <f>IF(TRDVR7[[#This Row],[2024]]="","",DONNÉES!AJ115)</f>
        <v/>
      </c>
      <c r="U60" s="128" t="str">
        <f>IF(TRDVR7[[#This Row],[2024]]="","",DONNÉES!AI195)</f>
        <v/>
      </c>
      <c r="V60" s="128" t="str">
        <f>IF(TRDVR7[[#This Row],[2024]]="","",DONNÉES!AJ195)</f>
        <v/>
      </c>
    </row>
    <row r="61" spans="1:22" ht="11.65" customHeight="1" x14ac:dyDescent="0.2">
      <c r="A61" s="169" t="s">
        <v>81</v>
      </c>
      <c r="B61" s="130" t="str">
        <f>IF(DONNÉES!AI52="","",DONNÉES!AI52)</f>
        <v/>
      </c>
      <c r="C61" s="182" t="str">
        <f>IF(TRDVR7[[#This Row],[2024]]="","",DONNÉES!AJ52)</f>
        <v/>
      </c>
      <c r="D61" s="130" t="str">
        <f>IF(TRDVR7[[#This Row],[2024]]="","",DONNÉES!AI132)</f>
        <v/>
      </c>
      <c r="E61" s="183" t="str">
        <f>IF(TRDVR7[[#This Row],[2024]]="","",DONNÉES!AJ132)</f>
        <v/>
      </c>
      <c r="F61" s="128" t="str">
        <f>IF(TRDVR7[[#This Row],[2024]]="","",DONNÉES!AI68)</f>
        <v/>
      </c>
      <c r="G61" s="177" t="str">
        <f>IF(TRDVR7[[#This Row],[2024]]="","",DONNÉES!AJ68)</f>
        <v/>
      </c>
      <c r="H61" s="130" t="str">
        <f>IF(TRDVR7[[#This Row],[2024]]="","",DONNÉES!AI148)</f>
        <v/>
      </c>
      <c r="I61" s="183" t="str">
        <f>IF(TRDVR7[[#This Row],[2024]]="","",DONNÉES!AJ148)</f>
        <v/>
      </c>
      <c r="J61" s="130" t="str">
        <f>IF(TRDVR7[[#This Row],[2024]]="","",DONNÉES!AI84)</f>
        <v/>
      </c>
      <c r="K61" s="182" t="str">
        <f>IF(TRDVR7[[#This Row],[2024]]="","",DONNÉES!AJ84)</f>
        <v/>
      </c>
      <c r="L61" s="130" t="str">
        <f>IF(TRDVR7[[#This Row],[2024]]="","",DONNÉES!AI164)</f>
        <v/>
      </c>
      <c r="M61" s="183" t="str">
        <f>IF(TRDVR7[[#This Row],[2024]]="","",DONNÉES!AJ164)</f>
        <v/>
      </c>
      <c r="N61" s="130" t="str">
        <f>IF(TRDVR7[[#This Row],[2024]]="","",DONNÉES!AI100)</f>
        <v/>
      </c>
      <c r="O61" s="182" t="str">
        <f>IF(TRDVR7[[#This Row],[2024]]="","",DONNÉES!AJ100)</f>
        <v/>
      </c>
      <c r="P61" s="130" t="str">
        <f>IF(TRDVR7[[#This Row],[2024]]="","",DONNÉES!AI180)</f>
        <v/>
      </c>
      <c r="Q61" s="130" t="str">
        <f>IF(TRDVR7[[#This Row],[2024]]="","",DONNÉES!AJ180)</f>
        <v/>
      </c>
      <c r="R61" s="181"/>
      <c r="S61" s="130" t="str">
        <f>IF(TRDVR7[[#This Row],[2024]]="","",DONNÉES!AI116)</f>
        <v/>
      </c>
      <c r="T61" s="182" t="str">
        <f>IF(TRDVR7[[#This Row],[2024]]="","",DONNÉES!AJ116)</f>
        <v/>
      </c>
      <c r="U61" s="130" t="str">
        <f>IF(TRDVR7[[#This Row],[2024]]="","",DONNÉES!AI196)</f>
        <v/>
      </c>
      <c r="V61" s="130" t="str">
        <f>IF(TRDVR7[[#This Row],[2024]]="","",DONNÉES!AJ196)</f>
        <v/>
      </c>
    </row>
    <row r="62" spans="1:22" ht="11.65" customHeight="1" x14ac:dyDescent="0.2">
      <c r="A62" s="170" t="s">
        <v>82</v>
      </c>
      <c r="B62" s="130" t="str">
        <f>IF(DONNÉES!AI53="","",DONNÉES!AI53)</f>
        <v/>
      </c>
      <c r="C62" s="182" t="str">
        <f>IF(TRDVR7[[#This Row],[2024]]="","",DONNÉES!AJ53)</f>
        <v/>
      </c>
      <c r="D62" s="130" t="str">
        <f>IF(TRDVR7[[#This Row],[2024]]="","",DONNÉES!AI133)</f>
        <v/>
      </c>
      <c r="E62" s="183" t="str">
        <f>IF(TRDVR7[[#This Row],[2024]]="","",DONNÉES!AJ133)</f>
        <v/>
      </c>
      <c r="F62" s="128" t="str">
        <f>IF(TRDVR7[[#This Row],[2024]]="","",DONNÉES!AI69)</f>
        <v/>
      </c>
      <c r="G62" s="177" t="str">
        <f>IF(TRDVR7[[#This Row],[2024]]="","",DONNÉES!AJ69)</f>
        <v/>
      </c>
      <c r="H62" s="130" t="str">
        <f>IF(TRDVR7[[#This Row],[2024]]="","",DONNÉES!AI149)</f>
        <v/>
      </c>
      <c r="I62" s="183" t="str">
        <f>IF(TRDVR7[[#This Row],[2024]]="","",DONNÉES!AJ149)</f>
        <v/>
      </c>
      <c r="J62" s="130" t="str">
        <f>IF(TRDVR7[[#This Row],[2024]]="","",DONNÉES!AI85)</f>
        <v/>
      </c>
      <c r="K62" s="182" t="str">
        <f>IF(TRDVR7[[#This Row],[2024]]="","",DONNÉES!AJ85)</f>
        <v/>
      </c>
      <c r="L62" s="130" t="str">
        <f>IF(TRDVR7[[#This Row],[2024]]="","",DONNÉES!AI165)</f>
        <v/>
      </c>
      <c r="M62" s="183" t="str">
        <f>IF(TRDVR7[[#This Row],[2024]]="","",DONNÉES!AJ165)</f>
        <v/>
      </c>
      <c r="N62" s="130" t="str">
        <f>IF(TRDVR7[[#This Row],[2024]]="","",DONNÉES!AI101)</f>
        <v/>
      </c>
      <c r="O62" s="182" t="str">
        <f>IF(TRDVR7[[#This Row],[2024]]="","",DONNÉES!AJ101)</f>
        <v/>
      </c>
      <c r="P62" s="130" t="str">
        <f>IF(TRDVR7[[#This Row],[2024]]="","",DONNÉES!AI181)</f>
        <v/>
      </c>
      <c r="Q62" s="130" t="str">
        <f>IF(TRDVR7[[#This Row],[2024]]="","",DONNÉES!AJ181)</f>
        <v/>
      </c>
      <c r="R62" s="181"/>
      <c r="S62" s="130" t="str">
        <f>IF(TRDVR7[[#This Row],[2024]]="","",DONNÉES!AI117)</f>
        <v/>
      </c>
      <c r="T62" s="182" t="str">
        <f>IF(TRDVR7[[#This Row],[2024]]="","",DONNÉES!AJ117)</f>
        <v/>
      </c>
      <c r="U62" s="130" t="str">
        <f>IF(TRDVR7[[#This Row],[2024]]="","",DONNÉES!AI197)</f>
        <v/>
      </c>
      <c r="V62" s="130" t="str">
        <f>IF(TRDVR7[[#This Row],[2024]]="","",DONNÉES!AJ197)</f>
        <v/>
      </c>
    </row>
    <row r="63" spans="1:22" ht="11.65" customHeight="1" x14ac:dyDescent="0.2">
      <c r="A63" s="169" t="s">
        <v>83</v>
      </c>
      <c r="B63" s="130" t="str">
        <f>IF(DONNÉES!AI54="","",DONNÉES!AI54)</f>
        <v/>
      </c>
      <c r="C63" s="182" t="str">
        <f>IF(TRDVR7[[#This Row],[2024]]="","",DONNÉES!AJ54)</f>
        <v/>
      </c>
      <c r="D63" s="130" t="str">
        <f>IF(TRDVR7[[#This Row],[2024]]="","",DONNÉES!AI134)</f>
        <v/>
      </c>
      <c r="E63" s="183" t="str">
        <f>IF(TRDVR7[[#This Row],[2024]]="","",DONNÉES!AJ134)</f>
        <v/>
      </c>
      <c r="F63" s="128" t="str">
        <f>IF(TRDVR7[[#This Row],[2024]]="","",DONNÉES!AI70)</f>
        <v/>
      </c>
      <c r="G63" s="177" t="str">
        <f>IF(TRDVR7[[#This Row],[2024]]="","",DONNÉES!AJ70)</f>
        <v/>
      </c>
      <c r="H63" s="130" t="str">
        <f>IF(TRDVR7[[#This Row],[2024]]="","",DONNÉES!AI150)</f>
        <v/>
      </c>
      <c r="I63" s="183" t="str">
        <f>IF(TRDVR7[[#This Row],[2024]]="","",DONNÉES!AJ150)</f>
        <v/>
      </c>
      <c r="J63" s="130" t="str">
        <f>IF(TRDVR7[[#This Row],[2024]]="","",DONNÉES!AI86)</f>
        <v/>
      </c>
      <c r="K63" s="182" t="str">
        <f>IF(TRDVR7[[#This Row],[2024]]="","",DONNÉES!AJ86)</f>
        <v/>
      </c>
      <c r="L63" s="130" t="str">
        <f>IF(TRDVR7[[#This Row],[2024]]="","",DONNÉES!AI166)</f>
        <v/>
      </c>
      <c r="M63" s="183" t="str">
        <f>IF(TRDVR7[[#This Row],[2024]]="","",DONNÉES!AJ166)</f>
        <v/>
      </c>
      <c r="N63" s="130" t="str">
        <f>IF(TRDVR7[[#This Row],[2024]]="","",DONNÉES!AI102)</f>
        <v/>
      </c>
      <c r="O63" s="182" t="str">
        <f>IF(TRDVR7[[#This Row],[2024]]="","",DONNÉES!AJ102)</f>
        <v/>
      </c>
      <c r="P63" s="130" t="str">
        <f>IF(TRDVR7[[#This Row],[2024]]="","",DONNÉES!AI182)</f>
        <v/>
      </c>
      <c r="Q63" s="130" t="str">
        <f>IF(TRDVR7[[#This Row],[2024]]="","",DONNÉES!AJ182)</f>
        <v/>
      </c>
      <c r="R63" s="181"/>
      <c r="S63" s="130" t="str">
        <f>IF(TRDVR7[[#This Row],[2024]]="","",DONNÉES!AI118)</f>
        <v/>
      </c>
      <c r="T63" s="182" t="str">
        <f>IF(TRDVR7[[#This Row],[2024]]="","",DONNÉES!AJ118)</f>
        <v/>
      </c>
      <c r="U63" s="130" t="str">
        <f>IF(TRDVR7[[#This Row],[2024]]="","",DONNÉES!AI198)</f>
        <v/>
      </c>
      <c r="V63" s="130" t="str">
        <f>IF(TRDVR7[[#This Row],[2024]]="","",DONNÉES!AJ198)</f>
        <v/>
      </c>
    </row>
    <row r="64" spans="1:22" ht="11.65" customHeight="1" x14ac:dyDescent="0.2">
      <c r="A64" s="169" t="s">
        <v>84</v>
      </c>
      <c r="B64" s="130" t="str">
        <f>IF(DONNÉES!AI55="","",DONNÉES!AI55)</f>
        <v/>
      </c>
      <c r="C64" s="182" t="str">
        <f>IF(TRDVR7[[#This Row],[2024]]="","",DONNÉES!AJ55)</f>
        <v/>
      </c>
      <c r="D64" s="130" t="str">
        <f>IF(TRDVR7[[#This Row],[2024]]="","",DONNÉES!AI135)</f>
        <v/>
      </c>
      <c r="E64" s="183" t="str">
        <f>IF(TRDVR7[[#This Row],[2024]]="","",DONNÉES!AJ135)</f>
        <v/>
      </c>
      <c r="F64" s="128" t="str">
        <f>IF(TRDVR7[[#This Row],[2024]]="","",DONNÉES!AI71)</f>
        <v/>
      </c>
      <c r="G64" s="177" t="str">
        <f>IF(TRDVR7[[#This Row],[2024]]="","",DONNÉES!AJ71)</f>
        <v/>
      </c>
      <c r="H64" s="130" t="str">
        <f>IF(TRDVR7[[#This Row],[2024]]="","",DONNÉES!AI151)</f>
        <v/>
      </c>
      <c r="I64" s="183" t="str">
        <f>IF(TRDVR7[[#This Row],[2024]]="","",DONNÉES!AJ151)</f>
        <v/>
      </c>
      <c r="J64" s="130" t="str">
        <f>IF(TRDVR7[[#This Row],[2024]]="","",DONNÉES!AI87)</f>
        <v/>
      </c>
      <c r="K64" s="182" t="str">
        <f>IF(TRDVR7[[#This Row],[2024]]="","",DONNÉES!AJ87)</f>
        <v/>
      </c>
      <c r="L64" s="130" t="str">
        <f>IF(TRDVR7[[#This Row],[2024]]="","",DONNÉES!AI167)</f>
        <v/>
      </c>
      <c r="M64" s="183" t="str">
        <f>IF(TRDVR7[[#This Row],[2024]]="","",DONNÉES!AJ167)</f>
        <v/>
      </c>
      <c r="N64" s="130" t="str">
        <f>IF(TRDVR7[[#This Row],[2024]]="","",DONNÉES!AI103)</f>
        <v/>
      </c>
      <c r="O64" s="182" t="str">
        <f>IF(TRDVR7[[#This Row],[2024]]="","",DONNÉES!AJ103)</f>
        <v/>
      </c>
      <c r="P64" s="130" t="str">
        <f>IF(TRDVR7[[#This Row],[2024]]="","",DONNÉES!AI183)</f>
        <v/>
      </c>
      <c r="Q64" s="130" t="str">
        <f>IF(TRDVR7[[#This Row],[2024]]="","",DONNÉES!AJ183)</f>
        <v/>
      </c>
      <c r="R64" s="185"/>
      <c r="S64" s="130" t="str">
        <f>IF(TRDVR7[[#This Row],[2024]]="","",DONNÉES!AI119)</f>
        <v/>
      </c>
      <c r="T64" s="182" t="str">
        <f>IF(TRDVR7[[#This Row],[2024]]="","",DONNÉES!AJ119)</f>
        <v/>
      </c>
      <c r="U64" s="130" t="str">
        <f>IF(TRDVR7[[#This Row],[2024]]="","",DONNÉES!AI199)</f>
        <v/>
      </c>
      <c r="V64" s="130" t="str">
        <f>IF(TRDVR7[[#This Row],[2024]]="","",DONNÉES!AJ199)</f>
        <v/>
      </c>
    </row>
    <row r="65" spans="1:22" ht="12" customHeight="1" x14ac:dyDescent="0.2">
      <c r="A65" s="6"/>
      <c r="B65" s="107"/>
      <c r="C65" s="107"/>
      <c r="D65" s="99"/>
      <c r="E65" s="107"/>
      <c r="F65" s="107"/>
      <c r="G65" s="115"/>
      <c r="H65" s="6"/>
      <c r="I65" s="6"/>
      <c r="J65" s="107"/>
    </row>
    <row r="66" spans="1:22" ht="14.65" customHeight="1" x14ac:dyDescent="0.2">
      <c r="A66" s="168"/>
      <c r="B66" s="345" t="s">
        <v>195</v>
      </c>
      <c r="C66" s="345"/>
      <c r="D66" s="345"/>
      <c r="E66" s="346"/>
      <c r="F66" s="345" t="s">
        <v>196</v>
      </c>
      <c r="G66" s="345"/>
      <c r="H66" s="345"/>
      <c r="I66" s="346"/>
      <c r="J66" s="345" t="s">
        <v>198</v>
      </c>
      <c r="K66" s="345"/>
      <c r="L66" s="345"/>
      <c r="M66" s="346"/>
      <c r="N66" s="345" t="s">
        <v>199</v>
      </c>
      <c r="O66" s="345"/>
      <c r="P66" s="345"/>
      <c r="Q66" s="345"/>
      <c r="S66" s="345" t="s">
        <v>197</v>
      </c>
      <c r="T66" s="345"/>
      <c r="U66" s="345"/>
      <c r="V66" s="345"/>
    </row>
    <row r="67" spans="1:22" ht="28.9" customHeight="1" x14ac:dyDescent="0.2">
      <c r="A67" s="169" t="s">
        <v>2156</v>
      </c>
      <c r="B67" s="108" t="s">
        <v>6962</v>
      </c>
      <c r="C67" s="166" t="s">
        <v>2169</v>
      </c>
      <c r="D67" s="108" t="s">
        <v>6986</v>
      </c>
      <c r="E67" s="172" t="s">
        <v>6944</v>
      </c>
      <c r="F67" s="211" t="s">
        <v>6987</v>
      </c>
      <c r="G67" s="166" t="s">
        <v>6945</v>
      </c>
      <c r="H67" s="108" t="s">
        <v>6988</v>
      </c>
      <c r="I67" s="172" t="s">
        <v>6946</v>
      </c>
      <c r="J67" s="108" t="s">
        <v>6989</v>
      </c>
      <c r="K67" s="166" t="s">
        <v>6947</v>
      </c>
      <c r="L67" s="108" t="s">
        <v>6990</v>
      </c>
      <c r="M67" s="172" t="s">
        <v>6948</v>
      </c>
      <c r="N67" s="108" t="s">
        <v>6991</v>
      </c>
      <c r="O67" s="166" t="s">
        <v>6949</v>
      </c>
      <c r="P67" s="108" t="s">
        <v>6992</v>
      </c>
      <c r="Q67" s="94" t="s">
        <v>6950</v>
      </c>
      <c r="S67" s="108" t="s">
        <v>6962</v>
      </c>
      <c r="T67" s="166" t="s">
        <v>2169</v>
      </c>
      <c r="U67" s="108" t="s">
        <v>6986</v>
      </c>
      <c r="V67" s="172" t="s">
        <v>6944</v>
      </c>
    </row>
    <row r="68" spans="1:22" s="81" customFormat="1" ht="11.65" customHeight="1" x14ac:dyDescent="0.2">
      <c r="A68" s="170" t="s">
        <v>73</v>
      </c>
      <c r="B68" s="128">
        <f>IF(DONNÉES!AQ44="","",DONNÉES!AQ44)</f>
        <v>3643</v>
      </c>
      <c r="C68" s="177">
        <f>IF(TRDTURVILLA[[#This Row],[2024]]="","",DONNÉES!AR44)</f>
        <v>4468</v>
      </c>
      <c r="D68" s="128">
        <f>IF(TRDTURVILLA[[#This Row],[2024]]="","",DONNÉES!AQ124)</f>
        <v>3643</v>
      </c>
      <c r="E68" s="178">
        <f>IF(TRDTURVILLA[[#This Row],[2024]]="","",DONNÉES!AR124)</f>
        <v>4468</v>
      </c>
      <c r="F68" s="128">
        <f>IF(TRDTURVILLA[[#This Row],[2024]]="","",DONNÉES!AQ60)</f>
        <v>3199</v>
      </c>
      <c r="G68" s="178">
        <f>IF(TRDTURVILLA[[#This Row],[2024]]="","",DONNÉES!AR60)</f>
        <v>2980</v>
      </c>
      <c r="H68" s="128">
        <f>IF(TRDTURVILLA[[#This Row],[2024]]="","",DONNÉES!AQ140)</f>
        <v>3199</v>
      </c>
      <c r="I68" s="178">
        <f>IF(TRDTURVILLA[[#This Row],[2024]]="","",DONNÉES!AR140)</f>
        <v>2980</v>
      </c>
      <c r="J68" s="128">
        <f>IF(TRDTURVILLA[[#This Row],[2024]]="","",DONNÉES!AQ76)</f>
        <v>9404</v>
      </c>
      <c r="K68" s="177">
        <f>IF(TRDTURVILLA[[#This Row],[2024]]="","",DONNÉES!AR76)</f>
        <v>9679</v>
      </c>
      <c r="L68" s="128">
        <f>IF(TRDTURVILLA[[#This Row],[2024]]="","",DONNÉES!AQ156)</f>
        <v>9404</v>
      </c>
      <c r="M68" s="178">
        <f>IF(TRDTURVILLA[[#This Row],[2024]]="","",DONNÉES!AR156)</f>
        <v>9679</v>
      </c>
      <c r="N68" s="128">
        <f>IF(TRDTURVILLA[[#This Row],[2024]]="","",DONNÉES!AQ92)</f>
        <v>10889</v>
      </c>
      <c r="O68" s="177">
        <f>IF(TRDTURVILLA[[#This Row],[2024]]="","",DONNÉES!AR92)</f>
        <v>10022</v>
      </c>
      <c r="P68" s="128">
        <f>IF(TRDTURVILLA[[#This Row],[2024]]="","",DONNÉES!AQ172)</f>
        <v>10889</v>
      </c>
      <c r="Q68" s="179">
        <f>IF(TRDTURVILLA[[#This Row],[2024]]="","",DONNÉES!AR172)</f>
        <v>10022</v>
      </c>
      <c r="R68" s="180"/>
      <c r="S68" s="128">
        <f>IF(TRDTURVILLA[[#This Row],[2024]]="","",DONNÉES!AQ108)</f>
        <v>27135</v>
      </c>
      <c r="T68" s="177">
        <f>IF(TRDTURVILLA[[#This Row],[2024]]="","",DONNÉES!AR108)</f>
        <v>27149</v>
      </c>
      <c r="U68" s="128">
        <f>IF(TRDTURVILLA[[#This Row],[2024]]="","",DONNÉES!AQ188)</f>
        <v>27135</v>
      </c>
      <c r="V68" s="128">
        <f>IF(TRDTURVILLA[[#This Row],[2024]]="","",DONNÉES!AR188)</f>
        <v>27149</v>
      </c>
    </row>
    <row r="69" spans="1:22" s="81" customFormat="1" ht="11.65" customHeight="1" x14ac:dyDescent="0.2">
      <c r="A69" s="170" t="s">
        <v>74</v>
      </c>
      <c r="B69" s="128" t="str">
        <f>IF(DONNÉES!AQ45="","",DONNÉES!AQ45)</f>
        <v/>
      </c>
      <c r="C69" s="177" t="str">
        <f>IF(TRDTURVILLA[[#This Row],[2024]]="","",DONNÉES!AR45)</f>
        <v/>
      </c>
      <c r="D69" s="128" t="str">
        <f>IF(TRDTURVILLA[[#This Row],[2024]]="","",DONNÉES!AQ125)</f>
        <v/>
      </c>
      <c r="E69" s="178" t="str">
        <f>IF(TRDTURVILLA[[#This Row],[2024]]="","",DONNÉES!AR125)</f>
        <v/>
      </c>
      <c r="F69" s="128" t="str">
        <f>IF(TRDTURVILLA[[#This Row],[2024]]="","",DONNÉES!AQ61)</f>
        <v/>
      </c>
      <c r="G69" s="177" t="str">
        <f>IF(TRDTURVILLA[[#This Row],[2024]]="","",DONNÉES!AR60)</f>
        <v/>
      </c>
      <c r="H69" s="128" t="str">
        <f>IF(TRDTURVILLA[[#This Row],[2024]]="","",DONNÉES!AQ141)</f>
        <v/>
      </c>
      <c r="I69" s="178" t="str">
        <f>IF(TRDTURVILLA[[#This Row],[2024]]="","",DONNÉES!AR141)</f>
        <v/>
      </c>
      <c r="J69" s="128" t="str">
        <f>IF(TRDTURVILLA[[#This Row],[2024]]="","",DONNÉES!AQ77)</f>
        <v/>
      </c>
      <c r="K69" s="177" t="str">
        <f>IF(TRDTURVILLA[[#This Row],[2024]]="","",DONNÉES!AR77)</f>
        <v/>
      </c>
      <c r="L69" s="128" t="str">
        <f>IF(TRDTURVILLA[[#This Row],[2024]]="","",DONNÉES!AQ157)</f>
        <v/>
      </c>
      <c r="M69" s="178" t="str">
        <f>IF(TRDTURVILLA[[#This Row],[2024]]="","",DONNÉES!AR157)</f>
        <v/>
      </c>
      <c r="N69" s="128" t="str">
        <f>IF(TRDTURVILLA[[#This Row],[2024]]="","",DONNÉES!AQ93)</f>
        <v/>
      </c>
      <c r="O69" s="177" t="str">
        <f>IF(TRDTURVILLA[[#This Row],[2024]]="","",DONNÉES!AR93)</f>
        <v/>
      </c>
      <c r="P69" s="128" t="str">
        <f>IF(TRDTURVILLA[[#This Row],[2024]]="","",DONNÉES!AQ173)</f>
        <v/>
      </c>
      <c r="Q69" s="179" t="str">
        <f>IF(TRDTURVILLA[[#This Row],[2024]]="","",DONNÉES!AR173)</f>
        <v/>
      </c>
      <c r="R69" s="180"/>
      <c r="S69" s="128" t="str">
        <f>IF(TRDTURVILLA[[#This Row],[2024]]="","",DONNÉES!AQ109)</f>
        <v/>
      </c>
      <c r="T69" s="177" t="str">
        <f>IF(TRDTURVILLA[[#This Row],[2024]]="","",DONNÉES!AR109)</f>
        <v/>
      </c>
      <c r="U69" s="128" t="str">
        <f>IF(TRDTURVILLA[[#This Row],[2024]]="","",DONNÉES!AQ189)</f>
        <v/>
      </c>
      <c r="V69" s="128" t="str">
        <f>IF(TRDTURVILLA[[#This Row],[2024]]="","",DONNÉES!AR189)</f>
        <v/>
      </c>
    </row>
    <row r="70" spans="1:22" s="81" customFormat="1" ht="11.65" customHeight="1" x14ac:dyDescent="0.2">
      <c r="A70" s="169" t="s">
        <v>75</v>
      </c>
      <c r="B70" s="128" t="str">
        <f>IF(DONNÉES!AQ46="","",DONNÉES!AQ46)</f>
        <v/>
      </c>
      <c r="C70" s="177" t="str">
        <f>IF(TRDTURVILLA[[#This Row],[2024]]="","",DONNÉES!AR46)</f>
        <v/>
      </c>
      <c r="D70" s="128" t="str">
        <f>IF(TRDTURVILLA[[#This Row],[2024]]="","",DONNÉES!AQ126)</f>
        <v/>
      </c>
      <c r="E70" s="178" t="str">
        <f>IF(TRDTURVILLA[[#This Row],[2024]]="","",DONNÉES!AR126)</f>
        <v/>
      </c>
      <c r="F70" s="128" t="str">
        <f>IF(TRDTURVILLA[[#This Row],[2024]]="","",DONNÉES!AQ62)</f>
        <v/>
      </c>
      <c r="G70" s="177" t="str">
        <f>IF(TRDTURVILLA[[#This Row],[2024]]="","",DONNÉES!AR62)</f>
        <v/>
      </c>
      <c r="H70" s="128" t="str">
        <f>IF(TRDTURVILLA[[#This Row],[2024]]="","",DONNÉES!AQ142)</f>
        <v/>
      </c>
      <c r="I70" s="178" t="str">
        <f>IF(TRDTURVILLA[[#This Row],[2024]]="","",DONNÉES!AR142)</f>
        <v/>
      </c>
      <c r="J70" s="128" t="str">
        <f>IF(TRDTURVILLA[[#This Row],[2024]]="","",DONNÉES!AQ78)</f>
        <v/>
      </c>
      <c r="K70" s="177" t="str">
        <f>IF(TRDTURVILLA[[#This Row],[2024]]="","",DONNÉES!AR78)</f>
        <v/>
      </c>
      <c r="L70" s="128" t="str">
        <f>IF(TRDTURVILLA[[#This Row],[2024]]="","",DONNÉES!AQ158)</f>
        <v/>
      </c>
      <c r="M70" s="178" t="str">
        <f>IF(TRDTURVILLA[[#This Row],[2024]]="","",DONNÉES!AR158)</f>
        <v/>
      </c>
      <c r="N70" s="128" t="str">
        <f>IF(TRDTURVILLA[[#This Row],[2024]]="","",DONNÉES!AQ94)</f>
        <v/>
      </c>
      <c r="O70" s="177" t="str">
        <f>IF(TRDTURVILLA[[#This Row],[2024]]="","",DONNÉES!AR94)</f>
        <v/>
      </c>
      <c r="P70" s="128" t="str">
        <f>IF(TRDTURVILLA[[#This Row],[2024]]="","",DONNÉES!AQ174)</f>
        <v/>
      </c>
      <c r="Q70" s="179" t="str">
        <f>IF(TRDTURVILLA[[#This Row],[2024]]="","",DONNÉES!AR174)</f>
        <v/>
      </c>
      <c r="R70" s="180"/>
      <c r="S70" s="128" t="str">
        <f>IF(TRDTURVILLA[[#This Row],[2024]]="","",DONNÉES!AQ110)</f>
        <v/>
      </c>
      <c r="T70" s="177" t="str">
        <f>IF(TRDTURVILLA[[#This Row],[2024]]="","",DONNÉES!AR110)</f>
        <v/>
      </c>
      <c r="U70" s="128" t="str">
        <f>IF(TRDTURVILLA[[#This Row],[2024]]="","",DONNÉES!AQ190)</f>
        <v/>
      </c>
      <c r="V70" s="128" t="str">
        <f>IF(TRDTURVILLA[[#This Row],[2024]]="","",DONNÉES!AR190)</f>
        <v/>
      </c>
    </row>
    <row r="71" spans="1:22" ht="11.65" customHeight="1" x14ac:dyDescent="0.2">
      <c r="A71" s="170" t="s">
        <v>76</v>
      </c>
      <c r="B71" s="128" t="str">
        <f>IF(DONNÉES!AQ47="","",DONNÉES!AQ47)</f>
        <v/>
      </c>
      <c r="C71" s="177" t="str">
        <f>IF(TRDTURVILLA[[#This Row],[2024]]="","",DONNÉES!AR47)</f>
        <v/>
      </c>
      <c r="D71" s="128" t="str">
        <f>IF(TRDTURVILLA[[#This Row],[2024]]="","",DONNÉES!AQ127)</f>
        <v/>
      </c>
      <c r="E71" s="178" t="str">
        <f>IF(TRDTURVILLA[[#This Row],[2024]]="","",DONNÉES!AR127)</f>
        <v/>
      </c>
      <c r="F71" s="128" t="str">
        <f>IF(TRDTURVILLA[[#This Row],[2024]]="","",DONNÉES!AQ63)</f>
        <v/>
      </c>
      <c r="G71" s="177" t="str">
        <f>IF(TRDTURVILLA[[#This Row],[2024]]="","",DONNÉES!AR63)</f>
        <v/>
      </c>
      <c r="H71" s="128" t="str">
        <f>IF(TRDTURVILLA[[#This Row],[2024]]="","",DONNÉES!AQ143)</f>
        <v/>
      </c>
      <c r="I71" s="178" t="str">
        <f>IF(TRDTURVILLA[[#This Row],[2024]]="","",DONNÉES!AR143)</f>
        <v/>
      </c>
      <c r="J71" s="128" t="str">
        <f>IF(TRDTURVILLA[[#This Row],[2024]]="","",DONNÉES!AQ79)</f>
        <v/>
      </c>
      <c r="K71" s="177" t="str">
        <f>IF(TRDTURVILLA[[#This Row],[2024]]="","",DONNÉES!AR79)</f>
        <v/>
      </c>
      <c r="L71" s="128" t="str">
        <f>IF(TRDTURVILLA[[#This Row],[2024]]="","",DONNÉES!AQ159)</f>
        <v/>
      </c>
      <c r="M71" s="178" t="str">
        <f>IF(TRDTURVILLA[[#This Row],[2024]]="","",DONNÉES!AR159)</f>
        <v/>
      </c>
      <c r="N71" s="128" t="str">
        <f>IF(TRDTURVILLA[[#This Row],[2024]]="","",DONNÉES!AQ95)</f>
        <v/>
      </c>
      <c r="O71" s="177" t="str">
        <f>IF(TRDTURVILLA[[#This Row],[2024]]="","",DONNÉES!AR95)</f>
        <v/>
      </c>
      <c r="P71" s="128" t="str">
        <f>IF(TRDTURVILLA[[#This Row],[2024]]="","",DONNÉES!AQ175)</f>
        <v/>
      </c>
      <c r="Q71" s="179" t="str">
        <f>IF(TRDTURVILLA[[#This Row],[2024]]="","",DONNÉES!AR175)</f>
        <v/>
      </c>
      <c r="R71" s="181"/>
      <c r="S71" s="128" t="str">
        <f>IF(TRDTURVILLA[[#This Row],[2024]]="","",DONNÉES!AQ111)</f>
        <v/>
      </c>
      <c r="T71" s="177" t="str">
        <f>IF(TRDTURVILLA[[#This Row],[2024]]="","",DONNÉES!AR111)</f>
        <v/>
      </c>
      <c r="U71" s="128" t="str">
        <f>IF(TRDTURVILLA[[#This Row],[2024]]="","",DONNÉES!AQ191)</f>
        <v/>
      </c>
      <c r="V71" s="128" t="str">
        <f>IF(TRDTURVILLA[[#This Row],[2024]]="","",DONNÉES!AR191)</f>
        <v/>
      </c>
    </row>
    <row r="72" spans="1:22" ht="11.65" customHeight="1" x14ac:dyDescent="0.2">
      <c r="A72" s="169" t="s">
        <v>77</v>
      </c>
      <c r="B72" s="128" t="str">
        <f>IF(DONNÉES!AQ48="","",DONNÉES!AQ48)</f>
        <v/>
      </c>
      <c r="C72" s="177" t="str">
        <f>IF(TRDTURVILLA[[#This Row],[2024]]="","",DONNÉES!AR48)</f>
        <v/>
      </c>
      <c r="D72" s="128" t="str">
        <f>IF(TRDTURVILLA[[#This Row],[2024]]="","",DONNÉES!AQ128)</f>
        <v/>
      </c>
      <c r="E72" s="178" t="str">
        <f>IF(TRDTURVILLA[[#This Row],[2024]]="","",DONNÉES!AR128)</f>
        <v/>
      </c>
      <c r="F72" s="128" t="str">
        <f>IF(TRDTURVILLA[[#This Row],[2024]]="","",DONNÉES!AQ64)</f>
        <v/>
      </c>
      <c r="G72" s="177" t="str">
        <f>IF(TRDTURVILLA[[#This Row],[2024]]="","",DONNÉES!AR64)</f>
        <v/>
      </c>
      <c r="H72" s="128" t="str">
        <f>IF(TRDTURVILLA[[#This Row],[2024]]="","",DONNÉES!AQ144)</f>
        <v/>
      </c>
      <c r="I72" s="178" t="str">
        <f>IF(TRDTURVILLA[[#This Row],[2024]]="","",DONNÉES!AR144)</f>
        <v/>
      </c>
      <c r="J72" s="128" t="str">
        <f>IF(TRDTURVILLA[[#This Row],[2024]]="","",DONNÉES!AQ80)</f>
        <v/>
      </c>
      <c r="K72" s="177" t="str">
        <f>IF(TRDTURVILLA[[#This Row],[2024]]="","",DONNÉES!AR80)</f>
        <v/>
      </c>
      <c r="L72" s="128" t="str">
        <f>IF(TRDTURVILLA[[#This Row],[2024]]="","",DONNÉES!AQ160)</f>
        <v/>
      </c>
      <c r="M72" s="178" t="str">
        <f>IF(TRDTURVILLA[[#This Row],[2024]]="","",DONNÉES!AR160)</f>
        <v/>
      </c>
      <c r="N72" s="128" t="str">
        <f>IF(TRDTURVILLA[[#This Row],[2024]]="","",DONNÉES!AQ96)</f>
        <v/>
      </c>
      <c r="O72" s="177" t="str">
        <f>IF(TRDTURVILLA[[#This Row],[2024]]="","",DONNÉES!AR96)</f>
        <v/>
      </c>
      <c r="P72" s="128" t="str">
        <f>IF(TRDTURVILLA[[#This Row],[2024]]="","",DONNÉES!AQ176)</f>
        <v/>
      </c>
      <c r="Q72" s="179" t="str">
        <f>IF(TRDTURVILLA[[#This Row],[2024]]="","",DONNÉES!AR176)</f>
        <v/>
      </c>
      <c r="R72" s="181"/>
      <c r="S72" s="128" t="str">
        <f>IF(TRDTURVILLA[[#This Row],[2024]]="","",DONNÉES!AQ112)</f>
        <v/>
      </c>
      <c r="T72" s="177" t="str">
        <f>IF(TRDTURVILLA[[#This Row],[2024]]="","",DONNÉES!AR112)</f>
        <v/>
      </c>
      <c r="U72" s="128" t="str">
        <f>IF(TRDTURVILLA[[#This Row],[2024]]="","",DONNÉES!AQ192)</f>
        <v/>
      </c>
      <c r="V72" s="128" t="str">
        <f>IF(TRDTURVILLA[[#This Row],[2024]]="","",DONNÉES!AR192)</f>
        <v/>
      </c>
    </row>
    <row r="73" spans="1:22" ht="11.65" customHeight="1" x14ac:dyDescent="0.2">
      <c r="A73" s="170" t="s">
        <v>78</v>
      </c>
      <c r="B73" s="128" t="str">
        <f>IF(DONNÉES!AQ49="","",DONNÉES!AQ49)</f>
        <v/>
      </c>
      <c r="C73" s="177" t="str">
        <f>IF(TRDTURVILLA[[#This Row],[2024]]="","",DONNÉES!AR49)</f>
        <v/>
      </c>
      <c r="D73" s="128" t="str">
        <f>IF(TRDTURVILLA[[#This Row],[2024]]="","",DONNÉES!AQ129)</f>
        <v/>
      </c>
      <c r="E73" s="178" t="str">
        <f>IF(TRDTURVILLA[[#This Row],[2024]]="","",DONNÉES!AR129)</f>
        <v/>
      </c>
      <c r="F73" s="128" t="str">
        <f>IF(TRDTURVILLA[[#This Row],[2024]]="","",DONNÉES!AQ65)</f>
        <v/>
      </c>
      <c r="G73" s="177" t="str">
        <f>IF(TRDTURVILLA[[#This Row],[2024]]="","",DONNÉES!AR65)</f>
        <v/>
      </c>
      <c r="H73" s="128" t="str">
        <f>IF(TRDTURVILLA[[#This Row],[2024]]="","",DONNÉES!AQ145)</f>
        <v/>
      </c>
      <c r="I73" s="178" t="str">
        <f>IF(TRDTURVILLA[[#This Row],[2024]]="","",DONNÉES!AR145)</f>
        <v/>
      </c>
      <c r="J73" s="128" t="str">
        <f>IF(TRDTURVILLA[[#This Row],[2024]]="","",DONNÉES!AQ81)</f>
        <v/>
      </c>
      <c r="K73" s="177" t="str">
        <f>IF(TRDTURVILLA[[#This Row],[2024]]="","",DONNÉES!AR81)</f>
        <v/>
      </c>
      <c r="L73" s="128" t="str">
        <f>IF(TRDTURVILLA[[#This Row],[2024]]="","",DONNÉES!AQ161)</f>
        <v/>
      </c>
      <c r="M73" s="178" t="str">
        <f>IF(TRDTURVILLA[[#This Row],[2024]]="","",DONNÉES!AR161)</f>
        <v/>
      </c>
      <c r="N73" s="128" t="str">
        <f>IF(TRDTURVILLA[[#This Row],[2024]]="","",DONNÉES!AQ97)</f>
        <v/>
      </c>
      <c r="O73" s="177" t="str">
        <f>IF(TRDTURVILLA[[#This Row],[2024]]="","",DONNÉES!AR97)</f>
        <v/>
      </c>
      <c r="P73" s="128" t="str">
        <f>IF(TRDTURVILLA[[#This Row],[2024]]="","",DONNÉES!AQ177)</f>
        <v/>
      </c>
      <c r="Q73" s="179" t="str">
        <f>IF(TRDTURVILLA[[#This Row],[2024]]="","",DONNÉES!AR177)</f>
        <v/>
      </c>
      <c r="R73" s="181"/>
      <c r="S73" s="128" t="str">
        <f>IF(TRDTURVILLA[[#This Row],[2024]]="","",DONNÉES!AQ113)</f>
        <v/>
      </c>
      <c r="T73" s="177" t="str">
        <f>IF(TRDTURVILLA[[#This Row],[2024]]="","",DONNÉES!AR113)</f>
        <v/>
      </c>
      <c r="U73" s="128" t="str">
        <f>IF(TRDTURVILLA[[#This Row],[2024]]="","",DONNÉES!AQ193)</f>
        <v/>
      </c>
      <c r="V73" s="128" t="str">
        <f>IF(TRDTURVILLA[[#This Row],[2024]]="","",DONNÉES!AR193)</f>
        <v/>
      </c>
    </row>
    <row r="74" spans="1:22" ht="11.65" customHeight="1" x14ac:dyDescent="0.2">
      <c r="A74" s="169" t="s">
        <v>79</v>
      </c>
      <c r="B74" s="128" t="str">
        <f>IF(DONNÉES!AQ50="","",DONNÉES!AQ50)</f>
        <v/>
      </c>
      <c r="C74" s="177" t="str">
        <f>IF(TRDTURVILLA[[#This Row],[2024]]="","",DONNÉES!AR50)</f>
        <v/>
      </c>
      <c r="D74" s="128" t="str">
        <f>IF(TRDTURVILLA[[#This Row],[2024]]="","",DONNÉES!AQ130)</f>
        <v/>
      </c>
      <c r="E74" s="178" t="str">
        <f>IF(TRDTURVILLA[[#This Row],[2024]]="","",DONNÉES!AR130)</f>
        <v/>
      </c>
      <c r="F74" s="128" t="str">
        <f>IF(TRDTURVILLA[[#This Row],[2024]]="","",DONNÉES!AQ66)</f>
        <v/>
      </c>
      <c r="G74" s="177" t="str">
        <f>IF(TRDTURVILLA[[#This Row],[2024]]="","",DONNÉES!AR66)</f>
        <v/>
      </c>
      <c r="H74" s="128" t="str">
        <f>IF(TRDTURVILLA[[#This Row],[2024]]="","",DONNÉES!AQ146)</f>
        <v/>
      </c>
      <c r="I74" s="178" t="str">
        <f>IF(TRDTURVILLA[[#This Row],[2024]]="","",DONNÉES!AR146)</f>
        <v/>
      </c>
      <c r="J74" s="128" t="str">
        <f>IF(TRDTURVILLA[[#This Row],[2024]]="","",DONNÉES!AQ82)</f>
        <v/>
      </c>
      <c r="K74" s="177" t="str">
        <f>IF(TRDTURVILLA[[#This Row],[2024]]="","",DONNÉES!AR82)</f>
        <v/>
      </c>
      <c r="L74" s="128" t="str">
        <f>IF(TRDTURVILLA[[#This Row],[2024]]="","",DONNÉES!AQ162)</f>
        <v/>
      </c>
      <c r="M74" s="178" t="str">
        <f>IF(TRDTURVILLA[[#This Row],[2024]]="","",DONNÉES!AR162)</f>
        <v/>
      </c>
      <c r="N74" s="128" t="str">
        <f>IF(TRDTURVILLA[[#This Row],[2024]]="","",DONNÉES!AQ98)</f>
        <v/>
      </c>
      <c r="O74" s="177" t="str">
        <f>IF(TRDTURVILLA[[#This Row],[2024]]="","",DONNÉES!AR98)</f>
        <v/>
      </c>
      <c r="P74" s="128" t="str">
        <f>IF(TRDTURVILLA[[#This Row],[2024]]="","",DONNÉES!AQ178)</f>
        <v/>
      </c>
      <c r="Q74" s="179" t="str">
        <f>IF(TRDTURVILLA[[#This Row],[2024]]="","",DONNÉES!AR178)</f>
        <v/>
      </c>
      <c r="R74" s="181"/>
      <c r="S74" s="128" t="str">
        <f>IF(TRDTURVILLA[[#This Row],[2024]]="","",DONNÉES!AQ114)</f>
        <v/>
      </c>
      <c r="T74" s="177" t="str">
        <f>IF(TRDTURVILLA[[#This Row],[2024]]="","",DONNÉES!AR114)</f>
        <v/>
      </c>
      <c r="U74" s="128" t="str">
        <f>IF(TRDTURVILLA[[#This Row],[2024]]="","",DONNÉES!AQ194)</f>
        <v/>
      </c>
      <c r="V74" s="128" t="str">
        <f>IF(TRDTURVILLA[[#This Row],[2024]]="","",DONNÉES!AR194)</f>
        <v/>
      </c>
    </row>
    <row r="75" spans="1:22" ht="11.65" customHeight="1" x14ac:dyDescent="0.2">
      <c r="A75" s="170" t="s">
        <v>80</v>
      </c>
      <c r="B75" s="128" t="str">
        <f>IF(DONNÉES!AQ51="","",DONNÉES!AQ51)</f>
        <v/>
      </c>
      <c r="C75" s="177" t="str">
        <f>IF(TRDTURVILLA[[#This Row],[2024]]="","",DONNÉES!AR51)</f>
        <v/>
      </c>
      <c r="D75" s="128" t="str">
        <f>IF(TRDTURVILLA[[#This Row],[2024]]="","",DONNÉES!AQ131)</f>
        <v/>
      </c>
      <c r="E75" s="178" t="str">
        <f>IF(TRDTURVILLA[[#This Row],[2024]]="","",DONNÉES!AR131)</f>
        <v/>
      </c>
      <c r="F75" s="128" t="str">
        <f>IF(TRDTURVILLA[[#This Row],[2024]]="","",DONNÉES!AQ67)</f>
        <v/>
      </c>
      <c r="G75" s="177" t="str">
        <f>IF(TRDTURVILLA[[#This Row],[2024]]="","",DONNÉES!AR67)</f>
        <v/>
      </c>
      <c r="H75" s="128" t="str">
        <f>IF(TRDTURVILLA[[#This Row],[2024]]="","",DONNÉES!AQ147)</f>
        <v/>
      </c>
      <c r="I75" s="178" t="str">
        <f>IF(TRDTURVILLA[[#This Row],[2024]]="","",DONNÉES!AR147)</f>
        <v/>
      </c>
      <c r="J75" s="128" t="str">
        <f>IF(TRDTURVILLA[[#This Row],[2024]]="","",DONNÉES!AQ83)</f>
        <v/>
      </c>
      <c r="K75" s="177" t="str">
        <f>IF(TRDTURVILLA[[#This Row],[2024]]="","",DONNÉES!AR83)</f>
        <v/>
      </c>
      <c r="L75" s="128" t="str">
        <f>IF(TRDTURVILLA[[#This Row],[2024]]="","",DONNÉES!AQ163)</f>
        <v/>
      </c>
      <c r="M75" s="178" t="str">
        <f>IF(TRDTURVILLA[[#This Row],[2024]]="","",DONNÉES!AR163)</f>
        <v/>
      </c>
      <c r="N75" s="128" t="str">
        <f>IF(TRDTURVILLA[[#This Row],[2024]]="","",DONNÉES!AQ99)</f>
        <v/>
      </c>
      <c r="O75" s="177" t="str">
        <f>IF(TRDTURVILLA[[#This Row],[2024]]="","",DONNÉES!AR99)</f>
        <v/>
      </c>
      <c r="P75" s="128" t="str">
        <f>IF(TRDTURVILLA[[#This Row],[2024]]="","",DONNÉES!AQ179)</f>
        <v/>
      </c>
      <c r="Q75" s="179" t="str">
        <f>IF(TRDTURVILLA[[#This Row],[2024]]="","",DONNÉES!AR179)</f>
        <v/>
      </c>
      <c r="R75" s="181"/>
      <c r="S75" s="128" t="str">
        <f>IF(TRDTURVILLA[[#This Row],[2024]]="","",DONNÉES!AQ115)</f>
        <v/>
      </c>
      <c r="T75" s="177" t="str">
        <f>IF(TRDTURVILLA[[#This Row],[2024]]="","",DONNÉES!AR115)</f>
        <v/>
      </c>
      <c r="U75" s="128" t="str">
        <f>IF(TRDTURVILLA[[#This Row],[2024]]="","",DONNÉES!AQ195)</f>
        <v/>
      </c>
      <c r="V75" s="128" t="str">
        <f>IF(TRDTURVILLA[[#This Row],[2024]]="","",DONNÉES!AR195)</f>
        <v/>
      </c>
    </row>
    <row r="76" spans="1:22" ht="11.65" customHeight="1" x14ac:dyDescent="0.2">
      <c r="A76" s="169" t="s">
        <v>81</v>
      </c>
      <c r="B76" s="128" t="str">
        <f>IF(DONNÉES!AQ52="","",DONNÉES!AQ52)</f>
        <v/>
      </c>
      <c r="C76" s="177" t="str">
        <f>IF(TRDTURVILLA[[#This Row],[2024]]="","",DONNÉES!AR52)</f>
        <v/>
      </c>
      <c r="D76" s="128" t="str">
        <f>IF(TRDTURVILLA[[#This Row],[2024]]="","",DONNÉES!AQ132)</f>
        <v/>
      </c>
      <c r="E76" s="178" t="str">
        <f>IF(TRDTURVILLA[[#This Row],[2024]]="","",DONNÉES!AR132)</f>
        <v/>
      </c>
      <c r="F76" s="128" t="str">
        <f>IF(TRDTURVILLA[[#This Row],[2024]]="","",DONNÉES!AQ68)</f>
        <v/>
      </c>
      <c r="G76" s="177" t="str">
        <f>IF(TRDTURVILLA[[#This Row],[2024]]="","",DONNÉES!AR68)</f>
        <v/>
      </c>
      <c r="H76" s="128" t="str">
        <f>IF(TRDTURVILLA[[#This Row],[2024]]="","",DONNÉES!AQ148)</f>
        <v/>
      </c>
      <c r="I76" s="178" t="str">
        <f>IF(TRDTURVILLA[[#This Row],[2024]]="","",DONNÉES!AR148)</f>
        <v/>
      </c>
      <c r="J76" s="128" t="str">
        <f>IF(TRDTURVILLA[[#This Row],[2024]]="","",DONNÉES!AQ84)</f>
        <v/>
      </c>
      <c r="K76" s="177" t="str">
        <f>IF(TRDTURVILLA[[#This Row],[2024]]="","",DONNÉES!AR84)</f>
        <v/>
      </c>
      <c r="L76" s="128" t="str">
        <f>IF(TRDTURVILLA[[#This Row],[2024]]="","",DONNÉES!AQ164)</f>
        <v/>
      </c>
      <c r="M76" s="178" t="str">
        <f>IF(TRDTURVILLA[[#This Row],[2024]]="","",DONNÉES!AR164)</f>
        <v/>
      </c>
      <c r="N76" s="128" t="str">
        <f>IF(TRDTURVILLA[[#This Row],[2024]]="","",DONNÉES!AQ100)</f>
        <v/>
      </c>
      <c r="O76" s="177" t="str">
        <f>IF(TRDTURVILLA[[#This Row],[2024]]="","",DONNÉES!AR100)</f>
        <v/>
      </c>
      <c r="P76" s="128" t="str">
        <f>IF(TRDTURVILLA[[#This Row],[2024]]="","",DONNÉES!AQ180)</f>
        <v/>
      </c>
      <c r="Q76" s="179" t="str">
        <f>IF(TRDTURVILLA[[#This Row],[2024]]="","",DONNÉES!AR180)</f>
        <v/>
      </c>
      <c r="R76" s="185"/>
      <c r="S76" s="128" t="str">
        <f>IF(TRDTURVILLA[[#This Row],[2024]]="","",DONNÉES!AQ116)</f>
        <v/>
      </c>
      <c r="T76" s="177" t="str">
        <f>IF(TRDTURVILLA[[#This Row],[2024]]="","",DONNÉES!AR116)</f>
        <v/>
      </c>
      <c r="U76" s="128" t="str">
        <f>IF(TRDTURVILLA[[#This Row],[2024]]="","",DONNÉES!AQ196)</f>
        <v/>
      </c>
      <c r="V76" s="128" t="str">
        <f>IF(TRDTURVILLA[[#This Row],[2024]]="","",DONNÉES!AR196)</f>
        <v/>
      </c>
    </row>
    <row r="77" spans="1:22" ht="11.65" customHeight="1" x14ac:dyDescent="0.2">
      <c r="A77" s="170" t="s">
        <v>82</v>
      </c>
      <c r="B77" s="128" t="str">
        <f>IF(DONNÉES!AQ53="","",DONNÉES!AQ53)</f>
        <v/>
      </c>
      <c r="C77" s="177" t="str">
        <f>IF(TRDTURVILLA[[#This Row],[2024]]="","",DONNÉES!AR53)</f>
        <v/>
      </c>
      <c r="D77" s="128" t="str">
        <f>IF(TRDTURVILLA[[#This Row],[2024]]="","",DONNÉES!AQ133)</f>
        <v/>
      </c>
      <c r="E77" s="178" t="str">
        <f>IF(TRDTURVILLA[[#This Row],[2024]]="","",DONNÉES!AR133)</f>
        <v/>
      </c>
      <c r="F77" s="128" t="str">
        <f>IF(TRDTURVILLA[[#This Row],[2024]]="","",DONNÉES!AQ69)</f>
        <v/>
      </c>
      <c r="G77" s="177" t="str">
        <f>IF(TRDTURVILLA[[#This Row],[2024]]="","",DONNÉES!AR69)</f>
        <v/>
      </c>
      <c r="H77" s="128" t="str">
        <f>IF(TRDTURVILLA[[#This Row],[2024]]="","",DONNÉES!AQ149)</f>
        <v/>
      </c>
      <c r="I77" s="178" t="str">
        <f>IF(TRDTURVILLA[[#This Row],[2024]]="","",DONNÉES!AR149)</f>
        <v/>
      </c>
      <c r="J77" s="128" t="str">
        <f>IF(TRDTURVILLA[[#This Row],[2024]]="","",DONNÉES!AQ85)</f>
        <v/>
      </c>
      <c r="K77" s="177" t="str">
        <f>IF(TRDTURVILLA[[#This Row],[2024]]="","",DONNÉES!AR85)</f>
        <v/>
      </c>
      <c r="L77" s="128" t="str">
        <f>IF(TRDTURVILLA[[#This Row],[2024]]="","",DONNÉES!AQ165)</f>
        <v/>
      </c>
      <c r="M77" s="178" t="str">
        <f>IF(TRDTURVILLA[[#This Row],[2024]]="","",DONNÉES!AR165)</f>
        <v/>
      </c>
      <c r="N77" s="128" t="str">
        <f>IF(TRDTURVILLA[[#This Row],[2024]]="","",DONNÉES!AQ101)</f>
        <v/>
      </c>
      <c r="O77" s="177" t="str">
        <f>IF(TRDTURVILLA[[#This Row],[2024]]="","",DONNÉES!AR101)</f>
        <v/>
      </c>
      <c r="P77" s="128" t="str">
        <f>IF(TRDTURVILLA[[#This Row],[2024]]="","",DONNÉES!AQ181)</f>
        <v/>
      </c>
      <c r="Q77" s="179" t="str">
        <f>IF(TRDTURVILLA[[#This Row],[2024]]="","",DONNÉES!AR181)</f>
        <v/>
      </c>
      <c r="R77" s="181"/>
      <c r="S77" s="128" t="str">
        <f>IF(TRDTURVILLA[[#This Row],[2024]]="","",DONNÉES!AQ117)</f>
        <v/>
      </c>
      <c r="T77" s="177" t="str">
        <f>IF(TRDTURVILLA[[#This Row],[2024]]="","",DONNÉES!AR117)</f>
        <v/>
      </c>
      <c r="U77" s="128" t="str">
        <f>IF(TRDTURVILLA[[#This Row],[2024]]="","",DONNÉES!AQ197)</f>
        <v/>
      </c>
      <c r="V77" s="128" t="str">
        <f>IF(TRDTURVILLA[[#This Row],[2024]]="","",DONNÉES!AR197)</f>
        <v/>
      </c>
    </row>
    <row r="78" spans="1:22" s="81" customFormat="1" ht="11.65" customHeight="1" x14ac:dyDescent="0.2">
      <c r="A78" s="169" t="s">
        <v>83</v>
      </c>
      <c r="B78" s="128" t="str">
        <f>IF(DONNÉES!AQ54="","",DONNÉES!AQ54)</f>
        <v/>
      </c>
      <c r="C78" s="177" t="str">
        <f>IF(TRDTURVILLA[[#This Row],[2024]]="","",DONNÉES!AR54)</f>
        <v/>
      </c>
      <c r="D78" s="128" t="str">
        <f>IF(TRDTURVILLA[[#This Row],[2024]]="","",DONNÉES!AQ134)</f>
        <v/>
      </c>
      <c r="E78" s="178" t="str">
        <f>IF(TRDTURVILLA[[#This Row],[2024]]="","",DONNÉES!AR134)</f>
        <v/>
      </c>
      <c r="F78" s="128" t="str">
        <f>IF(TRDTURVILLA[[#This Row],[2024]]="","",DONNÉES!AQ70)</f>
        <v/>
      </c>
      <c r="G78" s="177" t="str">
        <f>IF(TRDTURVILLA[[#This Row],[2024]]="","",DONNÉES!AR70)</f>
        <v/>
      </c>
      <c r="H78" s="128" t="str">
        <f>IF(TRDTURVILLA[[#This Row],[2024]]="","",DONNÉES!AQ150)</f>
        <v/>
      </c>
      <c r="I78" s="178" t="str">
        <f>IF(TRDTURVILLA[[#This Row],[2024]]="","",DONNÉES!AR150)</f>
        <v/>
      </c>
      <c r="J78" s="128" t="str">
        <f>IF(TRDTURVILLA[[#This Row],[2024]]="","",DONNÉES!AQ86)</f>
        <v/>
      </c>
      <c r="K78" s="177" t="str">
        <f>IF(TRDTURVILLA[[#This Row],[2024]]="","",DONNÉES!AR86)</f>
        <v/>
      </c>
      <c r="L78" s="128" t="str">
        <f>IF(TRDTURVILLA[[#This Row],[2024]]="","",DONNÉES!AQ166)</f>
        <v/>
      </c>
      <c r="M78" s="178" t="str">
        <f>IF(TRDTURVILLA[[#This Row],[2024]]="","",DONNÉES!AR166)</f>
        <v/>
      </c>
      <c r="N78" s="128" t="str">
        <f>IF(TRDTURVILLA[[#This Row],[2024]]="","",DONNÉES!AQ102)</f>
        <v/>
      </c>
      <c r="O78" s="177" t="str">
        <f>IF(TRDTURVILLA[[#This Row],[2024]]="","",DONNÉES!AR102)</f>
        <v/>
      </c>
      <c r="P78" s="128" t="str">
        <f>IF(TRDTURVILLA[[#This Row],[2024]]="","",DONNÉES!AQ182)</f>
        <v/>
      </c>
      <c r="Q78" s="179" t="str">
        <f>IF(TRDTURVILLA[[#This Row],[2024]]="","",DONNÉES!AR182)</f>
        <v/>
      </c>
      <c r="R78" s="180"/>
      <c r="S78" s="128" t="str">
        <f>IF(TRDTURVILLA[[#This Row],[2024]]="","",DONNÉES!AQ118)</f>
        <v/>
      </c>
      <c r="T78" s="177" t="str">
        <f>IF(TRDTURVILLA[[#This Row],[2024]]="","",DONNÉES!AR118)</f>
        <v/>
      </c>
      <c r="U78" s="128" t="str">
        <f>IF(TRDTURVILLA[[#This Row],[2024]]="","",DONNÉES!AQ198)</f>
        <v/>
      </c>
      <c r="V78" s="128" t="str">
        <f>IF(TRDTURVILLA[[#This Row],[2024]]="","",DONNÉES!AR198)</f>
        <v/>
      </c>
    </row>
    <row r="79" spans="1:22" s="81" customFormat="1" ht="11.65" customHeight="1" x14ac:dyDescent="0.2">
      <c r="A79" s="169" t="s">
        <v>84</v>
      </c>
      <c r="B79" s="128" t="str">
        <f>IF(DONNÉES!AQ55="","",DONNÉES!AQ55)</f>
        <v/>
      </c>
      <c r="C79" s="177" t="str">
        <f>IF(TRDTURVILLA[[#This Row],[2024]]="","",DONNÉES!AR55)</f>
        <v/>
      </c>
      <c r="D79" s="128" t="str">
        <f>IF(TRDTURVILLA[[#This Row],[2024]]="","",DONNÉES!AQ135)</f>
        <v/>
      </c>
      <c r="E79" s="178" t="str">
        <f>IF(TRDTURVILLA[[#This Row],[2024]]="","",DONNÉES!AR135)</f>
        <v/>
      </c>
      <c r="F79" s="128" t="str">
        <f>IF(TRDTURVILLA[[#This Row],[2024]]="","",DONNÉES!AQ71)</f>
        <v/>
      </c>
      <c r="G79" s="177" t="str">
        <f>IF(TRDTURVILLA[[#This Row],[2024]]="","",DONNÉES!AR71)</f>
        <v/>
      </c>
      <c r="H79" s="128" t="str">
        <f>IF(TRDTURVILLA[[#This Row],[2024]]="","",DONNÉES!AQ151)</f>
        <v/>
      </c>
      <c r="I79" s="178" t="str">
        <f>IF(TRDTURVILLA[[#This Row],[2024]]="","",DONNÉES!AR151)</f>
        <v/>
      </c>
      <c r="J79" s="128" t="str">
        <f>IF(TRDTURVILLA[[#This Row],[2024]]="","",DONNÉES!AQ87)</f>
        <v/>
      </c>
      <c r="K79" s="177" t="str">
        <f>IF(TRDTURVILLA[[#This Row],[2024]]="","",DONNÉES!AR87)</f>
        <v/>
      </c>
      <c r="L79" s="128" t="str">
        <f>IF(TRDTURVILLA[[#This Row],[2024]]="","",DONNÉES!AQ167)</f>
        <v/>
      </c>
      <c r="M79" s="178" t="str">
        <f>IF(TRDTURVILLA[[#This Row],[2024]]="","",DONNÉES!AR167)</f>
        <v/>
      </c>
      <c r="N79" s="128" t="str">
        <f>IF(TRDTURVILLA[[#This Row],[2024]]="","",DONNÉES!AQ103)</f>
        <v/>
      </c>
      <c r="O79" s="177" t="str">
        <f>IF(TRDTURVILLA[[#This Row],[2024]]="","",DONNÉES!AR103)</f>
        <v/>
      </c>
      <c r="P79" s="128" t="str">
        <f>IF(TRDTURVILLA[[#This Row],[2024]]="","",DONNÉES!AQ183)</f>
        <v/>
      </c>
      <c r="Q79" s="179" t="str">
        <f>IF(TRDTURVILLA[[#This Row],[2024]]="","",DONNÉES!AR183)</f>
        <v/>
      </c>
      <c r="R79" s="180"/>
      <c r="S79" s="128" t="str">
        <f>IF(TRDTURVILLA[[#This Row],[2024]]="","",DONNÉES!AQ119)</f>
        <v/>
      </c>
      <c r="T79" s="177" t="str">
        <f>IF(TRDTURVILLA[[#This Row],[2024]]="","",DONNÉES!AR119)</f>
        <v/>
      </c>
      <c r="U79" s="128" t="str">
        <f>IF(TRDTURVILLA[[#This Row],[2024]]="","",DONNÉES!AQ199)</f>
        <v/>
      </c>
      <c r="V79" s="128" t="str">
        <f>IF(TRDTURVILLA[[#This Row],[2024]]="","",DONNÉES!AR199)</f>
        <v/>
      </c>
    </row>
    <row r="80" spans="1:22" s="81" customFormat="1" ht="11.65" customHeight="1" x14ac:dyDescent="0.2">
      <c r="A80" s="79"/>
      <c r="B80" s="112"/>
      <c r="C80" s="112"/>
      <c r="D80" s="101"/>
      <c r="E80" s="112"/>
      <c r="F80" s="112"/>
      <c r="G80" s="118"/>
      <c r="H80" s="79"/>
      <c r="I80" s="82"/>
      <c r="J80" s="112"/>
      <c r="K80" s="112"/>
      <c r="L80" s="101"/>
      <c r="M80" s="118"/>
      <c r="N80" s="79"/>
      <c r="O80" s="79"/>
      <c r="P80" s="79"/>
      <c r="Q80" s="79"/>
      <c r="R80" s="180"/>
      <c r="S80" s="79"/>
      <c r="T80" s="79"/>
      <c r="U80" s="79"/>
      <c r="V80" s="79"/>
    </row>
    <row r="81" spans="1:22" ht="14.65" customHeight="1" x14ac:dyDescent="0.2">
      <c r="A81" s="168"/>
      <c r="B81" s="345" t="s">
        <v>195</v>
      </c>
      <c r="C81" s="345"/>
      <c r="D81" s="345"/>
      <c r="E81" s="346"/>
      <c r="F81" s="345" t="s">
        <v>196</v>
      </c>
      <c r="G81" s="345"/>
      <c r="H81" s="345"/>
      <c r="I81" s="346"/>
      <c r="J81" s="345" t="s">
        <v>198</v>
      </c>
      <c r="K81" s="345"/>
      <c r="L81" s="345"/>
      <c r="M81" s="346"/>
      <c r="N81" s="345" t="s">
        <v>199</v>
      </c>
      <c r="O81" s="345"/>
      <c r="P81" s="345"/>
      <c r="Q81" s="345"/>
      <c r="S81" s="345" t="s">
        <v>197</v>
      </c>
      <c r="T81" s="345"/>
      <c r="U81" s="345"/>
      <c r="V81" s="345"/>
    </row>
    <row r="82" spans="1:22" ht="28.9" customHeight="1" x14ac:dyDescent="0.2">
      <c r="A82" s="169" t="s">
        <v>3000</v>
      </c>
      <c r="B82" s="108" t="s">
        <v>6962</v>
      </c>
      <c r="C82" s="166" t="s">
        <v>2169</v>
      </c>
      <c r="D82" s="108" t="s">
        <v>6986</v>
      </c>
      <c r="E82" s="172" t="s">
        <v>6944</v>
      </c>
      <c r="F82" s="211" t="s">
        <v>6987</v>
      </c>
      <c r="G82" s="166" t="s">
        <v>6945</v>
      </c>
      <c r="H82" s="108" t="s">
        <v>6988</v>
      </c>
      <c r="I82" s="172" t="s">
        <v>6946</v>
      </c>
      <c r="J82" s="108" t="s">
        <v>6989</v>
      </c>
      <c r="K82" s="166" t="s">
        <v>6947</v>
      </c>
      <c r="L82" s="108" t="s">
        <v>6990</v>
      </c>
      <c r="M82" s="172" t="s">
        <v>6948</v>
      </c>
      <c r="N82" s="108" t="s">
        <v>6991</v>
      </c>
      <c r="O82" s="166" t="s">
        <v>6949</v>
      </c>
      <c r="P82" s="108" t="s">
        <v>6992</v>
      </c>
      <c r="Q82" s="94" t="s">
        <v>6950</v>
      </c>
      <c r="S82" s="108" t="s">
        <v>6962</v>
      </c>
      <c r="T82" s="166" t="s">
        <v>2169</v>
      </c>
      <c r="U82" s="108" t="s">
        <v>6986</v>
      </c>
      <c r="V82" s="172" t="s">
        <v>6944</v>
      </c>
    </row>
    <row r="83" spans="1:22" ht="11.65" customHeight="1" x14ac:dyDescent="0.2">
      <c r="A83" s="170" t="s">
        <v>73</v>
      </c>
      <c r="B83" s="128" t="str">
        <f>IF(DONNÉES!AY44="","",DONNÉES!AY44)</f>
        <v/>
      </c>
      <c r="C83" s="177" t="str">
        <f>IF(TRDHART[[#This Row],[2024]]="","",DONNÉES!AZ44)</f>
        <v/>
      </c>
      <c r="D83" s="128" t="str">
        <f>IF(TRDHART[[#This Row],[2024]]="","",DONNÉES!AY124)</f>
        <v/>
      </c>
      <c r="E83" s="178" t="str">
        <f>IF(TRDHART[[#This Row],[2024]]="","",DONNÉES!AZ124)</f>
        <v/>
      </c>
      <c r="F83" s="128" t="str">
        <f>IF(TRDHART[[#This Row],[2024]]="","",DONNÉES!AY60)</f>
        <v/>
      </c>
      <c r="G83" s="177" t="str">
        <f>IF(TRDHART[[#This Row],[2024]]="","",DONNÉES!AZ60)</f>
        <v/>
      </c>
      <c r="H83" s="128" t="str">
        <f>IF(TRDHART[[#This Row],[2024]]="","",DONNÉES!AY140)</f>
        <v/>
      </c>
      <c r="I83" s="178" t="str">
        <f>IF(TRDHART[[#This Row],[2024]]="","",DONNÉES!AZ140)</f>
        <v/>
      </c>
      <c r="J83" s="128" t="str">
        <f>IF(TRDHART[[#This Row],[2024]]="","",DONNÉES!AY76)</f>
        <v/>
      </c>
      <c r="K83" s="177" t="str">
        <f>IF(TRDHART[[#This Row],[2024]]="","",DONNÉES!AZ76)</f>
        <v/>
      </c>
      <c r="L83" s="128" t="str">
        <f>IF(TRDHART[[#This Row],[2024]]="","",DONNÉES!AY156)</f>
        <v/>
      </c>
      <c r="M83" s="178" t="str">
        <f>IF(TRDHART[[#This Row],[2024]]="","",DONNÉES!AZ156)</f>
        <v/>
      </c>
      <c r="N83" s="128" t="str">
        <f>IF(TRDHART[[#This Row],[2024]]="","",DONNÉES!AY92)</f>
        <v/>
      </c>
      <c r="O83" s="177" t="str">
        <f>IF(TRDHART[[#This Row],[2024]]="","",DONNÉES!AZ92)</f>
        <v/>
      </c>
      <c r="P83" s="128" t="str">
        <f>IF(TRDHART[[#This Row],[2024]]="","",DONNÉES!AY172)</f>
        <v/>
      </c>
      <c r="Q83" s="179" t="str">
        <f>IF(TRDHART[[#This Row],[2024]]="","",DONNÉES!AZ172)</f>
        <v/>
      </c>
      <c r="S83" s="128" t="str">
        <f>IF(TRDHART[[#This Row],[2024]]="","",DONNÉES!AY108)</f>
        <v/>
      </c>
      <c r="T83" s="177" t="str">
        <f>IF(TRDHART[[#This Row],[2024]]="","",DONNÉES!AZ108)</f>
        <v/>
      </c>
      <c r="U83" s="128" t="str">
        <f>IF(TRDHART[[#This Row],[2024]]="","",DONNÉES!AY188)</f>
        <v/>
      </c>
      <c r="V83" s="128" t="str">
        <f>IF(TRDHART[[#This Row],[2024]]="","",DONNÉES!AZ188)</f>
        <v/>
      </c>
    </row>
    <row r="84" spans="1:22" s="81" customFormat="1" ht="11.65" customHeight="1" x14ac:dyDescent="0.2">
      <c r="A84" s="170" t="s">
        <v>74</v>
      </c>
      <c r="B84" s="128" t="str">
        <f>IF(DONNÉES!AY45="","",DONNÉES!AY45)</f>
        <v/>
      </c>
      <c r="C84" s="177" t="str">
        <f>IF(TRDHART[[#This Row],[2024]]="","",DONNÉES!AZ45)</f>
        <v/>
      </c>
      <c r="D84" s="128" t="str">
        <f>IF(TRDHART[[#This Row],[2024]]="","",DONNÉES!AY125)</f>
        <v/>
      </c>
      <c r="E84" s="178" t="str">
        <f>IF(TRDHART[[#This Row],[2024]]="","",DONNÉES!AZ125)</f>
        <v/>
      </c>
      <c r="F84" s="128" t="str">
        <f>IF(TRDHART[[#This Row],[2024]]="","",DONNÉES!AY61)</f>
        <v/>
      </c>
      <c r="G84" s="177" t="str">
        <f>IF(TRDHART[[#This Row],[2024]]="","",DONNÉES!AZ61)</f>
        <v/>
      </c>
      <c r="H84" s="128" t="str">
        <f>IF(TRDHART[[#This Row],[2024]]="","",DONNÉES!AY141)</f>
        <v/>
      </c>
      <c r="I84" s="178" t="str">
        <f>IF(TRDHART[[#This Row],[2024]]="","",DONNÉES!AZ141)</f>
        <v/>
      </c>
      <c r="J84" s="128" t="str">
        <f>IF(TRDHART[[#This Row],[2024]]="","",DONNÉES!AY77)</f>
        <v/>
      </c>
      <c r="K84" s="177" t="str">
        <f>IF(TRDHART[[#This Row],[2024]]="","",DONNÉES!AZ77)</f>
        <v/>
      </c>
      <c r="L84" s="128" t="str">
        <f>IF(TRDHART[[#This Row],[2024]]="","",DONNÉES!AY157)</f>
        <v/>
      </c>
      <c r="M84" s="178" t="str">
        <f>IF(TRDHART[[#This Row],[2024]]="","",DONNÉES!AZ157)</f>
        <v/>
      </c>
      <c r="N84" s="128" t="str">
        <f>IF(TRDHART[[#This Row],[2024]]="","",DONNÉES!AY93)</f>
        <v/>
      </c>
      <c r="O84" s="177" t="str">
        <f>IF(TRDHART[[#This Row],[2024]]="","",DONNÉES!AZ93)</f>
        <v/>
      </c>
      <c r="P84" s="128" t="str">
        <f>IF(TRDHART[[#This Row],[2024]]="","",DONNÉES!AY173)</f>
        <v/>
      </c>
      <c r="Q84" s="179" t="str">
        <f>IF(TRDHART[[#This Row],[2024]]="","",DONNÉES!AZ173)</f>
        <v/>
      </c>
      <c r="R84" s="180"/>
      <c r="S84" s="128" t="str">
        <f>IF(TRDHART[[#This Row],[2024]]="","",DONNÉES!AY109)</f>
        <v/>
      </c>
      <c r="T84" s="177" t="str">
        <f>IF(TRDHART[[#This Row],[2024]]="","",DONNÉES!AZ109)</f>
        <v/>
      </c>
      <c r="U84" s="128" t="str">
        <f>IF(TRDHART[[#This Row],[2024]]="","",DONNÉES!AY189)</f>
        <v/>
      </c>
      <c r="V84" s="128" t="str">
        <f>IF(TRDHART[[#This Row],[2024]]="","",DONNÉES!AZ189)</f>
        <v/>
      </c>
    </row>
    <row r="85" spans="1:22" s="81" customFormat="1" ht="11.65" customHeight="1" x14ac:dyDescent="0.2">
      <c r="A85" s="169" t="s">
        <v>75</v>
      </c>
      <c r="B85" s="128" t="str">
        <f>IF(DONNÉES!AY46="","",DONNÉES!AY46)</f>
        <v/>
      </c>
      <c r="C85" s="177" t="str">
        <f>IF(TRDHART[[#This Row],[2024]]="","",DONNÉES!AZ46)</f>
        <v/>
      </c>
      <c r="D85" s="128" t="str">
        <f>IF(TRDHART[[#This Row],[2024]]="","",DONNÉES!AY126)</f>
        <v/>
      </c>
      <c r="E85" s="178" t="str">
        <f>IF(TRDHART[[#This Row],[2024]]="","",DONNÉES!AZ126)</f>
        <v/>
      </c>
      <c r="F85" s="128" t="str">
        <f>IF(TRDHART[[#This Row],[2024]]="","",DONNÉES!AY62)</f>
        <v/>
      </c>
      <c r="G85" s="177" t="str">
        <f>IF(TRDHART[[#This Row],[2024]]="","",DONNÉES!AZ62)</f>
        <v/>
      </c>
      <c r="H85" s="128" t="str">
        <f>IF(TRDHART[[#This Row],[2024]]="","",DONNÉES!AY142)</f>
        <v/>
      </c>
      <c r="I85" s="178" t="str">
        <f>IF(TRDHART[[#This Row],[2024]]="","",DONNÉES!AZ142)</f>
        <v/>
      </c>
      <c r="J85" s="128" t="str">
        <f>IF(TRDHART[[#This Row],[2024]]="","",DONNÉES!AY78)</f>
        <v/>
      </c>
      <c r="K85" s="177" t="str">
        <f>IF(TRDHART[[#This Row],[2024]]="","",DONNÉES!AZ78)</f>
        <v/>
      </c>
      <c r="L85" s="128" t="str">
        <f>IF(TRDHART[[#This Row],[2024]]="","",DONNÉES!AY158)</f>
        <v/>
      </c>
      <c r="M85" s="178" t="str">
        <f>IF(TRDHART[[#This Row],[2024]]="","",DONNÉES!AZ158)</f>
        <v/>
      </c>
      <c r="N85" s="128" t="str">
        <f>IF(TRDHART[[#This Row],[2024]]="","",DONNÉES!AY94)</f>
        <v/>
      </c>
      <c r="O85" s="177" t="str">
        <f>IF(TRDHART[[#This Row],[2024]]="","",DONNÉES!AZ94)</f>
        <v/>
      </c>
      <c r="P85" s="128" t="str">
        <f>IF(TRDHART[[#This Row],[2024]]="","",DONNÉES!AY174)</f>
        <v/>
      </c>
      <c r="Q85" s="179" t="str">
        <f>IF(TRDHART[[#This Row],[2024]]="","",DONNÉES!AZ174)</f>
        <v/>
      </c>
      <c r="R85" s="180"/>
      <c r="S85" s="128" t="str">
        <f>IF(TRDHART[[#This Row],[2024]]="","",DONNÉES!AY110)</f>
        <v/>
      </c>
      <c r="T85" s="177" t="str">
        <f>IF(TRDHART[[#This Row],[2024]]="","",DONNÉES!AZ110)</f>
        <v/>
      </c>
      <c r="U85" s="128" t="str">
        <f>IF(TRDHART[[#This Row],[2024]]="","",DONNÉES!AY190)</f>
        <v/>
      </c>
      <c r="V85" s="128" t="str">
        <f>IF(TRDHART[[#This Row],[2024]]="","",DONNÉES!AZ190)</f>
        <v/>
      </c>
    </row>
    <row r="86" spans="1:22" s="81" customFormat="1" ht="11.65" customHeight="1" x14ac:dyDescent="0.2">
      <c r="A86" s="170" t="s">
        <v>76</v>
      </c>
      <c r="B86" s="128" t="str">
        <f>IF(DONNÉES!AY47="","",DONNÉES!AY47)</f>
        <v/>
      </c>
      <c r="C86" s="177" t="str">
        <f>IF(TRDHART[[#This Row],[2024]]="","",DONNÉES!AZ47)</f>
        <v/>
      </c>
      <c r="D86" s="128" t="str">
        <f>IF(TRDHART[[#This Row],[2024]]="","",DONNÉES!AY127)</f>
        <v/>
      </c>
      <c r="E86" s="178" t="str">
        <f>IF(TRDHART[[#This Row],[2024]]="","",DONNÉES!AZ127)</f>
        <v/>
      </c>
      <c r="F86" s="128" t="str">
        <f>IF(TRDHART[[#This Row],[2024]]="","",DONNÉES!AY63)</f>
        <v/>
      </c>
      <c r="G86" s="177" t="str">
        <f>IF(TRDHART[[#This Row],[2024]]="","",DONNÉES!AZ63)</f>
        <v/>
      </c>
      <c r="H86" s="128" t="str">
        <f>IF(TRDHART[[#This Row],[2024]]="","",DONNÉES!AY143)</f>
        <v/>
      </c>
      <c r="I86" s="178" t="str">
        <f>IF(TRDHART[[#This Row],[2024]]="","",DONNÉES!AZ143)</f>
        <v/>
      </c>
      <c r="J86" s="128" t="str">
        <f>IF(TRDHART[[#This Row],[2024]]="","",DONNÉES!AY79)</f>
        <v/>
      </c>
      <c r="K86" s="177" t="str">
        <f>IF(TRDHART[[#This Row],[2024]]="","",DONNÉES!AZ79)</f>
        <v/>
      </c>
      <c r="L86" s="128" t="str">
        <f>IF(TRDHART[[#This Row],[2024]]="","",DONNÉES!AY159)</f>
        <v/>
      </c>
      <c r="M86" s="178" t="str">
        <f>IF(TRDHART[[#This Row],[2024]]="","",DONNÉES!AZ159)</f>
        <v/>
      </c>
      <c r="N86" s="128" t="str">
        <f>IF(TRDHART[[#This Row],[2024]]="","",DONNÉES!AY95)</f>
        <v/>
      </c>
      <c r="O86" s="177" t="str">
        <f>IF(TRDHART[[#This Row],[2024]]="","",DONNÉES!AZ95)</f>
        <v/>
      </c>
      <c r="P86" s="128" t="str">
        <f>IF(TRDHART[[#This Row],[2024]]="","",DONNÉES!AY175)</f>
        <v/>
      </c>
      <c r="Q86" s="179" t="str">
        <f>IF(TRDHART[[#This Row],[2024]]="","",DONNÉES!AZ175)</f>
        <v/>
      </c>
      <c r="R86" s="180"/>
      <c r="S86" s="128" t="str">
        <f>IF(TRDHART[[#This Row],[2024]]="","",DONNÉES!AY111)</f>
        <v/>
      </c>
      <c r="T86" s="177" t="str">
        <f>IF(TRDHART[[#This Row],[2024]]="","",DONNÉES!AZ111)</f>
        <v/>
      </c>
      <c r="U86" s="128" t="str">
        <f>IF(TRDHART[[#This Row],[2024]]="","",DONNÉES!AY191)</f>
        <v/>
      </c>
      <c r="V86" s="128" t="str">
        <f>IF(TRDHART[[#This Row],[2024]]="","",DONNÉES!AZ191)</f>
        <v/>
      </c>
    </row>
    <row r="87" spans="1:22" ht="11.65" customHeight="1" x14ac:dyDescent="0.2">
      <c r="A87" s="169" t="s">
        <v>77</v>
      </c>
      <c r="B87" s="128" t="str">
        <f>IF(DONNÉES!AY48="","",DONNÉES!AY48)</f>
        <v/>
      </c>
      <c r="C87" s="177" t="str">
        <f>IF(TRDHART[[#This Row],[2024]]="","",DONNÉES!AZ48)</f>
        <v/>
      </c>
      <c r="D87" s="128" t="str">
        <f>IF(TRDHART[[#This Row],[2024]]="","",DONNÉES!AY128)</f>
        <v/>
      </c>
      <c r="E87" s="178" t="str">
        <f>IF(TRDHART[[#This Row],[2024]]="","",DONNÉES!AZ128)</f>
        <v/>
      </c>
      <c r="F87" s="128" t="str">
        <f>IF(TRDHART[[#This Row],[2024]]="","",DONNÉES!AY64)</f>
        <v/>
      </c>
      <c r="G87" s="177" t="str">
        <f>IF(TRDHART[[#This Row],[2024]]="","",DONNÉES!AZ64)</f>
        <v/>
      </c>
      <c r="H87" s="128" t="str">
        <f>IF(TRDHART[[#This Row],[2024]]="","",DONNÉES!AY144)</f>
        <v/>
      </c>
      <c r="I87" s="178" t="str">
        <f>IF(TRDHART[[#This Row],[2024]]="","",DONNÉES!AZ144)</f>
        <v/>
      </c>
      <c r="J87" s="128" t="str">
        <f>IF(TRDHART[[#This Row],[2024]]="","",DONNÉES!AY80)</f>
        <v/>
      </c>
      <c r="K87" s="177" t="str">
        <f>IF(TRDHART[[#This Row],[2024]]="","",DONNÉES!AZ80)</f>
        <v/>
      </c>
      <c r="L87" s="128" t="str">
        <f>IF(TRDHART[[#This Row],[2024]]="","",DONNÉES!AY160)</f>
        <v/>
      </c>
      <c r="M87" s="178" t="str">
        <f>IF(TRDHART[[#This Row],[2024]]="","",DONNÉES!AZ160)</f>
        <v/>
      </c>
      <c r="N87" s="128" t="str">
        <f>IF(TRDHART[[#This Row],[2024]]="","",DONNÉES!AY96)</f>
        <v/>
      </c>
      <c r="O87" s="177" t="str">
        <f>IF(TRDHART[[#This Row],[2024]]="","",DONNÉES!AZ96)</f>
        <v/>
      </c>
      <c r="P87" s="128" t="str">
        <f>IF(TRDHART[[#This Row],[2024]]="","",DONNÉES!AY176)</f>
        <v/>
      </c>
      <c r="Q87" s="179" t="str">
        <f>IF(TRDHART[[#This Row],[2024]]="","",DONNÉES!AZ176)</f>
        <v/>
      </c>
      <c r="R87" s="181"/>
      <c r="S87" s="128" t="str">
        <f>IF(TRDHART[[#This Row],[2024]]="","",DONNÉES!AY112)</f>
        <v/>
      </c>
      <c r="T87" s="177" t="str">
        <f>IF(TRDHART[[#This Row],[2024]]="","",DONNÉES!AZ112)</f>
        <v/>
      </c>
      <c r="U87" s="128" t="str">
        <f>IF(TRDHART[[#This Row],[2024]]="","",DONNÉES!AY192)</f>
        <v/>
      </c>
      <c r="V87" s="128" t="str">
        <f>IF(TRDHART[[#This Row],[2024]]="","",DONNÉES!AZ192)</f>
        <v/>
      </c>
    </row>
    <row r="88" spans="1:22" ht="11.65" customHeight="1" x14ac:dyDescent="0.2">
      <c r="A88" s="170" t="s">
        <v>78</v>
      </c>
      <c r="B88" s="128" t="str">
        <f>IF(DONNÉES!AY49="","",DONNÉES!AY49)</f>
        <v/>
      </c>
      <c r="C88" s="177" t="str">
        <f>IF(TRDHART[[#This Row],[2024]]="","",DONNÉES!AZ49)</f>
        <v/>
      </c>
      <c r="D88" s="128" t="str">
        <f>IF(TRDHART[[#This Row],[2024]]="","",DONNÉES!AY129)</f>
        <v/>
      </c>
      <c r="E88" s="178" t="str">
        <f>IF(TRDHART[[#This Row],[2024]]="","",DONNÉES!AZ129)</f>
        <v/>
      </c>
      <c r="F88" s="128" t="str">
        <f>IF(TRDHART[[#This Row],[2024]]="","",DONNÉES!AY65)</f>
        <v/>
      </c>
      <c r="G88" s="177" t="str">
        <f>IF(TRDHART[[#This Row],[2024]]="","",DONNÉES!AZ65)</f>
        <v/>
      </c>
      <c r="H88" s="128" t="str">
        <f>IF(TRDHART[[#This Row],[2024]]="","",DONNÉES!AY145)</f>
        <v/>
      </c>
      <c r="I88" s="178" t="str">
        <f>IF(TRDHART[[#This Row],[2024]]="","",DONNÉES!AZ145)</f>
        <v/>
      </c>
      <c r="J88" s="128" t="str">
        <f>IF(TRDHART[[#This Row],[2024]]="","",DONNÉES!AY81)</f>
        <v/>
      </c>
      <c r="K88" s="177" t="str">
        <f>IF(TRDHART[[#This Row],[2024]]="","",DONNÉES!AZ81)</f>
        <v/>
      </c>
      <c r="L88" s="128" t="str">
        <f>IF(TRDHART[[#This Row],[2024]]="","",DONNÉES!AY161)</f>
        <v/>
      </c>
      <c r="M88" s="178" t="str">
        <f>IF(TRDHART[[#This Row],[2024]]="","",DONNÉES!AZ161)</f>
        <v/>
      </c>
      <c r="N88" s="128" t="str">
        <f>IF(TRDHART[[#This Row],[2024]]="","",DONNÉES!AY97)</f>
        <v/>
      </c>
      <c r="O88" s="177" t="str">
        <f>IF(TRDHART[[#This Row],[2024]]="","",DONNÉES!AZ97)</f>
        <v/>
      </c>
      <c r="P88" s="128" t="str">
        <f>IF(TRDHART[[#This Row],[2024]]="","",DONNÉES!AY177)</f>
        <v/>
      </c>
      <c r="Q88" s="179" t="str">
        <f>IF(TRDHART[[#This Row],[2024]]="","",DONNÉES!AZ177)</f>
        <v/>
      </c>
      <c r="R88" s="181"/>
      <c r="S88" s="128" t="str">
        <f>IF(TRDHART[[#This Row],[2024]]="","",DONNÉES!AY113)</f>
        <v/>
      </c>
      <c r="T88" s="177" t="str">
        <f>IF(TRDHART[[#This Row],[2024]]="","",DONNÉES!AZ113)</f>
        <v/>
      </c>
      <c r="U88" s="128" t="str">
        <f>IF(TRDHART[[#This Row],[2024]]="","",DONNÉES!AY193)</f>
        <v/>
      </c>
      <c r="V88" s="128" t="str">
        <f>IF(TRDHART[[#This Row],[2024]]="","",DONNÉES!AZ193)</f>
        <v/>
      </c>
    </row>
    <row r="89" spans="1:22" ht="11.65" customHeight="1" x14ac:dyDescent="0.2">
      <c r="A89" s="169" t="s">
        <v>79</v>
      </c>
      <c r="B89" s="128" t="str">
        <f>IF(DONNÉES!AY50="","",DONNÉES!AY50)</f>
        <v/>
      </c>
      <c r="C89" s="177" t="str">
        <f>IF(TRDHART[[#This Row],[2024]]="","",DONNÉES!AZ50)</f>
        <v/>
      </c>
      <c r="D89" s="128" t="str">
        <f>IF(TRDHART[[#This Row],[2024]]="","",DONNÉES!AY130)</f>
        <v/>
      </c>
      <c r="E89" s="178" t="str">
        <f>IF(TRDHART[[#This Row],[2024]]="","",DONNÉES!AZ130)</f>
        <v/>
      </c>
      <c r="F89" s="128" t="str">
        <f>IF(TRDHART[[#This Row],[2024]]="","",DONNÉES!AY66)</f>
        <v/>
      </c>
      <c r="G89" s="177" t="str">
        <f>IF(TRDHART[[#This Row],[2024]]="","",DONNÉES!AZ66)</f>
        <v/>
      </c>
      <c r="H89" s="128" t="str">
        <f>IF(TRDHART[[#This Row],[2024]]="","",DONNÉES!AY146)</f>
        <v/>
      </c>
      <c r="I89" s="178" t="str">
        <f>IF(TRDHART[[#This Row],[2024]]="","",DONNÉES!AZ146)</f>
        <v/>
      </c>
      <c r="J89" s="128" t="str">
        <f>IF(TRDHART[[#This Row],[2024]]="","",DONNÉES!AY82)</f>
        <v/>
      </c>
      <c r="K89" s="177" t="str">
        <f>IF(TRDHART[[#This Row],[2024]]="","",DONNÉES!AZ82)</f>
        <v/>
      </c>
      <c r="L89" s="128" t="str">
        <f>IF(TRDHART[[#This Row],[2024]]="","",DONNÉES!AY162)</f>
        <v/>
      </c>
      <c r="M89" s="178" t="str">
        <f>IF(TRDHART[[#This Row],[2024]]="","",DONNÉES!AZ162)</f>
        <v/>
      </c>
      <c r="N89" s="128" t="str">
        <f>IF(TRDHART[[#This Row],[2024]]="","",DONNÉES!AY98)</f>
        <v/>
      </c>
      <c r="O89" s="177" t="str">
        <f>IF(TRDHART[[#This Row],[2024]]="","",DONNÉES!AZ98)</f>
        <v/>
      </c>
      <c r="P89" s="128" t="str">
        <f>IF(TRDHART[[#This Row],[2024]]="","",DONNÉES!AY178)</f>
        <v/>
      </c>
      <c r="Q89" s="179" t="str">
        <f>IF(TRDHART[[#This Row],[2024]]="","",DONNÉES!AZ178)</f>
        <v/>
      </c>
      <c r="R89" s="181"/>
      <c r="S89" s="128" t="str">
        <f>IF(TRDHART[[#This Row],[2024]]="","",DONNÉES!AY114)</f>
        <v/>
      </c>
      <c r="T89" s="177" t="str">
        <f>IF(TRDHART[[#This Row],[2024]]="","",DONNÉES!AZ114)</f>
        <v/>
      </c>
      <c r="U89" s="128" t="str">
        <f>IF(TRDHART[[#This Row],[2024]]="","",DONNÉES!AY194)</f>
        <v/>
      </c>
      <c r="V89" s="128" t="str">
        <f>IF(TRDHART[[#This Row],[2024]]="","",DONNÉES!AZ194)</f>
        <v/>
      </c>
    </row>
    <row r="90" spans="1:22" ht="11.65" customHeight="1" x14ac:dyDescent="0.2">
      <c r="A90" s="170" t="s">
        <v>80</v>
      </c>
      <c r="B90" s="128" t="str">
        <f>IF(DONNÉES!AY51="","",DONNÉES!AY51)</f>
        <v/>
      </c>
      <c r="C90" s="177" t="str">
        <f>IF(TRDHART[[#This Row],[2024]]="","",DONNÉES!AZ51)</f>
        <v/>
      </c>
      <c r="D90" s="128" t="str">
        <f>IF(TRDHART[[#This Row],[2024]]="","",DONNÉES!AY131)</f>
        <v/>
      </c>
      <c r="E90" s="178" t="str">
        <f>IF(TRDHART[[#This Row],[2024]]="","",DONNÉES!AZ131)</f>
        <v/>
      </c>
      <c r="F90" s="128" t="str">
        <f>IF(TRDHART[[#This Row],[2024]]="","",DONNÉES!AY67)</f>
        <v/>
      </c>
      <c r="G90" s="177" t="str">
        <f>IF(TRDHART[[#This Row],[2024]]="","",DONNÉES!AZ67)</f>
        <v/>
      </c>
      <c r="H90" s="128" t="str">
        <f>IF(TRDHART[[#This Row],[2024]]="","",DONNÉES!AY147)</f>
        <v/>
      </c>
      <c r="I90" s="178" t="str">
        <f>IF(TRDHART[[#This Row],[2024]]="","",DONNÉES!AZ147)</f>
        <v/>
      </c>
      <c r="J90" s="128" t="str">
        <f>IF(TRDHART[[#This Row],[2024]]="","",DONNÉES!AY83)</f>
        <v/>
      </c>
      <c r="K90" s="177" t="str">
        <f>IF(TRDHART[[#This Row],[2024]]="","",DONNÉES!AZ83)</f>
        <v/>
      </c>
      <c r="L90" s="128" t="str">
        <f>IF(TRDHART[[#This Row],[2024]]="","",DONNÉES!AY163)</f>
        <v/>
      </c>
      <c r="M90" s="178" t="str">
        <f>IF(TRDHART[[#This Row],[2024]]="","",DONNÉES!AZ163)</f>
        <v/>
      </c>
      <c r="N90" s="128" t="str">
        <f>IF(TRDHART[[#This Row],[2024]]="","",DONNÉES!AY99)</f>
        <v/>
      </c>
      <c r="O90" s="177" t="str">
        <f>IF(TRDHART[[#This Row],[2024]]="","",DONNÉES!AZ99)</f>
        <v/>
      </c>
      <c r="P90" s="128" t="str">
        <f>IF(TRDHART[[#This Row],[2024]]="","",DONNÉES!AY179)</f>
        <v/>
      </c>
      <c r="Q90" s="179" t="str">
        <f>IF(TRDHART[[#This Row],[2024]]="","",DONNÉES!AZ179)</f>
        <v/>
      </c>
      <c r="R90" s="181"/>
      <c r="S90" s="128" t="str">
        <f>IF(TRDHART[[#This Row],[2024]]="","",DONNÉES!AY115)</f>
        <v/>
      </c>
      <c r="T90" s="177" t="str">
        <f>IF(TRDHART[[#This Row],[2024]]="","",DONNÉES!AZ115)</f>
        <v/>
      </c>
      <c r="U90" s="128" t="str">
        <f>IF(TRDHART[[#This Row],[2024]]="","",DONNÉES!AY195)</f>
        <v/>
      </c>
      <c r="V90" s="128" t="str">
        <f>IF(TRDHART[[#This Row],[2024]]="","",DONNÉES!AZ195)</f>
        <v/>
      </c>
    </row>
    <row r="91" spans="1:22" ht="11.65" customHeight="1" x14ac:dyDescent="0.2">
      <c r="A91" s="169" t="s">
        <v>81</v>
      </c>
      <c r="B91" s="128" t="str">
        <f>IF(DONNÉES!AY52="","",DONNÉES!AY52)</f>
        <v/>
      </c>
      <c r="C91" s="177" t="str">
        <f>IF(TRDHART[[#This Row],[2024]]="","",DONNÉES!AZ52)</f>
        <v/>
      </c>
      <c r="D91" s="128" t="str">
        <f>IF(TRDHART[[#This Row],[2024]]="","",DONNÉES!AY132)</f>
        <v/>
      </c>
      <c r="E91" s="178" t="str">
        <f>IF(TRDHART[[#This Row],[2024]]="","",DONNÉES!AZ132)</f>
        <v/>
      </c>
      <c r="F91" s="128" t="str">
        <f>IF(TRDHART[[#This Row],[2024]]="","",DONNÉES!AY68)</f>
        <v/>
      </c>
      <c r="G91" s="177" t="str">
        <f>IF(TRDHART[[#This Row],[2024]]="","",DONNÉES!AZ68)</f>
        <v/>
      </c>
      <c r="H91" s="128" t="str">
        <f>IF(TRDHART[[#This Row],[2024]]="","",DONNÉES!AY148)</f>
        <v/>
      </c>
      <c r="I91" s="178" t="str">
        <f>IF(TRDHART[[#This Row],[2024]]="","",DONNÉES!AZ148)</f>
        <v/>
      </c>
      <c r="J91" s="128" t="str">
        <f>IF(TRDHART[[#This Row],[2024]]="","",DONNÉES!AY84)</f>
        <v/>
      </c>
      <c r="K91" s="177" t="str">
        <f>IF(TRDHART[[#This Row],[2024]]="","",DONNÉES!AZ84)</f>
        <v/>
      </c>
      <c r="L91" s="128" t="str">
        <f>IF(TRDHART[[#This Row],[2024]]="","",DONNÉES!AY164)</f>
        <v/>
      </c>
      <c r="M91" s="178" t="str">
        <f>IF(TRDHART[[#This Row],[2024]]="","",DONNÉES!AZ164)</f>
        <v/>
      </c>
      <c r="N91" s="128" t="str">
        <f>IF(TRDHART[[#This Row],[2024]]="","",DONNÉES!AY100)</f>
        <v/>
      </c>
      <c r="O91" s="177" t="str">
        <f>IF(TRDHART[[#This Row],[2024]]="","",DONNÉES!AZ100)</f>
        <v/>
      </c>
      <c r="P91" s="128" t="str">
        <f>IF(TRDHART[[#This Row],[2024]]="","",DONNÉES!AY180)</f>
        <v/>
      </c>
      <c r="Q91" s="179" t="str">
        <f>IF(TRDHART[[#This Row],[2024]]="","",DONNÉES!AZ180)</f>
        <v/>
      </c>
      <c r="R91" s="181"/>
      <c r="S91" s="128" t="str">
        <f>IF(TRDHART[[#This Row],[2024]]="","",DONNÉES!AY116)</f>
        <v/>
      </c>
      <c r="T91" s="177" t="str">
        <f>IF(TRDHART[[#This Row],[2024]]="","",DONNÉES!AZ116)</f>
        <v/>
      </c>
      <c r="U91" s="128" t="str">
        <f>IF(TRDHART[[#This Row],[2024]]="","",DONNÉES!AY196)</f>
        <v/>
      </c>
      <c r="V91" s="128" t="str">
        <f>IF(TRDHART[[#This Row],[2024]]="","",DONNÉES!AZ196)</f>
        <v/>
      </c>
    </row>
    <row r="92" spans="1:22" ht="11.65" customHeight="1" x14ac:dyDescent="0.2">
      <c r="A92" s="170" t="s">
        <v>82</v>
      </c>
      <c r="B92" s="128" t="str">
        <f>IF(DONNÉES!AY53="","",DONNÉES!AY53)</f>
        <v/>
      </c>
      <c r="C92" s="177" t="str">
        <f>IF(TRDHART[[#This Row],[2024]]="","",DONNÉES!AZ53)</f>
        <v/>
      </c>
      <c r="D92" s="128" t="str">
        <f>IF(TRDHART[[#This Row],[2024]]="","",DONNÉES!AY133)</f>
        <v/>
      </c>
      <c r="E92" s="178" t="str">
        <f>IF(TRDHART[[#This Row],[2024]]="","",DONNÉES!AZ133)</f>
        <v/>
      </c>
      <c r="F92" s="128" t="str">
        <f>IF(TRDHART[[#This Row],[2024]]="","",DONNÉES!AY69)</f>
        <v/>
      </c>
      <c r="G92" s="177" t="str">
        <f>IF(TRDHART[[#This Row],[2024]]="","",DONNÉES!AZ69)</f>
        <v/>
      </c>
      <c r="H92" s="128" t="str">
        <f>IF(TRDHART[[#This Row],[2024]]="","",DONNÉES!AY149)</f>
        <v/>
      </c>
      <c r="I92" s="178" t="str">
        <f>IF(TRDHART[[#This Row],[2024]]="","",DONNÉES!AZ149)</f>
        <v/>
      </c>
      <c r="J92" s="128" t="str">
        <f>IF(TRDHART[[#This Row],[2024]]="","",DONNÉES!AY85)</f>
        <v/>
      </c>
      <c r="K92" s="177" t="str">
        <f>IF(TRDHART[[#This Row],[2024]]="","",DONNÉES!AZ85)</f>
        <v/>
      </c>
      <c r="L92" s="128" t="str">
        <f>IF(TRDHART[[#This Row],[2024]]="","",DONNÉES!AY165)</f>
        <v/>
      </c>
      <c r="M92" s="178" t="str">
        <f>IF(TRDHART[[#This Row],[2024]]="","",DONNÉES!AZ165)</f>
        <v/>
      </c>
      <c r="N92" s="128" t="str">
        <f>IF(TRDHART[[#This Row],[2024]]="","",DONNÉES!AY101)</f>
        <v/>
      </c>
      <c r="O92" s="177" t="str">
        <f>IF(TRDHART[[#This Row],[2024]]="","",DONNÉES!AZ101)</f>
        <v/>
      </c>
      <c r="P92" s="128" t="str">
        <f>IF(TRDHART[[#This Row],[2024]]="","",DONNÉES!AY181)</f>
        <v/>
      </c>
      <c r="Q92" s="179" t="str">
        <f>IF(TRDHART[[#This Row],[2024]]="","",DONNÉES!AZ181)</f>
        <v/>
      </c>
      <c r="R92" s="185"/>
      <c r="S92" s="128" t="str">
        <f>IF(TRDHART[[#This Row],[2024]]="","",DONNÉES!AY117)</f>
        <v/>
      </c>
      <c r="T92" s="177" t="str">
        <f>IF(TRDHART[[#This Row],[2024]]="","",DONNÉES!AZ117)</f>
        <v/>
      </c>
      <c r="U92" s="128" t="str">
        <f>IF(TRDHART[[#This Row],[2024]]="","",DONNÉES!AY197)</f>
        <v/>
      </c>
      <c r="V92" s="128" t="str">
        <f>IF(TRDHART[[#This Row],[2024]]="","",DONNÉES!AZ197)</f>
        <v/>
      </c>
    </row>
    <row r="93" spans="1:22" ht="11.65" customHeight="1" x14ac:dyDescent="0.2">
      <c r="A93" s="169" t="s">
        <v>83</v>
      </c>
      <c r="B93" s="128" t="str">
        <f>IF(DONNÉES!AY54="","",DONNÉES!AY54)</f>
        <v/>
      </c>
      <c r="C93" s="177" t="str">
        <f>IF(TRDHART[[#This Row],[2024]]="","",DONNÉES!AZ54)</f>
        <v/>
      </c>
      <c r="D93" s="128" t="str">
        <f>IF(TRDHART[[#This Row],[2024]]="","",DONNÉES!AY134)</f>
        <v/>
      </c>
      <c r="E93" s="178" t="str">
        <f>IF(TRDHART[[#This Row],[2024]]="","",DONNÉES!AZ134)</f>
        <v/>
      </c>
      <c r="F93" s="128" t="str">
        <f>IF(TRDHART[[#This Row],[2024]]="","",DONNÉES!AY70)</f>
        <v/>
      </c>
      <c r="G93" s="177" t="str">
        <f>IF(TRDHART[[#This Row],[2024]]="","",DONNÉES!AZ70)</f>
        <v/>
      </c>
      <c r="H93" s="128" t="str">
        <f>IF(TRDHART[[#This Row],[2024]]="","",DONNÉES!AY150)</f>
        <v/>
      </c>
      <c r="I93" s="178" t="str">
        <f>IF(TRDHART[[#This Row],[2024]]="","",DONNÉES!AZ150)</f>
        <v/>
      </c>
      <c r="J93" s="128" t="str">
        <f>IF(TRDHART[[#This Row],[2024]]="","",DONNÉES!AY86)</f>
        <v/>
      </c>
      <c r="K93" s="177" t="str">
        <f>IF(TRDHART[[#This Row],[2024]]="","",DONNÉES!AZ86)</f>
        <v/>
      </c>
      <c r="L93" s="128" t="str">
        <f>IF(TRDHART[[#This Row],[2024]]="","",DONNÉES!AY166)</f>
        <v/>
      </c>
      <c r="M93" s="178" t="str">
        <f>IF(TRDHART[[#This Row],[2024]]="","",DONNÉES!AZ166)</f>
        <v/>
      </c>
      <c r="N93" s="128" t="str">
        <f>IF(TRDHART[[#This Row],[2024]]="","",DONNÉES!AY102)</f>
        <v/>
      </c>
      <c r="O93" s="177" t="str">
        <f>IF(TRDHART[[#This Row],[2024]]="","",DONNÉES!AZ102)</f>
        <v/>
      </c>
      <c r="P93" s="128" t="str">
        <f>IF(TRDHART[[#This Row],[2024]]="","",DONNÉES!AY182)</f>
        <v/>
      </c>
      <c r="Q93" s="179" t="str">
        <f>IF(TRDHART[[#This Row],[2024]]="","",DONNÉES!AZ182)</f>
        <v/>
      </c>
      <c r="R93" s="181"/>
      <c r="S93" s="128" t="str">
        <f>IF(TRDHART[[#This Row],[2024]]="","",DONNÉES!AY118)</f>
        <v/>
      </c>
      <c r="T93" s="177" t="str">
        <f>IF(TRDHART[[#This Row],[2024]]="","",DONNÉES!AZ118)</f>
        <v/>
      </c>
      <c r="U93" s="128" t="str">
        <f>IF(TRDHART[[#This Row],[2024]]="","",DONNÉES!AY198)</f>
        <v/>
      </c>
      <c r="V93" s="128" t="str">
        <f>IF(TRDHART[[#This Row],[2024]]="","",DONNÉES!AZ198)</f>
        <v/>
      </c>
    </row>
    <row r="94" spans="1:22" s="81" customFormat="1" ht="11.65" customHeight="1" x14ac:dyDescent="0.2">
      <c r="A94" s="169" t="s">
        <v>84</v>
      </c>
      <c r="B94" s="128" t="str">
        <f>IF(DONNÉES!AY55="","",DONNÉES!AY55)</f>
        <v/>
      </c>
      <c r="C94" s="177" t="str">
        <f>IF(TRDHART[[#This Row],[2024]]="","",DONNÉES!AZ55)</f>
        <v/>
      </c>
      <c r="D94" s="128" t="str">
        <f>IF(TRDHART[[#This Row],[2024]]="","",DONNÉES!AY135)</f>
        <v/>
      </c>
      <c r="E94" s="178" t="str">
        <f>IF(TRDHART[[#This Row],[2024]]="","",DONNÉES!AZ135)</f>
        <v/>
      </c>
      <c r="F94" s="128" t="str">
        <f>IF(TRDHART[[#This Row],[2024]]="","",DONNÉES!AY71)</f>
        <v/>
      </c>
      <c r="G94" s="177" t="str">
        <f>IF(TRDHART[[#This Row],[2024]]="","",DONNÉES!AZ71)</f>
        <v/>
      </c>
      <c r="H94" s="128" t="str">
        <f>IF(TRDHART[[#This Row],[2024]]="","",DONNÉES!AY151)</f>
        <v/>
      </c>
      <c r="I94" s="178" t="str">
        <f>IF(TRDHART[[#This Row],[2024]]="","",DONNÉES!AZ151)</f>
        <v/>
      </c>
      <c r="J94" s="128" t="str">
        <f>IF(TRDHART[[#This Row],[2024]]="","",DONNÉES!AY87)</f>
        <v/>
      </c>
      <c r="K94" s="177" t="str">
        <f>IF(TRDHART[[#This Row],[2024]]="","",DONNÉES!AZ87)</f>
        <v/>
      </c>
      <c r="L94" s="128" t="str">
        <f>IF(TRDHART[[#This Row],[2024]]="","",DONNÉES!AY167)</f>
        <v/>
      </c>
      <c r="M94" s="178" t="str">
        <f>IF(TRDHART[[#This Row],[2024]]="","",DONNÉES!AZ167)</f>
        <v/>
      </c>
      <c r="N94" s="128" t="str">
        <f>IF(TRDHART[[#This Row],[2024]]="","",DONNÉES!AY103)</f>
        <v/>
      </c>
      <c r="O94" s="177" t="str">
        <f>IF(TRDHART[[#This Row],[2024]]="","",DONNÉES!AZ103)</f>
        <v/>
      </c>
      <c r="P94" s="128" t="str">
        <f>IF(TRDHART[[#This Row],[2024]]="","",DONNÉES!AY183)</f>
        <v/>
      </c>
      <c r="Q94" s="179" t="str">
        <f>IF(TRDHART[[#This Row],[2024]]="","",DONNÉES!AZ183)</f>
        <v/>
      </c>
      <c r="R94" s="180"/>
      <c r="S94" s="128" t="str">
        <f>IF(TRDHART[[#This Row],[2024]]="","",DONNÉES!AY119)</f>
        <v/>
      </c>
      <c r="T94" s="177" t="str">
        <f>IF(TRDHART[[#This Row],[2024]]="","",DONNÉES!AZ119)</f>
        <v/>
      </c>
      <c r="U94" s="128" t="str">
        <f>IF(TRDHART[[#This Row],[2024]]="","",DONNÉES!AY199)</f>
        <v/>
      </c>
      <c r="V94" s="128" t="str">
        <f>IF(TRDHART[[#This Row],[2024]]="","",DONNÉES!AZ199)</f>
        <v/>
      </c>
    </row>
    <row r="95" spans="1:22" s="81" customFormat="1" ht="10.15" customHeight="1" x14ac:dyDescent="0.2">
      <c r="A95" s="79"/>
      <c r="B95" s="112"/>
      <c r="C95" s="112"/>
      <c r="D95" s="101"/>
      <c r="E95" s="112"/>
      <c r="F95" s="112"/>
      <c r="G95" s="118"/>
      <c r="H95" s="79"/>
      <c r="I95" s="82"/>
      <c r="J95" s="112"/>
      <c r="K95" s="112"/>
      <c r="L95" s="101"/>
      <c r="M95" s="118"/>
      <c r="N95" s="79"/>
      <c r="O95" s="79"/>
      <c r="P95" s="79"/>
      <c r="Q95" s="79"/>
      <c r="R95" s="180"/>
      <c r="S95" s="79"/>
      <c r="T95" s="79"/>
      <c r="U95" s="79"/>
      <c r="V95" s="79"/>
    </row>
    <row r="96" spans="1:22" s="81" customFormat="1" ht="14.65" customHeight="1" x14ac:dyDescent="0.2">
      <c r="A96" s="254"/>
      <c r="B96" s="334" t="s">
        <v>195</v>
      </c>
      <c r="C96" s="334"/>
      <c r="D96" s="334"/>
      <c r="E96" s="335"/>
      <c r="F96" s="334" t="s">
        <v>196</v>
      </c>
      <c r="G96" s="334"/>
      <c r="H96" s="334"/>
      <c r="I96" s="335"/>
      <c r="J96" s="334" t="s">
        <v>198</v>
      </c>
      <c r="K96" s="334"/>
      <c r="L96" s="334"/>
      <c r="M96" s="335"/>
      <c r="N96" s="334" t="s">
        <v>199</v>
      </c>
      <c r="O96" s="334"/>
      <c r="P96" s="334"/>
      <c r="Q96" s="334"/>
      <c r="R96" s="180"/>
      <c r="S96" s="334" t="s">
        <v>197</v>
      </c>
      <c r="T96" s="334"/>
      <c r="U96" s="334"/>
      <c r="V96" s="334"/>
    </row>
    <row r="97" spans="1:22" ht="28.9" customHeight="1" x14ac:dyDescent="0.2">
      <c r="A97" s="169" t="s">
        <v>6900</v>
      </c>
      <c r="B97" s="108" t="s">
        <v>6962</v>
      </c>
      <c r="C97" s="166" t="s">
        <v>2169</v>
      </c>
      <c r="D97" s="108" t="s">
        <v>6986</v>
      </c>
      <c r="E97" s="172" t="s">
        <v>6944</v>
      </c>
      <c r="F97" s="211" t="s">
        <v>6987</v>
      </c>
      <c r="G97" s="166" t="s">
        <v>6945</v>
      </c>
      <c r="H97" s="108" t="s">
        <v>6988</v>
      </c>
      <c r="I97" s="172" t="s">
        <v>6946</v>
      </c>
      <c r="J97" s="108" t="s">
        <v>6989</v>
      </c>
      <c r="K97" s="166" t="s">
        <v>6947</v>
      </c>
      <c r="L97" s="108" t="s">
        <v>6990</v>
      </c>
      <c r="M97" s="172" t="s">
        <v>6948</v>
      </c>
      <c r="N97" s="108" t="s">
        <v>6991</v>
      </c>
      <c r="O97" s="166" t="s">
        <v>6949</v>
      </c>
      <c r="P97" s="108" t="s">
        <v>6992</v>
      </c>
      <c r="Q97" s="94" t="s">
        <v>6950</v>
      </c>
      <c r="S97" s="108" t="s">
        <v>6962</v>
      </c>
      <c r="T97" s="166" t="s">
        <v>2169</v>
      </c>
      <c r="U97" s="108" t="s">
        <v>6986</v>
      </c>
      <c r="V97" s="172" t="s">
        <v>6944</v>
      </c>
    </row>
    <row r="98" spans="1:22" ht="11.65" customHeight="1" x14ac:dyDescent="0.2">
      <c r="A98" s="170" t="s">
        <v>73</v>
      </c>
      <c r="B98" s="128">
        <f>IF(DONNÉES!BG44="","",DONNÉES!BG44)</f>
        <v>1497</v>
      </c>
      <c r="C98" s="177">
        <f>IF(TRDVICTOIRE[[#This Row],[2024]]="","",DONNÉES!BH44)</f>
        <v>1750</v>
      </c>
      <c r="D98" s="128">
        <f>IF(TRDVICTOIRE[[#This Row],[2024]]="","",DONNÉES!BG124)</f>
        <v>1497</v>
      </c>
      <c r="E98" s="178">
        <f>IF(TRDVICTOIRE[[#This Row],[2024]]="","",DONNÉES!BH124)</f>
        <v>1750</v>
      </c>
      <c r="F98" s="128">
        <f>IF(TRDVICTOIRE[[#This Row],[2024]]="","",DONNÉES!BG60)</f>
        <v>1727</v>
      </c>
      <c r="G98" s="177">
        <f>IF(TRDVICTOIRE[[#This Row],[2024]]="","",DONNÉES!BH60)</f>
        <v>1024</v>
      </c>
      <c r="H98" s="128">
        <f>IF(TRDVICTOIRE[[#This Row],[2024]]="","",DONNÉES!BG140)</f>
        <v>1727</v>
      </c>
      <c r="I98" s="178">
        <f>IF(TRDVICTOIRE[[#This Row],[2024]]="","",DONNÉES!BH140)</f>
        <v>1024</v>
      </c>
      <c r="J98" s="128">
        <f>IF(TRDVICTOIRE[[#This Row],[2024]]="","",DONNÉES!BG76)</f>
        <v>4180</v>
      </c>
      <c r="K98" s="177">
        <f>IF(TRDVICTOIRE[[#This Row],[2024]]="","",DONNÉES!BH76)</f>
        <v>5031</v>
      </c>
      <c r="L98" s="128">
        <f>IF(TRDVICTOIRE[[#This Row],[2024]]="","",DONNÉES!BG156)</f>
        <v>4180</v>
      </c>
      <c r="M98" s="178">
        <f>IF(TRDVICTOIRE[[#This Row],[2024]]="","",DONNÉES!BH156)</f>
        <v>5031</v>
      </c>
      <c r="N98" s="128">
        <f>IF(TRDVICTOIRE[[#This Row],[2024]]="","",DONNÉES!BG92)</f>
        <v>5200</v>
      </c>
      <c r="O98" s="177">
        <f>IF(TRDVICTOIRE[[#This Row],[2024]]="","",DONNÉES!BH92)</f>
        <v>5793</v>
      </c>
      <c r="P98" s="128">
        <f>IF(TRDVICTOIRE[[#This Row],[2024]]="","",DONNÉES!BG172)</f>
        <v>5200</v>
      </c>
      <c r="Q98" s="128">
        <f>IF(TRDVICTOIRE[[#This Row],[2024]]="","",DONNÉES!BH172)</f>
        <v>5793</v>
      </c>
      <c r="S98" s="128">
        <f>IF(TRDVICTOIRE[[#This Row],[2024]]="","",DONNÉES!BG108)</f>
        <v>12604</v>
      </c>
      <c r="T98" s="177">
        <f>IF(TRDVICTOIRE[[#This Row],[2024]]="","",DONNÉES!BH108)</f>
        <v>13598</v>
      </c>
      <c r="U98" s="177">
        <f>IF(TRDVICTOIRE[[#This Row],[2024]]="","",DONNÉES!BG188)</f>
        <v>12604</v>
      </c>
      <c r="V98" s="128">
        <f>IF(TRDVICTOIRE[[#This Row],[2024]]="","",DONNÉES!BH188)</f>
        <v>13598</v>
      </c>
    </row>
    <row r="99" spans="1:22" ht="11.65" customHeight="1" x14ac:dyDescent="0.2">
      <c r="A99" s="170" t="s">
        <v>74</v>
      </c>
      <c r="B99" s="128" t="str">
        <f>IF(DONNÉES!BG45="","",DONNÉES!BG45)</f>
        <v/>
      </c>
      <c r="C99" s="177" t="str">
        <f>IF(TRDVICTOIRE[[#This Row],[2024]]="","",DONNÉES!BH45)</f>
        <v/>
      </c>
      <c r="D99" s="128" t="str">
        <f>IF(TRDVICTOIRE[[#This Row],[2024]]="","",DONNÉES!BG125)</f>
        <v/>
      </c>
      <c r="E99" s="178" t="str">
        <f>IF(TRDVICTOIRE[[#This Row],[2024]]="","",DONNÉES!BH125)</f>
        <v/>
      </c>
      <c r="F99" s="128" t="str">
        <f>IF(TRDVICTOIRE[[#This Row],[2024]]="","",DONNÉES!BG61)</f>
        <v/>
      </c>
      <c r="G99" s="177" t="str">
        <f>IF(TRDVICTOIRE[[#This Row],[2024]]="","",DONNÉES!BH61)</f>
        <v/>
      </c>
      <c r="H99" s="128" t="str">
        <f>IF(TRDVICTOIRE[[#This Row],[2024]]="","",DONNÉES!BG141)</f>
        <v/>
      </c>
      <c r="I99" s="178" t="str">
        <f>IF(TRDVICTOIRE[[#This Row],[2024]]="","",DONNÉES!BH141)</f>
        <v/>
      </c>
      <c r="J99" s="128" t="str">
        <f>IF(TRDVICTOIRE[[#This Row],[2024]]="","",DONNÉES!BG77)</f>
        <v/>
      </c>
      <c r="K99" s="177" t="str">
        <f>IF(TRDVICTOIRE[[#This Row],[2024]]="","",DONNÉES!BH77)</f>
        <v/>
      </c>
      <c r="L99" s="128" t="str">
        <f>IF(TRDVICTOIRE[[#This Row],[2024]]="","",DONNÉES!BG157)</f>
        <v/>
      </c>
      <c r="M99" s="178" t="str">
        <f>IF(TRDVICTOIRE[[#This Row],[2024]]="","",DONNÉES!BH157)</f>
        <v/>
      </c>
      <c r="N99" s="128" t="str">
        <f>IF(TRDVICTOIRE[[#This Row],[2024]]="","",DONNÉES!BG93)</f>
        <v/>
      </c>
      <c r="O99" s="177" t="str">
        <f>IF(TRDVICTOIRE[[#This Row],[2024]]="","",DONNÉES!BH93)</f>
        <v/>
      </c>
      <c r="P99" s="128" t="str">
        <f>IF(TRDVICTOIRE[[#This Row],[2024]]="","",DONNÉES!BG173)</f>
        <v/>
      </c>
      <c r="Q99" s="128" t="str">
        <f>IF(TRDVICTOIRE[[#This Row],[2024]]="","",DONNÉES!BH173)</f>
        <v/>
      </c>
      <c r="S99" s="128" t="str">
        <f>IF(TRDVICTOIRE[[#This Row],[2024]]="","",DONNÉES!BG109)</f>
        <v/>
      </c>
      <c r="T99" s="177" t="str">
        <f>IF(TRDVICTOIRE[[#This Row],[2024]]="","",DONNÉES!BH109)</f>
        <v/>
      </c>
      <c r="U99" s="177" t="str">
        <f>IF(TRDVICTOIRE[[#This Row],[2024]]="","",DONNÉES!BG189)</f>
        <v/>
      </c>
      <c r="V99" s="128" t="str">
        <f>IF(TRDVICTOIRE[[#This Row],[2024]]="","",DONNÉES!BH189)</f>
        <v/>
      </c>
    </row>
    <row r="100" spans="1:22" s="81" customFormat="1" ht="11.65" customHeight="1" x14ac:dyDescent="0.2">
      <c r="A100" s="169" t="s">
        <v>75</v>
      </c>
      <c r="B100" s="128" t="str">
        <f>IF(DONNÉES!BG46="","",DONNÉES!BG46)</f>
        <v/>
      </c>
      <c r="C100" s="177" t="str">
        <f>IF(TRDVICTOIRE[[#This Row],[2024]]="","",DONNÉES!BH46)</f>
        <v/>
      </c>
      <c r="D100" s="128" t="str">
        <f>IF(TRDVICTOIRE[[#This Row],[2024]]="","",DONNÉES!BG126)</f>
        <v/>
      </c>
      <c r="E100" s="178" t="str">
        <f>IF(TRDVICTOIRE[[#This Row],[2024]]="","",DONNÉES!BH126)</f>
        <v/>
      </c>
      <c r="F100" s="128" t="str">
        <f>IF(TRDVICTOIRE[[#This Row],[2024]]="","",DONNÉES!BG62)</f>
        <v/>
      </c>
      <c r="G100" s="177" t="str">
        <f>IF(TRDVICTOIRE[[#This Row],[2024]]="","",DONNÉES!BH62)</f>
        <v/>
      </c>
      <c r="H100" s="128" t="str">
        <f>IF(TRDVICTOIRE[[#This Row],[2024]]="","",DONNÉES!BG142)</f>
        <v/>
      </c>
      <c r="I100" s="178" t="str">
        <f>IF(TRDVICTOIRE[[#This Row],[2024]]="","",DONNÉES!BH142)</f>
        <v/>
      </c>
      <c r="J100" s="128" t="str">
        <f>IF(TRDVICTOIRE[[#This Row],[2024]]="","",DONNÉES!BG78)</f>
        <v/>
      </c>
      <c r="K100" s="177" t="str">
        <f>IF(TRDVICTOIRE[[#This Row],[2024]]="","",DONNÉES!BH78)</f>
        <v/>
      </c>
      <c r="L100" s="128" t="str">
        <f>IF(TRDVICTOIRE[[#This Row],[2024]]="","",DONNÉES!BG158)</f>
        <v/>
      </c>
      <c r="M100" s="178" t="str">
        <f>IF(TRDVICTOIRE[[#This Row],[2024]]="","",DONNÉES!BH158)</f>
        <v/>
      </c>
      <c r="N100" s="128" t="str">
        <f>IF(TRDVICTOIRE[[#This Row],[2024]]="","",DONNÉES!BG94)</f>
        <v/>
      </c>
      <c r="O100" s="177" t="str">
        <f>IF(TRDVICTOIRE[[#This Row],[2024]]="","",DONNÉES!BH94)</f>
        <v/>
      </c>
      <c r="P100" s="128" t="str">
        <f>IF(TRDVICTOIRE[[#This Row],[2024]]="","",DONNÉES!BG174)</f>
        <v/>
      </c>
      <c r="Q100" s="128" t="str">
        <f>IF(TRDVICTOIRE[[#This Row],[2024]]="","",DONNÉES!BH174)</f>
        <v/>
      </c>
      <c r="R100" s="180"/>
      <c r="S100" s="128" t="str">
        <f>IF(TRDVICTOIRE[[#This Row],[2024]]="","",DONNÉES!BG110)</f>
        <v/>
      </c>
      <c r="T100" s="177" t="str">
        <f>IF(TRDVICTOIRE[[#This Row],[2024]]="","",DONNÉES!BH110)</f>
        <v/>
      </c>
      <c r="U100" s="177" t="str">
        <f>IF(TRDVICTOIRE[[#This Row],[2024]]="","",DONNÉES!BG190)</f>
        <v/>
      </c>
      <c r="V100" s="128" t="str">
        <f>IF(TRDVICTOIRE[[#This Row],[2024]]="","",DONNÉES!BH190)</f>
        <v/>
      </c>
    </row>
    <row r="101" spans="1:22" s="81" customFormat="1" ht="11.65" customHeight="1" x14ac:dyDescent="0.2">
      <c r="A101" s="170" t="s">
        <v>76</v>
      </c>
      <c r="B101" s="128" t="str">
        <f>IF(DONNÉES!BG47="","",DONNÉES!BG47)</f>
        <v/>
      </c>
      <c r="C101" s="177" t="str">
        <f>IF(TRDVICTOIRE[[#This Row],[2024]]="","",DONNÉES!BH47)</f>
        <v/>
      </c>
      <c r="D101" s="128" t="str">
        <f>IF(TRDVICTOIRE[[#This Row],[2024]]="","",DONNÉES!BG127)</f>
        <v/>
      </c>
      <c r="E101" s="178" t="str">
        <f>IF(TRDVICTOIRE[[#This Row],[2024]]="","",DONNÉES!BH127)</f>
        <v/>
      </c>
      <c r="F101" s="128" t="str">
        <f>IF(TRDVICTOIRE[[#This Row],[2024]]="","",DONNÉES!BG63)</f>
        <v/>
      </c>
      <c r="G101" s="177" t="str">
        <f>IF(TRDVICTOIRE[[#This Row],[2024]]="","",DONNÉES!BH63)</f>
        <v/>
      </c>
      <c r="H101" s="128" t="str">
        <f>IF(TRDVICTOIRE[[#This Row],[2024]]="","",DONNÉES!BG143)</f>
        <v/>
      </c>
      <c r="I101" s="178" t="str">
        <f>IF(TRDVICTOIRE[[#This Row],[2024]]="","",DONNÉES!BH143)</f>
        <v/>
      </c>
      <c r="J101" s="128" t="str">
        <f>IF(TRDVICTOIRE[[#This Row],[2024]]="","",DONNÉES!BG79)</f>
        <v/>
      </c>
      <c r="K101" s="177" t="str">
        <f>IF(TRDVICTOIRE[[#This Row],[2024]]="","",DONNÉES!BH79)</f>
        <v/>
      </c>
      <c r="L101" s="128" t="str">
        <f>IF(TRDVICTOIRE[[#This Row],[2024]]="","",DONNÉES!BG159)</f>
        <v/>
      </c>
      <c r="M101" s="178" t="str">
        <f>IF(TRDVICTOIRE[[#This Row],[2024]]="","",DONNÉES!BH159)</f>
        <v/>
      </c>
      <c r="N101" s="128" t="str">
        <f>IF(TRDVICTOIRE[[#This Row],[2024]]="","",DONNÉES!BG95)</f>
        <v/>
      </c>
      <c r="O101" s="177" t="str">
        <f>IF(TRDVICTOIRE[[#This Row],[2024]]="","",DONNÉES!BH95)</f>
        <v/>
      </c>
      <c r="P101" s="128" t="str">
        <f>IF(TRDVICTOIRE[[#This Row],[2024]]="","",DONNÉES!BG175)</f>
        <v/>
      </c>
      <c r="Q101" s="128" t="str">
        <f>IF(TRDVICTOIRE[[#This Row],[2024]]="","",DONNÉES!BH175)</f>
        <v/>
      </c>
      <c r="R101" s="180"/>
      <c r="S101" s="128" t="str">
        <f>IF(TRDVICTOIRE[[#This Row],[2024]]="","",DONNÉES!BG111)</f>
        <v/>
      </c>
      <c r="T101" s="177" t="str">
        <f>IF(TRDVICTOIRE[[#This Row],[2024]]="","",DONNÉES!BH111)</f>
        <v/>
      </c>
      <c r="U101" s="177" t="str">
        <f>IF(TRDVICTOIRE[[#This Row],[2024]]="","",DONNÉES!BG191)</f>
        <v/>
      </c>
      <c r="V101" s="128" t="str">
        <f>IF(TRDVICTOIRE[[#This Row],[2024]]="","",DONNÉES!BH191)</f>
        <v/>
      </c>
    </row>
    <row r="102" spans="1:22" s="81" customFormat="1" ht="11.65" customHeight="1" x14ac:dyDescent="0.2">
      <c r="A102" s="169" t="s">
        <v>77</v>
      </c>
      <c r="B102" s="128" t="str">
        <f>IF(DONNÉES!BG48="","",DONNÉES!BG48)</f>
        <v/>
      </c>
      <c r="C102" s="177" t="str">
        <f>IF(TRDVICTOIRE[[#This Row],[2024]]="","",DONNÉES!BH48)</f>
        <v/>
      </c>
      <c r="D102" s="128" t="str">
        <f>IF(TRDVICTOIRE[[#This Row],[2024]]="","",DONNÉES!BG128)</f>
        <v/>
      </c>
      <c r="E102" s="178" t="str">
        <f>IF(TRDVICTOIRE[[#This Row],[2024]]="","",DONNÉES!BH128)</f>
        <v/>
      </c>
      <c r="F102" s="128" t="str">
        <f>IF(TRDVICTOIRE[[#This Row],[2024]]="","",DONNÉES!BG64)</f>
        <v/>
      </c>
      <c r="G102" s="177" t="str">
        <f>IF(TRDVICTOIRE[[#This Row],[2024]]="","",DONNÉES!BH64)</f>
        <v/>
      </c>
      <c r="H102" s="128" t="str">
        <f>IF(TRDVICTOIRE[[#This Row],[2024]]="","",DONNÉES!BG144)</f>
        <v/>
      </c>
      <c r="I102" s="178" t="str">
        <f>IF(TRDVICTOIRE[[#This Row],[2024]]="","",DONNÉES!BH144)</f>
        <v/>
      </c>
      <c r="J102" s="128" t="str">
        <f>IF(TRDVICTOIRE[[#This Row],[2024]]="","",DONNÉES!BG80)</f>
        <v/>
      </c>
      <c r="K102" s="177" t="str">
        <f>IF(TRDVICTOIRE[[#This Row],[2024]]="","",DONNÉES!BH80)</f>
        <v/>
      </c>
      <c r="L102" s="128" t="str">
        <f>IF(TRDVICTOIRE[[#This Row],[2024]]="","",DONNÉES!BG160)</f>
        <v/>
      </c>
      <c r="M102" s="178" t="str">
        <f>IF(TRDVICTOIRE[[#This Row],[2024]]="","",DONNÉES!BH160)</f>
        <v/>
      </c>
      <c r="N102" s="128" t="str">
        <f>IF(TRDVICTOIRE[[#This Row],[2024]]="","",DONNÉES!BG96)</f>
        <v/>
      </c>
      <c r="O102" s="177" t="str">
        <f>IF(TRDVICTOIRE[[#This Row],[2024]]="","",DONNÉES!BH96)</f>
        <v/>
      </c>
      <c r="P102" s="128" t="str">
        <f>IF(TRDVICTOIRE[[#This Row],[2024]]="","",DONNÉES!BG176)</f>
        <v/>
      </c>
      <c r="Q102" s="128" t="str">
        <f>IF(TRDVICTOIRE[[#This Row],[2024]]="","",DONNÉES!BH176)</f>
        <v/>
      </c>
      <c r="R102" s="180"/>
      <c r="S102" s="128" t="str">
        <f>IF(TRDVICTOIRE[[#This Row],[2024]]="","",DONNÉES!BG112)</f>
        <v/>
      </c>
      <c r="T102" s="177" t="str">
        <f>IF(TRDVICTOIRE[[#This Row],[2024]]="","",DONNÉES!BH112)</f>
        <v/>
      </c>
      <c r="U102" s="177" t="str">
        <f>IF(TRDVICTOIRE[[#This Row],[2024]]="","",DONNÉES!BG192)</f>
        <v/>
      </c>
      <c r="V102" s="128" t="str">
        <f>IF(TRDVICTOIRE[[#This Row],[2024]]="","",DONNÉES!BH192)</f>
        <v/>
      </c>
    </row>
    <row r="103" spans="1:22" ht="11.65" customHeight="1" x14ac:dyDescent="0.2">
      <c r="A103" s="170" t="s">
        <v>78</v>
      </c>
      <c r="B103" s="128" t="str">
        <f>IF(DONNÉES!BG49="","",DONNÉES!BG49)</f>
        <v/>
      </c>
      <c r="C103" s="177" t="str">
        <f>IF(TRDVICTOIRE[[#This Row],[2024]]="","",DONNÉES!BH49)</f>
        <v/>
      </c>
      <c r="D103" s="128" t="str">
        <f>IF(TRDVICTOIRE[[#This Row],[2024]]="","",DONNÉES!BG129)</f>
        <v/>
      </c>
      <c r="E103" s="178" t="str">
        <f>IF(TRDVICTOIRE[[#This Row],[2024]]="","",DONNÉES!BH129)</f>
        <v/>
      </c>
      <c r="F103" s="128" t="str">
        <f>IF(TRDVICTOIRE[[#This Row],[2024]]="","",DONNÉES!BG65)</f>
        <v/>
      </c>
      <c r="G103" s="177" t="str">
        <f>IF(TRDVICTOIRE[[#This Row],[2024]]="","",DONNÉES!BH65)</f>
        <v/>
      </c>
      <c r="H103" s="128" t="str">
        <f>IF(TRDVICTOIRE[[#This Row],[2024]]="","",DONNÉES!BG145)</f>
        <v/>
      </c>
      <c r="I103" s="178" t="str">
        <f>IF(TRDVICTOIRE[[#This Row],[2024]]="","",DONNÉES!BH145)</f>
        <v/>
      </c>
      <c r="J103" s="128" t="str">
        <f>IF(TRDVICTOIRE[[#This Row],[2024]]="","",DONNÉES!BG81)</f>
        <v/>
      </c>
      <c r="K103" s="177" t="str">
        <f>IF(TRDVICTOIRE[[#This Row],[2024]]="","",DONNÉES!BH81)</f>
        <v/>
      </c>
      <c r="L103" s="128" t="str">
        <f>IF(TRDVICTOIRE[[#This Row],[2024]]="","",DONNÉES!BG161)</f>
        <v/>
      </c>
      <c r="M103" s="178" t="str">
        <f>IF(TRDVICTOIRE[[#This Row],[2024]]="","",DONNÉES!BH161)</f>
        <v/>
      </c>
      <c r="N103" s="128" t="str">
        <f>IF(TRDVICTOIRE[[#This Row],[2024]]="","",DONNÉES!BG97)</f>
        <v/>
      </c>
      <c r="O103" s="177" t="str">
        <f>IF(TRDVICTOIRE[[#This Row],[2024]]="","",DONNÉES!BH97)</f>
        <v/>
      </c>
      <c r="P103" s="128" t="str">
        <f>IF(TRDVICTOIRE[[#This Row],[2024]]="","",DONNÉES!BG177)</f>
        <v/>
      </c>
      <c r="Q103" s="128" t="str">
        <f>IF(TRDVICTOIRE[[#This Row],[2024]]="","",DONNÉES!BH177)</f>
        <v/>
      </c>
      <c r="R103" s="181"/>
      <c r="S103" s="128" t="str">
        <f>IF(TRDVICTOIRE[[#This Row],[2024]]="","",DONNÉES!BG113)</f>
        <v/>
      </c>
      <c r="T103" s="177" t="str">
        <f>IF(TRDVICTOIRE[[#This Row],[2024]]="","",DONNÉES!BH113)</f>
        <v/>
      </c>
      <c r="U103" s="177" t="str">
        <f>IF(TRDVICTOIRE[[#This Row],[2024]]="","",DONNÉES!BG193)</f>
        <v/>
      </c>
      <c r="V103" s="128" t="str">
        <f>IF(TRDVICTOIRE[[#This Row],[2024]]="","",DONNÉES!BH193)</f>
        <v/>
      </c>
    </row>
    <row r="104" spans="1:22" ht="11.65" customHeight="1" x14ac:dyDescent="0.2">
      <c r="A104" s="169" t="s">
        <v>79</v>
      </c>
      <c r="B104" s="128" t="str">
        <f>IF(DONNÉES!BG50="","",DONNÉES!BG50)</f>
        <v/>
      </c>
      <c r="C104" s="177" t="str">
        <f>IF(TRDVICTOIRE[[#This Row],[2024]]="","",DONNÉES!BH50)</f>
        <v/>
      </c>
      <c r="D104" s="128" t="str">
        <f>IF(TRDVICTOIRE[[#This Row],[2024]]="","",DONNÉES!BG130)</f>
        <v/>
      </c>
      <c r="E104" s="178" t="str">
        <f>IF(TRDVICTOIRE[[#This Row],[2024]]="","",DONNÉES!BH130)</f>
        <v/>
      </c>
      <c r="F104" s="128" t="str">
        <f>IF(TRDVICTOIRE[[#This Row],[2024]]="","",DONNÉES!BG66)</f>
        <v/>
      </c>
      <c r="G104" s="177" t="str">
        <f>IF(TRDVICTOIRE[[#This Row],[2024]]="","",DONNÉES!BH66)</f>
        <v/>
      </c>
      <c r="H104" s="128" t="str">
        <f>IF(TRDVICTOIRE[[#This Row],[2024]]="","",DONNÉES!BG146)</f>
        <v/>
      </c>
      <c r="I104" s="178" t="str">
        <f>IF(TRDVICTOIRE[[#This Row],[2024]]="","",DONNÉES!BH146)</f>
        <v/>
      </c>
      <c r="J104" s="128" t="str">
        <f>IF(TRDVICTOIRE[[#This Row],[2024]]="","",DONNÉES!BG82)</f>
        <v/>
      </c>
      <c r="K104" s="177" t="str">
        <f>IF(TRDVICTOIRE[[#This Row],[2024]]="","",DONNÉES!BH82)</f>
        <v/>
      </c>
      <c r="L104" s="128" t="str">
        <f>IF(TRDVICTOIRE[[#This Row],[2024]]="","",DONNÉES!BG162)</f>
        <v/>
      </c>
      <c r="M104" s="178" t="str">
        <f>IF(TRDVICTOIRE[[#This Row],[2024]]="","",DONNÉES!BH162)</f>
        <v/>
      </c>
      <c r="N104" s="128" t="str">
        <f>IF(TRDVICTOIRE[[#This Row],[2024]]="","",DONNÉES!BG98)</f>
        <v/>
      </c>
      <c r="O104" s="177" t="str">
        <f>IF(TRDVICTOIRE[[#This Row],[2024]]="","",DONNÉES!BH98)</f>
        <v/>
      </c>
      <c r="P104" s="128" t="str">
        <f>IF(TRDVICTOIRE[[#This Row],[2024]]="","",DONNÉES!BG178)</f>
        <v/>
      </c>
      <c r="Q104" s="128" t="str">
        <f>IF(TRDVICTOIRE[[#This Row],[2024]]="","",DONNÉES!BH178)</f>
        <v/>
      </c>
      <c r="R104" s="181"/>
      <c r="S104" s="128" t="str">
        <f>IF(TRDVICTOIRE[[#This Row],[2024]]="","",DONNÉES!BG114)</f>
        <v/>
      </c>
      <c r="T104" s="177" t="str">
        <f>IF(TRDVICTOIRE[[#This Row],[2024]]="","",DONNÉES!BH114)</f>
        <v/>
      </c>
      <c r="U104" s="177" t="str">
        <f>IF(TRDVICTOIRE[[#This Row],[2024]]="","",DONNÉES!BG194)</f>
        <v/>
      </c>
      <c r="V104" s="128" t="str">
        <f>IF(TRDVICTOIRE[[#This Row],[2024]]="","",DONNÉES!BH194)</f>
        <v/>
      </c>
    </row>
    <row r="105" spans="1:22" ht="11.65" customHeight="1" x14ac:dyDescent="0.2">
      <c r="A105" s="170" t="s">
        <v>80</v>
      </c>
      <c r="B105" s="128" t="str">
        <f>IF(DONNÉES!BG51="","",DONNÉES!BG51)</f>
        <v/>
      </c>
      <c r="C105" s="177" t="str">
        <f>IF(TRDVICTOIRE[[#This Row],[2024]]="","",DONNÉES!BH51)</f>
        <v/>
      </c>
      <c r="D105" s="128" t="str">
        <f>IF(TRDVICTOIRE[[#This Row],[2024]]="","",DONNÉES!BG131)</f>
        <v/>
      </c>
      <c r="E105" s="178" t="str">
        <f>IF(TRDVICTOIRE[[#This Row],[2024]]="","",DONNÉES!BH131)</f>
        <v/>
      </c>
      <c r="F105" s="128" t="str">
        <f>IF(TRDVICTOIRE[[#This Row],[2024]]="","",DONNÉES!BG67)</f>
        <v/>
      </c>
      <c r="G105" s="177" t="str">
        <f>IF(TRDVICTOIRE[[#This Row],[2024]]="","",DONNÉES!BH67)</f>
        <v/>
      </c>
      <c r="H105" s="128" t="str">
        <f>IF(TRDVICTOIRE[[#This Row],[2024]]="","",DONNÉES!BG147)</f>
        <v/>
      </c>
      <c r="I105" s="178" t="str">
        <f>IF(TRDVICTOIRE[[#This Row],[2024]]="","",DONNÉES!BH147)</f>
        <v/>
      </c>
      <c r="J105" s="128" t="str">
        <f>IF(TRDVICTOIRE[[#This Row],[2024]]="","",DONNÉES!BG83)</f>
        <v/>
      </c>
      <c r="K105" s="177" t="str">
        <f>IF(TRDVICTOIRE[[#This Row],[2024]]="","",DONNÉES!BH83)</f>
        <v/>
      </c>
      <c r="L105" s="128" t="str">
        <f>IF(TRDVICTOIRE[[#This Row],[2024]]="","",DONNÉES!BG163)</f>
        <v/>
      </c>
      <c r="M105" s="178" t="str">
        <f>IF(TRDVICTOIRE[[#This Row],[2024]]="","",DONNÉES!BH163)</f>
        <v/>
      </c>
      <c r="N105" s="128" t="str">
        <f>IF(TRDVICTOIRE[[#This Row],[2024]]="","",DONNÉES!BG99)</f>
        <v/>
      </c>
      <c r="O105" s="177" t="str">
        <f>IF(TRDVICTOIRE[[#This Row],[2024]]="","",DONNÉES!BH99)</f>
        <v/>
      </c>
      <c r="P105" s="128" t="str">
        <f>IF(TRDVICTOIRE[[#This Row],[2024]]="","",DONNÉES!BG179)</f>
        <v/>
      </c>
      <c r="Q105" s="128" t="str">
        <f>IF(TRDVICTOIRE[[#This Row],[2024]]="","",DONNÉES!BH179)</f>
        <v/>
      </c>
      <c r="R105" s="181"/>
      <c r="S105" s="128" t="str">
        <f>IF(TRDVICTOIRE[[#This Row],[2024]]="","",DONNÉES!BG115)</f>
        <v/>
      </c>
      <c r="T105" s="177" t="str">
        <f>IF(TRDVICTOIRE[[#This Row],[2024]]="","",DONNÉES!BH115)</f>
        <v/>
      </c>
      <c r="U105" s="177" t="str">
        <f>IF(TRDVICTOIRE[[#This Row],[2024]]="","",DONNÉES!BG195)</f>
        <v/>
      </c>
      <c r="V105" s="128" t="str">
        <f>IF(TRDVICTOIRE[[#This Row],[2024]]="","",DONNÉES!BH195)</f>
        <v/>
      </c>
    </row>
    <row r="106" spans="1:22" ht="11.65" customHeight="1" x14ac:dyDescent="0.2">
      <c r="A106" s="169" t="s">
        <v>81</v>
      </c>
      <c r="B106" s="128" t="str">
        <f>IF(DONNÉES!BG52="","",DONNÉES!BG52)</f>
        <v/>
      </c>
      <c r="C106" s="177" t="str">
        <f>IF(TRDVICTOIRE[[#This Row],[2024]]="","",DONNÉES!BH52)</f>
        <v/>
      </c>
      <c r="D106" s="130" t="str">
        <f>IF(TRDVICTOIRE[[#This Row],[2024]]="","",DONNÉES!BG132)</f>
        <v/>
      </c>
      <c r="E106" s="183" t="str">
        <f>IF(TRDVICTOIRE[[#This Row],[2024]]="","",DONNÉES!BH132)</f>
        <v/>
      </c>
      <c r="F106" s="130" t="str">
        <f>IF(TRDVICTOIRE[[#This Row],[2024]]="","",DONNÉES!BG68)</f>
        <v/>
      </c>
      <c r="G106" s="177" t="str">
        <f>IF(TRDVICTOIRE[[#This Row],[2024]]="","",DONNÉES!BH68)</f>
        <v/>
      </c>
      <c r="H106" s="130" t="str">
        <f>IF(TRDVICTOIRE[[#This Row],[2024]]="","",DONNÉES!BG148)</f>
        <v/>
      </c>
      <c r="I106" s="183" t="str">
        <f>IF(TRDVICTOIRE[[#This Row],[2024]]="","",DONNÉES!BH148)</f>
        <v/>
      </c>
      <c r="J106" s="130" t="str">
        <f>IF(TRDVICTOIRE[[#This Row],[2024]]="","",DONNÉES!BG84)</f>
        <v/>
      </c>
      <c r="K106" s="182" t="str">
        <f>IF(TRDVICTOIRE[[#This Row],[2024]]="","",DONNÉES!BH84)</f>
        <v/>
      </c>
      <c r="L106" s="130" t="str">
        <f>IF(TRDVICTOIRE[[#This Row],[2024]]="","",DONNÉES!BG164)</f>
        <v/>
      </c>
      <c r="M106" s="183" t="str">
        <f>IF(TRDVICTOIRE[[#This Row],[2024]]="","",DONNÉES!BH164)</f>
        <v/>
      </c>
      <c r="N106" s="130" t="str">
        <f>IF(TRDVICTOIRE[[#This Row],[2024]]="","",DONNÉES!BG100)</f>
        <v/>
      </c>
      <c r="O106" s="182" t="str">
        <f>IF(TRDVICTOIRE[[#This Row],[2024]]="","",DONNÉES!BH100)</f>
        <v/>
      </c>
      <c r="P106" s="130" t="str">
        <f>IF(TRDVICTOIRE[[#This Row],[2024]]="","",DONNÉES!BG180)</f>
        <v/>
      </c>
      <c r="Q106" s="130" t="str">
        <f>IF(TRDVICTOIRE[[#This Row],[2024]]="","",DONNÉES!BH180)</f>
        <v/>
      </c>
      <c r="R106" s="181"/>
      <c r="S106" s="130" t="str">
        <f>IF(TRDVICTOIRE[[#This Row],[2024]]="","",DONNÉES!BG116)</f>
        <v/>
      </c>
      <c r="T106" s="182" t="str">
        <f>IF(TRDVICTOIRE[[#This Row],[2024]]="","",DONNÉES!BH116)</f>
        <v/>
      </c>
      <c r="U106" s="182" t="str">
        <f>IF(TRDVICTOIRE[[#This Row],[2024]]="","",DONNÉES!BG196)</f>
        <v/>
      </c>
      <c r="V106" s="130" t="str">
        <f>IF(TRDVICTOIRE[[#This Row],[2024]]="","",DONNÉES!BH196)</f>
        <v/>
      </c>
    </row>
    <row r="107" spans="1:22" ht="11.65" customHeight="1" x14ac:dyDescent="0.2">
      <c r="A107" s="170" t="s">
        <v>82</v>
      </c>
      <c r="B107" s="128" t="str">
        <f>IF(DONNÉES!BG53="","",DONNÉES!BG53)</f>
        <v/>
      </c>
      <c r="C107" s="177" t="str">
        <f>IF(TRDVICTOIRE[[#This Row],[2024]]="","",DONNÉES!BH53)</f>
        <v/>
      </c>
      <c r="D107" s="130" t="str">
        <f>IF(TRDVICTOIRE[[#This Row],[2024]]="","",DONNÉES!BG133)</f>
        <v/>
      </c>
      <c r="E107" s="183" t="str">
        <f>IF(TRDVICTOIRE[[#This Row],[2024]]="","",DONNÉES!BH133)</f>
        <v/>
      </c>
      <c r="F107" s="130" t="str">
        <f>IF(TRDVICTOIRE[[#This Row],[2024]]="","",DONNÉES!BG69)</f>
        <v/>
      </c>
      <c r="G107" s="177" t="str">
        <f>IF(TRDVICTOIRE[[#This Row],[2024]]="","",DONNÉES!BH69)</f>
        <v/>
      </c>
      <c r="H107" s="130" t="str">
        <f>IF(TRDVICTOIRE[[#This Row],[2024]]="","",DONNÉES!BG149)</f>
        <v/>
      </c>
      <c r="I107" s="183" t="str">
        <f>IF(TRDVICTOIRE[[#This Row],[2024]]="","",DONNÉES!BH149)</f>
        <v/>
      </c>
      <c r="J107" s="130" t="str">
        <f>IF(TRDVICTOIRE[[#This Row],[2024]]="","",DONNÉES!BG85)</f>
        <v/>
      </c>
      <c r="K107" s="182" t="str">
        <f>IF(TRDVICTOIRE[[#This Row],[2024]]="","",DONNÉES!BH85)</f>
        <v/>
      </c>
      <c r="L107" s="130" t="str">
        <f>IF(TRDVICTOIRE[[#This Row],[2024]]="","",DONNÉES!BG165)</f>
        <v/>
      </c>
      <c r="M107" s="183" t="str">
        <f>IF(TRDVICTOIRE[[#This Row],[2024]]="","",DONNÉES!BH165)</f>
        <v/>
      </c>
      <c r="N107" s="130" t="str">
        <f>IF(TRDVICTOIRE[[#This Row],[2024]]="","",DONNÉES!BG101)</f>
        <v/>
      </c>
      <c r="O107" s="182" t="str">
        <f>IF(TRDVICTOIRE[[#This Row],[2024]]="","",DONNÉES!BH101)</f>
        <v/>
      </c>
      <c r="P107" s="130" t="str">
        <f>IF(TRDVICTOIRE[[#This Row],[2024]]="","",DONNÉES!BG181)</f>
        <v/>
      </c>
      <c r="Q107" s="130" t="str">
        <f>IF(TRDVICTOIRE[[#This Row],[2024]]="","",DONNÉES!BH181)</f>
        <v/>
      </c>
      <c r="R107" s="181"/>
      <c r="S107" s="130" t="str">
        <f>IF(TRDVICTOIRE[[#This Row],[2024]]="","",DONNÉES!BG117)</f>
        <v/>
      </c>
      <c r="T107" s="182" t="str">
        <f>IF(TRDVICTOIRE[[#This Row],[2024]]="","",DONNÉES!BH117)</f>
        <v/>
      </c>
      <c r="U107" s="182" t="str">
        <f>IF(TRDVICTOIRE[[#This Row],[2024]]="","",DONNÉES!BG197)</f>
        <v/>
      </c>
      <c r="V107" s="130" t="str">
        <f>IF(TRDVICTOIRE[[#This Row],[2024]]="","",DONNÉES!BH197)</f>
        <v/>
      </c>
    </row>
    <row r="108" spans="1:22" ht="11.65" customHeight="1" x14ac:dyDescent="0.2">
      <c r="A108" s="169" t="s">
        <v>83</v>
      </c>
      <c r="B108" s="128" t="str">
        <f>IF(DONNÉES!BG54="","",DONNÉES!BG54)</f>
        <v/>
      </c>
      <c r="C108" s="177" t="str">
        <f>IF(TRDVICTOIRE[[#This Row],[2024]]="","",DONNÉES!BH54)</f>
        <v/>
      </c>
      <c r="D108" s="130" t="str">
        <f>IF(TRDVICTOIRE[[#This Row],[2024]]="","",DONNÉES!BG134)</f>
        <v/>
      </c>
      <c r="E108" s="183" t="str">
        <f>IF(TRDVICTOIRE[[#This Row],[2024]]="","",DONNÉES!BH134)</f>
        <v/>
      </c>
      <c r="F108" s="130" t="str">
        <f>IF(TRDVICTOIRE[[#This Row],[2024]]="","",DONNÉES!BG70)</f>
        <v/>
      </c>
      <c r="G108" s="177" t="str">
        <f>IF(TRDVICTOIRE[[#This Row],[2024]]="","",DONNÉES!BH70)</f>
        <v/>
      </c>
      <c r="H108" s="130" t="str">
        <f>IF(TRDVICTOIRE[[#This Row],[2024]]="","",DONNÉES!BG150)</f>
        <v/>
      </c>
      <c r="I108" s="183" t="str">
        <f>IF(TRDVICTOIRE[[#This Row],[2024]]="","",DONNÉES!BH150)</f>
        <v/>
      </c>
      <c r="J108" s="130" t="str">
        <f>IF(TRDVICTOIRE[[#This Row],[2024]]="","",DONNÉES!BG86)</f>
        <v/>
      </c>
      <c r="K108" s="182" t="str">
        <f>IF(TRDVICTOIRE[[#This Row],[2024]]="","",DONNÉES!BH86)</f>
        <v/>
      </c>
      <c r="L108" s="130" t="str">
        <f>IF(TRDVICTOIRE[[#This Row],[2024]]="","",DONNÉES!BG166)</f>
        <v/>
      </c>
      <c r="M108" s="183" t="str">
        <f>IF(TRDVICTOIRE[[#This Row],[2024]]="","",DONNÉES!BH166)</f>
        <v/>
      </c>
      <c r="N108" s="130" t="str">
        <f>IF(TRDVICTOIRE[[#This Row],[2024]]="","",DONNÉES!BG102)</f>
        <v/>
      </c>
      <c r="O108" s="182" t="str">
        <f>IF(TRDVICTOIRE[[#This Row],[2024]]="","",DONNÉES!BH102)</f>
        <v/>
      </c>
      <c r="P108" s="130" t="str">
        <f>IF(TRDVICTOIRE[[#This Row],[2024]]="","",DONNÉES!BG182)</f>
        <v/>
      </c>
      <c r="Q108" s="130" t="str">
        <f>IF(TRDVICTOIRE[[#This Row],[2024]]="","",DONNÉES!BH182)</f>
        <v/>
      </c>
      <c r="R108" s="185"/>
      <c r="S108" s="130" t="str">
        <f>IF(TRDVICTOIRE[[#This Row],[2024]]="","",DONNÉES!BG118)</f>
        <v/>
      </c>
      <c r="T108" s="182" t="str">
        <f>IF(TRDVICTOIRE[[#This Row],[2024]]="","",DONNÉES!BH118)</f>
        <v/>
      </c>
      <c r="U108" s="182" t="str">
        <f>IF(TRDVICTOIRE[[#This Row],[2024]]="","",DONNÉES!BG198)</f>
        <v/>
      </c>
      <c r="V108" s="130" t="str">
        <f>IF(TRDVICTOIRE[[#This Row],[2024]]="","",DONNÉES!BH198)</f>
        <v/>
      </c>
    </row>
    <row r="109" spans="1:22" ht="11.65" customHeight="1" x14ac:dyDescent="0.2">
      <c r="A109" s="169" t="s">
        <v>84</v>
      </c>
      <c r="B109" s="128" t="str">
        <f>IF(DONNÉES!BG55="","",DONNÉES!BG55)</f>
        <v/>
      </c>
      <c r="C109" s="177" t="str">
        <f>IF(TRDVICTOIRE[[#This Row],[2024]]="","",DONNÉES!BH55)</f>
        <v/>
      </c>
      <c r="D109" s="130" t="str">
        <f>IF(TRDVICTOIRE[[#This Row],[2024]]="","",DONNÉES!BG135)</f>
        <v/>
      </c>
      <c r="E109" s="183" t="str">
        <f>IF(TRDVICTOIRE[[#This Row],[2024]]="","",DONNÉES!BH135)</f>
        <v/>
      </c>
      <c r="F109" s="130" t="str">
        <f>IF(TRDVICTOIRE[[#This Row],[2024]]="","",DONNÉES!BG71)</f>
        <v/>
      </c>
      <c r="G109" s="177" t="str">
        <f>IF(TRDVICTOIRE[[#This Row],[2024]]="","",DONNÉES!BH71)</f>
        <v/>
      </c>
      <c r="H109" s="130" t="str">
        <f>IF(TRDVICTOIRE[[#This Row],[2024]]="","",DONNÉES!BG151)</f>
        <v/>
      </c>
      <c r="I109" s="183" t="str">
        <f>IF(TRDVICTOIRE[[#This Row],[2024]]="","",DONNÉES!BH151)</f>
        <v/>
      </c>
      <c r="J109" s="130" t="str">
        <f>IF(TRDVICTOIRE[[#This Row],[2024]]="","",DONNÉES!BG87)</f>
        <v/>
      </c>
      <c r="K109" s="182" t="str">
        <f>IF(TRDVICTOIRE[[#This Row],[2024]]="","",DONNÉES!BH87)</f>
        <v/>
      </c>
      <c r="L109" s="130" t="str">
        <f>IF(TRDVICTOIRE[[#This Row],[2024]]="","",DONNÉES!BG167)</f>
        <v/>
      </c>
      <c r="M109" s="183" t="str">
        <f>IF(TRDVICTOIRE[[#This Row],[2024]]="","",DONNÉES!BH167)</f>
        <v/>
      </c>
      <c r="N109" s="130" t="str">
        <f>IF(TRDVICTOIRE[[#This Row],[2024]]="","",DONNÉES!BG103)</f>
        <v/>
      </c>
      <c r="O109" s="182" t="str">
        <f>IF(TRDVICTOIRE[[#This Row],[2024]]="","",DONNÉES!BH103)</f>
        <v/>
      </c>
      <c r="P109" s="130" t="str">
        <f>IF(TRDVICTOIRE[[#This Row],[2024]]="","",DONNÉES!BG183)</f>
        <v/>
      </c>
      <c r="Q109" s="130" t="str">
        <f>IF(TRDVICTOIRE[[#This Row],[2024]]="","",DONNÉES!BH183)</f>
        <v/>
      </c>
      <c r="R109" s="181"/>
      <c r="S109" s="130" t="str">
        <f>IF(TRDVICTOIRE[[#This Row],[2024]]="","",DONNÉES!BG119)</f>
        <v/>
      </c>
      <c r="T109" s="182" t="str">
        <f>IF(TRDVICTOIRE[[#This Row],[2024]]="","",DONNÉES!BH119)</f>
        <v/>
      </c>
      <c r="U109" s="182" t="str">
        <f>IF(TRDVICTOIRE[[#This Row],[2024]]="","",DONNÉES!BG199)</f>
        <v/>
      </c>
      <c r="V109" s="130" t="str">
        <f>IF(TRDVICTOIRE[[#This Row],[2024]]="","",DONNÉES!BH199)</f>
        <v/>
      </c>
    </row>
    <row r="110" spans="1:22" ht="11.65" customHeight="1" x14ac:dyDescent="0.2">
      <c r="A110" s="169"/>
      <c r="B110" s="130"/>
      <c r="C110" s="252"/>
      <c r="D110" s="130"/>
      <c r="E110" s="183"/>
      <c r="F110" s="130"/>
      <c r="G110" s="252"/>
      <c r="H110" s="130"/>
      <c r="I110" s="183"/>
      <c r="J110" s="130"/>
      <c r="K110" s="252"/>
      <c r="L110" s="130"/>
      <c r="M110" s="183"/>
      <c r="N110" s="130"/>
      <c r="O110" s="252"/>
      <c r="P110" s="130"/>
      <c r="Q110" s="130"/>
      <c r="R110" s="181"/>
      <c r="S110" s="130"/>
      <c r="T110" s="252"/>
      <c r="U110" s="252"/>
      <c r="V110" s="130"/>
    </row>
    <row r="111" spans="1:22" s="81" customFormat="1" ht="14.65" customHeight="1" x14ac:dyDescent="0.2">
      <c r="A111" s="254"/>
      <c r="B111" s="334" t="s">
        <v>195</v>
      </c>
      <c r="C111" s="334"/>
      <c r="D111" s="334"/>
      <c r="E111" s="335"/>
      <c r="F111" s="334" t="s">
        <v>196</v>
      </c>
      <c r="G111" s="334"/>
      <c r="H111" s="334"/>
      <c r="I111" s="335"/>
      <c r="J111" s="334" t="s">
        <v>198</v>
      </c>
      <c r="K111" s="334"/>
      <c r="L111" s="334"/>
      <c r="M111" s="335"/>
      <c r="N111" s="334" t="s">
        <v>199</v>
      </c>
      <c r="O111" s="334"/>
      <c r="P111" s="334"/>
      <c r="Q111" s="334"/>
      <c r="R111" s="180"/>
      <c r="S111" s="334" t="s">
        <v>197</v>
      </c>
      <c r="T111" s="334"/>
      <c r="U111" s="334"/>
      <c r="V111" s="334"/>
    </row>
    <row r="112" spans="1:22" s="81" customFormat="1" ht="28.9" customHeight="1" x14ac:dyDescent="0.2">
      <c r="A112" s="169" t="s">
        <v>297</v>
      </c>
      <c r="B112" s="108" t="s">
        <v>6962</v>
      </c>
      <c r="C112" s="166" t="s">
        <v>2169</v>
      </c>
      <c r="D112" s="108" t="s">
        <v>6986</v>
      </c>
      <c r="E112" s="172" t="s">
        <v>6944</v>
      </c>
      <c r="F112" s="211" t="s">
        <v>6987</v>
      </c>
      <c r="G112" s="166" t="s">
        <v>6945</v>
      </c>
      <c r="H112" s="108" t="s">
        <v>6988</v>
      </c>
      <c r="I112" s="172" t="s">
        <v>6946</v>
      </c>
      <c r="J112" s="108" t="s">
        <v>6989</v>
      </c>
      <c r="K112" s="166" t="s">
        <v>6947</v>
      </c>
      <c r="L112" s="108" t="s">
        <v>6990</v>
      </c>
      <c r="M112" s="172" t="s">
        <v>6948</v>
      </c>
      <c r="N112" s="108" t="s">
        <v>6991</v>
      </c>
      <c r="O112" s="166" t="s">
        <v>6949</v>
      </c>
      <c r="P112" s="108" t="s">
        <v>6992</v>
      </c>
      <c r="Q112" s="94" t="s">
        <v>6950</v>
      </c>
      <c r="R112" s="79"/>
      <c r="S112" s="108" t="s">
        <v>6962</v>
      </c>
      <c r="T112" s="166" t="s">
        <v>2169</v>
      </c>
      <c r="U112" s="108" t="s">
        <v>6986</v>
      </c>
      <c r="V112" s="172" t="s">
        <v>6944</v>
      </c>
    </row>
    <row r="113" spans="1:22" ht="11.65" customHeight="1" x14ac:dyDescent="0.2">
      <c r="A113" s="170" t="s">
        <v>73</v>
      </c>
      <c r="B113" s="128">
        <f>IF(DONNÉES!BO44="","",DONNÉES!BO44)</f>
        <v>3621</v>
      </c>
      <c r="C113" s="177">
        <f>IF(TRDTH4[[#This Row],[2024]]="","",DONNÉES!BP44)</f>
        <v>3584</v>
      </c>
      <c r="D113" s="128">
        <f>IF(TRDTH4[[#This Row],[2024]]="","",DONNÉES!BO124)</f>
        <v>3621</v>
      </c>
      <c r="E113" s="178">
        <f>IF(TRDTH4[[#This Row],[2024]]="","",DONNÉES!BP124)</f>
        <v>3584</v>
      </c>
      <c r="F113" s="128">
        <f>IF(TRDTH4[[#This Row],[2024]]="","",DONNÉES!BO60)</f>
        <v>3243</v>
      </c>
      <c r="G113" s="177">
        <f>IF(TRDTH4[[#This Row],[2024]]="","",DONNÉES!BP60)</f>
        <v>2735</v>
      </c>
      <c r="H113" s="128">
        <f>IF(TRDTH4[[#This Row],[2024]]="","",DONNÉES!BO140)</f>
        <v>3243</v>
      </c>
      <c r="I113" s="178">
        <f>IF(TRDTH4[[#This Row],[2024]]="","",DONNÉES!BP140)</f>
        <v>2735</v>
      </c>
      <c r="J113" s="128">
        <f>IF(TRDTH4[[#This Row],[2024]]="","",DONNÉES!BO76)</f>
        <v>6154</v>
      </c>
      <c r="K113" s="177">
        <f>IF(TRDTH4[[#This Row],[2024]]="","",DONNÉES!BP76)</f>
        <v>6466</v>
      </c>
      <c r="L113" s="128">
        <f>IF(TRDTH4[[#This Row],[2024]]="","",DONNÉES!BO156)</f>
        <v>6154</v>
      </c>
      <c r="M113" s="178">
        <f>IF(TRDTH4[[#This Row],[2024]]="","",DONNÉES!BP156)</f>
        <v>6466</v>
      </c>
      <c r="N113" s="128">
        <f>IF(TRDTH4[[#This Row],[2024]]="","",DONNÉES!BO92)</f>
        <v>8798</v>
      </c>
      <c r="O113" s="177">
        <f>IF(TRDTH4[[#This Row],[2024]]="","",DONNÉES!BP92)</f>
        <v>7477</v>
      </c>
      <c r="P113" s="128">
        <f>IF(TRDTH4[[#This Row],[2024]]="","",DONNÉES!BO172)</f>
        <v>8798</v>
      </c>
      <c r="Q113" s="128">
        <f>IF(TRDTH4[[#This Row],[2024]]="","",DONNÉES!BP172)</f>
        <v>7477</v>
      </c>
      <c r="S113" s="128">
        <f>IF(TRDTH4[[#This Row],[2024]]="","",DONNÉES!BO108)</f>
        <v>21816</v>
      </c>
      <c r="T113" s="177">
        <f>IF(TRDTH4[[#This Row],[2024]]="","",DONNÉES!BP108)</f>
        <v>20262</v>
      </c>
      <c r="U113" s="128">
        <f>IF(TRDTH4[[#This Row],[2024]]="","",DONNÉES!BO188)</f>
        <v>21816</v>
      </c>
      <c r="V113" s="128">
        <f>IF(TRDTH4[[#This Row],[2024]]="","",DONNÉES!BP188)</f>
        <v>20262</v>
      </c>
    </row>
    <row r="114" spans="1:22" ht="11.65" customHeight="1" x14ac:dyDescent="0.2">
      <c r="A114" s="170" t="s">
        <v>74</v>
      </c>
      <c r="B114" s="128" t="str">
        <f>IF(DONNÉES!BO45="","",DONNÉES!BO45)</f>
        <v/>
      </c>
      <c r="C114" s="177" t="str">
        <f>IF(TRDTH4[[#This Row],[2024]]="","",DONNÉES!BP45)</f>
        <v/>
      </c>
      <c r="D114" s="128" t="str">
        <f>IF(TRDTH4[[#This Row],[2024]]="","",DONNÉES!BO125)</f>
        <v/>
      </c>
      <c r="E114" s="178" t="str">
        <f>IF(TRDTH4[[#This Row],[2024]]="","",DONNÉES!BP125)</f>
        <v/>
      </c>
      <c r="F114" s="128" t="str">
        <f>IF(TRDTH4[[#This Row],[2024]]="","",DONNÉES!BO61)</f>
        <v/>
      </c>
      <c r="G114" s="177" t="str">
        <f>IF(TRDTH4[[#This Row],[2024]]="","",DONNÉES!BP61)</f>
        <v/>
      </c>
      <c r="H114" s="128" t="str">
        <f>IF(TRDTH4[[#This Row],[2024]]="","",DONNÉES!BO141)</f>
        <v/>
      </c>
      <c r="I114" s="178" t="str">
        <f>IF(TRDTH4[[#This Row],[2024]]="","",DONNÉES!BP141)</f>
        <v/>
      </c>
      <c r="J114" s="128" t="str">
        <f>IF(TRDTH4[[#This Row],[2024]]="","",DONNÉES!BO77)</f>
        <v/>
      </c>
      <c r="K114" s="177" t="str">
        <f>IF(TRDTH4[[#This Row],[2024]]="","",DONNÉES!BP77)</f>
        <v/>
      </c>
      <c r="L114" s="128" t="str">
        <f>IF(TRDTH4[[#This Row],[2024]]="","",DONNÉES!BO157)</f>
        <v/>
      </c>
      <c r="M114" s="178" t="str">
        <f>IF(TRDTH4[[#This Row],[2024]]="","",DONNÉES!BP157)</f>
        <v/>
      </c>
      <c r="N114" s="128" t="str">
        <f>IF(TRDTH4[[#This Row],[2024]]="","",DONNÉES!BO93)</f>
        <v/>
      </c>
      <c r="O114" s="177" t="str">
        <f>IF(TRDTH4[[#This Row],[2024]]="","",DONNÉES!BP93)</f>
        <v/>
      </c>
      <c r="P114" s="128" t="str">
        <f>IF(TRDTH4[[#This Row],[2024]]="","",DONNÉES!BO173)</f>
        <v/>
      </c>
      <c r="Q114" s="128" t="str">
        <f>IF(TRDTH4[[#This Row],[2024]]="","",DONNÉES!BP173)</f>
        <v/>
      </c>
      <c r="S114" s="128" t="str">
        <f>IF(TRDTH4[[#This Row],[2024]]="","",DONNÉES!BO109)</f>
        <v/>
      </c>
      <c r="T114" s="177" t="str">
        <f>IF(TRDTH4[[#This Row],[2024]]="","",DONNÉES!BP109)</f>
        <v/>
      </c>
      <c r="U114" s="128" t="str">
        <f>IF(TRDTH4[[#This Row],[2024]]="","",DONNÉES!BO189)</f>
        <v/>
      </c>
      <c r="V114" s="128" t="str">
        <f>IF(TRDTH4[[#This Row],[2024]]="","",DONNÉES!BP189)</f>
        <v/>
      </c>
    </row>
    <row r="115" spans="1:22" ht="11.65" customHeight="1" x14ac:dyDescent="0.2">
      <c r="A115" s="169" t="s">
        <v>75</v>
      </c>
      <c r="B115" s="128" t="str">
        <f>IF(DONNÉES!BO46="","",DONNÉES!BO46)</f>
        <v/>
      </c>
      <c r="C115" s="177" t="str">
        <f>IF(TRDTH4[[#This Row],[2024]]="","",DONNÉES!BP46)</f>
        <v/>
      </c>
      <c r="D115" s="128" t="str">
        <f>IF(TRDTH4[[#This Row],[2024]]="","",DONNÉES!BO126)</f>
        <v/>
      </c>
      <c r="E115" s="178" t="str">
        <f>IF(TRDTH4[[#This Row],[2024]]="","",DONNÉES!BP126)</f>
        <v/>
      </c>
      <c r="F115" s="128" t="str">
        <f>IF(TRDTH4[[#This Row],[2024]]="","",DONNÉES!BO62)</f>
        <v/>
      </c>
      <c r="G115" s="177" t="str">
        <f>IF(TRDTH4[[#This Row],[2024]]="","",DONNÉES!BP62)</f>
        <v/>
      </c>
      <c r="H115" s="128" t="str">
        <f>IF(TRDTH4[[#This Row],[2024]]="","",DONNÉES!BO142)</f>
        <v/>
      </c>
      <c r="I115" s="178" t="str">
        <f>IF(TRDTH4[[#This Row],[2024]]="","",DONNÉES!BP142)</f>
        <v/>
      </c>
      <c r="J115" s="128" t="str">
        <f>IF(TRDTH4[[#This Row],[2024]]="","",DONNÉES!BO78)</f>
        <v/>
      </c>
      <c r="K115" s="177" t="str">
        <f>IF(TRDTH4[[#This Row],[2024]]="","",DONNÉES!BP78)</f>
        <v/>
      </c>
      <c r="L115" s="128" t="str">
        <f>IF(TRDTH4[[#This Row],[2024]]="","",DONNÉES!BO158)</f>
        <v/>
      </c>
      <c r="M115" s="178" t="str">
        <f>IF(TRDTH4[[#This Row],[2024]]="","",DONNÉES!BP158)</f>
        <v/>
      </c>
      <c r="N115" s="128" t="str">
        <f>IF(TRDTH4[[#This Row],[2024]]="","",DONNÉES!BO94)</f>
        <v/>
      </c>
      <c r="O115" s="177" t="str">
        <f>IF(TRDTH4[[#This Row],[2024]]="","",DONNÉES!BP94)</f>
        <v/>
      </c>
      <c r="P115" s="128" t="str">
        <f>IF(TRDTH4[[#This Row],[2024]]="","",DONNÉES!BO174)</f>
        <v/>
      </c>
      <c r="Q115" s="128" t="str">
        <f>IF(TRDTH4[[#This Row],[2024]]="","",DONNÉES!BP174)</f>
        <v/>
      </c>
      <c r="S115" s="128" t="str">
        <f>IF(TRDTH4[[#This Row],[2024]]="","",DONNÉES!BO110)</f>
        <v/>
      </c>
      <c r="T115" s="177" t="str">
        <f>IF(TRDTH4[[#This Row],[2024]]="","",DONNÉES!BP110)</f>
        <v/>
      </c>
      <c r="U115" s="128" t="str">
        <f>IF(TRDTH4[[#This Row],[2024]]="","",DONNÉES!BO190)</f>
        <v/>
      </c>
      <c r="V115" s="128" t="str">
        <f>IF(TRDTH4[[#This Row],[2024]]="","",DONNÉES!BP190)</f>
        <v/>
      </c>
    </row>
    <row r="116" spans="1:22" s="81" customFormat="1" ht="11.65" customHeight="1" x14ac:dyDescent="0.2">
      <c r="A116" s="170" t="s">
        <v>76</v>
      </c>
      <c r="B116" s="128" t="str">
        <f>IF(DONNÉES!BO47="","",DONNÉES!BO47)</f>
        <v/>
      </c>
      <c r="C116" s="177" t="str">
        <f>IF(TRDTH4[[#This Row],[2024]]="","",DONNÉES!BP47)</f>
        <v/>
      </c>
      <c r="D116" s="128" t="str">
        <f>IF(TRDTH4[[#This Row],[2024]]="","",DONNÉES!BO127)</f>
        <v/>
      </c>
      <c r="E116" s="178" t="str">
        <f>IF(TRDTH4[[#This Row],[2024]]="","",DONNÉES!BP127)</f>
        <v/>
      </c>
      <c r="F116" s="128" t="str">
        <f>IF(TRDTH4[[#This Row],[2024]]="","",DONNÉES!BO63)</f>
        <v/>
      </c>
      <c r="G116" s="177" t="str">
        <f>IF(TRDTH4[[#This Row],[2024]]="","",DONNÉES!BP63)</f>
        <v/>
      </c>
      <c r="H116" s="128" t="str">
        <f>IF(TRDTH4[[#This Row],[2024]]="","",DONNÉES!BO143)</f>
        <v/>
      </c>
      <c r="I116" s="178" t="str">
        <f>IF(TRDTH4[[#This Row],[2024]]="","",DONNÉES!BP143)</f>
        <v/>
      </c>
      <c r="J116" s="128" t="str">
        <f>IF(TRDTH4[[#This Row],[2024]]="","",DONNÉES!BO79)</f>
        <v/>
      </c>
      <c r="K116" s="177" t="str">
        <f>IF(TRDTH4[[#This Row],[2024]]="","",DONNÉES!BP79)</f>
        <v/>
      </c>
      <c r="L116" s="128" t="str">
        <f>IF(TRDTH4[[#This Row],[2024]]="","",DONNÉES!BO159)</f>
        <v/>
      </c>
      <c r="M116" s="178" t="str">
        <f>IF(TRDTH4[[#This Row],[2024]]="","",DONNÉES!BP159)</f>
        <v/>
      </c>
      <c r="N116" s="128" t="str">
        <f>IF(TRDTH4[[#This Row],[2024]]="","",DONNÉES!BO95)</f>
        <v/>
      </c>
      <c r="O116" s="177" t="str">
        <f>IF(TRDTH4[[#This Row],[2024]]="","",DONNÉES!BP95)</f>
        <v/>
      </c>
      <c r="P116" s="128" t="str">
        <f>IF(TRDTH4[[#This Row],[2024]]="","",DONNÉES!BO175)</f>
        <v/>
      </c>
      <c r="Q116" s="128" t="str">
        <f>IF(TRDTH4[[#This Row],[2024]]="","",DONNÉES!BP175)</f>
        <v/>
      </c>
      <c r="R116" s="180"/>
      <c r="S116" s="128" t="str">
        <f>IF(TRDTH4[[#This Row],[2024]]="","",DONNÉES!BO111)</f>
        <v/>
      </c>
      <c r="T116" s="177" t="str">
        <f>IF(TRDTH4[[#This Row],[2024]]="","",DONNÉES!BP111)</f>
        <v/>
      </c>
      <c r="U116" s="128" t="str">
        <f>IF(TRDTH4[[#This Row],[2024]]="","",DONNÉES!BO191)</f>
        <v/>
      </c>
      <c r="V116" s="128" t="str">
        <f>IF(TRDTH4[[#This Row],[2024]]="","",DONNÉES!BP191)</f>
        <v/>
      </c>
    </row>
    <row r="117" spans="1:22" s="81" customFormat="1" ht="11.65" customHeight="1" x14ac:dyDescent="0.2">
      <c r="A117" s="169" t="s">
        <v>77</v>
      </c>
      <c r="B117" s="128" t="str">
        <f>IF(DONNÉES!BO48="","",DONNÉES!BO48)</f>
        <v/>
      </c>
      <c r="C117" s="177" t="str">
        <f>IF(TRDTH4[[#This Row],[2024]]="","",DONNÉES!BP48)</f>
        <v/>
      </c>
      <c r="D117" s="128" t="str">
        <f>IF(TRDTH4[[#This Row],[2024]]="","",DONNÉES!BO128)</f>
        <v/>
      </c>
      <c r="E117" s="178" t="str">
        <f>IF(TRDTH4[[#This Row],[2024]]="","",DONNÉES!BP128)</f>
        <v/>
      </c>
      <c r="F117" s="128" t="str">
        <f>IF(TRDTH4[[#This Row],[2024]]="","",DONNÉES!BO64)</f>
        <v/>
      </c>
      <c r="G117" s="177" t="str">
        <f>IF(TRDTH4[[#This Row],[2024]]="","",DONNÉES!BP64)</f>
        <v/>
      </c>
      <c r="H117" s="128" t="str">
        <f>IF(TRDTH4[[#This Row],[2024]]="","",DONNÉES!BO144)</f>
        <v/>
      </c>
      <c r="I117" s="178" t="str">
        <f>IF(TRDTH4[[#This Row],[2024]]="","",DONNÉES!BP144)</f>
        <v/>
      </c>
      <c r="J117" s="128" t="str">
        <f>IF(TRDTH4[[#This Row],[2024]]="","",DONNÉES!BO80)</f>
        <v/>
      </c>
      <c r="K117" s="177" t="str">
        <f>IF(TRDTH4[[#This Row],[2024]]="","",DONNÉES!BP80)</f>
        <v/>
      </c>
      <c r="L117" s="128" t="str">
        <f>IF(TRDTH4[[#This Row],[2024]]="","",DONNÉES!BO160)</f>
        <v/>
      </c>
      <c r="M117" s="178" t="str">
        <f>IF(TRDTH4[[#This Row],[2024]]="","",DONNÉES!BP160)</f>
        <v/>
      </c>
      <c r="N117" s="128" t="str">
        <f>IF(TRDTH4[[#This Row],[2024]]="","",DONNÉES!BO96)</f>
        <v/>
      </c>
      <c r="O117" s="177" t="str">
        <f>IF(TRDTH4[[#This Row],[2024]]="","",DONNÉES!BP96)</f>
        <v/>
      </c>
      <c r="P117" s="128" t="str">
        <f>IF(TRDTH4[[#This Row],[2024]]="","",DONNÉES!BO176)</f>
        <v/>
      </c>
      <c r="Q117" s="128" t="str">
        <f>IF(TRDTH4[[#This Row],[2024]]="","",DONNÉES!BP176)</f>
        <v/>
      </c>
      <c r="R117" s="180"/>
      <c r="S117" s="128" t="str">
        <f>IF(TRDTH4[[#This Row],[2024]]="","",DONNÉES!BO112)</f>
        <v/>
      </c>
      <c r="T117" s="177" t="str">
        <f>IF(TRDTH4[[#This Row],[2024]]="","",DONNÉES!BP112)</f>
        <v/>
      </c>
      <c r="U117" s="128" t="str">
        <f>IF(TRDTH4[[#This Row],[2024]]="","",DONNÉES!BO192)</f>
        <v/>
      </c>
      <c r="V117" s="128" t="str">
        <f>IF(TRDTH4[[#This Row],[2024]]="","",DONNÉES!BP192)</f>
        <v/>
      </c>
    </row>
    <row r="118" spans="1:22" s="81" customFormat="1" ht="11.65" customHeight="1" x14ac:dyDescent="0.2">
      <c r="A118" s="170" t="s">
        <v>78</v>
      </c>
      <c r="B118" s="128" t="str">
        <f>IF(DONNÉES!BO49="","",DONNÉES!BO49)</f>
        <v/>
      </c>
      <c r="C118" s="177" t="str">
        <f>IF(TRDTH4[[#This Row],[2024]]="","",DONNÉES!BP49)</f>
        <v/>
      </c>
      <c r="D118" s="128" t="str">
        <f>IF(TRDTH4[[#This Row],[2024]]="","",DONNÉES!BO129)</f>
        <v/>
      </c>
      <c r="E118" s="178" t="str">
        <f>IF(TRDTH4[[#This Row],[2024]]="","",DONNÉES!BP129)</f>
        <v/>
      </c>
      <c r="F118" s="128" t="str">
        <f>IF(TRDTH4[[#This Row],[2024]]="","",DONNÉES!BO65)</f>
        <v/>
      </c>
      <c r="G118" s="177" t="str">
        <f>IF(TRDTH4[[#This Row],[2024]]="","",DONNÉES!BP65)</f>
        <v/>
      </c>
      <c r="H118" s="128" t="str">
        <f>IF(TRDTH4[[#This Row],[2024]]="","",DONNÉES!BO145)</f>
        <v/>
      </c>
      <c r="I118" s="178" t="str">
        <f>IF(TRDTH4[[#This Row],[2024]]="","",DONNÉES!BP145)</f>
        <v/>
      </c>
      <c r="J118" s="128" t="str">
        <f>IF(TRDTH4[[#This Row],[2024]]="","",DONNÉES!BO81)</f>
        <v/>
      </c>
      <c r="K118" s="177" t="str">
        <f>IF(TRDTH4[[#This Row],[2024]]="","",DONNÉES!BP81)</f>
        <v/>
      </c>
      <c r="L118" s="128" t="str">
        <f>IF(TRDTH4[[#This Row],[2024]]="","",DONNÉES!BO161)</f>
        <v/>
      </c>
      <c r="M118" s="178" t="str">
        <f>IF(TRDTH4[[#This Row],[2024]]="","",DONNÉES!BP161)</f>
        <v/>
      </c>
      <c r="N118" s="128" t="str">
        <f>IF(TRDTH4[[#This Row],[2024]]="","",DONNÉES!BO97)</f>
        <v/>
      </c>
      <c r="O118" s="177" t="str">
        <f>IF(TRDTH4[[#This Row],[2024]]="","",DONNÉES!BP97)</f>
        <v/>
      </c>
      <c r="P118" s="128" t="str">
        <f>IF(TRDTH4[[#This Row],[2024]]="","",DONNÉES!BO177)</f>
        <v/>
      </c>
      <c r="Q118" s="128" t="str">
        <f>IF(TRDTH4[[#This Row],[2024]]="","",DONNÉES!BP177)</f>
        <v/>
      </c>
      <c r="R118" s="180"/>
      <c r="S118" s="128" t="str">
        <f>IF(TRDTH4[[#This Row],[2024]]="","",DONNÉES!BO113)</f>
        <v/>
      </c>
      <c r="T118" s="177" t="str">
        <f>IF(TRDTH4[[#This Row],[2024]]="","",DONNÉES!BP113)</f>
        <v/>
      </c>
      <c r="U118" s="128" t="str">
        <f>IF(TRDTH4[[#This Row],[2024]]="","",DONNÉES!BO193)</f>
        <v/>
      </c>
      <c r="V118" s="128" t="str">
        <f>IF(TRDTH4[[#This Row],[2024]]="","",DONNÉES!BP193)</f>
        <v/>
      </c>
    </row>
    <row r="119" spans="1:22" ht="11.65" customHeight="1" x14ac:dyDescent="0.2">
      <c r="A119" s="169" t="s">
        <v>79</v>
      </c>
      <c r="B119" s="128" t="str">
        <f>IF(DONNÉES!BO50="","",DONNÉES!BO50)</f>
        <v/>
      </c>
      <c r="C119" s="177" t="str">
        <f>IF(TRDTH4[[#This Row],[2024]]="","",DONNÉES!BP50)</f>
        <v/>
      </c>
      <c r="D119" s="128" t="str">
        <f>IF(TRDTH4[[#This Row],[2024]]="","",DONNÉES!BO130)</f>
        <v/>
      </c>
      <c r="E119" s="178" t="str">
        <f>IF(TRDTH4[[#This Row],[2024]]="","",DONNÉES!BP130)</f>
        <v/>
      </c>
      <c r="F119" s="128" t="str">
        <f>IF(TRDTH4[[#This Row],[2024]]="","",DONNÉES!BO66)</f>
        <v/>
      </c>
      <c r="G119" s="177" t="str">
        <f>IF(TRDTH4[[#This Row],[2024]]="","",DONNÉES!BP66)</f>
        <v/>
      </c>
      <c r="H119" s="128" t="str">
        <f>IF(TRDTH4[[#This Row],[2024]]="","",DONNÉES!BO146)</f>
        <v/>
      </c>
      <c r="I119" s="178" t="str">
        <f>IF(TRDTH4[[#This Row],[2024]]="","",DONNÉES!BP146)</f>
        <v/>
      </c>
      <c r="J119" s="128" t="str">
        <f>IF(TRDTH4[[#This Row],[2024]]="","",DONNÉES!BO82)</f>
        <v/>
      </c>
      <c r="K119" s="177" t="str">
        <f>IF(TRDTH4[[#This Row],[2024]]="","",DONNÉES!BP82)</f>
        <v/>
      </c>
      <c r="L119" s="128" t="str">
        <f>IF(TRDTH4[[#This Row],[2024]]="","",DONNÉES!BO162)</f>
        <v/>
      </c>
      <c r="M119" s="178" t="str">
        <f>IF(TRDTH4[[#This Row],[2024]]="","",DONNÉES!BP162)</f>
        <v/>
      </c>
      <c r="N119" s="128" t="str">
        <f>IF(TRDTH4[[#This Row],[2024]]="","",DONNÉES!BO98)</f>
        <v/>
      </c>
      <c r="O119" s="177" t="str">
        <f>IF(TRDTH4[[#This Row],[2024]]="","",DONNÉES!BP98)</f>
        <v/>
      </c>
      <c r="P119" s="128" t="str">
        <f>IF(TRDTH4[[#This Row],[2024]]="","",DONNÉES!BO178)</f>
        <v/>
      </c>
      <c r="Q119" s="128" t="str">
        <f>IF(TRDTH4[[#This Row],[2024]]="","",DONNÉES!BP178)</f>
        <v/>
      </c>
      <c r="R119" s="181"/>
      <c r="S119" s="128" t="str">
        <f>IF(TRDTH4[[#This Row],[2024]]="","",DONNÉES!BO114)</f>
        <v/>
      </c>
      <c r="T119" s="177" t="str">
        <f>IF(TRDTH4[[#This Row],[2024]]="","",DONNÉES!BP114)</f>
        <v/>
      </c>
      <c r="U119" s="128" t="str">
        <f>IF(TRDTH4[[#This Row],[2024]]="","",DONNÉES!BO194)</f>
        <v/>
      </c>
      <c r="V119" s="128" t="str">
        <f>IF(TRDTH4[[#This Row],[2024]]="","",DONNÉES!BP194)</f>
        <v/>
      </c>
    </row>
    <row r="120" spans="1:22" ht="11.65" customHeight="1" x14ac:dyDescent="0.2">
      <c r="A120" s="170" t="s">
        <v>80</v>
      </c>
      <c r="B120" s="128" t="str">
        <f>IF(DONNÉES!BO51="","",DONNÉES!BO51)</f>
        <v/>
      </c>
      <c r="C120" s="177" t="str">
        <f>IF(TRDTH4[[#This Row],[2024]]="","",DONNÉES!BP51)</f>
        <v/>
      </c>
      <c r="D120" s="128" t="str">
        <f>IF(TRDTH4[[#This Row],[2024]]="","",DONNÉES!BO131)</f>
        <v/>
      </c>
      <c r="E120" s="178" t="str">
        <f>IF(TRDTH4[[#This Row],[2024]]="","",DONNÉES!BP131)</f>
        <v/>
      </c>
      <c r="F120" s="128" t="str">
        <f>IF(TRDTH4[[#This Row],[2024]]="","",DONNÉES!BO67)</f>
        <v/>
      </c>
      <c r="G120" s="177" t="str">
        <f>IF(TRDTH4[[#This Row],[2024]]="","",DONNÉES!BP67)</f>
        <v/>
      </c>
      <c r="H120" s="128" t="str">
        <f>IF(TRDTH4[[#This Row],[2024]]="","",DONNÉES!BO147)</f>
        <v/>
      </c>
      <c r="I120" s="178" t="str">
        <f>IF(TRDTH4[[#This Row],[2024]]="","",DONNÉES!BP147)</f>
        <v/>
      </c>
      <c r="J120" s="128" t="str">
        <f>IF(TRDTH4[[#This Row],[2024]]="","",DONNÉES!BO83)</f>
        <v/>
      </c>
      <c r="K120" s="177" t="str">
        <f>IF(TRDTH4[[#This Row],[2024]]="","",DONNÉES!BP83)</f>
        <v/>
      </c>
      <c r="L120" s="128" t="str">
        <f>IF(TRDTH4[[#This Row],[2024]]="","",DONNÉES!BO163)</f>
        <v/>
      </c>
      <c r="M120" s="178" t="str">
        <f>IF(TRDTH4[[#This Row],[2024]]="","",DONNÉES!BP163)</f>
        <v/>
      </c>
      <c r="N120" s="128" t="str">
        <f>IF(TRDTH4[[#This Row],[2024]]="","",DONNÉES!BO99)</f>
        <v/>
      </c>
      <c r="O120" s="177" t="str">
        <f>IF(TRDTH4[[#This Row],[2024]]="","",DONNÉES!BP99)</f>
        <v/>
      </c>
      <c r="P120" s="128" t="str">
        <f>IF(TRDTH4[[#This Row],[2024]]="","",DONNÉES!BO179)</f>
        <v/>
      </c>
      <c r="Q120" s="128" t="str">
        <f>IF(TRDTH4[[#This Row],[2024]]="","",DONNÉES!BP179)</f>
        <v/>
      </c>
      <c r="R120" s="181"/>
      <c r="S120" s="128" t="str">
        <f>IF(TRDTH4[[#This Row],[2024]]="","",DONNÉES!BO115)</f>
        <v/>
      </c>
      <c r="T120" s="177" t="str">
        <f>IF(TRDTH4[[#This Row],[2024]]="","",DONNÉES!BP115)</f>
        <v/>
      </c>
      <c r="U120" s="128" t="str">
        <f>IF(TRDTH4[[#This Row],[2024]]="","",DONNÉES!BO195)</f>
        <v/>
      </c>
      <c r="V120" s="128" t="str">
        <f>IF(TRDTH4[[#This Row],[2024]]="","",DONNÉES!BP195)</f>
        <v/>
      </c>
    </row>
    <row r="121" spans="1:22" ht="11.65" customHeight="1" x14ac:dyDescent="0.2">
      <c r="A121" s="169" t="s">
        <v>81</v>
      </c>
      <c r="B121" s="130" t="str">
        <f>IF(DONNÉES!BO52="","",DONNÉES!BO52)</f>
        <v/>
      </c>
      <c r="C121" s="182" t="str">
        <f>IF(TRDTH4[[#This Row],[2024]]="","",DONNÉES!BP52)</f>
        <v/>
      </c>
      <c r="D121" s="130" t="str">
        <f>IF(TRDTH4[[#This Row],[2024]]="","",DONNÉES!BO132)</f>
        <v/>
      </c>
      <c r="E121" s="183" t="str">
        <f>IF(TRDTH4[[#This Row],[2024]]="","",DONNÉES!BP132)</f>
        <v/>
      </c>
      <c r="F121" s="130" t="str">
        <f>IF(TRDTH4[[#This Row],[2024]]="","",DONNÉES!BO68)</f>
        <v/>
      </c>
      <c r="G121" s="182" t="str">
        <f>IF(TRDTH4[[#This Row],[2024]]="","",DONNÉES!BP68)</f>
        <v/>
      </c>
      <c r="H121" s="130" t="str">
        <f>IF(TRDTH4[[#This Row],[2024]]="","",DONNÉES!BO148)</f>
        <v/>
      </c>
      <c r="I121" s="183" t="str">
        <f>IF(TRDTH4[[#This Row],[2024]]="","",DONNÉES!BP148)</f>
        <v/>
      </c>
      <c r="J121" s="130" t="str">
        <f>IF(TRDTH4[[#This Row],[2024]]="","",DONNÉES!BO84)</f>
        <v/>
      </c>
      <c r="K121" s="182" t="str">
        <f>IF(TRDTH4[[#This Row],[2024]]="","",DONNÉES!BP84)</f>
        <v/>
      </c>
      <c r="L121" s="130" t="str">
        <f>IF(TRDTH4[[#This Row],[2024]]="","",DONNÉES!BO164)</f>
        <v/>
      </c>
      <c r="M121" s="183" t="str">
        <f>IF(TRDTH4[[#This Row],[2024]]="","",DONNÉES!BP164)</f>
        <v/>
      </c>
      <c r="N121" s="130" t="str">
        <f>IF(TRDTH4[[#This Row],[2024]]="","",DONNÉES!BO100)</f>
        <v/>
      </c>
      <c r="O121" s="182" t="str">
        <f>IF(TRDTH4[[#This Row],[2024]]="","",DONNÉES!BP100)</f>
        <v/>
      </c>
      <c r="P121" s="130" t="str">
        <f>IF(TRDTH4[[#This Row],[2024]]="","",DONNÉES!BO180)</f>
        <v/>
      </c>
      <c r="Q121" s="130" t="str">
        <f>IF(TRDTH4[[#This Row],[2024]]="","",DONNÉES!BP180)</f>
        <v/>
      </c>
      <c r="R121" s="181"/>
      <c r="S121" s="130" t="str">
        <f>IF(TRDTH4[[#This Row],[2024]]="","",DONNÉES!BO116)</f>
        <v/>
      </c>
      <c r="T121" s="182" t="str">
        <f>IF(TRDTH4[[#This Row],[2024]]="","",DONNÉES!BP116)</f>
        <v/>
      </c>
      <c r="U121" s="130" t="str">
        <f>IF(TRDTH4[[#This Row],[2024]]="","",DONNÉES!BO196)</f>
        <v/>
      </c>
      <c r="V121" s="130" t="str">
        <f>IF(TRDTH4[[#This Row],[2024]]="","",DONNÉES!BP196)</f>
        <v/>
      </c>
    </row>
    <row r="122" spans="1:22" ht="11.65" customHeight="1" x14ac:dyDescent="0.2">
      <c r="A122" s="170" t="s">
        <v>82</v>
      </c>
      <c r="B122" s="130" t="str">
        <f>IF(DONNÉES!BO53="","",DONNÉES!BO53)</f>
        <v/>
      </c>
      <c r="C122" s="182" t="str">
        <f>IF(TRDTH4[[#This Row],[2024]]="","",DONNÉES!BP53)</f>
        <v/>
      </c>
      <c r="D122" s="130" t="str">
        <f>IF(TRDTH4[[#This Row],[2024]]="","",DONNÉES!BO133)</f>
        <v/>
      </c>
      <c r="E122" s="183" t="str">
        <f>IF(TRDTH4[[#This Row],[2024]]="","",DONNÉES!BP133)</f>
        <v/>
      </c>
      <c r="F122" s="130" t="str">
        <f>IF(TRDTH4[[#This Row],[2024]]="","",DONNÉES!BO69)</f>
        <v/>
      </c>
      <c r="G122" s="182" t="str">
        <f>IF(TRDTH4[[#This Row],[2024]]="","",DONNÉES!BP69)</f>
        <v/>
      </c>
      <c r="H122" s="130" t="str">
        <f>IF(TRDTH4[[#This Row],[2024]]="","",DONNÉES!BO149)</f>
        <v/>
      </c>
      <c r="I122" s="183" t="str">
        <f>IF(TRDTH4[[#This Row],[2024]]="","",DONNÉES!BP149)</f>
        <v/>
      </c>
      <c r="J122" s="130" t="str">
        <f>IF(TRDTH4[[#This Row],[2024]]="","",DONNÉES!BO85)</f>
        <v/>
      </c>
      <c r="K122" s="182" t="str">
        <f>IF(TRDTH4[[#This Row],[2024]]="","",DONNÉES!BP85)</f>
        <v/>
      </c>
      <c r="L122" s="130" t="str">
        <f>IF(TRDTH4[[#This Row],[2024]]="","",DONNÉES!BO165)</f>
        <v/>
      </c>
      <c r="M122" s="183" t="str">
        <f>IF(TRDTH4[[#This Row],[2024]]="","",DONNÉES!BP165)</f>
        <v/>
      </c>
      <c r="N122" s="130" t="str">
        <f>IF(TRDTH4[[#This Row],[2024]]="","",DONNÉES!BO101)</f>
        <v/>
      </c>
      <c r="O122" s="182" t="str">
        <f>IF(TRDTH4[[#This Row],[2024]]="","",DONNÉES!BP101)</f>
        <v/>
      </c>
      <c r="P122" s="130" t="str">
        <f>IF(TRDTH4[[#This Row],[2024]]="","",DONNÉES!BO181)</f>
        <v/>
      </c>
      <c r="Q122" s="130" t="str">
        <f>IF(TRDTH4[[#This Row],[2024]]="","",DONNÉES!BP181)</f>
        <v/>
      </c>
      <c r="R122" s="181"/>
      <c r="S122" s="130" t="str">
        <f>IF(TRDTH4[[#This Row],[2024]]="","",DONNÉES!BO117)</f>
        <v/>
      </c>
      <c r="T122" s="182" t="str">
        <f>IF(TRDTH4[[#This Row],[2024]]="","",DONNÉES!BP117)</f>
        <v/>
      </c>
      <c r="U122" s="130" t="str">
        <f>IF(TRDTH4[[#This Row],[2024]]="","",DONNÉES!BO197)</f>
        <v/>
      </c>
      <c r="V122" s="130" t="str">
        <f>IF(TRDTH4[[#This Row],[2024]]="","",DONNÉES!BP197)</f>
        <v/>
      </c>
    </row>
    <row r="123" spans="1:22" ht="11.65" customHeight="1" x14ac:dyDescent="0.2">
      <c r="A123" s="169" t="s">
        <v>83</v>
      </c>
      <c r="B123" s="130" t="str">
        <f>IF(DONNÉES!BO54="","",DONNÉES!BO54)</f>
        <v/>
      </c>
      <c r="C123" s="182" t="str">
        <f>IF(TRDTH4[[#This Row],[2024]]="","",DONNÉES!BP54)</f>
        <v/>
      </c>
      <c r="D123" s="130" t="str">
        <f>IF(TRDTH4[[#This Row],[2024]]="","",DONNÉES!BO134)</f>
        <v/>
      </c>
      <c r="E123" s="183" t="str">
        <f>IF(TRDTH4[[#This Row],[2024]]="","",DONNÉES!BP134)</f>
        <v/>
      </c>
      <c r="F123" s="130" t="str">
        <f>IF(TRDTH4[[#This Row],[2024]]="","",DONNÉES!BO70)</f>
        <v/>
      </c>
      <c r="G123" s="182" t="str">
        <f>IF(TRDTH4[[#This Row],[2024]]="","",DONNÉES!BP70)</f>
        <v/>
      </c>
      <c r="H123" s="130" t="str">
        <f>IF(TRDTH4[[#This Row],[2024]]="","",DONNÉES!BO150)</f>
        <v/>
      </c>
      <c r="I123" s="183" t="str">
        <f>IF(TRDTH4[[#This Row],[2024]]="","",DONNÉES!BP150)</f>
        <v/>
      </c>
      <c r="J123" s="130" t="str">
        <f>IF(TRDTH4[[#This Row],[2024]]="","",DONNÉES!BO86)</f>
        <v/>
      </c>
      <c r="K123" s="182" t="str">
        <f>IF(TRDTH4[[#This Row],[2024]]="","",DONNÉES!BP86)</f>
        <v/>
      </c>
      <c r="L123" s="130" t="str">
        <f>IF(TRDTH4[[#This Row],[2024]]="","",DONNÉES!BO166)</f>
        <v/>
      </c>
      <c r="M123" s="183" t="str">
        <f>IF(TRDTH4[[#This Row],[2024]]="","",DONNÉES!BP166)</f>
        <v/>
      </c>
      <c r="N123" s="130" t="str">
        <f>IF(TRDTH4[[#This Row],[2024]]="","",DONNÉES!BO102)</f>
        <v/>
      </c>
      <c r="O123" s="182" t="str">
        <f>IF(TRDTH4[[#This Row],[2024]]="","",DONNÉES!BP102)</f>
        <v/>
      </c>
      <c r="P123" s="130" t="str">
        <f>IF(TRDTH4[[#This Row],[2024]]="","",DONNÉES!BO182)</f>
        <v/>
      </c>
      <c r="Q123" s="130" t="str">
        <f>IF(TRDTH4[[#This Row],[2024]]="","",DONNÉES!BP182)</f>
        <v/>
      </c>
      <c r="R123" s="181"/>
      <c r="S123" s="130" t="str">
        <f>IF(TRDTH4[[#This Row],[2024]]="","",DONNÉES!BO118)</f>
        <v/>
      </c>
      <c r="T123" s="182" t="str">
        <f>IF(TRDTH4[[#This Row],[2024]]="","",DONNÉES!BP118)</f>
        <v/>
      </c>
      <c r="U123" s="130" t="str">
        <f>IF(TRDTH4[[#This Row],[2024]]="","",DONNÉES!BO198)</f>
        <v/>
      </c>
      <c r="V123" s="130" t="str">
        <f>IF(TRDTH4[[#This Row],[2024]]="","",DONNÉES!BP198)</f>
        <v/>
      </c>
    </row>
    <row r="124" spans="1:22" ht="11.65" customHeight="1" x14ac:dyDescent="0.2">
      <c r="A124" s="169" t="s">
        <v>84</v>
      </c>
      <c r="B124" s="130" t="str">
        <f>IF(DONNÉES!BO55="","",DONNÉES!BO55)</f>
        <v/>
      </c>
      <c r="C124" s="182" t="str">
        <f>IF(TRDTH4[[#This Row],[2024]]="","",DONNÉES!BP55)</f>
        <v/>
      </c>
      <c r="D124" s="130" t="str">
        <f>IF(TRDTH4[[#This Row],[2024]]="","",DONNÉES!BO135)</f>
        <v/>
      </c>
      <c r="E124" s="183" t="str">
        <f>IF(TRDTH4[[#This Row],[2024]]="","",DONNÉES!BP135)</f>
        <v/>
      </c>
      <c r="F124" s="130" t="str">
        <f>IF(TRDTH4[[#This Row],[2024]]="","",DONNÉES!BO71)</f>
        <v/>
      </c>
      <c r="G124" s="182" t="str">
        <f>IF(TRDTH4[[#This Row],[2024]]="","",DONNÉES!BP71)</f>
        <v/>
      </c>
      <c r="H124" s="130" t="str">
        <f>IF(TRDTH4[[#This Row],[2024]]="","",DONNÉES!BO151)</f>
        <v/>
      </c>
      <c r="I124" s="183" t="str">
        <f>IF(TRDTH4[[#This Row],[2024]]="","",DONNÉES!BP151)</f>
        <v/>
      </c>
      <c r="J124" s="130" t="str">
        <f>IF(TRDTH4[[#This Row],[2024]]="","",DONNÉES!BO87)</f>
        <v/>
      </c>
      <c r="K124" s="182" t="str">
        <f>IF(TRDTH4[[#This Row],[2024]]="","",DONNÉES!BP87)</f>
        <v/>
      </c>
      <c r="L124" s="130" t="str">
        <f>IF(TRDTH4[[#This Row],[2024]]="","",DONNÉES!BO167)</f>
        <v/>
      </c>
      <c r="M124" s="183" t="str">
        <f>IF(TRDTH4[[#This Row],[2024]]="","",DONNÉES!BP167)</f>
        <v/>
      </c>
      <c r="N124" s="130" t="str">
        <f>IF(TRDTH4[[#This Row],[2024]]="","",DONNÉES!BO103)</f>
        <v/>
      </c>
      <c r="O124" s="182" t="str">
        <f>IF(TRDTH4[[#This Row],[2024]]="","",DONNÉES!BP103)</f>
        <v/>
      </c>
      <c r="P124" s="130" t="str">
        <f>IF(TRDTH4[[#This Row],[2024]]="","",DONNÉES!BO183)</f>
        <v/>
      </c>
      <c r="Q124" s="130" t="str">
        <f>IF(TRDTH4[[#This Row],[2024]]="","",DONNÉES!BP183)</f>
        <v/>
      </c>
      <c r="R124" s="185"/>
      <c r="S124" s="130" t="str">
        <f>IF(TRDTH4[[#This Row],[2024]]="","",DONNÉES!BO119)</f>
        <v/>
      </c>
      <c r="T124" s="182" t="str">
        <f>IF(TRDTH4[[#This Row],[2024]]="","",DONNÉES!BP119)</f>
        <v/>
      </c>
      <c r="U124" s="130" t="str">
        <f>IF(TRDTH4[[#This Row],[2024]]="","",DONNÉES!BO199)</f>
        <v/>
      </c>
      <c r="V124" s="130" t="str">
        <f>IF(TRDTH4[[#This Row],[2024]]="","",DONNÉES!BP199)</f>
        <v/>
      </c>
    </row>
    <row r="125" spans="1:22" ht="11.65" customHeight="1" x14ac:dyDescent="0.2">
      <c r="A125" s="169"/>
      <c r="B125" s="130"/>
      <c r="C125" s="252"/>
      <c r="D125" s="130"/>
      <c r="E125" s="183"/>
      <c r="F125" s="130"/>
      <c r="G125" s="252"/>
      <c r="H125" s="130"/>
      <c r="I125" s="183"/>
      <c r="J125" s="130"/>
      <c r="K125" s="252"/>
      <c r="L125" s="130"/>
      <c r="M125" s="183"/>
      <c r="N125" s="130"/>
      <c r="O125" s="252"/>
      <c r="P125" s="130"/>
      <c r="Q125" s="130"/>
      <c r="R125" s="185"/>
      <c r="S125" s="130"/>
      <c r="T125" s="252"/>
      <c r="U125" s="130"/>
      <c r="V125" s="130"/>
    </row>
    <row r="126" spans="1:22" s="81" customFormat="1" ht="14.65" customHeight="1" x14ac:dyDescent="0.2">
      <c r="A126" s="255"/>
      <c r="B126" s="337" t="s">
        <v>195</v>
      </c>
      <c r="C126" s="337"/>
      <c r="D126" s="337"/>
      <c r="E126" s="338"/>
      <c r="F126" s="337" t="s">
        <v>196</v>
      </c>
      <c r="G126" s="337"/>
      <c r="H126" s="337"/>
      <c r="I126" s="338"/>
      <c r="J126" s="337" t="s">
        <v>198</v>
      </c>
      <c r="K126" s="337"/>
      <c r="L126" s="337"/>
      <c r="M126" s="338"/>
      <c r="N126" s="337" t="s">
        <v>199</v>
      </c>
      <c r="O126" s="337"/>
      <c r="P126" s="337"/>
      <c r="Q126" s="337"/>
      <c r="R126" s="180"/>
      <c r="S126" s="337" t="s">
        <v>197</v>
      </c>
      <c r="T126" s="337"/>
      <c r="U126" s="337"/>
      <c r="V126" s="337"/>
    </row>
    <row r="127" spans="1:22" ht="28.9" customHeight="1" x14ac:dyDescent="0.2">
      <c r="A127" s="169" t="s">
        <v>296</v>
      </c>
      <c r="B127" s="108" t="s">
        <v>6962</v>
      </c>
      <c r="C127" s="166" t="s">
        <v>2169</v>
      </c>
      <c r="D127" s="108" t="s">
        <v>6986</v>
      </c>
      <c r="E127" s="172" t="s">
        <v>6944</v>
      </c>
      <c r="F127" s="211" t="s">
        <v>6987</v>
      </c>
      <c r="G127" s="166" t="s">
        <v>6945</v>
      </c>
      <c r="H127" s="108" t="s">
        <v>6988</v>
      </c>
      <c r="I127" s="172" t="s">
        <v>6946</v>
      </c>
      <c r="J127" s="108" t="s">
        <v>6989</v>
      </c>
      <c r="K127" s="166" t="s">
        <v>6947</v>
      </c>
      <c r="L127" s="108" t="s">
        <v>6990</v>
      </c>
      <c r="M127" s="172" t="s">
        <v>6948</v>
      </c>
      <c r="N127" s="108" t="s">
        <v>6991</v>
      </c>
      <c r="O127" s="166" t="s">
        <v>6949</v>
      </c>
      <c r="P127" s="108" t="s">
        <v>6992</v>
      </c>
      <c r="Q127" s="94" t="s">
        <v>6950</v>
      </c>
      <c r="S127" s="108" t="s">
        <v>6962</v>
      </c>
      <c r="T127" s="166" t="s">
        <v>2169</v>
      </c>
      <c r="U127" s="108" t="s">
        <v>6986</v>
      </c>
      <c r="V127" s="172" t="s">
        <v>6944</v>
      </c>
    </row>
    <row r="128" spans="1:22" ht="11.65" customHeight="1" x14ac:dyDescent="0.2">
      <c r="A128" s="170" t="s">
        <v>73</v>
      </c>
      <c r="B128" s="128">
        <f>IF(DONNÉES!BW44="","",DONNÉES!BW44)</f>
        <v>1703</v>
      </c>
      <c r="C128" s="177">
        <f>IF(TRDDIVES[[#This Row],[2024]]="","",DONNÉES!BX44)</f>
        <v>1611</v>
      </c>
      <c r="D128" s="128">
        <f>IF(TRDDIVES[[#This Row],[2024]]="","",DONNÉES!BW124)</f>
        <v>1703</v>
      </c>
      <c r="E128" s="178">
        <f>IF(TRDDIVES[[#This Row],[2024]]="","",DONNÉES!BX124)</f>
        <v>1611</v>
      </c>
      <c r="F128" s="128">
        <f>IF(TRDDIVES[[#This Row],[2024]]="","",DONNÉES!BW60)</f>
        <v>2658</v>
      </c>
      <c r="G128" s="177">
        <f>IF(TRDDIVES[[#This Row],[2024]]="","",DONNÉES!BX60)</f>
        <v>2195</v>
      </c>
      <c r="H128" s="128">
        <f>IF(TRDDIVES[[#This Row],[2024]]="","",DONNÉES!BW140)</f>
        <v>2658</v>
      </c>
      <c r="I128" s="178">
        <f>IF(TRDDIVES[[#This Row],[2024]]="","",DONNÉES!BX140)</f>
        <v>2195</v>
      </c>
      <c r="J128" s="128">
        <f>IF(TRDDIVES[[#This Row],[2024]]="","",DONNÉES!BW76)</f>
        <v>3962</v>
      </c>
      <c r="K128" s="177">
        <f>IF(TRDDIVES[[#This Row],[2024]]="","",DONNÉES!BX76)</f>
        <v>4058</v>
      </c>
      <c r="L128" s="128">
        <f>IF(TRDDIVES[[#This Row],[2024]]="","",DONNÉES!BW156)</f>
        <v>3962</v>
      </c>
      <c r="M128" s="178">
        <f>IF(TRDDIVES[[#This Row],[2024]]="","",DONNÉES!BX156)</f>
        <v>4058</v>
      </c>
      <c r="N128" s="128">
        <f>IF(TRDDIVES[[#This Row],[2024]]="","",DONNÉES!BW92)</f>
        <v>5114</v>
      </c>
      <c r="O128" s="177">
        <f>IF(TRDDIVES[[#This Row],[2024]]="","",DONNÉES!BX92)</f>
        <v>4922</v>
      </c>
      <c r="P128" s="128">
        <f>IF(TRDDIVES[[#This Row],[2024]]="","",DONNÉES!BW172)</f>
        <v>5114</v>
      </c>
      <c r="Q128" s="128">
        <f>IF(TRDDIVES[[#This Row],[2024]]="","",DONNÉES!BX172)</f>
        <v>4922</v>
      </c>
      <c r="S128" s="128">
        <f>IF(TRDDIVES[[#This Row],[2024]]="","",DONNÉES!BW108)</f>
        <v>13437</v>
      </c>
      <c r="T128" s="177">
        <f>IF(TRDDIVES[[#This Row],[2024]]="","",DONNÉES!BX108)</f>
        <v>12786</v>
      </c>
      <c r="U128" s="177">
        <f>IF(TRDDIVES[[#This Row],[2024]]="","",DONNÉES!BW188)</f>
        <v>13437</v>
      </c>
      <c r="V128" s="128">
        <f>IF(TRDDIVES[[#This Row],[2024]]="","",DONNÉES!BX188)</f>
        <v>12786</v>
      </c>
    </row>
    <row r="129" spans="1:22" ht="11.65" customHeight="1" x14ac:dyDescent="0.2">
      <c r="A129" s="170" t="s">
        <v>74</v>
      </c>
      <c r="B129" s="128" t="str">
        <f>IF(DONNÉES!BW45="","",DONNÉES!BW45)</f>
        <v/>
      </c>
      <c r="C129" s="177" t="str">
        <f>IF(TRDDIVES[[#This Row],[2024]]="","",DONNÉES!BX45)</f>
        <v/>
      </c>
      <c r="D129" s="128" t="str">
        <f>IF(TRDDIVES[[#This Row],[2024]]="","",DONNÉES!BW125)</f>
        <v/>
      </c>
      <c r="E129" s="178" t="str">
        <f>IF(TRDDIVES[[#This Row],[2024]]="","",DONNÉES!BX125)</f>
        <v/>
      </c>
      <c r="F129" s="128" t="str">
        <f>IF(TRDDIVES[[#This Row],[2024]]="","",DONNÉES!BW61)</f>
        <v/>
      </c>
      <c r="G129" s="177" t="str">
        <f>IF(TRDDIVES[[#This Row],[2024]]="","",DONNÉES!BX61)</f>
        <v/>
      </c>
      <c r="H129" s="128" t="str">
        <f>IF(TRDDIVES[[#This Row],[2024]]="","",DONNÉES!BW141)</f>
        <v/>
      </c>
      <c r="I129" s="178" t="str">
        <f>IF(TRDDIVES[[#This Row],[2024]]="","",DONNÉES!BX141)</f>
        <v/>
      </c>
      <c r="J129" s="128" t="str">
        <f>IF(TRDDIVES[[#This Row],[2024]]="","",DONNÉES!BW77)</f>
        <v/>
      </c>
      <c r="K129" s="177" t="str">
        <f>IF(TRDDIVES[[#This Row],[2024]]="","",DONNÉES!BX77)</f>
        <v/>
      </c>
      <c r="L129" s="128" t="str">
        <f>IF(TRDDIVES[[#This Row],[2024]]="","",DONNÉES!BW157)</f>
        <v/>
      </c>
      <c r="M129" s="178" t="str">
        <f>IF(TRDDIVES[[#This Row],[2024]]="","",DONNÉES!BX157)</f>
        <v/>
      </c>
      <c r="N129" s="128" t="str">
        <f>IF(TRDDIVES[[#This Row],[2024]]="","",DONNÉES!BW93)</f>
        <v/>
      </c>
      <c r="O129" s="177" t="str">
        <f>IF(TRDDIVES[[#This Row],[2024]]="","",DONNÉES!BX93)</f>
        <v/>
      </c>
      <c r="P129" s="128" t="str">
        <f>IF(TRDDIVES[[#This Row],[2024]]="","",DONNÉES!BW173)</f>
        <v/>
      </c>
      <c r="Q129" s="128" t="str">
        <f>IF(TRDDIVES[[#This Row],[2024]]="","",DONNÉES!BX173)</f>
        <v/>
      </c>
      <c r="S129" s="128" t="str">
        <f>IF(TRDDIVES[[#This Row],[2024]]="","",DONNÉES!BW109)</f>
        <v/>
      </c>
      <c r="T129" s="177" t="str">
        <f>IF(TRDDIVES[[#This Row],[2024]]="","",DONNÉES!BX109)</f>
        <v/>
      </c>
      <c r="U129" s="177" t="str">
        <f>IF(TRDDIVES[[#This Row],[2024]]="","",DONNÉES!BW189)</f>
        <v/>
      </c>
      <c r="V129" s="128" t="str">
        <f>IF(TRDDIVES[[#This Row],[2024]]="","",DONNÉES!BX189)</f>
        <v/>
      </c>
    </row>
    <row r="130" spans="1:22" s="81" customFormat="1" ht="11.65" customHeight="1" x14ac:dyDescent="0.2">
      <c r="A130" s="169" t="s">
        <v>75</v>
      </c>
      <c r="B130" s="128" t="str">
        <f>IF(DONNÉES!BW46="","",DONNÉES!BW46)</f>
        <v/>
      </c>
      <c r="C130" s="177" t="str">
        <f>IF(TRDDIVES[[#This Row],[2024]]="","",DONNÉES!BX46)</f>
        <v/>
      </c>
      <c r="D130" s="128" t="str">
        <f>IF(TRDDIVES[[#This Row],[2024]]="","",DONNÉES!BW126)</f>
        <v/>
      </c>
      <c r="E130" s="178" t="str">
        <f>IF(TRDDIVES[[#This Row],[2024]]="","",DONNÉES!BX126)</f>
        <v/>
      </c>
      <c r="F130" s="128" t="str">
        <f>IF(TRDDIVES[[#This Row],[2024]]="","",DONNÉES!BW62)</f>
        <v/>
      </c>
      <c r="G130" s="177" t="str">
        <f>IF(TRDDIVES[[#This Row],[2024]]="","",DONNÉES!BX62)</f>
        <v/>
      </c>
      <c r="H130" s="128" t="str">
        <f>IF(TRDDIVES[[#This Row],[2024]]="","",DONNÉES!BW142)</f>
        <v/>
      </c>
      <c r="I130" s="178" t="str">
        <f>IF(TRDDIVES[[#This Row],[2024]]="","",DONNÉES!BX142)</f>
        <v/>
      </c>
      <c r="J130" s="128" t="str">
        <f>IF(TRDDIVES[[#This Row],[2024]]="","",DONNÉES!BW78)</f>
        <v/>
      </c>
      <c r="K130" s="177" t="str">
        <f>IF(TRDDIVES[[#This Row],[2024]]="","",DONNÉES!BX78)</f>
        <v/>
      </c>
      <c r="L130" s="128" t="str">
        <f>IF(TRDDIVES[[#This Row],[2024]]="","",DONNÉES!BW158)</f>
        <v/>
      </c>
      <c r="M130" s="178" t="str">
        <f>IF(TRDDIVES[[#This Row],[2024]]="","",DONNÉES!BX158)</f>
        <v/>
      </c>
      <c r="N130" s="128" t="str">
        <f>IF(TRDDIVES[[#This Row],[2024]]="","",DONNÉES!BW94)</f>
        <v/>
      </c>
      <c r="O130" s="177" t="str">
        <f>IF(TRDDIVES[[#This Row],[2024]]="","",DONNÉES!BX94)</f>
        <v/>
      </c>
      <c r="P130" s="128" t="str">
        <f>IF(TRDDIVES[[#This Row],[2024]]="","",DONNÉES!BW174)</f>
        <v/>
      </c>
      <c r="Q130" s="128" t="str">
        <f>IF(TRDDIVES[[#This Row],[2024]]="","",DONNÉES!BX174)</f>
        <v/>
      </c>
      <c r="R130" s="180"/>
      <c r="S130" s="128" t="str">
        <f>IF(TRDDIVES[[#This Row],[2024]]="","",DONNÉES!BW110)</f>
        <v/>
      </c>
      <c r="T130" s="177" t="str">
        <f>IF(TRDDIVES[[#This Row],[2024]]="","",DONNÉES!BX110)</f>
        <v/>
      </c>
      <c r="U130" s="177" t="str">
        <f>IF(TRDDIVES[[#This Row],[2024]]="","",DONNÉES!BW190)</f>
        <v/>
      </c>
      <c r="V130" s="128" t="str">
        <f>IF(TRDDIVES[[#This Row],[2024]]="","",DONNÉES!BX190)</f>
        <v/>
      </c>
    </row>
    <row r="131" spans="1:22" s="81" customFormat="1" ht="11.65" customHeight="1" x14ac:dyDescent="0.2">
      <c r="A131" s="170" t="s">
        <v>76</v>
      </c>
      <c r="B131" s="128" t="str">
        <f>IF(DONNÉES!BW47="","",DONNÉES!BW47)</f>
        <v/>
      </c>
      <c r="C131" s="177" t="str">
        <f>IF(TRDDIVES[[#This Row],[2024]]="","",DONNÉES!BX47)</f>
        <v/>
      </c>
      <c r="D131" s="128" t="str">
        <f>IF(TRDDIVES[[#This Row],[2024]]="","",DONNÉES!BW127)</f>
        <v/>
      </c>
      <c r="E131" s="178" t="str">
        <f>IF(TRDDIVES[[#This Row],[2024]]="","",DONNÉES!BX127)</f>
        <v/>
      </c>
      <c r="F131" s="128" t="str">
        <f>IF(TRDDIVES[[#This Row],[2024]]="","",DONNÉES!BW63)</f>
        <v/>
      </c>
      <c r="G131" s="177" t="str">
        <f>IF(TRDDIVES[[#This Row],[2024]]="","",DONNÉES!BX63)</f>
        <v/>
      </c>
      <c r="H131" s="128" t="str">
        <f>IF(TRDDIVES[[#This Row],[2024]]="","",DONNÉES!BW143)</f>
        <v/>
      </c>
      <c r="I131" s="178" t="str">
        <f>IF(TRDDIVES[[#This Row],[2024]]="","",DONNÉES!BX143)</f>
        <v/>
      </c>
      <c r="J131" s="128" t="str">
        <f>IF(TRDDIVES[[#This Row],[2024]]="","",DONNÉES!BW79)</f>
        <v/>
      </c>
      <c r="K131" s="177" t="str">
        <f>IF(TRDDIVES[[#This Row],[2024]]="","",DONNÉES!BX79)</f>
        <v/>
      </c>
      <c r="L131" s="128" t="str">
        <f>IF(TRDDIVES[[#This Row],[2024]]="","",DONNÉES!BW159)</f>
        <v/>
      </c>
      <c r="M131" s="178" t="str">
        <f>IF(TRDDIVES[[#This Row],[2024]]="","",DONNÉES!BX159)</f>
        <v/>
      </c>
      <c r="N131" s="128" t="str">
        <f>IF(TRDDIVES[[#This Row],[2024]]="","",DONNÉES!BW95)</f>
        <v/>
      </c>
      <c r="O131" s="177" t="str">
        <f>IF(TRDDIVES[[#This Row],[2024]]="","",DONNÉES!BX95)</f>
        <v/>
      </c>
      <c r="P131" s="128" t="str">
        <f>IF(TRDDIVES[[#This Row],[2024]]="","",DONNÉES!BW175)</f>
        <v/>
      </c>
      <c r="Q131" s="128" t="str">
        <f>IF(TRDDIVES[[#This Row],[2024]]="","",DONNÉES!BX175)</f>
        <v/>
      </c>
      <c r="R131" s="180"/>
      <c r="S131" s="128" t="str">
        <f>IF(TRDDIVES[[#This Row],[2024]]="","",DONNÉES!BW111)</f>
        <v/>
      </c>
      <c r="T131" s="177" t="str">
        <f>IF(TRDDIVES[[#This Row],[2024]]="","",DONNÉES!BX111)</f>
        <v/>
      </c>
      <c r="U131" s="177" t="str">
        <f>IF(TRDDIVES[[#This Row],[2024]]="","",DONNÉES!BW191)</f>
        <v/>
      </c>
      <c r="V131" s="128" t="str">
        <f>IF(TRDDIVES[[#This Row],[2024]]="","",DONNÉES!BX191)</f>
        <v/>
      </c>
    </row>
    <row r="132" spans="1:22" s="81" customFormat="1" ht="11.65" customHeight="1" x14ac:dyDescent="0.2">
      <c r="A132" s="169" t="s">
        <v>77</v>
      </c>
      <c r="B132" s="128" t="str">
        <f>IF(DONNÉES!BW48="","",DONNÉES!BW48)</f>
        <v/>
      </c>
      <c r="C132" s="177" t="str">
        <f>IF(TRDDIVES[[#This Row],[2024]]="","",DONNÉES!BX48)</f>
        <v/>
      </c>
      <c r="D132" s="128" t="str">
        <f>IF(TRDDIVES[[#This Row],[2024]]="","",DONNÉES!BW128)</f>
        <v/>
      </c>
      <c r="E132" s="178" t="str">
        <f>IF(TRDDIVES[[#This Row],[2024]]="","",DONNÉES!BX128)</f>
        <v/>
      </c>
      <c r="F132" s="128" t="str">
        <f>IF(TRDDIVES[[#This Row],[2024]]="","",DONNÉES!BW64)</f>
        <v/>
      </c>
      <c r="G132" s="177" t="str">
        <f>IF(TRDDIVES[[#This Row],[2024]]="","",DONNÉES!BX64)</f>
        <v/>
      </c>
      <c r="H132" s="128" t="str">
        <f>IF(TRDDIVES[[#This Row],[2024]]="","",DONNÉES!BW144)</f>
        <v/>
      </c>
      <c r="I132" s="178" t="str">
        <f>IF(TRDDIVES[[#This Row],[2024]]="","",DONNÉES!BX144)</f>
        <v/>
      </c>
      <c r="J132" s="128" t="str">
        <f>IF(TRDDIVES[[#This Row],[2024]]="","",DONNÉES!BW80)</f>
        <v/>
      </c>
      <c r="K132" s="177" t="str">
        <f>IF(TRDDIVES[[#This Row],[2024]]="","",DONNÉES!BX80)</f>
        <v/>
      </c>
      <c r="L132" s="128" t="str">
        <f>IF(TRDDIVES[[#This Row],[2024]]="","",DONNÉES!BW160)</f>
        <v/>
      </c>
      <c r="M132" s="178" t="str">
        <f>IF(TRDDIVES[[#This Row],[2024]]="","",DONNÉES!BX160)</f>
        <v/>
      </c>
      <c r="N132" s="128" t="str">
        <f>IF(TRDDIVES[[#This Row],[2024]]="","",DONNÉES!BW96)</f>
        <v/>
      </c>
      <c r="O132" s="177" t="str">
        <f>IF(TRDDIVES[[#This Row],[2024]]="","",DONNÉES!BX96)</f>
        <v/>
      </c>
      <c r="P132" s="128" t="str">
        <f>IF(TRDDIVES[[#This Row],[2024]]="","",DONNÉES!BW176)</f>
        <v/>
      </c>
      <c r="Q132" s="128" t="str">
        <f>IF(TRDDIVES[[#This Row],[2024]]="","",DONNÉES!BX176)</f>
        <v/>
      </c>
      <c r="R132" s="180"/>
      <c r="S132" s="128" t="str">
        <f>IF(TRDDIVES[[#This Row],[2024]]="","",DONNÉES!BW112)</f>
        <v/>
      </c>
      <c r="T132" s="177" t="str">
        <f>IF(TRDDIVES[[#This Row],[2024]]="","",DONNÉES!BX112)</f>
        <v/>
      </c>
      <c r="U132" s="177" t="str">
        <f>IF(TRDDIVES[[#This Row],[2024]]="","",DONNÉES!BW192)</f>
        <v/>
      </c>
      <c r="V132" s="128" t="str">
        <f>IF(TRDDIVES[[#This Row],[2024]]="","",DONNÉES!BX192)</f>
        <v/>
      </c>
    </row>
    <row r="133" spans="1:22" ht="11.65" customHeight="1" x14ac:dyDescent="0.2">
      <c r="A133" s="170" t="s">
        <v>78</v>
      </c>
      <c r="B133" s="128" t="str">
        <f>IF(DONNÉES!BW49="","",DONNÉES!BW49)</f>
        <v/>
      </c>
      <c r="C133" s="177" t="str">
        <f>IF(TRDDIVES[[#This Row],[2024]]="","",DONNÉES!BX49)</f>
        <v/>
      </c>
      <c r="D133" s="128" t="str">
        <f>IF(TRDDIVES[[#This Row],[2024]]="","",DONNÉES!BW129)</f>
        <v/>
      </c>
      <c r="E133" s="178" t="str">
        <f>IF(TRDDIVES[[#This Row],[2024]]="","",DONNÉES!BX129)</f>
        <v/>
      </c>
      <c r="F133" s="128" t="str">
        <f>IF(TRDDIVES[[#This Row],[2024]]="","",DONNÉES!BW65)</f>
        <v/>
      </c>
      <c r="G133" s="177" t="str">
        <f>IF(TRDDIVES[[#This Row],[2024]]="","",DONNÉES!BX65)</f>
        <v/>
      </c>
      <c r="H133" s="128" t="str">
        <f>IF(TRDDIVES[[#This Row],[2024]]="","",DONNÉES!BW145)</f>
        <v/>
      </c>
      <c r="I133" s="178" t="str">
        <f>IF(TRDDIVES[[#This Row],[2024]]="","",DONNÉES!BX145)</f>
        <v/>
      </c>
      <c r="J133" s="128" t="str">
        <f>IF(TRDDIVES[[#This Row],[2024]]="","",DONNÉES!BW81)</f>
        <v/>
      </c>
      <c r="K133" s="177" t="str">
        <f>IF(TRDDIVES[[#This Row],[2024]]="","",DONNÉES!BX81)</f>
        <v/>
      </c>
      <c r="L133" s="128" t="str">
        <f>IF(TRDDIVES[[#This Row],[2024]]="","",DONNÉES!BW161)</f>
        <v/>
      </c>
      <c r="M133" s="178" t="str">
        <f>IF(TRDDIVES[[#This Row],[2024]]="","",DONNÉES!BX161)</f>
        <v/>
      </c>
      <c r="N133" s="128" t="str">
        <f>IF(TRDDIVES[[#This Row],[2024]]="","",DONNÉES!BW97)</f>
        <v/>
      </c>
      <c r="O133" s="177" t="str">
        <f>IF(TRDDIVES[[#This Row],[2024]]="","",DONNÉES!BX97)</f>
        <v/>
      </c>
      <c r="P133" s="128" t="str">
        <f>IF(TRDDIVES[[#This Row],[2024]]="","",DONNÉES!BW177)</f>
        <v/>
      </c>
      <c r="Q133" s="128" t="str">
        <f>IF(TRDDIVES[[#This Row],[2024]]="","",DONNÉES!BX177)</f>
        <v/>
      </c>
      <c r="R133" s="181"/>
      <c r="S133" s="128" t="str">
        <f>IF(TRDDIVES[[#This Row],[2024]]="","",DONNÉES!BW113)</f>
        <v/>
      </c>
      <c r="T133" s="177" t="str">
        <f>IF(TRDDIVES[[#This Row],[2024]]="","",DONNÉES!BX113)</f>
        <v/>
      </c>
      <c r="U133" s="177" t="str">
        <f>IF(TRDDIVES[[#This Row],[2024]]="","",DONNÉES!BW193)</f>
        <v/>
      </c>
      <c r="V133" s="128" t="str">
        <f>IF(TRDDIVES[[#This Row],[2024]]="","",DONNÉES!BX193)</f>
        <v/>
      </c>
    </row>
    <row r="134" spans="1:22" ht="11.65" customHeight="1" x14ac:dyDescent="0.2">
      <c r="A134" s="169" t="s">
        <v>79</v>
      </c>
      <c r="B134" s="128" t="str">
        <f>IF(DONNÉES!BW50="","",DONNÉES!BW50)</f>
        <v/>
      </c>
      <c r="C134" s="177" t="str">
        <f>IF(TRDDIVES[[#This Row],[2024]]="","",DONNÉES!BX50)</f>
        <v/>
      </c>
      <c r="D134" s="128" t="str">
        <f>IF(TRDDIVES[[#This Row],[2024]]="","",DONNÉES!BW130)</f>
        <v/>
      </c>
      <c r="E134" s="178" t="str">
        <f>IF(TRDDIVES[[#This Row],[2024]]="","",DONNÉES!BX130)</f>
        <v/>
      </c>
      <c r="F134" s="128" t="str">
        <f>IF(TRDDIVES[[#This Row],[2024]]="","",DONNÉES!BW66)</f>
        <v/>
      </c>
      <c r="G134" s="177" t="str">
        <f>IF(TRDDIVES[[#This Row],[2024]]="","",DONNÉES!BX66)</f>
        <v/>
      </c>
      <c r="H134" s="128" t="str">
        <f>IF(TRDDIVES[[#This Row],[2024]]="","",DONNÉES!BW146)</f>
        <v/>
      </c>
      <c r="I134" s="178" t="str">
        <f>IF(TRDDIVES[[#This Row],[2024]]="","",DONNÉES!BX146)</f>
        <v/>
      </c>
      <c r="J134" s="128" t="str">
        <f>IF(TRDDIVES[[#This Row],[2024]]="","",DONNÉES!BW82)</f>
        <v/>
      </c>
      <c r="K134" s="177" t="str">
        <f>IF(TRDDIVES[[#This Row],[2024]]="","",DONNÉES!BX82)</f>
        <v/>
      </c>
      <c r="L134" s="128" t="str">
        <f>IF(TRDDIVES[[#This Row],[2024]]="","",DONNÉES!BW162)</f>
        <v/>
      </c>
      <c r="M134" s="178" t="str">
        <f>IF(TRDDIVES[[#This Row],[2024]]="","",DONNÉES!BX162)</f>
        <v/>
      </c>
      <c r="N134" s="128" t="str">
        <f>IF(TRDDIVES[[#This Row],[2024]]="","",DONNÉES!BW98)</f>
        <v/>
      </c>
      <c r="O134" s="177" t="str">
        <f>IF(TRDDIVES[[#This Row],[2024]]="","",DONNÉES!BX98)</f>
        <v/>
      </c>
      <c r="P134" s="128" t="str">
        <f>IF(TRDDIVES[[#This Row],[2024]]="","",DONNÉES!BW178)</f>
        <v/>
      </c>
      <c r="Q134" s="128" t="str">
        <f>IF(TRDDIVES[[#This Row],[2024]]="","",DONNÉES!BX178)</f>
        <v/>
      </c>
      <c r="R134" s="181"/>
      <c r="S134" s="128" t="str">
        <f>IF(TRDDIVES[[#This Row],[2024]]="","",DONNÉES!BW114)</f>
        <v/>
      </c>
      <c r="T134" s="177" t="str">
        <f>IF(TRDDIVES[[#This Row],[2024]]="","",DONNÉES!BX114)</f>
        <v/>
      </c>
      <c r="U134" s="177" t="str">
        <f>IF(TRDDIVES[[#This Row],[2024]]="","",DONNÉES!BW194)</f>
        <v/>
      </c>
      <c r="V134" s="128" t="str">
        <f>IF(TRDDIVES[[#This Row],[2024]]="","",DONNÉES!BX194)</f>
        <v/>
      </c>
    </row>
    <row r="135" spans="1:22" ht="11.65" customHeight="1" x14ac:dyDescent="0.2">
      <c r="A135" s="170" t="s">
        <v>80</v>
      </c>
      <c r="B135" s="128" t="str">
        <f>IF(DONNÉES!BW51="","",DONNÉES!BW51)</f>
        <v/>
      </c>
      <c r="C135" s="177" t="str">
        <f>IF(TRDDIVES[[#This Row],[2024]]="","",DONNÉES!BX51)</f>
        <v/>
      </c>
      <c r="D135" s="128" t="str">
        <f>IF(TRDDIVES[[#This Row],[2024]]="","",DONNÉES!BW131)</f>
        <v/>
      </c>
      <c r="E135" s="178" t="str">
        <f>IF(TRDDIVES[[#This Row],[2024]]="","",DONNÉES!BX131)</f>
        <v/>
      </c>
      <c r="F135" s="128" t="str">
        <f>IF(TRDDIVES[[#This Row],[2024]]="","",DONNÉES!BW67)</f>
        <v/>
      </c>
      <c r="G135" s="177" t="str">
        <f>IF(TRDDIVES[[#This Row],[2024]]="","",DONNÉES!BX67)</f>
        <v/>
      </c>
      <c r="H135" s="128" t="str">
        <f>IF(TRDDIVES[[#This Row],[2024]]="","",DONNÉES!BW147)</f>
        <v/>
      </c>
      <c r="I135" s="178" t="str">
        <f>IF(TRDDIVES[[#This Row],[2024]]="","",DONNÉES!BX147)</f>
        <v/>
      </c>
      <c r="J135" s="128" t="str">
        <f>IF(TRDDIVES[[#This Row],[2024]]="","",DONNÉES!BW83)</f>
        <v/>
      </c>
      <c r="K135" s="177" t="str">
        <f>IF(TRDDIVES[[#This Row],[2024]]="","",DONNÉES!BX83)</f>
        <v/>
      </c>
      <c r="L135" s="128" t="str">
        <f>IF(TRDDIVES[[#This Row],[2024]]="","",DONNÉES!BW163)</f>
        <v/>
      </c>
      <c r="M135" s="178" t="str">
        <f>IF(TRDDIVES[[#This Row],[2024]]="","",DONNÉES!BX163)</f>
        <v/>
      </c>
      <c r="N135" s="128" t="str">
        <f>IF(TRDDIVES[[#This Row],[2024]]="","",DONNÉES!BW99)</f>
        <v/>
      </c>
      <c r="O135" s="177" t="str">
        <f>IF(TRDDIVES[[#This Row],[2024]]="","",DONNÉES!BX99)</f>
        <v/>
      </c>
      <c r="P135" s="128" t="str">
        <f>IF(TRDDIVES[[#This Row],[2024]]="","",DONNÉES!BW179)</f>
        <v/>
      </c>
      <c r="Q135" s="128" t="str">
        <f>IF(TRDDIVES[[#This Row],[2024]]="","",DONNÉES!BX179)</f>
        <v/>
      </c>
      <c r="R135" s="181"/>
      <c r="S135" s="128" t="str">
        <f>IF(TRDDIVES[[#This Row],[2024]]="","",DONNÉES!BW115)</f>
        <v/>
      </c>
      <c r="T135" s="177" t="str">
        <f>IF(TRDDIVES[[#This Row],[2024]]="","",DONNÉES!BX115)</f>
        <v/>
      </c>
      <c r="U135" s="177" t="str">
        <f>IF(TRDDIVES[[#This Row],[2024]]="","",DONNÉES!BW195)</f>
        <v/>
      </c>
      <c r="V135" s="128" t="str">
        <f>IF(TRDDIVES[[#This Row],[2024]]="","",DONNÉES!BX195)</f>
        <v/>
      </c>
    </row>
    <row r="136" spans="1:22" ht="11.65" customHeight="1" x14ac:dyDescent="0.2">
      <c r="A136" s="169" t="s">
        <v>81</v>
      </c>
      <c r="B136" s="130" t="str">
        <f>IF(DONNÉES!BW52="","",DONNÉES!BW52)</f>
        <v/>
      </c>
      <c r="C136" s="182" t="str">
        <f>IF(TRDDIVES[[#This Row],[2024]]="","",DONNÉES!BX52)</f>
        <v/>
      </c>
      <c r="D136" s="130" t="str">
        <f>IF(TRDDIVES[[#This Row],[2024]]="","",DONNÉES!BW132)</f>
        <v/>
      </c>
      <c r="E136" s="183" t="str">
        <f>IF(TRDDIVES[[#This Row],[2024]]="","",DONNÉES!BX132)</f>
        <v/>
      </c>
      <c r="F136" s="130" t="str">
        <f>IF(TRDDIVES[[#This Row],[2024]]="","",DONNÉES!BW68)</f>
        <v/>
      </c>
      <c r="G136" s="182" t="str">
        <f>IF(TRDDIVES[[#This Row],[2024]]="","",DONNÉES!BX68)</f>
        <v/>
      </c>
      <c r="H136" s="130" t="str">
        <f>IF(TRDDIVES[[#This Row],[2024]]="","",DONNÉES!BW148)</f>
        <v/>
      </c>
      <c r="I136" s="183" t="str">
        <f>IF(TRDDIVES[[#This Row],[2024]]="","",DONNÉES!BX148)</f>
        <v/>
      </c>
      <c r="J136" s="130" t="str">
        <f>IF(TRDDIVES[[#This Row],[2024]]="","",DONNÉES!BW84)</f>
        <v/>
      </c>
      <c r="K136" s="182" t="str">
        <f>IF(TRDDIVES[[#This Row],[2024]]="","",DONNÉES!BX84)</f>
        <v/>
      </c>
      <c r="L136" s="130" t="str">
        <f>IF(TRDDIVES[[#This Row],[2024]]="","",DONNÉES!BW164)</f>
        <v/>
      </c>
      <c r="M136" s="183" t="str">
        <f>IF(TRDDIVES[[#This Row],[2024]]="","",DONNÉES!BX164)</f>
        <v/>
      </c>
      <c r="N136" s="130" t="str">
        <f>IF(TRDDIVES[[#This Row],[2024]]="","",DONNÉES!BW100)</f>
        <v/>
      </c>
      <c r="O136" s="182" t="str">
        <f>IF(TRDDIVES[[#This Row],[2024]]="","",DONNÉES!BX100)</f>
        <v/>
      </c>
      <c r="P136" s="130" t="str">
        <f>IF(TRDDIVES[[#This Row],[2024]]="","",DONNÉES!BW180)</f>
        <v/>
      </c>
      <c r="Q136" s="130" t="str">
        <f>IF(TRDDIVES[[#This Row],[2024]]="","",DONNÉES!BX180)</f>
        <v/>
      </c>
      <c r="R136" s="181"/>
      <c r="S136" s="130" t="str">
        <f>IF(TRDDIVES[[#This Row],[2024]]="","",DONNÉES!BW116)</f>
        <v/>
      </c>
      <c r="T136" s="182" t="str">
        <f>IF(TRDDIVES[[#This Row],[2024]]="","",DONNÉES!BX116)</f>
        <v/>
      </c>
      <c r="U136" s="182" t="str">
        <f>IF(TRDDIVES[[#This Row],[2024]]="","",DONNÉES!BW196)</f>
        <v/>
      </c>
      <c r="V136" s="130" t="str">
        <f>IF(TRDDIVES[[#This Row],[2024]]="","",DONNÉES!BX196)</f>
        <v/>
      </c>
    </row>
    <row r="137" spans="1:22" ht="11.65" customHeight="1" x14ac:dyDescent="0.2">
      <c r="A137" s="170" t="s">
        <v>82</v>
      </c>
      <c r="B137" s="130" t="str">
        <f>IF(DONNÉES!BW53="","",DONNÉES!BW53)</f>
        <v/>
      </c>
      <c r="C137" s="182" t="str">
        <f>IF(TRDDIVES[[#This Row],[2024]]="","",DONNÉES!BX53)</f>
        <v/>
      </c>
      <c r="D137" s="130" t="str">
        <f>IF(TRDDIVES[[#This Row],[2024]]="","",DONNÉES!BW133)</f>
        <v/>
      </c>
      <c r="E137" s="183" t="str">
        <f>IF(TRDDIVES[[#This Row],[2024]]="","",DONNÉES!BX133)</f>
        <v/>
      </c>
      <c r="F137" s="130" t="str">
        <f>IF(TRDDIVES[[#This Row],[2024]]="","",DONNÉES!BW69)</f>
        <v/>
      </c>
      <c r="G137" s="182" t="str">
        <f>IF(TRDDIVES[[#This Row],[2024]]="","",DONNÉES!BX69)</f>
        <v/>
      </c>
      <c r="H137" s="130" t="str">
        <f>IF(TRDDIVES[[#This Row],[2024]]="","",DONNÉES!BW149)</f>
        <v/>
      </c>
      <c r="I137" s="183" t="str">
        <f>IF(TRDDIVES[[#This Row],[2024]]="","",DONNÉES!BX149)</f>
        <v/>
      </c>
      <c r="J137" s="130" t="str">
        <f>IF(TRDDIVES[[#This Row],[2024]]="","",DONNÉES!BW85)</f>
        <v/>
      </c>
      <c r="K137" s="182" t="str">
        <f>IF(TRDDIVES[[#This Row],[2024]]="","",DONNÉES!BX85)</f>
        <v/>
      </c>
      <c r="L137" s="130" t="str">
        <f>IF(TRDDIVES[[#This Row],[2024]]="","",DONNÉES!BW165)</f>
        <v/>
      </c>
      <c r="M137" s="183" t="str">
        <f>IF(TRDDIVES[[#This Row],[2024]]="","",DONNÉES!BX165)</f>
        <v/>
      </c>
      <c r="N137" s="130" t="str">
        <f>IF(TRDDIVES[[#This Row],[2024]]="","",DONNÉES!BW101)</f>
        <v/>
      </c>
      <c r="O137" s="182" t="str">
        <f>IF(TRDDIVES[[#This Row],[2024]]="","",DONNÉES!BX101)</f>
        <v/>
      </c>
      <c r="P137" s="130" t="str">
        <f>IF(TRDDIVES[[#This Row],[2024]]="","",DONNÉES!BW181)</f>
        <v/>
      </c>
      <c r="Q137" s="130" t="str">
        <f>IF(TRDDIVES[[#This Row],[2024]]="","",DONNÉES!BX181)</f>
        <v/>
      </c>
      <c r="R137" s="181"/>
      <c r="S137" s="130" t="str">
        <f>IF(TRDDIVES[[#This Row],[2024]]="","",DONNÉES!BW117)</f>
        <v/>
      </c>
      <c r="T137" s="182" t="str">
        <f>IF(TRDDIVES[[#This Row],[2024]]="","",DONNÉES!BX117)</f>
        <v/>
      </c>
      <c r="U137" s="182" t="str">
        <f>IF(TRDDIVES[[#This Row],[2024]]="","",DONNÉES!BW197)</f>
        <v/>
      </c>
      <c r="V137" s="130" t="str">
        <f>IF(TRDDIVES[[#This Row],[2024]]="","",DONNÉES!BX197)</f>
        <v/>
      </c>
    </row>
    <row r="138" spans="1:22" ht="11.65" customHeight="1" x14ac:dyDescent="0.2">
      <c r="A138" s="169" t="s">
        <v>83</v>
      </c>
      <c r="B138" s="130" t="str">
        <f>IF(DONNÉES!BW54="","",DONNÉES!BW54)</f>
        <v/>
      </c>
      <c r="C138" s="182" t="str">
        <f>IF(TRDDIVES[[#This Row],[2024]]="","",DONNÉES!BX54)</f>
        <v/>
      </c>
      <c r="D138" s="130" t="str">
        <f>IF(TRDDIVES[[#This Row],[2024]]="","",DONNÉES!BW134)</f>
        <v/>
      </c>
      <c r="E138" s="183" t="str">
        <f>IF(TRDDIVES[[#This Row],[2024]]="","",DONNÉES!BX134)</f>
        <v/>
      </c>
      <c r="F138" s="130" t="str">
        <f>IF(TRDDIVES[[#This Row],[2024]]="","",DONNÉES!BW70)</f>
        <v/>
      </c>
      <c r="G138" s="182" t="str">
        <f>IF(TRDDIVES[[#This Row],[2024]]="","",DONNÉES!BX70)</f>
        <v/>
      </c>
      <c r="H138" s="130" t="str">
        <f>IF(TRDDIVES[[#This Row],[2024]]="","",DONNÉES!BW150)</f>
        <v/>
      </c>
      <c r="I138" s="183" t="str">
        <f>IF(TRDDIVES[[#This Row],[2024]]="","",DONNÉES!BX150)</f>
        <v/>
      </c>
      <c r="J138" s="130" t="str">
        <f>IF(TRDDIVES[[#This Row],[2024]]="","",DONNÉES!BW86)</f>
        <v/>
      </c>
      <c r="K138" s="182" t="str">
        <f>IF(TRDDIVES[[#This Row],[2024]]="","",DONNÉES!BX86)</f>
        <v/>
      </c>
      <c r="L138" s="130" t="str">
        <f>IF(TRDDIVES[[#This Row],[2024]]="","",DONNÉES!BW166)</f>
        <v/>
      </c>
      <c r="M138" s="183" t="str">
        <f>IF(TRDDIVES[[#This Row],[2024]]="","",DONNÉES!BX166)</f>
        <v/>
      </c>
      <c r="N138" s="130" t="str">
        <f>IF(TRDDIVES[[#This Row],[2024]]="","",DONNÉES!BW102)</f>
        <v/>
      </c>
      <c r="O138" s="182" t="str">
        <f>IF(TRDDIVES[[#This Row],[2024]]="","",DONNÉES!BX102)</f>
        <v/>
      </c>
      <c r="P138" s="130" t="str">
        <f>IF(TRDDIVES[[#This Row],[2024]]="","",DONNÉES!BW182)</f>
        <v/>
      </c>
      <c r="Q138" s="130" t="str">
        <f>IF(TRDDIVES[[#This Row],[2024]]="","",DONNÉES!BX182)</f>
        <v/>
      </c>
      <c r="R138" s="185"/>
      <c r="S138" s="130" t="str">
        <f>IF(TRDDIVES[[#This Row],[2024]]="","",DONNÉES!BW118)</f>
        <v/>
      </c>
      <c r="T138" s="182" t="str">
        <f>IF(TRDDIVES[[#This Row],[2024]]="","",DONNÉES!BX118)</f>
        <v/>
      </c>
      <c r="U138" s="182" t="str">
        <f>IF(TRDDIVES[[#This Row],[2024]]="","",DONNÉES!BW198)</f>
        <v/>
      </c>
      <c r="V138" s="130" t="str">
        <f>IF(TRDDIVES[[#This Row],[2024]]="","",DONNÉES!BX198)</f>
        <v/>
      </c>
    </row>
    <row r="139" spans="1:22" ht="11.65" customHeight="1" x14ac:dyDescent="0.2">
      <c r="A139" s="169" t="s">
        <v>84</v>
      </c>
      <c r="B139" s="130" t="str">
        <f>IF(DONNÉES!BW55="","",DONNÉES!BW55)</f>
        <v/>
      </c>
      <c r="C139" s="182" t="str">
        <f>IF(TRDDIVES[[#This Row],[2024]]="","",DONNÉES!BX55)</f>
        <v/>
      </c>
      <c r="D139" s="130" t="str">
        <f>IF(TRDDIVES[[#This Row],[2024]]="","",DONNÉES!BW135)</f>
        <v/>
      </c>
      <c r="E139" s="183" t="str">
        <f>IF(TRDDIVES[[#This Row],[2024]]="","",DONNÉES!BX135)</f>
        <v/>
      </c>
      <c r="F139" s="130" t="str">
        <f>IF(TRDDIVES[[#This Row],[2024]]="","",DONNÉES!BW71)</f>
        <v/>
      </c>
      <c r="G139" s="182" t="str">
        <f>IF(TRDDIVES[[#This Row],[2024]]="","",DONNÉES!BX71)</f>
        <v/>
      </c>
      <c r="H139" s="130" t="str">
        <f>IF(TRDDIVES[[#This Row],[2024]]="","",DONNÉES!BW151)</f>
        <v/>
      </c>
      <c r="I139" s="183" t="str">
        <f>IF(TRDDIVES[[#This Row],[2024]]="","",DONNÉES!BX151)</f>
        <v/>
      </c>
      <c r="J139" s="130" t="str">
        <f>IF(TRDDIVES[[#This Row],[2024]]="","",DONNÉES!BW87)</f>
        <v/>
      </c>
      <c r="K139" s="182" t="str">
        <f>IF(TRDDIVES[[#This Row],[2024]]="","",DONNÉES!BX87)</f>
        <v/>
      </c>
      <c r="L139" s="130" t="str">
        <f>IF(TRDDIVES[[#This Row],[2024]]="","",DONNÉES!BW167)</f>
        <v/>
      </c>
      <c r="M139" s="183" t="str">
        <f>IF(TRDDIVES[[#This Row],[2024]]="","",DONNÉES!BX167)</f>
        <v/>
      </c>
      <c r="N139" s="130" t="str">
        <f>IF(TRDDIVES[[#This Row],[2024]]="","",DONNÉES!BW103)</f>
        <v/>
      </c>
      <c r="O139" s="182" t="str">
        <f>IF(TRDDIVES[[#This Row],[2024]]="","",DONNÉES!BX103)</f>
        <v/>
      </c>
      <c r="P139" s="130" t="str">
        <f>IF(TRDDIVES[[#This Row],[2024]]="","",DONNÉES!BW183)</f>
        <v/>
      </c>
      <c r="Q139" s="130" t="str">
        <f>IF(TRDDIVES[[#This Row],[2024]]="","",DONNÉES!BX183)</f>
        <v/>
      </c>
      <c r="R139" s="181"/>
      <c r="S139" s="130" t="str">
        <f>IF(TRDDIVES[[#This Row],[2024]]="","",DONNÉES!BW119)</f>
        <v/>
      </c>
      <c r="T139" s="182" t="str">
        <f>IF(TRDDIVES[[#This Row],[2024]]="","",DONNÉES!BX119)</f>
        <v/>
      </c>
      <c r="U139" s="182" t="str">
        <f>IF(TRDDIVES[[#This Row],[2024]]="","",DONNÉES!BW199)</f>
        <v/>
      </c>
      <c r="V139" s="130" t="str">
        <f>IF(TRDDIVES[[#This Row],[2024]]="","",DONNÉES!BX199)</f>
        <v/>
      </c>
    </row>
    <row r="140" spans="1:22" ht="11.65" customHeight="1" x14ac:dyDescent="0.2">
      <c r="A140" s="169"/>
      <c r="B140" s="130"/>
      <c r="C140" s="252"/>
      <c r="D140" s="130"/>
      <c r="E140" s="183"/>
      <c r="F140" s="130"/>
      <c r="G140" s="252"/>
      <c r="H140" s="130"/>
      <c r="I140" s="183"/>
      <c r="J140" s="130"/>
      <c r="K140" s="252"/>
      <c r="L140" s="130"/>
      <c r="M140" s="183"/>
      <c r="N140" s="130"/>
      <c r="O140" s="252"/>
      <c r="P140" s="130"/>
      <c r="Q140" s="130"/>
      <c r="R140" s="181"/>
      <c r="S140" s="130"/>
      <c r="T140" s="252"/>
      <c r="U140" s="252"/>
      <c r="V140" s="130"/>
    </row>
    <row r="141" spans="1:22" s="81" customFormat="1" ht="14.65" customHeight="1" x14ac:dyDescent="0.2">
      <c r="A141" s="255"/>
      <c r="B141" s="337" t="s">
        <v>195</v>
      </c>
      <c r="C141" s="337"/>
      <c r="D141" s="337"/>
      <c r="E141" s="338"/>
      <c r="F141" s="337" t="s">
        <v>196</v>
      </c>
      <c r="G141" s="337"/>
      <c r="H141" s="337"/>
      <c r="I141" s="338"/>
      <c r="J141" s="337" t="s">
        <v>198</v>
      </c>
      <c r="K141" s="337"/>
      <c r="L141" s="337"/>
      <c r="M141" s="338"/>
      <c r="N141" s="337" t="s">
        <v>199</v>
      </c>
      <c r="O141" s="337"/>
      <c r="P141" s="337"/>
      <c r="Q141" s="337"/>
      <c r="R141" s="180"/>
      <c r="S141" s="337" t="s">
        <v>197</v>
      </c>
      <c r="T141" s="337"/>
      <c r="U141" s="337"/>
      <c r="V141" s="337"/>
    </row>
    <row r="142" spans="1:22" s="81" customFormat="1" ht="14.65" customHeight="1" x14ac:dyDescent="0.2">
      <c r="A142" s="274"/>
      <c r="B142" s="275"/>
      <c r="C142" s="275"/>
      <c r="D142" s="275"/>
      <c r="E142" s="276"/>
      <c r="F142" s="275"/>
      <c r="G142" s="275"/>
      <c r="H142" s="275"/>
      <c r="I142" s="276"/>
      <c r="J142" s="275"/>
      <c r="K142" s="275"/>
      <c r="L142" s="275"/>
      <c r="M142" s="276"/>
      <c r="N142" s="275"/>
      <c r="O142" s="275"/>
      <c r="P142" s="275"/>
      <c r="Q142" s="275"/>
      <c r="R142" s="180"/>
      <c r="S142" s="275"/>
      <c r="T142" s="275"/>
      <c r="U142" s="275"/>
      <c r="V142" s="275"/>
    </row>
    <row r="143" spans="1:22" ht="28.9" customHeight="1" x14ac:dyDescent="0.2">
      <c r="A143" s="169" t="s">
        <v>292</v>
      </c>
      <c r="B143" s="108" t="s">
        <v>6962</v>
      </c>
      <c r="C143" s="166" t="s">
        <v>2169</v>
      </c>
      <c r="D143" s="108" t="s">
        <v>6986</v>
      </c>
      <c r="E143" s="172" t="s">
        <v>6944</v>
      </c>
      <c r="F143" s="211" t="s">
        <v>6987</v>
      </c>
      <c r="G143" s="166" t="s">
        <v>6945</v>
      </c>
      <c r="H143" s="108" t="s">
        <v>6988</v>
      </c>
      <c r="I143" s="172" t="s">
        <v>6946</v>
      </c>
      <c r="J143" s="108" t="s">
        <v>6989</v>
      </c>
      <c r="K143" s="166" t="s">
        <v>6947</v>
      </c>
      <c r="L143" s="108" t="s">
        <v>6990</v>
      </c>
      <c r="M143" s="172" t="s">
        <v>6948</v>
      </c>
      <c r="N143" s="108" t="s">
        <v>6991</v>
      </c>
      <c r="O143" s="166" t="s">
        <v>6949</v>
      </c>
      <c r="P143" s="108" t="s">
        <v>6992</v>
      </c>
      <c r="Q143" s="94" t="s">
        <v>6950</v>
      </c>
      <c r="S143" s="108" t="s">
        <v>6962</v>
      </c>
      <c r="T143" s="166" t="s">
        <v>2169</v>
      </c>
      <c r="U143" s="108" t="s">
        <v>6986</v>
      </c>
      <c r="V143" s="172" t="s">
        <v>6944</v>
      </c>
    </row>
    <row r="144" spans="1:22" s="81" customFormat="1" ht="11.65" customHeight="1" x14ac:dyDescent="0.2">
      <c r="A144" s="170" t="s">
        <v>73</v>
      </c>
      <c r="B144" s="128">
        <f>IF(DONNÉES!CE44="","",DONNÉES!CE44)</f>
        <v>3277</v>
      </c>
      <c r="C144" s="177">
        <f>IF(TRDR314[[#This Row],[2024]]="","",DONNÉES!CF44)</f>
        <v>3635</v>
      </c>
      <c r="D144" s="128">
        <f>IF(TRDR314[[#This Row],[2024]]="","",DONNÉES!CE124)</f>
        <v>3277</v>
      </c>
      <c r="E144" s="178">
        <f>IF(TRDR314[[#This Row],[2024]]="","",DONNÉES!CF124)</f>
        <v>3635</v>
      </c>
      <c r="F144" s="128">
        <f>IF(TRDR314[[#This Row],[2024]]="","",DONNÉES!CE60)</f>
        <v>2733</v>
      </c>
      <c r="G144" s="177">
        <f>IF(TRDR314[[#This Row],[2024]]="","",DONNÉES!CF60)</f>
        <v>2464</v>
      </c>
      <c r="H144" s="128">
        <f>IF(TRDR314[[#This Row],[2024]]="","",DONNÉES!CE140)</f>
        <v>2733</v>
      </c>
      <c r="I144" s="178">
        <f>IF(TRDR314[[#This Row],[2024]]="","",DONNÉES!CF140)</f>
        <v>2464</v>
      </c>
      <c r="J144" s="128">
        <f>IF(TRDR314[[#This Row],[2024]]="","",DONNÉES!CE76)</f>
        <v>6241</v>
      </c>
      <c r="K144" s="177">
        <f>IF(TRDR314[[#This Row],[2024]]="","",DONNÉES!CF76)</f>
        <v>7536</v>
      </c>
      <c r="L144" s="128">
        <f>IF(TRDR314[[#This Row],[2024]]="","",DONNÉES!CE156)</f>
        <v>6241</v>
      </c>
      <c r="M144" s="178">
        <f>IF(TRDR314[[#This Row],[2024]]="","",DONNÉES!CF156)</f>
        <v>7536</v>
      </c>
      <c r="N144" s="128">
        <f>IF(TRDR314[[#This Row],[2024]]="","",DONNÉES!CE92)</f>
        <v>7935</v>
      </c>
      <c r="O144" s="177">
        <f>IF(TRDR314[[#This Row],[2024]]="","",DONNÉES!CF92)</f>
        <v>8152</v>
      </c>
      <c r="P144" s="128">
        <f>IF(TRDR314[[#This Row],[2024]]="","",DONNÉES!CE172)</f>
        <v>7935</v>
      </c>
      <c r="Q144" s="179">
        <f>IF(TRDR314[[#This Row],[2024]]="","",DONNÉES!CF172)</f>
        <v>8152</v>
      </c>
      <c r="R144" s="180"/>
      <c r="S144" s="128">
        <f>IF(TRDR314[[#This Row],[2024]]="","",DONNÉES!CE108)</f>
        <v>20186</v>
      </c>
      <c r="T144" s="177">
        <f>IF(TRDR314[[#This Row],[2024]]="","",DONNÉES!CF108)</f>
        <v>21787</v>
      </c>
      <c r="U144" s="128">
        <f>IF(TRDR314[[#This Row],[2024]]="","",DONNÉES!CE188)</f>
        <v>20186</v>
      </c>
      <c r="V144" s="128">
        <f>IF(TRDR314[[#This Row],[2024]]="","",DONNÉES!CF188)</f>
        <v>21787</v>
      </c>
    </row>
    <row r="145" spans="1:22" s="81" customFormat="1" ht="11.65" customHeight="1" x14ac:dyDescent="0.2">
      <c r="A145" s="170" t="s">
        <v>74</v>
      </c>
      <c r="B145" s="128" t="str">
        <f>IF(DONNÉES!CE45="","",DONNÉES!CE45)</f>
        <v/>
      </c>
      <c r="C145" s="177" t="str">
        <f>IF(TRDR314[[#This Row],[2024]]="","",DONNÉES!CF45)</f>
        <v/>
      </c>
      <c r="D145" s="128" t="str">
        <f>IF(TRDR314[[#This Row],[2024]]="","",DONNÉES!CE125)</f>
        <v/>
      </c>
      <c r="E145" s="178" t="str">
        <f>IF(TRDR314[[#This Row],[2024]]="","",DONNÉES!CF125)</f>
        <v/>
      </c>
      <c r="F145" s="128" t="str">
        <f>IF(TRDR314[[#This Row],[2024]]="","",DONNÉES!CE61)</f>
        <v/>
      </c>
      <c r="G145" s="177" t="str">
        <f>IF(TRDR314[[#This Row],[2024]]="","",DONNÉES!CF61)</f>
        <v/>
      </c>
      <c r="H145" s="128" t="str">
        <f>IF(TRDR314[[#This Row],[2024]]="","",DONNÉES!CE141)</f>
        <v/>
      </c>
      <c r="I145" s="178" t="str">
        <f>IF(TRDR314[[#This Row],[2024]]="","",DONNÉES!CF141)</f>
        <v/>
      </c>
      <c r="J145" s="128" t="str">
        <f>IF(TRDR314[[#This Row],[2024]]="","",DONNÉES!CE77)</f>
        <v/>
      </c>
      <c r="K145" s="177" t="str">
        <f>IF(TRDR314[[#This Row],[2024]]="","",DONNÉES!CF77)</f>
        <v/>
      </c>
      <c r="L145" s="128" t="str">
        <f>IF(TRDR314[[#This Row],[2024]]="","",DONNÉES!CE157)</f>
        <v/>
      </c>
      <c r="M145" s="178" t="str">
        <f>IF(TRDR314[[#This Row],[2024]]="","",DONNÉES!CF157)</f>
        <v/>
      </c>
      <c r="N145" s="128" t="str">
        <f>IF(TRDR314[[#This Row],[2024]]="","",DONNÉES!CE93)</f>
        <v/>
      </c>
      <c r="O145" s="177" t="str">
        <f>IF(TRDR314[[#This Row],[2024]]="","",DONNÉES!CF93)</f>
        <v/>
      </c>
      <c r="P145" s="128" t="str">
        <f>IF(TRDR314[[#This Row],[2024]]="","",DONNÉES!CE173)</f>
        <v/>
      </c>
      <c r="Q145" s="179" t="str">
        <f>IF(TRDR314[[#This Row],[2024]]="","",DONNÉES!CF173)</f>
        <v/>
      </c>
      <c r="R145" s="180"/>
      <c r="S145" s="128" t="str">
        <f>IF(TRDR314[[#This Row],[2024]]="","",DONNÉES!CE109)</f>
        <v/>
      </c>
      <c r="T145" s="177" t="str">
        <f>IF(TRDR314[[#This Row],[2024]]="","",DONNÉES!CF109)</f>
        <v/>
      </c>
      <c r="U145" s="128" t="str">
        <f>IF(TRDR314[[#This Row],[2024]]="","",DONNÉES!CE189)</f>
        <v/>
      </c>
      <c r="V145" s="128" t="str">
        <f>IF(TRDR314[[#This Row],[2024]]="","",DONNÉES!CF189)</f>
        <v/>
      </c>
    </row>
    <row r="146" spans="1:22" s="81" customFormat="1" ht="11.65" customHeight="1" x14ac:dyDescent="0.2">
      <c r="A146" s="169" t="s">
        <v>75</v>
      </c>
      <c r="B146" s="128" t="str">
        <f>IF(DONNÉES!CE46="","",DONNÉES!CE46)</f>
        <v/>
      </c>
      <c r="C146" s="177" t="str">
        <f>IF(TRDR314[[#This Row],[2024]]="","",DONNÉES!CF46)</f>
        <v/>
      </c>
      <c r="D146" s="128" t="str">
        <f>IF(TRDR314[[#This Row],[2024]]="","",DONNÉES!CE126)</f>
        <v/>
      </c>
      <c r="E146" s="178" t="str">
        <f>IF(TRDR314[[#This Row],[2024]]="","",DONNÉES!CF126)</f>
        <v/>
      </c>
      <c r="F146" s="128" t="str">
        <f>IF(TRDR314[[#This Row],[2024]]="","",DONNÉES!CE62)</f>
        <v/>
      </c>
      <c r="G146" s="177" t="str">
        <f>IF(TRDR314[[#This Row],[2024]]="","",DONNÉES!CF62)</f>
        <v/>
      </c>
      <c r="H146" s="128" t="str">
        <f>IF(TRDR314[[#This Row],[2024]]="","",DONNÉES!CE142)</f>
        <v/>
      </c>
      <c r="I146" s="178" t="str">
        <f>IF(TRDR314[[#This Row],[2024]]="","",DONNÉES!CF142)</f>
        <v/>
      </c>
      <c r="J146" s="128" t="str">
        <f>IF(TRDR314[[#This Row],[2024]]="","",DONNÉES!CE78)</f>
        <v/>
      </c>
      <c r="K146" s="177" t="str">
        <f>IF(TRDR314[[#This Row],[2024]]="","",DONNÉES!CF78)</f>
        <v/>
      </c>
      <c r="L146" s="128" t="str">
        <f>IF(TRDR314[[#This Row],[2024]]="","",DONNÉES!CE158)</f>
        <v/>
      </c>
      <c r="M146" s="178" t="str">
        <f>IF(TRDR314[[#This Row],[2024]]="","",DONNÉES!CF158)</f>
        <v/>
      </c>
      <c r="N146" s="128" t="str">
        <f>IF(TRDR314[[#This Row],[2024]]="","",DONNÉES!CE94)</f>
        <v/>
      </c>
      <c r="O146" s="177" t="str">
        <f>IF(TRDR314[[#This Row],[2024]]="","",DONNÉES!CF94)</f>
        <v/>
      </c>
      <c r="P146" s="128" t="str">
        <f>IF(TRDR314[[#This Row],[2024]]="","",DONNÉES!CE174)</f>
        <v/>
      </c>
      <c r="Q146" s="179" t="str">
        <f>IF(TRDR314[[#This Row],[2024]]="","",DONNÉES!CF174)</f>
        <v/>
      </c>
      <c r="R146" s="180"/>
      <c r="S146" s="128" t="str">
        <f>IF(TRDR314[[#This Row],[2024]]="","",DONNÉES!CE110)</f>
        <v/>
      </c>
      <c r="T146" s="177" t="str">
        <f>IF(TRDR314[[#This Row],[2024]]="","",DONNÉES!CF110)</f>
        <v/>
      </c>
      <c r="U146" s="128" t="str">
        <f>IF(TRDR314[[#This Row],[2024]]="","",DONNÉES!CE190)</f>
        <v/>
      </c>
      <c r="V146" s="128" t="str">
        <f>IF(TRDR314[[#This Row],[2024]]="","",DONNÉES!CF190)</f>
        <v/>
      </c>
    </row>
    <row r="147" spans="1:22" ht="11.65" customHeight="1" x14ac:dyDescent="0.2">
      <c r="A147" s="170" t="s">
        <v>76</v>
      </c>
      <c r="B147" s="128" t="str">
        <f>IF(DONNÉES!CE47="","",DONNÉES!CE47)</f>
        <v/>
      </c>
      <c r="C147" s="177" t="str">
        <f>IF(TRDR314[[#This Row],[2024]]="","",DONNÉES!CF47)</f>
        <v/>
      </c>
      <c r="D147" s="128" t="str">
        <f>IF(TRDR314[[#This Row],[2024]]="","",DONNÉES!CE127)</f>
        <v/>
      </c>
      <c r="E147" s="178" t="str">
        <f>IF(TRDR314[[#This Row],[2024]]="","",DONNÉES!CF127)</f>
        <v/>
      </c>
      <c r="F147" s="128" t="str">
        <f>IF(TRDR314[[#This Row],[2024]]="","",DONNÉES!CE63)</f>
        <v/>
      </c>
      <c r="G147" s="177" t="str">
        <f>IF(TRDR314[[#This Row],[2024]]="","",DONNÉES!CF63)</f>
        <v/>
      </c>
      <c r="H147" s="128" t="str">
        <f>IF(TRDR314[[#This Row],[2024]]="","",DONNÉES!CE143)</f>
        <v/>
      </c>
      <c r="I147" s="178" t="str">
        <f>IF(TRDR314[[#This Row],[2024]]="","",DONNÉES!CF143)</f>
        <v/>
      </c>
      <c r="J147" s="128" t="str">
        <f>IF(TRDR314[[#This Row],[2024]]="","",DONNÉES!CE79)</f>
        <v/>
      </c>
      <c r="K147" s="177" t="str">
        <f>IF(TRDR314[[#This Row],[2024]]="","",DONNÉES!CF79)</f>
        <v/>
      </c>
      <c r="L147" s="128" t="str">
        <f>IF(TRDR314[[#This Row],[2024]]="","",DONNÉES!CE159)</f>
        <v/>
      </c>
      <c r="M147" s="178" t="str">
        <f>IF(TRDR314[[#This Row],[2024]]="","",DONNÉES!CF159)</f>
        <v/>
      </c>
      <c r="N147" s="128" t="str">
        <f>IF(TRDR314[[#This Row],[2024]]="","",DONNÉES!CE95)</f>
        <v/>
      </c>
      <c r="O147" s="177" t="str">
        <f>IF(TRDR314[[#This Row],[2024]]="","",DONNÉES!CF95)</f>
        <v/>
      </c>
      <c r="P147" s="128" t="str">
        <f>IF(TRDR314[[#This Row],[2024]]="","",DONNÉES!CE175)</f>
        <v/>
      </c>
      <c r="Q147" s="179" t="str">
        <f>IF(TRDR314[[#This Row],[2024]]="","",DONNÉES!CF175)</f>
        <v/>
      </c>
      <c r="R147" s="181"/>
      <c r="S147" s="128" t="str">
        <f>IF(TRDR314[[#This Row],[2024]]="","",DONNÉES!CE111)</f>
        <v/>
      </c>
      <c r="T147" s="177" t="str">
        <f>IF(TRDR314[[#This Row],[2024]]="","",DONNÉES!CF111)</f>
        <v/>
      </c>
      <c r="U147" s="128" t="str">
        <f>IF(TRDR314[[#This Row],[2024]]="","",DONNÉES!CE191)</f>
        <v/>
      </c>
      <c r="V147" s="128" t="str">
        <f>IF(TRDR314[[#This Row],[2024]]="","",DONNÉES!CF191)</f>
        <v/>
      </c>
    </row>
    <row r="148" spans="1:22" ht="11.65" customHeight="1" x14ac:dyDescent="0.2">
      <c r="A148" s="169" t="s">
        <v>77</v>
      </c>
      <c r="B148" s="128" t="str">
        <f>IF(DONNÉES!CE48="","",DONNÉES!CE48)</f>
        <v/>
      </c>
      <c r="C148" s="177" t="str">
        <f>IF(TRDR314[[#This Row],[2024]]="","",DONNÉES!CF48)</f>
        <v/>
      </c>
      <c r="D148" s="128" t="str">
        <f>IF(TRDR314[[#This Row],[2024]]="","",DONNÉES!CE128)</f>
        <v/>
      </c>
      <c r="E148" s="178" t="str">
        <f>IF(TRDR314[[#This Row],[2024]]="","",DONNÉES!CF128)</f>
        <v/>
      </c>
      <c r="F148" s="128" t="str">
        <f>IF(TRDR314[[#This Row],[2024]]="","",DONNÉES!CE64)</f>
        <v/>
      </c>
      <c r="G148" s="177" t="str">
        <f>IF(TRDR314[[#This Row],[2024]]="","",DONNÉES!CF64)</f>
        <v/>
      </c>
      <c r="H148" s="128" t="str">
        <f>IF(TRDR314[[#This Row],[2024]]="","",DONNÉES!CE144)</f>
        <v/>
      </c>
      <c r="I148" s="178" t="str">
        <f>IF(TRDR314[[#This Row],[2024]]="","",DONNÉES!CF144)</f>
        <v/>
      </c>
      <c r="J148" s="128" t="str">
        <f>IF(TRDR314[[#This Row],[2024]]="","",DONNÉES!CE80)</f>
        <v/>
      </c>
      <c r="K148" s="177" t="str">
        <f>IF(TRDR314[[#This Row],[2024]]="","",DONNÉES!CF80)</f>
        <v/>
      </c>
      <c r="L148" s="128" t="str">
        <f>IF(TRDR314[[#This Row],[2024]]="","",DONNÉES!CE160)</f>
        <v/>
      </c>
      <c r="M148" s="178" t="str">
        <f>IF(TRDR314[[#This Row],[2024]]="","",DONNÉES!CF160)</f>
        <v/>
      </c>
      <c r="N148" s="128" t="str">
        <f>IF(TRDR314[[#This Row],[2024]]="","",DONNÉES!CE96)</f>
        <v/>
      </c>
      <c r="O148" s="177" t="str">
        <f>IF(TRDR314[[#This Row],[2024]]="","",DONNÉES!CF96)</f>
        <v/>
      </c>
      <c r="P148" s="128" t="str">
        <f>IF(TRDR314[[#This Row],[2024]]="","",DONNÉES!CE176)</f>
        <v/>
      </c>
      <c r="Q148" s="179" t="str">
        <f>IF(TRDR314[[#This Row],[2024]]="","",DONNÉES!CF176)</f>
        <v/>
      </c>
      <c r="R148" s="181"/>
      <c r="S148" s="128" t="str">
        <f>IF(TRDR314[[#This Row],[2024]]="","",DONNÉES!CE112)</f>
        <v/>
      </c>
      <c r="T148" s="177" t="str">
        <f>IF(TRDR314[[#This Row],[2024]]="","",DONNÉES!CF112)</f>
        <v/>
      </c>
      <c r="U148" s="128" t="str">
        <f>IF(TRDR314[[#This Row],[2024]]="","",DONNÉES!CE192)</f>
        <v/>
      </c>
      <c r="V148" s="128" t="str">
        <f>IF(TRDR314[[#This Row],[2024]]="","",DONNÉES!CF192)</f>
        <v/>
      </c>
    </row>
    <row r="149" spans="1:22" ht="11.65" customHeight="1" x14ac:dyDescent="0.2">
      <c r="A149" s="170" t="s">
        <v>78</v>
      </c>
      <c r="B149" s="128" t="str">
        <f>IF(DONNÉES!CE49="","",DONNÉES!CE49)</f>
        <v/>
      </c>
      <c r="C149" s="177" t="str">
        <f>IF(TRDR314[[#This Row],[2024]]="","",DONNÉES!CF49)</f>
        <v/>
      </c>
      <c r="D149" s="128" t="str">
        <f>IF(TRDR314[[#This Row],[2024]]="","",DONNÉES!CE129)</f>
        <v/>
      </c>
      <c r="E149" s="178" t="str">
        <f>IF(TRDR314[[#This Row],[2024]]="","",DONNÉES!CF129)</f>
        <v/>
      </c>
      <c r="F149" s="128" t="str">
        <f>IF(TRDR314[[#This Row],[2024]]="","",DONNÉES!CE65)</f>
        <v/>
      </c>
      <c r="G149" s="177" t="str">
        <f>IF(TRDR314[[#This Row],[2024]]="","",DONNÉES!CF65)</f>
        <v/>
      </c>
      <c r="H149" s="128" t="str">
        <f>IF(TRDR314[[#This Row],[2024]]="","",DONNÉES!CE145)</f>
        <v/>
      </c>
      <c r="I149" s="178" t="str">
        <f>IF(TRDR314[[#This Row],[2024]]="","",DONNÉES!CF145)</f>
        <v/>
      </c>
      <c r="J149" s="128" t="str">
        <f>IF(TRDR314[[#This Row],[2024]]="","",DONNÉES!CE81)</f>
        <v/>
      </c>
      <c r="K149" s="177" t="str">
        <f>IF(TRDR314[[#This Row],[2024]]="","",DONNÉES!CF81)</f>
        <v/>
      </c>
      <c r="L149" s="128" t="str">
        <f>IF(TRDR314[[#This Row],[2024]]="","",DONNÉES!CE161)</f>
        <v/>
      </c>
      <c r="M149" s="178" t="str">
        <f>IF(TRDR314[[#This Row],[2024]]="","",DONNÉES!CF161)</f>
        <v/>
      </c>
      <c r="N149" s="128" t="str">
        <f>IF(TRDR314[[#This Row],[2024]]="","",DONNÉES!CE97)</f>
        <v/>
      </c>
      <c r="O149" s="177" t="str">
        <f>IF(TRDR314[[#This Row],[2024]]="","",DONNÉES!CF97)</f>
        <v/>
      </c>
      <c r="P149" s="128" t="str">
        <f>IF(TRDR314[[#This Row],[2024]]="","",DONNÉES!CE177)</f>
        <v/>
      </c>
      <c r="Q149" s="179" t="str">
        <f>IF(TRDR314[[#This Row],[2024]]="","",DONNÉES!CF177)</f>
        <v/>
      </c>
      <c r="R149" s="181"/>
      <c r="S149" s="128" t="str">
        <f>IF(TRDR314[[#This Row],[2024]]="","",DONNÉES!CE113)</f>
        <v/>
      </c>
      <c r="T149" s="177" t="str">
        <f>IF(TRDR314[[#This Row],[2024]]="","",DONNÉES!CF113)</f>
        <v/>
      </c>
      <c r="U149" s="128" t="str">
        <f>IF(TRDR314[[#This Row],[2024]]="","",DONNÉES!CE193)</f>
        <v/>
      </c>
      <c r="V149" s="128" t="str">
        <f>IF(TRDR314[[#This Row],[2024]]="","",DONNÉES!CF193)</f>
        <v/>
      </c>
    </row>
    <row r="150" spans="1:22" ht="11.65" customHeight="1" x14ac:dyDescent="0.2">
      <c r="A150" s="169" t="s">
        <v>79</v>
      </c>
      <c r="B150" s="128" t="str">
        <f>IF(DONNÉES!CE50="","",DONNÉES!CE50)</f>
        <v/>
      </c>
      <c r="C150" s="177" t="str">
        <f>IF(TRDR314[[#This Row],[2024]]="","",DONNÉES!CF50)</f>
        <v/>
      </c>
      <c r="D150" s="128" t="str">
        <f>IF(TRDR314[[#This Row],[2024]]="","",DONNÉES!CE130)</f>
        <v/>
      </c>
      <c r="E150" s="178" t="str">
        <f>IF(TRDR314[[#This Row],[2024]]="","",DONNÉES!CF130)</f>
        <v/>
      </c>
      <c r="F150" s="128" t="str">
        <f>IF(TRDR314[[#This Row],[2024]]="","",DONNÉES!CE66)</f>
        <v/>
      </c>
      <c r="G150" s="177" t="str">
        <f>IF(TRDR314[[#This Row],[2024]]="","",DONNÉES!CF66)</f>
        <v/>
      </c>
      <c r="H150" s="128" t="str">
        <f>IF(TRDR314[[#This Row],[2024]]="","",DONNÉES!CE146)</f>
        <v/>
      </c>
      <c r="I150" s="178" t="str">
        <f>IF(TRDR314[[#This Row],[2024]]="","",DONNÉES!CF146)</f>
        <v/>
      </c>
      <c r="J150" s="128" t="str">
        <f>IF(TRDR314[[#This Row],[2024]]="","",DONNÉES!CE82)</f>
        <v/>
      </c>
      <c r="K150" s="177" t="str">
        <f>IF(TRDR314[[#This Row],[2024]]="","",DONNÉES!CF82)</f>
        <v/>
      </c>
      <c r="L150" s="128" t="str">
        <f>IF(TRDR314[[#This Row],[2024]]="","",DONNÉES!CE162)</f>
        <v/>
      </c>
      <c r="M150" s="178" t="str">
        <f>IF(TRDR314[[#This Row],[2024]]="","",DONNÉES!CF162)</f>
        <v/>
      </c>
      <c r="N150" s="128" t="str">
        <f>IF(TRDR314[[#This Row],[2024]]="","",DONNÉES!CE98)</f>
        <v/>
      </c>
      <c r="O150" s="177" t="str">
        <f>IF(TRDR314[[#This Row],[2024]]="","",DONNÉES!CF98)</f>
        <v/>
      </c>
      <c r="P150" s="128" t="str">
        <f>IF(TRDR314[[#This Row],[2024]]="","",DONNÉES!CE178)</f>
        <v/>
      </c>
      <c r="Q150" s="179" t="str">
        <f>IF(TRDR314[[#This Row],[2024]]="","",DONNÉES!CF178)</f>
        <v/>
      </c>
      <c r="R150" s="181"/>
      <c r="S150" s="128" t="str">
        <f>IF(TRDR314[[#This Row],[2024]]="","",DONNÉES!CE114)</f>
        <v/>
      </c>
      <c r="T150" s="177" t="str">
        <f>IF(TRDR314[[#This Row],[2024]]="","",DONNÉES!CF114)</f>
        <v/>
      </c>
      <c r="U150" s="128" t="str">
        <f>IF(TRDR314[[#This Row],[2024]]="","",DONNÉES!CE194)</f>
        <v/>
      </c>
      <c r="V150" s="128" t="str">
        <f>IF(TRDR314[[#This Row],[2024]]="","",DONNÉES!CF194)</f>
        <v/>
      </c>
    </row>
    <row r="151" spans="1:22" ht="11.65" customHeight="1" x14ac:dyDescent="0.2">
      <c r="A151" s="170" t="s">
        <v>80</v>
      </c>
      <c r="B151" s="128" t="str">
        <f>IF(DONNÉES!CE51="","",DONNÉES!CE51)</f>
        <v/>
      </c>
      <c r="C151" s="177" t="str">
        <f>IF(TRDR314[[#This Row],[2024]]="","",DONNÉES!CF51)</f>
        <v/>
      </c>
      <c r="D151" s="128" t="str">
        <f>IF(TRDR314[[#This Row],[2024]]="","",DONNÉES!CE131)</f>
        <v/>
      </c>
      <c r="E151" s="178" t="str">
        <f>IF(TRDR314[[#This Row],[2024]]="","",DONNÉES!CF131)</f>
        <v/>
      </c>
      <c r="F151" s="128" t="str">
        <f>IF(TRDR314[[#This Row],[2024]]="","",DONNÉES!CE67)</f>
        <v/>
      </c>
      <c r="G151" s="177" t="str">
        <f>IF(TRDR314[[#This Row],[2024]]="","",DONNÉES!CF67)</f>
        <v/>
      </c>
      <c r="H151" s="128" t="str">
        <f>IF(TRDR314[[#This Row],[2024]]="","",DONNÉES!CE147)</f>
        <v/>
      </c>
      <c r="I151" s="178" t="str">
        <f>IF(TRDR314[[#This Row],[2024]]="","",DONNÉES!CF147)</f>
        <v/>
      </c>
      <c r="J151" s="128" t="str">
        <f>IF(TRDR314[[#This Row],[2024]]="","",DONNÉES!CE83)</f>
        <v/>
      </c>
      <c r="K151" s="177" t="str">
        <f>IF(TRDR314[[#This Row],[2024]]="","",DONNÉES!CF83)</f>
        <v/>
      </c>
      <c r="L151" s="128" t="str">
        <f>IF(TRDR314[[#This Row],[2024]]="","",DONNÉES!CE163)</f>
        <v/>
      </c>
      <c r="M151" s="178" t="str">
        <f>IF(TRDR314[[#This Row],[2024]]="","",DONNÉES!CF163)</f>
        <v/>
      </c>
      <c r="N151" s="128" t="str">
        <f>IF(TRDR314[[#This Row],[2024]]="","",DONNÉES!CE99)</f>
        <v/>
      </c>
      <c r="O151" s="177" t="str">
        <f>IF(TRDR314[[#This Row],[2024]]="","",DONNÉES!CF99)</f>
        <v/>
      </c>
      <c r="P151" s="128" t="str">
        <f>IF(TRDR314[[#This Row],[2024]]="","",DONNÉES!CE179)</f>
        <v/>
      </c>
      <c r="Q151" s="179" t="str">
        <f>IF(TRDR314[[#This Row],[2024]]="","",DONNÉES!CF179)</f>
        <v/>
      </c>
      <c r="R151" s="181"/>
      <c r="S151" s="128" t="str">
        <f>IF(TRDR314[[#This Row],[2024]]="","",DONNÉES!CE115)</f>
        <v/>
      </c>
      <c r="T151" s="177" t="str">
        <f>IF(TRDR314[[#This Row],[2024]]="","",DONNÉES!CF115)</f>
        <v/>
      </c>
      <c r="U151" s="128" t="str">
        <f>IF(TRDR314[[#This Row],[2024]]="","",DONNÉES!CE195)</f>
        <v/>
      </c>
      <c r="V151" s="128" t="str">
        <f>IF(TRDR314[[#This Row],[2024]]="","",DONNÉES!CF195)</f>
        <v/>
      </c>
    </row>
    <row r="152" spans="1:22" ht="11.65" customHeight="1" x14ac:dyDescent="0.2">
      <c r="A152" s="169" t="s">
        <v>81</v>
      </c>
      <c r="B152" s="130" t="str">
        <f>IF(DONNÉES!CE52="","",DONNÉES!CE52)</f>
        <v/>
      </c>
      <c r="C152" s="182" t="str">
        <f>IF(TRDR314[[#This Row],[2024]]="","",DONNÉES!CF52)</f>
        <v/>
      </c>
      <c r="D152" s="130" t="str">
        <f>IF(TRDR314[[#This Row],[2024]]="","",DONNÉES!CE132)</f>
        <v/>
      </c>
      <c r="E152" s="183" t="str">
        <f>IF(TRDR314[[#This Row],[2024]]="","",DONNÉES!CF132)</f>
        <v/>
      </c>
      <c r="F152" s="130" t="str">
        <f>IF(TRDR314[[#This Row],[2024]]="","",DONNÉES!CE68)</f>
        <v/>
      </c>
      <c r="G152" s="182" t="str">
        <f>IF(TRDR314[[#This Row],[2024]]="","",DONNÉES!CF68)</f>
        <v/>
      </c>
      <c r="H152" s="130" t="str">
        <f>IF(TRDR314[[#This Row],[2024]]="","",DONNÉES!CE148)</f>
        <v/>
      </c>
      <c r="I152" s="183" t="str">
        <f>IF(TRDR314[[#This Row],[2024]]="","",DONNÉES!CF148)</f>
        <v/>
      </c>
      <c r="J152" s="130" t="str">
        <f>IF(TRDR314[[#This Row],[2024]]="","",DONNÉES!CE84)</f>
        <v/>
      </c>
      <c r="K152" s="182" t="str">
        <f>IF(TRDR314[[#This Row],[2024]]="","",DONNÉES!CF84)</f>
        <v/>
      </c>
      <c r="L152" s="130" t="str">
        <f>IF(TRDR314[[#This Row],[2024]]="","",DONNÉES!CE164)</f>
        <v/>
      </c>
      <c r="M152" s="183" t="str">
        <f>IF(TRDR314[[#This Row],[2024]]="","",DONNÉES!CF164)</f>
        <v/>
      </c>
      <c r="N152" s="130" t="str">
        <f>IF(TRDR314[[#This Row],[2024]]="","",DONNÉES!CE100)</f>
        <v/>
      </c>
      <c r="O152" s="182" t="str">
        <f>IF(TRDR314[[#This Row],[2024]]="","",DONNÉES!CF100)</f>
        <v/>
      </c>
      <c r="P152" s="130" t="str">
        <f>IF(TRDR314[[#This Row],[2024]]="","",DONNÉES!CE180)</f>
        <v/>
      </c>
      <c r="Q152" s="184" t="str">
        <f>IF(TRDR314[[#This Row],[2024]]="","",DONNÉES!CF180)</f>
        <v/>
      </c>
      <c r="R152" s="185"/>
      <c r="S152" s="130" t="str">
        <f>IF(TRDR314[[#This Row],[2024]]="","",DONNÉES!CE116)</f>
        <v/>
      </c>
      <c r="T152" s="182" t="str">
        <f>IF(TRDR314[[#This Row],[2024]]="","",DONNÉES!CF116)</f>
        <v/>
      </c>
      <c r="U152" s="130" t="str">
        <f>IF(TRDR314[[#This Row],[2024]]="","",DONNÉES!CE196)</f>
        <v/>
      </c>
      <c r="V152" s="130" t="str">
        <f>IF(TRDR314[[#This Row],[2024]]="","",DONNÉES!CF196)</f>
        <v/>
      </c>
    </row>
    <row r="153" spans="1:22" ht="11.65" customHeight="1" x14ac:dyDescent="0.2">
      <c r="A153" s="170" t="s">
        <v>82</v>
      </c>
      <c r="B153" s="130" t="str">
        <f>IF(DONNÉES!CE53="","",DONNÉES!CE53)</f>
        <v/>
      </c>
      <c r="C153" s="182" t="str">
        <f>IF(TRDR314[[#This Row],[2024]]="","",DONNÉES!CF53)</f>
        <v/>
      </c>
      <c r="D153" s="130" t="str">
        <f>IF(TRDR314[[#This Row],[2024]]="","",DONNÉES!CE133)</f>
        <v/>
      </c>
      <c r="E153" s="183" t="str">
        <f>IF(TRDR314[[#This Row],[2024]]="","",DONNÉES!CF133)</f>
        <v/>
      </c>
      <c r="F153" s="130" t="str">
        <f>IF(TRDR314[[#This Row],[2024]]="","",DONNÉES!CE69)</f>
        <v/>
      </c>
      <c r="G153" s="182" t="str">
        <f>IF(TRDR314[[#This Row],[2024]]="","",DONNÉES!CF69)</f>
        <v/>
      </c>
      <c r="H153" s="130" t="str">
        <f>IF(TRDR314[[#This Row],[2024]]="","",DONNÉES!CE149)</f>
        <v/>
      </c>
      <c r="I153" s="183" t="str">
        <f>IF(TRDR314[[#This Row],[2024]]="","",DONNÉES!CF149)</f>
        <v/>
      </c>
      <c r="J153" s="130" t="str">
        <f>IF(TRDR314[[#This Row],[2024]]="","",DONNÉES!CE85)</f>
        <v/>
      </c>
      <c r="K153" s="182" t="str">
        <f>IF(TRDR314[[#This Row],[2024]]="","",DONNÉES!CF85)</f>
        <v/>
      </c>
      <c r="L153" s="130" t="str">
        <f>IF(TRDR314[[#This Row],[2024]]="","",DONNÉES!CE165)</f>
        <v/>
      </c>
      <c r="M153" s="183" t="str">
        <f>IF(TRDR314[[#This Row],[2024]]="","",DONNÉES!CF165)</f>
        <v/>
      </c>
      <c r="N153" s="130" t="str">
        <f>IF(TRDR314[[#This Row],[2024]]="","",DONNÉES!CE101)</f>
        <v/>
      </c>
      <c r="O153" s="182" t="str">
        <f>IF(TRDR314[[#This Row],[2024]]="","",DONNÉES!CF101)</f>
        <v/>
      </c>
      <c r="P153" s="130" t="str">
        <f>IF(TRDR314[[#This Row],[2024]]="","",DONNÉES!CE181)</f>
        <v/>
      </c>
      <c r="Q153" s="184" t="str">
        <f>IF(TRDR314[[#This Row],[2024]]="","",DONNÉES!CF181)</f>
        <v/>
      </c>
      <c r="R153" s="181"/>
      <c r="S153" s="130" t="str">
        <f>IF(TRDR314[[#This Row],[2024]]="","",DONNÉES!CE117)</f>
        <v/>
      </c>
      <c r="T153" s="182" t="str">
        <f>IF(TRDR314[[#This Row],[2024]]="","",DONNÉES!CF117)</f>
        <v/>
      </c>
      <c r="U153" s="130" t="str">
        <f>IF(TRDR314[[#This Row],[2024]]="","",DONNÉES!CE197)</f>
        <v/>
      </c>
      <c r="V153" s="130" t="str">
        <f>IF(TRDR314[[#This Row],[2024]]="","",DONNÉES!CF197)</f>
        <v/>
      </c>
    </row>
    <row r="154" spans="1:22" s="81" customFormat="1" ht="11.65" customHeight="1" x14ac:dyDescent="0.2">
      <c r="A154" s="169" t="s">
        <v>83</v>
      </c>
      <c r="B154" s="130" t="str">
        <f>IF(DONNÉES!CE54="","",DONNÉES!CE54)</f>
        <v/>
      </c>
      <c r="C154" s="182" t="str">
        <f>IF(TRDR314[[#This Row],[2024]]="","",DONNÉES!CF54)</f>
        <v/>
      </c>
      <c r="D154" s="130" t="str">
        <f>IF(TRDR314[[#This Row],[2024]]="","",DONNÉES!CE134)</f>
        <v/>
      </c>
      <c r="E154" s="183" t="str">
        <f>IF(TRDR314[[#This Row],[2024]]="","",DONNÉES!CF134)</f>
        <v/>
      </c>
      <c r="F154" s="130" t="str">
        <f>IF(TRDR314[[#This Row],[2024]]="","",DONNÉES!CE70)</f>
        <v/>
      </c>
      <c r="G154" s="182" t="str">
        <f>IF(TRDR314[[#This Row],[2024]]="","",DONNÉES!CF70)</f>
        <v/>
      </c>
      <c r="H154" s="130" t="str">
        <f>IF(TRDR314[[#This Row],[2024]]="","",DONNÉES!CE150)</f>
        <v/>
      </c>
      <c r="I154" s="183" t="str">
        <f>IF(TRDR314[[#This Row],[2024]]="","",DONNÉES!CF150)</f>
        <v/>
      </c>
      <c r="J154" s="130" t="str">
        <f>IF(TRDR314[[#This Row],[2024]]="","",DONNÉES!CE86)</f>
        <v/>
      </c>
      <c r="K154" s="182" t="str">
        <f>IF(TRDR314[[#This Row],[2024]]="","",DONNÉES!CF86)</f>
        <v/>
      </c>
      <c r="L154" s="130" t="str">
        <f>IF(TRDR314[[#This Row],[2024]]="","",DONNÉES!CE166)</f>
        <v/>
      </c>
      <c r="M154" s="183" t="str">
        <f>IF(TRDR314[[#This Row],[2024]]="","",DONNÉES!CF166)</f>
        <v/>
      </c>
      <c r="N154" s="130" t="str">
        <f>IF(TRDR314[[#This Row],[2024]]="","",DONNÉES!CE102)</f>
        <v/>
      </c>
      <c r="O154" s="182" t="str">
        <f>IF(TRDR314[[#This Row],[2024]]="","",DONNÉES!CF102)</f>
        <v/>
      </c>
      <c r="P154" s="130" t="str">
        <f>IF(TRDR314[[#This Row],[2024]]="","",DONNÉES!CE182)</f>
        <v/>
      </c>
      <c r="Q154" s="184" t="str">
        <f>IF(TRDR314[[#This Row],[2024]]="","",DONNÉES!CF182)</f>
        <v/>
      </c>
      <c r="R154" s="180"/>
      <c r="S154" s="130" t="str">
        <f>IF(TRDR314[[#This Row],[2024]]="","",DONNÉES!CE118)</f>
        <v/>
      </c>
      <c r="T154" s="182" t="str">
        <f>IF(TRDR314[[#This Row],[2024]]="","",DONNÉES!CF118)</f>
        <v/>
      </c>
      <c r="U154" s="130" t="str">
        <f>IF(TRDR314[[#This Row],[2024]]="","",DONNÉES!CE198)</f>
        <v/>
      </c>
      <c r="V154" s="130" t="str">
        <f>IF(TRDR314[[#This Row],[2024]]="","",DONNÉES!CF198)</f>
        <v/>
      </c>
    </row>
    <row r="155" spans="1:22" s="81" customFormat="1" ht="11.65" customHeight="1" x14ac:dyDescent="0.2">
      <c r="A155" s="169" t="s">
        <v>84</v>
      </c>
      <c r="B155" s="130" t="str">
        <f>IF(DONNÉES!CE55="","",DONNÉES!CE55)</f>
        <v/>
      </c>
      <c r="C155" s="182" t="str">
        <f>IF(TRDR314[[#This Row],[2024]]="","",DONNÉES!CF55)</f>
        <v/>
      </c>
      <c r="D155" s="130" t="str">
        <f>IF(TRDR314[[#This Row],[2024]]="","",DONNÉES!CE135)</f>
        <v/>
      </c>
      <c r="E155" s="183" t="str">
        <f>IF(TRDR314[[#This Row],[2024]]="","",DONNÉES!CF135)</f>
        <v/>
      </c>
      <c r="F155" s="130" t="str">
        <f>IF(TRDR314[[#This Row],[2024]]="","",DONNÉES!CE71)</f>
        <v/>
      </c>
      <c r="G155" s="182" t="str">
        <f>IF(TRDR314[[#This Row],[2024]]="","",DONNÉES!CF71)</f>
        <v/>
      </c>
      <c r="H155" s="130" t="str">
        <f>IF(TRDR314[[#This Row],[2024]]="","",DONNÉES!CE151)</f>
        <v/>
      </c>
      <c r="I155" s="183" t="str">
        <f>IF(TRDR314[[#This Row],[2024]]="","",DONNÉES!CF151)</f>
        <v/>
      </c>
      <c r="J155" s="130" t="str">
        <f>IF(TRDR314[[#This Row],[2024]]="","",DONNÉES!CE87)</f>
        <v/>
      </c>
      <c r="K155" s="182" t="str">
        <f>IF(TRDR314[[#This Row],[2024]]="","",DONNÉES!CF87)</f>
        <v/>
      </c>
      <c r="L155" s="130" t="str">
        <f>IF(TRDR314[[#This Row],[2024]]="","",DONNÉES!CE167)</f>
        <v/>
      </c>
      <c r="M155" s="183" t="str">
        <f>IF(TRDR314[[#This Row],[2024]]="","",DONNÉES!CF167)</f>
        <v/>
      </c>
      <c r="N155" s="130" t="str">
        <f>IF(TRDR314[[#This Row],[2024]]="","",DONNÉES!CE103)</f>
        <v/>
      </c>
      <c r="O155" s="182" t="str">
        <f>IF(TRDR314[[#This Row],[2024]]="","",DONNÉES!CF103)</f>
        <v/>
      </c>
      <c r="P155" s="130" t="str">
        <f>IF(TRDR314[[#This Row],[2024]]="","",DONNÉES!CE183)</f>
        <v/>
      </c>
      <c r="Q155" s="184" t="str">
        <f>IF(TRDR314[[#This Row],[2024]]="","",DONNÉES!CF183)</f>
        <v/>
      </c>
      <c r="R155" s="180"/>
      <c r="S155" s="130" t="str">
        <f>IF(TRDR314[[#This Row],[2024]]="","",DONNÉES!CE119)</f>
        <v/>
      </c>
      <c r="T155" s="182" t="str">
        <f>IF(TRDR314[[#This Row],[2024]]="","",DONNÉES!CF119)</f>
        <v/>
      </c>
      <c r="U155" s="130" t="str">
        <f>IF(TRDR314[[#This Row],[2024]]="","",DONNÉES!CE199)</f>
        <v/>
      </c>
      <c r="V155" s="130" t="str">
        <f>IF(TRDR314[[#This Row],[2024]]="","",DONNÉES!CF199)</f>
        <v/>
      </c>
    </row>
    <row r="156" spans="1:22" s="81" customFormat="1" ht="11.65" customHeight="1" x14ac:dyDescent="0.2">
      <c r="A156" s="79"/>
      <c r="B156" s="112"/>
      <c r="C156" s="112"/>
      <c r="D156" s="101"/>
      <c r="E156" s="112"/>
      <c r="F156" s="112"/>
      <c r="G156" s="118"/>
      <c r="H156" s="79"/>
      <c r="I156" s="82"/>
      <c r="J156" s="112"/>
      <c r="K156" s="112"/>
      <c r="L156" s="101"/>
      <c r="M156" s="118"/>
      <c r="N156" s="79"/>
      <c r="O156" s="79"/>
      <c r="P156" s="79"/>
      <c r="Q156" s="79"/>
      <c r="R156" s="180"/>
      <c r="S156" s="79"/>
      <c r="T156" s="79"/>
      <c r="U156" s="79"/>
      <c r="V156" s="79"/>
    </row>
    <row r="157" spans="1:22" ht="14.65" customHeight="1" x14ac:dyDescent="0.2">
      <c r="A157" s="256"/>
      <c r="B157" s="336" t="s">
        <v>195</v>
      </c>
      <c r="C157" s="336"/>
      <c r="D157" s="336"/>
      <c r="E157" s="339"/>
      <c r="F157" s="336" t="s">
        <v>196</v>
      </c>
      <c r="G157" s="336"/>
      <c r="H157" s="336"/>
      <c r="I157" s="339"/>
      <c r="J157" s="336" t="s">
        <v>198</v>
      </c>
      <c r="K157" s="336"/>
      <c r="L157" s="336"/>
      <c r="M157" s="339"/>
      <c r="N157" s="336" t="s">
        <v>199</v>
      </c>
      <c r="O157" s="336"/>
      <c r="P157" s="336"/>
      <c r="Q157" s="336"/>
      <c r="S157" s="336" t="s">
        <v>197</v>
      </c>
      <c r="T157" s="336"/>
      <c r="U157" s="336"/>
      <c r="V157" s="336"/>
    </row>
    <row r="158" spans="1:22" ht="28.9" customHeight="1" x14ac:dyDescent="0.2">
      <c r="A158" s="169" t="s">
        <v>294</v>
      </c>
      <c r="B158" s="108" t="s">
        <v>6962</v>
      </c>
      <c r="C158" s="166" t="s">
        <v>2169</v>
      </c>
      <c r="D158" s="108" t="s">
        <v>6986</v>
      </c>
      <c r="E158" s="172" t="s">
        <v>6944</v>
      </c>
      <c r="F158" s="211" t="s">
        <v>6987</v>
      </c>
      <c r="G158" s="166" t="s">
        <v>6945</v>
      </c>
      <c r="H158" s="108" t="s">
        <v>6988</v>
      </c>
      <c r="I158" s="172" t="s">
        <v>6946</v>
      </c>
      <c r="J158" s="108" t="s">
        <v>6989</v>
      </c>
      <c r="K158" s="166" t="s">
        <v>6947</v>
      </c>
      <c r="L158" s="108" t="s">
        <v>6990</v>
      </c>
      <c r="M158" s="172" t="s">
        <v>6948</v>
      </c>
      <c r="N158" s="108" t="s">
        <v>6991</v>
      </c>
      <c r="O158" s="166" t="s">
        <v>6949</v>
      </c>
      <c r="P158" s="108" t="s">
        <v>6992</v>
      </c>
      <c r="Q158" s="94" t="s">
        <v>6950</v>
      </c>
      <c r="S158" s="108" t="s">
        <v>6962</v>
      </c>
      <c r="T158" s="166" t="s">
        <v>2169</v>
      </c>
      <c r="U158" s="108" t="s">
        <v>6986</v>
      </c>
      <c r="V158" s="172" t="s">
        <v>6944</v>
      </c>
    </row>
    <row r="159" spans="1:22" ht="11.65" customHeight="1" x14ac:dyDescent="0.2">
      <c r="A159" s="170" t="s">
        <v>73</v>
      </c>
      <c r="B159" s="128">
        <f>IF(DONNÉES!CM44="","",DONNÉES!CM44)</f>
        <v>2228</v>
      </c>
      <c r="C159" s="177">
        <f>IF(TRDLYSE[[#This Row],[2024]]="","",DONNÉES!CN44)</f>
        <v>2225</v>
      </c>
      <c r="D159" s="128">
        <f>IF(TRDLYSE[[#This Row],[2024]]="","",DONNÉES!CM124)</f>
        <v>2228</v>
      </c>
      <c r="E159" s="178">
        <f>IF(TRDLYSE[[#This Row],[2024]]="","",DONNÉES!CN124)</f>
        <v>2225</v>
      </c>
      <c r="F159" s="128">
        <f>IF(TRDLYSE[[#This Row],[2024]]="","",DONNÉES!CM60)</f>
        <v>4129</v>
      </c>
      <c r="G159" s="177">
        <f>IF(TRDLYSE[[#This Row],[2024]]="","",DONNÉES!CN60)</f>
        <v>2857</v>
      </c>
      <c r="H159" s="128">
        <f>IF(TRDLYSE[[#This Row],[2024]]="","",DONNÉES!CM140)</f>
        <v>4129</v>
      </c>
      <c r="I159" s="178">
        <f>IF(TRDLYSE[[#This Row],[2024]]="","",DONNÉES!CN140)</f>
        <v>2857</v>
      </c>
      <c r="J159" s="128">
        <f>IF(TRDLYSE[[#This Row],[2024]]="","",DONNÉES!CM76)</f>
        <v>7040</v>
      </c>
      <c r="K159" s="177">
        <f>IF(TRDLYSE[[#This Row],[2024]]="","",DONNÉES!CN76)</f>
        <v>6607</v>
      </c>
      <c r="L159" s="128">
        <f>IF(TRDLYSE[[#This Row],[2024]]="","",DONNÉES!CM156)</f>
        <v>7040</v>
      </c>
      <c r="M159" s="178">
        <f>IF(TRDLYSE[[#This Row],[2024]]="","",DONNÉES!CN156)</f>
        <v>6607</v>
      </c>
      <c r="N159" s="128">
        <f>IF(TRDLYSE[[#This Row],[2024]]="","",DONNÉES!CM92)</f>
        <v>8196</v>
      </c>
      <c r="O159" s="177">
        <f>IF(TRDLYSE[[#This Row],[2024]]="","",DONNÉES!CN92)</f>
        <v>7000</v>
      </c>
      <c r="P159" s="128">
        <f>IF(TRDLYSE[[#This Row],[2024]]="","",DONNÉES!CM172)</f>
        <v>8196</v>
      </c>
      <c r="Q159" s="179">
        <f>IF(TRDLYSE[[#This Row],[2024]]="","",DONNÉES!CN172)</f>
        <v>7000</v>
      </c>
      <c r="S159" s="128">
        <f>IF(TRDLYSE[[#This Row],[2024]]="","",DONNÉES!CM108)</f>
        <v>21593</v>
      </c>
      <c r="T159" s="177">
        <f>IF(TRDLYSE[[#This Row],[2024]]="","",DONNÉES!CN108)</f>
        <v>18689</v>
      </c>
      <c r="U159" s="128">
        <f>IF(TRDLYSE[[#This Row],[2024]]="","",DONNÉES!CM188)</f>
        <v>21593</v>
      </c>
      <c r="V159" s="128">
        <f>IF(TRDLYSE[[#This Row],[2024]]="","",DONNÉES!CN188)</f>
        <v>18689</v>
      </c>
    </row>
    <row r="160" spans="1:22" s="81" customFormat="1" ht="11.65" customHeight="1" x14ac:dyDescent="0.2">
      <c r="A160" s="170" t="s">
        <v>74</v>
      </c>
      <c r="B160" s="128" t="str">
        <f>IF(DONNÉES!CM45="","",DONNÉES!CM45)</f>
        <v/>
      </c>
      <c r="C160" s="177" t="str">
        <f>IF(TRDLYSE[[#This Row],[2024]]="","",DONNÉES!CN45)</f>
        <v/>
      </c>
      <c r="D160" s="128" t="str">
        <f>IF(TRDLYSE[[#This Row],[2024]]="","",DONNÉES!CM125)</f>
        <v/>
      </c>
      <c r="E160" s="178" t="str">
        <f>IF(TRDLYSE[[#This Row],[2024]]="","",DONNÉES!CN125)</f>
        <v/>
      </c>
      <c r="F160" s="128" t="str">
        <f>IF(TRDLYSE[[#This Row],[2024]]="","",DONNÉES!CM61)</f>
        <v/>
      </c>
      <c r="G160" s="177" t="str">
        <f>IF(TRDLYSE[[#This Row],[2024]]="","",DONNÉES!CN61)</f>
        <v/>
      </c>
      <c r="H160" s="128" t="str">
        <f>IF(TRDLYSE[[#This Row],[2024]]="","",DONNÉES!CM141)</f>
        <v/>
      </c>
      <c r="I160" s="178" t="str">
        <f>IF(TRDLYSE[[#This Row],[2024]]="","",DONNÉES!CN141)</f>
        <v/>
      </c>
      <c r="J160" s="128" t="str">
        <f>IF(TRDLYSE[[#This Row],[2024]]="","",DONNÉES!CM77)</f>
        <v/>
      </c>
      <c r="K160" s="177" t="str">
        <f>IF(TRDLYSE[[#This Row],[2024]]="","",DONNÉES!CN77)</f>
        <v/>
      </c>
      <c r="L160" s="128" t="str">
        <f>IF(TRDLYSE[[#This Row],[2024]]="","",DONNÉES!CM157)</f>
        <v/>
      </c>
      <c r="M160" s="178" t="str">
        <f>IF(TRDLYSE[[#This Row],[2024]]="","",DONNÉES!CN157)</f>
        <v/>
      </c>
      <c r="N160" s="128" t="str">
        <f>IF(TRDLYSE[[#This Row],[2024]]="","",DONNÉES!CM93)</f>
        <v/>
      </c>
      <c r="O160" s="177" t="str">
        <f>IF(TRDLYSE[[#This Row],[2024]]="","",DONNÉES!CN93)</f>
        <v/>
      </c>
      <c r="P160" s="128" t="str">
        <f>IF(TRDLYSE[[#This Row],[2024]]="","",DONNÉES!CM173)</f>
        <v/>
      </c>
      <c r="Q160" s="179" t="str">
        <f>IF(TRDLYSE[[#This Row],[2024]]="","",DONNÉES!CN173)</f>
        <v/>
      </c>
      <c r="R160" s="180"/>
      <c r="S160" s="128" t="str">
        <f>IF(TRDLYSE[[#This Row],[2024]]="","",DONNÉES!CM109)</f>
        <v/>
      </c>
      <c r="T160" s="177" t="str">
        <f>IF(TRDLYSE[[#This Row],[2024]]="","",DONNÉES!CN109)</f>
        <v/>
      </c>
      <c r="U160" s="128" t="str">
        <f>IF(TRDLYSE[[#This Row],[2024]]="","",DONNÉES!CM189)</f>
        <v/>
      </c>
      <c r="V160" s="128" t="str">
        <f>IF(TRDLYSE[[#This Row],[2024]]="","",DONNÉES!CN189)</f>
        <v/>
      </c>
    </row>
    <row r="161" spans="1:22" s="81" customFormat="1" ht="11.65" customHeight="1" x14ac:dyDescent="0.2">
      <c r="A161" s="169" t="s">
        <v>75</v>
      </c>
      <c r="B161" s="128" t="str">
        <f>IF(DONNÉES!CM46="","",DONNÉES!CM46)</f>
        <v/>
      </c>
      <c r="C161" s="177" t="str">
        <f>IF(TRDLYSE[[#This Row],[2024]]="","",DONNÉES!CN46)</f>
        <v/>
      </c>
      <c r="D161" s="128" t="str">
        <f>IF(TRDLYSE[[#This Row],[2024]]="","",DONNÉES!CM126)</f>
        <v/>
      </c>
      <c r="E161" s="178" t="str">
        <f>IF(TRDLYSE[[#This Row],[2024]]="","",DONNÉES!CN126)</f>
        <v/>
      </c>
      <c r="F161" s="128" t="str">
        <f>IF(TRDLYSE[[#This Row],[2024]]="","",DONNÉES!CM62)</f>
        <v/>
      </c>
      <c r="G161" s="177" t="str">
        <f>IF(TRDLYSE[[#This Row],[2024]]="","",DONNÉES!CN62)</f>
        <v/>
      </c>
      <c r="H161" s="128" t="str">
        <f>IF(TRDLYSE[[#This Row],[2024]]="","",DONNÉES!CM142)</f>
        <v/>
      </c>
      <c r="I161" s="178" t="str">
        <f>IF(TRDLYSE[[#This Row],[2024]]="","",DONNÉES!CN142)</f>
        <v/>
      </c>
      <c r="J161" s="128" t="str">
        <f>IF(TRDLYSE[[#This Row],[2024]]="","",DONNÉES!CM78)</f>
        <v/>
      </c>
      <c r="K161" s="177" t="str">
        <f>IF(TRDLYSE[[#This Row],[2024]]="","",DONNÉES!CN78)</f>
        <v/>
      </c>
      <c r="L161" s="128" t="str">
        <f>IF(TRDLYSE[[#This Row],[2024]]="","",DONNÉES!CM158)</f>
        <v/>
      </c>
      <c r="M161" s="178" t="str">
        <f>IF(TRDLYSE[[#This Row],[2024]]="","",DONNÉES!CN158)</f>
        <v/>
      </c>
      <c r="N161" s="128" t="str">
        <f>IF(TRDLYSE[[#This Row],[2024]]="","",DONNÉES!CM94)</f>
        <v/>
      </c>
      <c r="O161" s="177" t="str">
        <f>IF(TRDLYSE[[#This Row],[2024]]="","",DONNÉES!CN94)</f>
        <v/>
      </c>
      <c r="P161" s="128" t="str">
        <f>IF(TRDLYSE[[#This Row],[2024]]="","",DONNÉES!CM174)</f>
        <v/>
      </c>
      <c r="Q161" s="179" t="str">
        <f>IF(TRDLYSE[[#This Row],[2024]]="","",DONNÉES!CN174)</f>
        <v/>
      </c>
      <c r="R161" s="180"/>
      <c r="S161" s="128" t="str">
        <f>IF(TRDLYSE[[#This Row],[2024]]="","",DONNÉES!CM110)</f>
        <v/>
      </c>
      <c r="T161" s="177" t="str">
        <f>IF(TRDLYSE[[#This Row],[2024]]="","",DONNÉES!CN110)</f>
        <v/>
      </c>
      <c r="U161" s="128" t="str">
        <f>IF(TRDLYSE[[#This Row],[2024]]="","",DONNÉES!CM190)</f>
        <v/>
      </c>
      <c r="V161" s="128" t="str">
        <f>IF(TRDLYSE[[#This Row],[2024]]="","",DONNÉES!CN190)</f>
        <v/>
      </c>
    </row>
    <row r="162" spans="1:22" s="81" customFormat="1" ht="11.65" customHeight="1" x14ac:dyDescent="0.2">
      <c r="A162" s="170" t="s">
        <v>76</v>
      </c>
      <c r="B162" s="128" t="str">
        <f>IF(DONNÉES!CM47="","",DONNÉES!CM47)</f>
        <v/>
      </c>
      <c r="C162" s="177" t="str">
        <f>IF(TRDLYSE[[#This Row],[2024]]="","",DONNÉES!CN47)</f>
        <v/>
      </c>
      <c r="D162" s="128" t="str">
        <f>IF(TRDLYSE[[#This Row],[2024]]="","",DONNÉES!CM127)</f>
        <v/>
      </c>
      <c r="E162" s="178" t="str">
        <f>IF(TRDLYSE[[#This Row],[2024]]="","",DONNÉES!CN127)</f>
        <v/>
      </c>
      <c r="F162" s="128" t="str">
        <f>IF(TRDLYSE[[#This Row],[2024]]="","",DONNÉES!CM63)</f>
        <v/>
      </c>
      <c r="G162" s="177" t="str">
        <f>IF(TRDLYSE[[#This Row],[2024]]="","",DONNÉES!CN63)</f>
        <v/>
      </c>
      <c r="H162" s="128" t="str">
        <f>IF(TRDLYSE[[#This Row],[2024]]="","",DONNÉES!CM143)</f>
        <v/>
      </c>
      <c r="I162" s="178" t="str">
        <f>IF(TRDLYSE[[#This Row],[2024]]="","",DONNÉES!CN143)</f>
        <v/>
      </c>
      <c r="J162" s="128" t="str">
        <f>IF(TRDLYSE[[#This Row],[2024]]="","",DONNÉES!CM79)</f>
        <v/>
      </c>
      <c r="K162" s="177" t="str">
        <f>IF(TRDLYSE[[#This Row],[2024]]="","",DONNÉES!CN79)</f>
        <v/>
      </c>
      <c r="L162" s="128" t="str">
        <f>IF(TRDLYSE[[#This Row],[2024]]="","",DONNÉES!CM159)</f>
        <v/>
      </c>
      <c r="M162" s="178" t="str">
        <f>IF(TRDLYSE[[#This Row],[2024]]="","",DONNÉES!CN159)</f>
        <v/>
      </c>
      <c r="N162" s="128" t="str">
        <f>IF(TRDLYSE[[#This Row],[2024]]="","",DONNÉES!CM95)</f>
        <v/>
      </c>
      <c r="O162" s="177" t="str">
        <f>IF(TRDLYSE[[#This Row],[2024]]="","",DONNÉES!CN95)</f>
        <v/>
      </c>
      <c r="P162" s="128" t="str">
        <f>IF(TRDLYSE[[#This Row],[2024]]="","",DONNÉES!CM175)</f>
        <v/>
      </c>
      <c r="Q162" s="179" t="str">
        <f>IF(TRDLYSE[[#This Row],[2024]]="","",DONNÉES!CN175)</f>
        <v/>
      </c>
      <c r="R162" s="180"/>
      <c r="S162" s="128" t="str">
        <f>IF(TRDLYSE[[#This Row],[2024]]="","",DONNÉES!CM111)</f>
        <v/>
      </c>
      <c r="T162" s="177" t="str">
        <f>IF(TRDLYSE[[#This Row],[2024]]="","",DONNÉES!CN111)</f>
        <v/>
      </c>
      <c r="U162" s="128" t="str">
        <f>IF(TRDLYSE[[#This Row],[2024]]="","",DONNÉES!CM191)</f>
        <v/>
      </c>
      <c r="V162" s="128" t="str">
        <f>IF(TRDLYSE[[#This Row],[2024]]="","",DONNÉES!CN191)</f>
        <v/>
      </c>
    </row>
    <row r="163" spans="1:22" ht="11.65" customHeight="1" x14ac:dyDescent="0.2">
      <c r="A163" s="169" t="s">
        <v>77</v>
      </c>
      <c r="B163" s="128" t="str">
        <f>IF(DONNÉES!CM48="","",DONNÉES!CM48)</f>
        <v/>
      </c>
      <c r="C163" s="177" t="str">
        <f>IF(TRDLYSE[[#This Row],[2024]]="","",DONNÉES!CN48)</f>
        <v/>
      </c>
      <c r="D163" s="128" t="str">
        <f>IF(TRDLYSE[[#This Row],[2024]]="","",DONNÉES!CM128)</f>
        <v/>
      </c>
      <c r="E163" s="178" t="str">
        <f>IF(TRDLYSE[[#This Row],[2024]]="","",DONNÉES!CN128)</f>
        <v/>
      </c>
      <c r="F163" s="128" t="str">
        <f>IF(TRDLYSE[[#This Row],[2024]]="","",DONNÉES!CM64)</f>
        <v/>
      </c>
      <c r="G163" s="177" t="str">
        <f>IF(TRDLYSE[[#This Row],[2024]]="","",DONNÉES!CN64)</f>
        <v/>
      </c>
      <c r="H163" s="128" t="str">
        <f>IF(TRDLYSE[[#This Row],[2024]]="","",DONNÉES!CM144)</f>
        <v/>
      </c>
      <c r="I163" s="178" t="str">
        <f>IF(TRDLYSE[[#This Row],[2024]]="","",DONNÉES!CN144)</f>
        <v/>
      </c>
      <c r="J163" s="128" t="str">
        <f>IF(TRDLYSE[[#This Row],[2024]]="","",DONNÉES!CM80)</f>
        <v/>
      </c>
      <c r="K163" s="177" t="str">
        <f>IF(TRDLYSE[[#This Row],[2024]]="","",DONNÉES!CN80)</f>
        <v/>
      </c>
      <c r="L163" s="128" t="str">
        <f>IF(TRDLYSE[[#This Row],[2024]]="","",DONNÉES!CM160)</f>
        <v/>
      </c>
      <c r="M163" s="178" t="str">
        <f>IF(TRDLYSE[[#This Row],[2024]]="","",DONNÉES!CN160)</f>
        <v/>
      </c>
      <c r="N163" s="128" t="str">
        <f>IF(TRDLYSE[[#This Row],[2024]]="","",DONNÉES!CM96)</f>
        <v/>
      </c>
      <c r="O163" s="177" t="str">
        <f>IF(TRDLYSE[[#This Row],[2024]]="","",DONNÉES!CN96)</f>
        <v/>
      </c>
      <c r="P163" s="128" t="str">
        <f>IF(TRDLYSE[[#This Row],[2024]]="","",DONNÉES!CM176)</f>
        <v/>
      </c>
      <c r="Q163" s="179" t="str">
        <f>IF(TRDLYSE[[#This Row],[2024]]="","",DONNÉES!CN176)</f>
        <v/>
      </c>
      <c r="R163" s="181"/>
      <c r="S163" s="128" t="str">
        <f>IF(TRDLYSE[[#This Row],[2024]]="","",DONNÉES!CM112)</f>
        <v/>
      </c>
      <c r="T163" s="177" t="str">
        <f>IF(TRDLYSE[[#This Row],[2024]]="","",DONNÉES!CN112)</f>
        <v/>
      </c>
      <c r="U163" s="128" t="str">
        <f>IF(TRDLYSE[[#This Row],[2024]]="","",DONNÉES!CM192)</f>
        <v/>
      </c>
      <c r="V163" s="128" t="str">
        <f>IF(TRDLYSE[[#This Row],[2024]]="","",DONNÉES!CN192)</f>
        <v/>
      </c>
    </row>
    <row r="164" spans="1:22" ht="11.65" customHeight="1" x14ac:dyDescent="0.2">
      <c r="A164" s="170" t="s">
        <v>78</v>
      </c>
      <c r="B164" s="128" t="str">
        <f>IF(DONNÉES!CM49="","",DONNÉES!CM49)</f>
        <v/>
      </c>
      <c r="C164" s="177" t="str">
        <f>IF(TRDLYSE[[#This Row],[2024]]="","",DONNÉES!CN49)</f>
        <v/>
      </c>
      <c r="D164" s="128" t="str">
        <f>IF(TRDLYSE[[#This Row],[2024]]="","",DONNÉES!CM129)</f>
        <v/>
      </c>
      <c r="E164" s="178" t="str">
        <f>IF(TRDLYSE[[#This Row],[2024]]="","",DONNÉES!CN129)</f>
        <v/>
      </c>
      <c r="F164" s="128" t="str">
        <f>IF(TRDLYSE[[#This Row],[2024]]="","",DONNÉES!CM65)</f>
        <v/>
      </c>
      <c r="G164" s="177" t="str">
        <f>IF(TRDLYSE[[#This Row],[2024]]="","",DONNÉES!CN65)</f>
        <v/>
      </c>
      <c r="H164" s="128" t="str">
        <f>IF(TRDLYSE[[#This Row],[2024]]="","",DONNÉES!CM145)</f>
        <v/>
      </c>
      <c r="I164" s="178" t="str">
        <f>IF(TRDLYSE[[#This Row],[2024]]="","",DONNÉES!CN145)</f>
        <v/>
      </c>
      <c r="J164" s="128" t="str">
        <f>IF(TRDLYSE[[#This Row],[2024]]="","",DONNÉES!CM81)</f>
        <v/>
      </c>
      <c r="K164" s="177" t="str">
        <f>IF(TRDLYSE[[#This Row],[2024]]="","",DONNÉES!CN81)</f>
        <v/>
      </c>
      <c r="L164" s="128" t="str">
        <f>IF(TRDLYSE[[#This Row],[2024]]="","",DONNÉES!CM161)</f>
        <v/>
      </c>
      <c r="M164" s="178" t="str">
        <f>IF(TRDLYSE[[#This Row],[2024]]="","",DONNÉES!CN161)</f>
        <v/>
      </c>
      <c r="N164" s="128" t="str">
        <f>IF(TRDLYSE[[#This Row],[2024]]="","",DONNÉES!CM97)</f>
        <v/>
      </c>
      <c r="O164" s="177" t="str">
        <f>IF(TRDLYSE[[#This Row],[2024]]="","",DONNÉES!CN97)</f>
        <v/>
      </c>
      <c r="P164" s="128" t="str">
        <f>IF(TRDLYSE[[#This Row],[2024]]="","",DONNÉES!CM177)</f>
        <v/>
      </c>
      <c r="Q164" s="179" t="str">
        <f>IF(TRDLYSE[[#This Row],[2024]]="","",DONNÉES!CN177)</f>
        <v/>
      </c>
      <c r="R164" s="181"/>
      <c r="S164" s="128" t="str">
        <f>IF(TRDLYSE[[#This Row],[2024]]="","",DONNÉES!CM113)</f>
        <v/>
      </c>
      <c r="T164" s="177" t="str">
        <f>IF(TRDLYSE[[#This Row],[2024]]="","",DONNÉES!CN113)</f>
        <v/>
      </c>
      <c r="U164" s="128" t="str">
        <f>IF(TRDLYSE[[#This Row],[2024]]="","",DONNÉES!CM193)</f>
        <v/>
      </c>
      <c r="V164" s="128" t="str">
        <f>IF(TRDLYSE[[#This Row],[2024]]="","",DONNÉES!CN193)</f>
        <v/>
      </c>
    </row>
    <row r="165" spans="1:22" ht="11.65" customHeight="1" x14ac:dyDescent="0.2">
      <c r="A165" s="169" t="s">
        <v>79</v>
      </c>
      <c r="B165" s="128" t="str">
        <f>IF(DONNÉES!CM50="","",DONNÉES!CM50)</f>
        <v/>
      </c>
      <c r="C165" s="177" t="str">
        <f>IF(TRDLYSE[[#This Row],[2024]]="","",DONNÉES!CN50)</f>
        <v/>
      </c>
      <c r="D165" s="128" t="str">
        <f>IF(TRDLYSE[[#This Row],[2024]]="","",DONNÉES!CM130)</f>
        <v/>
      </c>
      <c r="E165" s="178" t="str">
        <f>IF(TRDLYSE[[#This Row],[2024]]="","",DONNÉES!CN130)</f>
        <v/>
      </c>
      <c r="F165" s="128" t="str">
        <f>IF(TRDLYSE[[#This Row],[2024]]="","",DONNÉES!CM66)</f>
        <v/>
      </c>
      <c r="G165" s="177" t="str">
        <f>IF(TRDLYSE[[#This Row],[2024]]="","",DONNÉES!CN66)</f>
        <v/>
      </c>
      <c r="H165" s="128" t="str">
        <f>IF(TRDLYSE[[#This Row],[2024]]="","",DONNÉES!CM146)</f>
        <v/>
      </c>
      <c r="I165" s="178" t="str">
        <f>IF(TRDLYSE[[#This Row],[2024]]="","",DONNÉES!CN146)</f>
        <v/>
      </c>
      <c r="J165" s="128" t="str">
        <f>IF(TRDLYSE[[#This Row],[2024]]="","",DONNÉES!CM82)</f>
        <v/>
      </c>
      <c r="K165" s="177" t="str">
        <f>IF(TRDLYSE[[#This Row],[2024]]="","",DONNÉES!CN82)</f>
        <v/>
      </c>
      <c r="L165" s="128" t="str">
        <f>IF(TRDLYSE[[#This Row],[2024]]="","",DONNÉES!CM162)</f>
        <v/>
      </c>
      <c r="M165" s="178" t="str">
        <f>IF(TRDLYSE[[#This Row],[2024]]="","",DONNÉES!CN162)</f>
        <v/>
      </c>
      <c r="N165" s="128" t="str">
        <f>IF(TRDLYSE[[#This Row],[2024]]="","",DONNÉES!CM98)</f>
        <v/>
      </c>
      <c r="O165" s="177" t="str">
        <f>IF(TRDLYSE[[#This Row],[2024]]="","",DONNÉES!CN98)</f>
        <v/>
      </c>
      <c r="P165" s="128" t="str">
        <f>IF(TRDLYSE[[#This Row],[2024]]="","",DONNÉES!CM178)</f>
        <v/>
      </c>
      <c r="Q165" s="179" t="str">
        <f>IF(TRDLYSE[[#This Row],[2024]]="","",DONNÉES!CN178)</f>
        <v/>
      </c>
      <c r="R165" s="181"/>
      <c r="S165" s="128" t="str">
        <f>IF(TRDLYSE[[#This Row],[2024]]="","",DONNÉES!CM114)</f>
        <v/>
      </c>
      <c r="T165" s="177" t="str">
        <f>IF(TRDLYSE[[#This Row],[2024]]="","",DONNÉES!CN114)</f>
        <v/>
      </c>
      <c r="U165" s="128" t="str">
        <f>IF(TRDLYSE[[#This Row],[2024]]="","",DONNÉES!CM194)</f>
        <v/>
      </c>
      <c r="V165" s="128" t="str">
        <f>IF(TRDLYSE[[#This Row],[2024]]="","",DONNÉES!CN194)</f>
        <v/>
      </c>
    </row>
    <row r="166" spans="1:22" ht="11.65" customHeight="1" x14ac:dyDescent="0.2">
      <c r="A166" s="170" t="s">
        <v>80</v>
      </c>
      <c r="B166" s="128" t="str">
        <f>IF(DONNÉES!CM51="","",DONNÉES!CM51)</f>
        <v/>
      </c>
      <c r="C166" s="177" t="str">
        <f>IF(TRDLYSE[[#This Row],[2024]]="","",DONNÉES!CN51)</f>
        <v/>
      </c>
      <c r="D166" s="128" t="str">
        <f>IF(TRDLYSE[[#This Row],[2024]]="","",DONNÉES!CM131)</f>
        <v/>
      </c>
      <c r="E166" s="178" t="str">
        <f>IF(TRDLYSE[[#This Row],[2024]]="","",DONNÉES!CN131)</f>
        <v/>
      </c>
      <c r="F166" s="128" t="str">
        <f>IF(TRDLYSE[[#This Row],[2024]]="","",DONNÉES!CM67)</f>
        <v/>
      </c>
      <c r="G166" s="177" t="str">
        <f>IF(TRDLYSE[[#This Row],[2024]]="","",DONNÉES!CN67)</f>
        <v/>
      </c>
      <c r="H166" s="128" t="str">
        <f>IF(TRDLYSE[[#This Row],[2024]]="","",DONNÉES!CM147)</f>
        <v/>
      </c>
      <c r="I166" s="178" t="str">
        <f>IF(TRDLYSE[[#This Row],[2024]]="","",DONNÉES!CN147)</f>
        <v/>
      </c>
      <c r="J166" s="128" t="str">
        <f>IF(TRDLYSE[[#This Row],[2024]]="","",DONNÉES!CM83)</f>
        <v/>
      </c>
      <c r="K166" s="177" t="str">
        <f>IF(TRDLYSE[[#This Row],[2024]]="","",DONNÉES!CN83)</f>
        <v/>
      </c>
      <c r="L166" s="128" t="str">
        <f>IF(TRDLYSE[[#This Row],[2024]]="","",DONNÉES!CM163)</f>
        <v/>
      </c>
      <c r="M166" s="178" t="str">
        <f>IF(TRDLYSE[[#This Row],[2024]]="","",DONNÉES!CN163)</f>
        <v/>
      </c>
      <c r="N166" s="128" t="str">
        <f>IF(TRDLYSE[[#This Row],[2024]]="","",DONNÉES!CM99)</f>
        <v/>
      </c>
      <c r="O166" s="177" t="str">
        <f>IF(TRDLYSE[[#This Row],[2024]]="","",DONNÉES!CN99)</f>
        <v/>
      </c>
      <c r="P166" s="128" t="str">
        <f>IF(TRDLYSE[[#This Row],[2024]]="","",DONNÉES!CM179)</f>
        <v/>
      </c>
      <c r="Q166" s="179" t="str">
        <f>IF(TRDLYSE[[#This Row],[2024]]="","",DONNÉES!CN179)</f>
        <v/>
      </c>
      <c r="R166" s="181"/>
      <c r="S166" s="128" t="str">
        <f>IF(TRDLYSE[[#This Row],[2024]]="","",DONNÉES!CM115)</f>
        <v/>
      </c>
      <c r="T166" s="177" t="str">
        <f>IF(TRDLYSE[[#This Row],[2024]]="","",DONNÉES!CN115)</f>
        <v/>
      </c>
      <c r="U166" s="128" t="str">
        <f>IF(TRDLYSE[[#This Row],[2024]]="","",DONNÉES!CM195)</f>
        <v/>
      </c>
      <c r="V166" s="128" t="str">
        <f>IF(TRDLYSE[[#This Row],[2024]]="","",DONNÉES!CN195)</f>
        <v/>
      </c>
    </row>
    <row r="167" spans="1:22" ht="11.65" customHeight="1" x14ac:dyDescent="0.2">
      <c r="A167" s="169" t="s">
        <v>81</v>
      </c>
      <c r="B167" s="130" t="str">
        <f>IF(DONNÉES!CM52="","",DONNÉES!CM52)</f>
        <v/>
      </c>
      <c r="C167" s="182" t="str">
        <f>IF(TRDLYSE[[#This Row],[2024]]="","",DONNÉES!CN52)</f>
        <v/>
      </c>
      <c r="D167" s="130" t="str">
        <f>IF(TRDLYSE[[#This Row],[2024]]="","",DONNÉES!CM132)</f>
        <v/>
      </c>
      <c r="E167" s="183" t="str">
        <f>IF(TRDLYSE[[#This Row],[2024]]="","",DONNÉES!CN132)</f>
        <v/>
      </c>
      <c r="F167" s="130" t="str">
        <f>IF(TRDLYSE[[#This Row],[2024]]="","",DONNÉES!CM68)</f>
        <v/>
      </c>
      <c r="G167" s="182" t="str">
        <f>IF(TRDLYSE[[#This Row],[2024]]="","",DONNÉES!CN68)</f>
        <v/>
      </c>
      <c r="H167" s="130" t="str">
        <f>IF(TRDLYSE[[#This Row],[2024]]="","",DONNÉES!CM148)</f>
        <v/>
      </c>
      <c r="I167" s="183" t="str">
        <f>IF(TRDLYSE[[#This Row],[2024]]="","",DONNÉES!CN148)</f>
        <v/>
      </c>
      <c r="J167" s="130" t="str">
        <f>IF(TRDLYSE[[#This Row],[2024]]="","",DONNÉES!CM84)</f>
        <v/>
      </c>
      <c r="K167" s="182" t="str">
        <f>IF(TRDLYSE[[#This Row],[2024]]="","",DONNÉES!CN84)</f>
        <v/>
      </c>
      <c r="L167" s="130" t="str">
        <f>IF(TRDLYSE[[#This Row],[2024]]="","",DONNÉES!CM164)</f>
        <v/>
      </c>
      <c r="M167" s="183" t="str">
        <f>IF(TRDLYSE[[#This Row],[2024]]="","",DONNÉES!CN164)</f>
        <v/>
      </c>
      <c r="N167" s="130" t="str">
        <f>IF(TRDLYSE[[#This Row],[2024]]="","",DONNÉES!CM100)</f>
        <v/>
      </c>
      <c r="O167" s="182" t="str">
        <f>IF(TRDLYSE[[#This Row],[2024]]="","",DONNÉES!CN100)</f>
        <v/>
      </c>
      <c r="P167" s="130" t="str">
        <f>IF(TRDLYSE[[#This Row],[2024]]="","",DONNÉES!CM180)</f>
        <v/>
      </c>
      <c r="Q167" s="184" t="str">
        <f>IF(TRDLYSE[[#This Row],[2024]]="","",DONNÉES!CN180)</f>
        <v/>
      </c>
      <c r="R167" s="181"/>
      <c r="S167" s="130" t="str">
        <f>IF(TRDLYSE[[#This Row],[2024]]="","",DONNÉES!CM116)</f>
        <v/>
      </c>
      <c r="T167" s="182" t="str">
        <f>IF(TRDLYSE[[#This Row],[2024]]="","",DONNÉES!CN116)</f>
        <v/>
      </c>
      <c r="U167" s="130" t="str">
        <f>IF(TRDLYSE[[#This Row],[2024]]="","",DONNÉES!CM196)</f>
        <v/>
      </c>
      <c r="V167" s="130" t="str">
        <f>IF(TRDLYSE[[#This Row],[2024]]="","",DONNÉES!CN196)</f>
        <v/>
      </c>
    </row>
    <row r="168" spans="1:22" ht="11.65" customHeight="1" x14ac:dyDescent="0.2">
      <c r="A168" s="170" t="s">
        <v>82</v>
      </c>
      <c r="B168" s="130" t="str">
        <f>IF(DONNÉES!CM53="","",DONNÉES!CM53)</f>
        <v/>
      </c>
      <c r="C168" s="182" t="str">
        <f>IF(TRDLYSE[[#This Row],[2024]]="","",DONNÉES!CN53)</f>
        <v/>
      </c>
      <c r="D168" s="130" t="str">
        <f>IF(TRDLYSE[[#This Row],[2024]]="","",DONNÉES!CM133)</f>
        <v/>
      </c>
      <c r="E168" s="183" t="str">
        <f>IF(TRDLYSE[[#This Row],[2024]]="","",DONNÉES!CN133)</f>
        <v/>
      </c>
      <c r="F168" s="130" t="str">
        <f>IF(TRDLYSE[[#This Row],[2024]]="","",DONNÉES!CM69)</f>
        <v/>
      </c>
      <c r="G168" s="182" t="str">
        <f>IF(TRDLYSE[[#This Row],[2024]]="","",DONNÉES!CN69)</f>
        <v/>
      </c>
      <c r="H168" s="130" t="str">
        <f>IF(TRDLYSE[[#This Row],[2024]]="","",DONNÉES!CM149)</f>
        <v/>
      </c>
      <c r="I168" s="183" t="str">
        <f>IF(TRDLYSE[[#This Row],[2024]]="","",DONNÉES!CN149)</f>
        <v/>
      </c>
      <c r="J168" s="130" t="str">
        <f>IF(TRDLYSE[[#This Row],[2024]]="","",DONNÉES!CM85)</f>
        <v/>
      </c>
      <c r="K168" s="182" t="str">
        <f>IF(TRDLYSE[[#This Row],[2024]]="","",DONNÉES!CN85)</f>
        <v/>
      </c>
      <c r="L168" s="130" t="str">
        <f>IF(TRDLYSE[[#This Row],[2024]]="","",DONNÉES!CM165)</f>
        <v/>
      </c>
      <c r="M168" s="183" t="str">
        <f>IF(TRDLYSE[[#This Row],[2024]]="","",DONNÉES!CN165)</f>
        <v/>
      </c>
      <c r="N168" s="130" t="str">
        <f>IF(TRDLYSE[[#This Row],[2024]]="","",DONNÉES!CM101)</f>
        <v/>
      </c>
      <c r="O168" s="182" t="str">
        <f>IF(TRDLYSE[[#This Row],[2024]]="","",DONNÉES!CN101)</f>
        <v/>
      </c>
      <c r="P168" s="130" t="str">
        <f>IF(TRDLYSE[[#This Row],[2024]]="","",DONNÉES!CM181)</f>
        <v/>
      </c>
      <c r="Q168" s="184" t="str">
        <f>IF(TRDLYSE[[#This Row],[2024]]="","",DONNÉES!CN181)</f>
        <v/>
      </c>
      <c r="R168" s="185"/>
      <c r="S168" s="130" t="str">
        <f>IF(TRDLYSE[[#This Row],[2024]]="","",DONNÉES!CM117)</f>
        <v/>
      </c>
      <c r="T168" s="182" t="str">
        <f>IF(TRDLYSE[[#This Row],[2024]]="","",DONNÉES!CN117)</f>
        <v/>
      </c>
      <c r="U168" s="130" t="str">
        <f>IF(TRDLYSE[[#This Row],[2024]]="","",DONNÉES!CM197)</f>
        <v/>
      </c>
      <c r="V168" s="130" t="str">
        <f>IF(TRDLYSE[[#This Row],[2024]]="","",DONNÉES!CN197)</f>
        <v/>
      </c>
    </row>
    <row r="169" spans="1:22" ht="11.65" customHeight="1" x14ac:dyDescent="0.2">
      <c r="A169" s="169" t="s">
        <v>83</v>
      </c>
      <c r="B169" s="130" t="str">
        <f>IF(DONNÉES!CM54="","",DONNÉES!CM54)</f>
        <v/>
      </c>
      <c r="C169" s="182" t="str">
        <f>IF(TRDLYSE[[#This Row],[2024]]="","",DONNÉES!CN54)</f>
        <v/>
      </c>
      <c r="D169" s="130" t="str">
        <f>IF(TRDLYSE[[#This Row],[2024]]="","",DONNÉES!CM134)</f>
        <v/>
      </c>
      <c r="E169" s="183" t="str">
        <f>IF(TRDLYSE[[#This Row],[2024]]="","",DONNÉES!CN134)</f>
        <v/>
      </c>
      <c r="F169" s="130" t="str">
        <f>IF(TRDLYSE[[#This Row],[2024]]="","",DONNÉES!CM70)</f>
        <v/>
      </c>
      <c r="G169" s="182" t="str">
        <f>IF(TRDLYSE[[#This Row],[2024]]="","",DONNÉES!CN70)</f>
        <v/>
      </c>
      <c r="H169" s="130" t="str">
        <f>IF(TRDLYSE[[#This Row],[2024]]="","",DONNÉES!CM150)</f>
        <v/>
      </c>
      <c r="I169" s="183" t="str">
        <f>IF(TRDLYSE[[#This Row],[2024]]="","",DONNÉES!CN150)</f>
        <v/>
      </c>
      <c r="J169" s="130" t="str">
        <f>IF(TRDLYSE[[#This Row],[2024]]="","",DONNÉES!CM86)</f>
        <v/>
      </c>
      <c r="K169" s="182" t="str">
        <f>IF(TRDLYSE[[#This Row],[2024]]="","",DONNÉES!CN86)</f>
        <v/>
      </c>
      <c r="L169" s="130" t="str">
        <f>IF(TRDLYSE[[#This Row],[2024]]="","",DONNÉES!CM166)</f>
        <v/>
      </c>
      <c r="M169" s="183" t="str">
        <f>IF(TRDLYSE[[#This Row],[2024]]="","",DONNÉES!CN166)</f>
        <v/>
      </c>
      <c r="N169" s="130" t="str">
        <f>IF(TRDLYSE[[#This Row],[2024]]="","",DONNÉES!CM102)</f>
        <v/>
      </c>
      <c r="O169" s="182" t="str">
        <f>IF(TRDLYSE[[#This Row],[2024]]="","",DONNÉES!CN102)</f>
        <v/>
      </c>
      <c r="P169" s="130" t="str">
        <f>IF(TRDLYSE[[#This Row],[2024]]="","",DONNÉES!CM182)</f>
        <v/>
      </c>
      <c r="Q169" s="184" t="str">
        <f>IF(TRDLYSE[[#This Row],[2024]]="","",DONNÉES!CN182)</f>
        <v/>
      </c>
      <c r="R169" s="181"/>
      <c r="S169" s="130" t="str">
        <f>IF(TRDLYSE[[#This Row],[2024]]="","",DONNÉES!CM118)</f>
        <v/>
      </c>
      <c r="T169" s="182" t="str">
        <f>IF(TRDLYSE[[#This Row],[2024]]="","",DONNÉES!CN118)</f>
        <v/>
      </c>
      <c r="U169" s="130" t="str">
        <f>IF(TRDLYSE[[#This Row],[2024]]="","",DONNÉES!CM198)</f>
        <v/>
      </c>
      <c r="V169" s="130" t="str">
        <f>IF(TRDLYSE[[#This Row],[2024]]="","",DONNÉES!CN198)</f>
        <v/>
      </c>
    </row>
    <row r="170" spans="1:22" s="81" customFormat="1" ht="11.65" customHeight="1" x14ac:dyDescent="0.2">
      <c r="A170" s="169" t="s">
        <v>84</v>
      </c>
      <c r="B170" s="130" t="str">
        <f>IF(DONNÉES!CM55="","",DONNÉES!CM55)</f>
        <v/>
      </c>
      <c r="C170" s="182" t="str">
        <f>IF(TRDLYSE[[#This Row],[2024]]="","",DONNÉES!CN55)</f>
        <v/>
      </c>
      <c r="D170" s="130" t="str">
        <f>IF(TRDLYSE[[#This Row],[2024]]="","",DONNÉES!CM135)</f>
        <v/>
      </c>
      <c r="E170" s="183" t="str">
        <f>IF(TRDLYSE[[#This Row],[2024]]="","",DONNÉES!CN135)</f>
        <v/>
      </c>
      <c r="F170" s="130" t="str">
        <f>IF(TRDLYSE[[#This Row],[2024]]="","",DONNÉES!CM71)</f>
        <v/>
      </c>
      <c r="G170" s="182" t="str">
        <f>IF(TRDLYSE[[#This Row],[2024]]="","",DONNÉES!CN71)</f>
        <v/>
      </c>
      <c r="H170" s="130" t="str">
        <f>IF(TRDLYSE[[#This Row],[2024]]="","",DONNÉES!CM151)</f>
        <v/>
      </c>
      <c r="I170" s="183" t="str">
        <f>IF(TRDLYSE[[#This Row],[2024]]="","",DONNÉES!CN151)</f>
        <v/>
      </c>
      <c r="J170" s="130" t="str">
        <f>IF(TRDLYSE[[#This Row],[2024]]="","",DONNÉES!CM87)</f>
        <v/>
      </c>
      <c r="K170" s="182" t="str">
        <f>IF(TRDLYSE[[#This Row],[2024]]="","",DONNÉES!CN87)</f>
        <v/>
      </c>
      <c r="L170" s="130" t="str">
        <f>IF(TRDLYSE[[#This Row],[2024]]="","",DONNÉES!CM167)</f>
        <v/>
      </c>
      <c r="M170" s="183" t="str">
        <f>IF(TRDLYSE[[#This Row],[2024]]="","",DONNÉES!CN167)</f>
        <v/>
      </c>
      <c r="N170" s="130" t="str">
        <f>IF(TRDLYSE[[#This Row],[2024]]="","",DONNÉES!CM103)</f>
        <v/>
      </c>
      <c r="O170" s="182" t="str">
        <f>IF(TRDLYSE[[#This Row],[2024]]="","",DONNÉES!CN103)</f>
        <v/>
      </c>
      <c r="P170" s="130" t="str">
        <f>IF(TRDLYSE[[#This Row],[2024]]="","",DONNÉES!CM183)</f>
        <v/>
      </c>
      <c r="Q170" s="184" t="str">
        <f>IF(TRDLYSE[[#This Row],[2024]]="","",DONNÉES!CN183)</f>
        <v/>
      </c>
      <c r="R170" s="180"/>
      <c r="S170" s="130" t="str">
        <f>IF(TRDLYSE[[#This Row],[2024]]="","",DONNÉES!CM119)</f>
        <v/>
      </c>
      <c r="T170" s="182" t="str">
        <f>IF(TRDLYSE[[#This Row],[2024]]="","",DONNÉES!CN119)</f>
        <v/>
      </c>
      <c r="U170" s="130" t="str">
        <f>IF(TRDLYSE[[#This Row],[2024]]="","",DONNÉES!CM199)</f>
        <v/>
      </c>
      <c r="V170" s="130" t="str">
        <f>IF(TRDLYSE[[#This Row],[2024]]="","",DONNÉES!CN199)</f>
        <v/>
      </c>
    </row>
    <row r="171" spans="1:22" s="81" customFormat="1" ht="11.65" customHeight="1" x14ac:dyDescent="0.2">
      <c r="A171" s="169"/>
      <c r="B171" s="130"/>
      <c r="C171" s="252"/>
      <c r="D171" s="130"/>
      <c r="E171" s="183"/>
      <c r="F171" s="130"/>
      <c r="G171" s="252"/>
      <c r="H171" s="130"/>
      <c r="I171" s="183"/>
      <c r="J171" s="130"/>
      <c r="K171" s="252"/>
      <c r="L171" s="130"/>
      <c r="M171" s="183"/>
      <c r="N171" s="130"/>
      <c r="O171" s="252"/>
      <c r="P171" s="130"/>
      <c r="Q171" s="184"/>
      <c r="R171" s="180"/>
      <c r="S171" s="130"/>
      <c r="T171" s="252"/>
      <c r="U171" s="130"/>
      <c r="V171" s="130"/>
    </row>
    <row r="172" spans="1:22" ht="14.65" customHeight="1" x14ac:dyDescent="0.2">
      <c r="A172" s="256"/>
      <c r="B172" s="336" t="s">
        <v>195</v>
      </c>
      <c r="C172" s="336"/>
      <c r="D172" s="336"/>
      <c r="E172" s="339"/>
      <c r="F172" s="336" t="s">
        <v>196</v>
      </c>
      <c r="G172" s="336"/>
      <c r="H172" s="336"/>
      <c r="I172" s="339"/>
      <c r="J172" s="336" t="s">
        <v>198</v>
      </c>
      <c r="K172" s="336"/>
      <c r="L172" s="336"/>
      <c r="M172" s="339"/>
      <c r="N172" s="336" t="s">
        <v>199</v>
      </c>
      <c r="O172" s="336"/>
      <c r="P172" s="336"/>
      <c r="Q172" s="336"/>
      <c r="S172" s="336" t="s">
        <v>197</v>
      </c>
      <c r="T172" s="336"/>
      <c r="U172" s="336"/>
      <c r="V172" s="336"/>
    </row>
    <row r="173" spans="1:22" ht="28.9" customHeight="1" x14ac:dyDescent="0.2">
      <c r="A173" s="169" t="s">
        <v>6963</v>
      </c>
      <c r="B173" s="108" t="s">
        <v>6962</v>
      </c>
      <c r="C173" s="166" t="s">
        <v>2169</v>
      </c>
      <c r="D173" s="108" t="s">
        <v>6986</v>
      </c>
      <c r="E173" s="172" t="s">
        <v>6944</v>
      </c>
      <c r="F173" s="211" t="s">
        <v>6987</v>
      </c>
      <c r="G173" s="166" t="s">
        <v>6945</v>
      </c>
      <c r="H173" s="108" t="s">
        <v>6988</v>
      </c>
      <c r="I173" s="172" t="s">
        <v>6946</v>
      </c>
      <c r="J173" s="108" t="s">
        <v>6989</v>
      </c>
      <c r="K173" s="166" t="s">
        <v>6947</v>
      </c>
      <c r="L173" s="108" t="s">
        <v>6990</v>
      </c>
      <c r="M173" s="172" t="s">
        <v>6948</v>
      </c>
      <c r="N173" s="108" t="s">
        <v>6991</v>
      </c>
      <c r="O173" s="166" t="s">
        <v>6949</v>
      </c>
      <c r="P173" s="108" t="s">
        <v>6992</v>
      </c>
      <c r="Q173" s="94" t="s">
        <v>6950</v>
      </c>
      <c r="S173" s="108" t="s">
        <v>6962</v>
      </c>
      <c r="T173" s="166" t="s">
        <v>2169</v>
      </c>
      <c r="U173" s="108" t="s">
        <v>6986</v>
      </c>
      <c r="V173" s="172" t="s">
        <v>6944</v>
      </c>
    </row>
    <row r="174" spans="1:22" ht="11.65" customHeight="1" x14ac:dyDescent="0.2">
      <c r="A174" s="170" t="s">
        <v>73</v>
      </c>
      <c r="B174" s="128">
        <f>IF(DONNÉES!CU44="","",DONNÉES!CU44)</f>
        <v>3426</v>
      </c>
      <c r="C174" s="177">
        <f>IF(TRDARTHUR[[#This Row],[2024]]="","",DONNÉES!CV44)</f>
        <v>3956</v>
      </c>
      <c r="D174" s="128">
        <f>IF(TRDARTHUR[[#This Row],[2024]]="","",DONNÉES!CU124)</f>
        <v>3426</v>
      </c>
      <c r="E174" s="178">
        <f>IF(TRDARTHUR[[#This Row],[2024]]="","",DONNÉES!CV124)</f>
        <v>3956</v>
      </c>
      <c r="F174" s="128">
        <f>IF(TRDARTHUR[[#This Row],[2024]]="","",DONNÉES!CU60)</f>
        <v>5537</v>
      </c>
      <c r="G174" s="177">
        <f>IF(TRDARTHUR[[#This Row],[2024]]="","",DONNÉES!CV60)</f>
        <v>5065</v>
      </c>
      <c r="H174" s="128">
        <f>IF(TRDARTHUR[[#This Row],[2024]]="","",DONNÉES!CU140)</f>
        <v>5537</v>
      </c>
      <c r="I174" s="178">
        <f>IF(TRDARTHUR[[#This Row],[2024]]="","",DONNÉES!CV140)</f>
        <v>5065</v>
      </c>
      <c r="J174" s="128">
        <f>IF(TRDARTHUR[[#This Row],[2024]]="","",DONNÉES!CU76)</f>
        <v>9067</v>
      </c>
      <c r="K174" s="177">
        <f>IF(TRDARTHUR[[#This Row],[2024]]="","",DONNÉES!CV76)</f>
        <v>8205</v>
      </c>
      <c r="L174" s="128">
        <f>IF(TRDARTHUR[[#This Row],[2024]]="","",DONNÉES!CU156)</f>
        <v>9067</v>
      </c>
      <c r="M174" s="178">
        <f>IF(TRDARTHUR[[#This Row],[2024]]="","",DONNÉES!CV156)</f>
        <v>8205</v>
      </c>
      <c r="N174" s="128">
        <f>IF(TRDARTHUR[[#This Row],[2024]]="","",DONNÉES!CU92)</f>
        <v>10822</v>
      </c>
      <c r="O174" s="177">
        <f>IF(TRDARTHUR[[#This Row],[2024]]="","",DONNÉES!CV92)</f>
        <v>8451</v>
      </c>
      <c r="P174" s="128">
        <f>IF(TRDARTHUR[[#This Row],[2024]]="","",DONNÉES!CU172)</f>
        <v>10822</v>
      </c>
      <c r="Q174" s="179">
        <f>IF(TRDARTHUR[[#This Row],[2024]]="","",DONNÉES!CV172)</f>
        <v>8451</v>
      </c>
      <c r="S174" s="128">
        <f>IF(TRDARTHUR[[#This Row],[2024]]="","",DONNÉES!CU108)</f>
        <v>28852</v>
      </c>
      <c r="T174" s="177">
        <f>IF(TRDARTHUR[[#This Row],[2024]]="","",DONNÉES!CV108)</f>
        <v>25677</v>
      </c>
      <c r="U174" s="128">
        <f>IF(TRDARTHUR[[#This Row],[2024]]="","",DONNÉES!CU188)</f>
        <v>28852</v>
      </c>
      <c r="V174" s="128">
        <f>IF(TRDARTHUR[[#This Row],[2024]]="","",DONNÉES!CV188)</f>
        <v>25677</v>
      </c>
    </row>
    <row r="175" spans="1:22" s="81" customFormat="1" ht="11.65" customHeight="1" x14ac:dyDescent="0.2">
      <c r="A175" s="170" t="s">
        <v>74</v>
      </c>
      <c r="B175" s="128" t="str">
        <f>IF(DONNÉES!CU45="","",DONNÉES!CU45)</f>
        <v/>
      </c>
      <c r="C175" s="177" t="str">
        <f>IF(TRDARTHUR[[#This Row],[2024]]="","",DONNÉES!CV45)</f>
        <v/>
      </c>
      <c r="D175" s="128" t="str">
        <f>IF(TRDARTHUR[[#This Row],[2024]]="","",DONNÉES!CU125)</f>
        <v/>
      </c>
      <c r="E175" s="178" t="str">
        <f>IF(TRDARTHUR[[#This Row],[2024]]="","",DONNÉES!CV125)</f>
        <v/>
      </c>
      <c r="F175" s="128" t="str">
        <f>IF(TRDARTHUR[[#This Row],[2024]]="","",DONNÉES!CU61)</f>
        <v/>
      </c>
      <c r="G175" s="177" t="str">
        <f>IF(TRDARTHUR[[#This Row],[2024]]="","",DONNÉES!CV61)</f>
        <v/>
      </c>
      <c r="H175" s="128" t="str">
        <f>IF(TRDARTHUR[[#This Row],[2024]]="","",DONNÉES!CU141)</f>
        <v/>
      </c>
      <c r="I175" s="178" t="str">
        <f>IF(TRDARTHUR[[#This Row],[2024]]="","",DONNÉES!CV141)</f>
        <v/>
      </c>
      <c r="J175" s="128" t="str">
        <f>IF(TRDARTHUR[[#This Row],[2024]]="","",DONNÉES!CU77)</f>
        <v/>
      </c>
      <c r="K175" s="177" t="str">
        <f>IF(TRDARTHUR[[#This Row],[2024]]="","",DONNÉES!CV77)</f>
        <v/>
      </c>
      <c r="L175" s="128" t="str">
        <f>IF(TRDARTHUR[[#This Row],[2024]]="","",DONNÉES!CU157)</f>
        <v/>
      </c>
      <c r="M175" s="178" t="str">
        <f>IF(TRDARTHUR[[#This Row],[2024]]="","",DONNÉES!CV157)</f>
        <v/>
      </c>
      <c r="N175" s="128" t="str">
        <f>IF(TRDARTHUR[[#This Row],[2024]]="","",DONNÉES!CU93)</f>
        <v/>
      </c>
      <c r="O175" s="177" t="str">
        <f>IF(TRDARTHUR[[#This Row],[2024]]="","",DONNÉES!CV93)</f>
        <v/>
      </c>
      <c r="P175" s="128" t="str">
        <f>IF(TRDARTHUR[[#This Row],[2024]]="","",DONNÉES!CU173)</f>
        <v/>
      </c>
      <c r="Q175" s="179" t="str">
        <f>IF(TRDARTHUR[[#This Row],[2024]]="","",DONNÉES!CV173)</f>
        <v/>
      </c>
      <c r="R175" s="180"/>
      <c r="S175" s="128" t="str">
        <f>IF(TRDARTHUR[[#This Row],[2024]]="","",DONNÉES!CU109)</f>
        <v/>
      </c>
      <c r="T175" s="177" t="str">
        <f>IF(TRDARTHUR[[#This Row],[2024]]="","",DONNÉES!CV109)</f>
        <v/>
      </c>
      <c r="U175" s="128" t="str">
        <f>IF(TRDARTHUR[[#This Row],[2024]]="","",DONNÉES!CU189)</f>
        <v/>
      </c>
      <c r="V175" s="128" t="str">
        <f>IF(TRDARTHUR[[#This Row],[2024]]="","",DONNÉES!CV189)</f>
        <v/>
      </c>
    </row>
    <row r="176" spans="1:22" s="81" customFormat="1" ht="11.65" customHeight="1" x14ac:dyDescent="0.2">
      <c r="A176" s="169" t="s">
        <v>75</v>
      </c>
      <c r="B176" s="128" t="str">
        <f>IF(DONNÉES!CU46="","",DONNÉES!CU46)</f>
        <v/>
      </c>
      <c r="C176" s="177" t="str">
        <f>IF(TRDARTHUR[[#This Row],[2024]]="","",DONNÉES!CV46)</f>
        <v/>
      </c>
      <c r="D176" s="128" t="str">
        <f>IF(TRDARTHUR[[#This Row],[2024]]="","",DONNÉES!CU126)</f>
        <v/>
      </c>
      <c r="E176" s="178" t="str">
        <f>IF(TRDARTHUR[[#This Row],[2024]]="","",DONNÉES!CV126)</f>
        <v/>
      </c>
      <c r="F176" s="128" t="str">
        <f>IF(TRDARTHUR[[#This Row],[2024]]="","",DONNÉES!CU62)</f>
        <v/>
      </c>
      <c r="G176" s="177" t="str">
        <f>IF(TRDARTHUR[[#This Row],[2024]]="","",DONNÉES!CV62)</f>
        <v/>
      </c>
      <c r="H176" s="128" t="str">
        <f>IF(TRDARTHUR[[#This Row],[2024]]="","",DONNÉES!CU142)</f>
        <v/>
      </c>
      <c r="I176" s="178" t="str">
        <f>IF(TRDARTHUR[[#This Row],[2024]]="","",DONNÉES!CV142)</f>
        <v/>
      </c>
      <c r="J176" s="128" t="str">
        <f>IF(TRDARTHUR[[#This Row],[2024]]="","",DONNÉES!CU78)</f>
        <v/>
      </c>
      <c r="K176" s="177" t="str">
        <f>IF(TRDARTHUR[[#This Row],[2024]]="","",DONNÉES!CV78)</f>
        <v/>
      </c>
      <c r="L176" s="128" t="str">
        <f>IF(TRDARTHUR[[#This Row],[2024]]="","",DONNÉES!CU158)</f>
        <v/>
      </c>
      <c r="M176" s="178" t="str">
        <f>IF(TRDARTHUR[[#This Row],[2024]]="","",DONNÉES!CV158)</f>
        <v/>
      </c>
      <c r="N176" s="128" t="str">
        <f>IF(TRDARTHUR[[#This Row],[2024]]="","",DONNÉES!CU94)</f>
        <v/>
      </c>
      <c r="O176" s="177" t="str">
        <f>IF(TRDARTHUR[[#This Row],[2024]]="","",DONNÉES!CV94)</f>
        <v/>
      </c>
      <c r="P176" s="128" t="str">
        <f>IF(TRDARTHUR[[#This Row],[2024]]="","",DONNÉES!CU174)</f>
        <v/>
      </c>
      <c r="Q176" s="179" t="str">
        <f>IF(TRDARTHUR[[#This Row],[2024]]="","",DONNÉES!CV174)</f>
        <v/>
      </c>
      <c r="R176" s="180"/>
      <c r="S176" s="128" t="str">
        <f>IF(TRDARTHUR[[#This Row],[2024]]="","",DONNÉES!CU110)</f>
        <v/>
      </c>
      <c r="T176" s="177" t="str">
        <f>IF(TRDARTHUR[[#This Row],[2024]]="","",DONNÉES!CV110)</f>
        <v/>
      </c>
      <c r="U176" s="128" t="str">
        <f>IF(TRDARTHUR[[#This Row],[2024]]="","",DONNÉES!CU190)</f>
        <v/>
      </c>
      <c r="V176" s="128" t="str">
        <f>IF(TRDARTHUR[[#This Row],[2024]]="","",DONNÉES!CV190)</f>
        <v/>
      </c>
    </row>
    <row r="177" spans="1:22" s="81" customFormat="1" ht="11.65" customHeight="1" x14ac:dyDescent="0.2">
      <c r="A177" s="170" t="s">
        <v>76</v>
      </c>
      <c r="B177" s="128" t="str">
        <f>IF(DONNÉES!CU47="","",DONNÉES!CU47)</f>
        <v/>
      </c>
      <c r="C177" s="177" t="str">
        <f>IF(TRDARTHUR[[#This Row],[2024]]="","",DONNÉES!CV47)</f>
        <v/>
      </c>
      <c r="D177" s="128" t="str">
        <f>IF(TRDARTHUR[[#This Row],[2024]]="","",DONNÉES!CU127)</f>
        <v/>
      </c>
      <c r="E177" s="178" t="str">
        <f>IF(TRDARTHUR[[#This Row],[2024]]="","",DONNÉES!CV127)</f>
        <v/>
      </c>
      <c r="F177" s="128" t="str">
        <f>IF(TRDARTHUR[[#This Row],[2024]]="","",DONNÉES!CU63)</f>
        <v/>
      </c>
      <c r="G177" s="177" t="str">
        <f>IF(TRDARTHUR[[#This Row],[2024]]="","",DONNÉES!CV63)</f>
        <v/>
      </c>
      <c r="H177" s="128" t="str">
        <f>IF(TRDARTHUR[[#This Row],[2024]]="","",DONNÉES!CU143)</f>
        <v/>
      </c>
      <c r="I177" s="178" t="str">
        <f>IF(TRDARTHUR[[#This Row],[2024]]="","",DONNÉES!CV143)</f>
        <v/>
      </c>
      <c r="J177" s="128" t="str">
        <f>IF(TRDARTHUR[[#This Row],[2024]]="","",DONNÉES!CU79)</f>
        <v/>
      </c>
      <c r="K177" s="177" t="str">
        <f>IF(TRDARTHUR[[#This Row],[2024]]="","",DONNÉES!CV79)</f>
        <v/>
      </c>
      <c r="L177" s="128" t="str">
        <f>IF(TRDARTHUR[[#This Row],[2024]]="","",DONNÉES!CU159)</f>
        <v/>
      </c>
      <c r="M177" s="178" t="str">
        <f>IF(TRDARTHUR[[#This Row],[2024]]="","",DONNÉES!CV159)</f>
        <v/>
      </c>
      <c r="N177" s="128" t="str">
        <f>IF(TRDARTHUR[[#This Row],[2024]]="","",DONNÉES!CU95)</f>
        <v/>
      </c>
      <c r="O177" s="177" t="str">
        <f>IF(TRDARTHUR[[#This Row],[2024]]="","",DONNÉES!CV95)</f>
        <v/>
      </c>
      <c r="P177" s="128" t="str">
        <f>IF(TRDARTHUR[[#This Row],[2024]]="","",DONNÉES!CU175)</f>
        <v/>
      </c>
      <c r="Q177" s="179" t="str">
        <f>IF(TRDARTHUR[[#This Row],[2024]]="","",DONNÉES!CV175)</f>
        <v/>
      </c>
      <c r="R177" s="180"/>
      <c r="S177" s="128" t="str">
        <f>IF(TRDARTHUR[[#This Row],[2024]]="","",DONNÉES!CU111)</f>
        <v/>
      </c>
      <c r="T177" s="177" t="str">
        <f>IF(TRDARTHUR[[#This Row],[2024]]="","",DONNÉES!CV111)</f>
        <v/>
      </c>
      <c r="U177" s="128" t="str">
        <f>IF(TRDARTHUR[[#This Row],[2024]]="","",DONNÉES!CU191)</f>
        <v/>
      </c>
      <c r="V177" s="128" t="str">
        <f>IF(TRDARTHUR[[#This Row],[2024]]="","",DONNÉES!CV191)</f>
        <v/>
      </c>
    </row>
    <row r="178" spans="1:22" ht="11.65" customHeight="1" x14ac:dyDescent="0.2">
      <c r="A178" s="169" t="s">
        <v>77</v>
      </c>
      <c r="B178" s="128" t="str">
        <f>IF(DONNÉES!CU48="","",DONNÉES!CU48)</f>
        <v/>
      </c>
      <c r="C178" s="177" t="str">
        <f>IF(TRDARTHUR[[#This Row],[2024]]="","",DONNÉES!CV48)</f>
        <v/>
      </c>
      <c r="D178" s="128" t="str">
        <f>IF(TRDARTHUR[[#This Row],[2024]]="","",DONNÉES!CU128)</f>
        <v/>
      </c>
      <c r="E178" s="178" t="str">
        <f>IF(TRDARTHUR[[#This Row],[2024]]="","",DONNÉES!CV128)</f>
        <v/>
      </c>
      <c r="F178" s="128" t="str">
        <f>IF(TRDARTHUR[[#This Row],[2024]]="","",DONNÉES!CU64)</f>
        <v/>
      </c>
      <c r="G178" s="177" t="str">
        <f>IF(TRDARTHUR[[#This Row],[2024]]="","",DONNÉES!CV64)</f>
        <v/>
      </c>
      <c r="H178" s="128" t="str">
        <f>IF(TRDARTHUR[[#This Row],[2024]]="","",DONNÉES!CU144)</f>
        <v/>
      </c>
      <c r="I178" s="178" t="str">
        <f>IF(TRDARTHUR[[#This Row],[2024]]="","",DONNÉES!CV144)</f>
        <v/>
      </c>
      <c r="J178" s="128" t="str">
        <f>IF(TRDARTHUR[[#This Row],[2024]]="","",DONNÉES!CU80)</f>
        <v/>
      </c>
      <c r="K178" s="177" t="str">
        <f>IF(TRDARTHUR[[#This Row],[2024]]="","",DONNÉES!CV80)</f>
        <v/>
      </c>
      <c r="L178" s="128" t="str">
        <f>IF(TRDARTHUR[[#This Row],[2024]]="","",DONNÉES!CU160)</f>
        <v/>
      </c>
      <c r="M178" s="178" t="str">
        <f>IF(TRDARTHUR[[#This Row],[2024]]="","",DONNÉES!CV160)</f>
        <v/>
      </c>
      <c r="N178" s="128" t="str">
        <f>IF(TRDARTHUR[[#This Row],[2024]]="","",DONNÉES!CU96)</f>
        <v/>
      </c>
      <c r="O178" s="177" t="str">
        <f>IF(TRDARTHUR[[#This Row],[2024]]="","",DONNÉES!CV96)</f>
        <v/>
      </c>
      <c r="P178" s="128" t="str">
        <f>IF(TRDARTHUR[[#This Row],[2024]]="","",DONNÉES!CU176)</f>
        <v/>
      </c>
      <c r="Q178" s="179" t="str">
        <f>IF(TRDARTHUR[[#This Row],[2024]]="","",DONNÉES!CV176)</f>
        <v/>
      </c>
      <c r="R178" s="181"/>
      <c r="S178" s="128" t="str">
        <f>IF(TRDARTHUR[[#This Row],[2024]]="","",DONNÉES!CU112)</f>
        <v/>
      </c>
      <c r="T178" s="177" t="str">
        <f>IF(TRDARTHUR[[#This Row],[2024]]="","",DONNÉES!CV112)</f>
        <v/>
      </c>
      <c r="U178" s="128" t="str">
        <f>IF(TRDARTHUR[[#This Row],[2024]]="","",DONNÉES!CU192)</f>
        <v/>
      </c>
      <c r="V178" s="128" t="str">
        <f>IF(TRDARTHUR[[#This Row],[2024]]="","",DONNÉES!CV192)</f>
        <v/>
      </c>
    </row>
    <row r="179" spans="1:22" ht="11.65" customHeight="1" x14ac:dyDescent="0.2">
      <c r="A179" s="170" t="s">
        <v>78</v>
      </c>
      <c r="B179" s="128" t="str">
        <f>IF(DONNÉES!CU49="","",DONNÉES!CU49)</f>
        <v/>
      </c>
      <c r="C179" s="177" t="str">
        <f>IF(TRDARTHUR[[#This Row],[2024]]="","",DONNÉES!CV49)</f>
        <v/>
      </c>
      <c r="D179" s="128" t="str">
        <f>IF(TRDARTHUR[[#This Row],[2024]]="","",DONNÉES!CU129)</f>
        <v/>
      </c>
      <c r="E179" s="178" t="str">
        <f>IF(TRDARTHUR[[#This Row],[2024]]="","",DONNÉES!CV129)</f>
        <v/>
      </c>
      <c r="F179" s="128" t="str">
        <f>IF(TRDARTHUR[[#This Row],[2024]]="","",DONNÉES!CU65)</f>
        <v/>
      </c>
      <c r="G179" s="177" t="str">
        <f>IF(TRDARTHUR[[#This Row],[2024]]="","",DONNÉES!CV65)</f>
        <v/>
      </c>
      <c r="H179" s="128" t="str">
        <f>IF(TRDARTHUR[[#This Row],[2024]]="","",DONNÉES!CU145)</f>
        <v/>
      </c>
      <c r="I179" s="178" t="str">
        <f>IF(TRDARTHUR[[#This Row],[2024]]="","",DONNÉES!CV145)</f>
        <v/>
      </c>
      <c r="J179" s="128" t="str">
        <f>IF(TRDARTHUR[[#This Row],[2024]]="","",DONNÉES!CU81)</f>
        <v/>
      </c>
      <c r="K179" s="177" t="str">
        <f>IF(TRDARTHUR[[#This Row],[2024]]="","",DONNÉES!CV81)</f>
        <v/>
      </c>
      <c r="L179" s="128" t="str">
        <f>IF(TRDARTHUR[[#This Row],[2024]]="","",DONNÉES!CU161)</f>
        <v/>
      </c>
      <c r="M179" s="178" t="str">
        <f>IF(TRDARTHUR[[#This Row],[2024]]="","",DONNÉES!CV161)</f>
        <v/>
      </c>
      <c r="N179" s="128" t="str">
        <f>IF(TRDARTHUR[[#This Row],[2024]]="","",DONNÉES!CU97)</f>
        <v/>
      </c>
      <c r="O179" s="177" t="str">
        <f>IF(TRDARTHUR[[#This Row],[2024]]="","",DONNÉES!CV97)</f>
        <v/>
      </c>
      <c r="P179" s="128" t="str">
        <f>IF(TRDARTHUR[[#This Row],[2024]]="","",DONNÉES!CU177)</f>
        <v/>
      </c>
      <c r="Q179" s="179" t="str">
        <f>IF(TRDARTHUR[[#This Row],[2024]]="","",DONNÉES!CV177)</f>
        <v/>
      </c>
      <c r="R179" s="181"/>
      <c r="S179" s="128" t="str">
        <f>IF(TRDARTHUR[[#This Row],[2024]]="","",DONNÉES!CU113)</f>
        <v/>
      </c>
      <c r="T179" s="177" t="str">
        <f>IF(TRDARTHUR[[#This Row],[2024]]="","",DONNÉES!CV113)</f>
        <v/>
      </c>
      <c r="U179" s="128" t="str">
        <f>IF(TRDARTHUR[[#This Row],[2024]]="","",DONNÉES!CU193)</f>
        <v/>
      </c>
      <c r="V179" s="128" t="str">
        <f>IF(TRDARTHUR[[#This Row],[2024]]="","",DONNÉES!CV193)</f>
        <v/>
      </c>
    </row>
    <row r="180" spans="1:22" ht="11.65" customHeight="1" x14ac:dyDescent="0.2">
      <c r="A180" s="169" t="s">
        <v>79</v>
      </c>
      <c r="B180" s="128" t="str">
        <f>IF(DONNÉES!CU50="","",DONNÉES!CU50)</f>
        <v/>
      </c>
      <c r="C180" s="177" t="str">
        <f>IF(TRDARTHUR[[#This Row],[2024]]="","",DONNÉES!CV50)</f>
        <v/>
      </c>
      <c r="D180" s="128" t="str">
        <f>IF(TRDARTHUR[[#This Row],[2024]]="","",DONNÉES!CU130)</f>
        <v/>
      </c>
      <c r="E180" s="178" t="str">
        <f>IF(TRDARTHUR[[#This Row],[2024]]="","",DONNÉES!CV130)</f>
        <v/>
      </c>
      <c r="F180" s="128" t="str">
        <f>IF(TRDARTHUR[[#This Row],[2024]]="","",DONNÉES!CU66)</f>
        <v/>
      </c>
      <c r="G180" s="177" t="str">
        <f>IF(TRDARTHUR[[#This Row],[2024]]="","",DONNÉES!CV66)</f>
        <v/>
      </c>
      <c r="H180" s="128" t="str">
        <f>IF(TRDARTHUR[[#This Row],[2024]]="","",DONNÉES!CU146)</f>
        <v/>
      </c>
      <c r="I180" s="178" t="str">
        <f>IF(TRDARTHUR[[#This Row],[2024]]="","",DONNÉES!CV146)</f>
        <v/>
      </c>
      <c r="J180" s="128" t="str">
        <f>IF(TRDARTHUR[[#This Row],[2024]]="","",DONNÉES!CU82)</f>
        <v/>
      </c>
      <c r="K180" s="177" t="str">
        <f>IF(TRDARTHUR[[#This Row],[2024]]="","",DONNÉES!CV82)</f>
        <v/>
      </c>
      <c r="L180" s="128" t="str">
        <f>IF(TRDARTHUR[[#This Row],[2024]]="","",DONNÉES!CU162)</f>
        <v/>
      </c>
      <c r="M180" s="178" t="str">
        <f>IF(TRDARTHUR[[#This Row],[2024]]="","",DONNÉES!CV162)</f>
        <v/>
      </c>
      <c r="N180" s="128" t="str">
        <f>IF(TRDARTHUR[[#This Row],[2024]]="","",DONNÉES!CU98)</f>
        <v/>
      </c>
      <c r="O180" s="177" t="str">
        <f>IF(TRDARTHUR[[#This Row],[2024]]="","",DONNÉES!CV98)</f>
        <v/>
      </c>
      <c r="P180" s="128" t="str">
        <f>IF(TRDARTHUR[[#This Row],[2024]]="","",DONNÉES!CU178)</f>
        <v/>
      </c>
      <c r="Q180" s="179" t="str">
        <f>IF(TRDARTHUR[[#This Row],[2024]]="","",DONNÉES!CV178)</f>
        <v/>
      </c>
      <c r="R180" s="181"/>
      <c r="S180" s="128" t="str">
        <f>IF(TRDARTHUR[[#This Row],[2024]]="","",DONNÉES!CU114)</f>
        <v/>
      </c>
      <c r="T180" s="177" t="str">
        <f>IF(TRDARTHUR[[#This Row],[2024]]="","",DONNÉES!CV114)</f>
        <v/>
      </c>
      <c r="U180" s="128" t="str">
        <f>IF(TRDARTHUR[[#This Row],[2024]]="","",DONNÉES!CU194)</f>
        <v/>
      </c>
      <c r="V180" s="128" t="str">
        <f>IF(TRDARTHUR[[#This Row],[2024]]="","",DONNÉES!CV194)</f>
        <v/>
      </c>
    </row>
    <row r="181" spans="1:22" ht="11.65" customHeight="1" x14ac:dyDescent="0.2">
      <c r="A181" s="170" t="s">
        <v>80</v>
      </c>
      <c r="B181" s="128" t="str">
        <f>IF(DONNÉES!CU51="","",DONNÉES!CU51)</f>
        <v/>
      </c>
      <c r="C181" s="177" t="str">
        <f>IF(TRDARTHUR[[#This Row],[2024]]="","",DONNÉES!CV51)</f>
        <v/>
      </c>
      <c r="D181" s="128" t="str">
        <f>IF(TRDARTHUR[[#This Row],[2024]]="","",DONNÉES!CU131)</f>
        <v/>
      </c>
      <c r="E181" s="178" t="str">
        <f>IF(TRDARTHUR[[#This Row],[2024]]="","",DONNÉES!CV131)</f>
        <v/>
      </c>
      <c r="F181" s="128" t="str">
        <f>IF(TRDARTHUR[[#This Row],[2024]]="","",DONNÉES!CU67)</f>
        <v/>
      </c>
      <c r="G181" s="177" t="str">
        <f>IF(TRDARTHUR[[#This Row],[2024]]="","",DONNÉES!CV67)</f>
        <v/>
      </c>
      <c r="H181" s="128" t="str">
        <f>IF(TRDARTHUR[[#This Row],[2024]]="","",DONNÉES!CU147)</f>
        <v/>
      </c>
      <c r="I181" s="178" t="str">
        <f>IF(TRDARTHUR[[#This Row],[2024]]="","",DONNÉES!CV147)</f>
        <v/>
      </c>
      <c r="J181" s="128" t="str">
        <f>IF(TRDARTHUR[[#This Row],[2024]]="","",DONNÉES!CU83)</f>
        <v/>
      </c>
      <c r="K181" s="177" t="str">
        <f>IF(TRDARTHUR[[#This Row],[2024]]="","",DONNÉES!CV83)</f>
        <v/>
      </c>
      <c r="L181" s="128" t="str">
        <f>IF(TRDARTHUR[[#This Row],[2024]]="","",DONNÉES!CU163)</f>
        <v/>
      </c>
      <c r="M181" s="178" t="str">
        <f>IF(TRDARTHUR[[#This Row],[2024]]="","",DONNÉES!CV163)</f>
        <v/>
      </c>
      <c r="N181" s="128" t="str">
        <f>IF(TRDARTHUR[[#This Row],[2024]]="","",DONNÉES!CU99)</f>
        <v/>
      </c>
      <c r="O181" s="177" t="str">
        <f>IF(TRDARTHUR[[#This Row],[2024]]="","",DONNÉES!CV99)</f>
        <v/>
      </c>
      <c r="P181" s="128" t="str">
        <f>IF(TRDARTHUR[[#This Row],[2024]]="","",DONNÉES!CU179)</f>
        <v/>
      </c>
      <c r="Q181" s="179" t="str">
        <f>IF(TRDARTHUR[[#This Row],[2024]]="","",DONNÉES!CV179)</f>
        <v/>
      </c>
      <c r="R181" s="181"/>
      <c r="S181" s="128" t="str">
        <f>IF(TRDARTHUR[[#This Row],[2024]]="","",DONNÉES!CU115)</f>
        <v/>
      </c>
      <c r="T181" s="177" t="str">
        <f>IF(TRDARTHUR[[#This Row],[2024]]="","",DONNÉES!CV115)</f>
        <v/>
      </c>
      <c r="U181" s="128" t="str">
        <f>IF(TRDARTHUR[[#This Row],[2024]]="","",DONNÉES!CU195)</f>
        <v/>
      </c>
      <c r="V181" s="128" t="str">
        <f>IF(TRDARTHUR[[#This Row],[2024]]="","",DONNÉES!CV195)</f>
        <v/>
      </c>
    </row>
    <row r="182" spans="1:22" ht="11.65" customHeight="1" x14ac:dyDescent="0.2">
      <c r="A182" s="169" t="s">
        <v>81</v>
      </c>
      <c r="B182" s="130" t="str">
        <f>IF(DONNÉES!CU52="","",DONNÉES!CU52)</f>
        <v/>
      </c>
      <c r="C182" s="182" t="str">
        <f>IF(TRDARTHUR[[#This Row],[2024]]="","",DONNÉES!CV52)</f>
        <v/>
      </c>
      <c r="D182" s="130" t="str">
        <f>IF(TRDARTHUR[[#This Row],[2024]]="","",DONNÉES!CU132)</f>
        <v/>
      </c>
      <c r="E182" s="183" t="str">
        <f>IF(TRDARTHUR[[#This Row],[2024]]="","",DONNÉES!CV132)</f>
        <v/>
      </c>
      <c r="F182" s="130" t="str">
        <f>IF(TRDARTHUR[[#This Row],[2024]]="","",DONNÉES!CU68)</f>
        <v/>
      </c>
      <c r="G182" s="182" t="str">
        <f>IF(TRDARTHUR[[#This Row],[2024]]="","",DONNÉES!CV68)</f>
        <v/>
      </c>
      <c r="H182" s="130" t="str">
        <f>IF(TRDARTHUR[[#This Row],[2024]]="","",DONNÉES!CU148)</f>
        <v/>
      </c>
      <c r="I182" s="183" t="str">
        <f>IF(TRDARTHUR[[#This Row],[2024]]="","",DONNÉES!CV148)</f>
        <v/>
      </c>
      <c r="J182" s="130" t="str">
        <f>IF(TRDARTHUR[[#This Row],[2024]]="","",DONNÉES!CU84)</f>
        <v/>
      </c>
      <c r="K182" s="182" t="str">
        <f>IF(TRDARTHUR[[#This Row],[2024]]="","",DONNÉES!CV84)</f>
        <v/>
      </c>
      <c r="L182" s="130" t="str">
        <f>IF(TRDARTHUR[[#This Row],[2024]]="","",DONNÉES!CU164)</f>
        <v/>
      </c>
      <c r="M182" s="183" t="str">
        <f>IF(TRDARTHUR[[#This Row],[2024]]="","",DONNÉES!CV164)</f>
        <v/>
      </c>
      <c r="N182" s="130" t="str">
        <f>IF(TRDARTHUR[[#This Row],[2024]]="","",DONNÉES!CU100)</f>
        <v/>
      </c>
      <c r="O182" s="182" t="str">
        <f>IF(TRDARTHUR[[#This Row],[2024]]="","",DONNÉES!CV100)</f>
        <v/>
      </c>
      <c r="P182" s="130" t="str">
        <f>IF(TRDARTHUR[[#This Row],[2024]]="","",DONNÉES!CU180)</f>
        <v/>
      </c>
      <c r="Q182" s="184" t="str">
        <f>IF(TRDARTHUR[[#This Row],[2024]]="","",DONNÉES!CV180)</f>
        <v/>
      </c>
      <c r="R182" s="181"/>
      <c r="S182" s="130" t="str">
        <f>IF(TRDARTHUR[[#This Row],[2024]]="","",DONNÉES!CU116)</f>
        <v/>
      </c>
      <c r="T182" s="182" t="str">
        <f>IF(TRDARTHUR[[#This Row],[2024]]="","",DONNÉES!CV116)</f>
        <v/>
      </c>
      <c r="U182" s="130" t="str">
        <f>IF(TRDARTHUR[[#This Row],[2024]]="","",DONNÉES!CU196)</f>
        <v/>
      </c>
      <c r="V182" s="130" t="str">
        <f>IF(TRDARTHUR[[#This Row],[2024]]="","",DONNÉES!CV196)</f>
        <v/>
      </c>
    </row>
    <row r="183" spans="1:22" ht="11.65" customHeight="1" x14ac:dyDescent="0.2">
      <c r="A183" s="170" t="s">
        <v>82</v>
      </c>
      <c r="B183" s="130" t="str">
        <f>IF(DONNÉES!CU53="","",DONNÉES!CU53)</f>
        <v/>
      </c>
      <c r="C183" s="182" t="str">
        <f>IF(TRDARTHUR[[#This Row],[2024]]="","",DONNÉES!CV53)</f>
        <v/>
      </c>
      <c r="D183" s="130" t="str">
        <f>IF(TRDARTHUR[[#This Row],[2024]]="","",DONNÉES!CU133)</f>
        <v/>
      </c>
      <c r="E183" s="183" t="str">
        <f>IF(TRDARTHUR[[#This Row],[2024]]="","",DONNÉES!CV133)</f>
        <v/>
      </c>
      <c r="F183" s="130" t="str">
        <f>IF(TRDARTHUR[[#This Row],[2024]]="","",DONNÉES!CU69)</f>
        <v/>
      </c>
      <c r="G183" s="182" t="str">
        <f>IF(TRDARTHUR[[#This Row],[2024]]="","",DONNÉES!CV69)</f>
        <v/>
      </c>
      <c r="H183" s="130" t="str">
        <f>IF(TRDARTHUR[[#This Row],[2024]]="","",DONNÉES!CU149)</f>
        <v/>
      </c>
      <c r="I183" s="183" t="str">
        <f>IF(TRDARTHUR[[#This Row],[2024]]="","",DONNÉES!CV149)</f>
        <v/>
      </c>
      <c r="J183" s="130" t="str">
        <f>IF(TRDARTHUR[[#This Row],[2024]]="","",DONNÉES!CU85)</f>
        <v/>
      </c>
      <c r="K183" s="182" t="str">
        <f>IF(TRDARTHUR[[#This Row],[2024]]="","",DONNÉES!CV85)</f>
        <v/>
      </c>
      <c r="L183" s="130" t="str">
        <f>IF(TRDARTHUR[[#This Row],[2024]]="","",DONNÉES!CU165)</f>
        <v/>
      </c>
      <c r="M183" s="183" t="str">
        <f>IF(TRDARTHUR[[#This Row],[2024]]="","",DONNÉES!CV165)</f>
        <v/>
      </c>
      <c r="N183" s="130" t="str">
        <f>IF(TRDARTHUR[[#This Row],[2024]]="","",DONNÉES!CU101)</f>
        <v/>
      </c>
      <c r="O183" s="182" t="str">
        <f>IF(TRDARTHUR[[#This Row],[2024]]="","",DONNÉES!CV101)</f>
        <v/>
      </c>
      <c r="P183" s="130" t="str">
        <f>IF(TRDARTHUR[[#This Row],[2024]]="","",DONNÉES!CU181)</f>
        <v/>
      </c>
      <c r="Q183" s="184" t="str">
        <f>IF(TRDARTHUR[[#This Row],[2024]]="","",DONNÉES!CV181)</f>
        <v/>
      </c>
      <c r="R183" s="185"/>
      <c r="S183" s="130" t="str">
        <f>IF(TRDARTHUR[[#This Row],[2024]]="","",DONNÉES!CU117)</f>
        <v/>
      </c>
      <c r="T183" s="182" t="str">
        <f>IF(TRDARTHUR[[#This Row],[2024]]="","",DONNÉES!CV117)</f>
        <v/>
      </c>
      <c r="U183" s="130" t="str">
        <f>IF(TRDARTHUR[[#This Row],[2024]]="","",DONNÉES!CU197)</f>
        <v/>
      </c>
      <c r="V183" s="130" t="str">
        <f>IF(TRDARTHUR[[#This Row],[2024]]="","",DONNÉES!CV197)</f>
        <v/>
      </c>
    </row>
    <row r="184" spans="1:22" ht="11.65" customHeight="1" x14ac:dyDescent="0.2">
      <c r="A184" s="169" t="s">
        <v>83</v>
      </c>
      <c r="B184" s="130" t="str">
        <f>IF(DONNÉES!CU54="","",DONNÉES!CU54)</f>
        <v/>
      </c>
      <c r="C184" s="182" t="str">
        <f>IF(TRDARTHUR[[#This Row],[2024]]="","",DONNÉES!CV54)</f>
        <v/>
      </c>
      <c r="D184" s="130" t="str">
        <f>IF(TRDARTHUR[[#This Row],[2024]]="","",DONNÉES!CU134)</f>
        <v/>
      </c>
      <c r="E184" s="183" t="str">
        <f>IF(TRDARTHUR[[#This Row],[2024]]="","",DONNÉES!CV134)</f>
        <v/>
      </c>
      <c r="F184" s="130" t="str">
        <f>IF(TRDARTHUR[[#This Row],[2024]]="","",DONNÉES!CU70)</f>
        <v/>
      </c>
      <c r="G184" s="182" t="str">
        <f>IF(TRDARTHUR[[#This Row],[2024]]="","",DONNÉES!CV70)</f>
        <v/>
      </c>
      <c r="H184" s="130" t="str">
        <f>IF(TRDARTHUR[[#This Row],[2024]]="","",DONNÉES!CU150)</f>
        <v/>
      </c>
      <c r="I184" s="183" t="str">
        <f>IF(TRDARTHUR[[#This Row],[2024]]="","",DONNÉES!CV150)</f>
        <v/>
      </c>
      <c r="J184" s="130" t="str">
        <f>IF(TRDARTHUR[[#This Row],[2024]]="","",DONNÉES!CU86)</f>
        <v/>
      </c>
      <c r="K184" s="182" t="str">
        <f>IF(TRDARTHUR[[#This Row],[2024]]="","",DONNÉES!CV86)</f>
        <v/>
      </c>
      <c r="L184" s="130" t="str">
        <f>IF(TRDARTHUR[[#This Row],[2024]]="","",DONNÉES!CU166)</f>
        <v/>
      </c>
      <c r="M184" s="183" t="str">
        <f>IF(TRDARTHUR[[#This Row],[2024]]="","",DONNÉES!CV166)</f>
        <v/>
      </c>
      <c r="N184" s="130" t="str">
        <f>IF(TRDARTHUR[[#This Row],[2024]]="","",DONNÉES!CU102)</f>
        <v/>
      </c>
      <c r="O184" s="182" t="str">
        <f>IF(TRDARTHUR[[#This Row],[2024]]="","",DONNÉES!CV102)</f>
        <v/>
      </c>
      <c r="P184" s="130" t="str">
        <f>IF(TRDARTHUR[[#This Row],[2024]]="","",DONNÉES!CU182)</f>
        <v/>
      </c>
      <c r="Q184" s="184" t="str">
        <f>IF(TRDARTHUR[[#This Row],[2024]]="","",DONNÉES!CV182)</f>
        <v/>
      </c>
      <c r="R184" s="181"/>
      <c r="S184" s="130" t="str">
        <f>IF(TRDARTHUR[[#This Row],[2024]]="","",DONNÉES!CU118)</f>
        <v/>
      </c>
      <c r="T184" s="182" t="str">
        <f>IF(TRDARTHUR[[#This Row],[2024]]="","",DONNÉES!CV118)</f>
        <v/>
      </c>
      <c r="U184" s="130" t="str">
        <f>IF(TRDARTHUR[[#This Row],[2024]]="","",DONNÉES!CU198)</f>
        <v/>
      </c>
      <c r="V184" s="130" t="str">
        <f>IF(TRDARTHUR[[#This Row],[2024]]="","",DONNÉES!CV198)</f>
        <v/>
      </c>
    </row>
    <row r="185" spans="1:22" s="81" customFormat="1" ht="11.65" customHeight="1" x14ac:dyDescent="0.2">
      <c r="A185" s="169" t="s">
        <v>84</v>
      </c>
      <c r="B185" s="130" t="str">
        <f>IF(DONNÉES!CU55="","",DONNÉES!CU55)</f>
        <v/>
      </c>
      <c r="C185" s="182" t="str">
        <f>IF(TRDARTHUR[[#This Row],[2024]]="","",DONNÉES!CV55)</f>
        <v/>
      </c>
      <c r="D185" s="130" t="str">
        <f>IF(TRDARTHUR[[#This Row],[2024]]="","",DONNÉES!CU135)</f>
        <v/>
      </c>
      <c r="E185" s="183" t="str">
        <f>IF(TRDARTHUR[[#This Row],[2024]]="","",DONNÉES!CV135)</f>
        <v/>
      </c>
      <c r="F185" s="130" t="str">
        <f>IF(TRDARTHUR[[#This Row],[2024]]="","",DONNÉES!CU71)</f>
        <v/>
      </c>
      <c r="G185" s="182" t="str">
        <f>IF(TRDARTHUR[[#This Row],[2024]]="","",DONNÉES!CV71)</f>
        <v/>
      </c>
      <c r="H185" s="130" t="str">
        <f>IF(TRDARTHUR[[#This Row],[2024]]="","",DONNÉES!CU151)</f>
        <v/>
      </c>
      <c r="I185" s="183" t="str">
        <f>IF(TRDARTHUR[[#This Row],[2024]]="","",DONNÉES!CV151)</f>
        <v/>
      </c>
      <c r="J185" s="130" t="str">
        <f>IF(TRDARTHUR[[#This Row],[2024]]="","",DONNÉES!CU87)</f>
        <v/>
      </c>
      <c r="K185" s="182" t="str">
        <f>IF(TRDARTHUR[[#This Row],[2024]]="","",DONNÉES!CV87)</f>
        <v/>
      </c>
      <c r="L185" s="130" t="str">
        <f>IF(TRDARTHUR[[#This Row],[2024]]="","",DONNÉES!CU167)</f>
        <v/>
      </c>
      <c r="M185" s="183" t="str">
        <f>IF(TRDARTHUR[[#This Row],[2024]]="","",DONNÉES!CV167)</f>
        <v/>
      </c>
      <c r="N185" s="130" t="str">
        <f>IF(TRDARTHUR[[#This Row],[2024]]="","",DONNÉES!CU103)</f>
        <v/>
      </c>
      <c r="O185" s="182" t="str">
        <f>IF(TRDARTHUR[[#This Row],[2024]]="","",DONNÉES!CV103)</f>
        <v/>
      </c>
      <c r="P185" s="130" t="str">
        <f>IF(TRDARTHUR[[#This Row],[2024]]="","",DONNÉES!CU183)</f>
        <v/>
      </c>
      <c r="Q185" s="184" t="str">
        <f>IF(TRDARTHUR[[#This Row],[2024]]="","",DONNÉES!CV183)</f>
        <v/>
      </c>
      <c r="R185" s="180"/>
      <c r="S185" s="130" t="str">
        <f>IF(TRDARTHUR[[#This Row],[2024]]="","",DONNÉES!CU119)</f>
        <v/>
      </c>
      <c r="T185" s="182" t="str">
        <f>IF(TRDARTHUR[[#This Row],[2024]]="","",DONNÉES!CV119)</f>
        <v/>
      </c>
      <c r="U185" s="130" t="str">
        <f>IF(TRDARTHUR[[#This Row],[2024]]="","",DONNÉES!CU199)</f>
        <v/>
      </c>
      <c r="V185" s="130" t="str">
        <f>IF(TRDARTHUR[[#This Row],[2024]]="","",DONNÉES!CV199)</f>
        <v/>
      </c>
    </row>
    <row r="186" spans="1:22" s="81" customFormat="1" ht="11.65" customHeight="1" x14ac:dyDescent="0.2">
      <c r="A186" s="79"/>
      <c r="B186" s="130"/>
      <c r="C186" s="252"/>
      <c r="D186" s="130"/>
      <c r="E186" s="252"/>
      <c r="F186" s="130"/>
      <c r="G186" s="252"/>
      <c r="H186" s="130"/>
      <c r="I186" s="252"/>
      <c r="J186" s="130"/>
      <c r="K186" s="252"/>
      <c r="L186" s="130"/>
      <c r="M186" s="252"/>
      <c r="N186" s="130"/>
      <c r="O186" s="252"/>
      <c r="P186" s="130"/>
      <c r="Q186" s="184"/>
      <c r="R186" s="180"/>
      <c r="S186" s="130"/>
      <c r="T186" s="252"/>
      <c r="U186" s="130"/>
      <c r="V186" s="130"/>
    </row>
    <row r="187" spans="1:22" ht="14.65" customHeight="1" x14ac:dyDescent="0.2">
      <c r="A187" s="253"/>
      <c r="B187" s="340" t="s">
        <v>195</v>
      </c>
      <c r="C187" s="340"/>
      <c r="D187" s="340"/>
      <c r="E187" s="341"/>
      <c r="F187" s="340" t="s">
        <v>196</v>
      </c>
      <c r="G187" s="340"/>
      <c r="H187" s="340"/>
      <c r="I187" s="341"/>
      <c r="J187" s="340" t="s">
        <v>198</v>
      </c>
      <c r="K187" s="340"/>
      <c r="L187" s="340"/>
      <c r="M187" s="341"/>
      <c r="N187" s="340" t="s">
        <v>199</v>
      </c>
      <c r="O187" s="340"/>
      <c r="P187" s="340"/>
      <c r="Q187" s="340"/>
      <c r="S187" s="342" t="s">
        <v>197</v>
      </c>
      <c r="T187" s="342"/>
      <c r="U187" s="342"/>
      <c r="V187" s="342"/>
    </row>
    <row r="188" spans="1:22" ht="28.9" customHeight="1" x14ac:dyDescent="0.2">
      <c r="A188" s="169" t="s">
        <v>6964</v>
      </c>
      <c r="B188" s="108" t="s">
        <v>6962</v>
      </c>
      <c r="C188" s="166" t="s">
        <v>2169</v>
      </c>
      <c r="D188" s="108" t="s">
        <v>6986</v>
      </c>
      <c r="E188" s="172" t="s">
        <v>6944</v>
      </c>
      <c r="F188" s="211" t="s">
        <v>6987</v>
      </c>
      <c r="G188" s="166" t="s">
        <v>6945</v>
      </c>
      <c r="H188" s="108" t="s">
        <v>6988</v>
      </c>
      <c r="I188" s="172" t="s">
        <v>6946</v>
      </c>
      <c r="J188" s="108" t="s">
        <v>6989</v>
      </c>
      <c r="K188" s="166" t="s">
        <v>6947</v>
      </c>
      <c r="L188" s="108" t="s">
        <v>6990</v>
      </c>
      <c r="M188" s="172" t="s">
        <v>6948</v>
      </c>
      <c r="N188" s="108" t="s">
        <v>6991</v>
      </c>
      <c r="O188" s="166" t="s">
        <v>6949</v>
      </c>
      <c r="P188" s="108" t="s">
        <v>6992</v>
      </c>
      <c r="Q188" s="94" t="s">
        <v>6950</v>
      </c>
      <c r="S188" s="108" t="s">
        <v>6962</v>
      </c>
      <c r="T188" s="166" t="s">
        <v>2169</v>
      </c>
      <c r="U188" s="108" t="s">
        <v>6986</v>
      </c>
      <c r="V188" s="172" t="s">
        <v>6944</v>
      </c>
    </row>
    <row r="189" spans="1:22" ht="11.65" customHeight="1" x14ac:dyDescent="0.2">
      <c r="A189" s="170" t="s">
        <v>73</v>
      </c>
      <c r="B189" s="128">
        <f>IF(DONNÉES!DC44="","",DONNÉES!DC44)</f>
        <v>2119</v>
      </c>
      <c r="C189" s="177">
        <f>IF(TRDHUGO[[#This Row],[2024]]="","",DONNÉES!DD44)</f>
        <v>2624</v>
      </c>
      <c r="D189" s="128">
        <f>IF(TRDHUGO[[#This Row],[2024]]="","",DONNÉES!DC124)</f>
        <v>2119</v>
      </c>
      <c r="E189" s="178">
        <f>IF(TRDHUGO[[#This Row],[2024]]="","",DONNÉES!DD124)</f>
        <v>2624</v>
      </c>
      <c r="F189" s="128">
        <f>IF(TRDHUGO[[#This Row],[2024]]="","",DONNÉES!DC60)</f>
        <v>5422</v>
      </c>
      <c r="G189" s="177">
        <f>IF(TRDHUGO[[#This Row],[2024]]="","",DONNÉES!DD60)</f>
        <v>3573</v>
      </c>
      <c r="H189" s="128">
        <f>IF(TRDHUGO[[#This Row],[2024]]="","",DONNÉES!DC140)</f>
        <v>5422</v>
      </c>
      <c r="I189" s="178">
        <f>IF(TRDHUGO[[#This Row],[2024]]="","",DONNÉES!DD140)</f>
        <v>3573</v>
      </c>
      <c r="J189" s="128">
        <f>IF(TRDHUGO[[#This Row],[2024]]="","",DONNÉES!DC76)</f>
        <v>10873</v>
      </c>
      <c r="K189" s="177">
        <f>IF(TRDHUGO[[#This Row],[2024]]="","",DONNÉES!DD76)</f>
        <v>11542</v>
      </c>
      <c r="L189" s="128">
        <f>IF(TRDHUGO[[#This Row],[2024]]="","",DONNÉES!DC156)</f>
        <v>10873</v>
      </c>
      <c r="M189" s="178">
        <f>IF(TRDHUGO[[#This Row],[2024]]="","",DONNÉES!DD156)</f>
        <v>11542</v>
      </c>
      <c r="N189" s="128">
        <f>IF(TRDHUGO[[#This Row],[2024]]="","",DONNÉES!DC92)</f>
        <v>10092</v>
      </c>
      <c r="O189" s="177">
        <f>IF(TRDHUGO[[#This Row],[2024]]="","",DONNÉES!DD92)</f>
        <v>9427</v>
      </c>
      <c r="P189" s="128">
        <f>IF(TRDHUGO[[#This Row],[2024]]="","",DONNÉES!DC172)</f>
        <v>10092</v>
      </c>
      <c r="Q189" s="179">
        <f>IF(TRDHUGO[[#This Row],[2024]]="","",DONNÉES!DD172)</f>
        <v>9427</v>
      </c>
      <c r="R189" s="180"/>
      <c r="S189" s="128">
        <f>IF(TRDHUGO[[#This Row],[2024]]="","",DONNÉES!DC108)</f>
        <v>28506</v>
      </c>
      <c r="T189" s="177">
        <f>IF(TRDHUGO[[#This Row],[2024]]="","",DONNÉES!DD108)</f>
        <v>27166</v>
      </c>
      <c r="U189" s="128">
        <f>IF(TRDHUGO[[#This Row],[2024]]="","",DONNÉES!DC188)</f>
        <v>28506</v>
      </c>
      <c r="V189" s="128">
        <f>IF(TRDHUGO[[#This Row],[2024]]="","",DONNÉES!DD188)</f>
        <v>27166</v>
      </c>
    </row>
    <row r="190" spans="1:22" s="81" customFormat="1" ht="11.65" customHeight="1" x14ac:dyDescent="0.2">
      <c r="A190" s="170" t="s">
        <v>74</v>
      </c>
      <c r="B190" s="128" t="str">
        <f>IF(DONNÉES!DC45="","",DONNÉES!DC45)</f>
        <v/>
      </c>
      <c r="C190" s="177" t="str">
        <f>IF(TRDHUGO[[#This Row],[2024]]="","",DONNÉES!DD45)</f>
        <v/>
      </c>
      <c r="D190" s="128" t="str">
        <f>IF(TRDHUGO[[#This Row],[2024]]="","",DONNÉES!DC125)</f>
        <v/>
      </c>
      <c r="E190" s="178" t="str">
        <f>IF(TRDHUGO[[#This Row],[2024]]="","",DONNÉES!DD125)</f>
        <v/>
      </c>
      <c r="F190" s="128" t="str">
        <f>IF(TRDHUGO[[#This Row],[2024]]="","",DONNÉES!DC61)</f>
        <v/>
      </c>
      <c r="G190" s="177" t="str">
        <f>IF(TRDHUGO[[#This Row],[2024]]="","",DONNÉES!DD61)</f>
        <v/>
      </c>
      <c r="H190" s="128" t="str">
        <f>IF(TRDHUGO[[#This Row],[2024]]="","",DONNÉES!DC141)</f>
        <v/>
      </c>
      <c r="I190" s="178" t="str">
        <f>IF(TRDHUGO[[#This Row],[2024]]="","",DONNÉES!DD141)</f>
        <v/>
      </c>
      <c r="J190" s="128" t="str">
        <f>IF(TRDHUGO[[#This Row],[2024]]="","",DONNÉES!DC77)</f>
        <v/>
      </c>
      <c r="K190" s="177" t="str">
        <f>IF(TRDHUGO[[#This Row],[2024]]="","",DONNÉES!DD77)</f>
        <v/>
      </c>
      <c r="L190" s="128" t="str">
        <f>IF(TRDHUGO[[#This Row],[2024]]="","",DONNÉES!DC157)</f>
        <v/>
      </c>
      <c r="M190" s="178" t="str">
        <f>IF(TRDHUGO[[#This Row],[2024]]="","",DONNÉES!DD157)</f>
        <v/>
      </c>
      <c r="N190" s="128" t="str">
        <f>IF(TRDHUGO[[#This Row],[2024]]="","",DONNÉES!DC93)</f>
        <v/>
      </c>
      <c r="O190" s="177" t="str">
        <f>IF(TRDHUGO[[#This Row],[2024]]="","",DONNÉES!DD93)</f>
        <v/>
      </c>
      <c r="P190" s="128" t="str">
        <f>IF(TRDHUGO[[#This Row],[2024]]="","",DONNÉES!DC173)</f>
        <v/>
      </c>
      <c r="Q190" s="179" t="str">
        <f>IF(TRDHUGO[[#This Row],[2024]]="","",DONNÉES!DD173)</f>
        <v/>
      </c>
      <c r="R190" s="180"/>
      <c r="S190" s="128" t="str">
        <f>IF(TRDHUGO[[#This Row],[2024]]="","",DONNÉES!DC109)</f>
        <v/>
      </c>
      <c r="T190" s="177" t="str">
        <f>IF(TRDHUGO[[#This Row],[2024]]="","",DONNÉES!DD109)</f>
        <v/>
      </c>
      <c r="U190" s="128" t="str">
        <f>IF(TRDHUGO[[#This Row],[2024]]="","",DONNÉES!DC189)</f>
        <v/>
      </c>
      <c r="V190" s="128" t="str">
        <f>IF(TRDHUGO[[#This Row],[2024]]="","",DONNÉES!DD189)</f>
        <v/>
      </c>
    </row>
    <row r="191" spans="1:22" s="81" customFormat="1" ht="11.65" customHeight="1" x14ac:dyDescent="0.2">
      <c r="A191" s="169" t="s">
        <v>75</v>
      </c>
      <c r="B191" s="128" t="str">
        <f>IF(DONNÉES!DC46="","",DONNÉES!DC46)</f>
        <v/>
      </c>
      <c r="C191" s="177" t="str">
        <f>IF(TRDHUGO[[#This Row],[2024]]="","",DONNÉES!DD46)</f>
        <v/>
      </c>
      <c r="D191" s="128" t="str">
        <f>IF(TRDHUGO[[#This Row],[2024]]="","",DONNÉES!DC126)</f>
        <v/>
      </c>
      <c r="E191" s="178" t="str">
        <f>IF(TRDHUGO[[#This Row],[2024]]="","",DONNÉES!DD126)</f>
        <v/>
      </c>
      <c r="F191" s="128" t="str">
        <f>IF(TRDHUGO[[#This Row],[2024]]="","",DONNÉES!DC62)</f>
        <v/>
      </c>
      <c r="G191" s="177" t="str">
        <f>IF(TRDHUGO[[#This Row],[2024]]="","",DONNÉES!DD62)</f>
        <v/>
      </c>
      <c r="H191" s="128" t="str">
        <f>IF(TRDHUGO[[#This Row],[2024]]="","",DONNÉES!DC142)</f>
        <v/>
      </c>
      <c r="I191" s="178" t="str">
        <f>IF(TRDHUGO[[#This Row],[2024]]="","",DONNÉES!DD142)</f>
        <v/>
      </c>
      <c r="J191" s="128" t="str">
        <f>IF(TRDHUGO[[#This Row],[2024]]="","",DONNÉES!DC78)</f>
        <v/>
      </c>
      <c r="K191" s="177" t="str">
        <f>IF(TRDHUGO[[#This Row],[2024]]="","",DONNÉES!DD78)</f>
        <v/>
      </c>
      <c r="L191" s="128" t="str">
        <f>IF(TRDHUGO[[#This Row],[2024]]="","",DONNÉES!DC158)</f>
        <v/>
      </c>
      <c r="M191" s="178" t="str">
        <f>IF(TRDHUGO[[#This Row],[2024]]="","",DONNÉES!DD158)</f>
        <v/>
      </c>
      <c r="N191" s="128" t="str">
        <f>IF(TRDHUGO[[#This Row],[2024]]="","",DONNÉES!DC94)</f>
        <v/>
      </c>
      <c r="O191" s="177" t="str">
        <f>IF(TRDHUGO[[#This Row],[2024]]="","",DONNÉES!DD94)</f>
        <v/>
      </c>
      <c r="P191" s="128" t="str">
        <f>IF(TRDHUGO[[#This Row],[2024]]="","",DONNÉES!DC174)</f>
        <v/>
      </c>
      <c r="Q191" s="179" t="str">
        <f>IF(TRDHUGO[[#This Row],[2024]]="","",DONNÉES!DD174)</f>
        <v/>
      </c>
      <c r="R191" s="180"/>
      <c r="S191" s="128" t="str">
        <f>IF(TRDHUGO[[#This Row],[2024]]="","",DONNÉES!DC110)</f>
        <v/>
      </c>
      <c r="T191" s="177" t="str">
        <f>IF(TRDHUGO[[#This Row],[2024]]="","",DONNÉES!DD110)</f>
        <v/>
      </c>
      <c r="U191" s="128" t="str">
        <f>IF(TRDHUGO[[#This Row],[2024]]="","",DONNÉES!DC190)</f>
        <v/>
      </c>
      <c r="V191" s="128" t="str">
        <f>IF(TRDHUGO[[#This Row],[2024]]="","",DONNÉES!DD190)</f>
        <v/>
      </c>
    </row>
    <row r="192" spans="1:22" s="81" customFormat="1" ht="11.65" customHeight="1" x14ac:dyDescent="0.2">
      <c r="A192" s="170" t="s">
        <v>76</v>
      </c>
      <c r="B192" s="128" t="str">
        <f>IF(DONNÉES!DC47="","",DONNÉES!DC47)</f>
        <v/>
      </c>
      <c r="C192" s="177" t="str">
        <f>IF(TRDHUGO[[#This Row],[2024]]="","",DONNÉES!DD47)</f>
        <v/>
      </c>
      <c r="D192" s="128" t="str">
        <f>IF(TRDHUGO[[#This Row],[2024]]="","",DONNÉES!DC127)</f>
        <v/>
      </c>
      <c r="E192" s="178" t="str">
        <f>IF(TRDHUGO[[#This Row],[2024]]="","",DONNÉES!DD127)</f>
        <v/>
      </c>
      <c r="F192" s="128" t="str">
        <f>IF(TRDHUGO[[#This Row],[2024]]="","",DONNÉES!DC63)</f>
        <v/>
      </c>
      <c r="G192" s="177" t="str">
        <f>IF(TRDHUGO[[#This Row],[2024]]="","",DONNÉES!DD63)</f>
        <v/>
      </c>
      <c r="H192" s="128" t="str">
        <f>IF(TRDHUGO[[#This Row],[2024]]="","",DONNÉES!DC143)</f>
        <v/>
      </c>
      <c r="I192" s="178" t="str">
        <f>IF(TRDHUGO[[#This Row],[2024]]="","",DONNÉES!DD143)</f>
        <v/>
      </c>
      <c r="J192" s="128" t="str">
        <f>IF(TRDHUGO[[#This Row],[2024]]="","",DONNÉES!DC79)</f>
        <v/>
      </c>
      <c r="K192" s="177" t="str">
        <f>IF(TRDHUGO[[#This Row],[2024]]="","",DONNÉES!DD79)</f>
        <v/>
      </c>
      <c r="L192" s="128" t="str">
        <f>IF(TRDHUGO[[#This Row],[2024]]="","",DONNÉES!DC159)</f>
        <v/>
      </c>
      <c r="M192" s="178" t="str">
        <f>IF(TRDHUGO[[#This Row],[2024]]="","",DONNÉES!DD159)</f>
        <v/>
      </c>
      <c r="N192" s="128" t="str">
        <f>IF(TRDHUGO[[#This Row],[2024]]="","",DONNÉES!DC95)</f>
        <v/>
      </c>
      <c r="O192" s="177" t="str">
        <f>IF(TRDHUGO[[#This Row],[2024]]="","",DONNÉES!DD95)</f>
        <v/>
      </c>
      <c r="P192" s="128" t="str">
        <f>IF(TRDHUGO[[#This Row],[2024]]="","",DONNÉES!DC175)</f>
        <v/>
      </c>
      <c r="Q192" s="179" t="str">
        <f>IF(TRDHUGO[[#This Row],[2024]]="","",DONNÉES!DD175)</f>
        <v/>
      </c>
      <c r="R192" s="181"/>
      <c r="S192" s="128" t="str">
        <f>IF(TRDHUGO[[#This Row],[2024]]="","",DONNÉES!DC111)</f>
        <v/>
      </c>
      <c r="T192" s="177" t="str">
        <f>IF(TRDHUGO[[#This Row],[2024]]="","",DONNÉES!DD111)</f>
        <v/>
      </c>
      <c r="U192" s="128" t="str">
        <f>IF(TRDHUGO[[#This Row],[2024]]="","",DONNÉES!DC191)</f>
        <v/>
      </c>
      <c r="V192" s="128" t="str">
        <f>IF(TRDHUGO[[#This Row],[2024]]="","",DONNÉES!DD191)</f>
        <v/>
      </c>
    </row>
    <row r="193" spans="1:22" ht="11.65" customHeight="1" x14ac:dyDescent="0.2">
      <c r="A193" s="169" t="s">
        <v>77</v>
      </c>
      <c r="B193" s="128" t="str">
        <f>IF(DONNÉES!DC48="","",DONNÉES!DC48)</f>
        <v/>
      </c>
      <c r="C193" s="177" t="str">
        <f>IF(TRDHUGO[[#This Row],[2024]]="","",DONNÉES!DD48)</f>
        <v/>
      </c>
      <c r="D193" s="128" t="str">
        <f>IF(TRDHUGO[[#This Row],[2024]]="","",DONNÉES!DC128)</f>
        <v/>
      </c>
      <c r="E193" s="178" t="str">
        <f>IF(TRDHUGO[[#This Row],[2024]]="","",DONNÉES!DD128)</f>
        <v/>
      </c>
      <c r="F193" s="128" t="str">
        <f>IF(TRDHUGO[[#This Row],[2024]]="","",DONNÉES!DC64)</f>
        <v/>
      </c>
      <c r="G193" s="177" t="str">
        <f>IF(TRDHUGO[[#This Row],[2024]]="","",DONNÉES!DD64)</f>
        <v/>
      </c>
      <c r="H193" s="128" t="str">
        <f>IF(TRDHUGO[[#This Row],[2024]]="","",DONNÉES!DC144)</f>
        <v/>
      </c>
      <c r="I193" s="178" t="str">
        <f>IF(TRDHUGO[[#This Row],[2024]]="","",DONNÉES!DD144)</f>
        <v/>
      </c>
      <c r="J193" s="128" t="str">
        <f>IF(TRDHUGO[[#This Row],[2024]]="","",DONNÉES!DC80)</f>
        <v/>
      </c>
      <c r="K193" s="177" t="str">
        <f>IF(TRDHUGO[[#This Row],[2024]]="","",DONNÉES!DD80)</f>
        <v/>
      </c>
      <c r="L193" s="128" t="str">
        <f>IF(TRDHUGO[[#This Row],[2024]]="","",DONNÉES!DC160)</f>
        <v/>
      </c>
      <c r="M193" s="178" t="str">
        <f>IF(TRDHUGO[[#This Row],[2024]]="","",DONNÉES!DD160)</f>
        <v/>
      </c>
      <c r="N193" s="128" t="str">
        <f>IF(TRDHUGO[[#This Row],[2024]]="","",DONNÉES!DC96)</f>
        <v/>
      </c>
      <c r="O193" s="177" t="str">
        <f>IF(TRDHUGO[[#This Row],[2024]]="","",DONNÉES!DD96)</f>
        <v/>
      </c>
      <c r="P193" s="128" t="str">
        <f>IF(TRDHUGO[[#This Row],[2024]]="","",DONNÉES!DC176)</f>
        <v/>
      </c>
      <c r="Q193" s="179" t="str">
        <f>IF(TRDHUGO[[#This Row],[2024]]="","",DONNÉES!DD176)</f>
        <v/>
      </c>
      <c r="R193" s="181"/>
      <c r="S193" s="128" t="str">
        <f>IF(TRDHUGO[[#This Row],[2024]]="","",DONNÉES!DC112)</f>
        <v/>
      </c>
      <c r="T193" s="177" t="str">
        <f>IF(TRDHUGO[[#This Row],[2024]]="","",DONNÉES!DD112)</f>
        <v/>
      </c>
      <c r="U193" s="128" t="str">
        <f>IF(TRDHUGO[[#This Row],[2024]]="","",DONNÉES!DC192)</f>
        <v/>
      </c>
      <c r="V193" s="128" t="str">
        <f>IF(TRDHUGO[[#This Row],[2024]]="","",DONNÉES!DD192)</f>
        <v/>
      </c>
    </row>
    <row r="194" spans="1:22" ht="11.65" customHeight="1" x14ac:dyDescent="0.2">
      <c r="A194" s="170" t="s">
        <v>78</v>
      </c>
      <c r="B194" s="128" t="str">
        <f>IF(DONNÉES!DC49="","",DONNÉES!DC49)</f>
        <v/>
      </c>
      <c r="C194" s="177" t="str">
        <f>IF(TRDHUGO[[#This Row],[2024]]="","",DONNÉES!DD49)</f>
        <v/>
      </c>
      <c r="D194" s="128" t="str">
        <f>IF(TRDHUGO[[#This Row],[2024]]="","",DONNÉES!DC129)</f>
        <v/>
      </c>
      <c r="E194" s="178" t="str">
        <f>IF(TRDHUGO[[#This Row],[2024]]="","",DONNÉES!DD129)</f>
        <v/>
      </c>
      <c r="F194" s="128" t="str">
        <f>IF(TRDHUGO[[#This Row],[2024]]="","",DONNÉES!DC65)</f>
        <v/>
      </c>
      <c r="G194" s="177" t="str">
        <f>IF(TRDHUGO[[#This Row],[2024]]="","",DONNÉES!DD65)</f>
        <v/>
      </c>
      <c r="H194" s="128" t="str">
        <f>IF(TRDHUGO[[#This Row],[2024]]="","",DONNÉES!DC145)</f>
        <v/>
      </c>
      <c r="I194" s="178" t="str">
        <f>IF(TRDHUGO[[#This Row],[2024]]="","",DONNÉES!DD145)</f>
        <v/>
      </c>
      <c r="J194" s="128" t="str">
        <f>IF(TRDHUGO[[#This Row],[2024]]="","",DONNÉES!DC81)</f>
        <v/>
      </c>
      <c r="K194" s="177" t="str">
        <f>IF(TRDHUGO[[#This Row],[2024]]="","",DONNÉES!DD81)</f>
        <v/>
      </c>
      <c r="L194" s="128" t="str">
        <f>IF(TRDHUGO[[#This Row],[2024]]="","",DONNÉES!DC161)</f>
        <v/>
      </c>
      <c r="M194" s="178" t="str">
        <f>IF(TRDHUGO[[#This Row],[2024]]="","",DONNÉES!DD161)</f>
        <v/>
      </c>
      <c r="N194" s="128" t="str">
        <f>IF(TRDHUGO[[#This Row],[2024]]="","",DONNÉES!DC97)</f>
        <v/>
      </c>
      <c r="O194" s="177" t="str">
        <f>IF(TRDHUGO[[#This Row],[2024]]="","",DONNÉES!DD97)</f>
        <v/>
      </c>
      <c r="P194" s="128" t="str">
        <f>IF(TRDHUGO[[#This Row],[2024]]="","",DONNÉES!DC177)</f>
        <v/>
      </c>
      <c r="Q194" s="179" t="str">
        <f>IF(TRDHUGO[[#This Row],[2024]]="","",DONNÉES!DD177)</f>
        <v/>
      </c>
      <c r="R194" s="181"/>
      <c r="S194" s="128" t="str">
        <f>IF(TRDHUGO[[#This Row],[2024]]="","",DONNÉES!DC113)</f>
        <v/>
      </c>
      <c r="T194" s="177" t="str">
        <f>IF(TRDHUGO[[#This Row],[2024]]="","",DONNÉES!DD113)</f>
        <v/>
      </c>
      <c r="U194" s="128" t="str">
        <f>IF(TRDHUGO[[#This Row],[2024]]="","",DONNÉES!DC193)</f>
        <v/>
      </c>
      <c r="V194" s="128" t="str">
        <f>IF(TRDHUGO[[#This Row],[2024]]="","",DONNÉES!DD193)</f>
        <v/>
      </c>
    </row>
    <row r="195" spans="1:22" ht="11.65" customHeight="1" x14ac:dyDescent="0.2">
      <c r="A195" s="169" t="s">
        <v>79</v>
      </c>
      <c r="B195" s="128" t="str">
        <f>IF(DONNÉES!DC50="","",DONNÉES!DC50)</f>
        <v/>
      </c>
      <c r="C195" s="177" t="str">
        <f>IF(TRDHUGO[[#This Row],[2024]]="","",DONNÉES!DD50)</f>
        <v/>
      </c>
      <c r="D195" s="128" t="str">
        <f>IF(TRDHUGO[[#This Row],[2024]]="","",DONNÉES!DC130)</f>
        <v/>
      </c>
      <c r="E195" s="178" t="str">
        <f>IF(TRDHUGO[[#This Row],[2024]]="","",DONNÉES!DD130)</f>
        <v/>
      </c>
      <c r="F195" s="128" t="str">
        <f>IF(TRDHUGO[[#This Row],[2024]]="","",DONNÉES!DC66)</f>
        <v/>
      </c>
      <c r="G195" s="177" t="str">
        <f>IF(TRDHUGO[[#This Row],[2024]]="","",DONNÉES!DD66)</f>
        <v/>
      </c>
      <c r="H195" s="128" t="str">
        <f>IF(TRDHUGO[[#This Row],[2024]]="","",DONNÉES!DC146)</f>
        <v/>
      </c>
      <c r="I195" s="178" t="str">
        <f>IF(TRDHUGO[[#This Row],[2024]]="","",DONNÉES!DD146)</f>
        <v/>
      </c>
      <c r="J195" s="128" t="str">
        <f>IF(TRDHUGO[[#This Row],[2024]]="","",DONNÉES!DC82)</f>
        <v/>
      </c>
      <c r="K195" s="177" t="str">
        <f>IF(TRDHUGO[[#This Row],[2024]]="","",DONNÉES!DD82)</f>
        <v/>
      </c>
      <c r="L195" s="128" t="str">
        <f>IF(TRDHUGO[[#This Row],[2024]]="","",DONNÉES!DC162)</f>
        <v/>
      </c>
      <c r="M195" s="178" t="str">
        <f>IF(TRDHUGO[[#This Row],[2024]]="","",DONNÉES!DD162)</f>
        <v/>
      </c>
      <c r="N195" s="128" t="str">
        <f>IF(TRDHUGO[[#This Row],[2024]]="","",DONNÉES!DC98)</f>
        <v/>
      </c>
      <c r="O195" s="177" t="str">
        <f>IF(TRDHUGO[[#This Row],[2024]]="","",DONNÉES!DD98)</f>
        <v/>
      </c>
      <c r="P195" s="128" t="str">
        <f>IF(TRDHUGO[[#This Row],[2024]]="","",DONNÉES!DC178)</f>
        <v/>
      </c>
      <c r="Q195" s="179" t="str">
        <f>IF(TRDHUGO[[#This Row],[2024]]="","",DONNÉES!DD178)</f>
        <v/>
      </c>
      <c r="R195" s="181"/>
      <c r="S195" s="128" t="str">
        <f>IF(TRDHUGO[[#This Row],[2024]]="","",DONNÉES!DC114)</f>
        <v/>
      </c>
      <c r="T195" s="177" t="str">
        <f>IF(TRDHUGO[[#This Row],[2024]]="","",DONNÉES!DD114)</f>
        <v/>
      </c>
      <c r="U195" s="128" t="str">
        <f>IF(TRDHUGO[[#This Row],[2024]]="","",DONNÉES!DC194)</f>
        <v/>
      </c>
      <c r="V195" s="128" t="str">
        <f>IF(TRDHUGO[[#This Row],[2024]]="","",DONNÉES!DD194)</f>
        <v/>
      </c>
    </row>
    <row r="196" spans="1:22" ht="11.65" customHeight="1" x14ac:dyDescent="0.2">
      <c r="A196" s="170" t="s">
        <v>80</v>
      </c>
      <c r="B196" s="128" t="str">
        <f>IF(DONNÉES!DC51="","",DONNÉES!DC51)</f>
        <v/>
      </c>
      <c r="C196" s="177" t="str">
        <f>IF(TRDHUGO[[#This Row],[2024]]="","",DONNÉES!DD51)</f>
        <v/>
      </c>
      <c r="D196" s="128" t="str">
        <f>IF(TRDHUGO[[#This Row],[2024]]="","",DONNÉES!DC131)</f>
        <v/>
      </c>
      <c r="E196" s="178" t="str">
        <f>IF(TRDHUGO[[#This Row],[2024]]="","",DONNÉES!DD131)</f>
        <v/>
      </c>
      <c r="F196" s="128" t="str">
        <f>IF(TRDHUGO[[#This Row],[2024]]="","",DONNÉES!DC67)</f>
        <v/>
      </c>
      <c r="G196" s="177" t="str">
        <f>IF(TRDHUGO[[#This Row],[2024]]="","",DONNÉES!DD67)</f>
        <v/>
      </c>
      <c r="H196" s="128" t="str">
        <f>IF(TRDHUGO[[#This Row],[2024]]="","",DONNÉES!DC147)</f>
        <v/>
      </c>
      <c r="I196" s="178" t="str">
        <f>IF(TRDHUGO[[#This Row],[2024]]="","",DONNÉES!DD147)</f>
        <v/>
      </c>
      <c r="J196" s="128" t="str">
        <f>IF(TRDHUGO[[#This Row],[2024]]="","",DONNÉES!DC83)</f>
        <v/>
      </c>
      <c r="K196" s="177" t="str">
        <f>IF(TRDHUGO[[#This Row],[2024]]="","",DONNÉES!DD83)</f>
        <v/>
      </c>
      <c r="L196" s="128" t="str">
        <f>IF(TRDHUGO[[#This Row],[2024]]="","",DONNÉES!DC163)</f>
        <v/>
      </c>
      <c r="M196" s="178" t="str">
        <f>IF(TRDHUGO[[#This Row],[2024]]="","",DONNÉES!DD163)</f>
        <v/>
      </c>
      <c r="N196" s="128" t="str">
        <f>IF(TRDHUGO[[#This Row],[2024]]="","",DONNÉES!DC99)</f>
        <v/>
      </c>
      <c r="O196" s="177" t="str">
        <f>IF(TRDHUGO[[#This Row],[2024]]="","",DONNÉES!DD99)</f>
        <v/>
      </c>
      <c r="P196" s="128" t="str">
        <f>IF(TRDHUGO[[#This Row],[2024]]="","",DONNÉES!DC179)</f>
        <v/>
      </c>
      <c r="Q196" s="179" t="str">
        <f>IF(TRDHUGO[[#This Row],[2024]]="","",DONNÉES!DD179)</f>
        <v/>
      </c>
      <c r="R196" s="181"/>
      <c r="S196" s="128" t="str">
        <f>IF(TRDHUGO[[#This Row],[2024]]="","",DONNÉES!DC115)</f>
        <v/>
      </c>
      <c r="T196" s="177" t="str">
        <f>IF(TRDHUGO[[#This Row],[2024]]="","",DONNÉES!DD115)</f>
        <v/>
      </c>
      <c r="U196" s="128" t="str">
        <f>IF(TRDHUGO[[#This Row],[2024]]="","",DONNÉES!DC195)</f>
        <v/>
      </c>
      <c r="V196" s="128" t="str">
        <f>IF(TRDHUGO[[#This Row],[2024]]="","",DONNÉES!DD195)</f>
        <v/>
      </c>
    </row>
    <row r="197" spans="1:22" ht="11.65" customHeight="1" x14ac:dyDescent="0.2">
      <c r="A197" s="169" t="s">
        <v>81</v>
      </c>
      <c r="B197" s="128" t="str">
        <f>IF(DONNÉES!DC52="","",DONNÉES!DC52)</f>
        <v/>
      </c>
      <c r="C197" s="177" t="str">
        <f>IF(TRDHUGO[[#This Row],[2024]]="","",DONNÉES!DD52)</f>
        <v/>
      </c>
      <c r="D197" s="128" t="str">
        <f>IF(TRDHUGO[[#This Row],[2024]]="","",DONNÉES!DC132)</f>
        <v/>
      </c>
      <c r="E197" s="183" t="str">
        <f>IF(TRDHUGO[[#This Row],[2024]]="","",DONNÉES!DD132)</f>
        <v/>
      </c>
      <c r="F197" s="128" t="str">
        <f>IF(TRDHUGO[[#This Row],[2024]]="","",DONNÉES!DC68)</f>
        <v/>
      </c>
      <c r="G197" s="177" t="str">
        <f>IF(TRDHUGO[[#This Row],[2024]]="","",DONNÉES!DD68)</f>
        <v/>
      </c>
      <c r="H197" s="130" t="str">
        <f>IF(TRDHUGO[[#This Row],[2024]]="","",DONNÉES!DC148)</f>
        <v/>
      </c>
      <c r="I197" s="183" t="str">
        <f>IF(TRDHUGO[[#This Row],[2024]]="","",DONNÉES!DD148)</f>
        <v/>
      </c>
      <c r="J197" s="130" t="str">
        <f>IF(TRDHUGO[[#This Row],[2024]]="","",DONNÉES!DC84)</f>
        <v/>
      </c>
      <c r="K197" s="182" t="str">
        <f>IF(TRDHUGO[[#This Row],[2024]]="","",DONNÉES!DD84)</f>
        <v/>
      </c>
      <c r="L197" s="130" t="str">
        <f>IF(TRDHUGO[[#This Row],[2024]]="","",DONNÉES!DC164)</f>
        <v/>
      </c>
      <c r="M197" s="183" t="str">
        <f>IF(TRDHUGO[[#This Row],[2024]]="","",DONNÉES!DD164)</f>
        <v/>
      </c>
      <c r="N197" s="130" t="str">
        <f>IF(TRDHUGO[[#This Row],[2024]]="","",DONNÉES!DC100)</f>
        <v/>
      </c>
      <c r="O197" s="182" t="str">
        <f>IF(TRDHUGO[[#This Row],[2024]]="","",DONNÉES!DD100)</f>
        <v/>
      </c>
      <c r="P197" s="130" t="str">
        <f>IF(TRDHUGO[[#This Row],[2024]]="","",DONNÉES!DC180)</f>
        <v/>
      </c>
      <c r="Q197" s="184" t="str">
        <f>IF(TRDHUGO[[#This Row],[2024]]="","",DONNÉES!DD180)</f>
        <v/>
      </c>
      <c r="R197" s="185"/>
      <c r="S197" s="130" t="str">
        <f>IF(TRDHUGO[[#This Row],[2024]]="","",DONNÉES!DC116)</f>
        <v/>
      </c>
      <c r="T197" s="182" t="str">
        <f>IF(TRDHUGO[[#This Row],[2024]]="","",DONNÉES!DD116)</f>
        <v/>
      </c>
      <c r="U197" s="130" t="str">
        <f>IF(TRDHUGO[[#This Row],[2024]]="","",DONNÉES!DC196)</f>
        <v/>
      </c>
      <c r="V197" s="130" t="str">
        <f>IF(TRDHUGO[[#This Row],[2024]]="","",DONNÉES!DD196)</f>
        <v/>
      </c>
    </row>
    <row r="198" spans="1:22" ht="11.65" customHeight="1" x14ac:dyDescent="0.2">
      <c r="A198" s="170" t="s">
        <v>82</v>
      </c>
      <c r="B198" s="128" t="str">
        <f>IF(DONNÉES!DC53="","",DONNÉES!DC53)</f>
        <v/>
      </c>
      <c r="C198" s="177" t="str">
        <f>IF(TRDHUGO[[#This Row],[2024]]="","",DONNÉES!DD53)</f>
        <v/>
      </c>
      <c r="D198" s="128" t="str">
        <f>IF(TRDHUGO[[#This Row],[2024]]="","",DONNÉES!DC133)</f>
        <v/>
      </c>
      <c r="E198" s="183" t="str">
        <f>IF(TRDHUGO[[#This Row],[2024]]="","",DONNÉES!DD133)</f>
        <v/>
      </c>
      <c r="F198" s="128" t="str">
        <f>IF(TRDHUGO[[#This Row],[2024]]="","",DONNÉES!DC69)</f>
        <v/>
      </c>
      <c r="G198" s="177" t="str">
        <f>IF(TRDHUGO[[#This Row],[2024]]="","",DONNÉES!DD69)</f>
        <v/>
      </c>
      <c r="H198" s="130" t="str">
        <f>IF(TRDHUGO[[#This Row],[2024]]="","",DONNÉES!DC149)</f>
        <v/>
      </c>
      <c r="I198" s="183" t="str">
        <f>IF(TRDHUGO[[#This Row],[2024]]="","",DONNÉES!DD149)</f>
        <v/>
      </c>
      <c r="J198" s="130" t="str">
        <f>IF(TRDHUGO[[#This Row],[2024]]="","",DONNÉES!DC85)</f>
        <v/>
      </c>
      <c r="K198" s="182" t="str">
        <f>IF(TRDHUGO[[#This Row],[2024]]="","",DONNÉES!DD85)</f>
        <v/>
      </c>
      <c r="L198" s="130" t="str">
        <f>IF(TRDHUGO[[#This Row],[2024]]="","",DONNÉES!DC165)</f>
        <v/>
      </c>
      <c r="M198" s="183" t="str">
        <f>IF(TRDHUGO[[#This Row],[2024]]="","",DONNÉES!DD165)</f>
        <v/>
      </c>
      <c r="N198" s="130" t="str">
        <f>IF(TRDHUGO[[#This Row],[2024]]="","",DONNÉES!DC101)</f>
        <v/>
      </c>
      <c r="O198" s="182" t="str">
        <f>IF(TRDHUGO[[#This Row],[2024]]="","",DONNÉES!DD101)</f>
        <v/>
      </c>
      <c r="P198" s="130" t="str">
        <f>IF(TRDHUGO[[#This Row],[2024]]="","",DONNÉES!DC181)</f>
        <v/>
      </c>
      <c r="Q198" s="184" t="str">
        <f>IF(TRDHUGO[[#This Row],[2024]]="","",DONNÉES!DD181)</f>
        <v/>
      </c>
      <c r="R198" s="181"/>
      <c r="S198" s="130" t="str">
        <f>IF(TRDHUGO[[#This Row],[2024]]="","",DONNÉES!DC117)</f>
        <v/>
      </c>
      <c r="T198" s="182" t="str">
        <f>IF(TRDHUGO[[#This Row],[2024]]="","",DONNÉES!DD117)</f>
        <v/>
      </c>
      <c r="U198" s="130" t="str">
        <f>IF(TRDHUGO[[#This Row],[2024]]="","",DONNÉES!DC197)</f>
        <v/>
      </c>
      <c r="V198" s="130" t="str">
        <f>IF(TRDHUGO[[#This Row],[2024]]="","",DONNÉES!DD197)</f>
        <v/>
      </c>
    </row>
    <row r="199" spans="1:22" ht="11.65" customHeight="1" x14ac:dyDescent="0.2">
      <c r="A199" s="169" t="s">
        <v>83</v>
      </c>
      <c r="B199" s="128" t="str">
        <f>IF(DONNÉES!DC54="","",DONNÉES!DC54)</f>
        <v/>
      </c>
      <c r="C199" s="177" t="str">
        <f>IF(TRDHUGO[[#This Row],[2024]]="","",DONNÉES!DD54)</f>
        <v/>
      </c>
      <c r="D199" s="128" t="str">
        <f>IF(TRDHUGO[[#This Row],[2024]]="","",DONNÉES!DC134)</f>
        <v/>
      </c>
      <c r="E199" s="183" t="str">
        <f>IF(TRDHUGO[[#This Row],[2024]]="","",DONNÉES!DD134)</f>
        <v/>
      </c>
      <c r="F199" s="128" t="str">
        <f>IF(TRDHUGO[[#This Row],[2024]]="","",DONNÉES!DC70)</f>
        <v/>
      </c>
      <c r="G199" s="177" t="str">
        <f>IF(TRDHUGO[[#This Row],[2024]]="","",DONNÉES!DD70)</f>
        <v/>
      </c>
      <c r="H199" s="130" t="str">
        <f>IF(TRDHUGO[[#This Row],[2024]]="","",DONNÉES!DC150)</f>
        <v/>
      </c>
      <c r="I199" s="183" t="str">
        <f>IF(TRDHUGO[[#This Row],[2024]]="","",DONNÉES!DD150)</f>
        <v/>
      </c>
      <c r="J199" s="130" t="str">
        <f>IF(TRDHUGO[[#This Row],[2024]]="","",DONNÉES!DC86)</f>
        <v/>
      </c>
      <c r="K199" s="182" t="str">
        <f>IF(TRDHUGO[[#This Row],[2024]]="","",DONNÉES!DD86)</f>
        <v/>
      </c>
      <c r="L199" s="130" t="str">
        <f>IF(TRDHUGO[[#This Row],[2024]]="","",DONNÉES!DC166)</f>
        <v/>
      </c>
      <c r="M199" s="183" t="str">
        <f>IF(TRDHUGO[[#This Row],[2024]]="","",DONNÉES!DD166)</f>
        <v/>
      </c>
      <c r="N199" s="130" t="str">
        <f>IF(TRDHUGO[[#This Row],[2024]]="","",DONNÉES!DC102)</f>
        <v/>
      </c>
      <c r="O199" s="182" t="str">
        <f>IF(TRDHUGO[[#This Row],[2024]]="","",DONNÉES!DD102)</f>
        <v/>
      </c>
      <c r="P199" s="130" t="str">
        <f>IF(TRDHUGO[[#This Row],[2024]]="","",DONNÉES!DC182)</f>
        <v/>
      </c>
      <c r="Q199" s="184" t="str">
        <f>IF(TRDHUGO[[#This Row],[2024]]="","",DONNÉES!DD182)</f>
        <v/>
      </c>
      <c r="R199" s="180"/>
      <c r="S199" s="130" t="str">
        <f>IF(TRDHUGO[[#This Row],[2024]]="","",DONNÉES!DC118)</f>
        <v/>
      </c>
      <c r="T199" s="182" t="str">
        <f>IF(TRDHUGO[[#This Row],[2024]]="","",DONNÉES!DD118)</f>
        <v/>
      </c>
      <c r="U199" s="130" t="str">
        <f>IF(TRDHUGO[[#This Row],[2024]]="","",DONNÉES!DC198)</f>
        <v/>
      </c>
      <c r="V199" s="130" t="str">
        <f>IF(TRDHUGO[[#This Row],[2024]]="","",DONNÉES!DD198)</f>
        <v/>
      </c>
    </row>
    <row r="200" spans="1:22" s="81" customFormat="1" ht="11.65" customHeight="1" x14ac:dyDescent="0.2">
      <c r="A200" s="169" t="s">
        <v>84</v>
      </c>
      <c r="B200" s="128" t="str">
        <f>IF(DONNÉES!DC55="","",DONNÉES!DC55)</f>
        <v/>
      </c>
      <c r="C200" s="177" t="str">
        <f>IF(TRDHUGO[[#This Row],[2024]]="","",DONNÉES!DD55)</f>
        <v/>
      </c>
      <c r="D200" s="128" t="str">
        <f>IF(TRDHUGO[[#This Row],[2024]]="","",DONNÉES!DC164)</f>
        <v/>
      </c>
      <c r="E200" s="183" t="str">
        <f>IF(TRDHUGO[[#This Row],[2024]]="","",DONNÉES!DD135)</f>
        <v/>
      </c>
      <c r="F200" s="128" t="str">
        <f>IF(TRDHUGO[[#This Row],[2024]]="","",DONNÉES!DC71)</f>
        <v/>
      </c>
      <c r="G200" s="177" t="str">
        <f>IF(TRDHUGO[[#This Row],[2024]]="","",DONNÉES!DD71)</f>
        <v/>
      </c>
      <c r="H200" s="130" t="str">
        <f>IF(TRDHUGO[[#This Row],[2024]]="","",DONNÉES!DC151)</f>
        <v/>
      </c>
      <c r="I200" s="183" t="str">
        <f>IF(TRDHUGO[[#This Row],[2024]]="","",DONNÉES!DD151)</f>
        <v/>
      </c>
      <c r="J200" s="130" t="str">
        <f>IF(TRDHUGO[[#This Row],[2024]]="","",DONNÉES!DC87)</f>
        <v/>
      </c>
      <c r="K200" s="182" t="str">
        <f>IF(TRDHUGO[[#This Row],[2024]]="","",DONNÉES!DD87)</f>
        <v/>
      </c>
      <c r="L200" s="130" t="str">
        <f>IF(TRDHUGO[[#This Row],[2024]]="","",DONNÉES!DC167)</f>
        <v/>
      </c>
      <c r="M200" s="183" t="str">
        <f>IF(TRDHUGO[[#This Row],[2024]]="","",DONNÉES!DD167)</f>
        <v/>
      </c>
      <c r="N200" s="130" t="str">
        <f>IF(TRDHUGO[[#This Row],[2024]]="","",DONNÉES!DC103)</f>
        <v/>
      </c>
      <c r="O200" s="182" t="str">
        <f>IF(TRDHUGO[[#This Row],[2024]]="","",DONNÉES!DD103)</f>
        <v/>
      </c>
      <c r="P200" s="130" t="str">
        <f>IF(TRDHUGO[[#This Row],[2024]]="","",DONNÉES!DC183)</f>
        <v/>
      </c>
      <c r="Q200" s="184" t="str">
        <f>IF(TRDHUGO[[#This Row],[2024]]="","",DONNÉES!DD183)</f>
        <v/>
      </c>
      <c r="R200" s="180"/>
      <c r="S200" s="130" t="str">
        <f>IF(TRDHUGO[[#This Row],[2024]]="","",DONNÉES!DC119)</f>
        <v/>
      </c>
      <c r="T200" s="182" t="str">
        <f>IF(TRDHUGO[[#This Row],[2024]]="","",DONNÉES!DD119)</f>
        <v/>
      </c>
      <c r="U200" s="130" t="str">
        <f>IF(TRDHUGO[[#This Row],[2024]]="","",DONNÉES!DC199)</f>
        <v/>
      </c>
      <c r="V200" s="130" t="str">
        <f>IF(TRDHUGO[[#This Row],[2024]]="","",DONNÉES!DD199)</f>
        <v/>
      </c>
    </row>
    <row r="201" spans="1:22" s="81" customFormat="1" ht="11.65" customHeight="1" x14ac:dyDescent="0.2">
      <c r="A201" s="79"/>
      <c r="B201" s="112"/>
      <c r="C201" s="112"/>
      <c r="D201" s="101"/>
      <c r="E201" s="112"/>
      <c r="F201" s="112"/>
      <c r="G201" s="118"/>
      <c r="H201" s="79"/>
      <c r="I201" s="82"/>
      <c r="J201" s="112"/>
      <c r="K201" s="112"/>
      <c r="L201" s="101"/>
      <c r="M201" s="118"/>
      <c r="N201" s="79"/>
      <c r="O201" s="79"/>
      <c r="P201" s="79"/>
      <c r="Q201" s="79"/>
      <c r="R201" s="180"/>
      <c r="S201" s="79"/>
      <c r="T201" s="79"/>
      <c r="U201" s="79"/>
      <c r="V201" s="79"/>
    </row>
    <row r="202" spans="1:22" ht="14.65" customHeight="1" x14ac:dyDescent="0.2">
      <c r="A202" s="253"/>
      <c r="B202" s="340" t="s">
        <v>195</v>
      </c>
      <c r="C202" s="340"/>
      <c r="D202" s="340"/>
      <c r="E202" s="341"/>
      <c r="F202" s="340" t="s">
        <v>196</v>
      </c>
      <c r="G202" s="340"/>
      <c r="H202" s="340"/>
      <c r="I202" s="341"/>
      <c r="J202" s="340" t="s">
        <v>198</v>
      </c>
      <c r="K202" s="340"/>
      <c r="L202" s="340"/>
      <c r="M202" s="341"/>
      <c r="N202" s="340" t="s">
        <v>199</v>
      </c>
      <c r="O202" s="340"/>
      <c r="P202" s="340"/>
      <c r="Q202" s="340"/>
      <c r="S202" s="342" t="s">
        <v>197</v>
      </c>
      <c r="T202" s="342"/>
      <c r="U202" s="342"/>
      <c r="V202" s="342"/>
    </row>
    <row r="203" spans="1:22" ht="28.9" customHeight="1" x14ac:dyDescent="0.2">
      <c r="A203" s="169" t="s">
        <v>6966</v>
      </c>
      <c r="B203" s="108" t="s">
        <v>6962</v>
      </c>
      <c r="C203" s="166" t="s">
        <v>2169</v>
      </c>
      <c r="D203" s="108" t="s">
        <v>6986</v>
      </c>
      <c r="E203" s="172" t="s">
        <v>6944</v>
      </c>
      <c r="F203" s="211" t="s">
        <v>6987</v>
      </c>
      <c r="G203" s="166" t="s">
        <v>6945</v>
      </c>
      <c r="H203" s="108" t="s">
        <v>6988</v>
      </c>
      <c r="I203" s="172" t="s">
        <v>6946</v>
      </c>
      <c r="J203" s="108" t="s">
        <v>6989</v>
      </c>
      <c r="K203" s="166" t="s">
        <v>6947</v>
      </c>
      <c r="L203" s="108" t="s">
        <v>6990</v>
      </c>
      <c r="M203" s="172" t="s">
        <v>6948</v>
      </c>
      <c r="N203" s="108" t="s">
        <v>6991</v>
      </c>
      <c r="O203" s="166" t="s">
        <v>6949</v>
      </c>
      <c r="P203" s="108" t="s">
        <v>6992</v>
      </c>
      <c r="Q203" s="94" t="s">
        <v>6950</v>
      </c>
      <c r="S203" s="108" t="s">
        <v>6962</v>
      </c>
      <c r="T203" s="166" t="s">
        <v>2169</v>
      </c>
      <c r="U203" s="108" t="s">
        <v>6986</v>
      </c>
      <c r="V203" s="172" t="s">
        <v>6944</v>
      </c>
    </row>
    <row r="204" spans="1:22" ht="11.65" customHeight="1" x14ac:dyDescent="0.2">
      <c r="A204" s="170" t="s">
        <v>73</v>
      </c>
      <c r="B204" s="128">
        <f>IF(DONNÉES!DK44="","",DONNÉES!DK44)</f>
        <v>2631</v>
      </c>
      <c r="C204" s="177">
        <f>IF(TRDJEANCLO[[#This Row],[2024]]="","",DONNÉES!DL44)</f>
        <v>2747</v>
      </c>
      <c r="D204" s="128">
        <f>IF(TRDJEANCLO[[#This Row],[2024]]="","",DONNÉES!DK124)</f>
        <v>2631</v>
      </c>
      <c r="E204" s="178">
        <f>IF(TRDJEANCLO[[#This Row],[2024]]="","",DONNÉES!DL124)</f>
        <v>2747</v>
      </c>
      <c r="F204" s="128">
        <f>IF(TRDJEANCLO[[#This Row],[2024]]="","",DONNÉES!DK60)</f>
        <v>2631</v>
      </c>
      <c r="G204" s="177">
        <f>IF(TRDJEANCLO[[#This Row],[2024]]="","",DONNÉES!DL60)</f>
        <v>5429</v>
      </c>
      <c r="H204" s="128">
        <f>IF(TRDJEANCLO[[#This Row],[2024]]="","",DONNÉES!DK140)</f>
        <v>2631</v>
      </c>
      <c r="I204" s="178">
        <f>IF(TRDJEANCLO[[#This Row],[2024]]="","",DONNÉES!DL140)</f>
        <v>5429</v>
      </c>
      <c r="J204" s="128">
        <f>IF(TRDJEANCLO[[#This Row],[2024]]="","",DONNÉES!DK76)</f>
        <v>0</v>
      </c>
      <c r="K204" s="177">
        <f>IF(TRDJEANCLO[[#This Row],[2024]]="","",DONNÉES!DL76)</f>
        <v>0</v>
      </c>
      <c r="L204" s="128">
        <f>IF(TRDJEANCLO[[#This Row],[2024]]="","",DONNÉES!DK156)</f>
        <v>0</v>
      </c>
      <c r="M204" s="178">
        <f>IF(TRDJEANCLO[[#This Row],[2024]]="","",DONNÉES!DL156)</f>
        <v>0</v>
      </c>
      <c r="N204" s="128">
        <f>IF(TRDJEANCLO[[#This Row],[2024]]="","",DONNÉES!DK92)</f>
        <v>7655</v>
      </c>
      <c r="O204" s="177">
        <f>IF(TRDJEANCLO[[#This Row],[2024]]="","",DONNÉES!DL92)</f>
        <v>7114</v>
      </c>
      <c r="P204" s="128">
        <f>IF(TRDJEANCLO[[#This Row],[2024]]="","",DONNÉES!DK172)</f>
        <v>7655</v>
      </c>
      <c r="Q204" s="179">
        <f>IF(TRDJEANCLO[[#This Row],[2024]]="","",DONNÉES!DL172)</f>
        <v>7114</v>
      </c>
      <c r="R204" s="180"/>
      <c r="S204" s="128">
        <f>IF(TRDJEANCLO[[#This Row],[2024]]="","",DONNÉES!DK108)</f>
        <v>12917</v>
      </c>
      <c r="T204" s="177">
        <f>IF(TRDJEANCLO[[#This Row],[2024]]="","",DONNÉES!DL108)</f>
        <v>15290</v>
      </c>
      <c r="U204" s="128">
        <f>IF(TRDJEANCLO[[#This Row],[2024]]="","",DONNÉES!DK188)</f>
        <v>12917</v>
      </c>
      <c r="V204" s="128">
        <f>IF(TRDJEANCLO[[#This Row],[2024]]="","",DONNÉES!DL188)</f>
        <v>15290</v>
      </c>
    </row>
    <row r="205" spans="1:22" s="81" customFormat="1" ht="11.65" customHeight="1" x14ac:dyDescent="0.2">
      <c r="A205" s="170" t="s">
        <v>74</v>
      </c>
      <c r="B205" s="128" t="str">
        <f>IF(DONNÉES!DK45="","",DONNÉES!DK45)</f>
        <v/>
      </c>
      <c r="C205" s="177" t="str">
        <f>IF(TRDJEANCLO[[#This Row],[2024]]="","",DONNÉES!DL45)</f>
        <v/>
      </c>
      <c r="D205" s="128" t="str">
        <f>IF(TRDJEANCLO[[#This Row],[2024]]="","",DONNÉES!DK125)</f>
        <v/>
      </c>
      <c r="E205" s="178" t="str">
        <f>IF(TRDJEANCLO[[#This Row],[2024]]="","",DONNÉES!DL125)</f>
        <v/>
      </c>
      <c r="F205" s="128" t="str">
        <f>IF(TRDJEANCLO[[#This Row],[2024]]="","",DONNÉES!DK61)</f>
        <v/>
      </c>
      <c r="G205" s="177" t="str">
        <f>IF(TRDJEANCLO[[#This Row],[2024]]="","",DONNÉES!DL61)</f>
        <v/>
      </c>
      <c r="H205" s="128" t="str">
        <f>IF(TRDJEANCLO[[#This Row],[2024]]="","",DONNÉES!DK141)</f>
        <v/>
      </c>
      <c r="I205" s="178" t="str">
        <f>IF(TRDJEANCLO[[#This Row],[2024]]="","",DONNÉES!DL141)</f>
        <v/>
      </c>
      <c r="J205" s="128" t="str">
        <f>IF(TRDJEANCLO[[#This Row],[2024]]="","",DONNÉES!DK77)</f>
        <v/>
      </c>
      <c r="K205" s="177" t="str">
        <f>IF(TRDJEANCLO[[#This Row],[2024]]="","",DONNÉES!DL77)</f>
        <v/>
      </c>
      <c r="L205" s="128" t="str">
        <f>IF(TRDJEANCLO[[#This Row],[2024]]="","",DONNÉES!DK157)</f>
        <v/>
      </c>
      <c r="M205" s="178" t="str">
        <f>IF(TRDJEANCLO[[#This Row],[2024]]="","",DONNÉES!DL157)</f>
        <v/>
      </c>
      <c r="N205" s="128" t="str">
        <f>IF(TRDJEANCLO[[#This Row],[2024]]="","",DONNÉES!DK93)</f>
        <v/>
      </c>
      <c r="O205" s="177" t="str">
        <f>IF(TRDJEANCLO[[#This Row],[2024]]="","",DONNÉES!DL93)</f>
        <v/>
      </c>
      <c r="P205" s="128" t="str">
        <f>IF(TRDJEANCLO[[#This Row],[2024]]="","",DONNÉES!DK173)</f>
        <v/>
      </c>
      <c r="Q205" s="179" t="str">
        <f>IF(TRDJEANCLO[[#This Row],[2024]]="","",DONNÉES!DL173)</f>
        <v/>
      </c>
      <c r="R205" s="180"/>
      <c r="S205" s="128" t="str">
        <f>IF(TRDJEANCLO[[#This Row],[2024]]="","",DONNÉES!DK109)</f>
        <v/>
      </c>
      <c r="T205" s="177" t="str">
        <f>IF(TRDJEANCLO[[#This Row],[2024]]="","",DONNÉES!DL109)</f>
        <v/>
      </c>
      <c r="U205" s="128" t="str">
        <f>IF(TRDJEANCLO[[#This Row],[2024]]="","",DONNÉES!DK189)</f>
        <v/>
      </c>
      <c r="V205" s="128" t="str">
        <f>IF(TRDJEANCLO[[#This Row],[2024]]="","",DONNÉES!DL189)</f>
        <v/>
      </c>
    </row>
    <row r="206" spans="1:22" s="81" customFormat="1" ht="11.65" customHeight="1" x14ac:dyDescent="0.2">
      <c r="A206" s="169" t="s">
        <v>75</v>
      </c>
      <c r="B206" s="128" t="str">
        <f>IF(DONNÉES!DK46="","",DONNÉES!DK46)</f>
        <v/>
      </c>
      <c r="C206" s="177" t="str">
        <f>IF(TRDJEANCLO[[#This Row],[2024]]="","",DONNÉES!DL46)</f>
        <v/>
      </c>
      <c r="D206" s="128" t="str">
        <f>IF(TRDJEANCLO[[#This Row],[2024]]="","",DONNÉES!DK126)</f>
        <v/>
      </c>
      <c r="E206" s="178" t="str">
        <f>IF(TRDJEANCLO[[#This Row],[2024]]="","",DONNÉES!DL126)</f>
        <v/>
      </c>
      <c r="F206" s="128" t="str">
        <f>IF(TRDJEANCLO[[#This Row],[2024]]="","",DONNÉES!DK62)</f>
        <v/>
      </c>
      <c r="G206" s="177" t="str">
        <f>IF(TRDJEANCLO[[#This Row],[2024]]="","",DONNÉES!DL62)</f>
        <v/>
      </c>
      <c r="H206" s="128" t="str">
        <f>IF(TRDJEANCLO[[#This Row],[2024]]="","",DONNÉES!DK142)</f>
        <v/>
      </c>
      <c r="I206" s="178" t="str">
        <f>IF(TRDJEANCLO[[#This Row],[2024]]="","",DONNÉES!DL142)</f>
        <v/>
      </c>
      <c r="J206" s="128" t="str">
        <f>IF(TRDJEANCLO[[#This Row],[2024]]="","",DONNÉES!DK78)</f>
        <v/>
      </c>
      <c r="K206" s="177" t="str">
        <f>IF(TRDJEANCLO[[#This Row],[2024]]="","",DONNÉES!DL78)</f>
        <v/>
      </c>
      <c r="L206" s="128" t="str">
        <f>IF(TRDJEANCLO[[#This Row],[2024]]="","",DONNÉES!DK158)</f>
        <v/>
      </c>
      <c r="M206" s="178" t="str">
        <f>IF(TRDJEANCLO[[#This Row],[2024]]="","",DONNÉES!DL158)</f>
        <v/>
      </c>
      <c r="N206" s="128" t="str">
        <f>IF(TRDJEANCLO[[#This Row],[2024]]="","",DONNÉES!DK94)</f>
        <v/>
      </c>
      <c r="O206" s="177" t="str">
        <f>IF(TRDJEANCLO[[#This Row],[2024]]="","",DONNÉES!DL94)</f>
        <v/>
      </c>
      <c r="P206" s="128" t="str">
        <f>IF(TRDJEANCLO[[#This Row],[2024]]="","",DONNÉES!DK174)</f>
        <v/>
      </c>
      <c r="Q206" s="179" t="str">
        <f>IF(TRDJEANCLO[[#This Row],[2024]]="","",DONNÉES!DL174)</f>
        <v/>
      </c>
      <c r="R206" s="180"/>
      <c r="S206" s="128" t="str">
        <f>IF(TRDJEANCLO[[#This Row],[2024]]="","",DONNÉES!DK110)</f>
        <v/>
      </c>
      <c r="T206" s="177" t="str">
        <f>IF(TRDJEANCLO[[#This Row],[2024]]="","",DONNÉES!DL110)</f>
        <v/>
      </c>
      <c r="U206" s="128" t="str">
        <f>IF(TRDJEANCLO[[#This Row],[2024]]="","",DONNÉES!DK190)</f>
        <v/>
      </c>
      <c r="V206" s="128" t="str">
        <f>IF(TRDJEANCLO[[#This Row],[2024]]="","",DONNÉES!DL190)</f>
        <v/>
      </c>
    </row>
    <row r="207" spans="1:22" s="81" customFormat="1" ht="11.65" customHeight="1" x14ac:dyDescent="0.2">
      <c r="A207" s="170" t="s">
        <v>76</v>
      </c>
      <c r="B207" s="128" t="str">
        <f>IF(DONNÉES!DK47="","",DONNÉES!DK47)</f>
        <v/>
      </c>
      <c r="C207" s="177" t="str">
        <f>IF(TRDJEANCLO[[#This Row],[2024]]="","",DONNÉES!DL47)</f>
        <v/>
      </c>
      <c r="D207" s="128" t="str">
        <f>IF(TRDJEANCLO[[#This Row],[2024]]="","",DONNÉES!DK127)</f>
        <v/>
      </c>
      <c r="E207" s="178" t="str">
        <f>IF(TRDJEANCLO[[#This Row],[2024]]="","",DONNÉES!DL127)</f>
        <v/>
      </c>
      <c r="F207" s="128" t="str">
        <f>IF(TRDJEANCLO[[#This Row],[2024]]="","",DONNÉES!DK63)</f>
        <v/>
      </c>
      <c r="G207" s="177" t="str">
        <f>IF(TRDJEANCLO[[#This Row],[2024]]="","",DONNÉES!DL63)</f>
        <v/>
      </c>
      <c r="H207" s="128" t="str">
        <f>IF(TRDJEANCLO[[#This Row],[2024]]="","",DONNÉES!DK143)</f>
        <v/>
      </c>
      <c r="I207" s="178" t="str">
        <f>IF(TRDJEANCLO[[#This Row],[2024]]="","",DONNÉES!DL143)</f>
        <v/>
      </c>
      <c r="J207" s="128" t="str">
        <f>IF(TRDJEANCLO[[#This Row],[2024]]="","",DONNÉES!DK79)</f>
        <v/>
      </c>
      <c r="K207" s="177" t="str">
        <f>IF(TRDJEANCLO[[#This Row],[2024]]="","",DONNÉES!DL79)</f>
        <v/>
      </c>
      <c r="L207" s="128" t="str">
        <f>IF(TRDJEANCLO[[#This Row],[2024]]="","",DONNÉES!DK159)</f>
        <v/>
      </c>
      <c r="M207" s="178" t="str">
        <f>IF(TRDJEANCLO[[#This Row],[2024]]="","",DONNÉES!DL159)</f>
        <v/>
      </c>
      <c r="N207" s="128" t="str">
        <f>IF(TRDJEANCLO[[#This Row],[2024]]="","",DONNÉES!DK95)</f>
        <v/>
      </c>
      <c r="O207" s="177" t="str">
        <f>IF(TRDJEANCLO[[#This Row],[2024]]="","",DONNÉES!DL95)</f>
        <v/>
      </c>
      <c r="P207" s="128" t="str">
        <f>IF(TRDJEANCLO[[#This Row],[2024]]="","",DONNÉES!DK175)</f>
        <v/>
      </c>
      <c r="Q207" s="179" t="str">
        <f>IF(TRDJEANCLO[[#This Row],[2024]]="","",DONNÉES!DL175)</f>
        <v/>
      </c>
      <c r="R207" s="181"/>
      <c r="S207" s="128" t="str">
        <f>IF(TRDJEANCLO[[#This Row],[2024]]="","",DONNÉES!DK111)</f>
        <v/>
      </c>
      <c r="T207" s="177" t="str">
        <f>IF(TRDJEANCLO[[#This Row],[2024]]="","",DONNÉES!DL111)</f>
        <v/>
      </c>
      <c r="U207" s="128" t="str">
        <f>IF(TRDJEANCLO[[#This Row],[2024]]="","",DONNÉES!DK191)</f>
        <v/>
      </c>
      <c r="V207" s="128" t="str">
        <f>IF(TRDJEANCLO[[#This Row],[2024]]="","",DONNÉES!DL191)</f>
        <v/>
      </c>
    </row>
    <row r="208" spans="1:22" ht="11.65" customHeight="1" x14ac:dyDescent="0.2">
      <c r="A208" s="169" t="s">
        <v>77</v>
      </c>
      <c r="B208" s="128" t="str">
        <f>IF(DONNÉES!DK48="","",DONNÉES!DK48)</f>
        <v/>
      </c>
      <c r="C208" s="177" t="str">
        <f>IF(TRDJEANCLO[[#This Row],[2024]]="","",DONNÉES!DL48)</f>
        <v/>
      </c>
      <c r="D208" s="128" t="str">
        <f>IF(TRDJEANCLO[[#This Row],[2024]]="","",DONNÉES!DK128)</f>
        <v/>
      </c>
      <c r="E208" s="178" t="str">
        <f>IF(TRDJEANCLO[[#This Row],[2024]]="","",DONNÉES!DL128)</f>
        <v/>
      </c>
      <c r="F208" s="128" t="str">
        <f>IF(TRDJEANCLO[[#This Row],[2024]]="","",DONNÉES!DK64)</f>
        <v/>
      </c>
      <c r="G208" s="177" t="str">
        <f>IF(TRDJEANCLO[[#This Row],[2024]]="","",DONNÉES!DL64)</f>
        <v/>
      </c>
      <c r="H208" s="128" t="str">
        <f>IF(TRDJEANCLO[[#This Row],[2024]]="","",DONNÉES!DK144)</f>
        <v/>
      </c>
      <c r="I208" s="178" t="str">
        <f>IF(TRDJEANCLO[[#This Row],[2024]]="","",DONNÉES!DL144)</f>
        <v/>
      </c>
      <c r="J208" s="128" t="str">
        <f>IF(TRDJEANCLO[[#This Row],[2024]]="","",DONNÉES!DK80)</f>
        <v/>
      </c>
      <c r="K208" s="177" t="str">
        <f>IF(TRDJEANCLO[[#This Row],[2024]]="","",DONNÉES!DL80)</f>
        <v/>
      </c>
      <c r="L208" s="128" t="str">
        <f>IF(TRDJEANCLO[[#This Row],[2024]]="","",DONNÉES!DK160)</f>
        <v/>
      </c>
      <c r="M208" s="178" t="str">
        <f>IF(TRDJEANCLO[[#This Row],[2024]]="","",DONNÉES!DL160)</f>
        <v/>
      </c>
      <c r="N208" s="128" t="str">
        <f>IF(TRDJEANCLO[[#This Row],[2024]]="","",DONNÉES!DK96)</f>
        <v/>
      </c>
      <c r="O208" s="177" t="str">
        <f>IF(TRDJEANCLO[[#This Row],[2024]]="","",DONNÉES!DL96)</f>
        <v/>
      </c>
      <c r="P208" s="128" t="str">
        <f>IF(TRDJEANCLO[[#This Row],[2024]]="","",DONNÉES!DK176)</f>
        <v/>
      </c>
      <c r="Q208" s="179" t="str">
        <f>IF(TRDJEANCLO[[#This Row],[2024]]="","",DONNÉES!DL176)</f>
        <v/>
      </c>
      <c r="R208" s="181"/>
      <c r="S208" s="128" t="str">
        <f>IF(TRDJEANCLO[[#This Row],[2024]]="","",DONNÉES!DK112)</f>
        <v/>
      </c>
      <c r="T208" s="177" t="str">
        <f>IF(TRDJEANCLO[[#This Row],[2024]]="","",DONNÉES!DL112)</f>
        <v/>
      </c>
      <c r="U208" s="128" t="str">
        <f>IF(TRDJEANCLO[[#This Row],[2024]]="","",DONNÉES!DK192)</f>
        <v/>
      </c>
      <c r="V208" s="128" t="str">
        <f>IF(TRDJEANCLO[[#This Row],[2024]]="","",DONNÉES!DL192)</f>
        <v/>
      </c>
    </row>
    <row r="209" spans="1:22" ht="11.65" customHeight="1" x14ac:dyDescent="0.2">
      <c r="A209" s="170" t="s">
        <v>78</v>
      </c>
      <c r="B209" s="128" t="str">
        <f>IF(DONNÉES!DK49="","",DONNÉES!DK49)</f>
        <v/>
      </c>
      <c r="C209" s="177" t="str">
        <f>IF(TRDJEANCLO[[#This Row],[2024]]="","",DONNÉES!DL49)</f>
        <v/>
      </c>
      <c r="D209" s="128" t="str">
        <f>IF(TRDJEANCLO[[#This Row],[2024]]="","",DONNÉES!DK129)</f>
        <v/>
      </c>
      <c r="E209" s="178" t="str">
        <f>IF(TRDJEANCLO[[#This Row],[2024]]="","",DONNÉES!DL129)</f>
        <v/>
      </c>
      <c r="F209" s="128" t="str">
        <f>IF(TRDJEANCLO[[#This Row],[2024]]="","",DONNÉES!DK65)</f>
        <v/>
      </c>
      <c r="G209" s="177" t="str">
        <f>IF(TRDJEANCLO[[#This Row],[2024]]="","",DONNÉES!DL65)</f>
        <v/>
      </c>
      <c r="H209" s="128" t="str">
        <f>IF(TRDJEANCLO[[#This Row],[2024]]="","",DONNÉES!DK145)</f>
        <v/>
      </c>
      <c r="I209" s="178" t="str">
        <f>IF(TRDJEANCLO[[#This Row],[2024]]="","",DONNÉES!DL145)</f>
        <v/>
      </c>
      <c r="J209" s="128" t="str">
        <f>IF(TRDJEANCLO[[#This Row],[2024]]="","",DONNÉES!DK81)</f>
        <v/>
      </c>
      <c r="K209" s="177" t="str">
        <f>IF(TRDJEANCLO[[#This Row],[2024]]="","",DONNÉES!DL81)</f>
        <v/>
      </c>
      <c r="L209" s="128" t="str">
        <f>IF(TRDJEANCLO[[#This Row],[2024]]="","",DONNÉES!DK161)</f>
        <v/>
      </c>
      <c r="M209" s="178" t="str">
        <f>IF(TRDJEANCLO[[#This Row],[2024]]="","",DONNÉES!DL161)</f>
        <v/>
      </c>
      <c r="N209" s="128" t="str">
        <f>IF(TRDJEANCLO[[#This Row],[2024]]="","",DONNÉES!DK97)</f>
        <v/>
      </c>
      <c r="O209" s="177" t="str">
        <f>IF(TRDJEANCLO[[#This Row],[2024]]="","",DONNÉES!DL97)</f>
        <v/>
      </c>
      <c r="P209" s="128" t="str">
        <f>IF(TRDJEANCLO[[#This Row],[2024]]="","",DONNÉES!DK177)</f>
        <v/>
      </c>
      <c r="Q209" s="179" t="str">
        <f>IF(TRDJEANCLO[[#This Row],[2024]]="","",DONNÉES!DL177)</f>
        <v/>
      </c>
      <c r="R209" s="181"/>
      <c r="S209" s="128" t="str">
        <f>IF(TRDJEANCLO[[#This Row],[2024]]="","",DONNÉES!DK113)</f>
        <v/>
      </c>
      <c r="T209" s="177" t="str">
        <f>IF(TRDJEANCLO[[#This Row],[2024]]="","",DONNÉES!DL113)</f>
        <v/>
      </c>
      <c r="U209" s="128" t="str">
        <f>IF(TRDJEANCLO[[#This Row],[2024]]="","",DONNÉES!DK193)</f>
        <v/>
      </c>
      <c r="V209" s="128" t="str">
        <f>IF(TRDJEANCLO[[#This Row],[2024]]="","",DONNÉES!DL193)</f>
        <v/>
      </c>
    </row>
    <row r="210" spans="1:22" ht="11.65" customHeight="1" x14ac:dyDescent="0.2">
      <c r="A210" s="169" t="s">
        <v>79</v>
      </c>
      <c r="B210" s="128" t="str">
        <f>IF(DONNÉES!DK50="","",DONNÉES!DK50)</f>
        <v/>
      </c>
      <c r="C210" s="177" t="str">
        <f>IF(TRDJEANCLO[[#This Row],[2024]]="","",DONNÉES!DL50)</f>
        <v/>
      </c>
      <c r="D210" s="128" t="str">
        <f>IF(TRDJEANCLO[[#This Row],[2024]]="","",DONNÉES!DK130)</f>
        <v/>
      </c>
      <c r="E210" s="178" t="str">
        <f>IF(TRDJEANCLO[[#This Row],[2024]]="","",DONNÉES!DL130)</f>
        <v/>
      </c>
      <c r="F210" s="128" t="str">
        <f>IF(TRDJEANCLO[[#This Row],[2024]]="","",DONNÉES!DK66)</f>
        <v/>
      </c>
      <c r="G210" s="177" t="str">
        <f>IF(TRDJEANCLO[[#This Row],[2024]]="","",DONNÉES!DL66)</f>
        <v/>
      </c>
      <c r="H210" s="128" t="str">
        <f>IF(TRDJEANCLO[[#This Row],[2024]]="","",DONNÉES!DK146)</f>
        <v/>
      </c>
      <c r="I210" s="178" t="str">
        <f>IF(TRDJEANCLO[[#This Row],[2024]]="","",DONNÉES!DL146)</f>
        <v/>
      </c>
      <c r="J210" s="128" t="str">
        <f>IF(TRDJEANCLO[[#This Row],[2024]]="","",DONNÉES!DK82)</f>
        <v/>
      </c>
      <c r="K210" s="177" t="str">
        <f>IF(TRDJEANCLO[[#This Row],[2024]]="","",DONNÉES!DL82)</f>
        <v/>
      </c>
      <c r="L210" s="128" t="str">
        <f>IF(TRDJEANCLO[[#This Row],[2024]]="","",DONNÉES!DK162)</f>
        <v/>
      </c>
      <c r="M210" s="178" t="str">
        <f>IF(TRDJEANCLO[[#This Row],[2024]]="","",DONNÉES!DL162)</f>
        <v/>
      </c>
      <c r="N210" s="128" t="str">
        <f>IF(TRDJEANCLO[[#This Row],[2024]]="","",DONNÉES!DK98)</f>
        <v/>
      </c>
      <c r="O210" s="177" t="str">
        <f>IF(TRDJEANCLO[[#This Row],[2024]]="","",DONNÉES!DL98)</f>
        <v/>
      </c>
      <c r="P210" s="128" t="str">
        <f>IF(TRDJEANCLO[[#This Row],[2024]]="","",DONNÉES!DK178)</f>
        <v/>
      </c>
      <c r="Q210" s="179" t="str">
        <f>IF(TRDJEANCLO[[#This Row],[2024]]="","",DONNÉES!DL178)</f>
        <v/>
      </c>
      <c r="R210" s="181"/>
      <c r="S210" s="128" t="str">
        <f>IF(TRDJEANCLO[[#This Row],[2024]]="","",DONNÉES!DK114)</f>
        <v/>
      </c>
      <c r="T210" s="177" t="str">
        <f>IF(TRDJEANCLO[[#This Row],[2024]]="","",DONNÉES!DL114)</f>
        <v/>
      </c>
      <c r="U210" s="128" t="str">
        <f>IF(TRDJEANCLO[[#This Row],[2024]]="","",DONNÉES!DK194)</f>
        <v/>
      </c>
      <c r="V210" s="128" t="str">
        <f>IF(TRDJEANCLO[[#This Row],[2024]]="","",DONNÉES!DL194)</f>
        <v/>
      </c>
    </row>
    <row r="211" spans="1:22" ht="11.65" customHeight="1" x14ac:dyDescent="0.2">
      <c r="A211" s="170" t="s">
        <v>80</v>
      </c>
      <c r="B211" s="128" t="str">
        <f>IF(DONNÉES!DK51="","",DONNÉES!DK51)</f>
        <v/>
      </c>
      <c r="C211" s="177" t="str">
        <f>IF(TRDJEANCLO[[#This Row],[2024]]="","",DONNÉES!DL51)</f>
        <v/>
      </c>
      <c r="D211" s="128" t="str">
        <f>IF(TRDJEANCLO[[#This Row],[2024]]="","",DONNÉES!DK131)</f>
        <v/>
      </c>
      <c r="E211" s="178" t="str">
        <f>IF(TRDJEANCLO[[#This Row],[2024]]="","",DONNÉES!DL131)</f>
        <v/>
      </c>
      <c r="F211" s="128" t="str">
        <f>IF(TRDJEANCLO[[#This Row],[2024]]="","",DONNÉES!DK67)</f>
        <v/>
      </c>
      <c r="G211" s="177" t="str">
        <f>IF(TRDJEANCLO[[#This Row],[2024]]="","",DONNÉES!DL67)</f>
        <v/>
      </c>
      <c r="H211" s="128" t="str">
        <f>IF(TRDJEANCLO[[#This Row],[2024]]="","",DONNÉES!DK147)</f>
        <v/>
      </c>
      <c r="I211" s="178" t="str">
        <f>IF(TRDJEANCLO[[#This Row],[2024]]="","",DONNÉES!DL147)</f>
        <v/>
      </c>
      <c r="J211" s="128" t="str">
        <f>IF(TRDJEANCLO[[#This Row],[2024]]="","",DONNÉES!DK83)</f>
        <v/>
      </c>
      <c r="K211" s="177" t="str">
        <f>IF(TRDJEANCLO[[#This Row],[2024]]="","",DONNÉES!DL83)</f>
        <v/>
      </c>
      <c r="L211" s="128" t="str">
        <f>IF(TRDJEANCLO[[#This Row],[2024]]="","",DONNÉES!DK163)</f>
        <v/>
      </c>
      <c r="M211" s="178" t="str">
        <f>IF(TRDJEANCLO[[#This Row],[2024]]="","",DONNÉES!DL163)</f>
        <v/>
      </c>
      <c r="N211" s="128" t="str">
        <f>IF(TRDJEANCLO[[#This Row],[2024]]="","",DONNÉES!DK99)</f>
        <v/>
      </c>
      <c r="O211" s="177" t="str">
        <f>IF(TRDJEANCLO[[#This Row],[2024]]="","",DONNÉES!DL99)</f>
        <v/>
      </c>
      <c r="P211" s="128" t="str">
        <f>IF(TRDJEANCLO[[#This Row],[2024]]="","",DONNÉES!DK179)</f>
        <v/>
      </c>
      <c r="Q211" s="179" t="str">
        <f>IF(TRDJEANCLO[[#This Row],[2024]]="","",DONNÉES!DL179)</f>
        <v/>
      </c>
      <c r="R211" s="181"/>
      <c r="S211" s="128" t="str">
        <f>IF(TRDJEANCLO[[#This Row],[2024]]="","",DONNÉES!DK115)</f>
        <v/>
      </c>
      <c r="T211" s="177" t="str">
        <f>IF(TRDJEANCLO[[#This Row],[2024]]="","",DONNÉES!DL115)</f>
        <v/>
      </c>
      <c r="U211" s="128" t="str">
        <f>IF(TRDJEANCLO[[#This Row],[2024]]="","",DONNÉES!DK195)</f>
        <v/>
      </c>
      <c r="V211" s="128" t="str">
        <f>IF(TRDJEANCLO[[#This Row],[2024]]="","",DONNÉES!DL195)</f>
        <v/>
      </c>
    </row>
    <row r="212" spans="1:22" ht="11.65" customHeight="1" x14ac:dyDescent="0.2">
      <c r="A212" s="169" t="s">
        <v>81</v>
      </c>
      <c r="B212" s="128" t="str">
        <f>IF(DONNÉES!DK52="","",DONNÉES!DK52)</f>
        <v/>
      </c>
      <c r="C212" s="177" t="str">
        <f>IF(TRDJEANCLO[[#This Row],[2024]]="","",DONNÉES!DL52)</f>
        <v/>
      </c>
      <c r="D212" s="130" t="str">
        <f>IF(TRDJEANCLO[[#This Row],[2024]]="","",DONNÉES!DK132)</f>
        <v/>
      </c>
      <c r="E212" s="183" t="str">
        <f>IF(TRDJEANCLO[[#This Row],[2024]]="","",DONNÉES!DL132)</f>
        <v/>
      </c>
      <c r="F212" s="128" t="str">
        <f>IF(TRDJEANCLO[[#This Row],[2024]]="","",DONNÉES!DK68)</f>
        <v/>
      </c>
      <c r="G212" s="177" t="str">
        <f>IF(TRDJEANCLO[[#This Row],[2024]]="","",DONNÉES!DL68)</f>
        <v/>
      </c>
      <c r="H212" s="130" t="str">
        <f>IF(TRDJEANCLO[[#This Row],[2024]]="","",DONNÉES!DK148)</f>
        <v/>
      </c>
      <c r="I212" s="183" t="str">
        <f>IF(TRDJEANCLO[[#This Row],[2024]]="","",DONNÉES!DL148)</f>
        <v/>
      </c>
      <c r="J212" s="130" t="str">
        <f>IF(TRDJEANCLO[[#This Row],[2024]]="","",DONNÉES!DK84)</f>
        <v/>
      </c>
      <c r="K212" s="182" t="str">
        <f>IF(TRDJEANCLO[[#This Row],[2024]]="","",DONNÉES!DL84)</f>
        <v/>
      </c>
      <c r="L212" s="130" t="str">
        <f>IF(TRDJEANCLO[[#This Row],[2024]]="","",DONNÉES!DK164)</f>
        <v/>
      </c>
      <c r="M212" s="183" t="str">
        <f>IF(TRDJEANCLO[[#This Row],[2024]]="","",DONNÉES!DL164)</f>
        <v/>
      </c>
      <c r="N212" s="130" t="str">
        <f>IF(TRDJEANCLO[[#This Row],[2024]]="","",DONNÉES!DK100)</f>
        <v/>
      </c>
      <c r="O212" s="182" t="str">
        <f>IF(TRDJEANCLO[[#This Row],[2024]]="","",DONNÉES!DL100)</f>
        <v/>
      </c>
      <c r="P212" s="130" t="str">
        <f>IF(TRDJEANCLO[[#This Row],[2024]]="","",DONNÉES!DK180)</f>
        <v/>
      </c>
      <c r="Q212" s="184" t="str">
        <f>IF(TRDJEANCLO[[#This Row],[2024]]="","",DONNÉES!DL180)</f>
        <v/>
      </c>
      <c r="R212" s="185"/>
      <c r="S212" s="130" t="str">
        <f>IF(TRDJEANCLO[[#This Row],[2024]]="","",DONNÉES!DK116)</f>
        <v/>
      </c>
      <c r="T212" s="182" t="str">
        <f>IF(TRDJEANCLO[[#This Row],[2024]]="","",DONNÉES!DL116)</f>
        <v/>
      </c>
      <c r="U212" s="130" t="str">
        <f>IF(TRDJEANCLO[[#This Row],[2024]]="","",DONNÉES!DK196)</f>
        <v/>
      </c>
      <c r="V212" s="130" t="str">
        <f>IF(TRDJEANCLO[[#This Row],[2024]]="","",DONNÉES!DL196)</f>
        <v/>
      </c>
    </row>
    <row r="213" spans="1:22" ht="11.65" customHeight="1" x14ac:dyDescent="0.2">
      <c r="A213" s="170" t="s">
        <v>82</v>
      </c>
      <c r="B213" s="128" t="str">
        <f>IF(DONNÉES!DK53="","",DONNÉES!DK53)</f>
        <v/>
      </c>
      <c r="C213" s="177" t="str">
        <f>IF(TRDJEANCLO[[#This Row],[2024]]="","",DONNÉES!DL53)</f>
        <v/>
      </c>
      <c r="D213" s="130" t="str">
        <f>IF(TRDJEANCLO[[#This Row],[2024]]="","",DONNÉES!DK133)</f>
        <v/>
      </c>
      <c r="E213" s="183" t="str">
        <f>IF(TRDJEANCLO[[#This Row],[2024]]="","",DONNÉES!DL133)</f>
        <v/>
      </c>
      <c r="F213" s="128" t="str">
        <f>IF(TRDJEANCLO[[#This Row],[2024]]="","",DONNÉES!DK69)</f>
        <v/>
      </c>
      <c r="G213" s="177" t="str">
        <f>IF(TRDJEANCLO[[#This Row],[2024]]="","",DONNÉES!DL69)</f>
        <v/>
      </c>
      <c r="H213" s="130" t="str">
        <f>IF(TRDJEANCLO[[#This Row],[2024]]="","",DONNÉES!DK149)</f>
        <v/>
      </c>
      <c r="I213" s="183" t="str">
        <f>IF(TRDJEANCLO[[#This Row],[2024]]="","",DONNÉES!DL149)</f>
        <v/>
      </c>
      <c r="J213" s="130" t="str">
        <f>IF(TRDJEANCLO[[#This Row],[2024]]="","",DONNÉES!DK85)</f>
        <v/>
      </c>
      <c r="K213" s="182" t="str">
        <f>IF(TRDJEANCLO[[#This Row],[2024]]="","",DONNÉES!DL85)</f>
        <v/>
      </c>
      <c r="L213" s="130" t="str">
        <f>IF(TRDJEANCLO[[#This Row],[2024]]="","",DONNÉES!DK165)</f>
        <v/>
      </c>
      <c r="M213" s="183" t="str">
        <f>IF(TRDJEANCLO[[#This Row],[2024]]="","",DONNÉES!DL165)</f>
        <v/>
      </c>
      <c r="N213" s="130" t="str">
        <f>IF(TRDJEANCLO[[#This Row],[2024]]="","",DONNÉES!DK101)</f>
        <v/>
      </c>
      <c r="O213" s="182" t="str">
        <f>IF(TRDJEANCLO[[#This Row],[2024]]="","",DONNÉES!DL101)</f>
        <v/>
      </c>
      <c r="P213" s="130" t="str">
        <f>IF(TRDJEANCLO[[#This Row],[2024]]="","",DONNÉES!DK181)</f>
        <v/>
      </c>
      <c r="Q213" s="184" t="str">
        <f>IF(TRDJEANCLO[[#This Row],[2024]]="","",DONNÉES!DL181)</f>
        <v/>
      </c>
      <c r="R213" s="181"/>
      <c r="S213" s="130" t="str">
        <f>IF(TRDJEANCLO[[#This Row],[2024]]="","",DONNÉES!DK117)</f>
        <v/>
      </c>
      <c r="T213" s="182" t="str">
        <f>IF(TRDJEANCLO[[#This Row],[2024]]="","",DONNÉES!DL117)</f>
        <v/>
      </c>
      <c r="U213" s="130" t="str">
        <f>IF(TRDJEANCLO[[#This Row],[2024]]="","",DONNÉES!DK197)</f>
        <v/>
      </c>
      <c r="V213" s="130" t="str">
        <f>IF(TRDJEANCLO[[#This Row],[2024]]="","",DONNÉES!DL197)</f>
        <v/>
      </c>
    </row>
    <row r="214" spans="1:22" ht="11.65" customHeight="1" x14ac:dyDescent="0.2">
      <c r="A214" s="169" t="s">
        <v>83</v>
      </c>
      <c r="B214" s="128" t="str">
        <f>IF(DONNÉES!DK54="","",DONNÉES!DK54)</f>
        <v/>
      </c>
      <c r="C214" s="177" t="str">
        <f>IF(TRDJEANCLO[[#This Row],[2024]]="","",DONNÉES!DL54)</f>
        <v/>
      </c>
      <c r="D214" s="130" t="str">
        <f>IF(TRDJEANCLO[[#This Row],[2024]]="","",DONNÉES!DK134)</f>
        <v/>
      </c>
      <c r="E214" s="183" t="str">
        <f>IF(TRDJEANCLO[[#This Row],[2024]]="","",DONNÉES!DL134)</f>
        <v/>
      </c>
      <c r="F214" s="128" t="str">
        <f>IF(TRDJEANCLO[[#This Row],[2024]]="","",DONNÉES!DK70)</f>
        <v/>
      </c>
      <c r="G214" s="177" t="str">
        <f>IF(TRDJEANCLO[[#This Row],[2024]]="","",DONNÉES!DL70)</f>
        <v/>
      </c>
      <c r="H214" s="130" t="str">
        <f>IF(TRDJEANCLO[[#This Row],[2024]]="","",DONNÉES!DK150)</f>
        <v/>
      </c>
      <c r="I214" s="183" t="str">
        <f>IF(TRDJEANCLO[[#This Row],[2024]]="","",DONNÉES!DL150)</f>
        <v/>
      </c>
      <c r="J214" s="130" t="str">
        <f>IF(TRDJEANCLO[[#This Row],[2024]]="","",DONNÉES!DK86)</f>
        <v/>
      </c>
      <c r="K214" s="182" t="str">
        <f>IF(TRDJEANCLO[[#This Row],[2024]]="","",DONNÉES!DL86)</f>
        <v/>
      </c>
      <c r="L214" s="130" t="str">
        <f>IF(TRDJEANCLO[[#This Row],[2024]]="","",DONNÉES!DK166)</f>
        <v/>
      </c>
      <c r="M214" s="183" t="str">
        <f>IF(TRDJEANCLO[[#This Row],[2024]]="","",DONNÉES!DL166)</f>
        <v/>
      </c>
      <c r="N214" s="130" t="str">
        <f>IF(TRDJEANCLO[[#This Row],[2024]]="","",DONNÉES!DK102)</f>
        <v/>
      </c>
      <c r="O214" s="182" t="str">
        <f>IF(TRDJEANCLO[[#This Row],[2024]]="","",DONNÉES!DL102)</f>
        <v/>
      </c>
      <c r="P214" s="130" t="str">
        <f>IF(TRDJEANCLO[[#This Row],[2024]]="","",DONNÉES!DK182)</f>
        <v/>
      </c>
      <c r="Q214" s="184" t="str">
        <f>IF(TRDJEANCLO[[#This Row],[2024]]="","",DONNÉES!DL182)</f>
        <v/>
      </c>
      <c r="R214" s="180"/>
      <c r="S214" s="130" t="str">
        <f>IF(TRDJEANCLO[[#This Row],[2024]]="","",DONNÉES!DK118)</f>
        <v/>
      </c>
      <c r="T214" s="182" t="str">
        <f>IF(TRDJEANCLO[[#This Row],[2024]]="","",DONNÉES!DL118)</f>
        <v/>
      </c>
      <c r="U214" s="130" t="str">
        <f>IF(TRDJEANCLO[[#This Row],[2024]]="","",DONNÉES!DK198)</f>
        <v/>
      </c>
      <c r="V214" s="130" t="str">
        <f>IF(TRDJEANCLO[[#This Row],[2024]]="","",DONNÉES!DL198)</f>
        <v/>
      </c>
    </row>
    <row r="215" spans="1:22" s="81" customFormat="1" ht="11.65" customHeight="1" x14ac:dyDescent="0.2">
      <c r="A215" s="169" t="s">
        <v>84</v>
      </c>
      <c r="B215" s="128" t="str">
        <f>IF(DONNÉES!DK55="","",DONNÉES!DK55)</f>
        <v/>
      </c>
      <c r="C215" s="177" t="str">
        <f>IF(TRDJEANCLO[[#This Row],[2024]]="","",DONNÉES!DL55)</f>
        <v/>
      </c>
      <c r="D215" s="130" t="str">
        <f>IF(TRDJEANCLO[[#This Row],[2024]]="","",DONNÉES!DK135)</f>
        <v/>
      </c>
      <c r="E215" s="183" t="str">
        <f>IF(TRDJEANCLO[[#This Row],[2024]]="","",DONNÉES!DL135)</f>
        <v/>
      </c>
      <c r="F215" s="128" t="str">
        <f>IF(TRDJEANCLO[[#This Row],[2024]]="","",DONNÉES!DK71)</f>
        <v/>
      </c>
      <c r="G215" s="177" t="str">
        <f>IF(TRDJEANCLO[[#This Row],[2024]]="","",DONNÉES!DL71)</f>
        <v/>
      </c>
      <c r="H215" s="130" t="str">
        <f>IF(TRDJEANCLO[[#This Row],[2024]]="","",DONNÉES!DK151)</f>
        <v/>
      </c>
      <c r="I215" s="183" t="str">
        <f>IF(TRDJEANCLO[[#This Row],[2024]]="","",DONNÉES!DL151)</f>
        <v/>
      </c>
      <c r="J215" s="130" t="str">
        <f>IF(TRDJEANCLO[[#This Row],[2024]]="","",DONNÉES!DK87)</f>
        <v/>
      </c>
      <c r="K215" s="182" t="str">
        <f>IF(TRDJEANCLO[[#This Row],[2024]]="","",DONNÉES!DL87)</f>
        <v/>
      </c>
      <c r="L215" s="130" t="str">
        <f>IF(TRDJEANCLO[[#This Row],[2024]]="","",DONNÉES!DK167)</f>
        <v/>
      </c>
      <c r="M215" s="183" t="str">
        <f>IF(TRDJEANCLO[[#This Row],[2024]]="","",DONNÉES!DL167)</f>
        <v/>
      </c>
      <c r="N215" s="130" t="str">
        <f>IF(TRDJEANCLO[[#This Row],[2024]]="","",DONNÉES!DK103)</f>
        <v/>
      </c>
      <c r="O215" s="182" t="str">
        <f>IF(TRDJEANCLO[[#This Row],[2024]]="","",DONNÉES!DL103)</f>
        <v/>
      </c>
      <c r="P215" s="130" t="str">
        <f>IF(TRDJEANCLO[[#This Row],[2024]]="","",DONNÉES!DK183)</f>
        <v/>
      </c>
      <c r="Q215" s="184" t="str">
        <f>IF(TRDJEANCLO[[#This Row],[2024]]="","",DONNÉES!DL183)</f>
        <v/>
      </c>
      <c r="R215" s="180"/>
      <c r="S215" s="130" t="str">
        <f>IF(TRDJEANCLO[[#This Row],[2024]]="","",DONNÉES!DK119)</f>
        <v/>
      </c>
      <c r="T215" s="182" t="str">
        <f>IF(TRDJEANCLO[[#This Row],[2024]]="","",DONNÉES!DL119)</f>
        <v/>
      </c>
      <c r="U215" s="130" t="str">
        <f>IF(TRDJEANCLO[[#This Row],[2024]]="","",DONNÉES!DK199)</f>
        <v/>
      </c>
      <c r="V215" s="130" t="str">
        <f>IF(TRDJEANCLO[[#This Row],[2024]]="","",DONNÉES!DL199)</f>
        <v/>
      </c>
    </row>
    <row r="216" spans="1:22" s="81" customFormat="1" ht="11.65" customHeight="1" x14ac:dyDescent="0.2">
      <c r="A216" s="79"/>
      <c r="B216" s="130"/>
      <c r="C216" s="252"/>
      <c r="D216" s="130"/>
      <c r="E216" s="252"/>
      <c r="F216" s="130"/>
      <c r="G216" s="252"/>
      <c r="H216" s="130"/>
      <c r="I216" s="252"/>
      <c r="J216" s="130"/>
      <c r="K216" s="252"/>
      <c r="L216" s="130"/>
      <c r="M216" s="252"/>
      <c r="N216" s="130"/>
      <c r="O216" s="252"/>
      <c r="P216" s="130"/>
      <c r="Q216" s="184"/>
      <c r="R216" s="180"/>
      <c r="S216" s="130"/>
      <c r="T216" s="252"/>
      <c r="U216" s="130"/>
      <c r="V216" s="130"/>
    </row>
    <row r="217" spans="1:22" s="81" customFormat="1" ht="14.65" customHeight="1" x14ac:dyDescent="0.2">
      <c r="A217" s="176"/>
      <c r="B217" s="343" t="s">
        <v>195</v>
      </c>
      <c r="C217" s="343"/>
      <c r="D217" s="343"/>
      <c r="E217" s="344"/>
      <c r="F217" s="343" t="s">
        <v>196</v>
      </c>
      <c r="G217" s="343"/>
      <c r="H217" s="343"/>
      <c r="I217" s="344"/>
      <c r="J217" s="343" t="s">
        <v>198</v>
      </c>
      <c r="K217" s="343"/>
      <c r="L217" s="343"/>
      <c r="M217" s="344"/>
      <c r="N217" s="343" t="s">
        <v>199</v>
      </c>
      <c r="O217" s="343"/>
      <c r="P217" s="343"/>
      <c r="Q217" s="343"/>
      <c r="R217" s="180"/>
      <c r="S217" s="343" t="s">
        <v>197</v>
      </c>
      <c r="T217" s="343"/>
      <c r="U217" s="343"/>
      <c r="V217" s="343"/>
    </row>
    <row r="218" spans="1:22" ht="28.9" customHeight="1" x14ac:dyDescent="0.2">
      <c r="A218" s="169" t="s">
        <v>6965</v>
      </c>
      <c r="B218" s="108" t="s">
        <v>6962</v>
      </c>
      <c r="C218" s="166" t="s">
        <v>2169</v>
      </c>
      <c r="D218" s="108" t="s">
        <v>6986</v>
      </c>
      <c r="E218" s="172" t="s">
        <v>6944</v>
      </c>
      <c r="F218" s="211" t="s">
        <v>6987</v>
      </c>
      <c r="G218" s="166" t="s">
        <v>6945</v>
      </c>
      <c r="H218" s="108" t="s">
        <v>6988</v>
      </c>
      <c r="I218" s="172" t="s">
        <v>6946</v>
      </c>
      <c r="J218" s="108" t="s">
        <v>6989</v>
      </c>
      <c r="K218" s="166" t="s">
        <v>6947</v>
      </c>
      <c r="L218" s="108" t="s">
        <v>6990</v>
      </c>
      <c r="M218" s="172" t="s">
        <v>6948</v>
      </c>
      <c r="N218" s="108" t="s">
        <v>6991</v>
      </c>
      <c r="O218" s="166" t="s">
        <v>6949</v>
      </c>
      <c r="P218" s="108" t="s">
        <v>6992</v>
      </c>
      <c r="Q218" s="94" t="s">
        <v>6950</v>
      </c>
      <c r="S218" s="108" t="s">
        <v>6962</v>
      </c>
      <c r="T218" s="166" t="s">
        <v>2169</v>
      </c>
      <c r="U218" s="108" t="s">
        <v>6986</v>
      </c>
      <c r="V218" s="172" t="s">
        <v>6944</v>
      </c>
    </row>
    <row r="219" spans="1:22" ht="11.65" customHeight="1" x14ac:dyDescent="0.2">
      <c r="A219" s="170" t="s">
        <v>73</v>
      </c>
      <c r="B219" s="128">
        <f>IF(DONNÉES!DS44="","",DONNÉES!DS44)</f>
        <v>1372</v>
      </c>
      <c r="C219" s="177">
        <f>IF(TRDTHOMAS[[#This Row],[2024]]="","",DONNÉES!DT44)</f>
        <v>1384</v>
      </c>
      <c r="D219" s="128">
        <f>IF(TRDTHOMAS[[#This Row],[2024]]="","",DONNÉES!DS124)</f>
        <v>1372</v>
      </c>
      <c r="E219" s="178">
        <f>IF(TRDTHOMAS[[#This Row],[2024]]="","",DONNÉES!DT124)</f>
        <v>1384</v>
      </c>
      <c r="F219" s="128">
        <f>IF(TRDTHOMAS[[#This Row],[2024]]="","",DONNÉES!DS60)</f>
        <v>3082</v>
      </c>
      <c r="G219" s="177">
        <f>IF(TRDTHOMAS[[#This Row],[2024]]="","",DONNÉES!DT60)</f>
        <v>3024</v>
      </c>
      <c r="H219" s="128">
        <f>IF(TRDTHOMAS[[#This Row],[2024]]="","",DONNÉES!DS140)</f>
        <v>3082</v>
      </c>
      <c r="I219" s="178">
        <f>IF(TRDTHOMAS[[#This Row],[2024]]="","",DONNÉES!DT140)</f>
        <v>3024</v>
      </c>
      <c r="J219" s="128">
        <f>IF(TRDTHOMAS[[#This Row],[2024]]="","",DONNÉES!DS76)</f>
        <v>8735</v>
      </c>
      <c r="K219" s="177">
        <f>IF(TRDTHOMAS[[#This Row],[2024]]="","",DONNÉES!DT76)</f>
        <v>8928</v>
      </c>
      <c r="L219" s="128">
        <f>IF(TRDTHOMAS[[#This Row],[2024]]="","",DONNÉES!DS156)</f>
        <v>8735</v>
      </c>
      <c r="M219" s="178">
        <f>IF(TRDTHOMAS[[#This Row],[2024]]="","",DONNÉES!DT156)</f>
        <v>8928</v>
      </c>
      <c r="N219" s="128">
        <f>IF(TRDTHOMAS[[#This Row],[2024]]="","",DONNÉES!DS92)</f>
        <v>5955</v>
      </c>
      <c r="O219" s="177">
        <f>IF(TRDTHOMAS[[#This Row],[2024]]="","",DONNÉES!DT92)</f>
        <v>5597</v>
      </c>
      <c r="P219" s="128">
        <f>IF(TRDTHOMAS[[#This Row],[2024]]="","",DONNÉES!DS172)</f>
        <v>5955</v>
      </c>
      <c r="Q219" s="179">
        <f>IF(TRDTHOMAS[[#This Row],[2024]]="","",DONNÉES!DT172)</f>
        <v>5597</v>
      </c>
      <c r="S219" s="128">
        <f>IF(TRDTHOMAS[[#This Row],[2024]]="","",DONNÉES!DS108)</f>
        <v>19144</v>
      </c>
      <c r="T219" s="177">
        <f>IF(TRDTHOMAS[[#This Row],[2024]]="","",DONNÉES!DT108)</f>
        <v>18933</v>
      </c>
      <c r="U219" s="128">
        <f>IF(TRDTHOMAS[[#This Row],[2024]]="","",DONNÉES!DS188)</f>
        <v>19144</v>
      </c>
      <c r="V219" s="128">
        <f>IF(TRDTHOMAS[[#This Row],[2024]]="","",DONNÉES!DT188)</f>
        <v>18933</v>
      </c>
    </row>
    <row r="220" spans="1:22" s="81" customFormat="1" ht="11.65" customHeight="1" x14ac:dyDescent="0.2">
      <c r="A220" s="170" t="s">
        <v>74</v>
      </c>
      <c r="B220" s="128" t="str">
        <f>IF(DONNÉES!DS45="","",DONNÉES!DS45)</f>
        <v/>
      </c>
      <c r="C220" s="177" t="str">
        <f>IF(TRDTHOMAS[[#This Row],[2024]]="","",DONNÉES!DT45)</f>
        <v/>
      </c>
      <c r="D220" s="128" t="str">
        <f>IF(TRDTHOMAS[[#This Row],[2024]]="","",DONNÉES!DS125)</f>
        <v/>
      </c>
      <c r="E220" s="178" t="str">
        <f>IF(TRDTHOMAS[[#This Row],[2024]]="","",DONNÉES!DT125)</f>
        <v/>
      </c>
      <c r="F220" s="128" t="str">
        <f>IF(TRDTHOMAS[[#This Row],[2024]]="","",DONNÉES!DS61)</f>
        <v/>
      </c>
      <c r="G220" s="177" t="str">
        <f>IF(TRDTHOMAS[[#This Row],[2024]]="","",DONNÉES!DT61)</f>
        <v/>
      </c>
      <c r="H220" s="128" t="str">
        <f>IF(TRDTHOMAS[[#This Row],[2024]]="","",DONNÉES!DS141)</f>
        <v/>
      </c>
      <c r="I220" s="178" t="str">
        <f>IF(TRDTHOMAS[[#This Row],[2024]]="","",DONNÉES!DT141)</f>
        <v/>
      </c>
      <c r="J220" s="128" t="str">
        <f>IF(TRDTHOMAS[[#This Row],[2024]]="","",DONNÉES!DS77)</f>
        <v/>
      </c>
      <c r="K220" s="177" t="str">
        <f>IF(TRDTHOMAS[[#This Row],[2024]]="","",DONNÉES!DT77)</f>
        <v/>
      </c>
      <c r="L220" s="128" t="str">
        <f>IF(TRDTHOMAS[[#This Row],[2024]]="","",DONNÉES!DS157)</f>
        <v/>
      </c>
      <c r="M220" s="178" t="str">
        <f>IF(TRDTHOMAS[[#This Row],[2024]]="","",DONNÉES!DT157)</f>
        <v/>
      </c>
      <c r="N220" s="128" t="str">
        <f>IF(TRDTHOMAS[[#This Row],[2024]]="","",DONNÉES!DS93)</f>
        <v/>
      </c>
      <c r="O220" s="177" t="str">
        <f>IF(TRDTHOMAS[[#This Row],[2024]]="","",DONNÉES!DT93)</f>
        <v/>
      </c>
      <c r="P220" s="128" t="str">
        <f>IF(TRDTHOMAS[[#This Row],[2024]]="","",DONNÉES!DS173)</f>
        <v/>
      </c>
      <c r="Q220" s="179" t="str">
        <f>IF(TRDTHOMAS[[#This Row],[2024]]="","",DONNÉES!DT173)</f>
        <v/>
      </c>
      <c r="R220" s="180"/>
      <c r="S220" s="128" t="str">
        <f>IF(TRDTHOMAS[[#This Row],[2024]]="","",DONNÉES!DS109)</f>
        <v/>
      </c>
      <c r="T220" s="177" t="str">
        <f>IF(TRDTHOMAS[[#This Row],[2024]]="","",DONNÉES!DT109)</f>
        <v/>
      </c>
      <c r="U220" s="128" t="str">
        <f>IF(TRDTHOMAS[[#This Row],[2024]]="","",DONNÉES!DS189)</f>
        <v/>
      </c>
      <c r="V220" s="128" t="str">
        <f>IF(TRDTHOMAS[[#This Row],[2024]]="","",DONNÉES!DT189)</f>
        <v/>
      </c>
    </row>
    <row r="221" spans="1:22" s="81" customFormat="1" ht="11.65" customHeight="1" x14ac:dyDescent="0.2">
      <c r="A221" s="169" t="s">
        <v>75</v>
      </c>
      <c r="B221" s="128" t="str">
        <f>IF(DONNÉES!DS46="","",DONNÉES!DS46)</f>
        <v/>
      </c>
      <c r="C221" s="177" t="str">
        <f>IF(TRDTHOMAS[[#This Row],[2024]]="","",DONNÉES!DT46)</f>
        <v/>
      </c>
      <c r="D221" s="128" t="str">
        <f>IF(TRDTHOMAS[[#This Row],[2024]]="","",DONNÉES!DS126)</f>
        <v/>
      </c>
      <c r="E221" s="178" t="str">
        <f>IF(TRDTHOMAS[[#This Row],[2024]]="","",DONNÉES!DT126)</f>
        <v/>
      </c>
      <c r="F221" s="128" t="str">
        <f>IF(TRDTHOMAS[[#This Row],[2024]]="","",DONNÉES!DS62)</f>
        <v/>
      </c>
      <c r="G221" s="177" t="str">
        <f>IF(TRDTHOMAS[[#This Row],[2024]]="","",DONNÉES!DT62)</f>
        <v/>
      </c>
      <c r="H221" s="128" t="str">
        <f>IF(TRDTHOMAS[[#This Row],[2024]]="","",DONNÉES!DS142)</f>
        <v/>
      </c>
      <c r="I221" s="178" t="str">
        <f>IF(TRDTHOMAS[[#This Row],[2024]]="","",DONNÉES!DT142)</f>
        <v/>
      </c>
      <c r="J221" s="128" t="str">
        <f>IF(TRDTHOMAS[[#This Row],[2024]]="","",DONNÉES!DS78)</f>
        <v/>
      </c>
      <c r="K221" s="177" t="str">
        <f>IF(TRDTHOMAS[[#This Row],[2024]]="","",DONNÉES!DT78)</f>
        <v/>
      </c>
      <c r="L221" s="128" t="str">
        <f>IF(TRDTHOMAS[[#This Row],[2024]]="","",DONNÉES!DS158)</f>
        <v/>
      </c>
      <c r="M221" s="178" t="str">
        <f>IF(TRDTHOMAS[[#This Row],[2024]]="","",DONNÉES!DT158)</f>
        <v/>
      </c>
      <c r="N221" s="128" t="str">
        <f>IF(TRDTHOMAS[[#This Row],[2024]]="","",DONNÉES!DS94)</f>
        <v/>
      </c>
      <c r="O221" s="177" t="str">
        <f>IF(TRDTHOMAS[[#This Row],[2024]]="","",DONNÉES!DT94)</f>
        <v/>
      </c>
      <c r="P221" s="128" t="str">
        <f>IF(TRDTHOMAS[[#This Row],[2024]]="","",DONNÉES!DS174)</f>
        <v/>
      </c>
      <c r="Q221" s="179" t="str">
        <f>IF(TRDTHOMAS[[#This Row],[2024]]="","",DONNÉES!DT174)</f>
        <v/>
      </c>
      <c r="R221" s="180"/>
      <c r="S221" s="128" t="str">
        <f>IF(TRDTHOMAS[[#This Row],[2024]]="","",DONNÉES!DS110)</f>
        <v/>
      </c>
      <c r="T221" s="177" t="str">
        <f>IF(TRDTHOMAS[[#This Row],[2024]]="","",DONNÉES!DT110)</f>
        <v/>
      </c>
      <c r="U221" s="128" t="str">
        <f>IF(TRDTHOMAS[[#This Row],[2024]]="","",DONNÉES!DS190)</f>
        <v/>
      </c>
      <c r="V221" s="128" t="str">
        <f>IF(TRDTHOMAS[[#This Row],[2024]]="","",DONNÉES!DT190)</f>
        <v/>
      </c>
    </row>
    <row r="222" spans="1:22" s="81" customFormat="1" ht="11.65" customHeight="1" x14ac:dyDescent="0.2">
      <c r="A222" s="170" t="s">
        <v>76</v>
      </c>
      <c r="B222" s="128" t="str">
        <f>IF(DONNÉES!DS47="","",DONNÉES!DS47)</f>
        <v/>
      </c>
      <c r="C222" s="177" t="str">
        <f>IF(TRDTHOMAS[[#This Row],[2024]]="","",DONNÉES!DT47)</f>
        <v/>
      </c>
      <c r="D222" s="128" t="str">
        <f>IF(TRDTHOMAS[[#This Row],[2024]]="","",DONNÉES!DS127)</f>
        <v/>
      </c>
      <c r="E222" s="178" t="str">
        <f>IF(TRDTHOMAS[[#This Row],[2024]]="","",DONNÉES!DT127)</f>
        <v/>
      </c>
      <c r="F222" s="128" t="str">
        <f>IF(TRDTHOMAS[[#This Row],[2024]]="","",DONNÉES!DS63)</f>
        <v/>
      </c>
      <c r="G222" s="177" t="str">
        <f>IF(TRDTHOMAS[[#This Row],[2024]]="","",DONNÉES!DT63)</f>
        <v/>
      </c>
      <c r="H222" s="128" t="str">
        <f>IF(TRDTHOMAS[[#This Row],[2024]]="","",DONNÉES!DS143)</f>
        <v/>
      </c>
      <c r="I222" s="178" t="str">
        <f>IF(TRDTHOMAS[[#This Row],[2024]]="","",DONNÉES!DT143)</f>
        <v/>
      </c>
      <c r="J222" s="128" t="str">
        <f>IF(TRDTHOMAS[[#This Row],[2024]]="","",DONNÉES!DS79)</f>
        <v/>
      </c>
      <c r="K222" s="177" t="str">
        <f>IF(TRDTHOMAS[[#This Row],[2024]]="","",DONNÉES!DT79)</f>
        <v/>
      </c>
      <c r="L222" s="128" t="str">
        <f>IF(TRDTHOMAS[[#This Row],[2024]]="","",DONNÉES!DS159)</f>
        <v/>
      </c>
      <c r="M222" s="178" t="str">
        <f>IF(TRDTHOMAS[[#This Row],[2024]]="","",DONNÉES!DT159)</f>
        <v/>
      </c>
      <c r="N222" s="128" t="str">
        <f>IF(TRDTHOMAS[[#This Row],[2024]]="","",DONNÉES!DS95)</f>
        <v/>
      </c>
      <c r="O222" s="177" t="str">
        <f>IF(TRDTHOMAS[[#This Row],[2024]]="","",DONNÉES!DT95)</f>
        <v/>
      </c>
      <c r="P222" s="128" t="str">
        <f>IF(TRDTHOMAS[[#This Row],[2024]]="","",DONNÉES!DS175)</f>
        <v/>
      </c>
      <c r="Q222" s="179" t="str">
        <f>IF(TRDTHOMAS[[#This Row],[2024]]="","",DONNÉES!DT175)</f>
        <v/>
      </c>
      <c r="R222" s="180"/>
      <c r="S222" s="128" t="str">
        <f>IF(TRDTHOMAS[[#This Row],[2024]]="","",DONNÉES!DS111)</f>
        <v/>
      </c>
      <c r="T222" s="177" t="str">
        <f>IF(TRDTHOMAS[[#This Row],[2024]]="","",DONNÉES!DT111)</f>
        <v/>
      </c>
      <c r="U222" s="128" t="str">
        <f>IF(TRDTHOMAS[[#This Row],[2024]]="","",DONNÉES!DS191)</f>
        <v/>
      </c>
      <c r="V222" s="128" t="str">
        <f>IF(TRDTHOMAS[[#This Row],[2024]]="","",DONNÉES!DT191)</f>
        <v/>
      </c>
    </row>
    <row r="223" spans="1:22" ht="11.65" customHeight="1" x14ac:dyDescent="0.2">
      <c r="A223" s="169" t="s">
        <v>77</v>
      </c>
      <c r="B223" s="128" t="str">
        <f>IF(DONNÉES!DS48="","",DONNÉES!DS48)</f>
        <v/>
      </c>
      <c r="C223" s="177" t="str">
        <f>IF(TRDTHOMAS[[#This Row],[2024]]="","",DONNÉES!DT48)</f>
        <v/>
      </c>
      <c r="D223" s="128" t="str">
        <f>IF(TRDTHOMAS[[#This Row],[2024]]="","",DONNÉES!DS128)</f>
        <v/>
      </c>
      <c r="E223" s="178" t="str">
        <f>IF(TRDTHOMAS[[#This Row],[2024]]="","",DONNÉES!DT128)</f>
        <v/>
      </c>
      <c r="F223" s="128" t="str">
        <f>IF(TRDTHOMAS[[#This Row],[2024]]="","",DONNÉES!DS64)</f>
        <v/>
      </c>
      <c r="G223" s="177" t="str">
        <f>IF(TRDTHOMAS[[#This Row],[2024]]="","",DONNÉES!DT64)</f>
        <v/>
      </c>
      <c r="H223" s="128" t="str">
        <f>IF(TRDTHOMAS[[#This Row],[2024]]="","",DONNÉES!DS144)</f>
        <v/>
      </c>
      <c r="I223" s="178" t="str">
        <f>IF(TRDTHOMAS[[#This Row],[2024]]="","",DONNÉES!DT144)</f>
        <v/>
      </c>
      <c r="J223" s="128" t="str">
        <f>IF(TRDTHOMAS[[#This Row],[2024]]="","",DONNÉES!DS80)</f>
        <v/>
      </c>
      <c r="K223" s="177" t="str">
        <f>IF(TRDTHOMAS[[#This Row],[2024]]="","",DONNÉES!DT80)</f>
        <v/>
      </c>
      <c r="L223" s="128" t="str">
        <f>IF(TRDTHOMAS[[#This Row],[2024]]="","",DONNÉES!DS160)</f>
        <v/>
      </c>
      <c r="M223" s="178" t="str">
        <f>IF(TRDTHOMAS[[#This Row],[2024]]="","",DONNÉES!DT160)</f>
        <v/>
      </c>
      <c r="N223" s="128" t="str">
        <f>IF(TRDTHOMAS[[#This Row],[2024]]="","",DONNÉES!DS96)</f>
        <v/>
      </c>
      <c r="O223" s="177" t="str">
        <f>IF(TRDTHOMAS[[#This Row],[2024]]="","",DONNÉES!DT96)</f>
        <v/>
      </c>
      <c r="P223" s="128" t="str">
        <f>IF(TRDTHOMAS[[#This Row],[2024]]="","",DONNÉES!DS176)</f>
        <v/>
      </c>
      <c r="Q223" s="179" t="str">
        <f>IF(TRDTHOMAS[[#This Row],[2024]]="","",DONNÉES!DT176)</f>
        <v/>
      </c>
      <c r="R223" s="181"/>
      <c r="S223" s="128" t="str">
        <f>IF(TRDTHOMAS[[#This Row],[2024]]="","",DONNÉES!DS112)</f>
        <v/>
      </c>
      <c r="T223" s="177" t="str">
        <f>IF(TRDTHOMAS[[#This Row],[2024]]="","",DONNÉES!DT112)</f>
        <v/>
      </c>
      <c r="U223" s="128" t="str">
        <f>IF(TRDTHOMAS[[#This Row],[2024]]="","",DONNÉES!DS192)</f>
        <v/>
      </c>
      <c r="V223" s="128" t="str">
        <f>IF(TRDTHOMAS[[#This Row],[2024]]="","",DONNÉES!DT192)</f>
        <v/>
      </c>
    </row>
    <row r="224" spans="1:22" ht="11.65" customHeight="1" x14ac:dyDescent="0.2">
      <c r="A224" s="170" t="s">
        <v>78</v>
      </c>
      <c r="B224" s="128" t="str">
        <f>IF(DONNÉES!DS49="","",DONNÉES!DS49)</f>
        <v/>
      </c>
      <c r="C224" s="177" t="str">
        <f>IF(TRDTHOMAS[[#This Row],[2024]]="","",DONNÉES!DT49)</f>
        <v/>
      </c>
      <c r="D224" s="128" t="str">
        <f>IF(TRDTHOMAS[[#This Row],[2024]]="","",DONNÉES!DS129)</f>
        <v/>
      </c>
      <c r="E224" s="178" t="str">
        <f>IF(TRDTHOMAS[[#This Row],[2024]]="","",DONNÉES!DT129)</f>
        <v/>
      </c>
      <c r="F224" s="128" t="str">
        <f>IF(TRDTHOMAS[[#This Row],[2024]]="","",DONNÉES!DS65)</f>
        <v/>
      </c>
      <c r="G224" s="177" t="str">
        <f>IF(TRDTHOMAS[[#This Row],[2024]]="","",DONNÉES!DT65)</f>
        <v/>
      </c>
      <c r="H224" s="128" t="str">
        <f>IF(TRDTHOMAS[[#This Row],[2024]]="","",DONNÉES!DS145)</f>
        <v/>
      </c>
      <c r="I224" s="178" t="str">
        <f>IF(TRDTHOMAS[[#This Row],[2024]]="","",DONNÉES!DT145)</f>
        <v/>
      </c>
      <c r="J224" s="128" t="str">
        <f>IF(TRDTHOMAS[[#This Row],[2024]]="","",DONNÉES!DS81)</f>
        <v/>
      </c>
      <c r="K224" s="177" t="str">
        <f>IF(TRDTHOMAS[[#This Row],[2024]]="","",DONNÉES!DT81)</f>
        <v/>
      </c>
      <c r="L224" s="128" t="str">
        <f>IF(TRDTHOMAS[[#This Row],[2024]]="","",DONNÉES!DS161)</f>
        <v/>
      </c>
      <c r="M224" s="178" t="str">
        <f>IF(TRDTHOMAS[[#This Row],[2024]]="","",DONNÉES!DT161)</f>
        <v/>
      </c>
      <c r="N224" s="128" t="str">
        <f>IF(TRDTHOMAS[[#This Row],[2024]]="","",DONNÉES!DS97)</f>
        <v/>
      </c>
      <c r="O224" s="177" t="str">
        <f>IF(TRDTHOMAS[[#This Row],[2024]]="","",DONNÉES!DT97)</f>
        <v/>
      </c>
      <c r="P224" s="128" t="str">
        <f>IF(TRDTHOMAS[[#This Row],[2024]]="","",DONNÉES!DS177)</f>
        <v/>
      </c>
      <c r="Q224" s="179" t="str">
        <f>IF(TRDTHOMAS[[#This Row],[2024]]="","",DONNÉES!DT177)</f>
        <v/>
      </c>
      <c r="R224" s="181"/>
      <c r="S224" s="128" t="str">
        <f>IF(TRDTHOMAS[[#This Row],[2024]]="","",DONNÉES!DS113)</f>
        <v/>
      </c>
      <c r="T224" s="177" t="str">
        <f>IF(TRDTHOMAS[[#This Row],[2024]]="","",DONNÉES!DT113)</f>
        <v/>
      </c>
      <c r="U224" s="128" t="str">
        <f>IF(TRDTHOMAS[[#This Row],[2024]]="","",DONNÉES!DS193)</f>
        <v/>
      </c>
      <c r="V224" s="128" t="str">
        <f>IF(TRDTHOMAS[[#This Row],[2024]]="","",DONNÉES!DT193)</f>
        <v/>
      </c>
    </row>
    <row r="225" spans="1:22" ht="11.65" customHeight="1" x14ac:dyDescent="0.2">
      <c r="A225" s="169" t="s">
        <v>79</v>
      </c>
      <c r="B225" s="128" t="str">
        <f>IF(DONNÉES!DS50="","",DONNÉES!DS50)</f>
        <v/>
      </c>
      <c r="C225" s="177" t="str">
        <f>IF(TRDTHOMAS[[#This Row],[2024]]="","",DONNÉES!DT50)</f>
        <v/>
      </c>
      <c r="D225" s="128" t="str">
        <f>IF(TRDTHOMAS[[#This Row],[2024]]="","",DONNÉES!DS130)</f>
        <v/>
      </c>
      <c r="E225" s="178" t="str">
        <f>IF(TRDTHOMAS[[#This Row],[2024]]="","",DONNÉES!DT130)</f>
        <v/>
      </c>
      <c r="F225" s="128" t="str">
        <f>IF(TRDTHOMAS[[#This Row],[2024]]="","",DONNÉES!DS66)</f>
        <v/>
      </c>
      <c r="G225" s="177" t="str">
        <f>IF(TRDTHOMAS[[#This Row],[2024]]="","",DONNÉES!DT66)</f>
        <v/>
      </c>
      <c r="H225" s="128" t="str">
        <f>IF(TRDTHOMAS[[#This Row],[2024]]="","",DONNÉES!DS146)</f>
        <v/>
      </c>
      <c r="I225" s="178" t="str">
        <f>IF(TRDTHOMAS[[#This Row],[2024]]="","",DONNÉES!DT146)</f>
        <v/>
      </c>
      <c r="J225" s="128" t="str">
        <f>IF(TRDTHOMAS[[#This Row],[2024]]="","",DONNÉES!DS82)</f>
        <v/>
      </c>
      <c r="K225" s="177" t="str">
        <f>IF(TRDTHOMAS[[#This Row],[2024]]="","",DONNÉES!DT82)</f>
        <v/>
      </c>
      <c r="L225" s="128" t="str">
        <f>IF(TRDTHOMAS[[#This Row],[2024]]="","",DONNÉES!DS162)</f>
        <v/>
      </c>
      <c r="M225" s="178" t="str">
        <f>IF(TRDTHOMAS[[#This Row],[2024]]="","",DONNÉES!DT162)</f>
        <v/>
      </c>
      <c r="N225" s="128" t="str">
        <f>IF(TRDTHOMAS[[#This Row],[2024]]="","",DONNÉES!DS98)</f>
        <v/>
      </c>
      <c r="O225" s="177" t="str">
        <f>IF(TRDTHOMAS[[#This Row],[2024]]="","",DONNÉES!DT98)</f>
        <v/>
      </c>
      <c r="P225" s="128" t="str">
        <f>IF(TRDTHOMAS[[#This Row],[2024]]="","",DONNÉES!DS178)</f>
        <v/>
      </c>
      <c r="Q225" s="179" t="str">
        <f>IF(TRDTHOMAS[[#This Row],[2024]]="","",DONNÉES!DT178)</f>
        <v/>
      </c>
      <c r="R225" s="181"/>
      <c r="S225" s="128" t="str">
        <f>IF(TRDTHOMAS[[#This Row],[2024]]="","",DONNÉES!DS114)</f>
        <v/>
      </c>
      <c r="T225" s="177" t="str">
        <f>IF(TRDTHOMAS[[#This Row],[2024]]="","",DONNÉES!DT114)</f>
        <v/>
      </c>
      <c r="U225" s="128" t="str">
        <f>IF(TRDTHOMAS[[#This Row],[2024]]="","",DONNÉES!DS194)</f>
        <v/>
      </c>
      <c r="V225" s="128" t="str">
        <f>IF(TRDTHOMAS[[#This Row],[2024]]="","",DONNÉES!DT194)</f>
        <v/>
      </c>
    </row>
    <row r="226" spans="1:22" ht="11.65" customHeight="1" x14ac:dyDescent="0.2">
      <c r="A226" s="170" t="s">
        <v>80</v>
      </c>
      <c r="B226" s="128" t="str">
        <f>IF(DONNÉES!DS51="","",DONNÉES!DS51)</f>
        <v/>
      </c>
      <c r="C226" s="177" t="str">
        <f>IF(TRDTHOMAS[[#This Row],[2024]]="","",DONNÉES!DT51)</f>
        <v/>
      </c>
      <c r="D226" s="128" t="str">
        <f>IF(TRDTHOMAS[[#This Row],[2024]]="","",DONNÉES!DS131)</f>
        <v/>
      </c>
      <c r="E226" s="178" t="str">
        <f>IF(TRDTHOMAS[[#This Row],[2024]]="","",DONNÉES!DT131)</f>
        <v/>
      </c>
      <c r="F226" s="128" t="str">
        <f>IF(TRDTHOMAS[[#This Row],[2024]]="","",DONNÉES!DS67)</f>
        <v/>
      </c>
      <c r="G226" s="177" t="str">
        <f>IF(TRDTHOMAS[[#This Row],[2024]]="","",DONNÉES!DT67)</f>
        <v/>
      </c>
      <c r="H226" s="128" t="str">
        <f>IF(TRDTHOMAS[[#This Row],[2024]]="","",DONNÉES!DS147)</f>
        <v/>
      </c>
      <c r="I226" s="178" t="str">
        <f>IF(TRDTHOMAS[[#This Row],[2024]]="","",DONNÉES!DT147)</f>
        <v/>
      </c>
      <c r="J226" s="128" t="str">
        <f>IF(TRDTHOMAS[[#This Row],[2024]]="","",DONNÉES!DS83)</f>
        <v/>
      </c>
      <c r="K226" s="177" t="str">
        <f>IF(TRDTHOMAS[[#This Row],[2024]]="","",DONNÉES!DT83)</f>
        <v/>
      </c>
      <c r="L226" s="128" t="str">
        <f>IF(TRDTHOMAS[[#This Row],[2024]]="","",DONNÉES!DS163)</f>
        <v/>
      </c>
      <c r="M226" s="178" t="str">
        <f>IF(TRDTHOMAS[[#This Row],[2024]]="","",DONNÉES!DT163)</f>
        <v/>
      </c>
      <c r="N226" s="128" t="str">
        <f>IF(TRDTHOMAS[[#This Row],[2024]]="","",DONNÉES!DS99)</f>
        <v/>
      </c>
      <c r="O226" s="177" t="str">
        <f>IF(TRDTHOMAS[[#This Row],[2024]]="","",DONNÉES!DT99)</f>
        <v/>
      </c>
      <c r="P226" s="128" t="str">
        <f>IF(TRDTHOMAS[[#This Row],[2024]]="","",DONNÉES!DS179)</f>
        <v/>
      </c>
      <c r="Q226" s="179" t="str">
        <f>IF(TRDTHOMAS[[#This Row],[2024]]="","",DONNÉES!DT179)</f>
        <v/>
      </c>
      <c r="R226" s="181"/>
      <c r="S226" s="128" t="str">
        <f>IF(TRDTHOMAS[[#This Row],[2024]]="","",DONNÉES!DS115)</f>
        <v/>
      </c>
      <c r="T226" s="177" t="str">
        <f>IF(TRDTHOMAS[[#This Row],[2024]]="","",DONNÉES!DT115)</f>
        <v/>
      </c>
      <c r="U226" s="128" t="str">
        <f>IF(TRDTHOMAS[[#This Row],[2024]]="","",DONNÉES!DS195)</f>
        <v/>
      </c>
      <c r="V226" s="128" t="str">
        <f>IF(TRDTHOMAS[[#This Row],[2024]]="","",DONNÉES!DT195)</f>
        <v/>
      </c>
    </row>
    <row r="227" spans="1:22" ht="11.65" customHeight="1" x14ac:dyDescent="0.2">
      <c r="A227" s="169" t="s">
        <v>81</v>
      </c>
      <c r="B227" s="128" t="str">
        <f>IF(DONNÉES!DS52="","",DONNÉES!DS52)</f>
        <v/>
      </c>
      <c r="C227" s="177" t="str">
        <f>IF(TRDTHOMAS[[#This Row],[2024]]="","",DONNÉES!DT52)</f>
        <v/>
      </c>
      <c r="D227" s="128" t="str">
        <f>IF(TRDTHOMAS[[#This Row],[2024]]="","",DONNÉES!DS132)</f>
        <v/>
      </c>
      <c r="E227" s="178" t="str">
        <f>IF(TRDTHOMAS[[#This Row],[2024]]="","",DONNÉES!DT132)</f>
        <v/>
      </c>
      <c r="F227" s="128" t="str">
        <f>IF(TRDTHOMAS[[#This Row],[2024]]="","",DONNÉES!DS68)</f>
        <v/>
      </c>
      <c r="G227" s="177" t="str">
        <f>IF(TRDTHOMAS[[#This Row],[2024]]="","",DONNÉES!DT68)</f>
        <v/>
      </c>
      <c r="H227" s="128" t="str">
        <f>IF(TRDTHOMAS[[#This Row],[2024]]="","",DONNÉES!DS148)</f>
        <v/>
      </c>
      <c r="I227" s="178" t="str">
        <f>IF(TRDTHOMAS[[#This Row],[2024]]="","",DONNÉES!DT148)</f>
        <v/>
      </c>
      <c r="J227" s="128" t="str">
        <f>IF(TRDTHOMAS[[#This Row],[2024]]="","",DONNÉES!DS84)</f>
        <v/>
      </c>
      <c r="K227" s="177" t="str">
        <f>IF(TRDTHOMAS[[#This Row],[2024]]="","",DONNÉES!DT84)</f>
        <v/>
      </c>
      <c r="L227" s="128" t="str">
        <f>IF(TRDTHOMAS[[#This Row],[2024]]="","",DONNÉES!DS164)</f>
        <v/>
      </c>
      <c r="M227" s="178" t="str">
        <f>IF(TRDTHOMAS[[#This Row],[2024]]="","",DONNÉES!DT164)</f>
        <v/>
      </c>
      <c r="N227" s="128" t="str">
        <f>IF(TRDTHOMAS[[#This Row],[2024]]="","",DONNÉES!DS100)</f>
        <v/>
      </c>
      <c r="O227" s="177" t="str">
        <f>IF(TRDTHOMAS[[#This Row],[2024]]="","",DONNÉES!DT100)</f>
        <v/>
      </c>
      <c r="P227" s="128" t="str">
        <f>IF(TRDTHOMAS[[#This Row],[2024]]="","",DONNÉES!DS180)</f>
        <v/>
      </c>
      <c r="Q227" s="179" t="str">
        <f>IF(TRDTHOMAS[[#This Row],[2024]]="","",DONNÉES!DT180)</f>
        <v/>
      </c>
      <c r="R227" s="181"/>
      <c r="S227" s="128" t="str">
        <f>IF(TRDTHOMAS[[#This Row],[2024]]="","",DONNÉES!DS116)</f>
        <v/>
      </c>
      <c r="T227" s="177" t="str">
        <f>IF(TRDTHOMAS[[#This Row],[2024]]="","",DONNÉES!DT116)</f>
        <v/>
      </c>
      <c r="U227" s="128" t="str">
        <f>IF(TRDTHOMAS[[#This Row],[2024]]="","",DONNÉES!DS196)</f>
        <v/>
      </c>
      <c r="V227" s="128" t="str">
        <f>IF(TRDTHOMAS[[#This Row],[2024]]="","",DONNÉES!DT196)</f>
        <v/>
      </c>
    </row>
    <row r="228" spans="1:22" ht="11.65" customHeight="1" x14ac:dyDescent="0.2">
      <c r="A228" s="170" t="s">
        <v>82</v>
      </c>
      <c r="B228" s="128" t="str">
        <f>IF(DONNÉES!DS53="","",DONNÉES!DS53)</f>
        <v/>
      </c>
      <c r="C228" s="177" t="str">
        <f>IF(TRDTHOMAS[[#This Row],[2024]]="","",DONNÉES!DT53)</f>
        <v/>
      </c>
      <c r="D228" s="128" t="str">
        <f>IF(TRDTHOMAS[[#This Row],[2024]]="","",DONNÉES!DS133)</f>
        <v/>
      </c>
      <c r="E228" s="178" t="str">
        <f>IF(TRDTHOMAS[[#This Row],[2024]]="","",DONNÉES!DT133)</f>
        <v/>
      </c>
      <c r="F228" s="128" t="str">
        <f>IF(TRDTHOMAS[[#This Row],[2024]]="","",DONNÉES!DS69)</f>
        <v/>
      </c>
      <c r="G228" s="177" t="str">
        <f>IF(TRDTHOMAS[[#This Row],[2024]]="","",DONNÉES!DT69)</f>
        <v/>
      </c>
      <c r="H228" s="128" t="str">
        <f>IF(TRDTHOMAS[[#This Row],[2024]]="","",DONNÉES!DS149)</f>
        <v/>
      </c>
      <c r="I228" s="178" t="str">
        <f>IF(TRDTHOMAS[[#This Row],[2024]]="","",DONNÉES!DT149)</f>
        <v/>
      </c>
      <c r="J228" s="128" t="str">
        <f>IF(TRDTHOMAS[[#This Row],[2024]]="","",DONNÉES!DS85)</f>
        <v/>
      </c>
      <c r="K228" s="177" t="str">
        <f>IF(TRDTHOMAS[[#This Row],[2024]]="","",DONNÉES!DT85)</f>
        <v/>
      </c>
      <c r="L228" s="128" t="str">
        <f>IF(TRDTHOMAS[[#This Row],[2024]]="","",DONNÉES!DS165)</f>
        <v/>
      </c>
      <c r="M228" s="178" t="str">
        <f>IF(TRDTHOMAS[[#This Row],[2024]]="","",DONNÉES!DT165)</f>
        <v/>
      </c>
      <c r="N228" s="128" t="str">
        <f>IF(TRDTHOMAS[[#This Row],[2024]]="","",DONNÉES!DS101)</f>
        <v/>
      </c>
      <c r="O228" s="177" t="str">
        <f>IF(TRDTHOMAS[[#This Row],[2024]]="","",DONNÉES!DT101)</f>
        <v/>
      </c>
      <c r="P228" s="128" t="str">
        <f>IF(TRDTHOMAS[[#This Row],[2024]]="","",DONNÉES!DS181)</f>
        <v/>
      </c>
      <c r="Q228" s="179" t="str">
        <f>IF(TRDTHOMAS[[#This Row],[2024]]="","",DONNÉES!DT181)</f>
        <v/>
      </c>
      <c r="R228" s="185"/>
      <c r="S228" s="128" t="str">
        <f>IF(TRDTHOMAS[[#This Row],[2024]]="","",DONNÉES!DS117)</f>
        <v/>
      </c>
      <c r="T228" s="177" t="str">
        <f>IF(TRDTHOMAS[[#This Row],[2024]]="","",DONNÉES!DT117)</f>
        <v/>
      </c>
      <c r="U228" s="128" t="str">
        <f>IF(TRDTHOMAS[[#This Row],[2024]]="","",DONNÉES!DS197)</f>
        <v/>
      </c>
      <c r="V228" s="128" t="str">
        <f>IF(TRDTHOMAS[[#This Row],[2024]]="","",DONNÉES!DT197)</f>
        <v/>
      </c>
    </row>
    <row r="229" spans="1:22" ht="11.65" customHeight="1" x14ac:dyDescent="0.2">
      <c r="A229" s="169" t="s">
        <v>83</v>
      </c>
      <c r="B229" s="128" t="str">
        <f>IF(DONNÉES!DS54="","",DONNÉES!DS54)</f>
        <v/>
      </c>
      <c r="C229" s="177" t="str">
        <f>IF(TRDTHOMAS[[#This Row],[2024]]="","",DONNÉES!DT54)</f>
        <v/>
      </c>
      <c r="D229" s="128" t="str">
        <f>IF(TRDTHOMAS[[#This Row],[2024]]="","",DONNÉES!DS134)</f>
        <v/>
      </c>
      <c r="E229" s="178" t="str">
        <f>IF(TRDTHOMAS[[#This Row],[2024]]="","",DONNÉES!DT134)</f>
        <v/>
      </c>
      <c r="F229" s="128" t="str">
        <f>IF(TRDTHOMAS[[#This Row],[2024]]="","",DONNÉES!DS70)</f>
        <v/>
      </c>
      <c r="G229" s="177" t="str">
        <f>IF(TRDTHOMAS[[#This Row],[2024]]="","",DONNÉES!DT70)</f>
        <v/>
      </c>
      <c r="H229" s="128" t="str">
        <f>IF(TRDTHOMAS[[#This Row],[2024]]="","",DONNÉES!DS150)</f>
        <v/>
      </c>
      <c r="I229" s="178" t="str">
        <f>IF(TRDTHOMAS[[#This Row],[2024]]="","",DONNÉES!DT150)</f>
        <v/>
      </c>
      <c r="J229" s="128" t="str">
        <f>IF(TRDTHOMAS[[#This Row],[2024]]="","",DONNÉES!DS86)</f>
        <v/>
      </c>
      <c r="K229" s="177" t="str">
        <f>IF(TRDTHOMAS[[#This Row],[2024]]="","",DONNÉES!DT86)</f>
        <v/>
      </c>
      <c r="L229" s="128" t="str">
        <f>IF(TRDTHOMAS[[#This Row],[2024]]="","",DONNÉES!DS166)</f>
        <v/>
      </c>
      <c r="M229" s="178" t="str">
        <f>IF(TRDTHOMAS[[#This Row],[2024]]="","",DONNÉES!DT166)</f>
        <v/>
      </c>
      <c r="N229" s="128" t="str">
        <f>IF(TRDTHOMAS[[#This Row],[2024]]="","",DONNÉES!DS102)</f>
        <v/>
      </c>
      <c r="O229" s="177" t="str">
        <f>IF(TRDTHOMAS[[#This Row],[2024]]="","",DONNÉES!DT102)</f>
        <v/>
      </c>
      <c r="P229" s="128" t="str">
        <f>IF(TRDTHOMAS[[#This Row],[2024]]="","",DONNÉES!DS182)</f>
        <v/>
      </c>
      <c r="Q229" s="179" t="str">
        <f>IF(TRDTHOMAS[[#This Row],[2024]]="","",DONNÉES!DT182)</f>
        <v/>
      </c>
      <c r="R229" s="181"/>
      <c r="S229" s="128" t="str">
        <f>IF(TRDTHOMAS[[#This Row],[2024]]="","",DONNÉES!DS118)</f>
        <v/>
      </c>
      <c r="T229" s="177" t="str">
        <f>IF(TRDTHOMAS[[#This Row],[2024]]="","",DONNÉES!DT118)</f>
        <v/>
      </c>
      <c r="U229" s="128" t="str">
        <f>IF(TRDTHOMAS[[#This Row],[2024]]="","",DONNÉES!DS198)</f>
        <v/>
      </c>
      <c r="V229" s="128" t="str">
        <f>IF(TRDTHOMAS[[#This Row],[2024]]="","",DONNÉES!DT198)</f>
        <v/>
      </c>
    </row>
    <row r="230" spans="1:22" s="81" customFormat="1" ht="11.65" customHeight="1" x14ac:dyDescent="0.2">
      <c r="A230" s="169" t="s">
        <v>84</v>
      </c>
      <c r="B230" s="128" t="str">
        <f>IF(DONNÉES!DS55="","",DONNÉES!DS55)</f>
        <v/>
      </c>
      <c r="C230" s="177" t="str">
        <f>IF(TRDTHOMAS[[#This Row],[2024]]="","",DONNÉES!DT55)</f>
        <v/>
      </c>
      <c r="D230" s="128" t="str">
        <f>IF(TRDTHOMAS[[#This Row],[2024]]="","",DONNÉES!DS135)</f>
        <v/>
      </c>
      <c r="E230" s="178" t="str">
        <f>IF(TRDTHOMAS[[#This Row],[2024]]="","",DONNÉES!DT135)</f>
        <v/>
      </c>
      <c r="F230" s="128" t="str">
        <f>IF(TRDTHOMAS[[#This Row],[2024]]="","",DONNÉES!DS71)</f>
        <v/>
      </c>
      <c r="G230" s="177" t="str">
        <f>IF(TRDTHOMAS[[#This Row],[2024]]="","",DONNÉES!DT71)</f>
        <v/>
      </c>
      <c r="H230" s="128" t="str">
        <f>IF(TRDTHOMAS[[#This Row],[2024]]="","",DONNÉES!DS151)</f>
        <v/>
      </c>
      <c r="I230" s="178" t="str">
        <f>IF(TRDTHOMAS[[#This Row],[2024]]="","",DONNÉES!DT151)</f>
        <v/>
      </c>
      <c r="J230" s="128" t="str">
        <f>IF(TRDTHOMAS[[#This Row],[2024]]="","",DONNÉES!DS87)</f>
        <v/>
      </c>
      <c r="K230" s="177" t="str">
        <f>IF(TRDTHOMAS[[#This Row],[2024]]="","",DONNÉES!DT87)</f>
        <v/>
      </c>
      <c r="L230" s="128" t="str">
        <f>IF(TRDTHOMAS[[#This Row],[2024]]="","",DONNÉES!DS167)</f>
        <v/>
      </c>
      <c r="M230" s="178" t="str">
        <f>IF(TRDTHOMAS[[#This Row],[2024]]="","",DONNÉES!DT167)</f>
        <v/>
      </c>
      <c r="N230" s="128" t="str">
        <f>IF(TRDTHOMAS[[#This Row],[2024]]="","",DONNÉES!DS103)</f>
        <v/>
      </c>
      <c r="O230" s="177" t="str">
        <f>IF(TRDTHOMAS[[#This Row],[2024]]="","",DONNÉES!DT103)</f>
        <v/>
      </c>
      <c r="P230" s="128" t="str">
        <f>IF(TRDTHOMAS[[#This Row],[2024]]="","",DONNÉES!DS183)</f>
        <v/>
      </c>
      <c r="Q230" s="179" t="str">
        <f>IF(TRDTHOMAS[[#This Row],[2024]]="","",DONNÉES!DT183)</f>
        <v/>
      </c>
      <c r="R230" s="180"/>
      <c r="S230" s="128" t="str">
        <f>IF(TRDTHOMAS[[#This Row],[2024]]="","",DONNÉES!DS119)</f>
        <v/>
      </c>
      <c r="T230" s="177" t="str">
        <f>IF(TRDTHOMAS[[#This Row],[2024]]="","",DONNÉES!DT119)</f>
        <v/>
      </c>
      <c r="U230" s="128" t="str">
        <f>IF(TRDTHOMAS[[#This Row],[2024]]="","",DONNÉES!DS199)</f>
        <v/>
      </c>
      <c r="V230" s="128" t="str">
        <f>IF(TRDTHOMAS[[#This Row],[2024]]="","",DONNÉES!DT199)</f>
        <v/>
      </c>
    </row>
    <row r="231" spans="1:22" s="81" customFormat="1" ht="11.65" customHeight="1" x14ac:dyDescent="0.2">
      <c r="A231" s="79"/>
      <c r="B231" s="130"/>
      <c r="C231" s="252"/>
      <c r="D231" s="130"/>
      <c r="E231" s="252"/>
      <c r="F231" s="130"/>
      <c r="G231" s="252"/>
      <c r="H231" s="130"/>
      <c r="I231" s="252"/>
      <c r="J231" s="130"/>
      <c r="K231" s="252"/>
      <c r="L231" s="130"/>
      <c r="M231" s="252"/>
      <c r="N231" s="130"/>
      <c r="O231" s="252"/>
      <c r="P231" s="130"/>
      <c r="Q231" s="184"/>
      <c r="R231" s="180"/>
      <c r="S231" s="130"/>
      <c r="T231" s="252"/>
      <c r="U231" s="130"/>
      <c r="V231" s="130"/>
    </row>
    <row r="232" spans="1:22" s="81" customFormat="1" ht="14.65" customHeight="1" x14ac:dyDescent="0.2">
      <c r="A232" s="176"/>
      <c r="B232" s="343" t="s">
        <v>195</v>
      </c>
      <c r="C232" s="343"/>
      <c r="D232" s="343"/>
      <c r="E232" s="344"/>
      <c r="F232" s="343" t="s">
        <v>196</v>
      </c>
      <c r="G232" s="343"/>
      <c r="H232" s="343"/>
      <c r="I232" s="344"/>
      <c r="J232" s="343" t="s">
        <v>198</v>
      </c>
      <c r="K232" s="343"/>
      <c r="L232" s="343"/>
      <c r="M232" s="344"/>
      <c r="N232" s="343" t="s">
        <v>199</v>
      </c>
      <c r="O232" s="343"/>
      <c r="P232" s="343"/>
      <c r="Q232" s="343"/>
      <c r="R232" s="180"/>
      <c r="S232" s="343" t="s">
        <v>197</v>
      </c>
      <c r="T232" s="343"/>
      <c r="U232" s="343"/>
      <c r="V232" s="343"/>
    </row>
    <row r="233" spans="1:22" ht="28.9" customHeight="1" x14ac:dyDescent="0.2">
      <c r="A233" s="169" t="s">
        <v>7094</v>
      </c>
      <c r="B233" s="108" t="s">
        <v>6962</v>
      </c>
      <c r="C233" s="166" t="s">
        <v>2169</v>
      </c>
      <c r="D233" s="108" t="s">
        <v>6986</v>
      </c>
      <c r="E233" s="172" t="s">
        <v>6944</v>
      </c>
      <c r="F233" s="211" t="s">
        <v>6987</v>
      </c>
      <c r="G233" s="166" t="s">
        <v>6945</v>
      </c>
      <c r="H233" s="108" t="s">
        <v>6988</v>
      </c>
      <c r="I233" s="172" t="s">
        <v>6946</v>
      </c>
      <c r="J233" s="108" t="s">
        <v>6989</v>
      </c>
      <c r="K233" s="166" t="s">
        <v>6947</v>
      </c>
      <c r="L233" s="108" t="s">
        <v>6990</v>
      </c>
      <c r="M233" s="172" t="s">
        <v>6948</v>
      </c>
      <c r="N233" s="108" t="s">
        <v>6991</v>
      </c>
      <c r="O233" s="166" t="s">
        <v>6949</v>
      </c>
      <c r="P233" s="108" t="s">
        <v>6992</v>
      </c>
      <c r="Q233" s="94" t="s">
        <v>6950</v>
      </c>
      <c r="S233" s="108" t="s">
        <v>6962</v>
      </c>
      <c r="T233" s="166" t="s">
        <v>2169</v>
      </c>
      <c r="U233" s="108" t="s">
        <v>6986</v>
      </c>
      <c r="V233" s="172" t="s">
        <v>6944</v>
      </c>
    </row>
    <row r="234" spans="1:22" ht="11.65" customHeight="1" x14ac:dyDescent="0.2">
      <c r="A234" s="170" t="s">
        <v>73</v>
      </c>
      <c r="B234" s="128">
        <f>IF(DONNÉES!EA44="","",DONNÉES!EA44)</f>
        <v>1766</v>
      </c>
      <c r="C234" s="177">
        <f>IF(TRDCAT[[#This Row],[2024]]="","",DONNÉES!EB44)</f>
        <v>0</v>
      </c>
      <c r="D234" s="128">
        <f>IF(TRDCAT[[#This Row],[2024]]="","",DONNÉES!EA124)</f>
        <v>1766</v>
      </c>
      <c r="E234" s="178">
        <f>IF(TRDCAT[[#This Row],[2024]]="","",DONNÉES!EB124)</f>
        <v>0</v>
      </c>
      <c r="F234" s="128">
        <f>IF(TRDCAT[[#This Row],[2024]]="","",DONNÉES!EA60)</f>
        <v>1675</v>
      </c>
      <c r="G234" s="177">
        <f>IF(TRDCAT[[#This Row],[2024]]="","",DONNÉES!EB60)</f>
        <v>0</v>
      </c>
      <c r="H234" s="128">
        <f>IF(TRDCAT[[#This Row],[2024]]="","",DONNÉES!EA140)</f>
        <v>1675</v>
      </c>
      <c r="I234" s="178">
        <f>IF(TRDCAT[[#This Row],[2024]]="","",DONNÉES!EB140)</f>
        <v>0</v>
      </c>
      <c r="J234" s="128">
        <f>IF(TRDCAT[[#This Row],[2024]]="","",DONNÉES!EA76)</f>
        <v>3700</v>
      </c>
      <c r="K234" s="177">
        <f>IF(TRDCAT[[#This Row],[2024]]="","",DONNÉES!EB76)</f>
        <v>0</v>
      </c>
      <c r="L234" s="128">
        <f>IF(TRDCAT[[#This Row],[2024]]="","",DONNÉES!EA156)</f>
        <v>3700</v>
      </c>
      <c r="M234" s="178">
        <f>IF(TRDCAT[[#This Row],[2024]]="","",DONNÉES!EB156)</f>
        <v>0</v>
      </c>
      <c r="N234" s="128">
        <f>IF(TRDCAT[[#This Row],[2024]]="","",DONNÉES!EA92)</f>
        <v>4262</v>
      </c>
      <c r="O234" s="177">
        <f>IF(TRDCAT[[#This Row],[2024]]="","",DONNÉES!EB92)</f>
        <v>0</v>
      </c>
      <c r="P234" s="128">
        <f>IF(TRDCAT[[#This Row],[2024]]="","",DONNÉES!EA172)</f>
        <v>4262</v>
      </c>
      <c r="Q234" s="179">
        <f>IF(TRDCAT[[#This Row],[2024]]="","",DONNÉES!EB172)</f>
        <v>0</v>
      </c>
      <c r="S234" s="128">
        <f>IF(TRDCAT[[#This Row],[2024]]="","",DONNÉES!EA108)</f>
        <v>11403</v>
      </c>
      <c r="T234" s="177">
        <f>IF(TRDCAT[[#This Row],[2024]]="","",DONNÉES!EB108)</f>
        <v>0</v>
      </c>
      <c r="U234" s="128">
        <f>IF(TRDCAT[[#This Row],[2024]]="","",DONNÉES!EA188)</f>
        <v>11403</v>
      </c>
      <c r="V234" s="128">
        <f>IF(TRDCAT[[#This Row],[2024]]="","",DONNÉES!EB188)</f>
        <v>0</v>
      </c>
    </row>
    <row r="235" spans="1:22" s="81" customFormat="1" ht="11.65" customHeight="1" x14ac:dyDescent="0.2">
      <c r="A235" s="170" t="s">
        <v>74</v>
      </c>
      <c r="B235" s="128" t="str">
        <f>IF(DONNÉES!EA45="","",DONNÉES!EA45)</f>
        <v/>
      </c>
      <c r="C235" s="177" t="str">
        <f>IF(TRDCAT[[#This Row],[2024]]="","",DONNÉES!EB45)</f>
        <v/>
      </c>
      <c r="D235" s="128" t="str">
        <f>IF(TRDCAT[[#This Row],[2024]]="","",DONNÉES!EA125)</f>
        <v/>
      </c>
      <c r="E235" s="178" t="str">
        <f>IF(TRDCAT[[#This Row],[2024]]="","",DONNÉES!EB125)</f>
        <v/>
      </c>
      <c r="F235" s="128" t="str">
        <f>IF(TRDCAT[[#This Row],[2024]]="","",DONNÉES!EA61)</f>
        <v/>
      </c>
      <c r="G235" s="177" t="str">
        <f>IF(TRDCAT[[#This Row],[2024]]="","",DONNÉES!EB61)</f>
        <v/>
      </c>
      <c r="H235" s="128" t="str">
        <f>IF(TRDCAT[[#This Row],[2024]]="","",DONNÉES!EA141)</f>
        <v/>
      </c>
      <c r="I235" s="178" t="str">
        <f>IF(TRDCAT[[#This Row],[2024]]="","",DONNÉES!EB141)</f>
        <v/>
      </c>
      <c r="J235" s="128" t="str">
        <f>IF(TRDCAT[[#This Row],[2024]]="","",DONNÉES!EA77)</f>
        <v/>
      </c>
      <c r="K235" s="177" t="str">
        <f>IF(TRDCAT[[#This Row],[2024]]="","",DONNÉES!EB77)</f>
        <v/>
      </c>
      <c r="L235" s="128" t="str">
        <f>IF(TRDCAT[[#This Row],[2024]]="","",DONNÉES!EA157)</f>
        <v/>
      </c>
      <c r="M235" s="178" t="str">
        <f>IF(TRDCAT[[#This Row],[2024]]="","",DONNÉES!EB157)</f>
        <v/>
      </c>
      <c r="N235" s="128" t="str">
        <f>IF(TRDCAT[[#This Row],[2024]]="","",DONNÉES!EA93)</f>
        <v/>
      </c>
      <c r="O235" s="177" t="str">
        <f>IF(TRDCAT[[#This Row],[2024]]="","",DONNÉES!EB93)</f>
        <v/>
      </c>
      <c r="P235" s="128" t="str">
        <f>IF(TRDCAT[[#This Row],[2024]]="","",DONNÉES!EA173)</f>
        <v/>
      </c>
      <c r="Q235" s="179" t="str">
        <f>IF(TRDCAT[[#This Row],[2024]]="","",DONNÉES!EB173)</f>
        <v/>
      </c>
      <c r="R235" s="180"/>
      <c r="S235" s="128" t="str">
        <f>IF(TRDCAT[[#This Row],[2024]]="","",DONNÉES!EA109)</f>
        <v/>
      </c>
      <c r="T235" s="177" t="str">
        <f>IF(TRDCAT[[#This Row],[2024]]="","",DONNÉES!EB109)</f>
        <v/>
      </c>
      <c r="U235" s="128" t="str">
        <f>IF(TRDCAT[[#This Row],[2024]]="","",DONNÉES!EA189)</f>
        <v/>
      </c>
      <c r="V235" s="128" t="str">
        <f>IF(TRDCAT[[#This Row],[2024]]="","",DONNÉES!EB189)</f>
        <v/>
      </c>
    </row>
    <row r="236" spans="1:22" s="81" customFormat="1" ht="11.65" customHeight="1" x14ac:dyDescent="0.2">
      <c r="A236" s="169" t="s">
        <v>75</v>
      </c>
      <c r="B236" s="128" t="str">
        <f>IF(DONNÉES!EA46="","",DONNÉES!EA46)</f>
        <v/>
      </c>
      <c r="C236" s="177" t="str">
        <f>IF(TRDCAT[[#This Row],[2024]]="","",DONNÉES!EB46)</f>
        <v/>
      </c>
      <c r="D236" s="128" t="str">
        <f>IF(TRDCAT[[#This Row],[2024]]="","",DONNÉES!EA126)</f>
        <v/>
      </c>
      <c r="E236" s="178" t="str">
        <f>IF(TRDCAT[[#This Row],[2024]]="","",DONNÉES!EB126)</f>
        <v/>
      </c>
      <c r="F236" s="128" t="str">
        <f>IF(TRDCAT[[#This Row],[2024]]="","",DONNÉES!EA62)</f>
        <v/>
      </c>
      <c r="G236" s="177" t="str">
        <f>IF(TRDCAT[[#This Row],[2024]]="","",DONNÉES!EB62)</f>
        <v/>
      </c>
      <c r="H236" s="128" t="str">
        <f>IF(TRDCAT[[#This Row],[2024]]="","",DONNÉES!EA142)</f>
        <v/>
      </c>
      <c r="I236" s="178" t="str">
        <f>IF(TRDCAT[[#This Row],[2024]]="","",DONNÉES!EB142)</f>
        <v/>
      </c>
      <c r="J236" s="128" t="str">
        <f>IF(TRDCAT[[#This Row],[2024]]="","",DONNÉES!EA78)</f>
        <v/>
      </c>
      <c r="K236" s="177" t="str">
        <f>IF(TRDCAT[[#This Row],[2024]]="","",DONNÉES!EB78)</f>
        <v/>
      </c>
      <c r="L236" s="128" t="str">
        <f>IF(TRDCAT[[#This Row],[2024]]="","",DONNÉES!EA158)</f>
        <v/>
      </c>
      <c r="M236" s="178" t="str">
        <f>IF(TRDCAT[[#This Row],[2024]]="","",DONNÉES!EB158)</f>
        <v/>
      </c>
      <c r="N236" s="128" t="str">
        <f>IF(TRDCAT[[#This Row],[2024]]="","",DONNÉES!EA94)</f>
        <v/>
      </c>
      <c r="O236" s="177" t="str">
        <f>IF(TRDCAT[[#This Row],[2024]]="","",DONNÉES!EB94)</f>
        <v/>
      </c>
      <c r="P236" s="128" t="str">
        <f>IF(TRDCAT[[#This Row],[2024]]="","",DONNÉES!EA174)</f>
        <v/>
      </c>
      <c r="Q236" s="179" t="str">
        <f>IF(TRDCAT[[#This Row],[2024]]="","",DONNÉES!EB174)</f>
        <v/>
      </c>
      <c r="R236" s="180"/>
      <c r="S236" s="128" t="str">
        <f>IF(TRDCAT[[#This Row],[2024]]="","",DONNÉES!EA110)</f>
        <v/>
      </c>
      <c r="T236" s="177" t="str">
        <f>IF(TRDCAT[[#This Row],[2024]]="","",DONNÉES!EB110)</f>
        <v/>
      </c>
      <c r="U236" s="128" t="str">
        <f>IF(TRDCAT[[#This Row],[2024]]="","",DONNÉES!EA190)</f>
        <v/>
      </c>
      <c r="V236" s="128" t="str">
        <f>IF(TRDCAT[[#This Row],[2024]]="","",DONNÉES!EB190)</f>
        <v/>
      </c>
    </row>
    <row r="237" spans="1:22" s="81" customFormat="1" ht="11.65" customHeight="1" x14ac:dyDescent="0.2">
      <c r="A237" s="170" t="s">
        <v>76</v>
      </c>
      <c r="B237" s="128" t="str">
        <f>IF(DONNÉES!EA47="","",DONNÉES!EA47)</f>
        <v/>
      </c>
      <c r="C237" s="177" t="str">
        <f>IF(TRDCAT[[#This Row],[2024]]="","",DONNÉES!EB47)</f>
        <v/>
      </c>
      <c r="D237" s="128" t="str">
        <f>IF(TRDCAT[[#This Row],[2024]]="","",DONNÉES!EA127)</f>
        <v/>
      </c>
      <c r="E237" s="178" t="str">
        <f>IF(TRDCAT[[#This Row],[2024]]="","",DONNÉES!EB127)</f>
        <v/>
      </c>
      <c r="F237" s="128" t="str">
        <f>IF(TRDCAT[[#This Row],[2024]]="","",DONNÉES!EA63)</f>
        <v/>
      </c>
      <c r="G237" s="177" t="str">
        <f>IF(TRDCAT[[#This Row],[2024]]="","",DONNÉES!EB63)</f>
        <v/>
      </c>
      <c r="H237" s="128" t="str">
        <f>IF(TRDCAT[[#This Row],[2024]]="","",DONNÉES!EA143)</f>
        <v/>
      </c>
      <c r="I237" s="178" t="str">
        <f>IF(TRDCAT[[#This Row],[2024]]="","",DONNÉES!EB143)</f>
        <v/>
      </c>
      <c r="J237" s="128" t="str">
        <f>IF(TRDCAT[[#This Row],[2024]]="","",DONNÉES!EA79)</f>
        <v/>
      </c>
      <c r="K237" s="177" t="str">
        <f>IF(TRDCAT[[#This Row],[2024]]="","",DONNÉES!EB79)</f>
        <v/>
      </c>
      <c r="L237" s="128" t="str">
        <f>IF(TRDCAT[[#This Row],[2024]]="","",DONNÉES!EA159)</f>
        <v/>
      </c>
      <c r="M237" s="178" t="str">
        <f>IF(TRDCAT[[#This Row],[2024]]="","",DONNÉES!EB159)</f>
        <v/>
      </c>
      <c r="N237" s="128" t="str">
        <f>IF(TRDCAT[[#This Row],[2024]]="","",DONNÉES!EA95)</f>
        <v/>
      </c>
      <c r="O237" s="177" t="str">
        <f>IF(TRDCAT[[#This Row],[2024]]="","",DONNÉES!EB95)</f>
        <v/>
      </c>
      <c r="P237" s="128" t="str">
        <f>IF(TRDCAT[[#This Row],[2024]]="","",DONNÉES!EA175)</f>
        <v/>
      </c>
      <c r="Q237" s="179" t="str">
        <f>IF(TRDCAT[[#This Row],[2024]]="","",DONNÉES!EB175)</f>
        <v/>
      </c>
      <c r="R237" s="180"/>
      <c r="S237" s="128" t="str">
        <f>IF(TRDCAT[[#This Row],[2024]]="","",DONNÉES!EA111)</f>
        <v/>
      </c>
      <c r="T237" s="177" t="str">
        <f>IF(TRDCAT[[#This Row],[2024]]="","",DONNÉES!EB111)</f>
        <v/>
      </c>
      <c r="U237" s="128" t="str">
        <f>IF(TRDCAT[[#This Row],[2024]]="","",DONNÉES!EA191)</f>
        <v/>
      </c>
      <c r="V237" s="128" t="str">
        <f>IF(TRDCAT[[#This Row],[2024]]="","",DONNÉES!EB191)</f>
        <v/>
      </c>
    </row>
    <row r="238" spans="1:22" ht="11.65" customHeight="1" x14ac:dyDescent="0.2">
      <c r="A238" s="169" t="s">
        <v>77</v>
      </c>
      <c r="B238" s="128" t="str">
        <f>IF(DONNÉES!EA48="","",DONNÉES!EA48)</f>
        <v/>
      </c>
      <c r="C238" s="177" t="str">
        <f>IF(TRDCAT[[#This Row],[2024]]="","",DONNÉES!EB48)</f>
        <v/>
      </c>
      <c r="D238" s="128" t="str">
        <f>IF(TRDCAT[[#This Row],[2024]]="","",DONNÉES!EA128)</f>
        <v/>
      </c>
      <c r="E238" s="178" t="str">
        <f>IF(TRDCAT[[#This Row],[2024]]="","",DONNÉES!EB128)</f>
        <v/>
      </c>
      <c r="F238" s="128" t="str">
        <f>IF(TRDCAT[[#This Row],[2024]]="","",DONNÉES!EA64)</f>
        <v/>
      </c>
      <c r="G238" s="177" t="str">
        <f>IF(TRDCAT[[#This Row],[2024]]="","",DONNÉES!EB64)</f>
        <v/>
      </c>
      <c r="H238" s="128" t="str">
        <f>IF(TRDCAT[[#This Row],[2024]]="","",DONNÉES!EA144)</f>
        <v/>
      </c>
      <c r="I238" s="178" t="str">
        <f>IF(TRDCAT[[#This Row],[2024]]="","",DONNÉES!EB144)</f>
        <v/>
      </c>
      <c r="J238" s="128" t="str">
        <f>IF(TRDCAT[[#This Row],[2024]]="","",DONNÉES!EA80)</f>
        <v/>
      </c>
      <c r="K238" s="177" t="str">
        <f>IF(TRDCAT[[#This Row],[2024]]="","",DONNÉES!EB80)</f>
        <v/>
      </c>
      <c r="L238" s="128" t="str">
        <f>IF(TRDCAT[[#This Row],[2024]]="","",DONNÉES!EA160)</f>
        <v/>
      </c>
      <c r="M238" s="178" t="str">
        <f>IF(TRDCAT[[#This Row],[2024]]="","",DONNÉES!EB160)</f>
        <v/>
      </c>
      <c r="N238" s="128" t="str">
        <f>IF(TRDCAT[[#This Row],[2024]]="","",DONNÉES!EA96)</f>
        <v/>
      </c>
      <c r="O238" s="177" t="str">
        <f>IF(TRDCAT[[#This Row],[2024]]="","",DONNÉES!EB96)</f>
        <v/>
      </c>
      <c r="P238" s="128" t="str">
        <f>IF(TRDCAT[[#This Row],[2024]]="","",DONNÉES!EA176)</f>
        <v/>
      </c>
      <c r="Q238" s="179" t="str">
        <f>IF(TRDCAT[[#This Row],[2024]]="","",DONNÉES!EB176)</f>
        <v/>
      </c>
      <c r="R238" s="181"/>
      <c r="S238" s="128" t="str">
        <f>IF(TRDCAT[[#This Row],[2024]]="","",DONNÉES!EA112)</f>
        <v/>
      </c>
      <c r="T238" s="177" t="str">
        <f>IF(TRDCAT[[#This Row],[2024]]="","",DONNÉES!EB112)</f>
        <v/>
      </c>
      <c r="U238" s="128" t="str">
        <f>IF(TRDCAT[[#This Row],[2024]]="","",DONNÉES!EA192)</f>
        <v/>
      </c>
      <c r="V238" s="128" t="str">
        <f>IF(TRDCAT[[#This Row],[2024]]="","",DONNÉES!EB192)</f>
        <v/>
      </c>
    </row>
    <row r="239" spans="1:22" ht="11.65" customHeight="1" x14ac:dyDescent="0.2">
      <c r="A239" s="170" t="s">
        <v>78</v>
      </c>
      <c r="B239" s="128" t="str">
        <f>IF(DONNÉES!EA49="","",DONNÉES!EA49)</f>
        <v/>
      </c>
      <c r="C239" s="177" t="str">
        <f>IF(TRDCAT[[#This Row],[2024]]="","",DONNÉES!EB49)</f>
        <v/>
      </c>
      <c r="D239" s="128" t="str">
        <f>IF(TRDCAT[[#This Row],[2024]]="","",DONNÉES!EA129)</f>
        <v/>
      </c>
      <c r="E239" s="178" t="str">
        <f>IF(TRDCAT[[#This Row],[2024]]="","",DONNÉES!EB129)</f>
        <v/>
      </c>
      <c r="F239" s="128" t="str">
        <f>IF(TRDCAT[[#This Row],[2024]]="","",DONNÉES!EA65)</f>
        <v/>
      </c>
      <c r="G239" s="177" t="str">
        <f>IF(TRDCAT[[#This Row],[2024]]="","",DONNÉES!EB65)</f>
        <v/>
      </c>
      <c r="H239" s="128" t="str">
        <f>IF(TRDCAT[[#This Row],[2024]]="","",DONNÉES!EA145)</f>
        <v/>
      </c>
      <c r="I239" s="178" t="str">
        <f>IF(TRDCAT[[#This Row],[2024]]="","",DONNÉES!EB145)</f>
        <v/>
      </c>
      <c r="J239" s="128" t="str">
        <f>IF(TRDCAT[[#This Row],[2024]]="","",DONNÉES!EA81)</f>
        <v/>
      </c>
      <c r="K239" s="177" t="str">
        <f>IF(TRDCAT[[#This Row],[2024]]="","",DONNÉES!EB81)</f>
        <v/>
      </c>
      <c r="L239" s="128" t="str">
        <f>IF(TRDCAT[[#This Row],[2024]]="","",DONNÉES!EA161)</f>
        <v/>
      </c>
      <c r="M239" s="178" t="str">
        <f>IF(TRDCAT[[#This Row],[2024]]="","",DONNÉES!EB161)</f>
        <v/>
      </c>
      <c r="N239" s="128" t="str">
        <f>IF(TRDCAT[[#This Row],[2024]]="","",DONNÉES!EA97)</f>
        <v/>
      </c>
      <c r="O239" s="177" t="str">
        <f>IF(TRDCAT[[#This Row],[2024]]="","",DONNÉES!EB97)</f>
        <v/>
      </c>
      <c r="P239" s="128" t="str">
        <f>IF(TRDCAT[[#This Row],[2024]]="","",DONNÉES!EA177)</f>
        <v/>
      </c>
      <c r="Q239" s="179" t="str">
        <f>IF(TRDCAT[[#This Row],[2024]]="","",DONNÉES!EB177)</f>
        <v/>
      </c>
      <c r="R239" s="181"/>
      <c r="S239" s="128" t="str">
        <f>IF(TRDCAT[[#This Row],[2024]]="","",DONNÉES!EA113)</f>
        <v/>
      </c>
      <c r="T239" s="177" t="str">
        <f>IF(TRDCAT[[#This Row],[2024]]="","",DONNÉES!EB113)</f>
        <v/>
      </c>
      <c r="U239" s="128" t="str">
        <f>IF(TRDCAT[[#This Row],[2024]]="","",DONNÉES!EA193)</f>
        <v/>
      </c>
      <c r="V239" s="128" t="str">
        <f>IF(TRDCAT[[#This Row],[2024]]="","",DONNÉES!EB193)</f>
        <v/>
      </c>
    </row>
    <row r="240" spans="1:22" ht="11.65" customHeight="1" x14ac:dyDescent="0.2">
      <c r="A240" s="169" t="s">
        <v>79</v>
      </c>
      <c r="B240" s="128" t="str">
        <f>IF(DONNÉES!EA50="","",DONNÉES!EA50)</f>
        <v/>
      </c>
      <c r="C240" s="177" t="str">
        <f>IF(TRDCAT[[#This Row],[2024]]="","",DONNÉES!EB50)</f>
        <v/>
      </c>
      <c r="D240" s="128" t="str">
        <f>IF(TRDCAT[[#This Row],[2024]]="","",DONNÉES!EA130)</f>
        <v/>
      </c>
      <c r="E240" s="178" t="str">
        <f>IF(TRDCAT[[#This Row],[2024]]="","",DONNÉES!EB130)</f>
        <v/>
      </c>
      <c r="F240" s="128" t="str">
        <f>IF(TRDCAT[[#This Row],[2024]]="","",DONNÉES!EA66)</f>
        <v/>
      </c>
      <c r="G240" s="177" t="str">
        <f>IF(TRDCAT[[#This Row],[2024]]="","",DONNÉES!EB66)</f>
        <v/>
      </c>
      <c r="H240" s="128" t="str">
        <f>IF(TRDCAT[[#This Row],[2024]]="","",DONNÉES!EA146)</f>
        <v/>
      </c>
      <c r="I240" s="178" t="str">
        <f>IF(TRDCAT[[#This Row],[2024]]="","",DONNÉES!EB146)</f>
        <v/>
      </c>
      <c r="J240" s="128" t="str">
        <f>IF(TRDCAT[[#This Row],[2024]]="","",DONNÉES!EA82)</f>
        <v/>
      </c>
      <c r="K240" s="177" t="str">
        <f>IF(TRDCAT[[#This Row],[2024]]="","",DONNÉES!EB82)</f>
        <v/>
      </c>
      <c r="L240" s="128" t="str">
        <f>IF(TRDCAT[[#This Row],[2024]]="","",DONNÉES!EA162)</f>
        <v/>
      </c>
      <c r="M240" s="178" t="str">
        <f>IF(TRDCAT[[#This Row],[2024]]="","",DONNÉES!EB162)</f>
        <v/>
      </c>
      <c r="N240" s="128" t="str">
        <f>IF(TRDCAT[[#This Row],[2024]]="","",DONNÉES!EA98)</f>
        <v/>
      </c>
      <c r="O240" s="177" t="str">
        <f>IF(TRDCAT[[#This Row],[2024]]="","",DONNÉES!EB98)</f>
        <v/>
      </c>
      <c r="P240" s="128" t="str">
        <f>IF(TRDCAT[[#This Row],[2024]]="","",DONNÉES!EA178)</f>
        <v/>
      </c>
      <c r="Q240" s="179" t="str">
        <f>IF(TRDCAT[[#This Row],[2024]]="","",DONNÉES!EB178)</f>
        <v/>
      </c>
      <c r="R240" s="181"/>
      <c r="S240" s="128" t="str">
        <f>IF(TRDCAT[[#This Row],[2024]]="","",DONNÉES!EA114)</f>
        <v/>
      </c>
      <c r="T240" s="177" t="str">
        <f>IF(TRDCAT[[#This Row],[2024]]="","",DONNÉES!EB114)</f>
        <v/>
      </c>
      <c r="U240" s="128" t="str">
        <f>IF(TRDCAT[[#This Row],[2024]]="","",DONNÉES!EA194)</f>
        <v/>
      </c>
      <c r="V240" s="128" t="str">
        <f>IF(TRDCAT[[#This Row],[2024]]="","",DONNÉES!EB194)</f>
        <v/>
      </c>
    </row>
    <row r="241" spans="1:22" ht="11.65" customHeight="1" x14ac:dyDescent="0.2">
      <c r="A241" s="170" t="s">
        <v>80</v>
      </c>
      <c r="B241" s="128" t="str">
        <f>IF(DONNÉES!EA51="","",DONNÉES!EA51)</f>
        <v/>
      </c>
      <c r="C241" s="177" t="str">
        <f>IF(TRDCAT[[#This Row],[2024]]="","",DONNÉES!EB51)</f>
        <v/>
      </c>
      <c r="D241" s="128" t="str">
        <f>IF(TRDCAT[[#This Row],[2024]]="","",DONNÉES!EA131)</f>
        <v/>
      </c>
      <c r="E241" s="178" t="str">
        <f>IF(TRDCAT[[#This Row],[2024]]="","",DONNÉES!EB131)</f>
        <v/>
      </c>
      <c r="F241" s="128" t="str">
        <f>IF(TRDCAT[[#This Row],[2024]]="","",DONNÉES!EA67)</f>
        <v/>
      </c>
      <c r="G241" s="177" t="str">
        <f>IF(TRDCAT[[#This Row],[2024]]="","",DONNÉES!EB67)</f>
        <v/>
      </c>
      <c r="H241" s="128" t="str">
        <f>IF(TRDCAT[[#This Row],[2024]]="","",DONNÉES!EA147)</f>
        <v/>
      </c>
      <c r="I241" s="178" t="str">
        <f>IF(TRDCAT[[#This Row],[2024]]="","",DONNÉES!EB147)</f>
        <v/>
      </c>
      <c r="J241" s="128" t="str">
        <f>IF(TRDCAT[[#This Row],[2024]]="","",DONNÉES!EA83)</f>
        <v/>
      </c>
      <c r="K241" s="177" t="str">
        <f>IF(TRDCAT[[#This Row],[2024]]="","",DONNÉES!EB83)</f>
        <v/>
      </c>
      <c r="L241" s="128" t="str">
        <f>IF(TRDCAT[[#This Row],[2024]]="","",DONNÉES!EA163)</f>
        <v/>
      </c>
      <c r="M241" s="178" t="str">
        <f>IF(TRDCAT[[#This Row],[2024]]="","",DONNÉES!EB163)</f>
        <v/>
      </c>
      <c r="N241" s="128" t="str">
        <f>IF(TRDCAT[[#This Row],[2024]]="","",DONNÉES!EA99)</f>
        <v/>
      </c>
      <c r="O241" s="177" t="str">
        <f>IF(TRDCAT[[#This Row],[2024]]="","",DONNÉES!EB99)</f>
        <v/>
      </c>
      <c r="P241" s="128" t="str">
        <f>IF(TRDCAT[[#This Row],[2024]]="","",DONNÉES!EA179)</f>
        <v/>
      </c>
      <c r="Q241" s="179" t="str">
        <f>IF(TRDCAT[[#This Row],[2024]]="","",DONNÉES!EB179)</f>
        <v/>
      </c>
      <c r="R241" s="181"/>
      <c r="S241" s="128" t="str">
        <f>IF(TRDCAT[[#This Row],[2024]]="","",DONNÉES!EA115)</f>
        <v/>
      </c>
      <c r="T241" s="177" t="str">
        <f>IF(TRDCAT[[#This Row],[2024]]="","",DONNÉES!EB115)</f>
        <v/>
      </c>
      <c r="U241" s="128" t="str">
        <f>IF(TRDCAT[[#This Row],[2024]]="","",DONNÉES!EA195)</f>
        <v/>
      </c>
      <c r="V241" s="128" t="str">
        <f>IF(TRDCAT[[#This Row],[2024]]="","",DONNÉES!EB195)</f>
        <v/>
      </c>
    </row>
    <row r="242" spans="1:22" ht="11.65" customHeight="1" x14ac:dyDescent="0.2">
      <c r="A242" s="169" t="s">
        <v>81</v>
      </c>
      <c r="B242" s="128" t="str">
        <f>IF(DONNÉES!EA52="","",DONNÉES!EA52)</f>
        <v/>
      </c>
      <c r="C242" s="177" t="str">
        <f>IF(TRDCAT[[#This Row],[2024]]="","",DONNÉES!EB52)</f>
        <v/>
      </c>
      <c r="D242" s="128" t="str">
        <f>IF(TRDCAT[[#This Row],[2024]]="","",DONNÉES!EA132)</f>
        <v/>
      </c>
      <c r="E242" s="178" t="str">
        <f>IF(TRDCAT[[#This Row],[2024]]="","",DONNÉES!EB132)</f>
        <v/>
      </c>
      <c r="F242" s="128" t="str">
        <f>IF(TRDCAT[[#This Row],[2024]]="","",DONNÉES!EA68)</f>
        <v/>
      </c>
      <c r="G242" s="177" t="str">
        <f>IF(TRDCAT[[#This Row],[2024]]="","",DONNÉES!EB68)</f>
        <v/>
      </c>
      <c r="H242" s="128" t="str">
        <f>IF(TRDCAT[[#This Row],[2024]]="","",DONNÉES!EA148)</f>
        <v/>
      </c>
      <c r="I242" s="178" t="str">
        <f>IF(TRDCAT[[#This Row],[2024]]="","",DONNÉES!EB148)</f>
        <v/>
      </c>
      <c r="J242" s="128" t="str">
        <f>IF(TRDCAT[[#This Row],[2024]]="","",DONNÉES!EA84)</f>
        <v/>
      </c>
      <c r="K242" s="177" t="str">
        <f>IF(TRDCAT[[#This Row],[2024]]="","",DONNÉES!EB84)</f>
        <v/>
      </c>
      <c r="L242" s="128" t="str">
        <f>IF(TRDCAT[[#This Row],[2024]]="","",DONNÉES!EA164)</f>
        <v/>
      </c>
      <c r="M242" s="178" t="str">
        <f>IF(TRDCAT[[#This Row],[2024]]="","",DONNÉES!EB164)</f>
        <v/>
      </c>
      <c r="N242" s="128" t="str">
        <f>IF(TRDCAT[[#This Row],[2024]]="","",DONNÉES!EA100)</f>
        <v/>
      </c>
      <c r="O242" s="177" t="str">
        <f>IF(TRDCAT[[#This Row],[2024]]="","",DONNÉES!EB100)</f>
        <v/>
      </c>
      <c r="P242" s="128" t="str">
        <f>IF(TRDCAT[[#This Row],[2024]]="","",DONNÉES!EA180)</f>
        <v/>
      </c>
      <c r="Q242" s="179" t="str">
        <f>IF(TRDCAT[[#This Row],[2024]]="","",DONNÉES!EB180)</f>
        <v/>
      </c>
      <c r="R242" s="181"/>
      <c r="S242" s="128" t="str">
        <f>IF(TRDCAT[[#This Row],[2024]]="","",DONNÉES!EA116)</f>
        <v/>
      </c>
      <c r="T242" s="177" t="str">
        <f>IF(TRDCAT[[#This Row],[2024]]="","",DONNÉES!EB116)</f>
        <v/>
      </c>
      <c r="U242" s="128" t="str">
        <f>IF(TRDCAT[[#This Row],[2024]]="","",DONNÉES!EA196)</f>
        <v/>
      </c>
      <c r="V242" s="128" t="str">
        <f>IF(TRDCAT[[#This Row],[2024]]="","",DONNÉES!EB196)</f>
        <v/>
      </c>
    </row>
    <row r="243" spans="1:22" ht="11.65" customHeight="1" x14ac:dyDescent="0.2">
      <c r="A243" s="170" t="s">
        <v>82</v>
      </c>
      <c r="B243" s="128" t="str">
        <f>IF(DONNÉES!EA53="","",DONNÉES!EA53)</f>
        <v/>
      </c>
      <c r="C243" s="177" t="str">
        <f>IF(TRDCAT[[#This Row],[2024]]="","",DONNÉES!EB53)</f>
        <v/>
      </c>
      <c r="D243" s="128" t="str">
        <f>IF(TRDCAT[[#This Row],[2024]]="","",DONNÉES!EA133)</f>
        <v/>
      </c>
      <c r="E243" s="178" t="str">
        <f>IF(TRDCAT[[#This Row],[2024]]="","",DONNÉES!EB133)</f>
        <v/>
      </c>
      <c r="F243" s="128" t="str">
        <f>IF(TRDCAT[[#This Row],[2024]]="","",DONNÉES!EA69)</f>
        <v/>
      </c>
      <c r="G243" s="177" t="str">
        <f>IF(TRDCAT[[#This Row],[2024]]="","",DONNÉES!EB69)</f>
        <v/>
      </c>
      <c r="H243" s="128" t="str">
        <f>IF(TRDCAT[[#This Row],[2024]]="","",DONNÉES!EA149)</f>
        <v/>
      </c>
      <c r="I243" s="178" t="str">
        <f>IF(TRDCAT[[#This Row],[2024]]="","",DONNÉES!EB149)</f>
        <v/>
      </c>
      <c r="J243" s="128" t="str">
        <f>IF(TRDCAT[[#This Row],[2024]]="","",DONNÉES!EA85)</f>
        <v/>
      </c>
      <c r="K243" s="177" t="str">
        <f>IF(TRDCAT[[#This Row],[2024]]="","",DONNÉES!EB85)</f>
        <v/>
      </c>
      <c r="L243" s="128" t="str">
        <f>IF(TRDCAT[[#This Row],[2024]]="","",DONNÉES!EA165)</f>
        <v/>
      </c>
      <c r="M243" s="178" t="str">
        <f>IF(TRDCAT[[#This Row],[2024]]="","",DONNÉES!EB165)</f>
        <v/>
      </c>
      <c r="N243" s="128" t="str">
        <f>IF(TRDCAT[[#This Row],[2024]]="","",DONNÉES!EA101)</f>
        <v/>
      </c>
      <c r="O243" s="177" t="str">
        <f>IF(TRDCAT[[#This Row],[2024]]="","",DONNÉES!EB101)</f>
        <v/>
      </c>
      <c r="P243" s="128" t="str">
        <f>IF(TRDCAT[[#This Row],[2024]]="","",DONNÉES!EA181)</f>
        <v/>
      </c>
      <c r="Q243" s="179" t="str">
        <f>IF(TRDCAT[[#This Row],[2024]]="","",DONNÉES!EB181)</f>
        <v/>
      </c>
      <c r="R243" s="185"/>
      <c r="S243" s="128" t="str">
        <f>IF(TRDCAT[[#This Row],[2024]]="","",DONNÉES!EA117)</f>
        <v/>
      </c>
      <c r="T243" s="177" t="str">
        <f>IF(TRDCAT[[#This Row],[2024]]="","",DONNÉES!EB117)</f>
        <v/>
      </c>
      <c r="U243" s="128" t="str">
        <f>IF(TRDCAT[[#This Row],[2024]]="","",DONNÉES!EA197)</f>
        <v/>
      </c>
      <c r="V243" s="128" t="str">
        <f>IF(TRDCAT[[#This Row],[2024]]="","",DONNÉES!EB197)</f>
        <v/>
      </c>
    </row>
    <row r="244" spans="1:22" ht="11.65" customHeight="1" x14ac:dyDescent="0.2">
      <c r="A244" s="169" t="s">
        <v>83</v>
      </c>
      <c r="B244" s="128" t="str">
        <f>IF(DONNÉES!EA54="","",DONNÉES!EA54)</f>
        <v/>
      </c>
      <c r="C244" s="177" t="str">
        <f>IF(TRDCAT[[#This Row],[2024]]="","",DONNÉES!EB54)</f>
        <v/>
      </c>
      <c r="D244" s="128" t="str">
        <f>IF(TRDCAT[[#This Row],[2024]]="","",DONNÉES!EA134)</f>
        <v/>
      </c>
      <c r="E244" s="178" t="str">
        <f>IF(TRDCAT[[#This Row],[2024]]="","",DONNÉES!EB134)</f>
        <v/>
      </c>
      <c r="F244" s="128" t="str">
        <f>IF(TRDCAT[[#This Row],[2024]]="","",DONNÉES!EA70)</f>
        <v/>
      </c>
      <c r="G244" s="177" t="str">
        <f>IF(TRDCAT[[#This Row],[2024]]="","",DONNÉES!EB70)</f>
        <v/>
      </c>
      <c r="H244" s="128" t="str">
        <f>IF(TRDCAT[[#This Row],[2024]]="","",DONNÉES!EA150)</f>
        <v/>
      </c>
      <c r="I244" s="178" t="str">
        <f>IF(TRDCAT[[#This Row],[2024]]="","",DONNÉES!EB150)</f>
        <v/>
      </c>
      <c r="J244" s="128" t="str">
        <f>IF(TRDCAT[[#This Row],[2024]]="","",DONNÉES!EA86)</f>
        <v/>
      </c>
      <c r="K244" s="177" t="str">
        <f>IF(TRDCAT[[#This Row],[2024]]="","",DONNÉES!EB86)</f>
        <v/>
      </c>
      <c r="L244" s="128" t="str">
        <f>IF(TRDCAT[[#This Row],[2024]]="","",DONNÉES!EA166)</f>
        <v/>
      </c>
      <c r="M244" s="178" t="str">
        <f>IF(TRDCAT[[#This Row],[2024]]="","",DONNÉES!EB166)</f>
        <v/>
      </c>
      <c r="N244" s="128" t="str">
        <f>IF(TRDCAT[[#This Row],[2024]]="","",DONNÉES!EA102)</f>
        <v/>
      </c>
      <c r="O244" s="177" t="str">
        <f>IF(TRDCAT[[#This Row],[2024]]="","",DONNÉES!EB102)</f>
        <v/>
      </c>
      <c r="P244" s="128" t="str">
        <f>IF(TRDCAT[[#This Row],[2024]]="","",DONNÉES!EA182)</f>
        <v/>
      </c>
      <c r="Q244" s="179" t="str">
        <f>IF(TRDCAT[[#This Row],[2024]]="","",DONNÉES!EB182)</f>
        <v/>
      </c>
      <c r="R244" s="181"/>
      <c r="S244" s="128" t="str">
        <f>IF(TRDCAT[[#This Row],[2024]]="","",DONNÉES!EA118)</f>
        <v/>
      </c>
      <c r="T244" s="177" t="str">
        <f>IF(TRDCAT[[#This Row],[2024]]="","",DONNÉES!EB118)</f>
        <v/>
      </c>
      <c r="U244" s="128" t="str">
        <f>IF(TRDCAT[[#This Row],[2024]]="","",DONNÉES!EA198)</f>
        <v/>
      </c>
      <c r="V244" s="128" t="str">
        <f>IF(TRDCAT[[#This Row],[2024]]="","",DONNÉES!EB198)</f>
        <v/>
      </c>
    </row>
    <row r="245" spans="1:22" s="81" customFormat="1" ht="11.65" customHeight="1" x14ac:dyDescent="0.2">
      <c r="A245" s="169" t="s">
        <v>84</v>
      </c>
      <c r="B245" s="128" t="str">
        <f>IF(DONNÉES!EA55="","",DONNÉES!EA55)</f>
        <v/>
      </c>
      <c r="C245" s="177" t="str">
        <f>IF(TRDCAT[[#This Row],[2024]]="","",DONNÉES!EB55)</f>
        <v/>
      </c>
      <c r="D245" s="128" t="str">
        <f>IF(TRDCAT[[#This Row],[2024]]="","",DONNÉES!EA135)</f>
        <v/>
      </c>
      <c r="E245" s="178" t="str">
        <f>IF(TRDCAT[[#This Row],[2024]]="","",DONNÉES!EB135)</f>
        <v/>
      </c>
      <c r="F245" s="128" t="str">
        <f>IF(TRDCAT[[#This Row],[2024]]="","",DONNÉES!EA71)</f>
        <v/>
      </c>
      <c r="G245" s="177" t="str">
        <f>IF(TRDCAT[[#This Row],[2024]]="","",DONNÉES!EB71)</f>
        <v/>
      </c>
      <c r="H245" s="128" t="str">
        <f>IF(TRDCAT[[#This Row],[2024]]="","",DONNÉES!EA151)</f>
        <v/>
      </c>
      <c r="I245" s="178" t="str">
        <f>IF(TRDCAT[[#This Row],[2024]]="","",DONNÉES!EB151)</f>
        <v/>
      </c>
      <c r="J245" s="128" t="str">
        <f>IF(TRDCAT[[#This Row],[2024]]="","",DONNÉES!EA87)</f>
        <v/>
      </c>
      <c r="K245" s="177" t="str">
        <f>IF(TRDCAT[[#This Row],[2024]]="","",DONNÉES!EB87)</f>
        <v/>
      </c>
      <c r="L245" s="128" t="str">
        <f>IF(TRDCAT[[#This Row],[2024]]="","",DONNÉES!EA167)</f>
        <v/>
      </c>
      <c r="M245" s="178" t="str">
        <f>IF(TRDCAT[[#This Row],[2024]]="","",DONNÉES!EB167)</f>
        <v/>
      </c>
      <c r="N245" s="128" t="str">
        <f>IF(TRDCAT[[#This Row],[2024]]="","",DONNÉES!EA103)</f>
        <v/>
      </c>
      <c r="O245" s="177" t="str">
        <f>IF(TRDCAT[[#This Row],[2024]]="","",DONNÉES!EB103)</f>
        <v/>
      </c>
      <c r="P245" s="128" t="str">
        <f>IF(TRDCAT[[#This Row],[2024]]="","",DONNÉES!EA183)</f>
        <v/>
      </c>
      <c r="Q245" s="179" t="str">
        <f>IF(TRDCAT[[#This Row],[2024]]="","",DONNÉES!EB183)</f>
        <v/>
      </c>
      <c r="R245" s="180"/>
      <c r="S245" s="128" t="str">
        <f>IF(TRDCAT[[#This Row],[2024]]="","",DONNÉES!EA119)</f>
        <v/>
      </c>
      <c r="T245" s="177" t="str">
        <f>IF(TRDCAT[[#This Row],[2024]]="","",DONNÉES!EB119)</f>
        <v/>
      </c>
      <c r="U245" s="128" t="str">
        <f>IF(TRDCAT[[#This Row],[2024]]="","",DONNÉES!EA199)</f>
        <v/>
      </c>
      <c r="V245" s="128" t="str">
        <f>IF(TRDCAT[[#This Row],[2024]]="","",DONNÉES!EB199)</f>
        <v/>
      </c>
    </row>
    <row r="246" spans="1:22" s="81" customFormat="1" ht="10.15" customHeight="1" x14ac:dyDescent="0.2">
      <c r="A246" s="79"/>
      <c r="B246" s="112"/>
      <c r="C246" s="112"/>
      <c r="D246" s="101"/>
      <c r="E246" s="112"/>
      <c r="F246" s="112"/>
      <c r="G246" s="118"/>
      <c r="H246" s="79"/>
      <c r="I246" s="82"/>
      <c r="J246" s="112"/>
      <c r="K246" s="112"/>
      <c r="L246" s="101"/>
      <c r="M246" s="118"/>
      <c r="N246" s="79"/>
      <c r="O246" s="79"/>
      <c r="P246" s="79"/>
      <c r="Q246" s="79"/>
      <c r="R246" s="180"/>
      <c r="S246" s="79"/>
      <c r="T246" s="79"/>
      <c r="U246" s="79"/>
      <c r="V246" s="79"/>
    </row>
    <row r="247" spans="1:22" s="81" customFormat="1" ht="10.15" customHeight="1" x14ac:dyDescent="0.2">
      <c r="A247" s="79"/>
      <c r="B247" s="112"/>
      <c r="C247" s="112"/>
      <c r="D247" s="101"/>
      <c r="E247" s="112"/>
      <c r="F247" s="112"/>
      <c r="G247" s="118"/>
      <c r="H247" s="79"/>
      <c r="I247" s="82"/>
      <c r="J247" s="112"/>
      <c r="K247" s="112"/>
      <c r="L247" s="101"/>
      <c r="M247" s="118"/>
      <c r="N247" s="79"/>
      <c r="O247" s="79"/>
      <c r="P247" s="79"/>
      <c r="Q247" s="79"/>
      <c r="R247" s="180"/>
      <c r="S247" s="79"/>
      <c r="T247" s="79"/>
      <c r="U247" s="79"/>
      <c r="V247" s="79"/>
    </row>
    <row r="248" spans="1:22" s="81" customFormat="1" ht="10.15" customHeight="1" x14ac:dyDescent="0.2">
      <c r="A248" s="79"/>
      <c r="B248" s="112"/>
      <c r="C248" s="112"/>
      <c r="D248" s="101"/>
      <c r="E248" s="112"/>
      <c r="F248" s="112"/>
      <c r="G248" s="118"/>
      <c r="H248" s="79"/>
      <c r="I248" s="82"/>
      <c r="J248" s="112"/>
      <c r="K248" s="112"/>
      <c r="L248" s="101"/>
      <c r="M248" s="118"/>
      <c r="N248" s="79"/>
      <c r="O248" s="79"/>
      <c r="P248" s="79"/>
      <c r="Q248" s="79"/>
      <c r="R248" s="180"/>
      <c r="S248" s="79"/>
      <c r="T248" s="79"/>
      <c r="U248" s="79"/>
      <c r="V248" s="79"/>
    </row>
    <row r="249" spans="1:22" s="81" customFormat="1" ht="10.15" customHeight="1" x14ac:dyDescent="0.2">
      <c r="A249" s="79"/>
      <c r="B249" s="112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>30843</v>
      </c>
      <c r="C249" s="112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>34030</v>
      </c>
      <c r="D249" s="112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>30843</v>
      </c>
      <c r="E249" s="112">
        <f>+SUM(TRDTHOMAS[2023 cumul])+SUM(TRDJEANCLO[2023 cumul])+SUM(TRDHUGO[2023 cumul])+SUM(TRDARTHUR[2023 cumul])+SUM(TRDLYSE[2023 cumul])+SUM(TRDR314[2023 cumul])+SUM(TRDDIVES[2023 cumul])+SUM(TRDTH4[2023 cumul])+SUM(TRDVICTOIRE[2023 cumul])+SUM(TRDHART[2023 cumul])+SUM(TRDTURVILLA[2023 cumul])+SUM(TRDVR7[2023 cumul])+SUM(TRDTIRR[2023 cumul])+SUM(TRDHTR8[2023 cumul])+SUM(TRDGLR5[2023 cumul])</f>
        <v>34030</v>
      </c>
      <c r="F249" s="112">
        <f>+SUM(TRDTHOMAS[[2024  ]])+SUM(TRDJEANCLO[[2024  ]])+SUM(TRDHUGO[[2024  ]])+SUM(TRDARTHUR[[2024  ]])+SUM(TRDLYSE[[2024  ]])+SUM(TRDR314[[2024  ]])+SUM(TRDDIVES[[2024  ]])+SUM(TRDTH4[[2024  ]])+SUM(TRDVICTOIRE[[2024  ]])+SUM(TRDHART[[2024  ]])+SUM(TRDTURVILLA[[2024  ]])+SUM(TRDVR7[[2024  ]])+SUM(TRDTIRR[[2024  ]])+SUM(TRDHTR8[[2024  ]])+SUM(TRDGLR5[[2024  ]])</f>
        <v>44273</v>
      </c>
      <c r="G249" s="112">
        <f>+SUM(TRDTHOMAS[[2023  ]])+SUM(TRDJEANCLO[[2023  ]])+SUM(TRDHUGO[[2023  ]])+SUM(TRDARTHUR[[2023  ]])+SUM(TRDLYSE[[2023  ]])+SUM(TRDR314[[2023  ]])+SUM(TRDDIVES[[2023  ]])+SUM(TRDTH4[[2023  ]])+SUM(TRDVICTOIRE[[2023  ]])+SUM(TRDHART[[2023  ]])+SUM(TRDTURVILLA[[2023  ]])+SUM(TRDVR7[[2023  ]])+SUM(TRDTIRR[[2023  ]])+SUM(TRDHTR8[[2023  ]])+SUM(TRDGLR5[[2023  ]])</f>
        <v>38759</v>
      </c>
      <c r="H249" s="112">
        <f>+SUM(TRDTHOMAS[[2024 cumul ]])+SUM(TRDJEANCLO[[2024 cumul ]])+SUM(TRDHUGO[[2024 cumul ]])+SUM(TRDARTHUR[[2024 cumul ]])+SUM(TRDLYSE[[2024 cumul ]])+SUM(TRDR314[[2024 cumul ]])+SUM(TRDDIVES[[2024 cumul ]])+SUM(TRDTH4[[2024 cumul ]])+SUM(TRDVICTOIRE[[2024 cumul ]])+SUM(TRDHART[[2024 cumul ]])+SUM(TRDTURVILLA[[2024 cumul ]])+SUM(TRDVR7[[2024 cumul ]])+SUM(TRDTIRR[[2024 cumul ]])+SUM(TRDHTR8[[2024 cumul ]])+SUM(TRDGLR5[[2024 cumul ]])</f>
        <v>44273</v>
      </c>
      <c r="I249" s="112">
        <f>+SUM(TRDTHOMAS[[2023 cumul ]])+SUM(TRDJEANCLO[[2023 cumul ]])+SUM(TRDHUGO[[2023 cumul ]])+SUM(TRDARTHUR[[2023 cumul ]])+SUM(TRDLYSE[[2023 cumul ]])+SUM(TRDR314[[2023 cumul ]])+SUM(TRDDIVES[[2023 cumul ]])+SUM(TRDTH4[[2023 cumul ]])+SUM(TRDVICTOIRE[[2023 cumul ]])+SUM(TRDHART[[2023 cumul ]])+SUM(TRDTURVILLA[[2023 cumul ]])+SUM(TRDVR7[[2023 cumul ]])+SUM(TRDTIRR[[2023 cumul ]])+SUM(TRDHTR8[[2023 cumul ]])+SUM(TRDGLR5[[2023 cumul ]])</f>
        <v>38759</v>
      </c>
      <c r="J249" s="112">
        <f>+SUM(TRDTHOMAS[[2024   ]])+SUM(TRDJEANCLO[[2024   ]])+SUM(TRDHUGO[[2024   ]])+SUM(TRDARTHUR[[2024   ]])+SUM(TRDLYSE[[2024   ]])+SUM(TRDR314[[2024   ]])+SUM(TRDDIVES[[2024   ]])+SUM(TRDTH4[[2024   ]])+SUM(TRDVICTOIRE[[2024   ]])+SUM(TRDHART[[2024   ]])+SUM(TRDTURVILLA[[2024   ]])+SUM(TRDVR7[[2024   ]])+SUM(TRDTIRR[[2024   ]])+SUM(TRDHTR8[[2024   ]])+SUM(TRDGLR5[[2024   ]])</f>
        <v>84440</v>
      </c>
      <c r="K249" s="112">
        <f>+SUM(TRDTHOMAS[[2023   ]])+SUM(TRDJEANCLO[[2023   ]])+SUM(TRDHUGO[[2023   ]])+SUM(TRDARTHUR[[2023   ]])+SUM(TRDLYSE[[2023   ]])+SUM(TRDR314[[2023   ]])+SUM(TRDDIVES[[2023   ]])+SUM(TRDTH4[[2023   ]])+SUM(TRDVICTOIRE[[2023   ]])+SUM(TRDHART[[2023   ]])+SUM(TRDTURVILLA[[2023   ]])+SUM(TRDVR7[[2023   ]])+SUM(TRDTIRR[[2023   ]])+SUM(TRDHTR8[[2023   ]])+SUM(TRDGLR5[[2023   ]])</f>
        <v>87747</v>
      </c>
      <c r="L249" s="112">
        <f>+SUM(TRDTHOMAS[[2024 cumul   ]])+SUM(TRDJEANCLO[[2024 cumul   ]])+SUM(TRDHUGO[[2024 cumul   ]])+SUM(TRDARTHUR[[2024 cumul   ]])+SUM(TRDLYSE[[2024 cumul   ]])+SUM(TRDR314[[2024 cumul   ]])+SUM(TRDDIVES[[2024 cumul   ]])+SUM(TRDTH4[[2024 cumul   ]])+SUM(TRDVICTOIRE[[2024 cumul   ]])+SUM(TRDHART[[2024 cumul   ]])+SUM(TRDTURVILLA[[2024 cumul   ]])+SUM(TRDVR7[[2024 cumul   ]])+SUM(TRDTIRR[[2024 cumul   ]])+SUM(TRDHTR8[[2024 cumul   ]])+SUM(TRDGLR5[[2024 cumul   ]])</f>
        <v>84440</v>
      </c>
      <c r="M249" s="112">
        <f>+SUM(TRDTHOMAS[[2023 cumul   ]])+SUM(TRDJEANCLO[[2023 cumul   ]])+SUM(TRDHUGO[[2023 cumul   ]])+SUM(TRDARTHUR[[2023 cumul   ]])+SUM(TRDLYSE[[2023 cumul   ]])+SUM(TRDR314[[2023 cumul   ]])+SUM(TRDDIVES[[2023 cumul   ]])+SUM(TRDTH4[[2023 cumul   ]])+SUM(TRDVICTOIRE[[2023 cumul   ]])+SUM(TRDHART[[2023 cumul   ]])+SUM(TRDTURVILLA[[2023 cumul   ]])+SUM(TRDVR7[[2023 cumul   ]])+SUM(TRDTIRR[[2023 cumul   ]])+SUM(TRDHTR8[[2023 cumul   ]])+SUM(TRDGLR5[[2023 cumul   ]])</f>
        <v>87747</v>
      </c>
      <c r="N249" s="112">
        <f>+SUM(TRDTHOMAS[[2024    ]])+SUM(TRDJEANCLO[[2024    ]])+SUM(TRDHUGO[[2024    ]])+SUM(TRDARTHUR[[2024    ]])+SUM(TRDLYSE[[2024    ]])+SUM(TRDR314[[2024    ]])+SUM(TRDDIVES[[2024    ]])+SUM(TRDTH4[[2024    ]])+SUM(TRDVICTOIRE[[2024    ]])+SUM(TRDHART[[2024    ]])+SUM(TRDTURVILLA[[2024    ]])+SUM(TRDVR7[[2024    ]])+SUM(TRDTIRR[[2024    ]])+SUM(TRDHTR8[[2024    ]])+SUM(TRDGLR5[[2024    ]])</f>
        <v>100976</v>
      </c>
      <c r="O249" s="112">
        <f>+SUM(TRDTHOMAS[[2023    ]])+SUM(TRDJEANCLO[[2023    ]])+SUM(TRDHUGO[[2023    ]])+SUM(TRDARTHUR[[2023    ]])+SUM(TRDLYSE[[2023    ]])+SUM(TRDR314[[2023    ]])+SUM(TRDDIVES[[2023    ]])+SUM(TRDTH4[[2023    ]])+SUM(TRDVICTOIRE[[2023    ]])+SUM(TRDHART[[2023    ]])+SUM(TRDTURVILLA[[2023    ]])+SUM(TRDVR7[[2023    ]])+SUM(TRDTIRR[[2023    ]])+SUM(TRDHTR8[[2023    ]])+SUM(TRDGLR5[[2023    ]])</f>
        <v>92414</v>
      </c>
      <c r="P249" s="112">
        <f>+SUM(TRDTHOMAS[[2024 cumul    ]])+SUM(TRDJEANCLO[[2024 cumul    ]])+SUM(TRDHUGO[[2024 cumul    ]])+SUM(TRDARTHUR[[2024 cumul    ]])+SUM(TRDLYSE[[2024 cumul    ]])+SUM(TRDR314[[2024 cumul    ]])+SUM(TRDDIVES[[2024 cumul    ]])+SUM(TRDTH4[[2024 cumul    ]])+SUM(TRDVICTOIRE[[2024 cumul    ]])+SUM(TRDHART[[2024 cumul    ]])+SUM(TRDTURVILLA[[2024 cumul    ]])+SUM(TRDVR7[[2024 cumul    ]])+SUM(TRDTIRR[[2024 cumul    ]])+SUM(TRDHTR8[[2024 cumul    ]])+SUM(TRDGLR5[[2024 cumul    ]])</f>
        <v>100976</v>
      </c>
      <c r="Q249" s="112">
        <f>+SUM(TRDTHOMAS[[2023 cumul    ]])+SUM(TRDJEANCLO[[2023 cumul    ]])+SUM(TRDHUGO[[2023 cumul    ]])+SUM(TRDARTHUR[[2023 cumul    ]])+SUM(TRDLYSE[[2023 cumul    ]])+SUM(TRDR314[[2023 cumul    ]])+SUM(TRDDIVES[[2023 cumul    ]])+SUM(TRDTH4[[2023 cumul    ]])+SUM(TRDVICTOIRE[[2023 cumul    ]])+SUM(TRDHART[[2023 cumul    ]])+SUM(TRDTURVILLA[[2023 cumul    ]])+SUM(TRDVR7[[2023 cumul    ]])+SUM(TRDTIRR[[2023 cumul    ]])+SUM(TRDHTR8[[2023 cumul    ]])+SUM(TRDGLR5[[2023 cumul    ]])</f>
        <v>92414</v>
      </c>
      <c r="R249" s="112">
        <f>+SUM(TRDTHOMAS[THOMAS])+SUM(TRDJEANCLO[JEANCLO])+SUM(TRDHUGO[HUGO])+SUM(TRDARTHUR[ARTHUR])+SUM(TRDLYSE[LYSE])+SUM(TRDR314[R3 14])+SUM(TRDDIVES[TL DIVES])+SUM(TRDTH4[TH4])+SUM(TRDVICTOIRE[VICTOIRE''S])+SUM(TRDHART[HART])+SUM(TRDTURVILLA[TURVILLA])+SUM(TRDVR7[VR7])+SUM(TRDTIRR[TIRR])+SUM(TRDHTR8[HTR8])+SUM(TRDGLR5[GLR5])</f>
        <v>0</v>
      </c>
      <c r="S249" s="112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>30843</v>
      </c>
      <c r="T249" s="112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>34030</v>
      </c>
      <c r="U249" s="112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>30843</v>
      </c>
      <c r="V249" s="79"/>
    </row>
    <row r="250" spans="1:22" s="81" customFormat="1" ht="10.15" customHeight="1" x14ac:dyDescent="0.2">
      <c r="A250" s="79"/>
      <c r="B250" s="112"/>
      <c r="C250" s="112"/>
      <c r="D250" s="101"/>
      <c r="E250" s="112"/>
      <c r="F250" s="112"/>
      <c r="G250" s="118"/>
      <c r="H250" s="82"/>
      <c r="I250" s="82"/>
      <c r="J250" s="112"/>
      <c r="K250" s="112"/>
      <c r="L250" s="101"/>
      <c r="M250" s="118"/>
      <c r="N250" s="79"/>
      <c r="O250" s="79"/>
      <c r="P250" s="79"/>
      <c r="Q250" s="79"/>
      <c r="R250" s="180"/>
      <c r="S250" s="79"/>
      <c r="T250" s="79"/>
      <c r="U250" s="79"/>
      <c r="V250" s="79"/>
    </row>
    <row r="251" spans="1:22" s="81" customFormat="1" ht="11.65" customHeight="1" x14ac:dyDescent="0.2">
      <c r="A251" s="79"/>
      <c r="B251" s="112"/>
      <c r="C251" s="112"/>
      <c r="D251" s="101"/>
      <c r="E251" s="112"/>
      <c r="F251" s="112"/>
      <c r="G251" s="118"/>
      <c r="H251" s="82"/>
      <c r="I251" s="82"/>
      <c r="J251" s="112"/>
      <c r="K251" s="112"/>
      <c r="L251" s="101"/>
      <c r="M251" s="118"/>
      <c r="N251" s="79"/>
      <c r="O251" s="79"/>
      <c r="P251" s="79"/>
      <c r="Q251" s="79"/>
      <c r="R251" s="180"/>
      <c r="S251" s="79"/>
      <c r="T251" s="79"/>
      <c r="U251" s="79"/>
      <c r="V251" s="79"/>
    </row>
    <row r="252" spans="1:22" ht="16.149999999999999" customHeight="1" x14ac:dyDescent="0.2"/>
    <row r="254" spans="1:22" s="112" customFormat="1" x14ac:dyDescent="0.2">
      <c r="A254" s="79"/>
      <c r="D254" s="101"/>
      <c r="G254" s="118"/>
      <c r="H254" s="82"/>
      <c r="I254" s="82"/>
      <c r="L254" s="101"/>
      <c r="M254" s="118"/>
      <c r="N254" s="79"/>
      <c r="O254" s="79"/>
      <c r="P254" s="79"/>
      <c r="Q254" s="79"/>
      <c r="S254" s="79"/>
      <c r="T254" s="79"/>
      <c r="U254" s="79"/>
      <c r="V254" s="79"/>
    </row>
  </sheetData>
  <mergeCells count="81">
    <mergeCell ref="B232:E232"/>
    <mergeCell ref="F232:I232"/>
    <mergeCell ref="J232:M232"/>
    <mergeCell ref="N232:Q232"/>
    <mergeCell ref="S232:V232"/>
    <mergeCell ref="B217:E217"/>
    <mergeCell ref="F217:I217"/>
    <mergeCell ref="J217:M217"/>
    <mergeCell ref="N217:Q217"/>
    <mergeCell ref="S217:V217"/>
    <mergeCell ref="B202:E202"/>
    <mergeCell ref="F202:I202"/>
    <mergeCell ref="J202:M202"/>
    <mergeCell ref="N202:Q202"/>
    <mergeCell ref="S202:V202"/>
    <mergeCell ref="B187:E187"/>
    <mergeCell ref="F187:I187"/>
    <mergeCell ref="J187:M187"/>
    <mergeCell ref="N187:Q187"/>
    <mergeCell ref="S187:V187"/>
    <mergeCell ref="B172:E172"/>
    <mergeCell ref="F172:I172"/>
    <mergeCell ref="J172:M172"/>
    <mergeCell ref="N172:Q172"/>
    <mergeCell ref="S172:V172"/>
    <mergeCell ref="B96:E96"/>
    <mergeCell ref="F96:I96"/>
    <mergeCell ref="J96:M96"/>
    <mergeCell ref="N96:Q96"/>
    <mergeCell ref="S96:V96"/>
    <mergeCell ref="B81:E81"/>
    <mergeCell ref="F81:I81"/>
    <mergeCell ref="J81:M81"/>
    <mergeCell ref="N81:Q81"/>
    <mergeCell ref="S81:V81"/>
    <mergeCell ref="B66:E66"/>
    <mergeCell ref="F66:I66"/>
    <mergeCell ref="J66:M66"/>
    <mergeCell ref="N66:Q66"/>
    <mergeCell ref="S66:V66"/>
    <mergeCell ref="B51:E51"/>
    <mergeCell ref="F51:I51"/>
    <mergeCell ref="J51:M51"/>
    <mergeCell ref="N51:Q51"/>
    <mergeCell ref="S51:V51"/>
    <mergeCell ref="B34:E34"/>
    <mergeCell ref="F34:I34"/>
    <mergeCell ref="J34:M34"/>
    <mergeCell ref="N34:Q34"/>
    <mergeCell ref="S34:V34"/>
    <mergeCell ref="B19:E19"/>
    <mergeCell ref="F19:I19"/>
    <mergeCell ref="J19:M19"/>
    <mergeCell ref="N19:Q19"/>
    <mergeCell ref="S19:V19"/>
    <mergeCell ref="B4:E4"/>
    <mergeCell ref="F4:I4"/>
    <mergeCell ref="J4:M4"/>
    <mergeCell ref="N4:Q4"/>
    <mergeCell ref="S4:V4"/>
    <mergeCell ref="A3:V3"/>
    <mergeCell ref="N157:Q157"/>
    <mergeCell ref="J126:M126"/>
    <mergeCell ref="N126:Q126"/>
    <mergeCell ref="B126:E126"/>
    <mergeCell ref="F126:I126"/>
    <mergeCell ref="S126:V126"/>
    <mergeCell ref="B141:E141"/>
    <mergeCell ref="F141:I141"/>
    <mergeCell ref="S141:V141"/>
    <mergeCell ref="B157:E157"/>
    <mergeCell ref="F157:I157"/>
    <mergeCell ref="S157:V157"/>
    <mergeCell ref="J141:M141"/>
    <mergeCell ref="N141:Q141"/>
    <mergeCell ref="J157:M157"/>
    <mergeCell ref="B111:E111"/>
    <mergeCell ref="F111:I111"/>
    <mergeCell ref="J111:M111"/>
    <mergeCell ref="N111:Q111"/>
    <mergeCell ref="S111:V111"/>
  </mergeCells>
  <printOptions horizontalCentered="1"/>
  <pageMargins left="0.51181102362204722" right="0.51181102362204722" top="0.74803149606299213" bottom="0.74803149606299213" header="0.31496062992125984" footer="0.31496062992125984"/>
  <pageSetup paperSize="9" scale="53" fitToHeight="3" orientation="portrait" r:id="rId1"/>
  <headerFooter>
    <oddFooter>&amp;C&amp;"Helv,Gras"&amp;11Page &amp;P / &amp;N</oddFooter>
  </headerFooter>
  <rowBreaks count="2" manualBreakCount="2">
    <brk id="94" max="21" man="1"/>
    <brk id="185" max="21" man="1"/>
  </rowBreaks>
  <tableParts count="3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A6153-6F52-49F0-AC5D-2178BC7A6960}">
  <sheetPr codeName="Feuil106">
    <tabColor rgb="FF92D050"/>
  </sheetPr>
  <dimension ref="A1:O146"/>
  <sheetViews>
    <sheetView showGridLines="0" view="pageBreakPreview" topLeftCell="A70" zoomScaleNormal="85" zoomScaleSheetLayoutView="100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15.7109375" style="79" customWidth="1"/>
    <col min="2" max="3" width="9.7109375" style="82" customWidth="1"/>
    <col min="4" max="4" width="8.42578125" style="101" customWidth="1"/>
    <col min="5" max="6" width="9.7109375" style="82" customWidth="1"/>
    <col min="7" max="7" width="9.7109375" style="101" customWidth="1"/>
    <col min="8" max="8" width="5.28515625" style="82" customWidth="1"/>
    <col min="9" max="9" width="15.7109375" style="82" customWidth="1"/>
    <col min="10" max="11" width="9.7109375" style="82" customWidth="1"/>
    <col min="12" max="12" width="9.7109375" style="101" customWidth="1"/>
    <col min="13" max="14" width="9.7109375" style="82" customWidth="1"/>
    <col min="15" max="15" width="9.7109375" style="101" customWidth="1"/>
    <col min="16" max="16384" width="11.42578125" style="79"/>
  </cols>
  <sheetData>
    <row r="1" spans="1:15" x14ac:dyDescent="0.2">
      <c r="A1" s="74" t="s">
        <v>6996</v>
      </c>
      <c r="B1" s="44"/>
      <c r="C1" s="44"/>
      <c r="D1" s="98"/>
      <c r="E1" s="44"/>
      <c r="F1" s="44"/>
      <c r="G1" s="98"/>
      <c r="H1" s="79"/>
      <c r="I1" s="79"/>
      <c r="J1" s="79"/>
      <c r="O1" s="104" t="str">
        <f>CONCATENATE("P&amp;L ",RIGHT(DONNÉES!B5,LEN(DONNÉES!B5)-3))</f>
        <v>P&amp;L Janvier</v>
      </c>
    </row>
    <row r="2" spans="1:15" x14ac:dyDescent="0.2">
      <c r="A2" s="74"/>
      <c r="B2" s="44"/>
      <c r="C2" s="44"/>
      <c r="D2" s="98"/>
      <c r="E2" s="44"/>
      <c r="F2" s="44"/>
      <c r="G2" s="98"/>
      <c r="H2" s="75"/>
      <c r="I2" s="75"/>
      <c r="J2" s="75"/>
    </row>
    <row r="3" spans="1:15" ht="15.6" customHeight="1" x14ac:dyDescent="0.25">
      <c r="A3" s="300" t="s">
        <v>130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</row>
    <row r="4" spans="1:15" ht="33" customHeight="1" x14ac:dyDescent="0.2">
      <c r="A4" s="6"/>
      <c r="B4" s="6"/>
      <c r="C4" s="6"/>
      <c r="D4" s="99"/>
      <c r="E4" s="21"/>
      <c r="F4" s="20"/>
      <c r="G4" s="99"/>
      <c r="H4" s="6"/>
      <c r="I4" s="6"/>
      <c r="J4" s="6"/>
    </row>
    <row r="5" spans="1:15" ht="33" customHeight="1" x14ac:dyDescent="0.2">
      <c r="A5" s="79" t="s">
        <v>2999</v>
      </c>
      <c r="B5" s="94" t="s">
        <v>6962</v>
      </c>
      <c r="C5" s="94" t="s">
        <v>2169</v>
      </c>
      <c r="D5" s="100" t="s">
        <v>136</v>
      </c>
      <c r="E5" s="95" t="s">
        <v>6993</v>
      </c>
      <c r="F5" s="95" t="s">
        <v>6952</v>
      </c>
      <c r="G5" s="100" t="s">
        <v>137</v>
      </c>
      <c r="H5" s="79"/>
      <c r="I5" s="79" t="s">
        <v>3001</v>
      </c>
      <c r="J5" s="94" t="s">
        <v>6962</v>
      </c>
      <c r="K5" s="94" t="s">
        <v>2169</v>
      </c>
      <c r="L5" s="100" t="s">
        <v>136</v>
      </c>
      <c r="M5" s="95" t="s">
        <v>6993</v>
      </c>
      <c r="N5" s="95" t="s">
        <v>6952</v>
      </c>
      <c r="O5" s="100" t="s">
        <v>137</v>
      </c>
    </row>
    <row r="6" spans="1:15" s="81" customFormat="1" ht="13.15" customHeight="1" x14ac:dyDescent="0.2">
      <c r="A6" s="81" t="s">
        <v>73</v>
      </c>
      <c r="B6" s="85">
        <f>IF(DONNÉES!K108="","",DONNÉES!K108)</f>
        <v>24859</v>
      </c>
      <c r="C6" s="85">
        <f>IF(TRGLR5[[#This Row],[2024]]="","",DONNÉES!L108)</f>
        <v>23552</v>
      </c>
      <c r="D6" s="96">
        <f>IF(TRGLR5[[#This Row],[2024]]="","",(TRGLR5[[#This Row],[2024]]-TRGLR5[[#This Row],[2023]])/TRGLR5[[#This Row],[2023]])</f>
        <v>5.5494225543478264E-2</v>
      </c>
      <c r="E6" s="85">
        <f>IF(TRGLR5[[#This Row],[2024]]="","",TRGLR5[[#This Row],[2024]])</f>
        <v>24859</v>
      </c>
      <c r="F6" s="86">
        <f>IF(TRGLR5[[#This Row],[2024]]="","",+TRGLR5[[#This Row],[2023]])</f>
        <v>23552</v>
      </c>
      <c r="G6" s="97">
        <f>IF(TRGLR5[[#This Row],[Cumulé 2024]]="","",+(TRGLR5[[#This Row],[Cumulé 2024]]-TRGLR5[[#This Row],[Cumulé 2023]])/TRGLR5[[#This Row],[Cumulé 2023]])</f>
        <v>5.5494225543478264E-2</v>
      </c>
      <c r="I6" s="81" t="s">
        <v>73</v>
      </c>
      <c r="J6" s="85">
        <f>IF(DONNÉES!S108="","",DONNÉES!S108)</f>
        <v>12710</v>
      </c>
      <c r="K6" s="85">
        <f>IF(TRHTR8[[#This Row],[2024]]="","",DONNÉES!T108)</f>
        <v>11959</v>
      </c>
      <c r="L6" s="96">
        <f>IF(TRHTR8[[#This Row],[2024]]="","",(TRHTR8[[#This Row],[2024]]-TRHTR8[[#This Row],[2023]])/TRHTR8[[#This Row],[2023]])</f>
        <v>6.2797892800401378E-2</v>
      </c>
      <c r="M6" s="85">
        <f>IF(TRHTR8[[#This Row],[2024]]="","",TRHTR8[[#This Row],[2024]])</f>
        <v>12710</v>
      </c>
      <c r="N6" s="86">
        <f>IF(TRHTR8[[#This Row],[2024]]="","",+TRHTR8[[#This Row],[2023]])</f>
        <v>11959</v>
      </c>
      <c r="O6" s="97">
        <f>IF(TRHTR8[[#This Row],[Cumulé 2024]]="","",+(TRHTR8[[#This Row],[Cumulé 2024]]-TRHTR8[[#This Row],[Cumulé 2023]])/TRHTR8[[#This Row],[Cumulé 2023]])</f>
        <v>6.2797892800401378E-2</v>
      </c>
    </row>
    <row r="7" spans="1:15" s="81" customFormat="1" ht="13.15" customHeight="1" x14ac:dyDescent="0.2">
      <c r="A7" s="81" t="s">
        <v>74</v>
      </c>
      <c r="B7" s="85">
        <f>IF(DONNÉES!K109="","",DONNÉES!K109)</f>
        <v>0</v>
      </c>
      <c r="C7" s="85">
        <f>IF(TRGLR5[[#This Row],[2024]]="","",DONNÉES!L109)</f>
        <v>22623</v>
      </c>
      <c r="D7" s="96">
        <f>IF(TRGLR5[[#This Row],[2024]]="","",(TRGLR5[[#This Row],[2024]]-TRGLR5[[#This Row],[2023]])/TRGLR5[[#This Row],[2023]])</f>
        <v>-1</v>
      </c>
      <c r="E7" s="85">
        <f>IF(TRGLR5[[#This Row],[2024]]="","",TRGLR5[[#This Row],[2024]]+E6)</f>
        <v>24859</v>
      </c>
      <c r="F7" s="86">
        <f>IF(TRGLR5[[#This Row],[2024]]="","",+TRGLR5[[#This Row],[2023]]+F6)</f>
        <v>46175</v>
      </c>
      <c r="G7" s="97">
        <f>IF(TRGLR5[[#This Row],[Cumulé 2024]]="","",+(TRGLR5[[#This Row],[Cumulé 2024]]-TRGLR5[[#This Row],[Cumulé 2023]])/TRGLR5[[#This Row],[Cumulé 2023]])</f>
        <v>-0.46163508391987007</v>
      </c>
      <c r="I7" s="81" t="s">
        <v>74</v>
      </c>
      <c r="J7" s="85">
        <f>IF(DONNÉES!S109="","",DONNÉES!S109)</f>
        <v>0</v>
      </c>
      <c r="K7" s="85">
        <f>IF(TRHTR8[[#This Row],[2024]]="","",DONNÉES!T109)</f>
        <v>12285</v>
      </c>
      <c r="L7" s="96">
        <f>IF(TRHTR8[[#This Row],[2024]]="","",(TRHTR8[[#This Row],[2024]]-TRHTR8[[#This Row],[2023]])/TRHTR8[[#This Row],[2023]])</f>
        <v>-1</v>
      </c>
      <c r="M7" s="85">
        <f>IF(TRHTR8[[#This Row],[2024]]="","",TRHTR8[[#This Row],[2024]]+M6)</f>
        <v>12710</v>
      </c>
      <c r="N7" s="86">
        <f>IF(TRHTR8[[#This Row],[2024]]="","",+TRHTR8[[#This Row],[2023]]+N6)</f>
        <v>24244</v>
      </c>
      <c r="O7" s="97">
        <f>IF(TRHTR8[[#This Row],[Cumulé 2024]]="","",+(TRHTR8[[#This Row],[Cumulé 2024]]-TRHTR8[[#This Row],[Cumulé 2023]])/TRHTR8[[#This Row],[Cumulé 2023]])</f>
        <v>-0.47574657647252927</v>
      </c>
    </row>
    <row r="8" spans="1:15" s="81" customFormat="1" ht="13.15" customHeight="1" x14ac:dyDescent="0.2">
      <c r="A8" s="79" t="s">
        <v>75</v>
      </c>
      <c r="B8" s="85">
        <f>IF(DONNÉES!K110="","",DONNÉES!K110)</f>
        <v>0</v>
      </c>
      <c r="C8" s="85">
        <f>IF(TRGLR5[[#This Row],[2024]]="","",DONNÉES!L110)</f>
        <v>25316</v>
      </c>
      <c r="D8" s="96">
        <f>IF(TRGLR5[[#This Row],[2024]]="","",(TRGLR5[[#This Row],[2024]]-TRGLR5[[#This Row],[2023]])/TRGLR5[[#This Row],[2023]])</f>
        <v>-1</v>
      </c>
      <c r="E8" s="85">
        <f>IF(TRGLR5[[#This Row],[2024]]="","",TRGLR5[[#This Row],[2024]]+E7)</f>
        <v>24859</v>
      </c>
      <c r="F8" s="86">
        <f>IF(TRGLR5[[#This Row],[2024]]="","",+TRGLR5[[#This Row],[2023]]+F7)</f>
        <v>71491</v>
      </c>
      <c r="G8" s="97">
        <f>IF(TRGLR5[[#This Row],[Cumulé 2024]]="","",+(TRGLR5[[#This Row],[Cumulé 2024]]-TRGLR5[[#This Row],[Cumulé 2023]])/TRGLR5[[#This Row],[Cumulé 2023]])</f>
        <v>-0.6522779091074401</v>
      </c>
      <c r="I8" s="79" t="s">
        <v>75</v>
      </c>
      <c r="J8" s="85">
        <f>IF(DONNÉES!S110="","",DONNÉES!S110)</f>
        <v>0</v>
      </c>
      <c r="K8" s="85">
        <f>IF(TRHTR8[[#This Row],[2024]]="","",DONNÉES!T110)</f>
        <v>13373</v>
      </c>
      <c r="L8" s="96">
        <f>IF(TRHTR8[[#This Row],[2024]]="","",(TRHTR8[[#This Row],[2024]]-TRHTR8[[#This Row],[2023]])/TRHTR8[[#This Row],[2023]])</f>
        <v>-1</v>
      </c>
      <c r="M8" s="85">
        <f>IF(TRHTR8[[#This Row],[2024]]="","",TRHTR8[[#This Row],[2024]]+M7)</f>
        <v>12710</v>
      </c>
      <c r="N8" s="86">
        <f>IF(TRHTR8[[#This Row],[2024]]="","",+TRHTR8[[#This Row],[2023]]+N7)</f>
        <v>37617</v>
      </c>
      <c r="O8" s="97">
        <f>IF(TRHTR8[[#This Row],[Cumulé 2024]]="","",+(TRHTR8[[#This Row],[Cumulé 2024]]-TRHTR8[[#This Row],[Cumulé 2023]])/TRHTR8[[#This Row],[Cumulé 2023]])</f>
        <v>-0.66212084961586515</v>
      </c>
    </row>
    <row r="9" spans="1:15" ht="13.15" customHeight="1" x14ac:dyDescent="0.2">
      <c r="A9" s="81" t="s">
        <v>76</v>
      </c>
      <c r="B9" s="85">
        <f>IF(DONNÉES!K111="","",DONNÉES!K111)</f>
        <v>0</v>
      </c>
      <c r="C9" s="85">
        <f>IF(TRGLR5[[#This Row],[2024]]="","",DONNÉES!L111)</f>
        <v>25129</v>
      </c>
      <c r="D9" s="96">
        <f>IF(TRGLR5[[#This Row],[2024]]="","",(TRGLR5[[#This Row],[2024]]-TRGLR5[[#This Row],[2023]])/TRGLR5[[#This Row],[2023]])</f>
        <v>-1</v>
      </c>
      <c r="E9" s="85">
        <f>IF(TRGLR5[[#This Row],[2024]]="","",TRGLR5[[#This Row],[2024]]+E8)</f>
        <v>24859</v>
      </c>
      <c r="F9" s="86">
        <f>IF(TRGLR5[[#This Row],[2024]]="","",+TRGLR5[[#This Row],[2023]]+F8)</f>
        <v>96620</v>
      </c>
      <c r="G9" s="97">
        <f>IF(TRGLR5[[#This Row],[Cumulé 2024]]="","",+(TRGLR5[[#This Row],[Cumulé 2024]]-TRGLR5[[#This Row],[Cumulé 2023]])/TRGLR5[[#This Row],[Cumulé 2023]])</f>
        <v>-0.74271372386669432</v>
      </c>
      <c r="H9" s="79"/>
      <c r="I9" s="81" t="s">
        <v>76</v>
      </c>
      <c r="J9" s="85">
        <f>IF(DONNÉES!S111="","",DONNÉES!S111)</f>
        <v>0</v>
      </c>
      <c r="K9" s="85">
        <f>IF(TRHTR8[[#This Row],[2024]]="","",DONNÉES!T111)</f>
        <v>13947</v>
      </c>
      <c r="L9" s="96">
        <f>IF(TRHTR8[[#This Row],[2024]]="","",(TRHTR8[[#This Row],[2024]]-TRHTR8[[#This Row],[2023]])/TRHTR8[[#This Row],[2023]])</f>
        <v>-1</v>
      </c>
      <c r="M9" s="85">
        <f>IF(TRHTR8[[#This Row],[2024]]="","",TRHTR8[[#This Row],[2024]]+M8)</f>
        <v>12710</v>
      </c>
      <c r="N9" s="86">
        <f>IF(TRHTR8[[#This Row],[2024]]="","",+TRHTR8[[#This Row],[2023]]+N8)</f>
        <v>51564</v>
      </c>
      <c r="O9" s="97">
        <f>IF(TRHTR8[[#This Row],[Cumulé 2024]]="","",+(TRHTR8[[#This Row],[Cumulé 2024]]-TRHTR8[[#This Row],[Cumulé 2023]])/TRHTR8[[#This Row],[Cumulé 2023]])</f>
        <v>-0.75351020091536736</v>
      </c>
    </row>
    <row r="10" spans="1:15" ht="13.15" customHeight="1" x14ac:dyDescent="0.2">
      <c r="A10" s="79" t="s">
        <v>77</v>
      </c>
      <c r="B10" s="85">
        <f>IF(DONNÉES!K112="","",DONNÉES!K112)</f>
        <v>0</v>
      </c>
      <c r="C10" s="85">
        <f>IF(TRGLR5[[#This Row],[2024]]="","",DONNÉES!L112)</f>
        <v>26236</v>
      </c>
      <c r="D10" s="96">
        <f>IF(TRGLR5[[#This Row],[2024]]="","",(TRGLR5[[#This Row],[2024]]-TRGLR5[[#This Row],[2023]])/TRGLR5[[#This Row],[2023]])</f>
        <v>-1</v>
      </c>
      <c r="E10" s="85">
        <f>IF(TRGLR5[[#This Row],[2024]]="","",TRGLR5[[#This Row],[2024]]+E9)</f>
        <v>24859</v>
      </c>
      <c r="F10" s="86">
        <f>IF(TRGLR5[[#This Row],[2024]]="","",+TRGLR5[[#This Row],[2023]]+F9)</f>
        <v>122856</v>
      </c>
      <c r="G10" s="97">
        <f>IF(TRGLR5[[#This Row],[Cumulé 2024]]="","",+(TRGLR5[[#This Row],[Cumulé 2024]]-TRGLR5[[#This Row],[Cumulé 2023]])/TRGLR5[[#This Row],[Cumulé 2023]])</f>
        <v>-0.79765742006902385</v>
      </c>
      <c r="H10" s="79"/>
      <c r="I10" s="79" t="s">
        <v>77</v>
      </c>
      <c r="J10" s="85">
        <f>IF(DONNÉES!S112="","",DONNÉES!S112)</f>
        <v>0</v>
      </c>
      <c r="K10" s="85">
        <f>IF(TRHTR8[[#This Row],[2024]]="","",DONNÉES!T112)</f>
        <v>14055</v>
      </c>
      <c r="L10" s="96">
        <f>IF(TRHTR8[[#This Row],[2024]]="","",(TRHTR8[[#This Row],[2024]]-TRHTR8[[#This Row],[2023]])/TRHTR8[[#This Row],[2023]])</f>
        <v>-1</v>
      </c>
      <c r="M10" s="85">
        <f>IF(TRHTR8[[#This Row],[2024]]="","",TRHTR8[[#This Row],[2024]]+M9)</f>
        <v>12710</v>
      </c>
      <c r="N10" s="86">
        <f>IF(TRHTR8[[#This Row],[2024]]="","",+TRHTR8[[#This Row],[2023]]+N9)</f>
        <v>65619</v>
      </c>
      <c r="O10" s="97">
        <f>IF(TRHTR8[[#This Row],[Cumulé 2024]]="","",+(TRHTR8[[#This Row],[Cumulé 2024]]-TRHTR8[[#This Row],[Cumulé 2023]])/TRHTR8[[#This Row],[Cumulé 2023]])</f>
        <v>-0.80630610036727168</v>
      </c>
    </row>
    <row r="11" spans="1:15" ht="13.15" customHeight="1" x14ac:dyDescent="0.2">
      <c r="A11" s="81" t="s">
        <v>78</v>
      </c>
      <c r="B11" s="85">
        <f>IF(DONNÉES!K113="","",DONNÉES!K113)</f>
        <v>0</v>
      </c>
      <c r="C11" s="85">
        <f>IF(TRGLR5[[#This Row],[2024]]="","",DONNÉES!L113)</f>
        <v>24629</v>
      </c>
      <c r="D11" s="96">
        <f>IF(TRGLR5[[#This Row],[2024]]="","",(TRGLR5[[#This Row],[2024]]-TRGLR5[[#This Row],[2023]])/TRGLR5[[#This Row],[2023]])</f>
        <v>-1</v>
      </c>
      <c r="E11" s="85">
        <f>IF(TRGLR5[[#This Row],[2024]]="","",TRGLR5[[#This Row],[2024]]+E10)</f>
        <v>24859</v>
      </c>
      <c r="F11" s="86">
        <f>IF(TRGLR5[[#This Row],[2024]]="","",+TRGLR5[[#This Row],[2023]]+F10)</f>
        <v>147485</v>
      </c>
      <c r="G11" s="97">
        <f>IF(TRGLR5[[#This Row],[Cumulé 2024]]="","",+(TRGLR5[[#This Row],[Cumulé 2024]]-TRGLR5[[#This Row],[Cumulé 2023]])/TRGLR5[[#This Row],[Cumulé 2023]])</f>
        <v>-0.83144726582364303</v>
      </c>
      <c r="H11" s="79"/>
      <c r="I11" s="81" t="s">
        <v>78</v>
      </c>
      <c r="J11" s="85">
        <f>IF(DONNÉES!S113="","",DONNÉES!S113)</f>
        <v>0</v>
      </c>
      <c r="K11" s="85">
        <f>IF(TRHTR8[[#This Row],[2024]]="","",DONNÉES!T113)</f>
        <v>14115</v>
      </c>
      <c r="L11" s="96">
        <f>IF(TRHTR8[[#This Row],[2024]]="","",(TRHTR8[[#This Row],[2024]]-TRHTR8[[#This Row],[2023]])/TRHTR8[[#This Row],[2023]])</f>
        <v>-1</v>
      </c>
      <c r="M11" s="85">
        <f>IF(TRHTR8[[#This Row],[2024]]="","",TRHTR8[[#This Row],[2024]]+M10)</f>
        <v>12710</v>
      </c>
      <c r="N11" s="86">
        <f>IF(TRHTR8[[#This Row],[2024]]="","",+TRHTR8[[#This Row],[2023]]+N10)</f>
        <v>79734</v>
      </c>
      <c r="O11" s="97">
        <f>IF(TRHTR8[[#This Row],[Cumulé 2024]]="","",+(TRHTR8[[#This Row],[Cumulé 2024]]-TRHTR8[[#This Row],[Cumulé 2023]])/TRHTR8[[#This Row],[Cumulé 2023]])</f>
        <v>-0.84059497830285701</v>
      </c>
    </row>
    <row r="12" spans="1:15" ht="13.15" customHeight="1" x14ac:dyDescent="0.2">
      <c r="A12" s="79" t="s">
        <v>79</v>
      </c>
      <c r="B12" s="85">
        <f>IF(DONNÉES!K114="","",DONNÉES!K114)</f>
        <v>0</v>
      </c>
      <c r="C12" s="85">
        <f>IF(TRGLR5[[#This Row],[2024]]="","",DONNÉES!L114)</f>
        <v>25863</v>
      </c>
      <c r="D12" s="96">
        <f>IF(TRGLR5[[#This Row],[2024]]="","",(TRGLR5[[#This Row],[2024]]-TRGLR5[[#This Row],[2023]])/TRGLR5[[#This Row],[2023]])</f>
        <v>-1</v>
      </c>
      <c r="E12" s="85">
        <f>IF(TRGLR5[[#This Row],[2024]]="","",TRGLR5[[#This Row],[2024]]+E11)</f>
        <v>24859</v>
      </c>
      <c r="F12" s="86">
        <f>IF(TRGLR5[[#This Row],[2024]]="","",+TRGLR5[[#This Row],[2023]]+F11)</f>
        <v>173348</v>
      </c>
      <c r="G12" s="97">
        <f>IF(TRGLR5[[#This Row],[Cumulé 2024]]="","",+(TRGLR5[[#This Row],[Cumulé 2024]]-TRGLR5[[#This Row],[Cumulé 2023]])/TRGLR5[[#This Row],[Cumulé 2023]])</f>
        <v>-0.85659482659159614</v>
      </c>
      <c r="H12" s="79"/>
      <c r="I12" s="79" t="s">
        <v>79</v>
      </c>
      <c r="J12" s="85">
        <f>IF(DONNÉES!S114="","",DONNÉES!S114)</f>
        <v>0</v>
      </c>
      <c r="K12" s="85">
        <f>IF(TRHTR8[[#This Row],[2024]]="","",DONNÉES!T114)</f>
        <v>13999</v>
      </c>
      <c r="L12" s="96">
        <f>IF(TRHTR8[[#This Row],[2024]]="","",(TRHTR8[[#This Row],[2024]]-TRHTR8[[#This Row],[2023]])/TRHTR8[[#This Row],[2023]])</f>
        <v>-1</v>
      </c>
      <c r="M12" s="85">
        <f>IF(TRHTR8[[#This Row],[2024]]="","",TRHTR8[[#This Row],[2024]]+M11)</f>
        <v>12710</v>
      </c>
      <c r="N12" s="86">
        <f>IF(TRHTR8[[#This Row],[2024]]="","",+TRHTR8[[#This Row],[2023]]+N11)</f>
        <v>93733</v>
      </c>
      <c r="O12" s="97">
        <f>IF(TRHTR8[[#This Row],[Cumulé 2024]]="","",+(TRHTR8[[#This Row],[Cumulé 2024]]-TRHTR8[[#This Row],[Cumulé 2023]])/TRHTR8[[#This Row],[Cumulé 2023]])</f>
        <v>-0.86440207824352144</v>
      </c>
    </row>
    <row r="13" spans="1:15" ht="13.15" customHeight="1" x14ac:dyDescent="0.2">
      <c r="A13" s="81" t="s">
        <v>80</v>
      </c>
      <c r="B13" s="85">
        <f>IF(DONNÉES!K115="","",DONNÉES!K115)</f>
        <v>0</v>
      </c>
      <c r="C13" s="85">
        <f>IF(TRGLR5[[#This Row],[2024]]="","",DONNÉES!L115)</f>
        <v>25808</v>
      </c>
      <c r="D13" s="96">
        <f>IF(TRGLR5[[#This Row],[2024]]="","",(TRGLR5[[#This Row],[2024]]-TRGLR5[[#This Row],[2023]])/TRGLR5[[#This Row],[2023]])</f>
        <v>-1</v>
      </c>
      <c r="E13" s="85">
        <f>IF(TRGLR5[[#This Row],[2024]]="","",TRGLR5[[#This Row],[2024]]+E12)</f>
        <v>24859</v>
      </c>
      <c r="F13" s="86">
        <f>IF(TRGLR5[[#This Row],[2024]]="","",+TRGLR5[[#This Row],[2023]]+F12)</f>
        <v>199156</v>
      </c>
      <c r="G13" s="97">
        <f>IF(TRGLR5[[#This Row],[Cumulé 2024]]="","",+(TRGLR5[[#This Row],[Cumulé 2024]]-TRGLR5[[#This Row],[Cumulé 2023]])/TRGLR5[[#This Row],[Cumulé 2023]])</f>
        <v>-0.87517825222438694</v>
      </c>
      <c r="H13" s="79"/>
      <c r="I13" s="81" t="s">
        <v>80</v>
      </c>
      <c r="J13" s="85">
        <f>IF(DONNÉES!S115="","",DONNÉES!S115)</f>
        <v>0</v>
      </c>
      <c r="K13" s="85">
        <f>IF(TRHTR8[[#This Row],[2024]]="","",DONNÉES!T115)</f>
        <v>14073</v>
      </c>
      <c r="L13" s="96">
        <f>IF(TRHTR8[[#This Row],[2024]]="","",(TRHTR8[[#This Row],[2024]]-TRHTR8[[#This Row],[2023]])/TRHTR8[[#This Row],[2023]])</f>
        <v>-1</v>
      </c>
      <c r="M13" s="85">
        <f>IF(TRHTR8[[#This Row],[2024]]="","",TRHTR8[[#This Row],[2024]]+M12)</f>
        <v>12710</v>
      </c>
      <c r="N13" s="86">
        <f>IF(TRHTR8[[#This Row],[2024]]="","",+TRHTR8[[#This Row],[2023]]+N12)</f>
        <v>107806</v>
      </c>
      <c r="O13" s="97">
        <f>IF(TRHTR8[[#This Row],[Cumulé 2024]]="","",+(TRHTR8[[#This Row],[Cumulé 2024]]-TRHTR8[[#This Row],[Cumulé 2023]])/TRHTR8[[#This Row],[Cumulé 2023]])</f>
        <v>-0.88210303693671965</v>
      </c>
    </row>
    <row r="14" spans="1:15" ht="13.15" customHeight="1" x14ac:dyDescent="0.2">
      <c r="A14" s="79" t="s">
        <v>81</v>
      </c>
      <c r="B14" s="86">
        <f>IF(DONNÉES!K116="","",DONNÉES!K116)</f>
        <v>0</v>
      </c>
      <c r="C14" s="86">
        <f>IF(TRGLR5[[#This Row],[2024]]="","",DONNÉES!L116)</f>
        <v>22773</v>
      </c>
      <c r="D14" s="97">
        <f>IF(TRGLR5[[#This Row],[2024]]="","",(TRGLR5[[#This Row],[2024]]-TRGLR5[[#This Row],[2023]])/TRGLR5[[#This Row],[2023]])</f>
        <v>-1</v>
      </c>
      <c r="E14" s="85">
        <f>IF(TRGLR5[[#This Row],[2024]]="","",TRGLR5[[#This Row],[2024]]+E13)</f>
        <v>24859</v>
      </c>
      <c r="F14" s="86">
        <f>IF(TRGLR5[[#This Row],[2024]]="","",+TRGLR5[[#This Row],[2023]]+F13)</f>
        <v>221929</v>
      </c>
      <c r="G14" s="97">
        <f>IF(TRGLR5[[#This Row],[Cumulé 2024]]="","",+(TRGLR5[[#This Row],[Cumulé 2024]]-TRGLR5[[#This Row],[Cumulé 2023]])/TRGLR5[[#This Row],[Cumulé 2023]])</f>
        <v>-0.8879866984486029</v>
      </c>
      <c r="I14" s="79" t="s">
        <v>81</v>
      </c>
      <c r="J14" s="86">
        <f>IF(DONNÉES!S116="","",DONNÉES!S116)</f>
        <v>0</v>
      </c>
      <c r="K14" s="86">
        <f>IF(TRHTR8[[#This Row],[2024]]="","",DONNÉES!T116)</f>
        <v>12640</v>
      </c>
      <c r="L14" s="97">
        <f>IF(TRHTR8[[#This Row],[2024]]="","",(TRHTR8[[#This Row],[2024]]-TRHTR8[[#This Row],[2023]])/TRHTR8[[#This Row],[2023]])</f>
        <v>-1</v>
      </c>
      <c r="M14" s="85">
        <f>IF(TRHTR8[[#This Row],[2024]]="","",TRHTR8[[#This Row],[2024]]+M13)</f>
        <v>12710</v>
      </c>
      <c r="N14" s="86">
        <f>IF(TRHTR8[[#This Row],[2024]]="","",+TRHTR8[[#This Row],[2023]]+N13)</f>
        <v>120446</v>
      </c>
      <c r="O14" s="97">
        <f>IF(TRHTR8[[#This Row],[Cumulé 2024]]="","",+(TRHTR8[[#This Row],[Cumulé 2024]]-TRHTR8[[#This Row],[Cumulé 2023]])/TRHTR8[[#This Row],[Cumulé 2023]])</f>
        <v>-0.89447553260382251</v>
      </c>
    </row>
    <row r="15" spans="1:15" ht="13.15" customHeight="1" x14ac:dyDescent="0.2">
      <c r="A15" s="81" t="s">
        <v>82</v>
      </c>
      <c r="B15" s="86">
        <f>IF(DONNÉES!K117="","",DONNÉES!K117)</f>
        <v>0</v>
      </c>
      <c r="C15" s="86">
        <f>IF(TRGLR5[[#This Row],[2024]]="","",DONNÉES!L117)</f>
        <v>25723</v>
      </c>
      <c r="D15" s="97">
        <f>IF(TRGLR5[[#This Row],[2024]]="","",(TRGLR5[[#This Row],[2024]]-TRGLR5[[#This Row],[2023]])/TRGLR5[[#This Row],[2023]])</f>
        <v>-1</v>
      </c>
      <c r="E15" s="85">
        <f>IF(TRGLR5[[#This Row],[2024]]="","",TRGLR5[[#This Row],[2024]]+E14)</f>
        <v>24859</v>
      </c>
      <c r="F15" s="86">
        <f>IF(TRGLR5[[#This Row],[2024]]="","",+TRGLR5[[#This Row],[2023]]+F14)</f>
        <v>247652</v>
      </c>
      <c r="G15" s="97">
        <f>IF(TRGLR5[[#This Row],[Cumulé 2024]]="","",+(TRGLR5[[#This Row],[Cumulé 2024]]-TRGLR5[[#This Row],[Cumulé 2023]])/TRGLR5[[#This Row],[Cumulé 2023]])</f>
        <v>-0.89962124271154686</v>
      </c>
      <c r="H15" s="79"/>
      <c r="I15" s="81" t="s">
        <v>82</v>
      </c>
      <c r="J15" s="86">
        <f>IF(DONNÉES!S117="","",DONNÉES!S117)</f>
        <v>0</v>
      </c>
      <c r="K15" s="86">
        <f>IF(TRHTR8[[#This Row],[2024]]="","",DONNÉES!T117)</f>
        <v>13510</v>
      </c>
      <c r="L15" s="97">
        <f>IF(TRHTR8[[#This Row],[2024]]="","",(TRHTR8[[#This Row],[2024]]-TRHTR8[[#This Row],[2023]])/TRHTR8[[#This Row],[2023]])</f>
        <v>-1</v>
      </c>
      <c r="M15" s="85">
        <f>IF(TRHTR8[[#This Row],[2024]]="","",TRHTR8[[#This Row],[2024]]+M14)</f>
        <v>12710</v>
      </c>
      <c r="N15" s="86">
        <f>IF(TRHTR8[[#This Row],[2024]]="","",+TRHTR8[[#This Row],[2023]]+N14)</f>
        <v>133956</v>
      </c>
      <c r="O15" s="97">
        <f>IF(TRHTR8[[#This Row],[Cumulé 2024]]="","",+(TRHTR8[[#This Row],[Cumulé 2024]]-TRHTR8[[#This Row],[Cumulé 2023]])/TRHTR8[[#This Row],[Cumulé 2023]])</f>
        <v>-0.90511809848009794</v>
      </c>
    </row>
    <row r="16" spans="1:15" s="81" customFormat="1" ht="13.15" customHeight="1" x14ac:dyDescent="0.2">
      <c r="A16" s="79" t="s">
        <v>83</v>
      </c>
      <c r="B16" s="86">
        <f>IF(DONNÉES!K118="","",DONNÉES!K118)</f>
        <v>0</v>
      </c>
      <c r="C16" s="86">
        <f>IF(TRGLR5[[#This Row],[2024]]="","",DONNÉES!L118)</f>
        <v>26254</v>
      </c>
      <c r="D16" s="97">
        <f>IF(TRGLR5[[#This Row],[2024]]="","",(TRGLR5[[#This Row],[2024]]-TRGLR5[[#This Row],[2023]])/TRGLR5[[#This Row],[2023]])</f>
        <v>-1</v>
      </c>
      <c r="E16" s="85">
        <f>IF(TRGLR5[[#This Row],[2024]]="","",TRGLR5[[#This Row],[2024]]+E15)</f>
        <v>24859</v>
      </c>
      <c r="F16" s="86">
        <f>IF(TRGLR5[[#This Row],[2024]]="","",+TRGLR5[[#This Row],[2023]]+F15)</f>
        <v>273906</v>
      </c>
      <c r="G16" s="97">
        <f>IF(TRGLR5[[#This Row],[Cumulé 2024]]="","",+(TRGLR5[[#This Row],[Cumulé 2024]]-TRGLR5[[#This Row],[Cumulé 2023]])/TRGLR5[[#This Row],[Cumulé 2023]])</f>
        <v>-0.90924258687286874</v>
      </c>
      <c r="I16" s="79" t="s">
        <v>83</v>
      </c>
      <c r="J16" s="86">
        <f>IF(DONNÉES!S118="","",DONNÉES!S118)</f>
        <v>0</v>
      </c>
      <c r="K16" s="86">
        <f>IF(TRHTR8[[#This Row],[2024]]="","",DONNÉES!T118)</f>
        <v>12898</v>
      </c>
      <c r="L16" s="97">
        <f>IF(TRHTR8[[#This Row],[2024]]="","",(TRHTR8[[#This Row],[2024]]-TRHTR8[[#This Row],[2023]])/TRHTR8[[#This Row],[2023]])</f>
        <v>-1</v>
      </c>
      <c r="M16" s="85">
        <f>IF(TRHTR8[[#This Row],[2024]]="","",TRHTR8[[#This Row],[2024]]+M15)</f>
        <v>12710</v>
      </c>
      <c r="N16" s="86">
        <f>IF(TRHTR8[[#This Row],[2024]]="","",+TRHTR8[[#This Row],[2023]]+N15)</f>
        <v>146854</v>
      </c>
      <c r="O16" s="97">
        <f>IF(TRHTR8[[#This Row],[Cumulé 2024]]="","",+(TRHTR8[[#This Row],[Cumulé 2024]]-TRHTR8[[#This Row],[Cumulé 2023]])/TRHTR8[[#This Row],[Cumulé 2023]])</f>
        <v>-0.91345145518678417</v>
      </c>
    </row>
    <row r="17" spans="1:15" s="81" customFormat="1" ht="13.15" customHeight="1" x14ac:dyDescent="0.2">
      <c r="A17" s="79" t="s">
        <v>84</v>
      </c>
      <c r="B17" s="86">
        <f>IF(DONNÉES!K119="","",DONNÉES!K119)</f>
        <v>0</v>
      </c>
      <c r="C17" s="86">
        <f>IF(TRGLR5[[#This Row],[2024]]="","",DONNÉES!L119)</f>
        <v>25848</v>
      </c>
      <c r="D17" s="97">
        <f>IF(TRGLR5[[#This Row],[2024]]="","",(TRGLR5[[#This Row],[2024]]-TRGLR5[[#This Row],[2023]])/TRGLR5[[#This Row],[2023]])</f>
        <v>-1</v>
      </c>
      <c r="E17" s="85">
        <f>IF(TRGLR5[[#This Row],[2024]]="","",TRGLR5[[#This Row],[2024]]+E16)</f>
        <v>24859</v>
      </c>
      <c r="F17" s="86">
        <f>IF(TRGLR5[[#This Row],[2024]]="","",+TRGLR5[[#This Row],[2023]]+F16)</f>
        <v>299754</v>
      </c>
      <c r="G17" s="97">
        <f>IF(TRGLR5[[#This Row],[Cumulé 2024]]="","",+(TRGLR5[[#This Row],[Cumulé 2024]]-TRGLR5[[#This Row],[Cumulé 2023]])/TRGLR5[[#This Row],[Cumulé 2023]])</f>
        <v>-0.91706866297030232</v>
      </c>
      <c r="I17" s="79" t="s">
        <v>84</v>
      </c>
      <c r="J17" s="86">
        <f>IF(DONNÉES!S119="","",DONNÉES!S119)</f>
        <v>0</v>
      </c>
      <c r="K17" s="86">
        <f>IF(TRHTR8[[#This Row],[2024]]="","",DONNÉES!T119)</f>
        <v>13073</v>
      </c>
      <c r="L17" s="97">
        <f>IF(TRHTR8[[#This Row],[2024]]="","",(TRHTR8[[#This Row],[2024]]-TRHTR8[[#This Row],[2023]])/TRHTR8[[#This Row],[2023]])</f>
        <v>-1</v>
      </c>
      <c r="M17" s="85">
        <f>IF(TRHTR8[[#This Row],[2024]]="","",TRHTR8[[#This Row],[2024]]+M16)</f>
        <v>12710</v>
      </c>
      <c r="N17" s="86">
        <f>IF(TRHTR8[[#This Row],[2024]]="","",+TRHTR8[[#This Row],[2023]]+N16)</f>
        <v>159927</v>
      </c>
      <c r="O17" s="97">
        <f>IF(TRHTR8[[#This Row],[Cumulé 2024]]="","",+(TRHTR8[[#This Row],[Cumulé 2024]]-TRHTR8[[#This Row],[Cumulé 2023]])/TRHTR8[[#This Row],[Cumulé 2023]])</f>
        <v>-0.92052624009704431</v>
      </c>
    </row>
    <row r="18" spans="1:15" s="81" customFormat="1" ht="16.899999999999999" customHeight="1" x14ac:dyDescent="0.2">
      <c r="A18" s="46" t="s">
        <v>134</v>
      </c>
      <c r="B18" s="92">
        <f>SUBTOTAL(109,TRGLR5[2024])</f>
        <v>24859</v>
      </c>
      <c r="C18" s="92">
        <f>SUBTOTAL(109,TRGLR5[2023])</f>
        <v>299754</v>
      </c>
      <c r="D18" s="125"/>
      <c r="E18" s="93"/>
      <c r="F18" s="92"/>
      <c r="G18" s="125"/>
      <c r="I18" s="46" t="s">
        <v>135</v>
      </c>
      <c r="J18" s="92">
        <f>SUBTOTAL(109,TRHTR8[2024])</f>
        <v>12710</v>
      </c>
      <c r="K18" s="92">
        <f>SUBTOTAL(109,TRHTR8[2023])</f>
        <v>159927</v>
      </c>
      <c r="L18" s="125"/>
      <c r="M18" s="93"/>
      <c r="N18" s="92"/>
      <c r="O18" s="161"/>
    </row>
    <row r="19" spans="1:15" ht="30.6" customHeight="1" x14ac:dyDescent="0.2">
      <c r="H19" s="79"/>
    </row>
    <row r="20" spans="1:15" ht="33" customHeight="1" x14ac:dyDescent="0.2">
      <c r="A20" s="79" t="s">
        <v>210</v>
      </c>
      <c r="B20" s="94" t="s">
        <v>6962</v>
      </c>
      <c r="C20" s="94" t="s">
        <v>2169</v>
      </c>
      <c r="D20" s="100" t="s">
        <v>136</v>
      </c>
      <c r="E20" s="95" t="s">
        <v>6993</v>
      </c>
      <c r="F20" s="95" t="s">
        <v>6952</v>
      </c>
      <c r="G20" s="100" t="s">
        <v>137</v>
      </c>
      <c r="H20" s="79"/>
      <c r="I20" s="79" t="s">
        <v>3003</v>
      </c>
      <c r="J20" s="94" t="s">
        <v>6962</v>
      </c>
      <c r="K20" s="94" t="s">
        <v>2169</v>
      </c>
      <c r="L20" s="100" t="s">
        <v>136</v>
      </c>
      <c r="M20" s="95" t="s">
        <v>6993</v>
      </c>
      <c r="N20" s="95" t="s">
        <v>6952</v>
      </c>
      <c r="O20" s="100" t="s">
        <v>137</v>
      </c>
    </row>
    <row r="21" spans="1:15" ht="13.15" customHeight="1" x14ac:dyDescent="0.2">
      <c r="A21" s="81" t="s">
        <v>73</v>
      </c>
      <c r="B21" s="85">
        <f>IF(DONNÉES!AA108="","",DONNÉES!AA108)</f>
        <v>16773</v>
      </c>
      <c r="C21" s="85">
        <f>IF(TRTIRR[[#This Row],[2024]]="","",DONNÉES!AB108)</f>
        <v>16102</v>
      </c>
      <c r="D21" s="96">
        <f>IF(TRTIRR[[#This Row],[2024]]="","",(TRTIRR[[#This Row],[2024]]-TRTIRR[[#This Row],[2023]])/TRTIRR[[#This Row],[2023]])</f>
        <v>4.1671842007204071E-2</v>
      </c>
      <c r="E21" s="85">
        <f>IF(TRTIRR[[#This Row],[2024]]="","",TRTIRR[[#This Row],[2024]])</f>
        <v>16773</v>
      </c>
      <c r="F21" s="86">
        <f>IF(TRTIRR[[#This Row],[2024]]="","",+TRTIRR[[#This Row],[2023]])</f>
        <v>16102</v>
      </c>
      <c r="G21" s="97">
        <f>IF(TRTIRR[[#This Row],[Cumulé 2024]]="","",+(TRTIRR[[#This Row],[Cumulé 2024]]-TRTIRR[[#This Row],[Cumulé 2023]])/TRTIRR[[#This Row],[Cumulé 2023]])</f>
        <v>4.1671842007204071E-2</v>
      </c>
      <c r="H21" s="79"/>
      <c r="I21" s="81" t="s">
        <v>73</v>
      </c>
      <c r="J21" s="85">
        <f>IF(DONNÉES!AI108="","",DONNÉES!AI108)</f>
        <v>0</v>
      </c>
      <c r="K21" s="85">
        <f>IF(TRVR7[[#This Row],[2024]]="","",DONNÉES!AJ108)</f>
        <v>21218</v>
      </c>
      <c r="L21" s="102">
        <f>IF(TRVR7[[#This Row],[2024]]="","",(TRVR7[[#This Row],[2024]]-TRVR7[[#This Row],[2023]])/TRVR7[[#This Row],[2023]])</f>
        <v>-1</v>
      </c>
      <c r="M21" s="87">
        <f>IF(TRVR7[[#This Row],[2024]]="","",TRVR7[[#This Row],[2024]])</f>
        <v>0</v>
      </c>
      <c r="N21" s="86">
        <f>IF(TRVR7[[#This Row],[2024]]="","",+TRVR7[[#This Row],[2023]])</f>
        <v>21218</v>
      </c>
      <c r="O21" s="103">
        <f>IF(TRVR7[[#This Row],[Cumulé 2024]]="","",+(TRVR7[[#This Row],[Cumulé 2024]]-TRVR7[[#This Row],[Cumulé 2023]])/TRVR7[[#This Row],[Cumulé 2023]])</f>
        <v>-1</v>
      </c>
    </row>
    <row r="22" spans="1:15" ht="13.15" customHeight="1" x14ac:dyDescent="0.2">
      <c r="A22" s="81" t="s">
        <v>74</v>
      </c>
      <c r="B22" s="85">
        <f>IF(DONNÉES!AA109="","",DONNÉES!AA109)</f>
        <v>0</v>
      </c>
      <c r="C22" s="85">
        <f>IF(TRTIRR[[#This Row],[2024]]="","",DONNÉES!AB109)</f>
        <v>17106</v>
      </c>
      <c r="D22" s="96">
        <f>IF(TRTIRR[[#This Row],[2024]]="","",(TRTIRR[[#This Row],[2024]]-TRTIRR[[#This Row],[2023]])/TRTIRR[[#This Row],[2023]])</f>
        <v>-1</v>
      </c>
      <c r="E22" s="85">
        <f>IF(TRTIRR[[#This Row],[2024]]="","",TRTIRR[[#This Row],[2024]]+E21)</f>
        <v>16773</v>
      </c>
      <c r="F22" s="86">
        <f>IF(TRTIRR[[#This Row],[2024]]="","",+TRTIRR[[#This Row],[2023]]+F21)</f>
        <v>33208</v>
      </c>
      <c r="G22" s="97">
        <f>IF(TRTIRR[[#This Row],[Cumulé 2024]]="","",+(TRTIRR[[#This Row],[Cumulé 2024]]-TRTIRR[[#This Row],[Cumulé 2023]])/TRTIRR[[#This Row],[Cumulé 2023]])</f>
        <v>-0.49491086485184294</v>
      </c>
      <c r="H22" s="79"/>
      <c r="I22" s="81" t="s">
        <v>74</v>
      </c>
      <c r="J22" s="85">
        <f>IF(DONNÉES!AI109="","",DONNÉES!AI109)</f>
        <v>0</v>
      </c>
      <c r="K22" s="85">
        <f>IF(TRVR7[[#This Row],[2024]]="","",DONNÉES!AJ109)</f>
        <v>20720</v>
      </c>
      <c r="L22" s="102">
        <f>IF(TRVR7[[#This Row],[2024]]="","",(TRVR7[[#This Row],[2024]]-TRVR7[[#This Row],[2023]])/TRVR7[[#This Row],[2023]])</f>
        <v>-1</v>
      </c>
      <c r="M22" s="87">
        <f>IF(TRVR7[[#This Row],[2024]]="","",TRVR7[[#This Row],[2024]]+M21)</f>
        <v>0</v>
      </c>
      <c r="N22" s="86">
        <f>IF(TRVR7[[#This Row],[2024]]="","",+TRVR7[[#This Row],[2023]]+N21)</f>
        <v>41938</v>
      </c>
      <c r="O22" s="103">
        <f>IF(TRVR7[[#This Row],[Cumulé 2024]]="","",+(TRVR7[[#This Row],[Cumulé 2024]]-TRVR7[[#This Row],[Cumulé 2023]])/TRVR7[[#This Row],[Cumulé 2023]])</f>
        <v>-1</v>
      </c>
    </row>
    <row r="23" spans="1:15" ht="13.15" customHeight="1" x14ac:dyDescent="0.2">
      <c r="A23" s="79" t="s">
        <v>75</v>
      </c>
      <c r="B23" s="85">
        <f>IF(DONNÉES!AA110="","",DONNÉES!AA110)</f>
        <v>0</v>
      </c>
      <c r="C23" s="85">
        <f>IF(TRTIRR[[#This Row],[2024]]="","",DONNÉES!AB110)</f>
        <v>19689</v>
      </c>
      <c r="D23" s="96">
        <f>IF(TRTIRR[[#This Row],[2024]]="","",(TRTIRR[[#This Row],[2024]]-TRTIRR[[#This Row],[2023]])/TRTIRR[[#This Row],[2023]])</f>
        <v>-1</v>
      </c>
      <c r="E23" s="85">
        <f>IF(TRTIRR[[#This Row],[2024]]="","",TRTIRR[[#This Row],[2024]]+E22)</f>
        <v>16773</v>
      </c>
      <c r="F23" s="86">
        <f>IF(TRTIRR[[#This Row],[2024]]="","",+TRTIRR[[#This Row],[2023]]+F22)</f>
        <v>52897</v>
      </c>
      <c r="G23" s="97">
        <f>IF(TRTIRR[[#This Row],[Cumulé 2024]]="","",+(TRTIRR[[#This Row],[Cumulé 2024]]-TRTIRR[[#This Row],[Cumulé 2023]])/TRTIRR[[#This Row],[Cumulé 2023]])</f>
        <v>-0.68291207440875668</v>
      </c>
      <c r="H23" s="79"/>
      <c r="I23" s="79" t="s">
        <v>75</v>
      </c>
      <c r="J23" s="85">
        <f>IF(DONNÉES!AI110="","",DONNÉES!AI110)</f>
        <v>0</v>
      </c>
      <c r="K23" s="85">
        <f>IF(TRVR7[[#This Row],[2024]]="","",DONNÉES!AJ110)</f>
        <v>22444</v>
      </c>
      <c r="L23" s="102">
        <f>IF(TRVR7[[#This Row],[2024]]="","",(TRVR7[[#This Row],[2024]]-TRVR7[[#This Row],[2023]])/TRVR7[[#This Row],[2023]])</f>
        <v>-1</v>
      </c>
      <c r="M23" s="87">
        <f>IF(TRVR7[[#This Row],[2024]]="","",TRVR7[[#This Row],[2024]]+M22)</f>
        <v>0</v>
      </c>
      <c r="N23" s="86">
        <f>IF(TRVR7[[#This Row],[2024]]="","",+TRVR7[[#This Row],[2023]]+N22)</f>
        <v>64382</v>
      </c>
      <c r="O23" s="103">
        <f>IF(TRVR7[[#This Row],[Cumulé 2024]]="","",+(TRVR7[[#This Row],[Cumulé 2024]]-TRVR7[[#This Row],[Cumulé 2023]])/TRVR7[[#This Row],[Cumulé 2023]])</f>
        <v>-1</v>
      </c>
    </row>
    <row r="24" spans="1:15" ht="13.15" customHeight="1" x14ac:dyDescent="0.2">
      <c r="A24" s="81" t="s">
        <v>76</v>
      </c>
      <c r="B24" s="85">
        <f>IF(DONNÉES!AA111="","",DONNÉES!AA111)</f>
        <v>0</v>
      </c>
      <c r="C24" s="85">
        <f>IF(TRTIRR[[#This Row],[2024]]="","",DONNÉES!AB111)</f>
        <v>19476</v>
      </c>
      <c r="D24" s="96">
        <f>IF(TRTIRR[[#This Row],[2024]]="","",(TRTIRR[[#This Row],[2024]]-TRTIRR[[#This Row],[2023]])/TRTIRR[[#This Row],[2023]])</f>
        <v>-1</v>
      </c>
      <c r="E24" s="85">
        <f>IF(TRTIRR[[#This Row],[2024]]="","",TRTIRR[[#This Row],[2024]]+E23)</f>
        <v>16773</v>
      </c>
      <c r="F24" s="86">
        <f>IF(TRTIRR[[#This Row],[2024]]="","",+TRTIRR[[#This Row],[2023]]+F23)</f>
        <v>72373</v>
      </c>
      <c r="G24" s="97">
        <f>IF(TRTIRR[[#This Row],[Cumulé 2024]]="","",+(TRTIRR[[#This Row],[Cumulé 2024]]-TRTIRR[[#This Row],[Cumulé 2023]])/TRTIRR[[#This Row],[Cumulé 2023]])</f>
        <v>-0.76824230030536245</v>
      </c>
      <c r="I24" s="81" t="s">
        <v>76</v>
      </c>
      <c r="J24" s="85">
        <f>IF(DONNÉES!AI111="","",DONNÉES!AI111)</f>
        <v>0</v>
      </c>
      <c r="K24" s="85">
        <f>IF(TRVR7[[#This Row],[2024]]="","",DONNÉES!AJ111)</f>
        <v>23556</v>
      </c>
      <c r="L24" s="102">
        <f>IF(TRVR7[[#This Row],[2024]]="","",(TRVR7[[#This Row],[2024]]-TRVR7[[#This Row],[2023]])/TRVR7[[#This Row],[2023]])</f>
        <v>-1</v>
      </c>
      <c r="M24" s="87">
        <f>IF(TRVR7[[#This Row],[2024]]="","",TRVR7[[#This Row],[2024]]+M23)</f>
        <v>0</v>
      </c>
      <c r="N24" s="86">
        <f>IF(TRVR7[[#This Row],[2024]]="","",+TRVR7[[#This Row],[2023]]+N23)</f>
        <v>87938</v>
      </c>
      <c r="O24" s="103">
        <f>IF(TRVR7[[#This Row],[Cumulé 2024]]="","",+(TRVR7[[#This Row],[Cumulé 2024]]-TRVR7[[#This Row],[Cumulé 2023]])/TRVR7[[#This Row],[Cumulé 2023]])</f>
        <v>-1</v>
      </c>
    </row>
    <row r="25" spans="1:15" ht="13.15" customHeight="1" x14ac:dyDescent="0.2">
      <c r="A25" s="79" t="s">
        <v>77</v>
      </c>
      <c r="B25" s="85">
        <f>IF(DONNÉES!AA112="","",DONNÉES!AA112)</f>
        <v>0</v>
      </c>
      <c r="C25" s="85">
        <f>IF(TRTIRR[[#This Row],[2024]]="","",DONNÉES!AB112)</f>
        <v>15772</v>
      </c>
      <c r="D25" s="96">
        <f>IF(TRTIRR[[#This Row],[2024]]="","",(TRTIRR[[#This Row],[2024]]-TRTIRR[[#This Row],[2023]])/TRTIRR[[#This Row],[2023]])</f>
        <v>-1</v>
      </c>
      <c r="E25" s="85">
        <f>IF(TRTIRR[[#This Row],[2024]]="","",TRTIRR[[#This Row],[2024]]+E24)</f>
        <v>16773</v>
      </c>
      <c r="F25" s="86">
        <f>IF(TRTIRR[[#This Row],[2024]]="","",+TRTIRR[[#This Row],[2023]]+F24)</f>
        <v>88145</v>
      </c>
      <c r="G25" s="97">
        <f>IF(TRTIRR[[#This Row],[Cumulé 2024]]="","",+(TRTIRR[[#This Row],[Cumulé 2024]]-TRTIRR[[#This Row],[Cumulé 2023]])/TRTIRR[[#This Row],[Cumulé 2023]])</f>
        <v>-0.80971127120086217</v>
      </c>
      <c r="H25" s="79"/>
      <c r="I25" s="79" t="s">
        <v>77</v>
      </c>
      <c r="J25" s="85">
        <f>IF(DONNÉES!AI112="","",DONNÉES!AI112)</f>
        <v>0</v>
      </c>
      <c r="K25" s="85">
        <f>IF(TRVR7[[#This Row],[2024]]="","",DONNÉES!AJ112)</f>
        <v>23109</v>
      </c>
      <c r="L25" s="102">
        <f>IF(TRVR7[[#This Row],[2024]]="","",(TRVR7[[#This Row],[2024]]-TRVR7[[#This Row],[2023]])/TRVR7[[#This Row],[2023]])</f>
        <v>-1</v>
      </c>
      <c r="M25" s="87">
        <f>IF(TRVR7[[#This Row],[2024]]="","",TRVR7[[#This Row],[2024]]+M24)</f>
        <v>0</v>
      </c>
      <c r="N25" s="86">
        <f>IF(TRVR7[[#This Row],[2024]]="","",+TRVR7[[#This Row],[2023]]+N24)</f>
        <v>111047</v>
      </c>
      <c r="O25" s="103">
        <f>IF(TRVR7[[#This Row],[Cumulé 2024]]="","",+(TRVR7[[#This Row],[Cumulé 2024]]-TRVR7[[#This Row],[Cumulé 2023]])/TRVR7[[#This Row],[Cumulé 2023]])</f>
        <v>-1</v>
      </c>
    </row>
    <row r="26" spans="1:15" s="81" customFormat="1" ht="13.15" customHeight="1" x14ac:dyDescent="0.2">
      <c r="A26" s="81" t="s">
        <v>78</v>
      </c>
      <c r="B26" s="85">
        <f>IF(DONNÉES!AA113="","",DONNÉES!AA113)</f>
        <v>0</v>
      </c>
      <c r="C26" s="85">
        <f>IF(TRTIRR[[#This Row],[2024]]="","",DONNÉES!AB113)</f>
        <v>16980</v>
      </c>
      <c r="D26" s="96">
        <f>IF(TRTIRR[[#This Row],[2024]]="","",(TRTIRR[[#This Row],[2024]]-TRTIRR[[#This Row],[2023]])/TRTIRR[[#This Row],[2023]])</f>
        <v>-1</v>
      </c>
      <c r="E26" s="85">
        <f>IF(TRTIRR[[#This Row],[2024]]="","",TRTIRR[[#This Row],[2024]]+E25)</f>
        <v>16773</v>
      </c>
      <c r="F26" s="86">
        <f>IF(TRTIRR[[#This Row],[2024]]="","",+TRTIRR[[#This Row],[2023]]+F25)</f>
        <v>105125</v>
      </c>
      <c r="G26" s="97">
        <f>IF(TRTIRR[[#This Row],[Cumulé 2024]]="","",+(TRTIRR[[#This Row],[Cumulé 2024]]-TRTIRR[[#This Row],[Cumulé 2023]])/TRTIRR[[#This Row],[Cumulé 2023]])</f>
        <v>-0.84044708680142688</v>
      </c>
      <c r="I26" s="81" t="s">
        <v>78</v>
      </c>
      <c r="J26" s="85">
        <f>IF(DONNÉES!AI113="","",DONNÉES!AI113)</f>
        <v>0</v>
      </c>
      <c r="K26" s="85">
        <f>IF(TRVR7[[#This Row],[2024]]="","",DONNÉES!AJ113)</f>
        <v>23848</v>
      </c>
      <c r="L26" s="102">
        <f>IF(TRVR7[[#This Row],[2024]]="","",(TRVR7[[#This Row],[2024]]-TRVR7[[#This Row],[2023]])/TRVR7[[#This Row],[2023]])</f>
        <v>-1</v>
      </c>
      <c r="M26" s="87">
        <f>IF(TRVR7[[#This Row],[2024]]="","",TRVR7[[#This Row],[2024]]+M25)</f>
        <v>0</v>
      </c>
      <c r="N26" s="86">
        <f>IF(TRVR7[[#This Row],[2024]]="","",+TRVR7[[#This Row],[2023]]+N25)</f>
        <v>134895</v>
      </c>
      <c r="O26" s="103">
        <f>IF(TRVR7[[#This Row],[Cumulé 2024]]="","",+(TRVR7[[#This Row],[Cumulé 2024]]-TRVR7[[#This Row],[Cumulé 2023]])/TRVR7[[#This Row],[Cumulé 2023]])</f>
        <v>-1</v>
      </c>
    </row>
    <row r="27" spans="1:15" s="81" customFormat="1" ht="13.15" customHeight="1" x14ac:dyDescent="0.2">
      <c r="A27" s="79" t="s">
        <v>79</v>
      </c>
      <c r="B27" s="85">
        <f>IF(DONNÉES!AA114="","",DONNÉES!AA114)</f>
        <v>0</v>
      </c>
      <c r="C27" s="85">
        <f>IF(TRTIRR[[#This Row],[2024]]="","",DONNÉES!AB114)</f>
        <v>15112</v>
      </c>
      <c r="D27" s="96">
        <f>IF(TRTIRR[[#This Row],[2024]]="","",(TRTIRR[[#This Row],[2024]]-TRTIRR[[#This Row],[2023]])/TRTIRR[[#This Row],[2023]])</f>
        <v>-1</v>
      </c>
      <c r="E27" s="85">
        <f>IF(TRTIRR[[#This Row],[2024]]="","",TRTIRR[[#This Row],[2024]]+E26)</f>
        <v>16773</v>
      </c>
      <c r="F27" s="86">
        <f>IF(TRTIRR[[#This Row],[2024]]="","",+TRTIRR[[#This Row],[2023]]+F26)</f>
        <v>120237</v>
      </c>
      <c r="G27" s="97">
        <f>IF(TRTIRR[[#This Row],[Cumulé 2024]]="","",+(TRTIRR[[#This Row],[Cumulé 2024]]-TRTIRR[[#This Row],[Cumulé 2023]])/TRTIRR[[#This Row],[Cumulé 2023]])</f>
        <v>-0.86050051148980766</v>
      </c>
      <c r="I27" s="79" t="s">
        <v>79</v>
      </c>
      <c r="J27" s="85">
        <f>IF(DONNÉES!AI114="","",DONNÉES!AI114)</f>
        <v>0</v>
      </c>
      <c r="K27" s="85">
        <f>IF(TRVR7[[#This Row],[2024]]="","",DONNÉES!AJ114)</f>
        <v>23369</v>
      </c>
      <c r="L27" s="102">
        <f>IF(TRVR7[[#This Row],[2024]]="","",(TRVR7[[#This Row],[2024]]-TRVR7[[#This Row],[2023]])/TRVR7[[#This Row],[2023]])</f>
        <v>-1</v>
      </c>
      <c r="M27" s="87">
        <f>IF(TRVR7[[#This Row],[2024]]="","",TRVR7[[#This Row],[2024]]+M26)</f>
        <v>0</v>
      </c>
      <c r="N27" s="86">
        <f>IF(TRVR7[[#This Row],[2024]]="","",+TRVR7[[#This Row],[2023]]+N26)</f>
        <v>158264</v>
      </c>
      <c r="O27" s="103">
        <f>IF(TRVR7[[#This Row],[Cumulé 2024]]="","",+(TRVR7[[#This Row],[Cumulé 2024]]-TRVR7[[#This Row],[Cumulé 2023]])/TRVR7[[#This Row],[Cumulé 2023]])</f>
        <v>-1</v>
      </c>
    </row>
    <row r="28" spans="1:15" s="81" customFormat="1" ht="13.15" customHeight="1" x14ac:dyDescent="0.2">
      <c r="A28" s="81" t="s">
        <v>80</v>
      </c>
      <c r="B28" s="85">
        <f>IF(DONNÉES!AA115="","",DONNÉES!AA115)</f>
        <v>0</v>
      </c>
      <c r="C28" s="85">
        <f>IF(TRTIRR[[#This Row],[2024]]="","",DONNÉES!AB115)</f>
        <v>14976</v>
      </c>
      <c r="D28" s="96">
        <f>IF(TRTIRR[[#This Row],[2024]]="","",(TRTIRR[[#This Row],[2024]]-TRTIRR[[#This Row],[2023]])/TRTIRR[[#This Row],[2023]])</f>
        <v>-1</v>
      </c>
      <c r="E28" s="85">
        <f>IF(TRTIRR[[#This Row],[2024]]="","",TRTIRR[[#This Row],[2024]]+E27)</f>
        <v>16773</v>
      </c>
      <c r="F28" s="86">
        <f>IF(TRTIRR[[#This Row],[2024]]="","",+TRTIRR[[#This Row],[2023]]+F27)</f>
        <v>135213</v>
      </c>
      <c r="G28" s="97">
        <f>IF(TRTIRR[[#This Row],[Cumulé 2024]]="","",+(TRTIRR[[#This Row],[Cumulé 2024]]-TRTIRR[[#This Row],[Cumulé 2023]])/TRTIRR[[#This Row],[Cumulé 2023]])</f>
        <v>-0.87595127687426499</v>
      </c>
      <c r="I28" s="81" t="s">
        <v>80</v>
      </c>
      <c r="J28" s="85">
        <f>IF(DONNÉES!AI115="","",DONNÉES!AI115)</f>
        <v>0</v>
      </c>
      <c r="K28" s="85">
        <f>IF(TRVR7[[#This Row],[2024]]="","",DONNÉES!AJ115)</f>
        <v>23018</v>
      </c>
      <c r="L28" s="102">
        <f>IF(TRVR7[[#This Row],[2024]]="","",(TRVR7[[#This Row],[2024]]-TRVR7[[#This Row],[2023]])/TRVR7[[#This Row],[2023]])</f>
        <v>-1</v>
      </c>
      <c r="M28" s="87">
        <f>IF(TRVR7[[#This Row],[2024]]="","",TRVR7[[#This Row],[2024]]+M27)</f>
        <v>0</v>
      </c>
      <c r="N28" s="86">
        <f>IF(TRVR7[[#This Row],[2024]]="","",+TRVR7[[#This Row],[2023]]+N27)</f>
        <v>181282</v>
      </c>
      <c r="O28" s="103">
        <f>IF(TRVR7[[#This Row],[Cumulé 2024]]="","",+(TRVR7[[#This Row],[Cumulé 2024]]-TRVR7[[#This Row],[Cumulé 2023]])/TRVR7[[#This Row],[Cumulé 2023]])</f>
        <v>-1</v>
      </c>
    </row>
    <row r="29" spans="1:15" ht="13.15" customHeight="1" x14ac:dyDescent="0.2">
      <c r="A29" s="79" t="s">
        <v>81</v>
      </c>
      <c r="B29" s="86">
        <f>IF(DONNÉES!AA116="","",DONNÉES!AA116)</f>
        <v>0</v>
      </c>
      <c r="C29" s="86">
        <f>IF(TRTIRR[[#This Row],[2024]]="","",DONNÉES!AB116)</f>
        <v>15649</v>
      </c>
      <c r="D29" s="97">
        <f>IF(TRTIRR[[#This Row],[2024]]="","",(TRTIRR[[#This Row],[2024]]-TRTIRR[[#This Row],[2023]])/TRTIRR[[#This Row],[2023]])</f>
        <v>-1</v>
      </c>
      <c r="E29" s="85">
        <f>IF(TRTIRR[[#This Row],[2024]]="","",TRTIRR[[#This Row],[2024]]+E28)</f>
        <v>16773</v>
      </c>
      <c r="F29" s="86">
        <f>IF(TRTIRR[[#This Row],[2024]]="","",+TRTIRR[[#This Row],[2023]]+F28)</f>
        <v>150862</v>
      </c>
      <c r="G29" s="97">
        <f>IF(TRTIRR[[#This Row],[Cumulé 2024]]="","",+(TRTIRR[[#This Row],[Cumulé 2024]]-TRTIRR[[#This Row],[Cumulé 2023]])/TRTIRR[[#This Row],[Cumulé 2023]])</f>
        <v>-0.8888189206029351</v>
      </c>
      <c r="H29" s="79"/>
      <c r="I29" s="79" t="s">
        <v>81</v>
      </c>
      <c r="J29" s="86">
        <f>IF(DONNÉES!AI116="","",DONNÉES!AI116)</f>
        <v>0</v>
      </c>
      <c r="K29" s="86">
        <f>IF(TRVR7[[#This Row],[2024]]="","",DONNÉES!AJ116)</f>
        <v>20790</v>
      </c>
      <c r="L29" s="103">
        <f>IF(TRVR7[[#This Row],[2024]]="","",(TRVR7[[#This Row],[2024]]-TRVR7[[#This Row],[2023]])/TRVR7[[#This Row],[2023]])</f>
        <v>-1</v>
      </c>
      <c r="M29" s="87">
        <f>IF(TRVR7[[#This Row],[2024]]="","",TRVR7[[#This Row],[2024]]+M28)</f>
        <v>0</v>
      </c>
      <c r="N29" s="86">
        <f>IF(TRVR7[[#This Row],[2024]]="","",+TRVR7[[#This Row],[2023]]+N28)</f>
        <v>202072</v>
      </c>
      <c r="O29" s="103">
        <f>IF(TRVR7[[#This Row],[Cumulé 2024]]="","",+(TRVR7[[#This Row],[Cumulé 2024]]-TRVR7[[#This Row],[Cumulé 2023]])/TRVR7[[#This Row],[Cumulé 2023]])</f>
        <v>-1</v>
      </c>
    </row>
    <row r="30" spans="1:15" ht="13.15" customHeight="1" x14ac:dyDescent="0.2">
      <c r="A30" s="81" t="s">
        <v>82</v>
      </c>
      <c r="B30" s="86">
        <f>IF(DONNÉES!AA117="","",DONNÉES!AA117)</f>
        <v>0</v>
      </c>
      <c r="C30" s="86">
        <f>IF(TRTIRR[[#This Row],[2024]]="","",DONNÉES!AB117)</f>
        <v>16681</v>
      </c>
      <c r="D30" s="97">
        <f>IF(TRTIRR[[#This Row],[2024]]="","",(TRTIRR[[#This Row],[2024]]-TRTIRR[[#This Row],[2023]])/TRTIRR[[#This Row],[2023]])</f>
        <v>-1</v>
      </c>
      <c r="E30" s="85">
        <f>IF(TRTIRR[[#This Row],[2024]]="","",TRTIRR[[#This Row],[2024]]+E29)</f>
        <v>16773</v>
      </c>
      <c r="F30" s="86">
        <f>IF(TRTIRR[[#This Row],[2024]]="","",+TRTIRR[[#This Row],[2023]]+F29)</f>
        <v>167543</v>
      </c>
      <c r="G30" s="97">
        <f>IF(TRTIRR[[#This Row],[Cumulé 2024]]="","",+(TRTIRR[[#This Row],[Cumulé 2024]]-TRTIRR[[#This Row],[Cumulé 2023]])/TRTIRR[[#This Row],[Cumulé 2023]])</f>
        <v>-0.89988838686188022</v>
      </c>
      <c r="H30" s="79"/>
      <c r="I30" s="81" t="s">
        <v>82</v>
      </c>
      <c r="J30" s="86">
        <f>IF(DONNÉES!AI117="","",DONNÉES!AI117)</f>
        <v>0</v>
      </c>
      <c r="K30" s="86">
        <f>IF(TRVR7[[#This Row],[2024]]="","",DONNÉES!AJ117)</f>
        <v>22249</v>
      </c>
      <c r="L30" s="103">
        <f>IF(TRVR7[[#This Row],[2024]]="","",(TRVR7[[#This Row],[2024]]-TRVR7[[#This Row],[2023]])/TRVR7[[#This Row],[2023]])</f>
        <v>-1</v>
      </c>
      <c r="M30" s="87">
        <f>IF(TRVR7[[#This Row],[2024]]="","",TRVR7[[#This Row],[2024]]+M29)</f>
        <v>0</v>
      </c>
      <c r="N30" s="86">
        <f>IF(TRVR7[[#This Row],[2024]]="","",+TRVR7[[#This Row],[2023]]+N29)</f>
        <v>224321</v>
      </c>
      <c r="O30" s="103">
        <f>IF(TRVR7[[#This Row],[Cumulé 2024]]="","",+(TRVR7[[#This Row],[Cumulé 2024]]-TRVR7[[#This Row],[Cumulé 2023]])/TRVR7[[#This Row],[Cumulé 2023]])</f>
        <v>-1</v>
      </c>
    </row>
    <row r="31" spans="1:15" ht="13.15" customHeight="1" x14ac:dyDescent="0.2">
      <c r="A31" s="79" t="s">
        <v>83</v>
      </c>
      <c r="B31" s="86">
        <f>IF(DONNÉES!AA118="","",DONNÉES!AA118)</f>
        <v>0</v>
      </c>
      <c r="C31" s="86">
        <f>IF(TRTIRR[[#This Row],[2024]]="","",DONNÉES!AB118)</f>
        <v>17695</v>
      </c>
      <c r="D31" s="97">
        <f>IF(TRTIRR[[#This Row],[2024]]="","",(TRTIRR[[#This Row],[2024]]-TRTIRR[[#This Row],[2023]])/TRTIRR[[#This Row],[2023]])</f>
        <v>-1</v>
      </c>
      <c r="E31" s="85">
        <f>IF(TRTIRR[[#This Row],[2024]]="","",TRTIRR[[#This Row],[2024]]+E30)</f>
        <v>16773</v>
      </c>
      <c r="F31" s="86">
        <f>IF(TRTIRR[[#This Row],[2024]]="","",+TRTIRR[[#This Row],[2023]]+F30)</f>
        <v>185238</v>
      </c>
      <c r="G31" s="97">
        <f>IF(TRTIRR[[#This Row],[Cumulé 2024]]="","",+(TRTIRR[[#This Row],[Cumulé 2024]]-TRTIRR[[#This Row],[Cumulé 2023]])/TRTIRR[[#This Row],[Cumulé 2023]])</f>
        <v>-0.909451624396722</v>
      </c>
      <c r="H31" s="79"/>
      <c r="I31" s="79" t="s">
        <v>83</v>
      </c>
      <c r="J31" s="86">
        <f>IF(DONNÉES!AI118="","",DONNÉES!AI118)</f>
        <v>0</v>
      </c>
      <c r="K31" s="86">
        <f>IF(TRVR7[[#This Row],[2024]]="","",DONNÉES!AJ118)</f>
        <v>21775</v>
      </c>
      <c r="L31" s="103">
        <f>IF(TRVR7[[#This Row],[2024]]="","",(TRVR7[[#This Row],[2024]]-TRVR7[[#This Row],[2023]])/TRVR7[[#This Row],[2023]])</f>
        <v>-1</v>
      </c>
      <c r="M31" s="87">
        <f>IF(TRVR7[[#This Row],[2024]]="","",TRVR7[[#This Row],[2024]]+M30)</f>
        <v>0</v>
      </c>
      <c r="N31" s="86">
        <f>IF(TRVR7[[#This Row],[2024]]="","",+TRVR7[[#This Row],[2023]]+N30)</f>
        <v>246096</v>
      </c>
      <c r="O31" s="103">
        <f>IF(TRVR7[[#This Row],[Cumulé 2024]]="","",+(TRVR7[[#This Row],[Cumulé 2024]]-TRVR7[[#This Row],[Cumulé 2023]])/TRVR7[[#This Row],[Cumulé 2023]])</f>
        <v>-1</v>
      </c>
    </row>
    <row r="32" spans="1:15" ht="13.15" customHeight="1" x14ac:dyDescent="0.2">
      <c r="A32" s="79" t="s">
        <v>84</v>
      </c>
      <c r="B32" s="86">
        <f>IF(DONNÉES!AA119="","",DONNÉES!AA119)</f>
        <v>0</v>
      </c>
      <c r="C32" s="86">
        <f>IF(TRTIRR[[#This Row],[2024]]="","",DONNÉES!AB119)</f>
        <v>16054</v>
      </c>
      <c r="D32" s="97">
        <f>IF(TRTIRR[[#This Row],[2024]]="","",(TRTIRR[[#This Row],[2024]]-TRTIRR[[#This Row],[2023]])/TRTIRR[[#This Row],[2023]])</f>
        <v>-1</v>
      </c>
      <c r="E32" s="85">
        <f>IF(TRTIRR[[#This Row],[2024]]="","",TRTIRR[[#This Row],[2024]]+E31)</f>
        <v>16773</v>
      </c>
      <c r="F32" s="86">
        <f>IF(TRTIRR[[#This Row],[2024]]="","",+TRTIRR[[#This Row],[2023]]+F31)</f>
        <v>201292</v>
      </c>
      <c r="G32" s="97">
        <f>IF(TRTIRR[[#This Row],[Cumulé 2024]]="","",+(TRTIRR[[#This Row],[Cumulé 2024]]-TRTIRR[[#This Row],[Cumulé 2023]])/TRTIRR[[#This Row],[Cumulé 2023]])</f>
        <v>-0.91667329054309166</v>
      </c>
      <c r="H32" s="79"/>
      <c r="I32" s="79" t="s">
        <v>84</v>
      </c>
      <c r="J32" s="86">
        <f>IF(DONNÉES!AI119="","",DONNÉES!AI119)</f>
        <v>0</v>
      </c>
      <c r="K32" s="86">
        <f>IF(TRVR7[[#This Row],[2024]]="","",DONNÉES!AJ119)</f>
        <v>21097</v>
      </c>
      <c r="L32" s="103">
        <f>IF(TRVR7[[#This Row],[2024]]="","",(TRVR7[[#This Row],[2024]]-TRVR7[[#This Row],[2023]])/TRVR7[[#This Row],[2023]])</f>
        <v>-1</v>
      </c>
      <c r="M32" s="87">
        <f>IF(TRVR7[[#This Row],[2024]]="","",TRVR7[[#This Row],[2024]]+M31)</f>
        <v>0</v>
      </c>
      <c r="N32" s="86">
        <f>IF(TRVR7[[#This Row],[2024]]="","",+TRVR7[[#This Row],[2023]]+N31)</f>
        <v>267193</v>
      </c>
      <c r="O32" s="103">
        <f>IF(TRVR7[[#This Row],[Cumulé 2024]]="","",+(TRVR7[[#This Row],[Cumulé 2024]]-TRVR7[[#This Row],[Cumulé 2023]])/TRVR7[[#This Row],[Cumulé 2023]])</f>
        <v>-1</v>
      </c>
    </row>
    <row r="33" spans="1:15" ht="16.899999999999999" customHeight="1" x14ac:dyDescent="0.2">
      <c r="A33" s="46" t="s">
        <v>135</v>
      </c>
      <c r="B33" s="76">
        <f>SUBTOTAL(109,TRTIRR[2024])</f>
        <v>16773</v>
      </c>
      <c r="C33" s="76">
        <f>SUBTOTAL(109,TRTIRR[2023])</f>
        <v>201292</v>
      </c>
      <c r="D33" s="105"/>
      <c r="E33" s="88"/>
      <c r="F33" s="76"/>
      <c r="G33" s="105"/>
      <c r="H33" s="79"/>
      <c r="I33" s="46" t="s">
        <v>135</v>
      </c>
      <c r="J33" s="76">
        <f>SUBTOTAL(109,TRVR7[2024])</f>
        <v>0</v>
      </c>
      <c r="K33" s="76">
        <f>SUBTOTAL(109,TRVR7[2023])</f>
        <v>267193</v>
      </c>
      <c r="L33" s="105"/>
      <c r="M33" s="88"/>
      <c r="N33" s="76"/>
      <c r="O33" s="161"/>
    </row>
    <row r="34" spans="1:15" ht="16.899999999999999" customHeight="1" x14ac:dyDescent="0.2">
      <c r="A34" s="46"/>
      <c r="B34" s="76"/>
      <c r="C34" s="76"/>
      <c r="D34" s="105"/>
      <c r="E34" s="88"/>
      <c r="F34" s="76"/>
      <c r="G34" s="105"/>
      <c r="H34" s="79"/>
      <c r="I34" s="46"/>
      <c r="J34" s="76"/>
      <c r="K34" s="76"/>
      <c r="L34" s="105"/>
      <c r="M34" s="88"/>
      <c r="N34" s="76"/>
      <c r="O34" s="161"/>
    </row>
    <row r="35" spans="1:15" ht="33" customHeight="1" x14ac:dyDescent="0.2">
      <c r="A35" s="79" t="s">
        <v>2156</v>
      </c>
      <c r="B35" s="94" t="s">
        <v>6962</v>
      </c>
      <c r="C35" s="94" t="s">
        <v>2169</v>
      </c>
      <c r="D35" s="100" t="s">
        <v>136</v>
      </c>
      <c r="E35" s="95" t="s">
        <v>6993</v>
      </c>
      <c r="F35" s="95" t="s">
        <v>6952</v>
      </c>
      <c r="G35" s="100" t="s">
        <v>137</v>
      </c>
      <c r="H35" s="79"/>
      <c r="I35" s="79" t="s">
        <v>3000</v>
      </c>
      <c r="J35" s="94" t="s">
        <v>6962</v>
      </c>
      <c r="K35" s="94" t="s">
        <v>2169</v>
      </c>
      <c r="L35" s="100" t="s">
        <v>136</v>
      </c>
      <c r="M35" s="95" t="s">
        <v>6993</v>
      </c>
      <c r="N35" s="95" t="s">
        <v>6952</v>
      </c>
      <c r="O35" s="100" t="s">
        <v>137</v>
      </c>
    </row>
    <row r="36" spans="1:15" s="81" customFormat="1" ht="13.15" customHeight="1" x14ac:dyDescent="0.2">
      <c r="A36" s="81" t="s">
        <v>73</v>
      </c>
      <c r="B36" s="85">
        <f>IF(DONNÉES!AQ108="","",DONNÉES!AQ108)</f>
        <v>27135</v>
      </c>
      <c r="C36" s="85">
        <f>IF(TRTURVILLA[[#This Row],[2024]]="","",DONNÉES!AR108)</f>
        <v>27149</v>
      </c>
      <c r="D36" s="96">
        <f>IF(TRTURVILLA[[#This Row],[2024]]="","",(TRTURVILLA[[#This Row],[2024]]-TRTURVILLA[[#This Row],[2023]])/TRTURVILLA[[#This Row],[2023]])</f>
        <v>-5.1567276879443068E-4</v>
      </c>
      <c r="E36" s="85">
        <f>IF(TRTURVILLA[[#This Row],[2024]]="","",TRTURVILLA[[#This Row],[2024]])</f>
        <v>27135</v>
      </c>
      <c r="F36" s="86">
        <f>IF(TRTURVILLA[[#This Row],[2024]]="","",+TRTURVILLA[[#This Row],[2023]])</f>
        <v>27149</v>
      </c>
      <c r="G36" s="97">
        <f>IF(TRTURVILLA[[#This Row],[Cumulé 2024]]="","",+(TRTURVILLA[[#This Row],[Cumulé 2024]]-TRTURVILLA[[#This Row],[Cumulé 2023]])/TRTURVILLA[[#This Row],[Cumulé 2023]])</f>
        <v>-5.1567276879443068E-4</v>
      </c>
      <c r="I36" s="81" t="s">
        <v>73</v>
      </c>
      <c r="J36" s="85">
        <f>IF(DONNÉES!AY108="","",DONNÉES!AY108)</f>
        <v>0</v>
      </c>
      <c r="K36" s="85">
        <f>IF(TRHART[[#This Row],[2024]]="","",DONNÉES!AZ108)</f>
        <v>12467</v>
      </c>
      <c r="L36" s="96">
        <f>IF(TRHART[[#This Row],[2024]]="","",(TRHART[[#This Row],[2024]]-TRHART[[#This Row],[2023]])/TRHART[[#This Row],[2023]])</f>
        <v>-1</v>
      </c>
      <c r="M36" s="85">
        <f>IF(TRHART[[#This Row],[2024]]="","",TRHART[[#This Row],[2024]])</f>
        <v>0</v>
      </c>
      <c r="N36" s="86">
        <f>IF(TRHART[[#This Row],[2024]]="","",+TRHART[[#This Row],[2023]])</f>
        <v>12467</v>
      </c>
      <c r="O36" s="97">
        <f>IF(TRHART[[#This Row],[Cumulé 2024]]="","",+(TRHART[[#This Row],[Cumulé 2024]]-TRHART[[#This Row],[Cumulé 2023]])/TRHART[[#This Row],[Cumulé 2023]])</f>
        <v>-1</v>
      </c>
    </row>
    <row r="37" spans="1:15" s="81" customFormat="1" ht="13.15" customHeight="1" x14ac:dyDescent="0.2">
      <c r="A37" s="81" t="s">
        <v>74</v>
      </c>
      <c r="B37" s="85">
        <f>IF(DONNÉES!AQ109="","",DONNÉES!AQ109)</f>
        <v>0</v>
      </c>
      <c r="C37" s="85">
        <f>IF(TRTURVILLA[[#This Row],[2024]]="","",DONNÉES!AR109)</f>
        <v>26592</v>
      </c>
      <c r="D37" s="96">
        <f>IF(TRTURVILLA[[#This Row],[2024]]="","",(TRTURVILLA[[#This Row],[2024]]-TRTURVILLA[[#This Row],[2023]])/TRTURVILLA[[#This Row],[2023]])</f>
        <v>-1</v>
      </c>
      <c r="E37" s="85">
        <f>IF(TRTURVILLA[[#This Row],[2024]]="","",TRTURVILLA[[#This Row],[2024]]+E36)</f>
        <v>27135</v>
      </c>
      <c r="F37" s="86">
        <f>IF(TRTURVILLA[[#This Row],[2024]]="","",+TRTURVILLA[[#This Row],[2023]]+F36)</f>
        <v>53741</v>
      </c>
      <c r="G37" s="97">
        <f>IF(TRTURVILLA[[#This Row],[Cumulé 2024]]="","",+(TRTURVILLA[[#This Row],[Cumulé 2024]]-TRTURVILLA[[#This Row],[Cumulé 2023]])/TRTURVILLA[[#This Row],[Cumulé 2023]])</f>
        <v>-0.49507824565973835</v>
      </c>
      <c r="I37" s="81" t="s">
        <v>74</v>
      </c>
      <c r="J37" s="85">
        <f>IF(DONNÉES!AY109="","",DONNÉES!AY109)</f>
        <v>0</v>
      </c>
      <c r="K37" s="85">
        <f>IF(TRHART[[#This Row],[2024]]="","",DONNÉES!AZ109)</f>
        <v>12262</v>
      </c>
      <c r="L37" s="96">
        <f>IF(TRHART[[#This Row],[2024]]="","",(TRHART[[#This Row],[2024]]-TRHART[[#This Row],[2023]])/TRHART[[#This Row],[2023]])</f>
        <v>-1</v>
      </c>
      <c r="M37" s="85">
        <f>IF(TRHART[[#This Row],[2024]]="","",TRHART[[#This Row],[2024]]+M36)</f>
        <v>0</v>
      </c>
      <c r="N37" s="86">
        <f>IF(TRHART[[#This Row],[2024]]="","",+TRHART[[#This Row],[2023]]+N36)</f>
        <v>24729</v>
      </c>
      <c r="O37" s="97">
        <f>IF(TRHART[[#This Row],[Cumulé 2024]]="","",+(TRHART[[#This Row],[Cumulé 2024]]-TRHART[[#This Row],[Cumulé 2023]])/TRHART[[#This Row],[Cumulé 2023]])</f>
        <v>-1</v>
      </c>
    </row>
    <row r="38" spans="1:15" s="81" customFormat="1" ht="13.15" customHeight="1" x14ac:dyDescent="0.2">
      <c r="A38" s="79" t="s">
        <v>75</v>
      </c>
      <c r="B38" s="85">
        <f>IF(DONNÉES!AQ110="","",DONNÉES!AQ110)</f>
        <v>0</v>
      </c>
      <c r="C38" s="85">
        <f>IF(TRTURVILLA[[#This Row],[2024]]="","",DONNÉES!AR110)</f>
        <v>28420</v>
      </c>
      <c r="D38" s="96">
        <f>IF(TRTURVILLA[[#This Row],[2024]]="","",(TRTURVILLA[[#This Row],[2024]]-TRTURVILLA[[#This Row],[2023]])/TRTURVILLA[[#This Row],[2023]])</f>
        <v>-1</v>
      </c>
      <c r="E38" s="85">
        <f>IF(TRTURVILLA[[#This Row],[2024]]="","",TRTURVILLA[[#This Row],[2024]]+E37)</f>
        <v>27135</v>
      </c>
      <c r="F38" s="86">
        <f>IF(TRTURVILLA[[#This Row],[2024]]="","",+TRTURVILLA[[#This Row],[2023]]+F37)</f>
        <v>82161</v>
      </c>
      <c r="G38" s="97">
        <f>IF(TRTURVILLA[[#This Row],[Cumulé 2024]]="","",+(TRTURVILLA[[#This Row],[Cumulé 2024]]-TRTURVILLA[[#This Row],[Cumulé 2023]])/TRTURVILLA[[#This Row],[Cumulé 2023]])</f>
        <v>-0.66973381531383502</v>
      </c>
      <c r="I38" s="79" t="s">
        <v>75</v>
      </c>
      <c r="J38" s="85">
        <f>IF(DONNÉES!AY110="","",DONNÉES!AY110)</f>
        <v>0</v>
      </c>
      <c r="K38" s="85">
        <f>IF(TRHART[[#This Row],[2024]]="","",DONNÉES!AZ110)</f>
        <v>13568</v>
      </c>
      <c r="L38" s="96">
        <f>IF(TRHART[[#This Row],[2024]]="","",(TRHART[[#This Row],[2024]]-TRHART[[#This Row],[2023]])/TRHART[[#This Row],[2023]])</f>
        <v>-1</v>
      </c>
      <c r="M38" s="85">
        <f>IF(TRHART[[#This Row],[2024]]="","",TRHART[[#This Row],[2024]]+M37)</f>
        <v>0</v>
      </c>
      <c r="N38" s="86">
        <f>IF(TRHART[[#This Row],[2024]]="","",+TRHART[[#This Row],[2023]]+N37)</f>
        <v>38297</v>
      </c>
      <c r="O38" s="97">
        <f>IF(TRHART[[#This Row],[Cumulé 2024]]="","",+(TRHART[[#This Row],[Cumulé 2024]]-TRHART[[#This Row],[Cumulé 2023]])/TRHART[[#This Row],[Cumulé 2023]])</f>
        <v>-1</v>
      </c>
    </row>
    <row r="39" spans="1:15" ht="13.15" customHeight="1" x14ac:dyDescent="0.2">
      <c r="A39" s="81" t="s">
        <v>76</v>
      </c>
      <c r="B39" s="85">
        <f>IF(DONNÉES!AQ111="","",DONNÉES!AQ111)</f>
        <v>0</v>
      </c>
      <c r="C39" s="85">
        <f>IF(TRTURVILLA[[#This Row],[2024]]="","",DONNÉES!AR111)</f>
        <v>29734</v>
      </c>
      <c r="D39" s="96">
        <f>IF(TRTURVILLA[[#This Row],[2024]]="","",(TRTURVILLA[[#This Row],[2024]]-TRTURVILLA[[#This Row],[2023]])/TRTURVILLA[[#This Row],[2023]])</f>
        <v>-1</v>
      </c>
      <c r="E39" s="85">
        <f>IF(TRTURVILLA[[#This Row],[2024]]="","",TRTURVILLA[[#This Row],[2024]]+E38)</f>
        <v>27135</v>
      </c>
      <c r="F39" s="86">
        <f>IF(TRTURVILLA[[#This Row],[2024]]="","",+TRTURVILLA[[#This Row],[2023]]+F38)</f>
        <v>111895</v>
      </c>
      <c r="G39" s="97">
        <f>IF(TRTURVILLA[[#This Row],[Cumulé 2024]]="","",+(TRTURVILLA[[#This Row],[Cumulé 2024]]-TRTURVILLA[[#This Row],[Cumulé 2023]])/TRTURVILLA[[#This Row],[Cumulé 2023]])</f>
        <v>-0.75749586666070867</v>
      </c>
      <c r="H39" s="79"/>
      <c r="I39" s="81" t="s">
        <v>76</v>
      </c>
      <c r="J39" s="85">
        <f>IF(DONNÉES!AY111="","",DONNÉES!AY111)</f>
        <v>0</v>
      </c>
      <c r="K39" s="85">
        <f>IF(TRHART[[#This Row],[2024]]="","",DONNÉES!AZ111)</f>
        <v>14029</v>
      </c>
      <c r="L39" s="96">
        <f>IF(TRHART[[#This Row],[2024]]="","",(TRHART[[#This Row],[2024]]-TRHART[[#This Row],[2023]])/TRHART[[#This Row],[2023]])</f>
        <v>-1</v>
      </c>
      <c r="M39" s="85">
        <f>IF(TRHART[[#This Row],[2024]]="","",TRHART[[#This Row],[2024]]+M38)</f>
        <v>0</v>
      </c>
      <c r="N39" s="86">
        <f>IF(TRHART[[#This Row],[2024]]="","",+TRHART[[#This Row],[2023]]+N38)</f>
        <v>52326</v>
      </c>
      <c r="O39" s="97">
        <f>IF(TRHART[[#This Row],[Cumulé 2024]]="","",+(TRHART[[#This Row],[Cumulé 2024]]-TRHART[[#This Row],[Cumulé 2023]])/TRHART[[#This Row],[Cumulé 2023]])</f>
        <v>-1</v>
      </c>
    </row>
    <row r="40" spans="1:15" ht="13.15" customHeight="1" x14ac:dyDescent="0.2">
      <c r="A40" s="79" t="s">
        <v>77</v>
      </c>
      <c r="B40" s="85">
        <f>IF(DONNÉES!AQ112="","",DONNÉES!AQ112)</f>
        <v>0</v>
      </c>
      <c r="C40" s="85">
        <f>IF(TRTURVILLA[[#This Row],[2024]]="","",DONNÉES!AR112)</f>
        <v>29622</v>
      </c>
      <c r="D40" s="96">
        <f>IF(TRTURVILLA[[#This Row],[2024]]="","",(TRTURVILLA[[#This Row],[2024]]-TRTURVILLA[[#This Row],[2023]])/TRTURVILLA[[#This Row],[2023]])</f>
        <v>-1</v>
      </c>
      <c r="E40" s="85">
        <f>IF(TRTURVILLA[[#This Row],[2024]]="","",TRTURVILLA[[#This Row],[2024]]+E39)</f>
        <v>27135</v>
      </c>
      <c r="F40" s="86">
        <f>IF(TRTURVILLA[[#This Row],[2024]]="","",+TRTURVILLA[[#This Row],[2023]]+F39)</f>
        <v>141517</v>
      </c>
      <c r="G40" s="97">
        <f>IF(TRTURVILLA[[#This Row],[Cumulé 2024]]="","",+(TRTURVILLA[[#This Row],[Cumulé 2024]]-TRTURVILLA[[#This Row],[Cumulé 2023]])/TRTURVILLA[[#This Row],[Cumulé 2023]])</f>
        <v>-0.80825625189906514</v>
      </c>
      <c r="H40" s="79"/>
      <c r="I40" s="79" t="s">
        <v>77</v>
      </c>
      <c r="J40" s="85">
        <f>IF(DONNÉES!AY112="","",DONNÉES!AY112)</f>
        <v>0</v>
      </c>
      <c r="K40" s="85">
        <f>IF(TRHART[[#This Row],[2024]]="","",DONNÉES!AZ112)</f>
        <v>14935</v>
      </c>
      <c r="L40" s="96">
        <f>IF(TRHART[[#This Row],[2024]]="","",(TRHART[[#This Row],[2024]]-TRHART[[#This Row],[2023]])/TRHART[[#This Row],[2023]])</f>
        <v>-1</v>
      </c>
      <c r="M40" s="85">
        <f>IF(TRHART[[#This Row],[2024]]="","",TRHART[[#This Row],[2024]]+M39)</f>
        <v>0</v>
      </c>
      <c r="N40" s="86">
        <f>IF(TRHART[[#This Row],[2024]]="","",+TRHART[[#This Row],[2023]]+N39)</f>
        <v>67261</v>
      </c>
      <c r="O40" s="97">
        <f>IF(TRHART[[#This Row],[Cumulé 2024]]="","",+(TRHART[[#This Row],[Cumulé 2024]]-TRHART[[#This Row],[Cumulé 2023]])/TRHART[[#This Row],[Cumulé 2023]])</f>
        <v>-1</v>
      </c>
    </row>
    <row r="41" spans="1:15" ht="13.15" customHeight="1" x14ac:dyDescent="0.2">
      <c r="A41" s="81" t="s">
        <v>78</v>
      </c>
      <c r="B41" s="85">
        <f>IF(DONNÉES!AQ113="","",DONNÉES!AQ113)</f>
        <v>0</v>
      </c>
      <c r="C41" s="85">
        <f>IF(TRTURVILLA[[#This Row],[2024]]="","",DONNÉES!AR113)</f>
        <v>28894</v>
      </c>
      <c r="D41" s="96">
        <f>IF(TRTURVILLA[[#This Row],[2024]]="","",(TRTURVILLA[[#This Row],[2024]]-TRTURVILLA[[#This Row],[2023]])/TRTURVILLA[[#This Row],[2023]])</f>
        <v>-1</v>
      </c>
      <c r="E41" s="85">
        <f>IF(TRTURVILLA[[#This Row],[2024]]="","",TRTURVILLA[[#This Row],[2024]]+E40)</f>
        <v>27135</v>
      </c>
      <c r="F41" s="86">
        <f>IF(TRTURVILLA[[#This Row],[2024]]="","",+TRTURVILLA[[#This Row],[2023]]+F40)</f>
        <v>170411</v>
      </c>
      <c r="G41" s="97">
        <f>IF(TRTURVILLA[[#This Row],[Cumulé 2024]]="","",+(TRTURVILLA[[#This Row],[Cumulé 2024]]-TRTURVILLA[[#This Row],[Cumulé 2023]])/TRTURVILLA[[#This Row],[Cumulé 2023]])</f>
        <v>-0.84076732135836296</v>
      </c>
      <c r="H41" s="79"/>
      <c r="I41" s="81" t="s">
        <v>78</v>
      </c>
      <c r="J41" s="85">
        <f>IF(DONNÉES!AY113="","",DONNÉES!AY113)</f>
        <v>0</v>
      </c>
      <c r="K41" s="85">
        <f>IF(TRHART[[#This Row],[2024]]="","",DONNÉES!AZ113)</f>
        <v>14975</v>
      </c>
      <c r="L41" s="96">
        <f>IF(TRHART[[#This Row],[2024]]="","",(TRHART[[#This Row],[2024]]-TRHART[[#This Row],[2023]])/TRHART[[#This Row],[2023]])</f>
        <v>-1</v>
      </c>
      <c r="M41" s="85">
        <f>IF(TRHART[[#This Row],[2024]]="","",TRHART[[#This Row],[2024]]+M40)</f>
        <v>0</v>
      </c>
      <c r="N41" s="86">
        <f>IF(TRHART[[#This Row],[2024]]="","",+TRHART[[#This Row],[2023]]+N40)</f>
        <v>82236</v>
      </c>
      <c r="O41" s="97">
        <f>IF(TRHART[[#This Row],[Cumulé 2024]]="","",+(TRHART[[#This Row],[Cumulé 2024]]-TRHART[[#This Row],[Cumulé 2023]])/TRHART[[#This Row],[Cumulé 2023]])</f>
        <v>-1</v>
      </c>
    </row>
    <row r="42" spans="1:15" ht="13.15" customHeight="1" x14ac:dyDescent="0.2">
      <c r="A42" s="79" t="s">
        <v>79</v>
      </c>
      <c r="B42" s="85">
        <f>IF(DONNÉES!AQ114="","",DONNÉES!AQ114)</f>
        <v>0</v>
      </c>
      <c r="C42" s="85">
        <f>IF(TRTURVILLA[[#This Row],[2024]]="","",DONNÉES!AR114)</f>
        <v>30302</v>
      </c>
      <c r="D42" s="96">
        <f>IF(TRTURVILLA[[#This Row],[2024]]="","",(TRTURVILLA[[#This Row],[2024]]-TRTURVILLA[[#This Row],[2023]])/TRTURVILLA[[#This Row],[2023]])</f>
        <v>-1</v>
      </c>
      <c r="E42" s="85">
        <f>IF(TRTURVILLA[[#This Row],[2024]]="","",TRTURVILLA[[#This Row],[2024]]+E41)</f>
        <v>27135</v>
      </c>
      <c r="F42" s="86">
        <f>IF(TRTURVILLA[[#This Row],[2024]]="","",+TRTURVILLA[[#This Row],[2023]]+F41)</f>
        <v>200713</v>
      </c>
      <c r="G42" s="97">
        <f>IF(TRTURVILLA[[#This Row],[Cumulé 2024]]="","",+(TRTURVILLA[[#This Row],[Cumulé 2024]]-TRTURVILLA[[#This Row],[Cumulé 2023]])/TRTURVILLA[[#This Row],[Cumulé 2023]])</f>
        <v>-0.86480696317627659</v>
      </c>
      <c r="H42" s="79"/>
      <c r="I42" s="79" t="s">
        <v>79</v>
      </c>
      <c r="J42" s="85">
        <f>IF(DONNÉES!AY114="","",DONNÉES!AY114)</f>
        <v>0</v>
      </c>
      <c r="K42" s="85">
        <f>IF(TRHART[[#This Row],[2024]]="","",DONNÉES!AZ114)</f>
        <v>15034</v>
      </c>
      <c r="L42" s="96">
        <f>IF(TRHART[[#This Row],[2024]]="","",(TRHART[[#This Row],[2024]]-TRHART[[#This Row],[2023]])/TRHART[[#This Row],[2023]])</f>
        <v>-1</v>
      </c>
      <c r="M42" s="85">
        <f>IF(TRHART[[#This Row],[2024]]="","",TRHART[[#This Row],[2024]]+M41)</f>
        <v>0</v>
      </c>
      <c r="N42" s="86">
        <f>IF(TRHART[[#This Row],[2024]]="","",+TRHART[[#This Row],[2023]]+N41)</f>
        <v>97270</v>
      </c>
      <c r="O42" s="97">
        <f>IF(TRHART[[#This Row],[Cumulé 2024]]="","",+(TRHART[[#This Row],[Cumulé 2024]]-TRHART[[#This Row],[Cumulé 2023]])/TRHART[[#This Row],[Cumulé 2023]])</f>
        <v>-1</v>
      </c>
    </row>
    <row r="43" spans="1:15" ht="13.15" customHeight="1" x14ac:dyDescent="0.2">
      <c r="A43" s="81" t="s">
        <v>80</v>
      </c>
      <c r="B43" s="85">
        <f>IF(DONNÉES!AQ115="","",DONNÉES!AQ115)</f>
        <v>0</v>
      </c>
      <c r="C43" s="85">
        <f>IF(TRTURVILLA[[#This Row],[2024]]="","",DONNÉES!AR115)</f>
        <v>31245</v>
      </c>
      <c r="D43" s="96">
        <f>IF(TRTURVILLA[[#This Row],[2024]]="","",(TRTURVILLA[[#This Row],[2024]]-TRTURVILLA[[#This Row],[2023]])/TRTURVILLA[[#This Row],[2023]])</f>
        <v>-1</v>
      </c>
      <c r="E43" s="85">
        <f>IF(TRTURVILLA[[#This Row],[2024]]="","",TRTURVILLA[[#This Row],[2024]]+E42)</f>
        <v>27135</v>
      </c>
      <c r="F43" s="86">
        <f>IF(TRTURVILLA[[#This Row],[2024]]="","",+TRTURVILLA[[#This Row],[2023]]+F42)</f>
        <v>231958</v>
      </c>
      <c r="G43" s="97">
        <f>IF(TRTURVILLA[[#This Row],[Cumulé 2024]]="","",+(TRTURVILLA[[#This Row],[Cumulé 2024]]-TRTURVILLA[[#This Row],[Cumulé 2023]])/TRTURVILLA[[#This Row],[Cumulé 2023]])</f>
        <v>-0.88301761525793465</v>
      </c>
      <c r="H43" s="79"/>
      <c r="I43" s="81" t="s">
        <v>80</v>
      </c>
      <c r="J43" s="85">
        <f>IF(DONNÉES!AY115="","",DONNÉES!AY115)</f>
        <v>0</v>
      </c>
      <c r="K43" s="85">
        <f>IF(TRHART[[#This Row],[2024]]="","",DONNÉES!AZ115)</f>
        <v>15620</v>
      </c>
      <c r="L43" s="96">
        <f>IF(TRHART[[#This Row],[2024]]="","",(TRHART[[#This Row],[2024]]-TRHART[[#This Row],[2023]])/TRHART[[#This Row],[2023]])</f>
        <v>-1</v>
      </c>
      <c r="M43" s="85">
        <f>IF(TRHART[[#This Row],[2024]]="","",TRHART[[#This Row],[2024]]+M42)</f>
        <v>0</v>
      </c>
      <c r="N43" s="86">
        <f>IF(TRHART[[#This Row],[2024]]="","",+TRHART[[#This Row],[2023]]+N42)</f>
        <v>112890</v>
      </c>
      <c r="O43" s="97">
        <f>IF(TRHART[[#This Row],[Cumulé 2024]]="","",+(TRHART[[#This Row],[Cumulé 2024]]-TRHART[[#This Row],[Cumulé 2023]])/TRHART[[#This Row],[Cumulé 2023]])</f>
        <v>-1</v>
      </c>
    </row>
    <row r="44" spans="1:15" ht="13.15" customHeight="1" x14ac:dyDescent="0.2">
      <c r="A44" s="79" t="s">
        <v>81</v>
      </c>
      <c r="B44" s="86">
        <f>IF(DONNÉES!AQ116="","",DONNÉES!AQ116)</f>
        <v>0</v>
      </c>
      <c r="C44" s="86">
        <f>IF(TRTURVILLA[[#This Row],[2024]]="","",DONNÉES!AR116)</f>
        <v>25546</v>
      </c>
      <c r="D44" s="97">
        <f>IF(TRTURVILLA[[#This Row],[2024]]="","",(TRTURVILLA[[#This Row],[2024]]-TRTURVILLA[[#This Row],[2023]])/TRTURVILLA[[#This Row],[2023]])</f>
        <v>-1</v>
      </c>
      <c r="E44" s="85">
        <f>IF(TRTURVILLA[[#This Row],[2024]]="","",TRTURVILLA[[#This Row],[2024]]+E43)</f>
        <v>27135</v>
      </c>
      <c r="F44" s="86">
        <f>IF(TRTURVILLA[[#This Row],[2024]]="","",+TRTURVILLA[[#This Row],[2023]]+F43)</f>
        <v>257504</v>
      </c>
      <c r="G44" s="97">
        <f>IF(TRTURVILLA[[#This Row],[Cumulé 2024]]="","",+(TRTURVILLA[[#This Row],[Cumulé 2024]]-TRTURVILLA[[#This Row],[Cumulé 2023]])/TRTURVILLA[[#This Row],[Cumulé 2023]])</f>
        <v>-0.89462299614763263</v>
      </c>
      <c r="I44" s="79" t="s">
        <v>81</v>
      </c>
      <c r="J44" s="86">
        <f>IF(DONNÉES!AY116="","",DONNÉES!AY116)</f>
        <v>0</v>
      </c>
      <c r="K44" s="86">
        <f>IF(TRHART[[#This Row],[2024]]="","",DONNÉES!AZ116)</f>
        <v>12256</v>
      </c>
      <c r="L44" s="97">
        <f>IF(TRHART[[#This Row],[2024]]="","",(TRHART[[#This Row],[2024]]-TRHART[[#This Row],[2023]])/TRHART[[#This Row],[2023]])</f>
        <v>-1</v>
      </c>
      <c r="M44" s="85">
        <f>IF(TRHART[[#This Row],[2024]]="","",TRHART[[#This Row],[2024]]+M43)</f>
        <v>0</v>
      </c>
      <c r="N44" s="86">
        <f>IF(TRHART[[#This Row],[2024]]="","",+TRHART[[#This Row],[2023]]+N43)</f>
        <v>125146</v>
      </c>
      <c r="O44" s="97">
        <f>IF(TRHART[[#This Row],[Cumulé 2024]]="","",+(TRHART[[#This Row],[Cumulé 2024]]-TRHART[[#This Row],[Cumulé 2023]])/TRHART[[#This Row],[Cumulé 2023]])</f>
        <v>-1</v>
      </c>
    </row>
    <row r="45" spans="1:15" ht="13.15" customHeight="1" x14ac:dyDescent="0.2">
      <c r="A45" s="81" t="s">
        <v>82</v>
      </c>
      <c r="B45" s="86">
        <f>IF(DONNÉES!AQ117="","",DONNÉES!AQ117)</f>
        <v>0</v>
      </c>
      <c r="C45" s="86">
        <f>IF(TRTURVILLA[[#This Row],[2024]]="","",DONNÉES!AR117)</f>
        <v>28844</v>
      </c>
      <c r="D45" s="97">
        <f>IF(TRTURVILLA[[#This Row],[2024]]="","",(TRTURVILLA[[#This Row],[2024]]-TRTURVILLA[[#This Row],[2023]])/TRTURVILLA[[#This Row],[2023]])</f>
        <v>-1</v>
      </c>
      <c r="E45" s="85">
        <f>IF(TRTURVILLA[[#This Row],[2024]]="","",TRTURVILLA[[#This Row],[2024]]+E44)</f>
        <v>27135</v>
      </c>
      <c r="F45" s="86">
        <f>IF(TRTURVILLA[[#This Row],[2024]]="","",+TRTURVILLA[[#This Row],[2023]]+F44)</f>
        <v>286348</v>
      </c>
      <c r="G45" s="97">
        <f>IF(TRTURVILLA[[#This Row],[Cumulé 2024]]="","",+(TRTURVILLA[[#This Row],[Cumulé 2024]]-TRTURVILLA[[#This Row],[Cumulé 2023]])/TRTURVILLA[[#This Row],[Cumulé 2023]])</f>
        <v>-0.90523768281950634</v>
      </c>
      <c r="H45" s="79"/>
      <c r="I45" s="81" t="s">
        <v>82</v>
      </c>
      <c r="J45" s="86">
        <f>IF(DONNÉES!AY117="","",DONNÉES!AY117)</f>
        <v>0</v>
      </c>
      <c r="K45" s="86">
        <f>IF(TRHART[[#This Row],[2024]]="","",DONNÉES!AZ117)</f>
        <v>12815</v>
      </c>
      <c r="L45" s="97">
        <f>IF(TRHART[[#This Row],[2024]]="","",(TRHART[[#This Row],[2024]]-TRHART[[#This Row],[2023]])/TRHART[[#This Row],[2023]])</f>
        <v>-1</v>
      </c>
      <c r="M45" s="85">
        <f>IF(TRHART[[#This Row],[2024]]="","",TRHART[[#This Row],[2024]]+M44)</f>
        <v>0</v>
      </c>
      <c r="N45" s="86">
        <f>IF(TRHART[[#This Row],[2024]]="","",+TRHART[[#This Row],[2023]]+N44)</f>
        <v>137961</v>
      </c>
      <c r="O45" s="97">
        <f>IF(TRHART[[#This Row],[Cumulé 2024]]="","",+(TRHART[[#This Row],[Cumulé 2024]]-TRHART[[#This Row],[Cumulé 2023]])/TRHART[[#This Row],[Cumulé 2023]])</f>
        <v>-1</v>
      </c>
    </row>
    <row r="46" spans="1:15" s="81" customFormat="1" ht="13.15" customHeight="1" x14ac:dyDescent="0.2">
      <c r="A46" s="79" t="s">
        <v>83</v>
      </c>
      <c r="B46" s="86">
        <f>IF(DONNÉES!AQ118="","",DONNÉES!AQ118)</f>
        <v>0</v>
      </c>
      <c r="C46" s="86">
        <f>IF(TRTURVILLA[[#This Row],[2024]]="","",DONNÉES!AR118)</f>
        <v>28534</v>
      </c>
      <c r="D46" s="97">
        <f>IF(TRTURVILLA[[#This Row],[2024]]="","",(TRTURVILLA[[#This Row],[2024]]-TRTURVILLA[[#This Row],[2023]])/TRTURVILLA[[#This Row],[2023]])</f>
        <v>-1</v>
      </c>
      <c r="E46" s="85">
        <f>IF(TRTURVILLA[[#This Row],[2024]]="","",TRTURVILLA[[#This Row],[2024]]+E45)</f>
        <v>27135</v>
      </c>
      <c r="F46" s="86">
        <f>IF(TRTURVILLA[[#This Row],[2024]]="","",+TRTURVILLA[[#This Row],[2023]]+F45)</f>
        <v>314882</v>
      </c>
      <c r="G46" s="97">
        <f>IF(TRTURVILLA[[#This Row],[Cumulé 2024]]="","",+(TRTURVILLA[[#This Row],[Cumulé 2024]]-TRTURVILLA[[#This Row],[Cumulé 2023]])/TRTURVILLA[[#This Row],[Cumulé 2023]])</f>
        <v>-0.91382486137664265</v>
      </c>
      <c r="I46" s="79" t="s">
        <v>83</v>
      </c>
      <c r="J46" s="86">
        <f>IF(DONNÉES!AY118="","",DONNÉES!AY118)</f>
        <v>0</v>
      </c>
      <c r="K46" s="86">
        <f>IF(TRHART[[#This Row],[2024]]="","",DONNÉES!AZ118)</f>
        <v>12226</v>
      </c>
      <c r="L46" s="97">
        <f>IF(TRHART[[#This Row],[2024]]="","",(TRHART[[#This Row],[2024]]-TRHART[[#This Row],[2023]])/TRHART[[#This Row],[2023]])</f>
        <v>-1</v>
      </c>
      <c r="M46" s="85">
        <f>IF(TRHART[[#This Row],[2024]]="","",TRHART[[#This Row],[2024]]+M45)</f>
        <v>0</v>
      </c>
      <c r="N46" s="86">
        <f>IF(TRHART[[#This Row],[2024]]="","",+TRHART[[#This Row],[2023]]+N45)</f>
        <v>150187</v>
      </c>
      <c r="O46" s="97">
        <f>IF(TRHART[[#This Row],[Cumulé 2024]]="","",+(TRHART[[#This Row],[Cumulé 2024]]-TRHART[[#This Row],[Cumulé 2023]])/TRHART[[#This Row],[Cumulé 2023]])</f>
        <v>-1</v>
      </c>
    </row>
    <row r="47" spans="1:15" s="81" customFormat="1" ht="13.15" customHeight="1" x14ac:dyDescent="0.2">
      <c r="A47" s="79" t="s">
        <v>84</v>
      </c>
      <c r="B47" s="86">
        <f>IF(DONNÉES!AQ119="","",DONNÉES!AQ119)</f>
        <v>0</v>
      </c>
      <c r="C47" s="86">
        <f>IF(TRTURVILLA[[#This Row],[2024]]="","",DONNÉES!AR119)</f>
        <v>30795</v>
      </c>
      <c r="D47" s="97">
        <f>IF(TRTURVILLA[[#This Row],[2024]]="","",(TRTURVILLA[[#This Row],[2024]]-TRTURVILLA[[#This Row],[2023]])/TRTURVILLA[[#This Row],[2023]])</f>
        <v>-1</v>
      </c>
      <c r="E47" s="85">
        <f>IF(TRTURVILLA[[#This Row],[2024]]="","",TRTURVILLA[[#This Row],[2024]]+E46)</f>
        <v>27135</v>
      </c>
      <c r="F47" s="86">
        <f>IF(TRTURVILLA[[#This Row],[2024]]="","",+TRTURVILLA[[#This Row],[2023]]+F46)</f>
        <v>345677</v>
      </c>
      <c r="G47" s="97">
        <f>IF(TRTURVILLA[[#This Row],[Cumulé 2024]]="","",+(TRTURVILLA[[#This Row],[Cumulé 2024]]-TRTURVILLA[[#This Row],[Cumulé 2023]])/TRTURVILLA[[#This Row],[Cumulé 2023]])</f>
        <v>-0.92150186445728233</v>
      </c>
      <c r="I47" s="79" t="s">
        <v>84</v>
      </c>
      <c r="J47" s="86">
        <f>IF(DONNÉES!AY119="","",DONNÉES!AY119)</f>
        <v>0</v>
      </c>
      <c r="K47" s="86">
        <f>IF(TRHART[[#This Row],[2024]]="","",DONNÉES!AZ119)</f>
        <v>12361</v>
      </c>
      <c r="L47" s="97">
        <f>IF(TRHART[[#This Row],[2024]]="","",(TRHART[[#This Row],[2024]]-TRHART[[#This Row],[2023]])/TRHART[[#This Row],[2023]])</f>
        <v>-1</v>
      </c>
      <c r="M47" s="85">
        <f>IF(TRHART[[#This Row],[2024]]="","",TRHART[[#This Row],[2024]]+M46)</f>
        <v>0</v>
      </c>
      <c r="N47" s="86">
        <f>IF(TRHART[[#This Row],[2024]]="","",+TRHART[[#This Row],[2023]]+N46)</f>
        <v>162548</v>
      </c>
      <c r="O47" s="97">
        <f>IF(TRHART[[#This Row],[Cumulé 2024]]="","",+(TRHART[[#This Row],[Cumulé 2024]]-TRHART[[#This Row],[Cumulé 2023]])/TRHART[[#This Row],[Cumulé 2023]])</f>
        <v>-1</v>
      </c>
    </row>
    <row r="48" spans="1:15" s="81" customFormat="1" ht="16.899999999999999" customHeight="1" x14ac:dyDescent="0.2">
      <c r="A48" s="46" t="s">
        <v>134</v>
      </c>
      <c r="B48" s="92">
        <f>SUBTOTAL(109,TRTURVILLA[2024])</f>
        <v>27135</v>
      </c>
      <c r="C48" s="92">
        <f>SUBTOTAL(109,TRTURVILLA[2023])</f>
        <v>345677</v>
      </c>
      <c r="D48" s="125"/>
      <c r="E48" s="93"/>
      <c r="F48" s="92"/>
      <c r="G48" s="125"/>
      <c r="I48" s="46" t="s">
        <v>135</v>
      </c>
      <c r="J48" s="92">
        <f>SUBTOTAL(109,TRHART[2024])</f>
        <v>0</v>
      </c>
      <c r="K48" s="92">
        <f>SUBTOTAL(109,TRHART[2023])</f>
        <v>162548</v>
      </c>
      <c r="L48" s="125"/>
      <c r="M48" s="93"/>
      <c r="N48" s="92"/>
      <c r="O48" s="161"/>
    </row>
    <row r="49" spans="1:15" ht="30.6" customHeight="1" x14ac:dyDescent="0.2">
      <c r="H49" s="79"/>
    </row>
    <row r="50" spans="1:15" ht="33" customHeight="1" x14ac:dyDescent="0.2">
      <c r="A50" s="79" t="s">
        <v>3002</v>
      </c>
      <c r="B50" s="94" t="s">
        <v>6962</v>
      </c>
      <c r="C50" s="94" t="s">
        <v>2169</v>
      </c>
      <c r="D50" s="100" t="s">
        <v>136</v>
      </c>
      <c r="E50" s="95" t="s">
        <v>6993</v>
      </c>
      <c r="F50" s="95" t="s">
        <v>6952</v>
      </c>
      <c r="G50" s="100" t="s">
        <v>137</v>
      </c>
      <c r="H50" s="79"/>
      <c r="I50" s="79" t="s">
        <v>6965</v>
      </c>
      <c r="J50" s="94" t="s">
        <v>6962</v>
      </c>
      <c r="K50" s="94" t="s">
        <v>2169</v>
      </c>
      <c r="L50" s="100" t="s">
        <v>136</v>
      </c>
      <c r="M50" s="95" t="s">
        <v>6993</v>
      </c>
      <c r="N50" s="95" t="s">
        <v>6952</v>
      </c>
      <c r="O50" s="100" t="s">
        <v>137</v>
      </c>
    </row>
    <row r="51" spans="1:15" ht="13.15" customHeight="1" x14ac:dyDescent="0.2">
      <c r="A51" s="81" t="s">
        <v>73</v>
      </c>
      <c r="B51" s="85">
        <f>IF(DONNÉES!BG108="","",DONNÉES!BG108)</f>
        <v>12604</v>
      </c>
      <c r="C51" s="85">
        <f>IF(TRVICTOIRE[[#This Row],[2024]]="","",DONNÉES!BH108)</f>
        <v>13598</v>
      </c>
      <c r="D51" s="96">
        <f>IF(TRVICTOIRE[[#This Row],[2024]]="","",(TRVICTOIRE[[#This Row],[2024]]-TRVICTOIRE[[#This Row],[2023]])/TRVICTOIRE[[#This Row],[2023]])</f>
        <v>-7.3098985144874243E-2</v>
      </c>
      <c r="E51" s="85">
        <f>IF(TRVICTOIRE[[#This Row],[2024]]="","",TRVICTOIRE[[#This Row],[2024]])</f>
        <v>12604</v>
      </c>
      <c r="F51" s="86">
        <f>IF(TRVICTOIRE[[#This Row],[2024]]="","",+TRVICTOIRE[[#This Row],[2023]])</f>
        <v>13598</v>
      </c>
      <c r="G51" s="97">
        <f>IF(TRVICTOIRE[[#This Row],[Cumulé 2024]]="","",+(TRVICTOIRE[[#This Row],[Cumulé 2024]]-TRVICTOIRE[[#This Row],[Cumulé 2023]])/TRVICTOIRE[[#This Row],[Cumulé 2023]])</f>
        <v>-7.3098985144874243E-2</v>
      </c>
      <c r="H51" s="79"/>
      <c r="I51" s="81" t="s">
        <v>73</v>
      </c>
      <c r="J51" s="87">
        <f>IF(DONNÉES!EA108="","",DONNÉES!EA108)</f>
        <v>11403</v>
      </c>
      <c r="K51" s="87">
        <f>IF(TRCAT[[#This Row],[2024]]="","",DONNÉES!EB108)</f>
        <v>0</v>
      </c>
      <c r="L51" s="102" t="e">
        <f>IF(TRCAT[[#This Row],[2024]]="","",(TRCAT[[#This Row],[2024]]-TRCAT[[#This Row],[2023]])/TRCAT[[#This Row],[2023]])</f>
        <v>#DIV/0!</v>
      </c>
      <c r="M51" s="87">
        <f>IF(TRCAT[[#This Row],[2024]]="","",TRCAT[[#This Row],[2024]])</f>
        <v>11403</v>
      </c>
      <c r="N51" s="86">
        <f>IF(TRCAT[[#This Row],[2024]]="","",+TRCAT[[#This Row],[2023]])</f>
        <v>0</v>
      </c>
      <c r="O51" s="103" t="e">
        <f>IF(TRCAT[[#This Row],[Cumulé 2024]]="","",+(TRCAT[[#This Row],[Cumulé 2024]]-TRCAT[[#This Row],[Cumulé 2023]])/TRCAT[[#This Row],[Cumulé 2023]])</f>
        <v>#DIV/0!</v>
      </c>
    </row>
    <row r="52" spans="1:15" ht="13.15" customHeight="1" x14ac:dyDescent="0.2">
      <c r="A52" s="81" t="s">
        <v>74</v>
      </c>
      <c r="B52" s="85">
        <f>IF(DONNÉES!BG109="","",DONNÉES!BG109)</f>
        <v>0</v>
      </c>
      <c r="C52" s="85">
        <f>IF(TRVICTOIRE[[#This Row],[2024]]="","",DONNÉES!BH109)</f>
        <v>13338</v>
      </c>
      <c r="D52" s="96">
        <f>IF(TRVICTOIRE[[#This Row],[2024]]="","",(TRVICTOIRE[[#This Row],[2024]]-TRVICTOIRE[[#This Row],[2023]])/TRVICTOIRE[[#This Row],[2023]])</f>
        <v>-1</v>
      </c>
      <c r="E52" s="85">
        <f>IF(TRVICTOIRE[[#This Row],[2024]]="","",TRVICTOIRE[[#This Row],[2024]]+E51)</f>
        <v>12604</v>
      </c>
      <c r="F52" s="86">
        <f>IF(TRVICTOIRE[[#This Row],[2024]]="","",+TRVICTOIRE[[#This Row],[2023]]+F51)</f>
        <v>26936</v>
      </c>
      <c r="G52" s="97">
        <f>IF(TRVICTOIRE[[#This Row],[Cumulé 2024]]="","",+(TRVICTOIRE[[#This Row],[Cumulé 2024]]-TRVICTOIRE[[#This Row],[Cumulé 2023]])/TRVICTOIRE[[#This Row],[Cumulé 2023]])</f>
        <v>-0.53207603207603205</v>
      </c>
      <c r="H52" s="79"/>
      <c r="I52" s="81" t="s">
        <v>74</v>
      </c>
      <c r="J52" s="87">
        <f>IF(DONNÉES!EA109="","",DONNÉES!EA109)</f>
        <v>0</v>
      </c>
      <c r="K52" s="87">
        <f>IF(TRCAT[[#This Row],[2024]]="","",DONNÉES!EB109)</f>
        <v>0</v>
      </c>
      <c r="L52" s="102" t="e">
        <f>IF(TRCAT[[#This Row],[2024]]="","",(TRCAT[[#This Row],[2024]]-TRCAT[[#This Row],[2023]])/TRCAT[[#This Row],[2023]])</f>
        <v>#DIV/0!</v>
      </c>
      <c r="M52" s="87">
        <f>IF(TRCAT[[#This Row],[2024]]="","",TRCAT[[#This Row],[2024]])</f>
        <v>0</v>
      </c>
      <c r="N52" s="86">
        <f>IF(TRCAT[[#This Row],[2024]]="","",+TRCAT[[#This Row],[2023]])</f>
        <v>0</v>
      </c>
      <c r="O52" s="103" t="e">
        <f>IF(TRCAT[[#This Row],[Cumulé 2024]]="","",+(TRCAT[[#This Row],[Cumulé 2024]]-TRCAT[[#This Row],[Cumulé 2023]])/TRCAT[[#This Row],[Cumulé 2023]])</f>
        <v>#DIV/0!</v>
      </c>
    </row>
    <row r="53" spans="1:15" ht="13.15" customHeight="1" x14ac:dyDescent="0.2">
      <c r="A53" s="79" t="s">
        <v>75</v>
      </c>
      <c r="B53" s="85">
        <f>IF(DONNÉES!BG110="","",DONNÉES!BG110)</f>
        <v>0</v>
      </c>
      <c r="C53" s="85">
        <f>IF(TRVICTOIRE[[#This Row],[2024]]="","",DONNÉES!BH110)</f>
        <v>14138</v>
      </c>
      <c r="D53" s="96">
        <f>IF(TRVICTOIRE[[#This Row],[2024]]="","",(TRVICTOIRE[[#This Row],[2024]]-TRVICTOIRE[[#This Row],[2023]])/TRVICTOIRE[[#This Row],[2023]])</f>
        <v>-1</v>
      </c>
      <c r="E53" s="85">
        <f>IF(TRVICTOIRE[[#This Row],[2024]]="","",TRVICTOIRE[[#This Row],[2024]]+E52)</f>
        <v>12604</v>
      </c>
      <c r="F53" s="86">
        <f>IF(TRVICTOIRE[[#This Row],[2024]]="","",+TRVICTOIRE[[#This Row],[2023]]+F52)</f>
        <v>41074</v>
      </c>
      <c r="G53" s="97">
        <f>IF(TRVICTOIRE[[#This Row],[Cumulé 2024]]="","",+(TRVICTOIRE[[#This Row],[Cumulé 2024]]-TRVICTOIRE[[#This Row],[Cumulé 2023]])/TRVICTOIRE[[#This Row],[Cumulé 2023]])</f>
        <v>-0.69313921215367391</v>
      </c>
      <c r="H53" s="79"/>
      <c r="I53" s="79" t="s">
        <v>75</v>
      </c>
      <c r="J53" s="87">
        <f>IF(DONNÉES!EA110="","",DONNÉES!EA110)</f>
        <v>0</v>
      </c>
      <c r="K53" s="87">
        <f>IF(TRCAT[[#This Row],[2024]]="","",DONNÉES!EB110)</f>
        <v>0</v>
      </c>
      <c r="L53" s="102" t="e">
        <f>IF(TRCAT[[#This Row],[2024]]="","",(TRCAT[[#This Row],[2024]]-TRCAT[[#This Row],[2023]])/TRCAT[[#This Row],[2023]])</f>
        <v>#DIV/0!</v>
      </c>
      <c r="M53" s="87">
        <f>IF(TRCAT[[#This Row],[2024]]="","",TRCAT[[#This Row],[2024]])</f>
        <v>0</v>
      </c>
      <c r="N53" s="86">
        <f>IF(TRCAT[[#This Row],[2024]]="","",+TRCAT[[#This Row],[2023]])</f>
        <v>0</v>
      </c>
      <c r="O53" s="103" t="e">
        <f>IF(TRCAT[[#This Row],[Cumulé 2024]]="","",+(TRCAT[[#This Row],[Cumulé 2024]]-TRCAT[[#This Row],[Cumulé 2023]])/TRCAT[[#This Row],[Cumulé 2023]])</f>
        <v>#DIV/0!</v>
      </c>
    </row>
    <row r="54" spans="1:15" ht="13.15" customHeight="1" x14ac:dyDescent="0.2">
      <c r="A54" s="81" t="s">
        <v>76</v>
      </c>
      <c r="B54" s="85">
        <f>IF(DONNÉES!BG111="","",DONNÉES!BG111)</f>
        <v>0</v>
      </c>
      <c r="C54" s="85">
        <f>IF(TRVICTOIRE[[#This Row],[2024]]="","",DONNÉES!BH111)</f>
        <v>15455</v>
      </c>
      <c r="D54" s="96">
        <f>IF(TRVICTOIRE[[#This Row],[2024]]="","",(TRVICTOIRE[[#This Row],[2024]]-TRVICTOIRE[[#This Row],[2023]])/TRVICTOIRE[[#This Row],[2023]])</f>
        <v>-1</v>
      </c>
      <c r="E54" s="85">
        <f>IF(TRVICTOIRE[[#This Row],[2024]]="","",TRVICTOIRE[[#This Row],[2024]]+E53)</f>
        <v>12604</v>
      </c>
      <c r="F54" s="86">
        <f>IF(TRVICTOIRE[[#This Row],[2024]]="","",+TRVICTOIRE[[#This Row],[2023]]+F53)</f>
        <v>56529</v>
      </c>
      <c r="G54" s="97">
        <f>IF(TRVICTOIRE[[#This Row],[Cumulé 2024]]="","",+(TRVICTOIRE[[#This Row],[Cumulé 2024]]-TRVICTOIRE[[#This Row],[Cumulé 2023]])/TRVICTOIRE[[#This Row],[Cumulé 2023]])</f>
        <v>-0.77703479629924466</v>
      </c>
      <c r="I54" s="81" t="s">
        <v>76</v>
      </c>
      <c r="J54" s="87">
        <f>IF(DONNÉES!EA111="","",DONNÉES!EA111)</f>
        <v>0</v>
      </c>
      <c r="K54" s="87">
        <f>IF(TRCAT[[#This Row],[2024]]="","",DONNÉES!EB111)</f>
        <v>0</v>
      </c>
      <c r="L54" s="102" t="e">
        <f>IF(TRCAT[[#This Row],[2024]]="","",(TRCAT[[#This Row],[2024]]-TRCAT[[#This Row],[2023]])/TRCAT[[#This Row],[2023]])</f>
        <v>#DIV/0!</v>
      </c>
      <c r="M54" s="87">
        <f>IF(TRCAT[[#This Row],[2024]]="","",TRCAT[[#This Row],[2024]])</f>
        <v>0</v>
      </c>
      <c r="N54" s="86">
        <f>IF(TRCAT[[#This Row],[2024]]="","",+TRCAT[[#This Row],[2023]])</f>
        <v>0</v>
      </c>
      <c r="O54" s="103" t="e">
        <f>IF(TRCAT[[#This Row],[Cumulé 2024]]="","",+(TRCAT[[#This Row],[Cumulé 2024]]-TRCAT[[#This Row],[Cumulé 2023]])/TRCAT[[#This Row],[Cumulé 2023]])</f>
        <v>#DIV/0!</v>
      </c>
    </row>
    <row r="55" spans="1:15" ht="13.15" customHeight="1" x14ac:dyDescent="0.2">
      <c r="A55" s="79" t="s">
        <v>77</v>
      </c>
      <c r="B55" s="85">
        <f>IF(DONNÉES!BG112="","",DONNÉES!BG112)</f>
        <v>0</v>
      </c>
      <c r="C55" s="85">
        <f>IF(TRVICTOIRE[[#This Row],[2024]]="","",DONNÉES!BH112)</f>
        <v>16276</v>
      </c>
      <c r="D55" s="96">
        <f>IF(TRVICTOIRE[[#This Row],[2024]]="","",(TRVICTOIRE[[#This Row],[2024]]-TRVICTOIRE[[#This Row],[2023]])/TRVICTOIRE[[#This Row],[2023]])</f>
        <v>-1</v>
      </c>
      <c r="E55" s="85">
        <f>IF(TRVICTOIRE[[#This Row],[2024]]="","",TRVICTOIRE[[#This Row],[2024]]+E54)</f>
        <v>12604</v>
      </c>
      <c r="F55" s="86">
        <f>IF(TRVICTOIRE[[#This Row],[2024]]="","",+TRVICTOIRE[[#This Row],[2023]]+F54)</f>
        <v>72805</v>
      </c>
      <c r="G55" s="97">
        <f>IF(TRVICTOIRE[[#This Row],[Cumulé 2024]]="","",+(TRVICTOIRE[[#This Row],[Cumulé 2024]]-TRVICTOIRE[[#This Row],[Cumulé 2023]])/TRVICTOIRE[[#This Row],[Cumulé 2023]])</f>
        <v>-0.82688002197651256</v>
      </c>
      <c r="H55" s="79"/>
      <c r="I55" s="79" t="s">
        <v>77</v>
      </c>
      <c r="J55" s="87">
        <f>IF(DONNÉES!EA112="","",DONNÉES!EA112)</f>
        <v>0</v>
      </c>
      <c r="K55" s="87">
        <f>IF(TRCAT[[#This Row],[2024]]="","",DONNÉES!EB112)</f>
        <v>0</v>
      </c>
      <c r="L55" s="102" t="e">
        <f>IF(TRCAT[[#This Row],[2024]]="","",(TRCAT[[#This Row],[2024]]-TRCAT[[#This Row],[2023]])/TRCAT[[#This Row],[2023]])</f>
        <v>#DIV/0!</v>
      </c>
      <c r="M55" s="87">
        <f>IF(TRCAT[[#This Row],[2024]]="","",TRCAT[[#This Row],[2024]])</f>
        <v>0</v>
      </c>
      <c r="N55" s="86">
        <f>IF(TRCAT[[#This Row],[2024]]="","",+TRCAT[[#This Row],[2023]])</f>
        <v>0</v>
      </c>
      <c r="O55" s="103" t="e">
        <f>IF(TRCAT[[#This Row],[Cumulé 2024]]="","",+(TRCAT[[#This Row],[Cumulé 2024]]-TRCAT[[#This Row],[Cumulé 2023]])/TRCAT[[#This Row],[Cumulé 2023]])</f>
        <v>#DIV/0!</v>
      </c>
    </row>
    <row r="56" spans="1:15" s="81" customFormat="1" ht="13.15" customHeight="1" x14ac:dyDescent="0.2">
      <c r="A56" s="81" t="s">
        <v>78</v>
      </c>
      <c r="B56" s="85">
        <f>IF(DONNÉES!BG113="","",DONNÉES!BG113)</f>
        <v>0</v>
      </c>
      <c r="C56" s="85">
        <f>IF(TRVICTOIRE[[#This Row],[2024]]="","",DONNÉES!BH113)</f>
        <v>15597</v>
      </c>
      <c r="D56" s="96">
        <f>IF(TRVICTOIRE[[#This Row],[2024]]="","",(TRVICTOIRE[[#This Row],[2024]]-TRVICTOIRE[[#This Row],[2023]])/TRVICTOIRE[[#This Row],[2023]])</f>
        <v>-1</v>
      </c>
      <c r="E56" s="85">
        <f>IF(TRVICTOIRE[[#This Row],[2024]]="","",TRVICTOIRE[[#This Row],[2024]]+E55)</f>
        <v>12604</v>
      </c>
      <c r="F56" s="86">
        <f>IF(TRVICTOIRE[[#This Row],[2024]]="","",+TRVICTOIRE[[#This Row],[2023]]+F55)</f>
        <v>88402</v>
      </c>
      <c r="G56" s="97">
        <f>IF(TRVICTOIRE[[#This Row],[Cumulé 2024]]="","",+(TRVICTOIRE[[#This Row],[Cumulé 2024]]-TRVICTOIRE[[#This Row],[Cumulé 2023]])/TRVICTOIRE[[#This Row],[Cumulé 2023]])</f>
        <v>-0.85742404018008644</v>
      </c>
      <c r="I56" s="81" t="s">
        <v>78</v>
      </c>
      <c r="J56" s="87">
        <f>IF(DONNÉES!EA113="","",DONNÉES!EA113)</f>
        <v>0</v>
      </c>
      <c r="K56" s="87">
        <f>IF(TRCAT[[#This Row],[2024]]="","",DONNÉES!EB113)</f>
        <v>0</v>
      </c>
      <c r="L56" s="102" t="e">
        <f>IF(TRCAT[[#This Row],[2024]]="","",(TRCAT[[#This Row],[2024]]-TRCAT[[#This Row],[2023]])/TRCAT[[#This Row],[2023]])</f>
        <v>#DIV/0!</v>
      </c>
      <c r="M56" s="87">
        <f>IF(TRCAT[[#This Row],[2024]]="","",TRCAT[[#This Row],[2024]])</f>
        <v>0</v>
      </c>
      <c r="N56" s="86">
        <f>IF(TRCAT[[#This Row],[2024]]="","",+TRCAT[[#This Row],[2023]])</f>
        <v>0</v>
      </c>
      <c r="O56" s="103" t="e">
        <f>IF(TRCAT[[#This Row],[Cumulé 2024]]="","",+(TRCAT[[#This Row],[Cumulé 2024]]-TRCAT[[#This Row],[Cumulé 2023]])/TRCAT[[#This Row],[Cumulé 2023]])</f>
        <v>#DIV/0!</v>
      </c>
    </row>
    <row r="57" spans="1:15" s="81" customFormat="1" ht="13.15" customHeight="1" x14ac:dyDescent="0.2">
      <c r="A57" s="79" t="s">
        <v>79</v>
      </c>
      <c r="B57" s="85">
        <f>IF(DONNÉES!BG114="","",DONNÉES!BG114)</f>
        <v>0</v>
      </c>
      <c r="C57" s="85">
        <f>IF(TRVICTOIRE[[#This Row],[2024]]="","",DONNÉES!BH114)</f>
        <v>18488</v>
      </c>
      <c r="D57" s="96">
        <f>IF(TRVICTOIRE[[#This Row],[2024]]="","",(TRVICTOIRE[[#This Row],[2024]]-TRVICTOIRE[[#This Row],[2023]])/TRVICTOIRE[[#This Row],[2023]])</f>
        <v>-1</v>
      </c>
      <c r="E57" s="85">
        <f>IF(TRVICTOIRE[[#This Row],[2024]]="","",TRVICTOIRE[[#This Row],[2024]]+E56)</f>
        <v>12604</v>
      </c>
      <c r="F57" s="86">
        <f>IF(TRVICTOIRE[[#This Row],[2024]]="","",+TRVICTOIRE[[#This Row],[2023]]+F56)</f>
        <v>106890</v>
      </c>
      <c r="G57" s="97">
        <f>IF(TRVICTOIRE[[#This Row],[Cumulé 2024]]="","",+(TRVICTOIRE[[#This Row],[Cumulé 2024]]-TRVICTOIRE[[#This Row],[Cumulé 2023]])/TRVICTOIRE[[#This Row],[Cumulé 2023]])</f>
        <v>-0.88208438581719528</v>
      </c>
      <c r="I57" s="79" t="s">
        <v>79</v>
      </c>
      <c r="J57" s="87">
        <f>IF(DONNÉES!EA114="","",DONNÉES!EA114)</f>
        <v>0</v>
      </c>
      <c r="K57" s="87">
        <f>IF(TRCAT[[#This Row],[2024]]="","",DONNÉES!EB114)</f>
        <v>0</v>
      </c>
      <c r="L57" s="102" t="e">
        <f>IF(TRCAT[[#This Row],[2024]]="","",(TRCAT[[#This Row],[2024]]-TRCAT[[#This Row],[2023]])/TRCAT[[#This Row],[2023]])</f>
        <v>#DIV/0!</v>
      </c>
      <c r="M57" s="87">
        <f>IF(TRCAT[[#This Row],[2024]]="","",TRCAT[[#This Row],[2024]])</f>
        <v>0</v>
      </c>
      <c r="N57" s="86">
        <f>IF(TRCAT[[#This Row],[2024]]="","",+TRCAT[[#This Row],[2023]])</f>
        <v>0</v>
      </c>
      <c r="O57" s="103" t="e">
        <f>IF(TRCAT[[#This Row],[Cumulé 2024]]="","",+(TRCAT[[#This Row],[Cumulé 2024]]-TRCAT[[#This Row],[Cumulé 2023]])/TRCAT[[#This Row],[Cumulé 2023]])</f>
        <v>#DIV/0!</v>
      </c>
    </row>
    <row r="58" spans="1:15" s="81" customFormat="1" ht="13.15" customHeight="1" x14ac:dyDescent="0.2">
      <c r="A58" s="81" t="s">
        <v>80</v>
      </c>
      <c r="B58" s="85">
        <f>IF(DONNÉES!BG115="","",DONNÉES!BG115)</f>
        <v>0</v>
      </c>
      <c r="C58" s="85">
        <f>IF(TRVICTOIRE[[#This Row],[2024]]="","",DONNÉES!BH115)</f>
        <v>20427</v>
      </c>
      <c r="D58" s="96">
        <f>IF(TRVICTOIRE[[#This Row],[2024]]="","",(TRVICTOIRE[[#This Row],[2024]]-TRVICTOIRE[[#This Row],[2023]])/TRVICTOIRE[[#This Row],[2023]])</f>
        <v>-1</v>
      </c>
      <c r="E58" s="85">
        <f>IF(TRVICTOIRE[[#This Row],[2024]]="","",TRVICTOIRE[[#This Row],[2024]]+E57)</f>
        <v>12604</v>
      </c>
      <c r="F58" s="86">
        <f>IF(TRVICTOIRE[[#This Row],[2024]]="","",+TRVICTOIRE[[#This Row],[2023]]+F57)</f>
        <v>127317</v>
      </c>
      <c r="G58" s="97">
        <f>IF(TRVICTOIRE[[#This Row],[Cumulé 2024]]="","",+(TRVICTOIRE[[#This Row],[Cumulé 2024]]-TRVICTOIRE[[#This Row],[Cumulé 2023]])/TRVICTOIRE[[#This Row],[Cumulé 2023]])</f>
        <v>-0.90100300823927681</v>
      </c>
      <c r="I58" s="81" t="s">
        <v>80</v>
      </c>
      <c r="J58" s="87">
        <f>IF(DONNÉES!EA115="","",DONNÉES!EA115)</f>
        <v>0</v>
      </c>
      <c r="K58" s="87">
        <f>IF(TRCAT[[#This Row],[2024]]="","",DONNÉES!EB115)</f>
        <v>18513</v>
      </c>
      <c r="L58" s="102">
        <f>IF(TRCAT[[#This Row],[2024]]="","",(TRCAT[[#This Row],[2024]]-TRCAT[[#This Row],[2023]])/TRCAT[[#This Row],[2023]])</f>
        <v>-1</v>
      </c>
      <c r="M58" s="87">
        <f>IF(TRCAT[[#This Row],[2024]]="","",TRCAT[[#This Row],[2024]])</f>
        <v>0</v>
      </c>
      <c r="N58" s="86">
        <f>IF(TRCAT[[#This Row],[2024]]="","",+TRCAT[[#This Row],[2023]])</f>
        <v>18513</v>
      </c>
      <c r="O58" s="103">
        <f>IF(TRCAT[[#This Row],[Cumulé 2024]]="","",+(TRCAT[[#This Row],[Cumulé 2024]]-TRCAT[[#This Row],[Cumulé 2023]])/TRCAT[[#This Row],[Cumulé 2023]])</f>
        <v>-1</v>
      </c>
    </row>
    <row r="59" spans="1:15" ht="13.15" customHeight="1" x14ac:dyDescent="0.2">
      <c r="A59" s="79" t="s">
        <v>81</v>
      </c>
      <c r="B59" s="86">
        <f>IF(DONNÉES!BG116="","",DONNÉES!BG116)</f>
        <v>0</v>
      </c>
      <c r="C59" s="86">
        <f>IF(TRVICTOIRE[[#This Row],[2024]]="","",DONNÉES!BH116)</f>
        <v>12950</v>
      </c>
      <c r="D59" s="97">
        <f>IF(TRVICTOIRE[[#This Row],[2024]]="","",(TRVICTOIRE[[#This Row],[2024]]-TRVICTOIRE[[#This Row],[2023]])/TRVICTOIRE[[#This Row],[2023]])</f>
        <v>-1</v>
      </c>
      <c r="E59" s="85">
        <f>IF(TRVICTOIRE[[#This Row],[2024]]="","",TRVICTOIRE[[#This Row],[2024]]+E58)</f>
        <v>12604</v>
      </c>
      <c r="F59" s="86">
        <f>IF(TRVICTOIRE[[#This Row],[2024]]="","",+TRVICTOIRE[[#This Row],[2023]]+F58)</f>
        <v>140267</v>
      </c>
      <c r="G59" s="97">
        <f>IF(TRVICTOIRE[[#This Row],[Cumulé 2024]]="","",+(TRVICTOIRE[[#This Row],[Cumulé 2024]]-TRVICTOIRE[[#This Row],[Cumulé 2023]])/TRVICTOIRE[[#This Row],[Cumulé 2023]])</f>
        <v>-0.91014279909030638</v>
      </c>
      <c r="H59" s="79"/>
      <c r="I59" s="79" t="s">
        <v>81</v>
      </c>
      <c r="J59" s="87">
        <f>IF(DONNÉES!EA116="","",DONNÉES!EA116)</f>
        <v>0</v>
      </c>
      <c r="K59" s="87">
        <f>IF(TRCAT[[#This Row],[2024]]="","",DONNÉES!EB116)</f>
        <v>11831</v>
      </c>
      <c r="L59" s="103">
        <f>IF(TRCAT[[#This Row],[2024]]="","",(TRCAT[[#This Row],[2024]]-TRCAT[[#This Row],[2023]])/TRCAT[[#This Row],[2023]])</f>
        <v>-1</v>
      </c>
      <c r="M59" s="87">
        <f>IF(TRCAT[[#This Row],[2024]]="","",TRCAT[[#This Row],[2024]])</f>
        <v>0</v>
      </c>
      <c r="N59" s="86">
        <f>IF(TRCAT[[#This Row],[2024]]="","",+TRCAT[[#This Row],[2023]])</f>
        <v>11831</v>
      </c>
      <c r="O59" s="103">
        <f>IF(TRCAT[[#This Row],[Cumulé 2024]]="","",+(TRCAT[[#This Row],[Cumulé 2024]]-TRCAT[[#This Row],[Cumulé 2023]])/TRCAT[[#This Row],[Cumulé 2023]])</f>
        <v>-1</v>
      </c>
    </row>
    <row r="60" spans="1:15" ht="13.15" customHeight="1" x14ac:dyDescent="0.2">
      <c r="A60" s="81" t="s">
        <v>82</v>
      </c>
      <c r="B60" s="86">
        <f>IF(DONNÉES!BG117="","",DONNÉES!BG117)</f>
        <v>0</v>
      </c>
      <c r="C60" s="86">
        <f>IF(TRVICTOIRE[[#This Row],[2024]]="","",DONNÉES!BH117)</f>
        <v>13909</v>
      </c>
      <c r="D60" s="97">
        <f>IF(TRVICTOIRE[[#This Row],[2024]]="","",(TRVICTOIRE[[#This Row],[2024]]-TRVICTOIRE[[#This Row],[2023]])/TRVICTOIRE[[#This Row],[2023]])</f>
        <v>-1</v>
      </c>
      <c r="E60" s="85">
        <f>IF(TRVICTOIRE[[#This Row],[2024]]="","",TRVICTOIRE[[#This Row],[2024]]+E59)</f>
        <v>12604</v>
      </c>
      <c r="F60" s="86">
        <f>IF(TRVICTOIRE[[#This Row],[2024]]="","",+TRVICTOIRE[[#This Row],[2023]]+F59)</f>
        <v>154176</v>
      </c>
      <c r="G60" s="97">
        <f>IF(TRVICTOIRE[[#This Row],[Cumulé 2024]]="","",+(TRVICTOIRE[[#This Row],[Cumulé 2024]]-TRVICTOIRE[[#This Row],[Cumulé 2023]])/TRVICTOIRE[[#This Row],[Cumulé 2023]])</f>
        <v>-0.91824927355749275</v>
      </c>
      <c r="H60" s="79"/>
      <c r="I60" s="81" t="s">
        <v>82</v>
      </c>
      <c r="J60" s="87">
        <f>IF(DONNÉES!EA117="","",DONNÉES!EA117)</f>
        <v>0</v>
      </c>
      <c r="K60" s="87">
        <f>IF(TRCAT[[#This Row],[2024]]="","",DONNÉES!EB117)</f>
        <v>12756</v>
      </c>
      <c r="L60" s="103">
        <f>IF(TRCAT[[#This Row],[2024]]="","",(TRCAT[[#This Row],[2024]]-TRCAT[[#This Row],[2023]])/TRCAT[[#This Row],[2023]])</f>
        <v>-1</v>
      </c>
      <c r="M60" s="87">
        <f>IF(TRCAT[[#This Row],[2024]]="","",TRCAT[[#This Row],[2024]])</f>
        <v>0</v>
      </c>
      <c r="N60" s="86">
        <f>IF(TRCAT[[#This Row],[2024]]="","",+TRCAT[[#This Row],[2023]])</f>
        <v>12756</v>
      </c>
      <c r="O60" s="103">
        <f>IF(TRCAT[[#This Row],[Cumulé 2024]]="","",+(TRCAT[[#This Row],[Cumulé 2024]]-TRCAT[[#This Row],[Cumulé 2023]])/TRCAT[[#This Row],[Cumulé 2023]])</f>
        <v>-1</v>
      </c>
    </row>
    <row r="61" spans="1:15" ht="13.15" customHeight="1" x14ac:dyDescent="0.2">
      <c r="A61" s="79" t="s">
        <v>83</v>
      </c>
      <c r="B61" s="86">
        <f>IF(DONNÉES!BG118="","",DONNÉES!BG118)</f>
        <v>0</v>
      </c>
      <c r="C61" s="86">
        <f>IF(TRVICTOIRE[[#This Row],[2024]]="","",DONNÉES!BH118)</f>
        <v>12938</v>
      </c>
      <c r="D61" s="97">
        <f>IF(TRVICTOIRE[[#This Row],[2024]]="","",(TRVICTOIRE[[#This Row],[2024]]-TRVICTOIRE[[#This Row],[2023]])/TRVICTOIRE[[#This Row],[2023]])</f>
        <v>-1</v>
      </c>
      <c r="E61" s="85">
        <f>IF(TRVICTOIRE[[#This Row],[2024]]="","",TRVICTOIRE[[#This Row],[2024]]+E60)</f>
        <v>12604</v>
      </c>
      <c r="F61" s="86">
        <f>IF(TRVICTOIRE[[#This Row],[2024]]="","",+TRVICTOIRE[[#This Row],[2023]]+F60)</f>
        <v>167114</v>
      </c>
      <c r="G61" s="97">
        <f>IF(TRVICTOIRE[[#This Row],[Cumulé 2024]]="","",+(TRVICTOIRE[[#This Row],[Cumulé 2024]]-TRVICTOIRE[[#This Row],[Cumulé 2023]])/TRVICTOIRE[[#This Row],[Cumulé 2023]])</f>
        <v>-0.92457843148988117</v>
      </c>
      <c r="H61" s="79"/>
      <c r="I61" s="79" t="s">
        <v>83</v>
      </c>
      <c r="J61" s="87">
        <f>IF(DONNÉES!EA118="","",DONNÉES!EA118)</f>
        <v>0</v>
      </c>
      <c r="K61" s="87">
        <f>IF(TRCAT[[#This Row],[2024]]="","",DONNÉES!EB118)</f>
        <v>12276</v>
      </c>
      <c r="L61" s="103">
        <f>IF(TRCAT[[#This Row],[2024]]="","",(TRCAT[[#This Row],[2024]]-TRCAT[[#This Row],[2023]])/TRCAT[[#This Row],[2023]])</f>
        <v>-1</v>
      </c>
      <c r="M61" s="87">
        <f>IF(TRCAT[[#This Row],[2024]]="","",TRCAT[[#This Row],[2024]])</f>
        <v>0</v>
      </c>
      <c r="N61" s="86">
        <f>IF(TRCAT[[#This Row],[2024]]="","",+TRCAT[[#This Row],[2023]])</f>
        <v>12276</v>
      </c>
      <c r="O61" s="103">
        <f>IF(TRCAT[[#This Row],[Cumulé 2024]]="","",+(TRCAT[[#This Row],[Cumulé 2024]]-TRCAT[[#This Row],[Cumulé 2023]])/TRCAT[[#This Row],[Cumulé 2023]])</f>
        <v>-1</v>
      </c>
    </row>
    <row r="62" spans="1:15" ht="13.15" customHeight="1" x14ac:dyDescent="0.2">
      <c r="A62" s="79" t="s">
        <v>84</v>
      </c>
      <c r="B62" s="86">
        <f>IF(DONNÉES!BG119="","",DONNÉES!BG119)</f>
        <v>0</v>
      </c>
      <c r="C62" s="86">
        <f>IF(TRVICTOIRE[[#This Row],[2024]]="","",DONNÉES!BH119)</f>
        <v>12886</v>
      </c>
      <c r="D62" s="97">
        <f>IF(TRVICTOIRE[[#This Row],[2024]]="","",(TRVICTOIRE[[#This Row],[2024]]-TRVICTOIRE[[#This Row],[2023]])/TRVICTOIRE[[#This Row],[2023]])</f>
        <v>-1</v>
      </c>
      <c r="E62" s="85">
        <f>IF(TRVICTOIRE[[#This Row],[2024]]="","",TRVICTOIRE[[#This Row],[2024]]+E61)</f>
        <v>12604</v>
      </c>
      <c r="F62" s="86">
        <f>IF(TRVICTOIRE[[#This Row],[2024]]="","",+TRVICTOIRE[[#This Row],[2023]]+F61)</f>
        <v>180000</v>
      </c>
      <c r="G62" s="97">
        <f>IF(TRVICTOIRE[[#This Row],[Cumulé 2024]]="","",+(TRVICTOIRE[[#This Row],[Cumulé 2024]]-TRVICTOIRE[[#This Row],[Cumulé 2023]])/TRVICTOIRE[[#This Row],[Cumulé 2023]])</f>
        <v>-0.92997777777777779</v>
      </c>
      <c r="H62" s="79"/>
      <c r="I62" s="79" t="s">
        <v>84</v>
      </c>
      <c r="J62" s="87">
        <f>IF(DONNÉES!EA119="","",DONNÉES!EA119)</f>
        <v>0</v>
      </c>
      <c r="K62" s="87">
        <f>IF(TRCAT[[#This Row],[2024]]="","",DONNÉES!EB119)</f>
        <v>11905</v>
      </c>
      <c r="L62" s="103">
        <f>IF(TRCAT[[#This Row],[2024]]="","",(TRCAT[[#This Row],[2024]]-TRCAT[[#This Row],[2023]])/TRCAT[[#This Row],[2023]])</f>
        <v>-1</v>
      </c>
      <c r="M62" s="87">
        <f>IF(TRCAT[[#This Row],[2024]]="","",TRCAT[[#This Row],[2024]])</f>
        <v>0</v>
      </c>
      <c r="N62" s="86">
        <f>IF(TRCAT[[#This Row],[2024]]="","",+TRCAT[[#This Row],[2023]])</f>
        <v>11905</v>
      </c>
      <c r="O62" s="103">
        <f>IF(TRCAT[[#This Row],[Cumulé 2024]]="","",+(TRCAT[[#This Row],[Cumulé 2024]]-TRCAT[[#This Row],[Cumulé 2023]])/TRCAT[[#This Row],[Cumulé 2023]])</f>
        <v>-1</v>
      </c>
    </row>
    <row r="63" spans="1:15" ht="16.899999999999999" customHeight="1" x14ac:dyDescent="0.2">
      <c r="A63" s="46" t="s">
        <v>135</v>
      </c>
      <c r="B63" s="76">
        <f>SUBTOTAL(109,TRVICTOIRE[2024])</f>
        <v>12604</v>
      </c>
      <c r="C63" s="76">
        <f>SUBTOTAL(109,TRVICTOIRE[2023])</f>
        <v>180000</v>
      </c>
      <c r="D63" s="105"/>
      <c r="E63" s="88"/>
      <c r="F63" s="76"/>
      <c r="G63" s="105"/>
      <c r="H63" s="79"/>
      <c r="I63" s="46" t="s">
        <v>135</v>
      </c>
      <c r="J63" s="76">
        <f>SUBTOTAL(109,TRCAT[2024])</f>
        <v>11403</v>
      </c>
      <c r="K63" s="76">
        <f>SUBTOTAL(109,TRCAT[2023])</f>
        <v>67281</v>
      </c>
      <c r="L63" s="105"/>
      <c r="M63" s="88"/>
      <c r="N63" s="76"/>
      <c r="O63" s="161"/>
    </row>
    <row r="64" spans="1:15" ht="16.899999999999999" customHeight="1" x14ac:dyDescent="0.2">
      <c r="A64" s="46"/>
      <c r="B64" s="76"/>
      <c r="C64" s="76"/>
      <c r="D64" s="105"/>
      <c r="E64" s="88"/>
      <c r="F64" s="76"/>
      <c r="G64" s="105"/>
      <c r="H64" s="79"/>
      <c r="I64" s="46"/>
      <c r="J64" s="76"/>
      <c r="K64" s="76"/>
      <c r="L64" s="105"/>
      <c r="M64" s="88"/>
      <c r="N64" s="76"/>
      <c r="O64" s="161"/>
    </row>
    <row r="65" spans="1:15" ht="33" customHeight="1" x14ac:dyDescent="0.2">
      <c r="A65" s="79" t="s">
        <v>292</v>
      </c>
      <c r="B65" s="94" t="s">
        <v>6962</v>
      </c>
      <c r="C65" s="94" t="s">
        <v>2169</v>
      </c>
      <c r="D65" s="100" t="s">
        <v>136</v>
      </c>
      <c r="E65" s="95" t="s">
        <v>6993</v>
      </c>
      <c r="F65" s="95" t="s">
        <v>6952</v>
      </c>
      <c r="G65" s="100" t="s">
        <v>137</v>
      </c>
      <c r="H65" s="79"/>
      <c r="I65" s="79" t="s">
        <v>294</v>
      </c>
      <c r="J65" s="94" t="s">
        <v>6962</v>
      </c>
      <c r="K65" s="94" t="s">
        <v>2169</v>
      </c>
      <c r="L65" s="100" t="s">
        <v>136</v>
      </c>
      <c r="M65" s="95" t="s">
        <v>6993</v>
      </c>
      <c r="N65" s="95" t="s">
        <v>6952</v>
      </c>
      <c r="O65" s="100" t="s">
        <v>137</v>
      </c>
    </row>
    <row r="66" spans="1:15" s="81" customFormat="1" ht="13.15" customHeight="1" x14ac:dyDescent="0.2">
      <c r="A66" s="81" t="s">
        <v>73</v>
      </c>
      <c r="B66" s="85">
        <f>IF(DONNÉES!CE108="","",DONNÉES!CE108)</f>
        <v>20186</v>
      </c>
      <c r="C66" s="85">
        <f>IF(TRBIGNALET[[#This Row],[2024]]="","",DONNÉES!CF108)</f>
        <v>21787</v>
      </c>
      <c r="D66" s="96">
        <f>IF(TRBIGNALET[[#This Row],[2024]]="","",(TRBIGNALET[[#This Row],[2024]]-TRBIGNALET[[#This Row],[2023]])/TRBIGNALET[[#This Row],[2023]])</f>
        <v>-7.3484187818423835E-2</v>
      </c>
      <c r="E66" s="85">
        <f>IF(TRBIGNALET[[#This Row],[2024]]="","",TRBIGNALET[[#This Row],[2024]])</f>
        <v>20186</v>
      </c>
      <c r="F66" s="86">
        <f>IF(TRBIGNALET[[#This Row],[2024]]="","",+TRBIGNALET[[#This Row],[2023]])</f>
        <v>21787</v>
      </c>
      <c r="G66" s="97">
        <f>IF(TRBIGNALET[[#This Row],[Cumulé 2024]]="","",+(TRBIGNALET[[#This Row],[Cumulé 2024]]-TRBIGNALET[[#This Row],[Cumulé 2023]])/TRBIGNALET[[#This Row],[Cumulé 2023]])</f>
        <v>-7.3484187818423835E-2</v>
      </c>
      <c r="I66" s="81" t="s">
        <v>73</v>
      </c>
      <c r="J66" s="85">
        <f>IF(DONNÉES!CM108="","",DONNÉES!CM108)</f>
        <v>21593</v>
      </c>
      <c r="K66" s="85">
        <f>IF(TRLYSE[[#This Row],[2024]]="","",DONNÉES!CN108)</f>
        <v>18689</v>
      </c>
      <c r="L66" s="96">
        <f>IF(TRLYSE[[#This Row],[2024]]="","",(TRLYSE[[#This Row],[2024]]-TRLYSE[[#This Row],[2023]])/TRLYSE[[#This Row],[2023]])</f>
        <v>0.15538552089464391</v>
      </c>
      <c r="M66" s="85">
        <f>IF(TRLYSE[[#This Row],[2024]]="","",TRLYSE[[#This Row],[2024]])</f>
        <v>21593</v>
      </c>
      <c r="N66" s="86">
        <f>IF(TRLYSE[[#This Row],[2024]]="","",+TRLYSE[[#This Row],[2023]])</f>
        <v>18689</v>
      </c>
      <c r="O66" s="97">
        <f>IF(TRLYSE[[#This Row],[Cumulé 2024]]="","",+(TRLYSE[[#This Row],[Cumulé 2024]]-TRLYSE[[#This Row],[Cumulé 2023]])/TRLYSE[[#This Row],[Cumulé 2023]])</f>
        <v>0.15538552089464391</v>
      </c>
    </row>
    <row r="67" spans="1:15" s="81" customFormat="1" ht="13.15" customHeight="1" x14ac:dyDescent="0.2">
      <c r="A67" s="81" t="s">
        <v>74</v>
      </c>
      <c r="B67" s="85">
        <f>IF(DONNÉES!CE109="","",DONNÉES!CE109)</f>
        <v>0</v>
      </c>
      <c r="C67" s="85">
        <f>IF(TRBIGNALET[[#This Row],[2024]]="","",DONNÉES!CF109)</f>
        <v>21837</v>
      </c>
      <c r="D67" s="96">
        <f>IF(TRBIGNALET[[#This Row],[2024]]="","",(TRBIGNALET[[#This Row],[2024]]-TRBIGNALET[[#This Row],[2023]])/TRBIGNALET[[#This Row],[2023]])</f>
        <v>-1</v>
      </c>
      <c r="E67" s="85">
        <f>IF(TRBIGNALET[[#This Row],[2024]]="","",TRBIGNALET[[#This Row],[2024]]+E66)</f>
        <v>20186</v>
      </c>
      <c r="F67" s="86">
        <f>IF(TRBIGNALET[[#This Row],[2024]]="","",+TRBIGNALET[[#This Row],[2023]]+F66)</f>
        <v>43624</v>
      </c>
      <c r="G67" s="97">
        <f>IF(TRBIGNALET[[#This Row],[Cumulé 2024]]="","",+(TRBIGNALET[[#This Row],[Cumulé 2024]]-TRBIGNALET[[#This Row],[Cumulé 2023]])/TRBIGNALET[[#This Row],[Cumulé 2023]])</f>
        <v>-0.53727306070053182</v>
      </c>
      <c r="I67" s="81" t="s">
        <v>74</v>
      </c>
      <c r="J67" s="85">
        <f>IF(DONNÉES!CM109="","",DONNÉES!CM109)</f>
        <v>0</v>
      </c>
      <c r="K67" s="85">
        <f>IF(TRLYSE[[#This Row],[2024]]="","",DONNÉES!CN109)</f>
        <v>19449</v>
      </c>
      <c r="L67" s="96">
        <f>IF(TRLYSE[[#This Row],[2024]]="","",(TRLYSE[[#This Row],[2024]]-TRLYSE[[#This Row],[2023]])/TRLYSE[[#This Row],[2023]])</f>
        <v>-1</v>
      </c>
      <c r="M67" s="85">
        <f>IF(TRLYSE[[#This Row],[2024]]="","",TRLYSE[[#This Row],[2024]]+M66)</f>
        <v>21593</v>
      </c>
      <c r="N67" s="86">
        <f>IF(TRLYSE[[#This Row],[2024]]="","",+TRLYSE[[#This Row],[2023]]+N66)</f>
        <v>38138</v>
      </c>
      <c r="O67" s="97">
        <f>IF(TRLYSE[[#This Row],[Cumulé 2024]]="","",+(TRLYSE[[#This Row],[Cumulé 2024]]-TRLYSE[[#This Row],[Cumulé 2023]])/TRLYSE[[#This Row],[Cumulé 2023]])</f>
        <v>-0.43381928784938906</v>
      </c>
    </row>
    <row r="68" spans="1:15" s="81" customFormat="1" ht="13.15" customHeight="1" x14ac:dyDescent="0.2">
      <c r="A68" s="79" t="s">
        <v>75</v>
      </c>
      <c r="B68" s="85">
        <f>IF(DONNÉES!CE110="","",DONNÉES!CE110)</f>
        <v>0</v>
      </c>
      <c r="C68" s="85">
        <f>IF(TRBIGNALET[[#This Row],[2024]]="","",DONNÉES!CF110)</f>
        <v>23173</v>
      </c>
      <c r="D68" s="96">
        <f>IF(TRBIGNALET[[#This Row],[2024]]="","",(TRBIGNALET[[#This Row],[2024]]-TRBIGNALET[[#This Row],[2023]])/TRBIGNALET[[#This Row],[2023]])</f>
        <v>-1</v>
      </c>
      <c r="E68" s="85">
        <f>IF(TRBIGNALET[[#This Row],[2024]]="","",TRBIGNALET[[#This Row],[2024]]+E67)</f>
        <v>20186</v>
      </c>
      <c r="F68" s="86">
        <f>IF(TRBIGNALET[[#This Row],[2024]]="","",+TRBIGNALET[[#This Row],[2023]]+F67)</f>
        <v>66797</v>
      </c>
      <c r="G68" s="97">
        <f>IF(TRBIGNALET[[#This Row],[Cumulé 2024]]="","",+(TRBIGNALET[[#This Row],[Cumulé 2024]]-TRBIGNALET[[#This Row],[Cumulé 2023]])/TRBIGNALET[[#This Row],[Cumulé 2023]])</f>
        <v>-0.69780079943710049</v>
      </c>
      <c r="I68" s="79" t="s">
        <v>75</v>
      </c>
      <c r="J68" s="85">
        <f>IF(DONNÉES!CM110="","",DONNÉES!CM110)</f>
        <v>0</v>
      </c>
      <c r="K68" s="85">
        <f>IF(TRLYSE[[#This Row],[2024]]="","",DONNÉES!CN110)</f>
        <v>22537</v>
      </c>
      <c r="L68" s="96">
        <f>IF(TRLYSE[[#This Row],[2024]]="","",(TRLYSE[[#This Row],[2024]]-TRLYSE[[#This Row],[2023]])/TRLYSE[[#This Row],[2023]])</f>
        <v>-1</v>
      </c>
      <c r="M68" s="85">
        <f>IF(TRLYSE[[#This Row],[2024]]="","",TRLYSE[[#This Row],[2024]]+M67)</f>
        <v>21593</v>
      </c>
      <c r="N68" s="86">
        <f>IF(TRLYSE[[#This Row],[2024]]="","",+TRLYSE[[#This Row],[2023]]+N67)</f>
        <v>60675</v>
      </c>
      <c r="O68" s="97">
        <f>IF(TRLYSE[[#This Row],[Cumulé 2024]]="","",+(TRLYSE[[#This Row],[Cumulé 2024]]-TRLYSE[[#This Row],[Cumulé 2023]])/TRLYSE[[#This Row],[Cumulé 2023]])</f>
        <v>-0.64412031314379892</v>
      </c>
    </row>
    <row r="69" spans="1:15" ht="13.15" customHeight="1" x14ac:dyDescent="0.2">
      <c r="A69" s="81" t="s">
        <v>76</v>
      </c>
      <c r="B69" s="85">
        <f>IF(DONNÉES!CE111="","",DONNÉES!CE111)</f>
        <v>0</v>
      </c>
      <c r="C69" s="85">
        <f>IF(TRBIGNALET[[#This Row],[2024]]="","",DONNÉES!CF111)</f>
        <v>25267</v>
      </c>
      <c r="D69" s="96">
        <f>IF(TRBIGNALET[[#This Row],[2024]]="","",(TRBIGNALET[[#This Row],[2024]]-TRBIGNALET[[#This Row],[2023]])/TRBIGNALET[[#This Row],[2023]])</f>
        <v>-1</v>
      </c>
      <c r="E69" s="85">
        <f>IF(TRBIGNALET[[#This Row],[2024]]="","",TRBIGNALET[[#This Row],[2024]]+E68)</f>
        <v>20186</v>
      </c>
      <c r="F69" s="86">
        <f>IF(TRBIGNALET[[#This Row],[2024]]="","",+TRBIGNALET[[#This Row],[2023]]+F68)</f>
        <v>92064</v>
      </c>
      <c r="G69" s="97">
        <f>IF(TRBIGNALET[[#This Row],[Cumulé 2024]]="","",+(TRBIGNALET[[#This Row],[Cumulé 2024]]-TRBIGNALET[[#This Row],[Cumulé 2023]])/TRBIGNALET[[#This Row],[Cumulé 2023]])</f>
        <v>-0.78073948557525197</v>
      </c>
      <c r="H69" s="79"/>
      <c r="I69" s="81" t="s">
        <v>76</v>
      </c>
      <c r="J69" s="85">
        <f>IF(DONNÉES!CM111="","",DONNÉES!CM111)</f>
        <v>0</v>
      </c>
      <c r="K69" s="85">
        <f>IF(TRLYSE[[#This Row],[2024]]="","",DONNÉES!CN111)</f>
        <v>22251</v>
      </c>
      <c r="L69" s="96">
        <f>IF(TRLYSE[[#This Row],[2024]]="","",(TRLYSE[[#This Row],[2024]]-TRLYSE[[#This Row],[2023]])/TRLYSE[[#This Row],[2023]])</f>
        <v>-1</v>
      </c>
      <c r="M69" s="85">
        <f>IF(TRLYSE[[#This Row],[2024]]="","",TRLYSE[[#This Row],[2024]]+M68)</f>
        <v>21593</v>
      </c>
      <c r="N69" s="86">
        <f>IF(TRLYSE[[#This Row],[2024]]="","",+TRLYSE[[#This Row],[2023]]+N68)</f>
        <v>82926</v>
      </c>
      <c r="O69" s="97">
        <f>IF(TRLYSE[[#This Row],[Cumulé 2024]]="","",+(TRLYSE[[#This Row],[Cumulé 2024]]-TRLYSE[[#This Row],[Cumulé 2023]])/TRLYSE[[#This Row],[Cumulé 2023]])</f>
        <v>-0.73961121964160814</v>
      </c>
    </row>
    <row r="70" spans="1:15" ht="13.15" customHeight="1" x14ac:dyDescent="0.2">
      <c r="A70" s="79" t="s">
        <v>77</v>
      </c>
      <c r="B70" s="85">
        <f>IF(DONNÉES!CE112="","",DONNÉES!CE112)</f>
        <v>0</v>
      </c>
      <c r="C70" s="85">
        <f>IF(TRBIGNALET[[#This Row],[2024]]="","",DONNÉES!CF112)</f>
        <v>28051</v>
      </c>
      <c r="D70" s="96">
        <f>IF(TRBIGNALET[[#This Row],[2024]]="","",(TRBIGNALET[[#This Row],[2024]]-TRBIGNALET[[#This Row],[2023]])/TRBIGNALET[[#This Row],[2023]])</f>
        <v>-1</v>
      </c>
      <c r="E70" s="85">
        <f>IF(TRBIGNALET[[#This Row],[2024]]="","",TRBIGNALET[[#This Row],[2024]]+E69)</f>
        <v>20186</v>
      </c>
      <c r="F70" s="86">
        <f>IF(TRBIGNALET[[#This Row],[2024]]="","",+TRBIGNALET[[#This Row],[2023]]+F69)</f>
        <v>120115</v>
      </c>
      <c r="G70" s="97">
        <f>IF(TRBIGNALET[[#This Row],[Cumulé 2024]]="","",+(TRBIGNALET[[#This Row],[Cumulé 2024]]-TRBIGNALET[[#This Row],[Cumulé 2023]])/TRBIGNALET[[#This Row],[Cumulé 2023]])</f>
        <v>-0.83194438662948011</v>
      </c>
      <c r="H70" s="79"/>
      <c r="I70" s="79" t="s">
        <v>77</v>
      </c>
      <c r="J70" s="85">
        <f>IF(DONNÉES!CM112="","",DONNÉES!CM112)</f>
        <v>0</v>
      </c>
      <c r="K70" s="85">
        <f>IF(TRLYSE[[#This Row],[2024]]="","",DONNÉES!CN112)</f>
        <v>23408</v>
      </c>
      <c r="L70" s="96">
        <f>IF(TRLYSE[[#This Row],[2024]]="","",(TRLYSE[[#This Row],[2024]]-TRLYSE[[#This Row],[2023]])/TRLYSE[[#This Row],[2023]])</f>
        <v>-1</v>
      </c>
      <c r="M70" s="85">
        <f>IF(TRLYSE[[#This Row],[2024]]="","",TRLYSE[[#This Row],[2024]]+M69)</f>
        <v>21593</v>
      </c>
      <c r="N70" s="86">
        <f>IF(TRLYSE[[#This Row],[2024]]="","",+TRLYSE[[#This Row],[2023]]+N69)</f>
        <v>106334</v>
      </c>
      <c r="O70" s="97">
        <f>IF(TRLYSE[[#This Row],[Cumulé 2024]]="","",+(TRLYSE[[#This Row],[Cumulé 2024]]-TRLYSE[[#This Row],[Cumulé 2023]])/TRLYSE[[#This Row],[Cumulé 2023]])</f>
        <v>-0.7969323076344349</v>
      </c>
    </row>
    <row r="71" spans="1:15" ht="13.15" customHeight="1" x14ac:dyDescent="0.2">
      <c r="A71" s="81" t="s">
        <v>78</v>
      </c>
      <c r="B71" s="85">
        <f>IF(DONNÉES!CE113="","",DONNÉES!CE113)</f>
        <v>0</v>
      </c>
      <c r="C71" s="85">
        <f>IF(TRBIGNALET[[#This Row],[2024]]="","",DONNÉES!CF113)</f>
        <v>27184</v>
      </c>
      <c r="D71" s="96">
        <f>IF(TRBIGNALET[[#This Row],[2024]]="","",(TRBIGNALET[[#This Row],[2024]]-TRBIGNALET[[#This Row],[2023]])/TRBIGNALET[[#This Row],[2023]])</f>
        <v>-1</v>
      </c>
      <c r="E71" s="85">
        <f>IF(TRBIGNALET[[#This Row],[2024]]="","",TRBIGNALET[[#This Row],[2024]]+E70)</f>
        <v>20186</v>
      </c>
      <c r="F71" s="86">
        <f>IF(TRBIGNALET[[#This Row],[2024]]="","",+TRBIGNALET[[#This Row],[2023]]+F70)</f>
        <v>147299</v>
      </c>
      <c r="G71" s="97">
        <f>IF(TRBIGNALET[[#This Row],[Cumulé 2024]]="","",+(TRBIGNALET[[#This Row],[Cumulé 2024]]-TRBIGNALET[[#This Row],[Cumulé 2023]])/TRBIGNALET[[#This Row],[Cumulé 2023]])</f>
        <v>-0.86295901533615305</v>
      </c>
      <c r="H71" s="79"/>
      <c r="I71" s="81" t="s">
        <v>78</v>
      </c>
      <c r="J71" s="85">
        <f>IF(DONNÉES!CM113="","",DONNÉES!CM113)</f>
        <v>0</v>
      </c>
      <c r="K71" s="85">
        <f>IF(TRLYSE[[#This Row],[2024]]="","",DONNÉES!CN113)</f>
        <v>22683</v>
      </c>
      <c r="L71" s="96">
        <f>IF(TRLYSE[[#This Row],[2024]]="","",(TRLYSE[[#This Row],[2024]]-TRLYSE[[#This Row],[2023]])/TRLYSE[[#This Row],[2023]])</f>
        <v>-1</v>
      </c>
      <c r="M71" s="85">
        <f>IF(TRLYSE[[#This Row],[2024]]="","",TRLYSE[[#This Row],[2024]]+M70)</f>
        <v>21593</v>
      </c>
      <c r="N71" s="86">
        <f>IF(TRLYSE[[#This Row],[2024]]="","",+TRLYSE[[#This Row],[2023]]+N70)</f>
        <v>129017</v>
      </c>
      <c r="O71" s="97">
        <f>IF(TRLYSE[[#This Row],[Cumulé 2024]]="","",+(TRLYSE[[#This Row],[Cumulé 2024]]-TRLYSE[[#This Row],[Cumulé 2023]])/TRLYSE[[#This Row],[Cumulé 2023]])</f>
        <v>-0.83263445902477973</v>
      </c>
    </row>
    <row r="72" spans="1:15" ht="13.15" customHeight="1" x14ac:dyDescent="0.2">
      <c r="A72" s="79" t="s">
        <v>79</v>
      </c>
      <c r="B72" s="85">
        <f>IF(DONNÉES!CE114="","",DONNÉES!CE114)</f>
        <v>0</v>
      </c>
      <c r="C72" s="85">
        <f>IF(TRBIGNALET[[#This Row],[2024]]="","",DONNÉES!CF114)</f>
        <v>32633</v>
      </c>
      <c r="D72" s="96">
        <f>IF(TRBIGNALET[[#This Row],[2024]]="","",(TRBIGNALET[[#This Row],[2024]]-TRBIGNALET[[#This Row],[2023]])/TRBIGNALET[[#This Row],[2023]])</f>
        <v>-1</v>
      </c>
      <c r="E72" s="85">
        <f>IF(TRBIGNALET[[#This Row],[2024]]="","",TRBIGNALET[[#This Row],[2024]]+E71)</f>
        <v>20186</v>
      </c>
      <c r="F72" s="86">
        <f>IF(TRBIGNALET[[#This Row],[2024]]="","",+TRBIGNALET[[#This Row],[2023]]+F71)</f>
        <v>179932</v>
      </c>
      <c r="G72" s="97">
        <f>IF(TRBIGNALET[[#This Row],[Cumulé 2024]]="","",+(TRBIGNALET[[#This Row],[Cumulé 2024]]-TRBIGNALET[[#This Row],[Cumulé 2023]])/TRBIGNALET[[#This Row],[Cumulé 2023]])</f>
        <v>-0.88781317386568259</v>
      </c>
      <c r="H72" s="79"/>
      <c r="I72" s="79" t="s">
        <v>79</v>
      </c>
      <c r="J72" s="85">
        <f>IF(DONNÉES!CM114="","",DONNÉES!CM114)</f>
        <v>0</v>
      </c>
      <c r="K72" s="85">
        <f>IF(TRLYSE[[#This Row],[2024]]="","",DONNÉES!CN114)</f>
        <v>24747</v>
      </c>
      <c r="L72" s="96">
        <f>IF(TRLYSE[[#This Row],[2024]]="","",(TRLYSE[[#This Row],[2024]]-TRLYSE[[#This Row],[2023]])/TRLYSE[[#This Row],[2023]])</f>
        <v>-1</v>
      </c>
      <c r="M72" s="85">
        <f>IF(TRLYSE[[#This Row],[2024]]="","",TRLYSE[[#This Row],[2024]]+M71)</f>
        <v>21593</v>
      </c>
      <c r="N72" s="86">
        <f>IF(TRLYSE[[#This Row],[2024]]="","",+TRLYSE[[#This Row],[2023]]+N71)</f>
        <v>153764</v>
      </c>
      <c r="O72" s="97">
        <f>IF(TRLYSE[[#This Row],[Cumulé 2024]]="","",+(TRLYSE[[#This Row],[Cumulé 2024]]-TRLYSE[[#This Row],[Cumulé 2023]])/TRLYSE[[#This Row],[Cumulé 2023]])</f>
        <v>-0.85957051065268852</v>
      </c>
    </row>
    <row r="73" spans="1:15" ht="13.15" customHeight="1" x14ac:dyDescent="0.2">
      <c r="A73" s="81" t="s">
        <v>80</v>
      </c>
      <c r="B73" s="85">
        <f>IF(DONNÉES!CE115="","",DONNÉES!CE115)</f>
        <v>0</v>
      </c>
      <c r="C73" s="85">
        <f>IF(TRBIGNALET[[#This Row],[2024]]="","",DONNÉES!CF115)</f>
        <v>38999</v>
      </c>
      <c r="D73" s="96">
        <f>IF(TRBIGNALET[[#This Row],[2024]]="","",(TRBIGNALET[[#This Row],[2024]]-TRBIGNALET[[#This Row],[2023]])/TRBIGNALET[[#This Row],[2023]])</f>
        <v>-1</v>
      </c>
      <c r="E73" s="85">
        <f>IF(TRBIGNALET[[#This Row],[2024]]="","",TRBIGNALET[[#This Row],[2024]]+E72)</f>
        <v>20186</v>
      </c>
      <c r="F73" s="86">
        <f>IF(TRBIGNALET[[#This Row],[2024]]="","",+TRBIGNALET[[#This Row],[2023]]+F72)</f>
        <v>218931</v>
      </c>
      <c r="G73" s="97">
        <f>IF(TRBIGNALET[[#This Row],[Cumulé 2024]]="","",+(TRBIGNALET[[#This Row],[Cumulé 2024]]-TRBIGNALET[[#This Row],[Cumulé 2023]])/TRBIGNALET[[#This Row],[Cumulé 2023]])</f>
        <v>-0.90779743389469747</v>
      </c>
      <c r="H73" s="79"/>
      <c r="I73" s="81" t="s">
        <v>80</v>
      </c>
      <c r="J73" s="85">
        <f>IF(DONNÉES!CM115="","",DONNÉES!CM115)</f>
        <v>0</v>
      </c>
      <c r="K73" s="85">
        <f>IF(TRLYSE[[#This Row],[2024]]="","",DONNÉES!CN115)</f>
        <v>26557</v>
      </c>
      <c r="L73" s="96">
        <f>IF(TRLYSE[[#This Row],[2024]]="","",(TRLYSE[[#This Row],[2024]]-TRLYSE[[#This Row],[2023]])/TRLYSE[[#This Row],[2023]])</f>
        <v>-1</v>
      </c>
      <c r="M73" s="85">
        <f>IF(TRLYSE[[#This Row],[2024]]="","",TRLYSE[[#This Row],[2024]]+M72)</f>
        <v>21593</v>
      </c>
      <c r="N73" s="86">
        <f>IF(TRLYSE[[#This Row],[2024]]="","",+TRLYSE[[#This Row],[2023]]+N72)</f>
        <v>180321</v>
      </c>
      <c r="O73" s="97">
        <f>IF(TRLYSE[[#This Row],[Cumulé 2024]]="","",+(TRLYSE[[#This Row],[Cumulé 2024]]-TRLYSE[[#This Row],[Cumulé 2023]])/TRLYSE[[#This Row],[Cumulé 2023]])</f>
        <v>-0.88025243870652892</v>
      </c>
    </row>
    <row r="74" spans="1:15" ht="13.15" customHeight="1" x14ac:dyDescent="0.2">
      <c r="A74" s="79" t="s">
        <v>81</v>
      </c>
      <c r="B74" s="86">
        <f>IF(DONNÉES!CE116="","",DONNÉES!CE116)</f>
        <v>0</v>
      </c>
      <c r="C74" s="86">
        <f>IF(TRBIGNALET[[#This Row],[2024]]="","",DONNÉES!CF116)</f>
        <v>21940</v>
      </c>
      <c r="D74" s="97">
        <f>IF(TRBIGNALET[[#This Row],[2024]]="","",(TRBIGNALET[[#This Row],[2024]]-TRBIGNALET[[#This Row],[2023]])/TRBIGNALET[[#This Row],[2023]])</f>
        <v>-1</v>
      </c>
      <c r="E74" s="85">
        <f>IF(TRBIGNALET[[#This Row],[2024]]="","",TRBIGNALET[[#This Row],[2024]]+E73)</f>
        <v>20186</v>
      </c>
      <c r="F74" s="86">
        <f>IF(TRBIGNALET[[#This Row],[2024]]="","",+TRBIGNALET[[#This Row],[2023]]+F73)</f>
        <v>240871</v>
      </c>
      <c r="G74" s="97">
        <f>IF(TRBIGNALET[[#This Row],[Cumulé 2024]]="","",+(TRBIGNALET[[#This Row],[Cumulé 2024]]-TRBIGNALET[[#This Row],[Cumulé 2023]])/TRBIGNALET[[#This Row],[Cumulé 2023]])</f>
        <v>-0.91619580605386286</v>
      </c>
      <c r="I74" s="79" t="s">
        <v>81</v>
      </c>
      <c r="J74" s="86">
        <f>IF(DONNÉES!CM116="","",DONNÉES!CM116)</f>
        <v>0</v>
      </c>
      <c r="K74" s="86">
        <f>IF(TRLYSE[[#This Row],[2024]]="","",DONNÉES!CN116)</f>
        <v>21387</v>
      </c>
      <c r="L74" s="97">
        <f>IF(TRLYSE[[#This Row],[2024]]="","",(TRLYSE[[#This Row],[2024]]-TRLYSE[[#This Row],[2023]])/TRLYSE[[#This Row],[2023]])</f>
        <v>-1</v>
      </c>
      <c r="M74" s="85">
        <f>IF(TRLYSE[[#This Row],[2024]]="","",TRLYSE[[#This Row],[2024]]+M73)</f>
        <v>21593</v>
      </c>
      <c r="N74" s="86">
        <f>IF(TRLYSE[[#This Row],[2024]]="","",+TRLYSE[[#This Row],[2023]]+N73)</f>
        <v>201708</v>
      </c>
      <c r="O74" s="97">
        <f>IF(TRLYSE[[#This Row],[Cumulé 2024]]="","",+(TRLYSE[[#This Row],[Cumulé 2024]]-TRLYSE[[#This Row],[Cumulé 2023]])/TRLYSE[[#This Row],[Cumulé 2023]])</f>
        <v>-0.89294921371487501</v>
      </c>
    </row>
    <row r="75" spans="1:15" ht="13.15" customHeight="1" x14ac:dyDescent="0.2">
      <c r="A75" s="81" t="s">
        <v>82</v>
      </c>
      <c r="B75" s="86">
        <f>IF(DONNÉES!CE117="","",DONNÉES!CE117)</f>
        <v>0</v>
      </c>
      <c r="C75" s="86">
        <f>IF(TRBIGNALET[[#This Row],[2024]]="","",DONNÉES!CF117)</f>
        <v>23156</v>
      </c>
      <c r="D75" s="97">
        <f>IF(TRBIGNALET[[#This Row],[2024]]="","",(TRBIGNALET[[#This Row],[2024]]-TRBIGNALET[[#This Row],[2023]])/TRBIGNALET[[#This Row],[2023]])</f>
        <v>-1</v>
      </c>
      <c r="E75" s="85">
        <f>IF(TRBIGNALET[[#This Row],[2024]]="","",TRBIGNALET[[#This Row],[2024]]+E74)</f>
        <v>20186</v>
      </c>
      <c r="F75" s="86">
        <f>IF(TRBIGNALET[[#This Row],[2024]]="","",+TRBIGNALET[[#This Row],[2023]]+F74)</f>
        <v>264027</v>
      </c>
      <c r="G75" s="97">
        <f>IF(TRBIGNALET[[#This Row],[Cumulé 2024]]="","",+(TRBIGNALET[[#This Row],[Cumulé 2024]]-TRBIGNALET[[#This Row],[Cumulé 2023]])/TRBIGNALET[[#This Row],[Cumulé 2023]])</f>
        <v>-0.92354569797785835</v>
      </c>
      <c r="H75" s="79"/>
      <c r="I75" s="81" t="s">
        <v>82</v>
      </c>
      <c r="J75" s="86">
        <f>IF(DONNÉES!CM117="","",DONNÉES!CM117)</f>
        <v>0</v>
      </c>
      <c r="K75" s="86">
        <f>IF(TRLYSE[[#This Row],[2024]]="","",DONNÉES!CN117)</f>
        <v>22285</v>
      </c>
      <c r="L75" s="97">
        <f>IF(TRLYSE[[#This Row],[2024]]="","",(TRLYSE[[#This Row],[2024]]-TRLYSE[[#This Row],[2023]])/TRLYSE[[#This Row],[2023]])</f>
        <v>-1</v>
      </c>
      <c r="M75" s="85">
        <f>IF(TRLYSE[[#This Row],[2024]]="","",TRLYSE[[#This Row],[2024]]+M74)</f>
        <v>21593</v>
      </c>
      <c r="N75" s="86">
        <f>IF(TRLYSE[[#This Row],[2024]]="","",+TRLYSE[[#This Row],[2023]]+N74)</f>
        <v>223993</v>
      </c>
      <c r="O75" s="97">
        <f>IF(TRLYSE[[#This Row],[Cumulé 2024]]="","",+(TRLYSE[[#This Row],[Cumulé 2024]]-TRLYSE[[#This Row],[Cumulé 2023]])/TRLYSE[[#This Row],[Cumulé 2023]])</f>
        <v>-0.90359966606099296</v>
      </c>
    </row>
    <row r="76" spans="1:15" s="81" customFormat="1" ht="13.15" customHeight="1" x14ac:dyDescent="0.2">
      <c r="A76" s="79" t="s">
        <v>83</v>
      </c>
      <c r="B76" s="86">
        <f>IF(DONNÉES!CE118="","",DONNÉES!CE118)</f>
        <v>0</v>
      </c>
      <c r="C76" s="86">
        <f>IF(TRBIGNALET[[#This Row],[2024]]="","",DONNÉES!CF118)</f>
        <v>21996</v>
      </c>
      <c r="D76" s="97">
        <f>IF(TRBIGNALET[[#This Row],[2024]]="","",(TRBIGNALET[[#This Row],[2024]]-TRBIGNALET[[#This Row],[2023]])/TRBIGNALET[[#This Row],[2023]])</f>
        <v>-1</v>
      </c>
      <c r="E76" s="85">
        <f>IF(TRBIGNALET[[#This Row],[2024]]="","",TRBIGNALET[[#This Row],[2024]]+E75)</f>
        <v>20186</v>
      </c>
      <c r="F76" s="86">
        <f>IF(TRBIGNALET[[#This Row],[2024]]="","",+TRBIGNALET[[#This Row],[2023]]+F75)</f>
        <v>286023</v>
      </c>
      <c r="G76" s="97">
        <f>IF(TRBIGNALET[[#This Row],[Cumulé 2024]]="","",+(TRBIGNALET[[#This Row],[Cumulé 2024]]-TRBIGNALET[[#This Row],[Cumulé 2023]])/TRBIGNALET[[#This Row],[Cumulé 2023]])</f>
        <v>-0.92942525601088022</v>
      </c>
      <c r="I76" s="79" t="s">
        <v>83</v>
      </c>
      <c r="J76" s="86">
        <f>IF(DONNÉES!CM118="","",DONNÉES!CM118)</f>
        <v>0</v>
      </c>
      <c r="K76" s="86">
        <f>IF(TRLYSE[[#This Row],[2024]]="","",DONNÉES!CN118)</f>
        <v>22181</v>
      </c>
      <c r="L76" s="97">
        <f>IF(TRLYSE[[#This Row],[2024]]="","",(TRLYSE[[#This Row],[2024]]-TRLYSE[[#This Row],[2023]])/TRLYSE[[#This Row],[2023]])</f>
        <v>-1</v>
      </c>
      <c r="M76" s="85">
        <f>IF(TRLYSE[[#This Row],[2024]]="","",TRLYSE[[#This Row],[2024]]+M75)</f>
        <v>21593</v>
      </c>
      <c r="N76" s="86">
        <f>IF(TRLYSE[[#This Row],[2024]]="","",+TRLYSE[[#This Row],[2023]]+N75)</f>
        <v>246174</v>
      </c>
      <c r="O76" s="97">
        <f>IF(TRLYSE[[#This Row],[Cumulé 2024]]="","",+(TRLYSE[[#This Row],[Cumulé 2024]]-TRLYSE[[#This Row],[Cumulé 2023]])/TRLYSE[[#This Row],[Cumulé 2023]])</f>
        <v>-0.912285619114935</v>
      </c>
    </row>
    <row r="77" spans="1:15" s="81" customFormat="1" ht="13.15" customHeight="1" x14ac:dyDescent="0.2">
      <c r="A77" s="79" t="s">
        <v>84</v>
      </c>
      <c r="B77" s="86">
        <f>IF(DONNÉES!CE119="","",DONNÉES!CE119)</f>
        <v>0</v>
      </c>
      <c r="C77" s="86">
        <f>IF(TRBIGNALET[[#This Row],[2024]]="","",DONNÉES!CF119)</f>
        <v>20581</v>
      </c>
      <c r="D77" s="97">
        <f>IF(TRBIGNALET[[#This Row],[2024]]="","",(TRBIGNALET[[#This Row],[2024]]-TRBIGNALET[[#This Row],[2023]])/TRBIGNALET[[#This Row],[2023]])</f>
        <v>-1</v>
      </c>
      <c r="E77" s="85">
        <f>IF(TRBIGNALET[[#This Row],[2024]]="","",TRBIGNALET[[#This Row],[2024]]+E76)</f>
        <v>20186</v>
      </c>
      <c r="F77" s="86">
        <f>IF(TRBIGNALET[[#This Row],[2024]]="","",+TRBIGNALET[[#This Row],[2023]]+F76)</f>
        <v>306604</v>
      </c>
      <c r="G77" s="97">
        <f>IF(TRBIGNALET[[#This Row],[Cumulé 2024]]="","",+(TRBIGNALET[[#This Row],[Cumulé 2024]]-TRBIGNALET[[#This Row],[Cumulé 2023]])/TRBIGNALET[[#This Row],[Cumulé 2023]])</f>
        <v>-0.93416263323374782</v>
      </c>
      <c r="I77" s="79" t="s">
        <v>84</v>
      </c>
      <c r="J77" s="86">
        <f>IF(DONNÉES!CM119="","",DONNÉES!CM119)</f>
        <v>0</v>
      </c>
      <c r="K77" s="86">
        <f>IF(TRLYSE[[#This Row],[2024]]="","",DONNÉES!CN119)</f>
        <v>22967</v>
      </c>
      <c r="L77" s="97">
        <f>IF(TRLYSE[[#This Row],[2024]]="","",(TRLYSE[[#This Row],[2024]]-TRLYSE[[#This Row],[2023]])/TRLYSE[[#This Row],[2023]])</f>
        <v>-1</v>
      </c>
      <c r="M77" s="85">
        <f>IF(TRLYSE[[#This Row],[2024]]="","",TRLYSE[[#This Row],[2024]]+M76)</f>
        <v>21593</v>
      </c>
      <c r="N77" s="86">
        <f>IF(TRLYSE[[#This Row],[2024]]="","",+TRLYSE[[#This Row],[2023]]+N76)</f>
        <v>269141</v>
      </c>
      <c r="O77" s="97">
        <f>IF(TRLYSE[[#This Row],[Cumulé 2024]]="","",+(TRLYSE[[#This Row],[Cumulé 2024]]-TRLYSE[[#This Row],[Cumulé 2023]])/TRLYSE[[#This Row],[Cumulé 2023]])</f>
        <v>-0.91977067782314847</v>
      </c>
    </row>
    <row r="78" spans="1:15" s="81" customFormat="1" ht="16.899999999999999" customHeight="1" x14ac:dyDescent="0.2">
      <c r="A78" s="46" t="s">
        <v>134</v>
      </c>
      <c r="B78" s="92">
        <f>SUBTOTAL(109,TRBIGNALET[2024])</f>
        <v>20186</v>
      </c>
      <c r="C78" s="92">
        <f>SUBTOTAL(109,TRBIGNALET[2023])</f>
        <v>306604</v>
      </c>
      <c r="D78" s="125"/>
      <c r="E78" s="93"/>
      <c r="F78" s="92"/>
      <c r="G78" s="125"/>
      <c r="I78" s="46" t="s">
        <v>135</v>
      </c>
      <c r="J78" s="92">
        <f>SUBTOTAL(109,TRLYSE[2024])</f>
        <v>21593</v>
      </c>
      <c r="K78" s="92">
        <f>SUBTOTAL(109,TRLYSE[2023])</f>
        <v>269141</v>
      </c>
      <c r="L78" s="125"/>
      <c r="M78" s="93"/>
      <c r="N78" s="92"/>
      <c r="O78" s="161"/>
    </row>
    <row r="79" spans="1:15" ht="30.6" customHeight="1" x14ac:dyDescent="0.2">
      <c r="H79" s="79"/>
    </row>
    <row r="80" spans="1:15" ht="33" customHeight="1" x14ac:dyDescent="0.2">
      <c r="A80" s="79" t="s">
        <v>296</v>
      </c>
      <c r="B80" s="94" t="s">
        <v>6962</v>
      </c>
      <c r="C80" s="94" t="s">
        <v>2169</v>
      </c>
      <c r="D80" s="100" t="s">
        <v>136</v>
      </c>
      <c r="E80" s="95" t="s">
        <v>6993</v>
      </c>
      <c r="F80" s="95" t="s">
        <v>6952</v>
      </c>
      <c r="G80" s="100" t="s">
        <v>137</v>
      </c>
      <c r="H80" s="79"/>
      <c r="I80" s="79" t="s">
        <v>297</v>
      </c>
      <c r="J80" s="94" t="s">
        <v>6962</v>
      </c>
      <c r="K80" s="94" t="s">
        <v>2169</v>
      </c>
      <c r="L80" s="100" t="s">
        <v>136</v>
      </c>
      <c r="M80" s="95" t="s">
        <v>6993</v>
      </c>
      <c r="N80" s="95" t="s">
        <v>6952</v>
      </c>
      <c r="O80" s="100" t="s">
        <v>137</v>
      </c>
    </row>
    <row r="81" spans="1:15" ht="13.15" customHeight="1" x14ac:dyDescent="0.2">
      <c r="A81" s="81" t="s">
        <v>73</v>
      </c>
      <c r="B81" s="85">
        <f>IF(DONNÉES!BW108="","",DONNÉES!BW108)</f>
        <v>13437</v>
      </c>
      <c r="C81" s="85">
        <f>IF(TRDIVES[[#This Row],[2024]]="","",DONNÉES!BX108)</f>
        <v>12786</v>
      </c>
      <c r="D81" s="96">
        <f>IF(TRDIVES[[#This Row],[2024]]="","",(TRDIVES[[#This Row],[2024]]-TRDIVES[[#This Row],[2023]])/TRDIVES[[#This Row],[2023]])</f>
        <v>5.0915063350539649E-2</v>
      </c>
      <c r="E81" s="85">
        <f>IF(TRDIVES[[#This Row],[2024]]="","",TRDIVES[[#This Row],[2024]])</f>
        <v>13437</v>
      </c>
      <c r="F81" s="86">
        <f>IF(TRDIVES[[#This Row],[2024]]="","",+TRDIVES[[#This Row],[2023]])</f>
        <v>12786</v>
      </c>
      <c r="G81" s="97">
        <f>IF(TRDIVES[[#This Row],[Cumulé 2024]]="","",+(TRDIVES[[#This Row],[Cumulé 2024]]-TRDIVES[[#This Row],[Cumulé 2023]])/TRDIVES[[#This Row],[Cumulé 2023]])</f>
        <v>5.0915063350539649E-2</v>
      </c>
      <c r="H81" s="79"/>
      <c r="I81" s="81" t="s">
        <v>73</v>
      </c>
      <c r="J81" s="85">
        <f>IF(DONNÉES!BO108="","",DONNÉES!BO108)</f>
        <v>21816</v>
      </c>
      <c r="K81" s="85">
        <f>IF(TRTH4[[#This Row],[2024]]="","",DONNÉES!BP108)</f>
        <v>20262</v>
      </c>
      <c r="L81" s="102">
        <f>IF(TRTH4[[#This Row],[2024]]="","",(TRTH4[[#This Row],[2024]]-TRTH4[[#This Row],[2023]])/TRTH4[[#This Row],[2023]])</f>
        <v>7.6695291679005032E-2</v>
      </c>
      <c r="M81" s="87">
        <f>IF(TRTH4[[#This Row],[2024]]="","",TRTH4[[#This Row],[2024]])</f>
        <v>21816</v>
      </c>
      <c r="N81" s="86">
        <f>IF(TRTH4[[#This Row],[2024]]="","",+TRTH4[[#This Row],[2023]])</f>
        <v>20262</v>
      </c>
      <c r="O81" s="103">
        <f>IF(TRTH4[[#This Row],[Cumulé 2024]]="","",+(TRTH4[[#This Row],[Cumulé 2024]]-TRTH4[[#This Row],[Cumulé 2023]])/TRTH4[[#This Row],[Cumulé 2023]])</f>
        <v>7.6695291679005032E-2</v>
      </c>
    </row>
    <row r="82" spans="1:15" ht="13.15" customHeight="1" x14ac:dyDescent="0.2">
      <c r="A82" s="81" t="s">
        <v>74</v>
      </c>
      <c r="B82" s="85">
        <f>IF(DONNÉES!BW109="","",DONNÉES!BW109)</f>
        <v>0</v>
      </c>
      <c r="C82" s="85">
        <f>IF(TRDIVES[[#This Row],[2024]]="","",DONNÉES!BX109)</f>
        <v>12955</v>
      </c>
      <c r="D82" s="96">
        <f>IF(TRDIVES[[#This Row],[2024]]="","",(TRDIVES[[#This Row],[2024]]-TRDIVES[[#This Row],[2023]])/TRDIVES[[#This Row],[2023]])</f>
        <v>-1</v>
      </c>
      <c r="E82" s="85">
        <f>IF(TRDIVES[[#This Row],[2024]]="","",TRDIVES[[#This Row],[2024]]+E81)</f>
        <v>13437</v>
      </c>
      <c r="F82" s="86">
        <f>IF(TRDIVES[[#This Row],[2024]]="","",+TRDIVES[[#This Row],[2023]]+F81)</f>
        <v>25741</v>
      </c>
      <c r="G82" s="97">
        <f>IF(TRDIVES[[#This Row],[Cumulé 2024]]="","",+(TRDIVES[[#This Row],[Cumulé 2024]]-TRDIVES[[#This Row],[Cumulé 2023]])/TRDIVES[[#This Row],[Cumulé 2023]])</f>
        <v>-0.47799230799114256</v>
      </c>
      <c r="H82" s="79"/>
      <c r="I82" s="81" t="s">
        <v>74</v>
      </c>
      <c r="J82" s="85">
        <f>IF(DONNÉES!BO109="","",DONNÉES!BO109)</f>
        <v>0</v>
      </c>
      <c r="K82" s="85">
        <f>IF(TRTH4[[#This Row],[2024]]="","",DONNÉES!BP109)</f>
        <v>19869</v>
      </c>
      <c r="L82" s="102">
        <f>IF(TRTH4[[#This Row],[2024]]="","",(TRTH4[[#This Row],[2024]]-TRTH4[[#This Row],[2023]])/TRTH4[[#This Row],[2023]])</f>
        <v>-1</v>
      </c>
      <c r="M82" s="87">
        <f>IF(TRTH4[[#This Row],[2024]]="","",TRTH4[[#This Row],[2024]]+M81)</f>
        <v>21816</v>
      </c>
      <c r="N82" s="86">
        <f>IF(TRTH4[[#This Row],[2024]]="","",+TRTH4[[#This Row],[2023]]+N81)</f>
        <v>40131</v>
      </c>
      <c r="O82" s="103">
        <f>IF(TRTH4[[#This Row],[Cumulé 2024]]="","",+(TRTH4[[#This Row],[Cumulé 2024]]-TRTH4[[#This Row],[Cumulé 2023]])/TRTH4[[#This Row],[Cumulé 2023]])</f>
        <v>-0.456380354339538</v>
      </c>
    </row>
    <row r="83" spans="1:15" ht="13.15" customHeight="1" x14ac:dyDescent="0.2">
      <c r="A83" s="79" t="s">
        <v>75</v>
      </c>
      <c r="B83" s="85">
        <f>IF(DONNÉES!BW110="","",DONNÉES!BW110)</f>
        <v>0</v>
      </c>
      <c r="C83" s="85">
        <f>IF(TRDIVES[[#This Row],[2024]]="","",DONNÉES!BX110)</f>
        <v>14884</v>
      </c>
      <c r="D83" s="96">
        <f>IF(TRDIVES[[#This Row],[2024]]="","",(TRDIVES[[#This Row],[2024]]-TRDIVES[[#This Row],[2023]])/TRDIVES[[#This Row],[2023]])</f>
        <v>-1</v>
      </c>
      <c r="E83" s="85">
        <f>IF(TRDIVES[[#This Row],[2024]]="","",TRDIVES[[#This Row],[2024]]+E82)</f>
        <v>13437</v>
      </c>
      <c r="F83" s="86">
        <f>IF(TRDIVES[[#This Row],[2024]]="","",+TRDIVES[[#This Row],[2023]]+F82)</f>
        <v>40625</v>
      </c>
      <c r="G83" s="97">
        <f>IF(TRDIVES[[#This Row],[Cumulé 2024]]="","",+(TRDIVES[[#This Row],[Cumulé 2024]]-TRDIVES[[#This Row],[Cumulé 2023]])/TRDIVES[[#This Row],[Cumulé 2023]])</f>
        <v>-0.66924307692307694</v>
      </c>
      <c r="H83" s="79"/>
      <c r="I83" s="79" t="s">
        <v>75</v>
      </c>
      <c r="J83" s="85">
        <f>IF(DONNÉES!BO110="","",DONNÉES!BO110)</f>
        <v>0</v>
      </c>
      <c r="K83" s="85">
        <f>IF(TRTH4[[#This Row],[2024]]="","",DONNÉES!BP110)</f>
        <v>21583</v>
      </c>
      <c r="L83" s="102">
        <f>IF(TRTH4[[#This Row],[2024]]="","",(TRTH4[[#This Row],[2024]]-TRTH4[[#This Row],[2023]])/TRTH4[[#This Row],[2023]])</f>
        <v>-1</v>
      </c>
      <c r="M83" s="87">
        <f>IF(TRTH4[[#This Row],[2024]]="","",TRTH4[[#This Row],[2024]]+M82)</f>
        <v>21816</v>
      </c>
      <c r="N83" s="86">
        <f>IF(TRTH4[[#This Row],[2024]]="","",+TRTH4[[#This Row],[2023]]+N82)</f>
        <v>61714</v>
      </c>
      <c r="O83" s="103">
        <f>IF(TRTH4[[#This Row],[Cumulé 2024]]="","",+(TRTH4[[#This Row],[Cumulé 2024]]-TRTH4[[#This Row],[Cumulé 2023]])/TRTH4[[#This Row],[Cumulé 2023]])</f>
        <v>-0.64649836341834921</v>
      </c>
    </row>
    <row r="84" spans="1:15" ht="13.15" customHeight="1" x14ac:dyDescent="0.2">
      <c r="A84" s="81" t="s">
        <v>76</v>
      </c>
      <c r="B84" s="85">
        <f>IF(DONNÉES!BW111="","",DONNÉES!BW111)</f>
        <v>0</v>
      </c>
      <c r="C84" s="85">
        <f>IF(TRDIVES[[#This Row],[2024]]="","",DONNÉES!BX111)</f>
        <v>16139</v>
      </c>
      <c r="D84" s="96">
        <f>IF(TRDIVES[[#This Row],[2024]]="","",(TRDIVES[[#This Row],[2024]]-TRDIVES[[#This Row],[2023]])/TRDIVES[[#This Row],[2023]])</f>
        <v>-1</v>
      </c>
      <c r="E84" s="85">
        <f>IF(TRDIVES[[#This Row],[2024]]="","",TRDIVES[[#This Row],[2024]]+E83)</f>
        <v>13437</v>
      </c>
      <c r="F84" s="86">
        <f>IF(TRDIVES[[#This Row],[2024]]="","",+TRDIVES[[#This Row],[2023]]+F83)</f>
        <v>56764</v>
      </c>
      <c r="G84" s="97">
        <f>IF(TRDIVES[[#This Row],[Cumulé 2024]]="","",+(TRDIVES[[#This Row],[Cumulé 2024]]-TRDIVES[[#This Row],[Cumulé 2023]])/TRDIVES[[#This Row],[Cumulé 2023]])</f>
        <v>-0.76328306673243607</v>
      </c>
      <c r="I84" s="81" t="s">
        <v>76</v>
      </c>
      <c r="J84" s="85">
        <f>IF(DONNÉES!BO111="","",DONNÉES!BO111)</f>
        <v>0</v>
      </c>
      <c r="K84" s="85">
        <f>IF(TRTH4[[#This Row],[2024]]="","",DONNÉES!BP111)</f>
        <v>21361</v>
      </c>
      <c r="L84" s="102">
        <f>IF(TRTH4[[#This Row],[2024]]="","",(TRTH4[[#This Row],[2024]]-TRTH4[[#This Row],[2023]])/TRTH4[[#This Row],[2023]])</f>
        <v>-1</v>
      </c>
      <c r="M84" s="87">
        <f>IF(TRTH4[[#This Row],[2024]]="","",TRTH4[[#This Row],[2024]]+M83)</f>
        <v>21816</v>
      </c>
      <c r="N84" s="86">
        <f>IF(TRTH4[[#This Row],[2024]]="","",+TRTH4[[#This Row],[2023]]+N83)</f>
        <v>83075</v>
      </c>
      <c r="O84" s="103">
        <f>IF(TRTH4[[#This Row],[Cumulé 2024]]="","",+(TRTH4[[#This Row],[Cumulé 2024]]-TRTH4[[#This Row],[Cumulé 2023]])/TRTH4[[#This Row],[Cumulé 2023]])</f>
        <v>-0.73739392115558233</v>
      </c>
    </row>
    <row r="85" spans="1:15" ht="13.15" customHeight="1" x14ac:dyDescent="0.2">
      <c r="A85" s="79" t="s">
        <v>77</v>
      </c>
      <c r="B85" s="85">
        <f>IF(DONNÉES!BW112="","",DONNÉES!BW112)</f>
        <v>0</v>
      </c>
      <c r="C85" s="85">
        <f>IF(TRDIVES[[#This Row],[2024]]="","",DONNÉES!BX112)</f>
        <v>17238</v>
      </c>
      <c r="D85" s="96">
        <f>IF(TRDIVES[[#This Row],[2024]]="","",(TRDIVES[[#This Row],[2024]]-TRDIVES[[#This Row],[2023]])/TRDIVES[[#This Row],[2023]])</f>
        <v>-1</v>
      </c>
      <c r="E85" s="85">
        <f>IF(TRDIVES[[#This Row],[2024]]="","",TRDIVES[[#This Row],[2024]]+E84)</f>
        <v>13437</v>
      </c>
      <c r="F85" s="86">
        <f>IF(TRDIVES[[#This Row],[2024]]="","",+TRDIVES[[#This Row],[2023]]+F84)</f>
        <v>74002</v>
      </c>
      <c r="G85" s="97">
        <f>IF(TRDIVES[[#This Row],[Cumulé 2024]]="","",+(TRDIVES[[#This Row],[Cumulé 2024]]-TRDIVES[[#This Row],[Cumulé 2023]])/TRDIVES[[#This Row],[Cumulé 2023]])</f>
        <v>-0.81842382638307076</v>
      </c>
      <c r="H85" s="79"/>
      <c r="I85" s="79" t="s">
        <v>77</v>
      </c>
      <c r="J85" s="85">
        <f>IF(DONNÉES!BO112="","",DONNÉES!BO112)</f>
        <v>0</v>
      </c>
      <c r="K85" s="85">
        <f>IF(TRTH4[[#This Row],[2024]]="","",DONNÉES!BP112)</f>
        <v>22771</v>
      </c>
      <c r="L85" s="102">
        <f>IF(TRTH4[[#This Row],[2024]]="","",(TRTH4[[#This Row],[2024]]-TRTH4[[#This Row],[2023]])/TRTH4[[#This Row],[2023]])</f>
        <v>-1</v>
      </c>
      <c r="M85" s="87">
        <f>IF(TRTH4[[#This Row],[2024]]="","",TRTH4[[#This Row],[2024]]+M84)</f>
        <v>21816</v>
      </c>
      <c r="N85" s="86">
        <f>IF(TRTH4[[#This Row],[2024]]="","",+TRTH4[[#This Row],[2023]]+N84)</f>
        <v>105846</v>
      </c>
      <c r="O85" s="103">
        <f>IF(TRTH4[[#This Row],[Cumulé 2024]]="","",+(TRTH4[[#This Row],[Cumulé 2024]]-TRTH4[[#This Row],[Cumulé 2023]])/TRTH4[[#This Row],[Cumulé 2023]])</f>
        <v>-0.79388923530412103</v>
      </c>
    </row>
    <row r="86" spans="1:15" s="81" customFormat="1" ht="13.15" customHeight="1" x14ac:dyDescent="0.2">
      <c r="A86" s="81" t="s">
        <v>78</v>
      </c>
      <c r="B86" s="85">
        <f>IF(DONNÉES!BW113="","",DONNÉES!BW113)</f>
        <v>0</v>
      </c>
      <c r="C86" s="85">
        <f>IF(TRDIVES[[#This Row],[2024]]="","",DONNÉES!BX113)</f>
        <v>16189</v>
      </c>
      <c r="D86" s="96">
        <f>IF(TRDIVES[[#This Row],[2024]]="","",(TRDIVES[[#This Row],[2024]]-TRDIVES[[#This Row],[2023]])/TRDIVES[[#This Row],[2023]])</f>
        <v>-1</v>
      </c>
      <c r="E86" s="85">
        <f>IF(TRDIVES[[#This Row],[2024]]="","",TRDIVES[[#This Row],[2024]]+E85)</f>
        <v>13437</v>
      </c>
      <c r="F86" s="86">
        <f>IF(TRDIVES[[#This Row],[2024]]="","",+TRDIVES[[#This Row],[2023]]+F85)</f>
        <v>90191</v>
      </c>
      <c r="G86" s="97">
        <f>IF(TRDIVES[[#This Row],[Cumulé 2024]]="","",+(TRDIVES[[#This Row],[Cumulé 2024]]-TRDIVES[[#This Row],[Cumulé 2023]])/TRDIVES[[#This Row],[Cumulé 2023]])</f>
        <v>-0.85101617678038832</v>
      </c>
      <c r="I86" s="81" t="s">
        <v>78</v>
      </c>
      <c r="J86" s="85">
        <f>IF(DONNÉES!BO113="","",DONNÉES!BO113)</f>
        <v>0</v>
      </c>
      <c r="K86" s="85">
        <f>IF(TRTH4[[#This Row],[2024]]="","",DONNÉES!BP113)</f>
        <v>21636</v>
      </c>
      <c r="L86" s="102">
        <f>IF(TRTH4[[#This Row],[2024]]="","",(TRTH4[[#This Row],[2024]]-TRTH4[[#This Row],[2023]])/TRTH4[[#This Row],[2023]])</f>
        <v>-1</v>
      </c>
      <c r="M86" s="87">
        <f>IF(TRTH4[[#This Row],[2024]]="","",TRTH4[[#This Row],[2024]]+M85)</f>
        <v>21816</v>
      </c>
      <c r="N86" s="86">
        <f>IF(TRTH4[[#This Row],[2024]]="","",+TRTH4[[#This Row],[2023]]+N85)</f>
        <v>127482</v>
      </c>
      <c r="O86" s="103">
        <f>IF(TRTH4[[#This Row],[Cumulé 2024]]="","",+(TRTH4[[#This Row],[Cumulé 2024]]-TRTH4[[#This Row],[Cumulé 2023]])/TRTH4[[#This Row],[Cumulé 2023]])</f>
        <v>-0.82886995811173347</v>
      </c>
    </row>
    <row r="87" spans="1:15" s="81" customFormat="1" ht="13.15" customHeight="1" x14ac:dyDescent="0.2">
      <c r="A87" s="79" t="s">
        <v>79</v>
      </c>
      <c r="B87" s="85">
        <f>IF(DONNÉES!BW114="","",DONNÉES!BW114)</f>
        <v>0</v>
      </c>
      <c r="C87" s="85">
        <f>IF(TRDIVES[[#This Row],[2024]]="","",DONNÉES!BX114)</f>
        <v>21733</v>
      </c>
      <c r="D87" s="96">
        <f>IF(TRDIVES[[#This Row],[2024]]="","",(TRDIVES[[#This Row],[2024]]-TRDIVES[[#This Row],[2023]])/TRDIVES[[#This Row],[2023]])</f>
        <v>-1</v>
      </c>
      <c r="E87" s="85">
        <f>IF(TRDIVES[[#This Row],[2024]]="","",TRDIVES[[#This Row],[2024]]+E86)</f>
        <v>13437</v>
      </c>
      <c r="F87" s="86">
        <f>IF(TRDIVES[[#This Row],[2024]]="","",+TRDIVES[[#This Row],[2023]]+F86)</f>
        <v>111924</v>
      </c>
      <c r="G87" s="97">
        <f>IF(TRDIVES[[#This Row],[Cumulé 2024]]="","",+(TRDIVES[[#This Row],[Cumulé 2024]]-TRDIVES[[#This Row],[Cumulé 2023]])/TRDIVES[[#This Row],[Cumulé 2023]])</f>
        <v>-0.8799453200385976</v>
      </c>
      <c r="I87" s="79" t="s">
        <v>79</v>
      </c>
      <c r="J87" s="85">
        <f>IF(DONNÉES!BO114="","",DONNÉES!BO114)</f>
        <v>0</v>
      </c>
      <c r="K87" s="85">
        <f>IF(TRTH4[[#This Row],[2024]]="","",DONNÉES!BP114)</f>
        <v>20309</v>
      </c>
      <c r="L87" s="102">
        <f>IF(TRTH4[[#This Row],[2024]]="","",(TRTH4[[#This Row],[2024]]-TRTH4[[#This Row],[2023]])/TRTH4[[#This Row],[2023]])</f>
        <v>-1</v>
      </c>
      <c r="M87" s="87">
        <f>IF(TRTH4[[#This Row],[2024]]="","",TRTH4[[#This Row],[2024]]+M86)</f>
        <v>21816</v>
      </c>
      <c r="N87" s="86">
        <f>IF(TRTH4[[#This Row],[2024]]="","",+TRTH4[[#This Row],[2023]]+N86)</f>
        <v>147791</v>
      </c>
      <c r="O87" s="103">
        <f>IF(TRTH4[[#This Row],[Cumulé 2024]]="","",+(TRTH4[[#This Row],[Cumulé 2024]]-TRTH4[[#This Row],[Cumulé 2023]])/TRTH4[[#This Row],[Cumulé 2023]])</f>
        <v>-0.85238613988673195</v>
      </c>
    </row>
    <row r="88" spans="1:15" s="81" customFormat="1" ht="13.15" customHeight="1" x14ac:dyDescent="0.2">
      <c r="A88" s="81" t="s">
        <v>80</v>
      </c>
      <c r="B88" s="85">
        <f>IF(DONNÉES!BW115="","",DONNÉES!BW115)</f>
        <v>0</v>
      </c>
      <c r="C88" s="85">
        <f>IF(TRDIVES[[#This Row],[2024]]="","",DONNÉES!BX115)</f>
        <v>23316</v>
      </c>
      <c r="D88" s="96">
        <f>IF(TRDIVES[[#This Row],[2024]]="","",(TRDIVES[[#This Row],[2024]]-TRDIVES[[#This Row],[2023]])/TRDIVES[[#This Row],[2023]])</f>
        <v>-1</v>
      </c>
      <c r="E88" s="85">
        <f>IF(TRDIVES[[#This Row],[2024]]="","",TRDIVES[[#This Row],[2024]]+E87)</f>
        <v>13437</v>
      </c>
      <c r="F88" s="86">
        <f>IF(TRDIVES[[#This Row],[2024]]="","",+TRDIVES[[#This Row],[2023]]+F87)</f>
        <v>135240</v>
      </c>
      <c r="G88" s="97">
        <f>IF(TRDIVES[[#This Row],[Cumulé 2024]]="","",+(TRDIVES[[#This Row],[Cumulé 2024]]-TRDIVES[[#This Row],[Cumulé 2023]])/TRDIVES[[#This Row],[Cumulé 2023]])</f>
        <v>-0.90064330079858035</v>
      </c>
      <c r="I88" s="81" t="s">
        <v>80</v>
      </c>
      <c r="J88" s="85">
        <f>IF(DONNÉES!BO115="","",DONNÉES!BO115)</f>
        <v>0</v>
      </c>
      <c r="K88" s="85">
        <f>IF(TRTH4[[#This Row],[2024]]="","",DONNÉES!BP115)</f>
        <v>20432</v>
      </c>
      <c r="L88" s="102">
        <f>IF(TRTH4[[#This Row],[2024]]="","",(TRTH4[[#This Row],[2024]]-TRTH4[[#This Row],[2023]])/TRTH4[[#This Row],[2023]])</f>
        <v>-1</v>
      </c>
      <c r="M88" s="87">
        <f>IF(TRTH4[[#This Row],[2024]]="","",TRTH4[[#This Row],[2024]]+M87)</f>
        <v>21816</v>
      </c>
      <c r="N88" s="86">
        <f>IF(TRTH4[[#This Row],[2024]]="","",+TRTH4[[#This Row],[2023]]+N87)</f>
        <v>168223</v>
      </c>
      <c r="O88" s="103">
        <f>IF(TRTH4[[#This Row],[Cumulé 2024]]="","",+(TRTH4[[#This Row],[Cumulé 2024]]-TRTH4[[#This Row],[Cumulé 2023]])/TRTH4[[#This Row],[Cumulé 2023]])</f>
        <v>-0.87031499854359984</v>
      </c>
    </row>
    <row r="89" spans="1:15" ht="13.15" customHeight="1" x14ac:dyDescent="0.2">
      <c r="A89" s="79" t="s">
        <v>81</v>
      </c>
      <c r="B89" s="86">
        <f>IF(DONNÉES!BW116="","",DONNÉES!BW116)</f>
        <v>0</v>
      </c>
      <c r="C89" s="86">
        <f>IF(TRDIVES[[#This Row],[2024]]="","",DONNÉES!BX116)</f>
        <v>14180</v>
      </c>
      <c r="D89" s="97">
        <f>IF(TRDIVES[[#This Row],[2024]]="","",(TRDIVES[[#This Row],[2024]]-TRDIVES[[#This Row],[2023]])/TRDIVES[[#This Row],[2023]])</f>
        <v>-1</v>
      </c>
      <c r="E89" s="85">
        <f>IF(TRDIVES[[#This Row],[2024]]="","",TRDIVES[[#This Row],[2024]]+E88)</f>
        <v>13437</v>
      </c>
      <c r="F89" s="86">
        <f>IF(TRDIVES[[#This Row],[2024]]="","",+TRDIVES[[#This Row],[2023]]+F88)</f>
        <v>149420</v>
      </c>
      <c r="G89" s="97">
        <f>IF(TRDIVES[[#This Row],[Cumulé 2024]]="","",+(TRDIVES[[#This Row],[Cumulé 2024]]-TRDIVES[[#This Row],[Cumulé 2023]])/TRDIVES[[#This Row],[Cumulé 2023]])</f>
        <v>-0.9100722794806585</v>
      </c>
      <c r="H89" s="79"/>
      <c r="I89" s="79" t="s">
        <v>81</v>
      </c>
      <c r="J89" s="86">
        <f>IF(DONNÉES!BO116="","",DONNÉES!BO116)</f>
        <v>0</v>
      </c>
      <c r="K89" s="86">
        <f>IF(TRTH4[[#This Row],[2024]]="","",DONNÉES!BP116)</f>
        <v>21032</v>
      </c>
      <c r="L89" s="103">
        <f>IF(TRTH4[[#This Row],[2024]]="","",(TRTH4[[#This Row],[2024]]-TRTH4[[#This Row],[2023]])/TRTH4[[#This Row],[2023]])</f>
        <v>-1</v>
      </c>
      <c r="M89" s="87">
        <f>IF(TRTH4[[#This Row],[2024]]="","",TRTH4[[#This Row],[2024]]+M88)</f>
        <v>21816</v>
      </c>
      <c r="N89" s="86">
        <f>IF(TRTH4[[#This Row],[2024]]="","",+TRTH4[[#This Row],[2023]]+N88)</f>
        <v>189255</v>
      </c>
      <c r="O89" s="103">
        <f>IF(TRTH4[[#This Row],[Cumulé 2024]]="","",+(TRTH4[[#This Row],[Cumulé 2024]]-TRTH4[[#This Row],[Cumulé 2023]])/TRTH4[[#This Row],[Cumulé 2023]])</f>
        <v>-0.88472695569469761</v>
      </c>
    </row>
    <row r="90" spans="1:15" ht="13.15" customHeight="1" x14ac:dyDescent="0.2">
      <c r="A90" s="81" t="s">
        <v>82</v>
      </c>
      <c r="B90" s="86">
        <f>IF(DONNÉES!BW117="","",DONNÉES!BW117)</f>
        <v>0</v>
      </c>
      <c r="C90" s="86">
        <f>IF(TRDIVES[[#This Row],[2024]]="","",DONNÉES!BX117)</f>
        <v>15297</v>
      </c>
      <c r="D90" s="97">
        <f>IF(TRDIVES[[#This Row],[2024]]="","",(TRDIVES[[#This Row],[2024]]-TRDIVES[[#This Row],[2023]])/TRDIVES[[#This Row],[2023]])</f>
        <v>-1</v>
      </c>
      <c r="E90" s="85">
        <f>IF(TRDIVES[[#This Row],[2024]]="","",TRDIVES[[#This Row],[2024]]+E89)</f>
        <v>13437</v>
      </c>
      <c r="F90" s="86">
        <f>IF(TRDIVES[[#This Row],[2024]]="","",+TRDIVES[[#This Row],[2023]]+F89)</f>
        <v>164717</v>
      </c>
      <c r="G90" s="97">
        <f>IF(TRDIVES[[#This Row],[Cumulé 2024]]="","",+(TRDIVES[[#This Row],[Cumulé 2024]]-TRDIVES[[#This Row],[Cumulé 2023]])/TRDIVES[[#This Row],[Cumulé 2023]])</f>
        <v>-0.91842372068456812</v>
      </c>
      <c r="H90" s="79"/>
      <c r="I90" s="81" t="s">
        <v>82</v>
      </c>
      <c r="J90" s="86">
        <f>IF(DONNÉES!BO117="","",DONNÉES!BO117)</f>
        <v>0</v>
      </c>
      <c r="K90" s="86">
        <f>IF(TRTH4[[#This Row],[2024]]="","",DONNÉES!BP117)</f>
        <v>20708</v>
      </c>
      <c r="L90" s="103">
        <f>IF(TRTH4[[#This Row],[2024]]="","",(TRTH4[[#This Row],[2024]]-TRTH4[[#This Row],[2023]])/TRTH4[[#This Row],[2023]])</f>
        <v>-1</v>
      </c>
      <c r="M90" s="87">
        <f>IF(TRTH4[[#This Row],[2024]]="","",TRTH4[[#This Row],[2024]]+M89)</f>
        <v>21816</v>
      </c>
      <c r="N90" s="86">
        <f>IF(TRTH4[[#This Row],[2024]]="","",+TRTH4[[#This Row],[2023]]+N89)</f>
        <v>209963</v>
      </c>
      <c r="O90" s="103">
        <f>IF(TRTH4[[#This Row],[Cumulé 2024]]="","",+(TRTH4[[#This Row],[Cumulé 2024]]-TRTH4[[#This Row],[Cumulé 2023]])/TRTH4[[#This Row],[Cumulé 2023]])</f>
        <v>-0.89609597881531511</v>
      </c>
    </row>
    <row r="91" spans="1:15" ht="13.15" customHeight="1" x14ac:dyDescent="0.2">
      <c r="A91" s="79" t="s">
        <v>83</v>
      </c>
      <c r="B91" s="86">
        <f>IF(DONNÉES!BW118="","",DONNÉES!BW118)</f>
        <v>0</v>
      </c>
      <c r="C91" s="86">
        <f>IF(TRDIVES[[#This Row],[2024]]="","",DONNÉES!BX118)</f>
        <v>13720</v>
      </c>
      <c r="D91" s="97">
        <f>IF(TRDIVES[[#This Row],[2024]]="","",(TRDIVES[[#This Row],[2024]]-TRDIVES[[#This Row],[2023]])/TRDIVES[[#This Row],[2023]])</f>
        <v>-1</v>
      </c>
      <c r="E91" s="85">
        <f>IF(TRDIVES[[#This Row],[2024]]="","",TRDIVES[[#This Row],[2024]]+E90)</f>
        <v>13437</v>
      </c>
      <c r="F91" s="86">
        <f>IF(TRDIVES[[#This Row],[2024]]="","",+TRDIVES[[#This Row],[2023]]+F90)</f>
        <v>178437</v>
      </c>
      <c r="G91" s="97">
        <f>IF(TRDIVES[[#This Row],[Cumulé 2024]]="","",+(TRDIVES[[#This Row],[Cumulé 2024]]-TRDIVES[[#This Row],[Cumulé 2023]])/TRDIVES[[#This Row],[Cumulé 2023]])</f>
        <v>-0.92469611123253581</v>
      </c>
      <c r="H91" s="79"/>
      <c r="I91" s="79" t="s">
        <v>83</v>
      </c>
      <c r="J91" s="86">
        <f>IF(DONNÉES!BO118="","",DONNÉES!BO118)</f>
        <v>0</v>
      </c>
      <c r="K91" s="86">
        <f>IF(TRTH4[[#This Row],[2024]]="","",DONNÉES!BP118)</f>
        <v>20796</v>
      </c>
      <c r="L91" s="103">
        <f>IF(TRTH4[[#This Row],[2024]]="","",(TRTH4[[#This Row],[2024]]-TRTH4[[#This Row],[2023]])/TRTH4[[#This Row],[2023]])</f>
        <v>-1</v>
      </c>
      <c r="M91" s="87">
        <f>IF(TRTH4[[#This Row],[2024]]="","",TRTH4[[#This Row],[2024]]+M90)</f>
        <v>21816</v>
      </c>
      <c r="N91" s="86">
        <f>IF(TRTH4[[#This Row],[2024]]="","",+TRTH4[[#This Row],[2023]]+N90)</f>
        <v>230759</v>
      </c>
      <c r="O91" s="103">
        <f>IF(TRTH4[[#This Row],[Cumulé 2024]]="","",+(TRTH4[[#This Row],[Cumulé 2024]]-TRTH4[[#This Row],[Cumulé 2023]])/TRTH4[[#This Row],[Cumulé 2023]])</f>
        <v>-0.90545980871818654</v>
      </c>
    </row>
    <row r="92" spans="1:15" ht="13.15" customHeight="1" x14ac:dyDescent="0.2">
      <c r="A92" s="79" t="s">
        <v>84</v>
      </c>
      <c r="B92" s="86">
        <f>IF(DONNÉES!BW119="","",DONNÉES!BW119)</f>
        <v>0</v>
      </c>
      <c r="C92" s="86">
        <f>IF(TRDIVES[[#This Row],[2024]]="","",DONNÉES!BX119)</f>
        <v>13648</v>
      </c>
      <c r="D92" s="97">
        <f>IF(TRDIVES[[#This Row],[2024]]="","",(TRDIVES[[#This Row],[2024]]-TRDIVES[[#This Row],[2023]])/TRDIVES[[#This Row],[2023]])</f>
        <v>-1</v>
      </c>
      <c r="E92" s="85">
        <f>IF(TRDIVES[[#This Row],[2024]]="","",TRDIVES[[#This Row],[2024]]+E91)</f>
        <v>13437</v>
      </c>
      <c r="F92" s="86">
        <f>IF(TRDIVES[[#This Row],[2024]]="","",+TRDIVES[[#This Row],[2023]]+F91)</f>
        <v>192085</v>
      </c>
      <c r="G92" s="97">
        <f>IF(TRDIVES[[#This Row],[Cumulé 2024]]="","",+(TRDIVES[[#This Row],[Cumulé 2024]]-TRDIVES[[#This Row],[Cumulé 2023]])/TRDIVES[[#This Row],[Cumulé 2023]])</f>
        <v>-0.9300465939558008</v>
      </c>
      <c r="H92" s="79"/>
      <c r="I92" s="79" t="s">
        <v>84</v>
      </c>
      <c r="J92" s="86">
        <f>IF(DONNÉES!BO119="","",DONNÉES!BO119)</f>
        <v>0</v>
      </c>
      <c r="K92" s="86">
        <f>IF(TRTH4[[#This Row],[2024]]="","",DONNÉES!BP119)</f>
        <v>21449</v>
      </c>
      <c r="L92" s="103">
        <f>IF(TRTH4[[#This Row],[2024]]="","",(TRTH4[[#This Row],[2024]]-TRTH4[[#This Row],[2023]])/TRTH4[[#This Row],[2023]])</f>
        <v>-1</v>
      </c>
      <c r="M92" s="87">
        <f>IF(TRTH4[[#This Row],[2024]]="","",TRTH4[[#This Row],[2024]]+M91)</f>
        <v>21816</v>
      </c>
      <c r="N92" s="86">
        <f>IF(TRTH4[[#This Row],[2024]]="","",+TRTH4[[#This Row],[2023]]+N91)</f>
        <v>252208</v>
      </c>
      <c r="O92" s="103">
        <f>IF(TRTH4[[#This Row],[Cumulé 2024]]="","",+(TRTH4[[#This Row],[Cumulé 2024]]-TRTH4[[#This Row],[Cumulé 2023]])/TRTH4[[#This Row],[Cumulé 2023]])</f>
        <v>-0.91349996828014968</v>
      </c>
    </row>
    <row r="93" spans="1:15" ht="16.899999999999999" customHeight="1" x14ac:dyDescent="0.2">
      <c r="A93" s="46" t="s">
        <v>135</v>
      </c>
      <c r="B93" s="76">
        <f>SUBTOTAL(109,TRDIVES[2024])</f>
        <v>13437</v>
      </c>
      <c r="C93" s="76">
        <f>SUBTOTAL(109,TRDIVES[2023])</f>
        <v>192085</v>
      </c>
      <c r="D93" s="105"/>
      <c r="E93" s="88"/>
      <c r="F93" s="76"/>
      <c r="G93" s="105"/>
      <c r="H93" s="79"/>
      <c r="I93" s="46" t="s">
        <v>135</v>
      </c>
      <c r="J93" s="76">
        <f>SUBTOTAL(109,TRTH4[2024])</f>
        <v>21816</v>
      </c>
      <c r="K93" s="76">
        <f>SUBTOTAL(109,TRTH4[2023])</f>
        <v>252208</v>
      </c>
      <c r="L93" s="105"/>
      <c r="M93" s="88"/>
      <c r="N93" s="76"/>
      <c r="O93" s="161"/>
    </row>
    <row r="94" spans="1:15" ht="30.6" customHeight="1" x14ac:dyDescent="0.2">
      <c r="M94" s="84"/>
    </row>
    <row r="95" spans="1:15" ht="33" customHeight="1" x14ac:dyDescent="0.2">
      <c r="A95" s="79" t="s">
        <v>6963</v>
      </c>
      <c r="B95" s="94" t="s">
        <v>6962</v>
      </c>
      <c r="C95" s="94" t="s">
        <v>2169</v>
      </c>
      <c r="D95" s="100" t="s">
        <v>136</v>
      </c>
      <c r="E95" s="95" t="s">
        <v>6993</v>
      </c>
      <c r="F95" s="95" t="s">
        <v>6952</v>
      </c>
      <c r="G95" s="100" t="s">
        <v>137</v>
      </c>
      <c r="H95" s="79"/>
      <c r="I95" s="79" t="s">
        <v>6964</v>
      </c>
      <c r="J95" s="94" t="s">
        <v>6962</v>
      </c>
      <c r="K95" s="94" t="s">
        <v>2169</v>
      </c>
      <c r="L95" s="100" t="s">
        <v>136</v>
      </c>
      <c r="M95" s="95" t="s">
        <v>6993</v>
      </c>
      <c r="N95" s="95" t="s">
        <v>6952</v>
      </c>
      <c r="O95" s="100" t="s">
        <v>137</v>
      </c>
    </row>
    <row r="96" spans="1:15" s="81" customFormat="1" ht="13.15" customHeight="1" x14ac:dyDescent="0.2">
      <c r="A96" s="81" t="s">
        <v>73</v>
      </c>
      <c r="B96" s="87">
        <f>IF(DONNÉES!CU108="","",DONNÉES!CU108)</f>
        <v>28852</v>
      </c>
      <c r="C96" s="87">
        <f>IF(TRARTHUR[[#This Row],[2024]]="","",DONNÉES!CV108)</f>
        <v>25677</v>
      </c>
      <c r="D96" s="102">
        <f>IF(TRARTHUR[[#This Row],[2024]]="","",(TRARTHUR[[#This Row],[2024]]-TRARTHUR[[#This Row],[2023]])/TRARTHUR[[#This Row],[2023]])</f>
        <v>0.12365151692175877</v>
      </c>
      <c r="E96" s="87">
        <f>IF(TRARTHUR[[#This Row],[2024]]="","",TRARTHUR[[#This Row],[2024]])</f>
        <v>28852</v>
      </c>
      <c r="F96" s="86">
        <f>IF(TRARTHUR[[#This Row],[2024]]="","",+TRARTHUR[[#This Row],[2023]])</f>
        <v>25677</v>
      </c>
      <c r="G96" s="103">
        <f>IF(TRARTHUR[[#This Row],[Cumulé 2024]]="","",+(TRARTHUR[[#This Row],[Cumulé 2024]]-TRARTHUR[[#This Row],[Cumulé 2023]])/TRARTHUR[[#This Row],[Cumulé 2023]])</f>
        <v>0.12365151692175877</v>
      </c>
      <c r="I96" s="81" t="s">
        <v>73</v>
      </c>
      <c r="J96" s="87">
        <f>IF(DONNÉES!DC108="","",DONNÉES!DC108)</f>
        <v>28506</v>
      </c>
      <c r="K96" s="87">
        <f>IF(TRHUGO[[#This Row],[2024]]="","",DONNÉES!DD108)</f>
        <v>27166</v>
      </c>
      <c r="L96" s="102">
        <f>IF(TRHUGO[[#This Row],[2024]]="","",(TRHUGO[[#This Row],[2024]]-TRHUGO[[#This Row],[2023]])/TRHUGO[[#This Row],[2023]])</f>
        <v>4.9326363837149376E-2</v>
      </c>
      <c r="M96" s="87">
        <f>IF(TRHUGO[[#This Row],[2024]]="","",TRHUGO[[#This Row],[2024]])</f>
        <v>28506</v>
      </c>
      <c r="N96" s="86">
        <f>IF(TRHUGO[[#This Row],[2024]]="","",+TRHUGO[[#This Row],[2023]])</f>
        <v>27166</v>
      </c>
      <c r="O96" s="103">
        <f>IF(TRHUGO[[#This Row],[Cumulé 2024]]="","",+(TRHUGO[[#This Row],[Cumulé 2024]]-TRHUGO[[#This Row],[Cumulé 2023]])/TRHUGO[[#This Row],[Cumulé 2023]])</f>
        <v>4.9326363837149376E-2</v>
      </c>
    </row>
    <row r="97" spans="1:15" s="81" customFormat="1" ht="13.15" customHeight="1" x14ac:dyDescent="0.2">
      <c r="A97" s="81" t="s">
        <v>74</v>
      </c>
      <c r="B97" s="87">
        <f>IF(DONNÉES!CU109="","",DONNÉES!CU109)</f>
        <v>0</v>
      </c>
      <c r="C97" s="87">
        <f>IF(TRARTHUR[[#This Row],[2024]]="","",DONNÉES!CV109)</f>
        <v>25114</v>
      </c>
      <c r="D97" s="102">
        <f>IF(TRARTHUR[[#This Row],[2024]]="","",(TRARTHUR[[#This Row],[2024]]-TRARTHUR[[#This Row],[2023]])/TRARTHUR[[#This Row],[2023]])</f>
        <v>-1</v>
      </c>
      <c r="E97" s="87">
        <f>IF(TRARTHUR[[#This Row],[2024]]="","",TRARTHUR[[#This Row],[2024]]+E96)</f>
        <v>28852</v>
      </c>
      <c r="F97" s="86">
        <f>IF(TRARTHUR[[#This Row],[2024]]="","",+TRARTHUR[[#This Row],[2023]]+F96)</f>
        <v>50791</v>
      </c>
      <c r="G97" s="103">
        <f>IF(TRARTHUR[[#This Row],[Cumulé 2024]]="","",+(TRARTHUR[[#This Row],[Cumulé 2024]]-TRARTHUR[[#This Row],[Cumulé 2023]])/TRARTHUR[[#This Row],[Cumulé 2023]])</f>
        <v>-0.43194660471343349</v>
      </c>
      <c r="I97" s="81" t="s">
        <v>74</v>
      </c>
      <c r="J97" s="87">
        <f>IF(DONNÉES!DC109="","",DONNÉES!DC109)</f>
        <v>0</v>
      </c>
      <c r="K97" s="87">
        <f>IF(TRHUGO[[#This Row],[2024]]="","",DONNÉES!DD109)</f>
        <v>25494</v>
      </c>
      <c r="L97" s="102">
        <f>IF(TRHUGO[[#This Row],[2024]]="","",(TRHUGO[[#This Row],[2024]]-TRHUGO[[#This Row],[2023]])/TRHUGO[[#This Row],[2023]])</f>
        <v>-1</v>
      </c>
      <c r="M97" s="87">
        <f>IF(TRHUGO[[#This Row],[2024]]="","",TRHUGO[[#This Row],[2024]]+M96)</f>
        <v>28506</v>
      </c>
      <c r="N97" s="86">
        <f>IF(TRHUGO[[#This Row],[2024]]="","",+TRHUGO[[#This Row],[2023]]+N96)</f>
        <v>52660</v>
      </c>
      <c r="O97" s="103">
        <f>IF(TRHUGO[[#This Row],[Cumulé 2024]]="","",+(TRHUGO[[#This Row],[Cumulé 2024]]-TRHUGO[[#This Row],[Cumulé 2023]])/TRHUGO[[#This Row],[Cumulé 2023]])</f>
        <v>-0.45867831371059625</v>
      </c>
    </row>
    <row r="98" spans="1:15" s="81" customFormat="1" ht="13.15" customHeight="1" x14ac:dyDescent="0.2">
      <c r="A98" s="79" t="s">
        <v>75</v>
      </c>
      <c r="B98" s="87">
        <f>IF(DONNÉES!CU110="","",DONNÉES!CU110)</f>
        <v>0</v>
      </c>
      <c r="C98" s="87">
        <f>IF(TRARTHUR[[#This Row],[2024]]="","",DONNÉES!CV110)</f>
        <v>27787</v>
      </c>
      <c r="D98" s="102">
        <f>IF(TRARTHUR[[#This Row],[2024]]="","",(TRARTHUR[[#This Row],[2024]]-TRARTHUR[[#This Row],[2023]])/TRARTHUR[[#This Row],[2023]])</f>
        <v>-1</v>
      </c>
      <c r="E98" s="87">
        <f>IF(TRARTHUR[[#This Row],[2024]]="","",TRARTHUR[[#This Row],[2024]]+E97)</f>
        <v>28852</v>
      </c>
      <c r="F98" s="86">
        <f>IF(TRARTHUR[[#This Row],[2024]]="","",+TRARTHUR[[#This Row],[2023]]+F97)</f>
        <v>78578</v>
      </c>
      <c r="G98" s="103">
        <f>IF(TRARTHUR[[#This Row],[Cumulé 2024]]="","",+(TRARTHUR[[#This Row],[Cumulé 2024]]-TRARTHUR[[#This Row],[Cumulé 2023]])/TRARTHUR[[#This Row],[Cumulé 2023]])</f>
        <v>-0.63282343658530382</v>
      </c>
      <c r="I98" s="79" t="s">
        <v>75</v>
      </c>
      <c r="J98" s="87">
        <f>IF(DONNÉES!DC110="","",DONNÉES!DC110)</f>
        <v>0</v>
      </c>
      <c r="K98" s="87">
        <f>IF(TRHUGO[[#This Row],[2024]]="","",DONNÉES!DD110)</f>
        <v>29390</v>
      </c>
      <c r="L98" s="102">
        <f>IF(TRHUGO[[#This Row],[2024]]="","",(TRHUGO[[#This Row],[2024]]-TRHUGO[[#This Row],[2023]])/TRHUGO[[#This Row],[2023]])</f>
        <v>-1</v>
      </c>
      <c r="M98" s="87">
        <f>IF(TRHUGO[[#This Row],[2024]]="","",TRHUGO[[#This Row],[2024]]+M97)</f>
        <v>28506</v>
      </c>
      <c r="N98" s="86">
        <f>IF(TRHUGO[[#This Row],[2024]]="","",+TRHUGO[[#This Row],[2023]]+N97)</f>
        <v>82050</v>
      </c>
      <c r="O98" s="103">
        <f>IF(TRHUGO[[#This Row],[Cumulé 2024]]="","",+(TRHUGO[[#This Row],[Cumulé 2024]]-TRHUGO[[#This Row],[Cumulé 2023]])/TRHUGO[[#This Row],[Cumulé 2023]])</f>
        <v>-0.65257769652650821</v>
      </c>
    </row>
    <row r="99" spans="1:15" ht="13.15" customHeight="1" x14ac:dyDescent="0.2">
      <c r="A99" s="81" t="s">
        <v>76</v>
      </c>
      <c r="B99" s="87">
        <f>IF(DONNÉES!CU111="","",DONNÉES!CU111)</f>
        <v>0</v>
      </c>
      <c r="C99" s="87">
        <f>IF(TRARTHUR[[#This Row],[2024]]="","",DONNÉES!CV111)</f>
        <v>27425</v>
      </c>
      <c r="D99" s="102">
        <f>IF(TRARTHUR[[#This Row],[2024]]="","",(TRARTHUR[[#This Row],[2024]]-TRARTHUR[[#This Row],[2023]])/TRARTHUR[[#This Row],[2023]])</f>
        <v>-1</v>
      </c>
      <c r="E99" s="87">
        <f>IF(TRARTHUR[[#This Row],[2024]]="","",TRARTHUR[[#This Row],[2024]]+E98)</f>
        <v>28852</v>
      </c>
      <c r="F99" s="86">
        <f>IF(TRARTHUR[[#This Row],[2024]]="","",+TRARTHUR[[#This Row],[2023]]+F98)</f>
        <v>106003</v>
      </c>
      <c r="G99" s="103">
        <f>IF(TRARTHUR[[#This Row],[Cumulé 2024]]="","",+(TRARTHUR[[#This Row],[Cumulé 2024]]-TRARTHUR[[#This Row],[Cumulé 2023]])/TRARTHUR[[#This Row],[Cumulé 2023]])</f>
        <v>-0.72781902398988707</v>
      </c>
      <c r="H99" s="79"/>
      <c r="I99" s="81" t="s">
        <v>76</v>
      </c>
      <c r="J99" s="87">
        <f>IF(DONNÉES!DC111="","",DONNÉES!DC111)</f>
        <v>0</v>
      </c>
      <c r="K99" s="87">
        <f>IF(TRHUGO[[#This Row],[2024]]="","",DONNÉES!DD111)</f>
        <v>28520</v>
      </c>
      <c r="L99" s="102">
        <f>IF(TRHUGO[[#This Row],[2024]]="","",(TRHUGO[[#This Row],[2024]]-TRHUGO[[#This Row],[2023]])/TRHUGO[[#This Row],[2023]])</f>
        <v>-1</v>
      </c>
      <c r="M99" s="87">
        <f>IF(TRHUGO[[#This Row],[2024]]="","",TRHUGO[[#This Row],[2024]]+M98)</f>
        <v>28506</v>
      </c>
      <c r="N99" s="86">
        <f>IF(TRHUGO[[#This Row],[2024]]="","",+TRHUGO[[#This Row],[2023]]+N98)</f>
        <v>110570</v>
      </c>
      <c r="O99" s="103">
        <f>IF(TRHUGO[[#This Row],[Cumulé 2024]]="","",+(TRHUGO[[#This Row],[Cumulé 2024]]-TRHUGO[[#This Row],[Cumulé 2023]])/TRHUGO[[#This Row],[Cumulé 2023]])</f>
        <v>-0.7421904675771005</v>
      </c>
    </row>
    <row r="100" spans="1:15" ht="13.15" customHeight="1" x14ac:dyDescent="0.2">
      <c r="A100" s="79" t="s">
        <v>77</v>
      </c>
      <c r="B100" s="87">
        <f>IF(DONNÉES!CU112="","",DONNÉES!CU112)</f>
        <v>0</v>
      </c>
      <c r="C100" s="87">
        <f>IF(TRARTHUR[[#This Row],[2024]]="","",DONNÉES!CV112)</f>
        <v>28390</v>
      </c>
      <c r="D100" s="102">
        <f>IF(TRARTHUR[[#This Row],[2024]]="","",(TRARTHUR[[#This Row],[2024]]-TRARTHUR[[#This Row],[2023]])/TRARTHUR[[#This Row],[2023]])</f>
        <v>-1</v>
      </c>
      <c r="E100" s="87">
        <f>IF(TRARTHUR[[#This Row],[2024]]="","",TRARTHUR[[#This Row],[2024]]+E99)</f>
        <v>28852</v>
      </c>
      <c r="F100" s="86">
        <f>IF(TRARTHUR[[#This Row],[2024]]="","",+TRARTHUR[[#This Row],[2023]]+F99)</f>
        <v>134393</v>
      </c>
      <c r="G100" s="103">
        <f>IF(TRARTHUR[[#This Row],[Cumulé 2024]]="","",+(TRARTHUR[[#This Row],[Cumulé 2024]]-TRARTHUR[[#This Row],[Cumulé 2023]])/TRARTHUR[[#This Row],[Cumulé 2023]])</f>
        <v>-0.78531619950443843</v>
      </c>
      <c r="H100" s="79"/>
      <c r="I100" s="79" t="s">
        <v>77</v>
      </c>
      <c r="J100" s="87">
        <f>IF(DONNÉES!DC112="","",DONNÉES!DC112)</f>
        <v>0</v>
      </c>
      <c r="K100" s="87">
        <f>IF(TRHUGO[[#This Row],[2024]]="","",DONNÉES!DD112)</f>
        <v>29448</v>
      </c>
      <c r="L100" s="102">
        <f>IF(TRHUGO[[#This Row],[2024]]="","",(TRHUGO[[#This Row],[2024]]-TRHUGO[[#This Row],[2023]])/TRHUGO[[#This Row],[2023]])</f>
        <v>-1</v>
      </c>
      <c r="M100" s="87">
        <f>IF(TRHUGO[[#This Row],[2024]]="","",TRHUGO[[#This Row],[2024]]+M99)</f>
        <v>28506</v>
      </c>
      <c r="N100" s="86">
        <f>IF(TRHUGO[[#This Row],[2024]]="","",+TRHUGO[[#This Row],[2023]]+N99)</f>
        <v>140018</v>
      </c>
      <c r="O100" s="103">
        <f>IF(TRHUGO[[#This Row],[Cumulé 2024]]="","",+(TRHUGO[[#This Row],[Cumulé 2024]]-TRHUGO[[#This Row],[Cumulé 2023]])/TRHUGO[[#This Row],[Cumulé 2023]])</f>
        <v>-0.79641188989987</v>
      </c>
    </row>
    <row r="101" spans="1:15" ht="13.15" customHeight="1" x14ac:dyDescent="0.2">
      <c r="A101" s="81" t="s">
        <v>78</v>
      </c>
      <c r="B101" s="87">
        <f>IF(DONNÉES!CU113="","",DONNÉES!CU113)</f>
        <v>0</v>
      </c>
      <c r="C101" s="87">
        <f>IF(TRARTHUR[[#This Row],[2024]]="","",DONNÉES!CV113)</f>
        <v>27447</v>
      </c>
      <c r="D101" s="102">
        <f>IF(TRARTHUR[[#This Row],[2024]]="","",(TRARTHUR[[#This Row],[2024]]-TRARTHUR[[#This Row],[2023]])/TRARTHUR[[#This Row],[2023]])</f>
        <v>-1</v>
      </c>
      <c r="E101" s="87">
        <f>IF(TRARTHUR[[#This Row],[2024]]="","",TRARTHUR[[#This Row],[2024]]+E100)</f>
        <v>28852</v>
      </c>
      <c r="F101" s="86">
        <f>IF(TRARTHUR[[#This Row],[2024]]="","",+TRARTHUR[[#This Row],[2023]]+F100)</f>
        <v>161840</v>
      </c>
      <c r="G101" s="103">
        <f>IF(TRARTHUR[[#This Row],[Cumulé 2024]]="","",+(TRARTHUR[[#This Row],[Cumulé 2024]]-TRARTHUR[[#This Row],[Cumulé 2023]])/TRARTHUR[[#This Row],[Cumulé 2023]])</f>
        <v>-0.82172516065249634</v>
      </c>
      <c r="H101" s="79"/>
      <c r="I101" s="81" t="s">
        <v>78</v>
      </c>
      <c r="J101" s="87">
        <f>IF(DONNÉES!DC113="","",DONNÉES!DC113)</f>
        <v>0</v>
      </c>
      <c r="K101" s="87">
        <f>IF(TRHUGO[[#This Row],[2024]]="","",DONNÉES!DD113)</f>
        <v>29239</v>
      </c>
      <c r="L101" s="102">
        <f>IF(TRHUGO[[#This Row],[2024]]="","",(TRHUGO[[#This Row],[2024]]-TRHUGO[[#This Row],[2023]])/TRHUGO[[#This Row],[2023]])</f>
        <v>-1</v>
      </c>
      <c r="M101" s="87">
        <f>IF(TRHUGO[[#This Row],[2024]]="","",TRHUGO[[#This Row],[2024]]+M100)</f>
        <v>28506</v>
      </c>
      <c r="N101" s="86">
        <f>IF(TRHUGO[[#This Row],[2024]]="","",+TRHUGO[[#This Row],[2023]]+N100)</f>
        <v>169257</v>
      </c>
      <c r="O101" s="103">
        <f>IF(TRHUGO[[#This Row],[Cumulé 2024]]="","",+(TRHUGO[[#This Row],[Cumulé 2024]]-TRHUGO[[#This Row],[Cumulé 2023]])/TRHUGO[[#This Row],[Cumulé 2023]])</f>
        <v>-0.83158155940374701</v>
      </c>
    </row>
    <row r="102" spans="1:15" ht="13.15" customHeight="1" x14ac:dyDescent="0.2">
      <c r="A102" s="79" t="s">
        <v>79</v>
      </c>
      <c r="B102" s="87">
        <f>IF(DONNÉES!CU114="","",DONNÉES!CU114)</f>
        <v>0</v>
      </c>
      <c r="C102" s="87">
        <f>IF(TRARTHUR[[#This Row],[2024]]="","",DONNÉES!CV114)</f>
        <v>27731</v>
      </c>
      <c r="D102" s="102">
        <f>IF(TRARTHUR[[#This Row],[2024]]="","",(TRARTHUR[[#This Row],[2024]]-TRARTHUR[[#This Row],[2023]])/TRARTHUR[[#This Row],[2023]])</f>
        <v>-1</v>
      </c>
      <c r="E102" s="87">
        <f>IF(TRARTHUR[[#This Row],[2024]]="","",TRARTHUR[[#This Row],[2024]]+E101)</f>
        <v>28852</v>
      </c>
      <c r="F102" s="86">
        <f>IF(TRARTHUR[[#This Row],[2024]]="","",+TRARTHUR[[#This Row],[2023]]+F101)</f>
        <v>189571</v>
      </c>
      <c r="G102" s="103">
        <f>IF(TRARTHUR[[#This Row],[Cumulé 2024]]="","",+(TRARTHUR[[#This Row],[Cumulé 2024]]-TRARTHUR[[#This Row],[Cumulé 2023]])/TRARTHUR[[#This Row],[Cumulé 2023]])</f>
        <v>-0.84780372525333514</v>
      </c>
      <c r="H102" s="79"/>
      <c r="I102" s="79" t="s">
        <v>79</v>
      </c>
      <c r="J102" s="87">
        <f>IF(DONNÉES!DC114="","",DONNÉES!DC114)</f>
        <v>0</v>
      </c>
      <c r="K102" s="87">
        <f>IF(TRHUGO[[#This Row],[2024]]="","",DONNÉES!DD114)</f>
        <v>28924</v>
      </c>
      <c r="L102" s="102">
        <f>IF(TRHUGO[[#This Row],[2024]]="","",(TRHUGO[[#This Row],[2024]]-TRHUGO[[#This Row],[2023]])/TRHUGO[[#This Row],[2023]])</f>
        <v>-1</v>
      </c>
      <c r="M102" s="87">
        <f>IF(TRHUGO[[#This Row],[2024]]="","",TRHUGO[[#This Row],[2024]]+M101)</f>
        <v>28506</v>
      </c>
      <c r="N102" s="86">
        <f>IF(TRHUGO[[#This Row],[2024]]="","",+TRHUGO[[#This Row],[2023]]+N101)</f>
        <v>198181</v>
      </c>
      <c r="O102" s="103">
        <f>IF(TRHUGO[[#This Row],[Cumulé 2024]]="","",+(TRHUGO[[#This Row],[Cumulé 2024]]-TRHUGO[[#This Row],[Cumulé 2023]])/TRHUGO[[#This Row],[Cumulé 2023]])</f>
        <v>-0.85616179149363458</v>
      </c>
    </row>
    <row r="103" spans="1:15" ht="13.15" customHeight="1" x14ac:dyDescent="0.2">
      <c r="A103" s="81" t="s">
        <v>80</v>
      </c>
      <c r="B103" s="87">
        <f>IF(DONNÉES!CU115="","",DONNÉES!CU115)</f>
        <v>0</v>
      </c>
      <c r="C103" s="87">
        <f>IF(TRARTHUR[[#This Row],[2024]]="","",DONNÉES!CV115)</f>
        <v>31669</v>
      </c>
      <c r="D103" s="102">
        <f>IF(TRARTHUR[[#This Row],[2024]]="","",(TRARTHUR[[#This Row],[2024]]-TRARTHUR[[#This Row],[2023]])/TRARTHUR[[#This Row],[2023]])</f>
        <v>-1</v>
      </c>
      <c r="E103" s="87">
        <f>IF(TRARTHUR[[#This Row],[2024]]="","",TRARTHUR[[#This Row],[2024]]+E102)</f>
        <v>28852</v>
      </c>
      <c r="F103" s="86">
        <f>IF(TRARTHUR[[#This Row],[2024]]="","",+TRARTHUR[[#This Row],[2023]]+F102)</f>
        <v>221240</v>
      </c>
      <c r="G103" s="103">
        <f>IF(TRARTHUR[[#This Row],[Cumulé 2024]]="","",+(TRARTHUR[[#This Row],[Cumulé 2024]]-TRARTHUR[[#This Row],[Cumulé 2023]])/TRARTHUR[[#This Row],[Cumulé 2023]])</f>
        <v>-0.86958958596998737</v>
      </c>
      <c r="H103" s="79"/>
      <c r="I103" s="81" t="s">
        <v>80</v>
      </c>
      <c r="J103" s="87">
        <f>IF(DONNÉES!DC115="","",DONNÉES!DC115)</f>
        <v>0</v>
      </c>
      <c r="K103" s="87">
        <f>IF(TRHUGO[[#This Row],[2024]]="","",DONNÉES!DD115)</f>
        <v>30483</v>
      </c>
      <c r="L103" s="102">
        <f>IF(TRHUGO[[#This Row],[2024]]="","",(TRHUGO[[#This Row],[2024]]-TRHUGO[[#This Row],[2023]])/TRHUGO[[#This Row],[2023]])</f>
        <v>-1</v>
      </c>
      <c r="M103" s="87">
        <f>IF(TRHUGO[[#This Row],[2024]]="","",TRHUGO[[#This Row],[2024]]+M102)</f>
        <v>28506</v>
      </c>
      <c r="N103" s="86">
        <f>IF(TRHUGO[[#This Row],[2024]]="","",+TRHUGO[[#This Row],[2023]]+N102)</f>
        <v>228664</v>
      </c>
      <c r="O103" s="103">
        <f>IF(TRHUGO[[#This Row],[Cumulé 2024]]="","",+(TRHUGO[[#This Row],[Cumulé 2024]]-TRHUGO[[#This Row],[Cumulé 2023]])/TRHUGO[[#This Row],[Cumulé 2023]])</f>
        <v>-0.87533673862085859</v>
      </c>
    </row>
    <row r="104" spans="1:15" ht="13.15" customHeight="1" x14ac:dyDescent="0.2">
      <c r="A104" s="79" t="s">
        <v>81</v>
      </c>
      <c r="B104" s="87">
        <f>IF(DONNÉES!CU116="","",DONNÉES!CU116)</f>
        <v>0</v>
      </c>
      <c r="C104" s="87">
        <f>IF(TRARTHUR[[#This Row],[2024]]="","",DONNÉES!CV116)</f>
        <v>28678</v>
      </c>
      <c r="D104" s="103">
        <f>IF(TRARTHUR[[#This Row],[2024]]="","",(TRARTHUR[[#This Row],[2024]]-TRARTHUR[[#This Row],[2023]])/TRARTHUR[[#This Row],[2023]])</f>
        <v>-1</v>
      </c>
      <c r="E104" s="87">
        <f>IF(TRARTHUR[[#This Row],[2024]]="","",TRARTHUR[[#This Row],[2024]]+E103)</f>
        <v>28852</v>
      </c>
      <c r="F104" s="86">
        <f>IF(TRARTHUR[[#This Row],[2024]]="","",+TRARTHUR[[#This Row],[2023]]+F103)</f>
        <v>249918</v>
      </c>
      <c r="G104" s="103">
        <f>IF(TRARTHUR[[#This Row],[Cumulé 2024]]="","",+(TRARTHUR[[#This Row],[Cumulé 2024]]-TRARTHUR[[#This Row],[Cumulé 2023]])/TRARTHUR[[#This Row],[Cumulé 2023]])</f>
        <v>-0.88455413375587189</v>
      </c>
      <c r="I104" s="79" t="s">
        <v>81</v>
      </c>
      <c r="J104" s="87">
        <f>IF(DONNÉES!DC116="","",DONNÉES!DC116)</f>
        <v>0</v>
      </c>
      <c r="K104" s="87">
        <f>IF(TRHUGO[[#This Row],[2024]]="","",DONNÉES!DD116)</f>
        <v>26805</v>
      </c>
      <c r="L104" s="103">
        <f>IF(TRHUGO[[#This Row],[2024]]="","",(TRHUGO[[#This Row],[2024]]-TRHUGO[[#This Row],[2023]])/TRHUGO[[#This Row],[2023]])</f>
        <v>-1</v>
      </c>
      <c r="M104" s="87">
        <f>IF(TRHUGO[[#This Row],[2024]]="","",TRHUGO[[#This Row],[2024]]+M103)</f>
        <v>28506</v>
      </c>
      <c r="N104" s="86">
        <f>IF(TRHUGO[[#This Row],[2024]]="","",+TRHUGO[[#This Row],[2023]]+N103)</f>
        <v>255469</v>
      </c>
      <c r="O104" s="103">
        <f>IF(TRHUGO[[#This Row],[Cumulé 2024]]="","",+(TRHUGO[[#This Row],[Cumulé 2024]]-TRHUGO[[#This Row],[Cumulé 2023]])/TRHUGO[[#This Row],[Cumulé 2023]])</f>
        <v>-0.88841698992832785</v>
      </c>
    </row>
    <row r="105" spans="1:15" ht="13.15" customHeight="1" x14ac:dyDescent="0.2">
      <c r="A105" s="81" t="s">
        <v>82</v>
      </c>
      <c r="B105" s="87">
        <f>IF(DONNÉES!CU117="","",DONNÉES!CU117)</f>
        <v>0</v>
      </c>
      <c r="C105" s="87">
        <f>IF(TRARTHUR[[#This Row],[2024]]="","",DONNÉES!CV117)</f>
        <v>30025</v>
      </c>
      <c r="D105" s="103">
        <f>IF(TRARTHUR[[#This Row],[2024]]="","",(TRARTHUR[[#This Row],[2024]]-TRARTHUR[[#This Row],[2023]])/TRARTHUR[[#This Row],[2023]])</f>
        <v>-1</v>
      </c>
      <c r="E105" s="87">
        <f>IF(TRARTHUR[[#This Row],[2024]]="","",TRARTHUR[[#This Row],[2024]]+E104)</f>
        <v>28852</v>
      </c>
      <c r="F105" s="86">
        <f>IF(TRARTHUR[[#This Row],[2024]]="","",+TRARTHUR[[#This Row],[2023]]+F104)</f>
        <v>279943</v>
      </c>
      <c r="G105" s="103">
        <f>IF(TRARTHUR[[#This Row],[Cumulé 2024]]="","",+(TRARTHUR[[#This Row],[Cumulé 2024]]-TRARTHUR[[#This Row],[Cumulé 2023]])/TRARTHUR[[#This Row],[Cumulé 2023]])</f>
        <v>-0.89693616200440807</v>
      </c>
      <c r="I105" s="81" t="s">
        <v>82</v>
      </c>
      <c r="J105" s="87">
        <f>IF(DONNÉES!DC117="","",DONNÉES!DC117)</f>
        <v>0</v>
      </c>
      <c r="K105" s="87">
        <f>IF(TRHUGO[[#This Row],[2024]]="","",DONNÉES!DD117)</f>
        <v>28650</v>
      </c>
      <c r="L105" s="103">
        <f>IF(TRHUGO[[#This Row],[2024]]="","",(TRHUGO[[#This Row],[2024]]-TRHUGO[[#This Row],[2023]])/TRHUGO[[#This Row],[2023]])</f>
        <v>-1</v>
      </c>
      <c r="M105" s="87">
        <f>IF(TRHUGO[[#This Row],[2024]]="","",TRHUGO[[#This Row],[2024]]+M104)</f>
        <v>28506</v>
      </c>
      <c r="N105" s="86">
        <f>IF(TRHUGO[[#This Row],[2024]]="","",+TRHUGO[[#This Row],[2023]]+N104)</f>
        <v>284119</v>
      </c>
      <c r="O105" s="103">
        <f>IF(TRHUGO[[#This Row],[Cumulé 2024]]="","",+(TRHUGO[[#This Row],[Cumulé 2024]]-TRHUGO[[#This Row],[Cumulé 2023]])/TRHUGO[[#This Row],[Cumulé 2023]])</f>
        <v>-0.89966880074898192</v>
      </c>
    </row>
    <row r="106" spans="1:15" ht="13.15" customHeight="1" x14ac:dyDescent="0.2">
      <c r="A106" s="79" t="s">
        <v>83</v>
      </c>
      <c r="B106" s="87">
        <f>IF(DONNÉES!CU118="","",DONNÉES!CU118)</f>
        <v>0</v>
      </c>
      <c r="C106" s="87">
        <f>IF(TRARTHUR[[#This Row],[2024]]="","",DONNÉES!CV118)</f>
        <v>29882</v>
      </c>
      <c r="D106" s="103">
        <f>IF(TRARTHUR[[#This Row],[2024]]="","",(TRARTHUR[[#This Row],[2024]]-TRARTHUR[[#This Row],[2023]])/TRARTHUR[[#This Row],[2023]])</f>
        <v>-1</v>
      </c>
      <c r="E106" s="87">
        <f>IF(TRARTHUR[[#This Row],[2024]]="","",TRARTHUR[[#This Row],[2024]]+E105)</f>
        <v>28852</v>
      </c>
      <c r="F106" s="86">
        <f>IF(TRARTHUR[[#This Row],[2024]]="","",+TRARTHUR[[#This Row],[2023]]+F105)</f>
        <v>309825</v>
      </c>
      <c r="G106" s="103">
        <f>IF(TRARTHUR[[#This Row],[Cumulé 2024]]="","",+(TRARTHUR[[#This Row],[Cumulé 2024]]-TRARTHUR[[#This Row],[Cumulé 2023]])/TRARTHUR[[#This Row],[Cumulé 2023]])</f>
        <v>-0.90687646251916409</v>
      </c>
      <c r="I106" s="79" t="s">
        <v>83</v>
      </c>
      <c r="J106" s="87">
        <f>IF(DONNÉES!DC118="","",DONNÉES!DC118)</f>
        <v>0</v>
      </c>
      <c r="K106" s="87">
        <f>IF(TRHUGO[[#This Row],[2024]]="","",DONNÉES!DD118)</f>
        <v>28918</v>
      </c>
      <c r="L106" s="103">
        <f>IF(TRHUGO[[#This Row],[2024]]="","",(TRHUGO[[#This Row],[2024]]-TRHUGO[[#This Row],[2023]])/TRHUGO[[#This Row],[2023]])</f>
        <v>-1</v>
      </c>
      <c r="M106" s="87">
        <f>IF(TRHUGO[[#This Row],[2024]]="","",TRHUGO[[#This Row],[2024]]+M105)</f>
        <v>28506</v>
      </c>
      <c r="N106" s="86">
        <f>IF(TRHUGO[[#This Row],[2024]]="","",+TRHUGO[[#This Row],[2023]]+N105)</f>
        <v>313037</v>
      </c>
      <c r="O106" s="103">
        <f>IF(TRHUGO[[#This Row],[Cumulé 2024]]="","",+(TRHUGO[[#This Row],[Cumulé 2024]]-TRHUGO[[#This Row],[Cumulé 2023]])/TRHUGO[[#This Row],[Cumulé 2023]])</f>
        <v>-0.90893728217431169</v>
      </c>
    </row>
    <row r="107" spans="1:15" ht="13.15" customHeight="1" x14ac:dyDescent="0.2">
      <c r="A107" s="79" t="s">
        <v>84</v>
      </c>
      <c r="B107" s="87">
        <f>IF(DONNÉES!CU119="","",DONNÉES!CU119)</f>
        <v>0</v>
      </c>
      <c r="C107" s="87">
        <f>IF(TRARTHUR[[#This Row],[2024]]="","",DONNÉES!CV119)</f>
        <v>28304</v>
      </c>
      <c r="D107" s="103">
        <f>IF(TRARTHUR[[#This Row],[2024]]="","",(TRARTHUR[[#This Row],[2024]]-TRARTHUR[[#This Row],[2023]])/TRARTHUR[[#This Row],[2023]])</f>
        <v>-1</v>
      </c>
      <c r="E107" s="87">
        <f>IF(TRARTHUR[[#This Row],[2024]]="","",TRARTHUR[[#This Row],[2024]]+E106)</f>
        <v>28852</v>
      </c>
      <c r="F107" s="86">
        <f>IF(TRARTHUR[[#This Row],[2024]]="","",+TRARTHUR[[#This Row],[2023]]+F106)</f>
        <v>338129</v>
      </c>
      <c r="G107" s="103">
        <f>IF(TRARTHUR[[#This Row],[Cumulé 2024]]="","",+(TRARTHUR[[#This Row],[Cumulé 2024]]-TRARTHUR[[#This Row],[Cumulé 2023]])/TRARTHUR[[#This Row],[Cumulé 2023]])</f>
        <v>-0.91467161941152642</v>
      </c>
      <c r="I107" s="79" t="s">
        <v>84</v>
      </c>
      <c r="J107" s="87">
        <f>IF(DONNÉES!DC119="","",DONNÉES!DC119)</f>
        <v>0</v>
      </c>
      <c r="K107" s="87">
        <f>IF(TRHUGO[[#This Row],[2024]]="","",DONNÉES!DD119)</f>
        <v>30878</v>
      </c>
      <c r="L107" s="103">
        <f>IF(TRHUGO[[#This Row],[2024]]="","",(TRHUGO[[#This Row],[2024]]-TRHUGO[[#This Row],[2023]])/TRHUGO[[#This Row],[2023]])</f>
        <v>-1</v>
      </c>
      <c r="M107" s="87">
        <f>IF(TRHUGO[[#This Row],[2024]]="","",TRHUGO[[#This Row],[2024]]+M106)</f>
        <v>28506</v>
      </c>
      <c r="N107" s="86">
        <f>IF(TRHUGO[[#This Row],[2024]]="","",+TRHUGO[[#This Row],[2023]]+N106)</f>
        <v>343915</v>
      </c>
      <c r="O107" s="103">
        <f>IF(TRHUGO[[#This Row],[Cumulé 2024]]="","",+(TRHUGO[[#This Row],[Cumulé 2024]]-TRHUGO[[#This Row],[Cumulé 2023]])/TRHUGO[[#This Row],[Cumulé 2023]])</f>
        <v>-0.91711324019016327</v>
      </c>
    </row>
    <row r="108" spans="1:15" ht="16.899999999999999" customHeight="1" x14ac:dyDescent="0.2">
      <c r="A108" s="46" t="s">
        <v>135</v>
      </c>
      <c r="B108" s="76">
        <f>SUBTOTAL(109,TRARTHUR[2024])</f>
        <v>28852</v>
      </c>
      <c r="C108" s="76">
        <f>SUBTOTAL(109,TRARTHUR[2023])</f>
        <v>338129</v>
      </c>
      <c r="D108" s="105"/>
      <c r="E108" s="88"/>
      <c r="F108" s="76"/>
      <c r="G108" s="105"/>
      <c r="I108" s="46" t="s">
        <v>135</v>
      </c>
      <c r="J108" s="76">
        <f>SUBTOTAL(109,TRHUGO[2024])</f>
        <v>28506</v>
      </c>
      <c r="K108" s="76">
        <f>SUBTOTAL(109,TRHUGO[2023])</f>
        <v>343915</v>
      </c>
      <c r="L108" s="105"/>
      <c r="M108" s="88"/>
      <c r="N108" s="76"/>
      <c r="O108" s="161"/>
    </row>
    <row r="109" spans="1:15" ht="30.6" customHeight="1" x14ac:dyDescent="0.2">
      <c r="M109" s="84"/>
    </row>
    <row r="110" spans="1:15" ht="33" customHeight="1" x14ac:dyDescent="0.2">
      <c r="A110" s="79" t="s">
        <v>6966</v>
      </c>
      <c r="B110" s="94" t="s">
        <v>6962</v>
      </c>
      <c r="C110" s="94" t="s">
        <v>2169</v>
      </c>
      <c r="D110" s="100" t="s">
        <v>136</v>
      </c>
      <c r="E110" s="95" t="s">
        <v>6993</v>
      </c>
      <c r="F110" s="95" t="s">
        <v>6952</v>
      </c>
      <c r="G110" s="100" t="s">
        <v>137</v>
      </c>
      <c r="H110" s="79"/>
      <c r="I110" s="79" t="s">
        <v>6965</v>
      </c>
      <c r="J110" s="94" t="s">
        <v>6962</v>
      </c>
      <c r="K110" s="94" t="s">
        <v>2169</v>
      </c>
      <c r="L110" s="100" t="s">
        <v>136</v>
      </c>
      <c r="M110" s="95" t="s">
        <v>6993</v>
      </c>
      <c r="N110" s="95" t="s">
        <v>6952</v>
      </c>
      <c r="O110" s="100" t="s">
        <v>137</v>
      </c>
    </row>
    <row r="111" spans="1:15" s="81" customFormat="1" ht="13.15" customHeight="1" x14ac:dyDescent="0.2">
      <c r="A111" s="81" t="s">
        <v>73</v>
      </c>
      <c r="B111" s="87">
        <f>IF(DONNÉES!DK108="","",DONNÉES!DK108)</f>
        <v>12917</v>
      </c>
      <c r="C111" s="87">
        <f>IF(TRJEANCLO[[#This Row],[2024]]="","",DONNÉES!DL108)</f>
        <v>15290</v>
      </c>
      <c r="D111" s="102">
        <f>IF(TRJEANCLO[[#This Row],[2024]]="","",(TRJEANCLO[[#This Row],[2024]]-TRJEANCLO[[#This Row],[2023]])/TRJEANCLO[[#This Row],[2023]])</f>
        <v>-0.1551994767822106</v>
      </c>
      <c r="E111" s="87">
        <f>IF(TRJEANCLO[[#This Row],[2024]]="","",TRJEANCLO[[#This Row],[2024]])</f>
        <v>12917</v>
      </c>
      <c r="F111" s="86">
        <f>IF(TRJEANCLO[[#This Row],[2024]]="","",+TRJEANCLO[[#This Row],[2023]])</f>
        <v>15290</v>
      </c>
      <c r="G111" s="103">
        <f>IF(TRJEANCLO[[#This Row],[Cumulé 2024]]="","",+(TRJEANCLO[[#This Row],[Cumulé 2024]]-TRJEANCLO[[#This Row],[Cumulé 2023]])/TRJEANCLO[[#This Row],[Cumulé 2023]])</f>
        <v>-0.1551994767822106</v>
      </c>
      <c r="I111" s="81" t="s">
        <v>73</v>
      </c>
      <c r="J111" s="87">
        <f>IF(DONNÉES!DS108="","",DONNÉES!DS108)</f>
        <v>19144</v>
      </c>
      <c r="K111" s="87">
        <f>IF(TRTHOMAS[[#This Row],[2024]]="","",DONNÉES!DT108)</f>
        <v>18933</v>
      </c>
      <c r="L111" s="102">
        <f>IF(TRTHOMAS[[#This Row],[2024]]="","",(TRTHOMAS[[#This Row],[2024]]-TRTHOMAS[[#This Row],[2023]])/TRTHOMAS[[#This Row],[2023]])</f>
        <v>1.114456240426768E-2</v>
      </c>
      <c r="M111" s="87">
        <f>IF(TRTHOMAS[[#This Row],[2024]]="","",TRTHOMAS[[#This Row],[2024]])</f>
        <v>19144</v>
      </c>
      <c r="N111" s="86">
        <f>IF(TRTHOMAS[[#This Row],[2024]]="","",+TRTHOMAS[[#This Row],[2023]])</f>
        <v>18933</v>
      </c>
      <c r="O111" s="103">
        <f>IF(TRTHOMAS[[#This Row],[Cumulé 2024]]="","",+(TRTHOMAS[[#This Row],[Cumulé 2024]]-TRTHOMAS[[#This Row],[Cumulé 2023]])/TRTHOMAS[[#This Row],[Cumulé 2023]])</f>
        <v>1.114456240426768E-2</v>
      </c>
    </row>
    <row r="112" spans="1:15" s="81" customFormat="1" ht="13.15" customHeight="1" x14ac:dyDescent="0.2">
      <c r="A112" s="81" t="s">
        <v>74</v>
      </c>
      <c r="B112" s="87">
        <f>IF(DONNÉES!DK109="","",DONNÉES!DK109)</f>
        <v>0</v>
      </c>
      <c r="C112" s="87">
        <f>IF(TRJEANCLO[[#This Row],[2024]]="","",DONNÉES!DL109)</f>
        <v>14856</v>
      </c>
      <c r="D112" s="102">
        <f>IF(TRJEANCLO[[#This Row],[2024]]="","",(TRJEANCLO[[#This Row],[2024]]-TRJEANCLO[[#This Row],[2023]])/TRJEANCLO[[#This Row],[2023]])</f>
        <v>-1</v>
      </c>
      <c r="E112" s="87">
        <f>IF(TRJEANCLO[[#This Row],[2024]]="","",TRJEANCLO[[#This Row],[2024]]+E111)</f>
        <v>12917</v>
      </c>
      <c r="F112" s="86">
        <f>IF(TRJEANCLO[[#This Row],[2024]]="","",+TRJEANCLO[[#This Row],[2023]]+F111)</f>
        <v>30146</v>
      </c>
      <c r="G112" s="103">
        <f>IF(TRJEANCLO[[#This Row],[Cumulé 2024]]="","",+(TRJEANCLO[[#This Row],[Cumulé 2024]]-TRJEANCLO[[#This Row],[Cumulé 2023]])/TRJEANCLO[[#This Row],[Cumulé 2023]])</f>
        <v>-0.57151860943408739</v>
      </c>
      <c r="I112" s="81" t="s">
        <v>74</v>
      </c>
      <c r="J112" s="87">
        <f>IF(DONNÉES!DS109="","",DONNÉES!DS109)</f>
        <v>0</v>
      </c>
      <c r="K112" s="87">
        <f>IF(TRTHOMAS[[#This Row],[2024]]="","",DONNÉES!DT109)</f>
        <v>18455</v>
      </c>
      <c r="L112" s="102">
        <f>IF(TRTHOMAS[[#This Row],[2024]]="","",(TRTHOMAS[[#This Row],[2024]]-TRTHOMAS[[#This Row],[2023]])/TRTHOMAS[[#This Row],[2023]])</f>
        <v>-1</v>
      </c>
      <c r="M112" s="87">
        <f>IF(TRTHOMAS[[#This Row],[2024]]="","",TRTHOMAS[[#This Row],[2024]]+M111)</f>
        <v>19144</v>
      </c>
      <c r="N112" s="86">
        <f>IF(TRTHOMAS[[#This Row],[2024]]="","",+TRTHOMAS[[#This Row],[2023]]+N111)</f>
        <v>37388</v>
      </c>
      <c r="O112" s="103">
        <f>IF(TRTHOMAS[[#This Row],[Cumulé 2024]]="","",+(TRTHOMAS[[#This Row],[Cumulé 2024]]-TRTHOMAS[[#This Row],[Cumulé 2023]])/TRTHOMAS[[#This Row],[Cumulé 2023]])</f>
        <v>-0.48796405263720982</v>
      </c>
    </row>
    <row r="113" spans="1:15" s="81" customFormat="1" ht="13.15" customHeight="1" x14ac:dyDescent="0.2">
      <c r="A113" s="79" t="s">
        <v>75</v>
      </c>
      <c r="B113" s="87">
        <f>IF(DONNÉES!DK110="","",DONNÉES!DK110)</f>
        <v>0</v>
      </c>
      <c r="C113" s="87">
        <f>IF(TRJEANCLO[[#This Row],[2024]]="","",DONNÉES!DL110)</f>
        <v>14613</v>
      </c>
      <c r="D113" s="102">
        <f>IF(TRJEANCLO[[#This Row],[2024]]="","",(TRJEANCLO[[#This Row],[2024]]-TRJEANCLO[[#This Row],[2023]])/TRJEANCLO[[#This Row],[2023]])</f>
        <v>-1</v>
      </c>
      <c r="E113" s="87">
        <f>IF(TRJEANCLO[[#This Row],[2024]]="","",TRJEANCLO[[#This Row],[2024]]+E112)</f>
        <v>12917</v>
      </c>
      <c r="F113" s="86">
        <f>IF(TRJEANCLO[[#This Row],[2024]]="","",+TRJEANCLO[[#This Row],[2023]]+F112)</f>
        <v>44759</v>
      </c>
      <c r="G113" s="103">
        <f>IF(TRJEANCLO[[#This Row],[Cumulé 2024]]="","",+(TRJEANCLO[[#This Row],[Cumulé 2024]]-TRJEANCLO[[#This Row],[Cumulé 2023]])/TRJEANCLO[[#This Row],[Cumulé 2023]])</f>
        <v>-0.71140999575504371</v>
      </c>
      <c r="I113" s="79" t="s">
        <v>75</v>
      </c>
      <c r="J113" s="87">
        <f>IF(DONNÉES!DS110="","",DONNÉES!DS110)</f>
        <v>0</v>
      </c>
      <c r="K113" s="87">
        <f>IF(TRTHOMAS[[#This Row],[2024]]="","",DONNÉES!DT110)</f>
        <v>19934</v>
      </c>
      <c r="L113" s="102">
        <f>IF(TRTHOMAS[[#This Row],[2024]]="","",(TRTHOMAS[[#This Row],[2024]]-TRTHOMAS[[#This Row],[2023]])/TRTHOMAS[[#This Row],[2023]])</f>
        <v>-1</v>
      </c>
      <c r="M113" s="87">
        <f>IF(TRTHOMAS[[#This Row],[2024]]="","",TRTHOMAS[[#This Row],[2024]]+M112)</f>
        <v>19144</v>
      </c>
      <c r="N113" s="86">
        <f>IF(TRTHOMAS[[#This Row],[2024]]="","",+TRTHOMAS[[#This Row],[2023]]+N112)</f>
        <v>57322</v>
      </c>
      <c r="O113" s="103">
        <f>IF(TRTHOMAS[[#This Row],[Cumulé 2024]]="","",+(TRTHOMAS[[#This Row],[Cumulé 2024]]-TRTHOMAS[[#This Row],[Cumulé 2023]])/TRTHOMAS[[#This Row],[Cumulé 2023]])</f>
        <v>-0.66602700533826453</v>
      </c>
    </row>
    <row r="114" spans="1:15" ht="13.15" customHeight="1" x14ac:dyDescent="0.2">
      <c r="A114" s="81" t="s">
        <v>76</v>
      </c>
      <c r="B114" s="87">
        <f>IF(DONNÉES!DK111="","",DONNÉES!DK111)</f>
        <v>0</v>
      </c>
      <c r="C114" s="87">
        <f>IF(TRJEANCLO[[#This Row],[2024]]="","",DONNÉES!DL111)</f>
        <v>14968</v>
      </c>
      <c r="D114" s="102">
        <f>IF(TRJEANCLO[[#This Row],[2024]]="","",(TRJEANCLO[[#This Row],[2024]]-TRJEANCLO[[#This Row],[2023]])/TRJEANCLO[[#This Row],[2023]])</f>
        <v>-1</v>
      </c>
      <c r="E114" s="87">
        <f>IF(TRJEANCLO[[#This Row],[2024]]="","",TRJEANCLO[[#This Row],[2024]]+E113)</f>
        <v>12917</v>
      </c>
      <c r="F114" s="86">
        <f>IF(TRJEANCLO[[#This Row],[2024]]="","",+TRJEANCLO[[#This Row],[2023]]+F113)</f>
        <v>59727</v>
      </c>
      <c r="G114" s="103">
        <f>IF(TRJEANCLO[[#This Row],[Cumulé 2024]]="","",+(TRJEANCLO[[#This Row],[Cumulé 2024]]-TRJEANCLO[[#This Row],[Cumulé 2023]])/TRJEANCLO[[#This Row],[Cumulé 2023]])</f>
        <v>-0.78373265022519134</v>
      </c>
      <c r="H114" s="79"/>
      <c r="I114" s="81" t="s">
        <v>76</v>
      </c>
      <c r="J114" s="87">
        <f>IF(DONNÉES!DS111="","",DONNÉES!DS111)</f>
        <v>0</v>
      </c>
      <c r="K114" s="87">
        <f>IF(TRTHOMAS[[#This Row],[2024]]="","",DONNÉES!DT111)</f>
        <v>19873</v>
      </c>
      <c r="L114" s="102">
        <f>IF(TRTHOMAS[[#This Row],[2024]]="","",(TRTHOMAS[[#This Row],[2024]]-TRTHOMAS[[#This Row],[2023]])/TRTHOMAS[[#This Row],[2023]])</f>
        <v>-1</v>
      </c>
      <c r="M114" s="87">
        <f>IF(TRTHOMAS[[#This Row],[2024]]="","",TRTHOMAS[[#This Row],[2024]]+M113)</f>
        <v>19144</v>
      </c>
      <c r="N114" s="86">
        <f>IF(TRTHOMAS[[#This Row],[2024]]="","",+TRTHOMAS[[#This Row],[2023]]+N113)</f>
        <v>77195</v>
      </c>
      <c r="O114" s="103">
        <f>IF(TRTHOMAS[[#This Row],[Cumulé 2024]]="","",+(TRTHOMAS[[#This Row],[Cumulé 2024]]-TRTHOMAS[[#This Row],[Cumulé 2023]])/TRTHOMAS[[#This Row],[Cumulé 2023]])</f>
        <v>-0.75200466351447637</v>
      </c>
    </row>
    <row r="115" spans="1:15" ht="13.15" customHeight="1" x14ac:dyDescent="0.2">
      <c r="A115" s="79" t="s">
        <v>77</v>
      </c>
      <c r="B115" s="87">
        <f>IF(DONNÉES!DK112="","",DONNÉES!DK112)</f>
        <v>0</v>
      </c>
      <c r="C115" s="87">
        <f>IF(TRJEANCLO[[#This Row],[2024]]="","",DONNÉES!DL112)</f>
        <v>15291</v>
      </c>
      <c r="D115" s="102">
        <f>IF(TRJEANCLO[[#This Row],[2024]]="","",(TRJEANCLO[[#This Row],[2024]]-TRJEANCLO[[#This Row],[2023]])/TRJEANCLO[[#This Row],[2023]])</f>
        <v>-1</v>
      </c>
      <c r="E115" s="87">
        <f>IF(TRJEANCLO[[#This Row],[2024]]="","",TRJEANCLO[[#This Row],[2024]]+E114)</f>
        <v>12917</v>
      </c>
      <c r="F115" s="86">
        <f>IF(TRJEANCLO[[#This Row],[2024]]="","",+TRJEANCLO[[#This Row],[2023]]+F114)</f>
        <v>75018</v>
      </c>
      <c r="G115" s="103">
        <f>IF(TRJEANCLO[[#This Row],[Cumulé 2024]]="","",+(TRJEANCLO[[#This Row],[Cumulé 2024]]-TRJEANCLO[[#This Row],[Cumulé 2023]])/TRJEANCLO[[#This Row],[Cumulé 2023]])</f>
        <v>-0.8278146578154576</v>
      </c>
      <c r="H115" s="79"/>
      <c r="I115" s="79" t="s">
        <v>77</v>
      </c>
      <c r="J115" s="87">
        <f>IF(DONNÉES!DS112="","",DONNÉES!DS112)</f>
        <v>0</v>
      </c>
      <c r="K115" s="87">
        <f>IF(TRTHOMAS[[#This Row],[2024]]="","",DONNÉES!DT112)</f>
        <v>20365</v>
      </c>
      <c r="L115" s="102">
        <f>IF(TRTHOMAS[[#This Row],[2024]]="","",(TRTHOMAS[[#This Row],[2024]]-TRTHOMAS[[#This Row],[2023]])/TRTHOMAS[[#This Row],[2023]])</f>
        <v>-1</v>
      </c>
      <c r="M115" s="87">
        <f>IF(TRTHOMAS[[#This Row],[2024]]="","",TRTHOMAS[[#This Row],[2024]]+M114)</f>
        <v>19144</v>
      </c>
      <c r="N115" s="86">
        <f>IF(TRTHOMAS[[#This Row],[2024]]="","",+TRTHOMAS[[#This Row],[2023]]+N114)</f>
        <v>97560</v>
      </c>
      <c r="O115" s="103">
        <f>IF(TRTHOMAS[[#This Row],[Cumulé 2024]]="","",+(TRTHOMAS[[#This Row],[Cumulé 2024]]-TRTHOMAS[[#This Row],[Cumulé 2023]])/TRTHOMAS[[#This Row],[Cumulé 2023]])</f>
        <v>-0.8037720377203772</v>
      </c>
    </row>
    <row r="116" spans="1:15" ht="13.15" customHeight="1" x14ac:dyDescent="0.2">
      <c r="A116" s="81" t="s">
        <v>78</v>
      </c>
      <c r="B116" s="87">
        <f>IF(DONNÉES!DK113="","",DONNÉES!DK113)</f>
        <v>0</v>
      </c>
      <c r="C116" s="87">
        <f>IF(TRJEANCLO[[#This Row],[2024]]="","",DONNÉES!DL113)</f>
        <v>15319</v>
      </c>
      <c r="D116" s="102">
        <f>IF(TRJEANCLO[[#This Row],[2024]]="","",(TRJEANCLO[[#This Row],[2024]]-TRJEANCLO[[#This Row],[2023]])/TRJEANCLO[[#This Row],[2023]])</f>
        <v>-1</v>
      </c>
      <c r="E116" s="87">
        <f>IF(TRJEANCLO[[#This Row],[2024]]="","",TRJEANCLO[[#This Row],[2024]]+E115)</f>
        <v>12917</v>
      </c>
      <c r="F116" s="86">
        <f>IF(TRJEANCLO[[#This Row],[2024]]="","",+TRJEANCLO[[#This Row],[2023]]+F115)</f>
        <v>90337</v>
      </c>
      <c r="G116" s="103">
        <f>IF(TRJEANCLO[[#This Row],[Cumulé 2024]]="","",+(TRJEANCLO[[#This Row],[Cumulé 2024]]-TRJEANCLO[[#This Row],[Cumulé 2023]])/TRJEANCLO[[#This Row],[Cumulé 2023]])</f>
        <v>-0.85701318396670245</v>
      </c>
      <c r="H116" s="79"/>
      <c r="I116" s="81" t="s">
        <v>78</v>
      </c>
      <c r="J116" s="87">
        <f>IF(DONNÉES!DS113="","",DONNÉES!DS113)</f>
        <v>0</v>
      </c>
      <c r="K116" s="87">
        <f>IF(TRTHOMAS[[#This Row],[2024]]="","",DONNÉES!DT113)</f>
        <v>20074</v>
      </c>
      <c r="L116" s="102">
        <f>IF(TRTHOMAS[[#This Row],[2024]]="","",(TRTHOMAS[[#This Row],[2024]]-TRTHOMAS[[#This Row],[2023]])/TRTHOMAS[[#This Row],[2023]])</f>
        <v>-1</v>
      </c>
      <c r="M116" s="87">
        <f>IF(TRTHOMAS[[#This Row],[2024]]="","",TRTHOMAS[[#This Row],[2024]]+M115)</f>
        <v>19144</v>
      </c>
      <c r="N116" s="86">
        <f>IF(TRTHOMAS[[#This Row],[2024]]="","",+TRTHOMAS[[#This Row],[2023]]+N115)</f>
        <v>117634</v>
      </c>
      <c r="O116" s="103">
        <f>IF(TRTHOMAS[[#This Row],[Cumulé 2024]]="","",+(TRTHOMAS[[#This Row],[Cumulé 2024]]-TRTHOMAS[[#This Row],[Cumulé 2023]])/TRTHOMAS[[#This Row],[Cumulé 2023]])</f>
        <v>-0.83725793563085504</v>
      </c>
    </row>
    <row r="117" spans="1:15" ht="13.15" customHeight="1" x14ac:dyDescent="0.2">
      <c r="A117" s="79" t="s">
        <v>79</v>
      </c>
      <c r="B117" s="87">
        <f>IF(DONNÉES!DK114="","",DONNÉES!DK114)</f>
        <v>0</v>
      </c>
      <c r="C117" s="87">
        <f>IF(TRJEANCLO[[#This Row],[2024]]="","",DONNÉES!DL114)</f>
        <v>15125</v>
      </c>
      <c r="D117" s="102">
        <f>IF(TRJEANCLO[[#This Row],[2024]]="","",(TRJEANCLO[[#This Row],[2024]]-TRJEANCLO[[#This Row],[2023]])/TRJEANCLO[[#This Row],[2023]])</f>
        <v>-1</v>
      </c>
      <c r="E117" s="87">
        <f>IF(TRJEANCLO[[#This Row],[2024]]="","",TRJEANCLO[[#This Row],[2024]]+E116)</f>
        <v>12917</v>
      </c>
      <c r="F117" s="86">
        <f>IF(TRJEANCLO[[#This Row],[2024]]="","",+TRJEANCLO[[#This Row],[2023]]+F116)</f>
        <v>105462</v>
      </c>
      <c r="G117" s="103">
        <f>IF(TRJEANCLO[[#This Row],[Cumulé 2024]]="","",+(TRJEANCLO[[#This Row],[Cumulé 2024]]-TRJEANCLO[[#This Row],[Cumulé 2023]])/TRJEANCLO[[#This Row],[Cumulé 2023]])</f>
        <v>-0.87751986497506207</v>
      </c>
      <c r="H117" s="79"/>
      <c r="I117" s="79" t="s">
        <v>79</v>
      </c>
      <c r="J117" s="87">
        <f>IF(DONNÉES!DS114="","",DONNÉES!DS114)</f>
        <v>0</v>
      </c>
      <c r="K117" s="87">
        <f>IF(TRTHOMAS[[#This Row],[2024]]="","",DONNÉES!DT114)</f>
        <v>18998</v>
      </c>
      <c r="L117" s="102">
        <f>IF(TRTHOMAS[[#This Row],[2024]]="","",(TRTHOMAS[[#This Row],[2024]]-TRTHOMAS[[#This Row],[2023]])/TRTHOMAS[[#This Row],[2023]])</f>
        <v>-1</v>
      </c>
      <c r="M117" s="87">
        <f>IF(TRTHOMAS[[#This Row],[2024]]="","",TRTHOMAS[[#This Row],[2024]]+M116)</f>
        <v>19144</v>
      </c>
      <c r="N117" s="86">
        <f>IF(TRTHOMAS[[#This Row],[2024]]="","",+TRTHOMAS[[#This Row],[2023]]+N116)</f>
        <v>136632</v>
      </c>
      <c r="O117" s="103">
        <f>IF(TRTHOMAS[[#This Row],[Cumulé 2024]]="","",+(TRTHOMAS[[#This Row],[Cumulé 2024]]-TRTHOMAS[[#This Row],[Cumulé 2023]])/TRTHOMAS[[#This Row],[Cumulé 2023]])</f>
        <v>-0.85988641021137069</v>
      </c>
    </row>
    <row r="118" spans="1:15" ht="13.15" customHeight="1" x14ac:dyDescent="0.2">
      <c r="A118" s="81" t="s">
        <v>80</v>
      </c>
      <c r="B118" s="87">
        <f>IF(DONNÉES!DK115="","",DONNÉES!DK115)</f>
        <v>0</v>
      </c>
      <c r="C118" s="87">
        <f>IF(TRJEANCLO[[#This Row],[2024]]="","",DONNÉES!DL115)</f>
        <v>15815</v>
      </c>
      <c r="D118" s="102">
        <f>IF(TRJEANCLO[[#This Row],[2024]]="","",(TRJEANCLO[[#This Row],[2024]]-TRJEANCLO[[#This Row],[2023]])/TRJEANCLO[[#This Row],[2023]])</f>
        <v>-1</v>
      </c>
      <c r="E118" s="87">
        <f>IF(TRJEANCLO[[#This Row],[2024]]="","",TRJEANCLO[[#This Row],[2024]]+E117)</f>
        <v>12917</v>
      </c>
      <c r="F118" s="86">
        <f>IF(TRJEANCLO[[#This Row],[2024]]="","",+TRJEANCLO[[#This Row],[2023]]+F117)</f>
        <v>121277</v>
      </c>
      <c r="G118" s="103">
        <f>IF(TRJEANCLO[[#This Row],[Cumulé 2024]]="","",+(TRJEANCLO[[#This Row],[Cumulé 2024]]-TRJEANCLO[[#This Row],[Cumulé 2023]])/TRJEANCLO[[#This Row],[Cumulé 2023]])</f>
        <v>-0.89349175853624352</v>
      </c>
      <c r="H118" s="79"/>
      <c r="I118" s="81" t="s">
        <v>80</v>
      </c>
      <c r="J118" s="87">
        <f>IF(DONNÉES!DS115="","",DONNÉES!DS115)</f>
        <v>0</v>
      </c>
      <c r="K118" s="87">
        <f>IF(TRTHOMAS[[#This Row],[2024]]="","",DONNÉES!DT115)</f>
        <v>19471</v>
      </c>
      <c r="L118" s="102">
        <f>IF(TRTHOMAS[[#This Row],[2024]]="","",(TRTHOMAS[[#This Row],[2024]]-TRTHOMAS[[#This Row],[2023]])/TRTHOMAS[[#This Row],[2023]])</f>
        <v>-1</v>
      </c>
      <c r="M118" s="87">
        <f>IF(TRTHOMAS[[#This Row],[2024]]="","",TRTHOMAS[[#This Row],[2024]]+M117)</f>
        <v>19144</v>
      </c>
      <c r="N118" s="86">
        <f>IF(TRTHOMAS[[#This Row],[2024]]="","",+TRTHOMAS[[#This Row],[2023]]+N117)</f>
        <v>156103</v>
      </c>
      <c r="O118" s="103">
        <f>IF(TRTHOMAS[[#This Row],[Cumulé 2024]]="","",+(TRTHOMAS[[#This Row],[Cumulé 2024]]-TRTHOMAS[[#This Row],[Cumulé 2023]])/TRTHOMAS[[#This Row],[Cumulé 2023]])</f>
        <v>-0.87736302313216274</v>
      </c>
    </row>
    <row r="119" spans="1:15" ht="13.15" customHeight="1" x14ac:dyDescent="0.2">
      <c r="A119" s="79" t="s">
        <v>81</v>
      </c>
      <c r="B119" s="87">
        <f>IF(DONNÉES!DK116="","",DONNÉES!DK116)</f>
        <v>0</v>
      </c>
      <c r="C119" s="87">
        <f>IF(TRJEANCLO[[#This Row],[2024]]="","",DONNÉES!DL116)</f>
        <v>15929</v>
      </c>
      <c r="D119" s="103">
        <f>IF(TRJEANCLO[[#This Row],[2024]]="","",(TRJEANCLO[[#This Row],[2024]]-TRJEANCLO[[#This Row],[2023]])/TRJEANCLO[[#This Row],[2023]])</f>
        <v>-1</v>
      </c>
      <c r="E119" s="87">
        <f>IF(TRJEANCLO[[#This Row],[2024]]="","",TRJEANCLO[[#This Row],[2024]]+E118)</f>
        <v>12917</v>
      </c>
      <c r="F119" s="86">
        <f>IF(TRJEANCLO[[#This Row],[2024]]="","",+TRJEANCLO[[#This Row],[2023]]+F118)</f>
        <v>137206</v>
      </c>
      <c r="G119" s="103">
        <f>IF(TRJEANCLO[[#This Row],[Cumulé 2024]]="","",+(TRJEANCLO[[#This Row],[Cumulé 2024]]-TRJEANCLO[[#This Row],[Cumulé 2023]])/TRJEANCLO[[#This Row],[Cumulé 2023]])</f>
        <v>-0.90585688672507036</v>
      </c>
      <c r="I119" s="79" t="s">
        <v>81</v>
      </c>
      <c r="J119" s="87">
        <f>IF(DONNÉES!DS116="","",DONNÉES!DS116)</f>
        <v>0</v>
      </c>
      <c r="K119" s="87">
        <f>IF(TRTHOMAS[[#This Row],[2024]]="","",DONNÉES!DT116)</f>
        <v>19097</v>
      </c>
      <c r="L119" s="103">
        <f>IF(TRTHOMAS[[#This Row],[2024]]="","",(TRTHOMAS[[#This Row],[2024]]-TRTHOMAS[[#This Row],[2023]])/TRTHOMAS[[#This Row],[2023]])</f>
        <v>-1</v>
      </c>
      <c r="M119" s="87">
        <f>IF(TRTHOMAS[[#This Row],[2024]]="","",TRTHOMAS[[#This Row],[2024]]+M118)</f>
        <v>19144</v>
      </c>
      <c r="N119" s="86">
        <f>IF(TRTHOMAS[[#This Row],[2024]]="","",+TRTHOMAS[[#This Row],[2023]]+N118)</f>
        <v>175200</v>
      </c>
      <c r="O119" s="103">
        <f>IF(TRTHOMAS[[#This Row],[Cumulé 2024]]="","",+(TRTHOMAS[[#This Row],[Cumulé 2024]]-TRTHOMAS[[#This Row],[Cumulé 2023]])/TRTHOMAS[[#This Row],[Cumulé 2023]])</f>
        <v>-0.89073059360730589</v>
      </c>
    </row>
    <row r="120" spans="1:15" ht="13.15" customHeight="1" x14ac:dyDescent="0.2">
      <c r="A120" s="81" t="s">
        <v>82</v>
      </c>
      <c r="B120" s="87">
        <f>IF(DONNÉES!DK117="","",DONNÉES!DK117)</f>
        <v>0</v>
      </c>
      <c r="C120" s="87">
        <f>IF(TRJEANCLO[[#This Row],[2024]]="","",DONNÉES!DL117)</f>
        <v>16201</v>
      </c>
      <c r="D120" s="103">
        <f>IF(TRJEANCLO[[#This Row],[2024]]="","",(TRJEANCLO[[#This Row],[2024]]-TRJEANCLO[[#This Row],[2023]])/TRJEANCLO[[#This Row],[2023]])</f>
        <v>-1</v>
      </c>
      <c r="E120" s="87">
        <f>IF(TRJEANCLO[[#This Row],[2024]]="","",TRJEANCLO[[#This Row],[2024]]+E119)</f>
        <v>12917</v>
      </c>
      <c r="F120" s="86">
        <f>IF(TRJEANCLO[[#This Row],[2024]]="","",+TRJEANCLO[[#This Row],[2023]]+F119)</f>
        <v>153407</v>
      </c>
      <c r="G120" s="103">
        <f>IF(TRJEANCLO[[#This Row],[Cumulé 2024]]="","",+(TRJEANCLO[[#This Row],[Cumulé 2024]]-TRJEANCLO[[#This Row],[Cumulé 2023]])/TRJEANCLO[[#This Row],[Cumulé 2023]])</f>
        <v>-0.91579914866987822</v>
      </c>
      <c r="I120" s="81" t="s">
        <v>82</v>
      </c>
      <c r="J120" s="87">
        <f>IF(DONNÉES!DS117="","",DONNÉES!DS117)</f>
        <v>0</v>
      </c>
      <c r="K120" s="87">
        <f>IF(TRTHOMAS[[#This Row],[2024]]="","",DONNÉES!DT117)</f>
        <v>19957</v>
      </c>
      <c r="L120" s="103">
        <f>IF(TRTHOMAS[[#This Row],[2024]]="","",(TRTHOMAS[[#This Row],[2024]]-TRTHOMAS[[#This Row],[2023]])/TRTHOMAS[[#This Row],[2023]])</f>
        <v>-1</v>
      </c>
      <c r="M120" s="87">
        <f>IF(TRTHOMAS[[#This Row],[2024]]="","",TRTHOMAS[[#This Row],[2024]]+M119)</f>
        <v>19144</v>
      </c>
      <c r="N120" s="86">
        <f>IF(TRTHOMAS[[#This Row],[2024]]="","",+TRTHOMAS[[#This Row],[2023]]+N119)</f>
        <v>195157</v>
      </c>
      <c r="O120" s="103">
        <f>IF(TRTHOMAS[[#This Row],[Cumulé 2024]]="","",+(TRTHOMAS[[#This Row],[Cumulé 2024]]-TRTHOMAS[[#This Row],[Cumulé 2023]])/TRTHOMAS[[#This Row],[Cumulé 2023]])</f>
        <v>-0.9019046203825638</v>
      </c>
    </row>
    <row r="121" spans="1:15" ht="13.15" customHeight="1" x14ac:dyDescent="0.2">
      <c r="A121" s="79" t="s">
        <v>83</v>
      </c>
      <c r="B121" s="87">
        <f>IF(DONNÉES!DK118="","",DONNÉES!DK118)</f>
        <v>0</v>
      </c>
      <c r="C121" s="87">
        <f>IF(TRJEANCLO[[#This Row],[2024]]="","",DONNÉES!DL118)</f>
        <v>16390</v>
      </c>
      <c r="D121" s="103">
        <f>IF(TRJEANCLO[[#This Row],[2024]]="","",(TRJEANCLO[[#This Row],[2024]]-TRJEANCLO[[#This Row],[2023]])/TRJEANCLO[[#This Row],[2023]])</f>
        <v>-1</v>
      </c>
      <c r="E121" s="87">
        <f>IF(TRJEANCLO[[#This Row],[2024]]="","",TRJEANCLO[[#This Row],[2024]]+E120)</f>
        <v>12917</v>
      </c>
      <c r="F121" s="86">
        <f>IF(TRJEANCLO[[#This Row],[2024]]="","",+TRJEANCLO[[#This Row],[2023]]+F120)</f>
        <v>169797</v>
      </c>
      <c r="G121" s="103">
        <f>IF(TRJEANCLO[[#This Row],[Cumulé 2024]]="","",+(TRJEANCLO[[#This Row],[Cumulé 2024]]-TRJEANCLO[[#This Row],[Cumulé 2023]])/TRJEANCLO[[#This Row],[Cumulé 2023]])</f>
        <v>-0.92392680671625527</v>
      </c>
      <c r="I121" s="79" t="s">
        <v>83</v>
      </c>
      <c r="J121" s="87">
        <f>IF(DONNÉES!DS118="","",DONNÉES!DS118)</f>
        <v>0</v>
      </c>
      <c r="K121" s="87">
        <f>IF(TRTHOMAS[[#This Row],[2024]]="","",DONNÉES!DT118)</f>
        <v>19688</v>
      </c>
      <c r="L121" s="103">
        <f>IF(TRTHOMAS[[#This Row],[2024]]="","",(TRTHOMAS[[#This Row],[2024]]-TRTHOMAS[[#This Row],[2023]])/TRTHOMAS[[#This Row],[2023]])</f>
        <v>-1</v>
      </c>
      <c r="M121" s="87">
        <f>IF(TRTHOMAS[[#This Row],[2024]]="","",TRTHOMAS[[#This Row],[2024]]+M120)</f>
        <v>19144</v>
      </c>
      <c r="N121" s="86">
        <f>IF(TRTHOMAS[[#This Row],[2024]]="","",+TRTHOMAS[[#This Row],[2023]]+N120)</f>
        <v>214845</v>
      </c>
      <c r="O121" s="103">
        <f>IF(TRTHOMAS[[#This Row],[Cumulé 2024]]="","",+(TRTHOMAS[[#This Row],[Cumulé 2024]]-TRTHOMAS[[#This Row],[Cumulé 2023]])/TRTHOMAS[[#This Row],[Cumulé 2023]])</f>
        <v>-0.91089390025367123</v>
      </c>
    </row>
    <row r="122" spans="1:15" ht="13.15" customHeight="1" x14ac:dyDescent="0.2">
      <c r="A122" s="79" t="s">
        <v>84</v>
      </c>
      <c r="B122" s="87">
        <f>IF(DONNÉES!DK119="","",DONNÉES!DK119)</f>
        <v>0</v>
      </c>
      <c r="C122" s="87">
        <f>IF(TRJEANCLO[[#This Row],[2024]]="","",DONNÉES!DL119)</f>
        <v>17643</v>
      </c>
      <c r="D122" s="103">
        <f>IF(TRJEANCLO[[#This Row],[2024]]="","",(TRJEANCLO[[#This Row],[2024]]-TRJEANCLO[[#This Row],[2023]])/TRJEANCLO[[#This Row],[2023]])</f>
        <v>-1</v>
      </c>
      <c r="E122" s="87">
        <f>IF(TRJEANCLO[[#This Row],[2024]]="","",TRJEANCLO[[#This Row],[2024]]+E121)</f>
        <v>12917</v>
      </c>
      <c r="F122" s="86">
        <f>IF(TRJEANCLO[[#This Row],[2024]]="","",+TRJEANCLO[[#This Row],[2023]]+F121)</f>
        <v>187440</v>
      </c>
      <c r="G122" s="103">
        <f>IF(TRJEANCLO[[#This Row],[Cumulé 2024]]="","",+(TRJEANCLO[[#This Row],[Cumulé 2024]]-TRJEANCLO[[#This Row],[Cumulé 2023]])/TRJEANCLO[[#This Row],[Cumulé 2023]])</f>
        <v>-0.93108728126333762</v>
      </c>
      <c r="I122" s="79" t="s">
        <v>84</v>
      </c>
      <c r="J122" s="87">
        <f>IF(DONNÉES!DS119="","",DONNÉES!DS119)</f>
        <v>0</v>
      </c>
      <c r="K122" s="87">
        <f>IF(TRTHOMAS[[#This Row],[2024]]="","",DONNÉES!DT119)</f>
        <v>20001</v>
      </c>
      <c r="L122" s="103">
        <f>IF(TRTHOMAS[[#This Row],[2024]]="","",(TRTHOMAS[[#This Row],[2024]]-TRTHOMAS[[#This Row],[2023]])/TRTHOMAS[[#This Row],[2023]])</f>
        <v>-1</v>
      </c>
      <c r="M122" s="87">
        <f>IF(TRTHOMAS[[#This Row],[2024]]="","",TRTHOMAS[[#This Row],[2024]]+M121)</f>
        <v>19144</v>
      </c>
      <c r="N122" s="86">
        <f>IF(TRTHOMAS[[#This Row],[2024]]="","",+TRTHOMAS[[#This Row],[2023]]+N121)</f>
        <v>234846</v>
      </c>
      <c r="O122" s="103">
        <f>IF(TRTHOMAS[[#This Row],[Cumulé 2024]]="","",+(TRTHOMAS[[#This Row],[Cumulé 2024]]-TRTHOMAS[[#This Row],[Cumulé 2023]])/TRTHOMAS[[#This Row],[Cumulé 2023]])</f>
        <v>-0.91848275039813321</v>
      </c>
    </row>
    <row r="123" spans="1:15" ht="16.899999999999999" customHeight="1" x14ac:dyDescent="0.2">
      <c r="A123" s="46" t="s">
        <v>135</v>
      </c>
      <c r="B123" s="76">
        <f>SUBTOTAL(109,TRJEANCLO[2024])</f>
        <v>12917</v>
      </c>
      <c r="C123" s="76">
        <f>SUBTOTAL(109,TRJEANCLO[2023])</f>
        <v>187440</v>
      </c>
      <c r="D123" s="105"/>
      <c r="E123" s="88"/>
      <c r="F123" s="76"/>
      <c r="G123" s="105"/>
      <c r="I123" s="46" t="s">
        <v>135</v>
      </c>
      <c r="J123" s="76">
        <f>SUBTOTAL(109,TRTHOMAS[2024])</f>
        <v>19144</v>
      </c>
      <c r="K123" s="76">
        <f>SUBTOTAL(109,TRTHOMAS[2023])</f>
        <v>234846</v>
      </c>
      <c r="L123" s="105"/>
      <c r="M123" s="88"/>
      <c r="N123" s="76"/>
      <c r="O123" s="161"/>
    </row>
    <row r="124" spans="1:15" ht="30.6" customHeight="1" x14ac:dyDescent="0.2">
      <c r="M124" s="84"/>
    </row>
    <row r="125" spans="1:15" ht="33" customHeight="1" x14ac:dyDescent="0.2">
      <c r="A125" s="79" t="s">
        <v>87</v>
      </c>
      <c r="B125" s="94" t="s">
        <v>6962</v>
      </c>
      <c r="C125" s="94" t="s">
        <v>2169</v>
      </c>
      <c r="D125" s="100" t="s">
        <v>136</v>
      </c>
      <c r="E125" s="95" t="s">
        <v>6993</v>
      </c>
      <c r="F125" s="95" t="s">
        <v>6952</v>
      </c>
      <c r="G125" s="100" t="s">
        <v>137</v>
      </c>
    </row>
    <row r="126" spans="1:15" ht="13.15" customHeight="1" x14ac:dyDescent="0.2">
      <c r="A126" s="81" t="s">
        <v>73</v>
      </c>
      <c r="B126" s="87">
        <f>IF(DONNÉES!C108="","",DONNÉES!C108)</f>
        <v>271935</v>
      </c>
      <c r="C126" s="87">
        <f>IF(TRGLOBAL[[#This Row],[2024]]="","",DONNÉES!D108)</f>
        <v>199569</v>
      </c>
      <c r="D126" s="102">
        <f>IF(TRGLOBAL[[#This Row],[2024]]="","",(TRGLOBAL[[#This Row],[2024]]-TRGLOBAL[[#This Row],[2023]])/TRGLOBAL[[#This Row],[2023]])</f>
        <v>0.3626114276265352</v>
      </c>
      <c r="E126" s="87">
        <f>IF(TRGLOBAL[[#This Row],[2024]]="","",TRGLOBAL[[#This Row],[2024]])</f>
        <v>271935</v>
      </c>
      <c r="F126" s="86">
        <f>IF(TRGLOBAL[[#This Row],[2024]]="","",+TRGLOBAL[[#This Row],[2023]])</f>
        <v>199569</v>
      </c>
      <c r="G126" s="103">
        <f>IF(TRGLOBAL[[#This Row],[Cumulé 2024]]="","",+(TRGLOBAL[[#This Row],[Cumulé 2024]]-TRGLOBAL[[#This Row],[Cumulé 2023]])/TRGLOBAL[[#This Row],[Cumulé 2023]])</f>
        <v>0.3626114276265352</v>
      </c>
      <c r="H126" s="83"/>
    </row>
    <row r="127" spans="1:15" ht="13.15" customHeight="1" x14ac:dyDescent="0.2">
      <c r="A127" s="81" t="s">
        <v>74</v>
      </c>
      <c r="B127" s="87" t="str">
        <f>IF(DONNÉES!C109="","",DONNÉES!C109)</f>
        <v/>
      </c>
      <c r="C127" s="87" t="str">
        <f>IF(TRGLOBAL[[#This Row],[2024]]="","",DONNÉES!D109)</f>
        <v/>
      </c>
      <c r="D127" s="102" t="str">
        <f>IF(TRGLOBAL[[#This Row],[2024]]="","",(TRGLOBAL[[#This Row],[2024]]-TRGLOBAL[[#This Row],[2023]])/TRGLOBAL[[#This Row],[2023]])</f>
        <v/>
      </c>
      <c r="E127" s="87" t="str">
        <f>IF(TRGLOBAL[[#This Row],[2024]]="","",TRGLOBAL[[#This Row],[2024]]+E126)</f>
        <v/>
      </c>
      <c r="F127" s="86" t="str">
        <f>IF(TRGLOBAL[[#This Row],[2024]]="","",+TRGLOBAL[[#This Row],[2023]]+F126)</f>
        <v/>
      </c>
      <c r="G127" s="103" t="str">
        <f>IF(TRGLOBAL[[#This Row],[Cumulé 2024]]="","",+(TRGLOBAL[[#This Row],[Cumulé 2024]]-TRGLOBAL[[#This Row],[Cumulé 2023]])/TRGLOBAL[[#This Row],[Cumulé 2023]])</f>
        <v/>
      </c>
    </row>
    <row r="128" spans="1:15" ht="13.15" customHeight="1" x14ac:dyDescent="0.2">
      <c r="A128" s="79" t="s">
        <v>75</v>
      </c>
      <c r="B128" s="87" t="str">
        <f>IF(DONNÉES!C110="","",DONNÉES!C110)</f>
        <v/>
      </c>
      <c r="C128" s="87" t="str">
        <f>IF(TRGLOBAL[[#This Row],[2024]]="","",DONNÉES!D110)</f>
        <v/>
      </c>
      <c r="D128" s="102" t="str">
        <f>IF(TRGLOBAL[[#This Row],[2024]]="","",(TRGLOBAL[[#This Row],[2024]]-TRGLOBAL[[#This Row],[2023]])/TRGLOBAL[[#This Row],[2023]])</f>
        <v/>
      </c>
      <c r="E128" s="87" t="str">
        <f>IF(TRGLOBAL[[#This Row],[2024]]="","",TRGLOBAL[[#This Row],[2024]]+E127)</f>
        <v/>
      </c>
      <c r="F128" s="86" t="str">
        <f>IF(TRGLOBAL[[#This Row],[2024]]="","",+TRGLOBAL[[#This Row],[2023]]+F127)</f>
        <v/>
      </c>
      <c r="G128" s="103" t="str">
        <f>IF(TRGLOBAL[[#This Row],[Cumulé 2024]]="","",+(TRGLOBAL[[#This Row],[Cumulé 2024]]-TRGLOBAL[[#This Row],[Cumulé 2023]])/TRGLOBAL[[#This Row],[Cumulé 2023]])</f>
        <v/>
      </c>
    </row>
    <row r="129" spans="1:7" ht="13.15" customHeight="1" x14ac:dyDescent="0.2">
      <c r="A129" s="81" t="s">
        <v>76</v>
      </c>
      <c r="B129" s="48" t="str">
        <f>IF(DONNÉES!C111="","",DONNÉES!C111)</f>
        <v/>
      </c>
      <c r="C129" s="48" t="str">
        <f>IF(TRGLOBAL[[#This Row],[2024]]="","",DONNÉES!D111)</f>
        <v/>
      </c>
      <c r="D129" s="102" t="str">
        <f>IF(TRGLOBAL[[#This Row],[2024]]="","",(TRGLOBAL[[#This Row],[2024]]-TRGLOBAL[[#This Row],[2023]])/TRGLOBAL[[#This Row],[2023]])</f>
        <v/>
      </c>
      <c r="E129" s="87" t="str">
        <f>IF(TRGLOBAL[[#This Row],[2024]]="","",TRGLOBAL[[#This Row],[2024]]+E128)</f>
        <v/>
      </c>
      <c r="F129" s="86" t="str">
        <f>IF(TRGLOBAL[[#This Row],[2024]]="","",+TRGLOBAL[[#This Row],[2023]]+F128)</f>
        <v/>
      </c>
      <c r="G129" s="103" t="str">
        <f>IF(TRGLOBAL[[#This Row],[Cumulé 2024]]="","",+(TRGLOBAL[[#This Row],[Cumulé 2024]]-TRGLOBAL[[#This Row],[Cumulé 2023]])/TRGLOBAL[[#This Row],[Cumulé 2023]])</f>
        <v/>
      </c>
    </row>
    <row r="130" spans="1:7" ht="13.15" customHeight="1" x14ac:dyDescent="0.2">
      <c r="A130" s="79" t="s">
        <v>77</v>
      </c>
      <c r="B130" s="48" t="str">
        <f>IF(DONNÉES!C112="","",DONNÉES!C112)</f>
        <v/>
      </c>
      <c r="C130" s="48" t="str">
        <f>IF(TRGLOBAL[[#This Row],[2024]]="","",DONNÉES!D112)</f>
        <v/>
      </c>
      <c r="D130" s="102" t="str">
        <f>IF(TRGLOBAL[[#This Row],[2024]]="","",(TRGLOBAL[[#This Row],[2024]]-TRGLOBAL[[#This Row],[2023]])/TRGLOBAL[[#This Row],[2023]])</f>
        <v/>
      </c>
      <c r="E130" s="87" t="str">
        <f>IF(TRGLOBAL[[#This Row],[2024]]="","",TRGLOBAL[[#This Row],[2024]]+E129)</f>
        <v/>
      </c>
      <c r="F130" s="86" t="str">
        <f>IF(TRGLOBAL[[#This Row],[2024]]="","",+TRGLOBAL[[#This Row],[2023]]+F129)</f>
        <v/>
      </c>
      <c r="G130" s="103" t="str">
        <f>IF(TRGLOBAL[[#This Row],[Cumulé 2024]]="","",+(TRGLOBAL[[#This Row],[Cumulé 2024]]-TRGLOBAL[[#This Row],[Cumulé 2023]])/TRGLOBAL[[#This Row],[Cumulé 2023]])</f>
        <v/>
      </c>
    </row>
    <row r="131" spans="1:7" ht="13.15" customHeight="1" x14ac:dyDescent="0.2">
      <c r="A131" s="81" t="s">
        <v>78</v>
      </c>
      <c r="B131" s="48" t="str">
        <f>IF(DONNÉES!C113="","",DONNÉES!C113)</f>
        <v/>
      </c>
      <c r="C131" s="48" t="str">
        <f>IF(TRGLOBAL[[#This Row],[2024]]="","",DONNÉES!D113)</f>
        <v/>
      </c>
      <c r="D131" s="102" t="str">
        <f>IF(TRGLOBAL[[#This Row],[2024]]="","",(TRGLOBAL[[#This Row],[2024]]-TRGLOBAL[[#This Row],[2023]])/TRGLOBAL[[#This Row],[2023]])</f>
        <v/>
      </c>
      <c r="E131" s="87" t="str">
        <f>IF(TRGLOBAL[[#This Row],[2024]]="","",TRGLOBAL[[#This Row],[2024]]+E130)</f>
        <v/>
      </c>
      <c r="F131" s="86" t="str">
        <f>IF(TRGLOBAL[[#This Row],[2024]]="","",+TRGLOBAL[[#This Row],[2023]]+F130)</f>
        <v/>
      </c>
      <c r="G131" s="103" t="str">
        <f>IF(TRGLOBAL[[#This Row],[Cumulé 2024]]="","",+(TRGLOBAL[[#This Row],[Cumulé 2024]]-TRGLOBAL[[#This Row],[Cumulé 2023]])/TRGLOBAL[[#This Row],[Cumulé 2023]])</f>
        <v/>
      </c>
    </row>
    <row r="132" spans="1:7" ht="13.15" customHeight="1" x14ac:dyDescent="0.2">
      <c r="A132" s="79" t="s">
        <v>79</v>
      </c>
      <c r="B132" s="48" t="str">
        <f>IF(DONNÉES!C114="","",DONNÉES!C114)</f>
        <v/>
      </c>
      <c r="C132" s="48" t="str">
        <f>IF(TRGLOBAL[[#This Row],[2024]]="","",DONNÉES!D114)</f>
        <v/>
      </c>
      <c r="D132" s="102" t="str">
        <f>IF(TRGLOBAL[[#This Row],[2024]]="","",(TRGLOBAL[[#This Row],[2024]]-TRGLOBAL[[#This Row],[2023]])/TRGLOBAL[[#This Row],[2023]])</f>
        <v/>
      </c>
      <c r="E132" s="87" t="str">
        <f>IF(TRGLOBAL[[#This Row],[2024]]="","",TRGLOBAL[[#This Row],[2024]]+E131)</f>
        <v/>
      </c>
      <c r="F132" s="86" t="str">
        <f>IF(TRGLOBAL[[#This Row],[2024]]="","",+TRGLOBAL[[#This Row],[2023]]+F131)</f>
        <v/>
      </c>
      <c r="G132" s="103" t="str">
        <f>IF(TRGLOBAL[[#This Row],[Cumulé 2024]]="","",+(TRGLOBAL[[#This Row],[Cumulé 2024]]-TRGLOBAL[[#This Row],[Cumulé 2023]])/TRGLOBAL[[#This Row],[Cumulé 2023]])</f>
        <v/>
      </c>
    </row>
    <row r="133" spans="1:7" ht="13.15" customHeight="1" x14ac:dyDescent="0.2">
      <c r="A133" s="81" t="s">
        <v>80</v>
      </c>
      <c r="B133" s="48" t="str">
        <f>IF(DONNÉES!C115="","",DONNÉES!C115)</f>
        <v/>
      </c>
      <c r="C133" s="48" t="str">
        <f>IF(TRGLOBAL[[#This Row],[2024]]="","",DONNÉES!D115)</f>
        <v/>
      </c>
      <c r="D133" s="102" t="str">
        <f>IF(TRGLOBAL[[#This Row],[2024]]="","",(TRGLOBAL[[#This Row],[2024]]-TRGLOBAL[[#This Row],[2023]])/TRGLOBAL[[#This Row],[2023]])</f>
        <v/>
      </c>
      <c r="E133" s="87" t="str">
        <f>IF(TRGLOBAL[[#This Row],[2024]]="","",TRGLOBAL[[#This Row],[2024]]+E132)</f>
        <v/>
      </c>
      <c r="F133" s="86" t="str">
        <f>IF(TRGLOBAL[[#This Row],[2024]]="","",+TRGLOBAL[[#This Row],[2023]]+F132)</f>
        <v/>
      </c>
      <c r="G133" s="103" t="str">
        <f>IF(TRGLOBAL[[#This Row],[Cumulé 2024]]="","",+(TRGLOBAL[[#This Row],[Cumulé 2024]]-TRGLOBAL[[#This Row],[Cumulé 2023]])/TRGLOBAL[[#This Row],[Cumulé 2023]])</f>
        <v/>
      </c>
    </row>
    <row r="134" spans="1:7" ht="13.15" customHeight="1" x14ac:dyDescent="0.2">
      <c r="A134" s="79" t="s">
        <v>81</v>
      </c>
      <c r="B134" s="48" t="str">
        <f>IF(DONNÉES!C116="","",DONNÉES!C116)</f>
        <v/>
      </c>
      <c r="C134" s="48" t="str">
        <f>IF(TRGLOBAL[[#This Row],[2024]]="","",DONNÉES!D116)</f>
        <v/>
      </c>
      <c r="D134" s="103" t="str">
        <f>IF(TRGLOBAL[[#This Row],[2024]]="","",(TRGLOBAL[[#This Row],[2024]]-TRGLOBAL[[#This Row],[2023]])/TRGLOBAL[[#This Row],[2023]])</f>
        <v/>
      </c>
      <c r="E134" s="87" t="str">
        <f>IF(TRGLOBAL[[#This Row],[2024]]="","",TRGLOBAL[[#This Row],[2024]]+E133)</f>
        <v/>
      </c>
      <c r="F134" s="86" t="str">
        <f>IF(TRGLOBAL[[#This Row],[2024]]="","",+TRGLOBAL[[#This Row],[2023]]+F133)</f>
        <v/>
      </c>
      <c r="G134" s="103" t="str">
        <f>IF(TRGLOBAL[[#This Row],[Cumulé 2024]]="","",+(TRGLOBAL[[#This Row],[Cumulé 2024]]-TRGLOBAL[[#This Row],[Cumulé 2023]])/TRGLOBAL[[#This Row],[Cumulé 2023]])</f>
        <v/>
      </c>
    </row>
    <row r="135" spans="1:7" ht="13.15" customHeight="1" x14ac:dyDescent="0.2">
      <c r="A135" s="81" t="s">
        <v>82</v>
      </c>
      <c r="B135" s="48" t="str">
        <f>IF(DONNÉES!C117="","",DONNÉES!C117)</f>
        <v/>
      </c>
      <c r="C135" s="48" t="str">
        <f>IF(TRGLOBAL[[#This Row],[2024]]="","",DONNÉES!D117)</f>
        <v/>
      </c>
      <c r="D135" s="103" t="str">
        <f>IF(TRGLOBAL[[#This Row],[2024]]="","",(TRGLOBAL[[#This Row],[2024]]-TRGLOBAL[[#This Row],[2023]])/TRGLOBAL[[#This Row],[2023]])</f>
        <v/>
      </c>
      <c r="E135" s="87" t="str">
        <f>IF(TRGLOBAL[[#This Row],[2024]]="","",TRGLOBAL[[#This Row],[2024]]+E134)</f>
        <v/>
      </c>
      <c r="F135" s="86" t="str">
        <f>IF(TRGLOBAL[[#This Row],[2024]]="","",+TRGLOBAL[[#This Row],[2023]]+F134)</f>
        <v/>
      </c>
      <c r="G135" s="103" t="str">
        <f>IF(TRGLOBAL[[#This Row],[Cumulé 2024]]="","",+(TRGLOBAL[[#This Row],[Cumulé 2024]]-TRGLOBAL[[#This Row],[Cumulé 2023]])/TRGLOBAL[[#This Row],[Cumulé 2023]])</f>
        <v/>
      </c>
    </row>
    <row r="136" spans="1:7" ht="13.15" customHeight="1" x14ac:dyDescent="0.2">
      <c r="A136" s="79" t="s">
        <v>83</v>
      </c>
      <c r="B136" s="48" t="str">
        <f>IF(DONNÉES!C118="","",DONNÉES!C118)</f>
        <v/>
      </c>
      <c r="C136" s="48" t="str">
        <f>IF(TRGLOBAL[[#This Row],[2024]]="","",DONNÉES!D118)</f>
        <v/>
      </c>
      <c r="D136" s="103" t="str">
        <f>IF(TRGLOBAL[[#This Row],[2024]]="","",(TRGLOBAL[[#This Row],[2024]]-TRGLOBAL[[#This Row],[2023]])/TRGLOBAL[[#This Row],[2023]])</f>
        <v/>
      </c>
      <c r="E136" s="87" t="str">
        <f>IF(TRGLOBAL[[#This Row],[2024]]="","",TRGLOBAL[[#This Row],[2024]]+E135)</f>
        <v/>
      </c>
      <c r="F136" s="86" t="str">
        <f>IF(TRGLOBAL[[#This Row],[2024]]="","",+TRGLOBAL[[#This Row],[2023]]+F135)</f>
        <v/>
      </c>
      <c r="G136" s="103" t="str">
        <f>IF(TRGLOBAL[[#This Row],[Cumulé 2024]]="","",+(TRGLOBAL[[#This Row],[Cumulé 2024]]-TRGLOBAL[[#This Row],[Cumulé 2023]])/TRGLOBAL[[#This Row],[Cumulé 2023]])</f>
        <v/>
      </c>
    </row>
    <row r="137" spans="1:7" ht="13.15" customHeight="1" x14ac:dyDescent="0.2">
      <c r="A137" s="79" t="s">
        <v>84</v>
      </c>
      <c r="B137" s="48" t="str">
        <f>IF(DONNÉES!C119="","",DONNÉES!C119)</f>
        <v/>
      </c>
      <c r="C137" s="48" t="str">
        <f>IF(TRGLOBAL[[#This Row],[2024]]="","",DONNÉES!D119)</f>
        <v/>
      </c>
      <c r="D137" s="103" t="str">
        <f>IF(TRGLOBAL[[#This Row],[2024]]="","",(TRGLOBAL[[#This Row],[2024]]-TRGLOBAL[[#This Row],[2023]])/TRGLOBAL[[#This Row],[2023]])</f>
        <v/>
      </c>
      <c r="E137" s="87" t="str">
        <f>IF(TRGLOBAL[[#This Row],[2024]]="","",TRGLOBAL[[#This Row],[2024]]+E136)</f>
        <v/>
      </c>
      <c r="F137" s="86" t="str">
        <f>IF(TRGLOBAL[[#This Row],[2024]]="","",+TRGLOBAL[[#This Row],[2023]]+F136)</f>
        <v/>
      </c>
      <c r="G137" s="103" t="str">
        <f>IF(TRGLOBAL[[#This Row],[Cumulé 2024]]="","",+(TRGLOBAL[[#This Row],[Cumulé 2024]]-TRGLOBAL[[#This Row],[Cumulé 2023]])/TRGLOBAL[[#This Row],[Cumulé 2023]])</f>
        <v/>
      </c>
    </row>
    <row r="138" spans="1:7" ht="16.899999999999999" customHeight="1" x14ac:dyDescent="0.2">
      <c r="A138" s="46" t="s">
        <v>135</v>
      </c>
      <c r="B138" s="76">
        <f>SUBTOTAL(109,TRGLOBAL[2024])</f>
        <v>271935</v>
      </c>
      <c r="C138" s="76">
        <f>SUBTOTAL(109,TRGLOBAL[2023])</f>
        <v>199569</v>
      </c>
      <c r="D138" s="105"/>
      <c r="E138" s="88"/>
      <c r="F138" s="76"/>
      <c r="G138" s="161"/>
    </row>
    <row r="146" spans="6:11" x14ac:dyDescent="0.2">
      <c r="F146" s="83"/>
      <c r="I146" s="83"/>
      <c r="J146" s="83"/>
      <c r="K146" s="83"/>
    </row>
  </sheetData>
  <mergeCells count="1">
    <mergeCell ref="A3:O3"/>
  </mergeCells>
  <phoneticPr fontId="77" type="noConversion"/>
  <pageMargins left="0.70866141732283472" right="0.70866141732283472" top="0.74803149606299213" bottom="0.74803149606299213" header="0.31496062992125984" footer="0.31496062992125984"/>
  <pageSetup paperSize="9" scale="55" fitToHeight="2" orientation="portrait" r:id="rId1"/>
  <headerFooter>
    <oddFooter>&amp;C&amp;"Helv,Gras"&amp;11Page &amp;P / &amp;N</oddFooter>
  </headerFooter>
  <rowBreaks count="1" manualBreakCount="1">
    <brk id="78" max="16383" man="1"/>
  </rowBreaks>
  <drawing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BCEA-2CA5-4E44-BF59-B70D343CB4F1}">
  <sheetPr codeName="Feuil107">
    <tabColor rgb="FF92D050"/>
  </sheetPr>
  <dimension ref="A1:N259"/>
  <sheetViews>
    <sheetView showGridLines="0" view="pageBreakPreview" zoomScaleNormal="115" zoomScaleSheetLayoutView="100" workbookViewId="0">
      <pane ySplit="4" topLeftCell="A213" activePane="bottomLeft" state="frozen"/>
      <selection activeCell="G26" activeCellId="2" sqref="E16 M26 G26"/>
      <selection pane="bottomLeft" activeCell="G26" activeCellId="2" sqref="E16 M26 G26"/>
    </sheetView>
  </sheetViews>
  <sheetFormatPr baseColWidth="10" defaultColWidth="11.42578125" defaultRowHeight="12.75" x14ac:dyDescent="0.2"/>
  <cols>
    <col min="1" max="1" width="15.7109375" style="79" customWidth="1"/>
    <col min="2" max="3" width="8.7109375" style="112" customWidth="1"/>
    <col min="4" max="4" width="8.7109375" style="101" customWidth="1"/>
    <col min="5" max="6" width="8.7109375" style="112" customWidth="1"/>
    <col min="7" max="7" width="8.7109375" style="118" customWidth="1"/>
    <col min="8" max="9" width="8.7109375" style="82" customWidth="1"/>
    <col min="10" max="10" width="3" style="112" customWidth="1"/>
    <col min="11" max="11" width="8.7109375" style="112" customWidth="1"/>
    <col min="12" max="12" width="8.7109375" style="101" customWidth="1"/>
    <col min="13" max="13" width="8.7109375" style="118" customWidth="1"/>
    <col min="14" max="14" width="8.7109375" style="79" customWidth="1"/>
    <col min="15" max="16384" width="11.42578125" style="79"/>
  </cols>
  <sheetData>
    <row r="1" spans="1:14" x14ac:dyDescent="0.2">
      <c r="A1" s="74" t="s">
        <v>6996</v>
      </c>
      <c r="B1" s="106"/>
      <c r="C1" s="106"/>
      <c r="D1" s="98"/>
      <c r="E1" s="106"/>
      <c r="F1" s="106"/>
      <c r="G1" s="114"/>
      <c r="H1" s="79"/>
      <c r="I1" s="79"/>
      <c r="J1" s="121"/>
      <c r="N1" s="162" t="str">
        <f>CONCATENATE("P&amp;L ",RIGHT(DONNÉES!B5,LEN(DONNÉES!B5)-3))</f>
        <v>P&amp;L Janvier</v>
      </c>
    </row>
    <row r="2" spans="1:14" x14ac:dyDescent="0.2">
      <c r="A2" s="74"/>
      <c r="B2" s="106"/>
      <c r="C2" s="106"/>
      <c r="D2" s="98"/>
      <c r="E2" s="106"/>
      <c r="F2" s="106"/>
      <c r="G2" s="114"/>
      <c r="H2" s="75"/>
      <c r="I2" s="75"/>
      <c r="J2" s="122"/>
    </row>
    <row r="3" spans="1:14" ht="15.6" customHeight="1" x14ac:dyDescent="0.25">
      <c r="A3" s="300" t="s">
        <v>194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</row>
    <row r="4" spans="1:14" ht="12" customHeight="1" x14ac:dyDescent="0.2">
      <c r="A4" s="6"/>
      <c r="B4" s="107"/>
      <c r="C4" s="107"/>
      <c r="D4" s="99"/>
      <c r="E4" s="107"/>
      <c r="F4" s="107"/>
      <c r="G4" s="115"/>
      <c r="H4" s="6"/>
      <c r="I4" s="6"/>
      <c r="J4" s="107"/>
    </row>
    <row r="5" spans="1:14" ht="15" customHeight="1" x14ac:dyDescent="0.2">
      <c r="A5" s="253"/>
      <c r="B5" s="340" t="s">
        <v>195</v>
      </c>
      <c r="C5" s="340"/>
      <c r="D5" s="340"/>
      <c r="E5" s="341"/>
      <c r="F5" s="340" t="s">
        <v>196</v>
      </c>
      <c r="G5" s="340"/>
      <c r="H5" s="340"/>
      <c r="I5" s="340"/>
      <c r="J5" s="107"/>
      <c r="K5" s="340" t="s">
        <v>197</v>
      </c>
      <c r="L5" s="340"/>
      <c r="M5" s="340"/>
      <c r="N5" s="340"/>
    </row>
    <row r="6" spans="1:14" ht="30" customHeight="1" x14ac:dyDescent="0.2">
      <c r="A6" s="169" t="s">
        <v>2999</v>
      </c>
      <c r="B6" s="108" t="s">
        <v>6962</v>
      </c>
      <c r="C6" s="166" t="s">
        <v>2169</v>
      </c>
      <c r="D6" s="108" t="s">
        <v>6986</v>
      </c>
      <c r="E6" s="172" t="s">
        <v>6944</v>
      </c>
      <c r="F6" s="108" t="s">
        <v>6987</v>
      </c>
      <c r="G6" s="166" t="s">
        <v>6945</v>
      </c>
      <c r="H6" s="108" t="s">
        <v>6988</v>
      </c>
      <c r="I6" s="124" t="s">
        <v>6946</v>
      </c>
      <c r="J6" s="79"/>
      <c r="K6" s="108" t="s">
        <v>6987</v>
      </c>
      <c r="L6" s="166" t="s">
        <v>6945</v>
      </c>
      <c r="M6" s="108" t="s">
        <v>6988</v>
      </c>
      <c r="N6" s="172" t="s">
        <v>6946</v>
      </c>
    </row>
    <row r="7" spans="1:14" s="81" customFormat="1" ht="10.15" customHeight="1" x14ac:dyDescent="0.2">
      <c r="A7" s="170" t="s">
        <v>73</v>
      </c>
      <c r="B7" s="109">
        <f>IF(DONNÉES!K204="","",DONNÉES!K204)</f>
        <v>15.88</v>
      </c>
      <c r="C7" s="163">
        <f>IF(PMDBIGNALET117145[[#This Row],[2024]]="","",DONNÉES!L204)</f>
        <v>15.44</v>
      </c>
      <c r="D7" s="109">
        <f>IF(PMDBIGNALET117145[[#This Row],[2024]]="","",DONNÉES!K252)</f>
        <v>15.88</v>
      </c>
      <c r="E7" s="173">
        <f>IF(PMDBIGNALET117145[[#This Row],[2024]]="","",DONNÉES!L252)</f>
        <v>15.44</v>
      </c>
      <c r="F7" s="109">
        <f>IF(PMDBIGNALET117145[[#This Row],[2024]]="","",DONNÉES!K220)</f>
        <v>20.09</v>
      </c>
      <c r="G7" s="163">
        <f>IF(PMDBIGNALET117145[[#This Row],[2024]]="","",DONNÉES!L220)</f>
        <v>18.059999999999999</v>
      </c>
      <c r="H7" s="109">
        <f>IF(PMDBIGNALET117145[[#This Row],[2024]]="","",DONNÉES!K268)</f>
        <v>20.09</v>
      </c>
      <c r="I7" s="109">
        <f>IF(PMDBIGNALET117145[[#This Row],[2024]]="","",DONNÉES!L268)</f>
        <v>18.059999999999999</v>
      </c>
      <c r="K7" s="109">
        <f>IF(PMDBIGNALET117145[[#This Row],[2024]]="","",DONNÉES!K236)</f>
        <v>17.13</v>
      </c>
      <c r="L7" s="163">
        <f>IF(PMDBIGNALET117145[[#This Row],[2024]]="","",DONNÉES!L236)</f>
        <v>16.05</v>
      </c>
      <c r="M7" s="109">
        <f>IF(PMDBIGNALET117145[[#This Row],[2024]]="","",DONNÉES!K284)</f>
        <v>17.13</v>
      </c>
      <c r="N7" s="109">
        <f>IF(PMDBIGNALET117145[[#This Row],[2024]]="","",DONNÉES!L284)</f>
        <v>16.05</v>
      </c>
    </row>
    <row r="8" spans="1:14" s="81" customFormat="1" ht="10.15" customHeight="1" x14ac:dyDescent="0.2">
      <c r="A8" s="170" t="s">
        <v>74</v>
      </c>
      <c r="B8" s="109" t="str">
        <f>IF(DONNÉES!K205="","",DONNÉES!K205)</f>
        <v/>
      </c>
      <c r="C8" s="163" t="str">
        <f>IF(PMDBIGNALET117145[[#This Row],[2024]]="","",DONNÉES!L205)</f>
        <v/>
      </c>
      <c r="D8" s="109" t="str">
        <f>IF(PMDBIGNALET117145[[#This Row],[2024]]="","",DONNÉES!K253)</f>
        <v/>
      </c>
      <c r="E8" s="173" t="str">
        <f>IF(PMDBIGNALET117145[[#This Row],[2024]]="","",DONNÉES!L253)</f>
        <v/>
      </c>
      <c r="F8" s="109" t="str">
        <f>IF(PMDBIGNALET117145[[#This Row],[2024]]="","",DONNÉES!K221)</f>
        <v/>
      </c>
      <c r="G8" s="163" t="str">
        <f>IF(PMDBIGNALET117145[[#This Row],[2024]]="","",DONNÉES!L221)</f>
        <v/>
      </c>
      <c r="H8" s="109" t="str">
        <f>IF(PMDBIGNALET117145[[#This Row],[2024]]="","",DONNÉES!K269)</f>
        <v/>
      </c>
      <c r="I8" s="109" t="str">
        <f>IF(PMDBIGNALET117145[[#This Row],[2024]]="","",DONNÉES!L269)</f>
        <v/>
      </c>
      <c r="K8" s="109" t="str">
        <f>IF(PMDBIGNALET117145[[#This Row],[2024]]="","",DONNÉES!K237)</f>
        <v/>
      </c>
      <c r="L8" s="163" t="str">
        <f>IF(PMDBIGNALET117145[[#This Row],[2024]]="","",DONNÉES!L237)</f>
        <v/>
      </c>
      <c r="M8" s="109" t="str">
        <f>IF(PMDBIGNALET117145[[#This Row],[2024]]="","",DONNÉES!K285)</f>
        <v/>
      </c>
      <c r="N8" s="109" t="str">
        <f>IF(PMDBIGNALET117145[[#This Row],[2024]]="","",DONNÉES!L285)</f>
        <v/>
      </c>
    </row>
    <row r="9" spans="1:14" s="81" customFormat="1" ht="10.15" customHeight="1" x14ac:dyDescent="0.2">
      <c r="A9" s="169" t="s">
        <v>75</v>
      </c>
      <c r="B9" s="109" t="str">
        <f>IF(DONNÉES!K206="","",DONNÉES!K206)</f>
        <v/>
      </c>
      <c r="C9" s="163" t="str">
        <f>IF(PMDBIGNALET117145[[#This Row],[2024]]="","",DONNÉES!L206)</f>
        <v/>
      </c>
      <c r="D9" s="109" t="str">
        <f>IF(PMDBIGNALET117145[[#This Row],[2024]]="","",DONNÉES!K254)</f>
        <v/>
      </c>
      <c r="E9" s="173" t="str">
        <f>IF(PMDBIGNALET117145[[#This Row],[2024]]="","",DONNÉES!L254)</f>
        <v/>
      </c>
      <c r="F9" s="109" t="str">
        <f>IF(PMDBIGNALET117145[[#This Row],[2024]]="","",DONNÉES!K222)</f>
        <v/>
      </c>
      <c r="G9" s="163" t="str">
        <f>IF(PMDBIGNALET117145[[#This Row],[2024]]="","",DONNÉES!L222)</f>
        <v/>
      </c>
      <c r="H9" s="109" t="str">
        <f>IF(PMDBIGNALET117145[[#This Row],[2024]]="","",DONNÉES!K270)</f>
        <v/>
      </c>
      <c r="I9" s="109" t="str">
        <f>IF(PMDBIGNALET117145[[#This Row],[2024]]="","",DONNÉES!L270)</f>
        <v/>
      </c>
      <c r="K9" s="109" t="str">
        <f>IF(PMDBIGNALET117145[[#This Row],[2024]]="","",DONNÉES!K238)</f>
        <v/>
      </c>
      <c r="L9" s="163" t="str">
        <f>IF(PMDBIGNALET117145[[#This Row],[2024]]="","",DONNÉES!L238)</f>
        <v/>
      </c>
      <c r="M9" s="109" t="str">
        <f>IF(PMDBIGNALET117145[[#This Row],[2024]]="","",DONNÉES!K286)</f>
        <v/>
      </c>
      <c r="N9" s="109" t="str">
        <f>IF(PMDBIGNALET117145[[#This Row],[2024]]="","",DONNÉES!L286)</f>
        <v/>
      </c>
    </row>
    <row r="10" spans="1:14" ht="10.15" customHeight="1" x14ac:dyDescent="0.2">
      <c r="A10" s="170" t="s">
        <v>76</v>
      </c>
      <c r="B10" s="109" t="str">
        <f>IF(DONNÉES!K207="","",DONNÉES!K207)</f>
        <v/>
      </c>
      <c r="C10" s="163" t="str">
        <f>IF(PMDBIGNALET117145[[#This Row],[2024]]="","",DONNÉES!L207)</f>
        <v/>
      </c>
      <c r="D10" s="109" t="str">
        <f>IF(PMDBIGNALET117145[[#This Row],[2024]]="","",DONNÉES!K255)</f>
        <v/>
      </c>
      <c r="E10" s="173" t="str">
        <f>IF(PMDBIGNALET117145[[#This Row],[2024]]="","",DONNÉES!L255)</f>
        <v/>
      </c>
      <c r="F10" s="109" t="str">
        <f>IF(PMDBIGNALET117145[[#This Row],[2024]]="","",DONNÉES!K223)</f>
        <v/>
      </c>
      <c r="G10" s="163" t="str">
        <f>IF(PMDBIGNALET117145[[#This Row],[2024]]="","",DONNÉES!L223)</f>
        <v/>
      </c>
      <c r="H10" s="109" t="str">
        <f>IF(PMDBIGNALET117145[[#This Row],[2024]]="","",DONNÉES!K271)</f>
        <v/>
      </c>
      <c r="I10" s="109" t="str">
        <f>IF(PMDBIGNALET117145[[#This Row],[2024]]="","",DONNÉES!L271)</f>
        <v/>
      </c>
      <c r="J10" s="79"/>
      <c r="K10" s="109" t="str">
        <f>IF(PMDBIGNALET117145[[#This Row],[2024]]="","",DONNÉES!K239)</f>
        <v/>
      </c>
      <c r="L10" s="163" t="str">
        <f>IF(PMDBIGNALET117145[[#This Row],[2024]]="","",DONNÉES!L239)</f>
        <v/>
      </c>
      <c r="M10" s="109" t="str">
        <f>IF(PMDBIGNALET117145[[#This Row],[2024]]="","",DONNÉES!K287)</f>
        <v/>
      </c>
      <c r="N10" s="109" t="str">
        <f>IF(PMDBIGNALET117145[[#This Row],[2024]]="","",DONNÉES!L287)</f>
        <v/>
      </c>
    </row>
    <row r="11" spans="1:14" ht="10.15" customHeight="1" x14ac:dyDescent="0.2">
      <c r="A11" s="169" t="s">
        <v>77</v>
      </c>
      <c r="B11" s="109" t="str">
        <f>IF(DONNÉES!K208="","",DONNÉES!K208)</f>
        <v/>
      </c>
      <c r="C11" s="163" t="str">
        <f>IF(PMDBIGNALET117145[[#This Row],[2024]]="","",DONNÉES!L208)</f>
        <v/>
      </c>
      <c r="D11" s="109" t="str">
        <f>IF(PMDBIGNALET117145[[#This Row],[2024]]="","",DONNÉES!K256)</f>
        <v/>
      </c>
      <c r="E11" s="173" t="str">
        <f>IF(PMDBIGNALET117145[[#This Row],[2024]]="","",DONNÉES!L256)</f>
        <v/>
      </c>
      <c r="F11" s="109" t="str">
        <f>IF(PMDBIGNALET117145[[#This Row],[2024]]="","",DONNÉES!K224)</f>
        <v/>
      </c>
      <c r="G11" s="163" t="str">
        <f>IF(PMDBIGNALET117145[[#This Row],[2024]]="","",DONNÉES!L224)</f>
        <v/>
      </c>
      <c r="H11" s="109" t="str">
        <f>IF(PMDBIGNALET117145[[#This Row],[2024]]="","",DONNÉES!K272)</f>
        <v/>
      </c>
      <c r="I11" s="109" t="str">
        <f>IF(PMDBIGNALET117145[[#This Row],[2024]]="","",DONNÉES!L272)</f>
        <v/>
      </c>
      <c r="J11" s="79"/>
      <c r="K11" s="109" t="str">
        <f>IF(PMDBIGNALET117145[[#This Row],[2024]]="","",DONNÉES!K240)</f>
        <v/>
      </c>
      <c r="L11" s="163" t="str">
        <f>IF(PMDBIGNALET117145[[#This Row],[2024]]="","",DONNÉES!L240)</f>
        <v/>
      </c>
      <c r="M11" s="109" t="str">
        <f>IF(PMDBIGNALET117145[[#This Row],[2024]]="","",DONNÉES!K288)</f>
        <v/>
      </c>
      <c r="N11" s="109" t="str">
        <f>IF(PMDBIGNALET117145[[#This Row],[2024]]="","",DONNÉES!L288)</f>
        <v/>
      </c>
    </row>
    <row r="12" spans="1:14" ht="10.15" customHeight="1" x14ac:dyDescent="0.2">
      <c r="A12" s="170" t="s">
        <v>78</v>
      </c>
      <c r="B12" s="109" t="str">
        <f>IF(DONNÉES!K209="","",DONNÉES!K209)</f>
        <v/>
      </c>
      <c r="C12" s="163" t="str">
        <f>IF(PMDBIGNALET117145[[#This Row],[2024]]="","",DONNÉES!L209)</f>
        <v/>
      </c>
      <c r="D12" s="109" t="str">
        <f>IF(PMDBIGNALET117145[[#This Row],[2024]]="","",DONNÉES!K257)</f>
        <v/>
      </c>
      <c r="E12" s="173" t="str">
        <f>IF(PMDBIGNALET117145[[#This Row],[2024]]="","",DONNÉES!L257)</f>
        <v/>
      </c>
      <c r="F12" s="109" t="str">
        <f>IF(PMDBIGNALET117145[[#This Row],[2024]]="","",DONNÉES!K225)</f>
        <v/>
      </c>
      <c r="G12" s="163" t="str">
        <f>IF(PMDBIGNALET117145[[#This Row],[2024]]="","",DONNÉES!L225)</f>
        <v/>
      </c>
      <c r="H12" s="109" t="str">
        <f>IF(PMDBIGNALET117145[[#This Row],[2024]]="","",DONNÉES!K273)</f>
        <v/>
      </c>
      <c r="I12" s="109" t="str">
        <f>IF(PMDBIGNALET117145[[#This Row],[2024]]="","",DONNÉES!L273)</f>
        <v/>
      </c>
      <c r="J12" s="79"/>
      <c r="K12" s="109" t="str">
        <f>IF(PMDBIGNALET117145[[#This Row],[2024]]="","",DONNÉES!K241)</f>
        <v/>
      </c>
      <c r="L12" s="163" t="str">
        <f>IF(PMDBIGNALET117145[[#This Row],[2024]]="","",DONNÉES!L241)</f>
        <v/>
      </c>
      <c r="M12" s="109" t="str">
        <f>IF(PMDBIGNALET117145[[#This Row],[2024]]="","",DONNÉES!K289)</f>
        <v/>
      </c>
      <c r="N12" s="109" t="str">
        <f>IF(PMDBIGNALET117145[[#This Row],[2024]]="","",DONNÉES!L289)</f>
        <v/>
      </c>
    </row>
    <row r="13" spans="1:14" ht="10.15" customHeight="1" x14ac:dyDescent="0.2">
      <c r="A13" s="169" t="s">
        <v>79</v>
      </c>
      <c r="B13" s="109" t="str">
        <f>IF(DONNÉES!K210="","",DONNÉES!K210)</f>
        <v/>
      </c>
      <c r="C13" s="163" t="str">
        <f>IF(PMDBIGNALET117145[[#This Row],[2024]]="","",DONNÉES!L210)</f>
        <v/>
      </c>
      <c r="D13" s="109" t="str">
        <f>IF(PMDBIGNALET117145[[#This Row],[2024]]="","",DONNÉES!K258)</f>
        <v/>
      </c>
      <c r="E13" s="173" t="str">
        <f>IF(PMDBIGNALET117145[[#This Row],[2024]]="","",DONNÉES!L258)</f>
        <v/>
      </c>
      <c r="F13" s="109" t="str">
        <f>IF(PMDBIGNALET117145[[#This Row],[2024]]="","",DONNÉES!K226)</f>
        <v/>
      </c>
      <c r="G13" s="163" t="str">
        <f>IF(PMDBIGNALET117145[[#This Row],[2024]]="","",DONNÉES!L226)</f>
        <v/>
      </c>
      <c r="H13" s="109" t="str">
        <f>IF(PMDBIGNALET117145[[#This Row],[2024]]="","",DONNÉES!K274)</f>
        <v/>
      </c>
      <c r="I13" s="109" t="str">
        <f>IF(PMDBIGNALET117145[[#This Row],[2024]]="","",DONNÉES!L274)</f>
        <v/>
      </c>
      <c r="J13" s="79"/>
      <c r="K13" s="109" t="str">
        <f>IF(PMDBIGNALET117145[[#This Row],[2024]]="","",DONNÉES!K242)</f>
        <v/>
      </c>
      <c r="L13" s="163" t="str">
        <f>IF(PMDBIGNALET117145[[#This Row],[2024]]="","",DONNÉES!L242)</f>
        <v/>
      </c>
      <c r="M13" s="109" t="str">
        <f>IF(PMDBIGNALET117145[[#This Row],[2024]]="","",DONNÉES!K290)</f>
        <v/>
      </c>
      <c r="N13" s="109" t="str">
        <f>IF(PMDBIGNALET117145[[#This Row],[2024]]="","",DONNÉES!L290)</f>
        <v/>
      </c>
    </row>
    <row r="14" spans="1:14" ht="10.15" customHeight="1" x14ac:dyDescent="0.2">
      <c r="A14" s="170" t="s">
        <v>80</v>
      </c>
      <c r="B14" s="109" t="str">
        <f>IF(DONNÉES!K211="","",DONNÉES!K211)</f>
        <v/>
      </c>
      <c r="C14" s="163" t="str">
        <f>IF(PMDBIGNALET117145[[#This Row],[2024]]="","",DONNÉES!L211)</f>
        <v/>
      </c>
      <c r="D14" s="109" t="str">
        <f>IF(PMDBIGNALET117145[[#This Row],[2024]]="","",DONNÉES!K259)</f>
        <v/>
      </c>
      <c r="E14" s="173" t="str">
        <f>IF(PMDBIGNALET117145[[#This Row],[2024]]="","",DONNÉES!L259)</f>
        <v/>
      </c>
      <c r="F14" s="109" t="str">
        <f>IF(PMDBIGNALET117145[[#This Row],[2024]]="","",DONNÉES!K227)</f>
        <v/>
      </c>
      <c r="G14" s="163" t="str">
        <f>IF(PMDBIGNALET117145[[#This Row],[2024]]="","",DONNÉES!L227)</f>
        <v/>
      </c>
      <c r="H14" s="109" t="str">
        <f>IF(PMDBIGNALET117145[[#This Row],[2024]]="","",DONNÉES!K275)</f>
        <v/>
      </c>
      <c r="I14" s="109" t="str">
        <f>IF(PMDBIGNALET117145[[#This Row],[2024]]="","",DONNÉES!L275)</f>
        <v/>
      </c>
      <c r="J14" s="79"/>
      <c r="K14" s="109" t="str">
        <f>IF(PMDBIGNALET117145[[#This Row],[2024]]="","",DONNÉES!K243)</f>
        <v/>
      </c>
      <c r="L14" s="163" t="str">
        <f>IF(PMDBIGNALET117145[[#This Row],[2024]]="","",DONNÉES!L243)</f>
        <v/>
      </c>
      <c r="M14" s="109" t="str">
        <f>IF(PMDBIGNALET117145[[#This Row],[2024]]="","",DONNÉES!K291)</f>
        <v/>
      </c>
      <c r="N14" s="109" t="str">
        <f>IF(PMDBIGNALET117145[[#This Row],[2024]]="","",DONNÉES!L291)</f>
        <v/>
      </c>
    </row>
    <row r="15" spans="1:14" ht="10.15" customHeight="1" x14ac:dyDescent="0.2">
      <c r="A15" s="169" t="s">
        <v>81</v>
      </c>
      <c r="B15" s="110" t="str">
        <f>IF(DONNÉES!K212="","",DONNÉES!K212)</f>
        <v/>
      </c>
      <c r="C15" s="165" t="str">
        <f>IF(PMDBIGNALET117145[[#This Row],[2024]]="","",DONNÉES!L212)</f>
        <v/>
      </c>
      <c r="D15" s="110" t="str">
        <f>IF(PMDBIGNALET117145[[#This Row],[2024]]="","",DONNÉES!K260)</f>
        <v/>
      </c>
      <c r="E15" s="174" t="str">
        <f>IF(PMDBIGNALET117145[[#This Row],[2024]]="","",DONNÉES!L260)</f>
        <v/>
      </c>
      <c r="F15" s="110" t="str">
        <f>IF(PMDBIGNALET117145[[#This Row],[2024]]="","",DONNÉES!K228)</f>
        <v/>
      </c>
      <c r="G15" s="165" t="str">
        <f>IF(PMDBIGNALET117145[[#This Row],[2024]]="","",DONNÉES!L228)</f>
        <v/>
      </c>
      <c r="H15" s="110" t="str">
        <f>IF(PMDBIGNALET117145[[#This Row],[2024]]="","",DONNÉES!K276)</f>
        <v/>
      </c>
      <c r="I15" s="110" t="str">
        <f>IF(PMDBIGNALET117145[[#This Row],[2024]]="","",DONNÉES!L276)</f>
        <v/>
      </c>
      <c r="J15" s="82"/>
      <c r="K15" s="110" t="str">
        <f>IF(PMDBIGNALET117145[[#This Row],[2024]]="","",DONNÉES!K244)</f>
        <v/>
      </c>
      <c r="L15" s="165" t="str">
        <f>IF(PMDBIGNALET117145[[#This Row],[2024]]="","",DONNÉES!L244)</f>
        <v/>
      </c>
      <c r="M15" s="110" t="str">
        <f>IF(PMDBIGNALET117145[[#This Row],[2024]]="","",DONNÉES!K292)</f>
        <v/>
      </c>
      <c r="N15" s="110" t="str">
        <f>IF(PMDBIGNALET117145[[#This Row],[2024]]="","",DONNÉES!L292)</f>
        <v/>
      </c>
    </row>
    <row r="16" spans="1:14" ht="10.15" customHeight="1" x14ac:dyDescent="0.2">
      <c r="A16" s="170" t="s">
        <v>82</v>
      </c>
      <c r="B16" s="110" t="str">
        <f>IF(DONNÉES!K213="","",DONNÉES!K213)</f>
        <v/>
      </c>
      <c r="C16" s="165" t="str">
        <f>IF(PMDBIGNALET117145[[#This Row],[2024]]="","",DONNÉES!L213)</f>
        <v/>
      </c>
      <c r="D16" s="110" t="str">
        <f>IF(PMDBIGNALET117145[[#This Row],[2024]]="","",DONNÉES!K261)</f>
        <v/>
      </c>
      <c r="E16" s="174" t="str">
        <f>IF(PMDBIGNALET117145[[#This Row],[2024]]="","",DONNÉES!L261)</f>
        <v/>
      </c>
      <c r="F16" s="110" t="str">
        <f>IF(PMDBIGNALET117145[[#This Row],[2024]]="","",DONNÉES!K229)</f>
        <v/>
      </c>
      <c r="G16" s="165" t="str">
        <f>IF(PMDBIGNALET117145[[#This Row],[2024]]="","",DONNÉES!L229)</f>
        <v/>
      </c>
      <c r="H16" s="110" t="str">
        <f>IF(PMDBIGNALET117145[[#This Row],[2024]]="","",DONNÉES!K277)</f>
        <v/>
      </c>
      <c r="I16" s="110" t="str">
        <f>IF(PMDBIGNALET117145[[#This Row],[2024]]="","",DONNÉES!L277)</f>
        <v/>
      </c>
      <c r="J16" s="79"/>
      <c r="K16" s="110" t="str">
        <f>IF(PMDBIGNALET117145[[#This Row],[2024]]="","",DONNÉES!K245)</f>
        <v/>
      </c>
      <c r="L16" s="165" t="str">
        <f>IF(PMDBIGNALET117145[[#This Row],[2024]]="","",DONNÉES!L245)</f>
        <v/>
      </c>
      <c r="M16" s="110" t="str">
        <f>IF(PMDBIGNALET117145[[#This Row],[2024]]="","",DONNÉES!K293)</f>
        <v/>
      </c>
      <c r="N16" s="110" t="str">
        <f>IF(PMDBIGNALET117145[[#This Row],[2024]]="","",DONNÉES!L293)</f>
        <v/>
      </c>
    </row>
    <row r="17" spans="1:14" s="81" customFormat="1" ht="10.15" customHeight="1" x14ac:dyDescent="0.2">
      <c r="A17" s="169" t="s">
        <v>83</v>
      </c>
      <c r="B17" s="110" t="str">
        <f>IF(DONNÉES!K214="","",DONNÉES!K214)</f>
        <v/>
      </c>
      <c r="C17" s="165" t="str">
        <f>IF(PMDBIGNALET117145[[#This Row],[2024]]="","",DONNÉES!L214)</f>
        <v/>
      </c>
      <c r="D17" s="110" t="str">
        <f>IF(PMDBIGNALET117145[[#This Row],[2024]]="","",DONNÉES!K262)</f>
        <v/>
      </c>
      <c r="E17" s="174" t="str">
        <f>IF(PMDBIGNALET117145[[#This Row],[2024]]="","",DONNÉES!L262)</f>
        <v/>
      </c>
      <c r="F17" s="110" t="str">
        <f>IF(PMDBIGNALET117145[[#This Row],[2024]]="","",DONNÉES!K230)</f>
        <v/>
      </c>
      <c r="G17" s="165" t="str">
        <f>IF(PMDBIGNALET117145[[#This Row],[2024]]="","",DONNÉES!L230)</f>
        <v/>
      </c>
      <c r="H17" s="110" t="str">
        <f>IF(PMDBIGNALET117145[[#This Row],[2024]]="","",DONNÉES!K278)</f>
        <v/>
      </c>
      <c r="I17" s="110" t="str">
        <f>IF(PMDBIGNALET117145[[#This Row],[2024]]="","",DONNÉES!L278)</f>
        <v/>
      </c>
      <c r="K17" s="110" t="str">
        <f>IF(PMDBIGNALET117145[[#This Row],[2024]]="","",DONNÉES!K246)</f>
        <v/>
      </c>
      <c r="L17" s="165" t="str">
        <f>IF(PMDBIGNALET117145[[#This Row],[2024]]="","",DONNÉES!L246)</f>
        <v/>
      </c>
      <c r="M17" s="110" t="str">
        <f>IF(PMDBIGNALET117145[[#This Row],[2024]]="","",DONNÉES!K294)</f>
        <v/>
      </c>
      <c r="N17" s="110" t="str">
        <f>IF(PMDBIGNALET117145[[#This Row],[2024]]="","",DONNÉES!L294)</f>
        <v/>
      </c>
    </row>
    <row r="18" spans="1:14" s="81" customFormat="1" ht="10.15" customHeight="1" x14ac:dyDescent="0.2">
      <c r="A18" s="169" t="s">
        <v>84</v>
      </c>
      <c r="B18" s="110" t="str">
        <f>IF(DONNÉES!K215="","",DONNÉES!K215)</f>
        <v/>
      </c>
      <c r="C18" s="165" t="str">
        <f>IF(PMDBIGNALET117145[[#This Row],[2024]]="","",DONNÉES!L215)</f>
        <v/>
      </c>
      <c r="D18" s="110" t="str">
        <f>IF(PMDBIGNALET117145[[#This Row],[2024]]="","",DONNÉES!K263)</f>
        <v/>
      </c>
      <c r="E18" s="174" t="str">
        <f>IF(PMDBIGNALET117145[[#This Row],[2024]]="","",DONNÉES!L263)</f>
        <v/>
      </c>
      <c r="F18" s="110" t="str">
        <f>IF(PMDBIGNALET117145[[#This Row],[2024]]="","",DONNÉES!K231)</f>
        <v/>
      </c>
      <c r="G18" s="165" t="str">
        <f>IF(PMDBIGNALET117145[[#This Row],[2024]]="","",DONNÉES!L231)</f>
        <v/>
      </c>
      <c r="H18" s="110" t="str">
        <f>IF(PMDBIGNALET117145[[#This Row],[2024]]="","",DONNÉES!K279)</f>
        <v/>
      </c>
      <c r="I18" s="110" t="str">
        <f>IF(PMDBIGNALET117145[[#This Row],[2024]]="","",DONNÉES!L279)</f>
        <v/>
      </c>
      <c r="K18" s="110" t="str">
        <f>IF(PMDBIGNALET117145[[#This Row],[2024]]="","",DONNÉES!K247)</f>
        <v/>
      </c>
      <c r="L18" s="165" t="str">
        <f>IF(PMDBIGNALET117145[[#This Row],[2024]]="","",DONNÉES!L247)</f>
        <v/>
      </c>
      <c r="M18" s="110" t="str">
        <f>IF(PMDBIGNALET117145[[#This Row],[2024]]="","",DONNÉES!K295)</f>
        <v/>
      </c>
      <c r="N18" s="110" t="str">
        <f>IF(PMDBIGNALET117145[[#This Row],[2024]]="","",DONNÉES!L295)</f>
        <v/>
      </c>
    </row>
    <row r="19" spans="1:14" s="81" customFormat="1" ht="11.65" customHeight="1" x14ac:dyDescent="0.2">
      <c r="A19" s="171" t="s">
        <v>134</v>
      </c>
      <c r="B19" s="111">
        <f>SUBTOTAL(101,PMDBIGNALET117145[2024])</f>
        <v>15.88</v>
      </c>
      <c r="C19" s="167">
        <f>SUBTOTAL(101,PMDBIGNALET117145[2023])</f>
        <v>15.44</v>
      </c>
      <c r="D19" s="167">
        <f>SUBTOTAL(101,PMDBIGNALET117145[2024 cumul])</f>
        <v>15.88</v>
      </c>
      <c r="E19" s="175">
        <f>SUBTOTAL(101,PMDBIGNALET117145[2023 cumul])</f>
        <v>15.44</v>
      </c>
      <c r="F19" s="117">
        <f>SUBTOTAL(101,PMDBIGNALET117145[[2024  ]])</f>
        <v>20.09</v>
      </c>
      <c r="G19" s="164">
        <f>SUBTOTAL(101,PMDBIGNALET117145[[2023  ]])</f>
        <v>18.059999999999999</v>
      </c>
      <c r="H19" s="111">
        <f>SUBTOTAL(101,PMDBIGNALET117145[[2024 cumul ]])</f>
        <v>20.09</v>
      </c>
      <c r="I19" s="111">
        <f>SUBTOTAL(101,PMDBIGNALET117145[[2023 cumul ]])</f>
        <v>18.059999999999999</v>
      </c>
      <c r="K19" s="111">
        <f>SUBTOTAL(101,PMDGLR5[[2024  ]])</f>
        <v>17.13</v>
      </c>
      <c r="L19" s="167">
        <f>SUBTOTAL(101,PMDGLR5[[2023  ]])</f>
        <v>16.05</v>
      </c>
      <c r="M19" s="111">
        <f>SUBTOTAL(101,PMDGLR5[[2024 cumul ]])</f>
        <v>17.13</v>
      </c>
      <c r="N19" s="111">
        <f>SUBTOTAL(101,PMDGLR5[[2023 cumul ]])</f>
        <v>16.05</v>
      </c>
    </row>
    <row r="20" spans="1:14" ht="12" customHeight="1" x14ac:dyDescent="0.2">
      <c r="H20" s="79"/>
    </row>
    <row r="21" spans="1:14" ht="15" customHeight="1" x14ac:dyDescent="0.2">
      <c r="A21" s="176"/>
      <c r="B21" s="343" t="s">
        <v>195</v>
      </c>
      <c r="C21" s="343"/>
      <c r="D21" s="343"/>
      <c r="E21" s="344"/>
      <c r="F21" s="343" t="s">
        <v>196</v>
      </c>
      <c r="G21" s="343"/>
      <c r="H21" s="343"/>
      <c r="I21" s="343"/>
      <c r="J21" s="107"/>
      <c r="K21" s="343" t="s">
        <v>197</v>
      </c>
      <c r="L21" s="343"/>
      <c r="M21" s="343"/>
      <c r="N21" s="343"/>
    </row>
    <row r="22" spans="1:14" ht="30" customHeight="1" x14ac:dyDescent="0.2">
      <c r="A22" s="169" t="s">
        <v>3001</v>
      </c>
      <c r="B22" s="108" t="s">
        <v>6962</v>
      </c>
      <c r="C22" s="166" t="s">
        <v>2169</v>
      </c>
      <c r="D22" s="108" t="s">
        <v>6986</v>
      </c>
      <c r="E22" s="172" t="s">
        <v>6944</v>
      </c>
      <c r="F22" s="108" t="s">
        <v>6987</v>
      </c>
      <c r="G22" s="166" t="s">
        <v>6945</v>
      </c>
      <c r="H22" s="108" t="s">
        <v>6988</v>
      </c>
      <c r="I22" s="124" t="s">
        <v>6946</v>
      </c>
      <c r="J22" s="79"/>
      <c r="K22" s="108" t="s">
        <v>6987</v>
      </c>
      <c r="L22" s="166" t="s">
        <v>6945</v>
      </c>
      <c r="M22" s="108" t="s">
        <v>6988</v>
      </c>
      <c r="N22" s="172" t="s">
        <v>6946</v>
      </c>
    </row>
    <row r="23" spans="1:14" s="81" customFormat="1" ht="10.15" customHeight="1" x14ac:dyDescent="0.2">
      <c r="A23" s="170" t="s">
        <v>73</v>
      </c>
      <c r="B23" s="109">
        <f>IF(DONNÉES!S204="","",DONNÉES!S204)</f>
        <v>15.34</v>
      </c>
      <c r="C23" s="163">
        <f>IF(PMDCINE124152[[#This Row],[2024]]="","",DONNÉES!T204)</f>
        <v>15.79</v>
      </c>
      <c r="D23" s="109">
        <f>IF(PMDCINE124152[[#This Row],[2024]]="","",DONNÉES!S252)</f>
        <v>15.34</v>
      </c>
      <c r="E23" s="173">
        <f>IF(PMDCINE124152[[#This Row],[2024]]="","",DONNÉES!T252)</f>
        <v>15.79</v>
      </c>
      <c r="F23" s="109">
        <f>IF(PMDCINE124152[[#This Row],[2024]]="","",DONNÉES!S220)</f>
        <v>18.59</v>
      </c>
      <c r="G23" s="163">
        <f>IF(PMDCINE124152[[#This Row],[2024]]="","",DONNÉES!T220)</f>
        <v>17.329999999999998</v>
      </c>
      <c r="H23" s="109">
        <f>IF(PMDCINE124152[[#This Row],[2024]]="","",DONNÉES!S268)</f>
        <v>18.59</v>
      </c>
      <c r="I23" s="109">
        <f>IF(PMDCINE124152[[#This Row],[2024]]="","",DONNÉES!T268)</f>
        <v>17.329999999999998</v>
      </c>
      <c r="K23" s="109">
        <f>IF(PMDCINE124152[[#This Row],[2024]]="","",DONNÉES!S236)</f>
        <v>16.55</v>
      </c>
      <c r="L23" s="163">
        <f>IF(PMDCINE124152[[#This Row],[2024]]="","",DONNÉES!T236)</f>
        <v>16.23</v>
      </c>
      <c r="M23" s="109">
        <f>IF(PMDCINE124152[[#This Row],[2024]]="","",DONNÉES!S284)</f>
        <v>16.55</v>
      </c>
      <c r="N23" s="109">
        <f>IF(PMDCINE124152[[#This Row],[2024]]="","",DONNÉES!T284)</f>
        <v>16.23</v>
      </c>
    </row>
    <row r="24" spans="1:14" s="81" customFormat="1" ht="10.15" customHeight="1" x14ac:dyDescent="0.2">
      <c r="A24" s="170" t="s">
        <v>74</v>
      </c>
      <c r="B24" s="109" t="str">
        <f>IF(DONNÉES!S205="","",DONNÉES!S205)</f>
        <v/>
      </c>
      <c r="C24" s="163" t="str">
        <f>IF(PMDCINE124152[[#This Row],[2024]]="","",DONNÉES!T205)</f>
        <v/>
      </c>
      <c r="D24" s="109" t="str">
        <f>IF(PMDCINE124152[[#This Row],[2024]]="","",DONNÉES!S253)</f>
        <v/>
      </c>
      <c r="E24" s="173" t="str">
        <f>IF(PMDCINE124152[[#This Row],[2024]]="","",DONNÉES!T253)</f>
        <v/>
      </c>
      <c r="F24" s="109" t="str">
        <f>IF(PMDCINE124152[[#This Row],[2024]]="","",DONNÉES!S221)</f>
        <v/>
      </c>
      <c r="G24" s="163" t="str">
        <f>IF(PMDCINE124152[[#This Row],[2024]]="","",DONNÉES!T221)</f>
        <v/>
      </c>
      <c r="H24" s="109" t="str">
        <f>IF(PMDCINE124152[[#This Row],[2024]]="","",DONNÉES!S269)</f>
        <v/>
      </c>
      <c r="I24" s="109" t="str">
        <f>IF(PMDCINE124152[[#This Row],[2024]]="","",DONNÉES!T269)</f>
        <v/>
      </c>
      <c r="K24" s="109" t="str">
        <f>IF(PMDCINE124152[[#This Row],[2024]]="","",DONNÉES!S237)</f>
        <v/>
      </c>
      <c r="L24" s="163" t="str">
        <f>IF(PMDCINE124152[[#This Row],[2024]]="","",DONNÉES!T237)</f>
        <v/>
      </c>
      <c r="M24" s="109" t="str">
        <f>IF(PMDCINE124152[[#This Row],[2024]]="","",DONNÉES!S285)</f>
        <v/>
      </c>
      <c r="N24" s="109" t="str">
        <f>IF(PMDCINE124152[[#This Row],[2024]]="","",DONNÉES!T285)</f>
        <v/>
      </c>
    </row>
    <row r="25" spans="1:14" s="81" customFormat="1" ht="10.15" customHeight="1" x14ac:dyDescent="0.2">
      <c r="A25" s="169" t="s">
        <v>75</v>
      </c>
      <c r="B25" s="109" t="str">
        <f>IF(DONNÉES!S206="","",DONNÉES!S206)</f>
        <v/>
      </c>
      <c r="C25" s="163" t="str">
        <f>IF(PMDCINE124152[[#This Row],[2024]]="","",DONNÉES!T206)</f>
        <v/>
      </c>
      <c r="D25" s="109" t="str">
        <f>IF(PMDCINE124152[[#This Row],[2024]]="","",DONNÉES!S254)</f>
        <v/>
      </c>
      <c r="E25" s="173" t="str">
        <f>IF(PMDCINE124152[[#This Row],[2024]]="","",DONNÉES!T254)</f>
        <v/>
      </c>
      <c r="F25" s="109" t="str">
        <f>IF(PMDCINE124152[[#This Row],[2024]]="","",DONNÉES!S222)</f>
        <v/>
      </c>
      <c r="G25" s="163" t="str">
        <f>IF(PMDCINE124152[[#This Row],[2024]]="","",DONNÉES!T222)</f>
        <v/>
      </c>
      <c r="H25" s="109" t="str">
        <f>IF(PMDCINE124152[[#This Row],[2024]]="","",DONNÉES!S270)</f>
        <v/>
      </c>
      <c r="I25" s="109" t="str">
        <f>IF(PMDCINE124152[[#This Row],[2024]]="","",DONNÉES!T270)</f>
        <v/>
      </c>
      <c r="K25" s="109" t="str">
        <f>IF(PMDCINE124152[[#This Row],[2024]]="","",DONNÉES!S238)</f>
        <v/>
      </c>
      <c r="L25" s="163" t="str">
        <f>IF(PMDCINE124152[[#This Row],[2024]]="","",DONNÉES!T238)</f>
        <v/>
      </c>
      <c r="M25" s="109" t="str">
        <f>IF(PMDCINE124152[[#This Row],[2024]]="","",DONNÉES!S286)</f>
        <v/>
      </c>
      <c r="N25" s="109" t="str">
        <f>IF(PMDCINE124152[[#This Row],[2024]]="","",DONNÉES!T286)</f>
        <v/>
      </c>
    </row>
    <row r="26" spans="1:14" ht="10.15" customHeight="1" x14ac:dyDescent="0.2">
      <c r="A26" s="170" t="s">
        <v>76</v>
      </c>
      <c r="B26" s="109" t="str">
        <f>IF(DONNÉES!S207="","",DONNÉES!S207)</f>
        <v/>
      </c>
      <c r="C26" s="163" t="str">
        <f>IF(PMDCINE124152[[#This Row],[2024]]="","",DONNÉES!T207)</f>
        <v/>
      </c>
      <c r="D26" s="109" t="str">
        <f>IF(PMDCINE124152[[#This Row],[2024]]="","",DONNÉES!S255)</f>
        <v/>
      </c>
      <c r="E26" s="173" t="str">
        <f>IF(PMDCINE124152[[#This Row],[2024]]="","",DONNÉES!T255)</f>
        <v/>
      </c>
      <c r="F26" s="109" t="str">
        <f>IF(PMDCINE124152[[#This Row],[2024]]="","",DONNÉES!S223)</f>
        <v/>
      </c>
      <c r="G26" s="163" t="str">
        <f>IF(PMDCINE124152[[#This Row],[2024]]="","",DONNÉES!T223)</f>
        <v/>
      </c>
      <c r="H26" s="109" t="str">
        <f>IF(PMDCINE124152[[#This Row],[2024]]="","",DONNÉES!S271)</f>
        <v/>
      </c>
      <c r="I26" s="109" t="str">
        <f>IF(PMDCINE124152[[#This Row],[2024]]="","",DONNÉES!T271)</f>
        <v/>
      </c>
      <c r="J26" s="79"/>
      <c r="K26" s="109" t="str">
        <f>IF(PMDCINE124152[[#This Row],[2024]]="","",DONNÉES!S239)</f>
        <v/>
      </c>
      <c r="L26" s="163" t="str">
        <f>IF(PMDCINE124152[[#This Row],[2024]]="","",DONNÉES!T239)</f>
        <v/>
      </c>
      <c r="M26" s="109" t="str">
        <f>IF(PMDCINE124152[[#This Row],[2024]]="","",DONNÉES!S287)</f>
        <v/>
      </c>
      <c r="N26" s="109" t="str">
        <f>IF(PMDCINE124152[[#This Row],[2024]]="","",DONNÉES!T287)</f>
        <v/>
      </c>
    </row>
    <row r="27" spans="1:14" ht="10.15" customHeight="1" x14ac:dyDescent="0.2">
      <c r="A27" s="169" t="s">
        <v>77</v>
      </c>
      <c r="B27" s="109" t="str">
        <f>IF(DONNÉES!S208="","",DONNÉES!S208)</f>
        <v/>
      </c>
      <c r="C27" s="163" t="str">
        <f>IF(PMDCINE124152[[#This Row],[2024]]="","",DONNÉES!T208)</f>
        <v/>
      </c>
      <c r="D27" s="109" t="str">
        <f>IF(PMDCINE124152[[#This Row],[2024]]="","",DONNÉES!S256)</f>
        <v/>
      </c>
      <c r="E27" s="173" t="str">
        <f>IF(PMDCINE124152[[#This Row],[2024]]="","",DONNÉES!T256)</f>
        <v/>
      </c>
      <c r="F27" s="109" t="str">
        <f>IF(PMDCINE124152[[#This Row],[2024]]="","",DONNÉES!S224)</f>
        <v/>
      </c>
      <c r="G27" s="163" t="str">
        <f>IF(PMDCINE124152[[#This Row],[2024]]="","",DONNÉES!T224)</f>
        <v/>
      </c>
      <c r="H27" s="109" t="str">
        <f>IF(PMDCINE124152[[#This Row],[2024]]="","",DONNÉES!S272)</f>
        <v/>
      </c>
      <c r="I27" s="109" t="str">
        <f>IF(PMDCINE124152[[#This Row],[2024]]="","",DONNÉES!T272)</f>
        <v/>
      </c>
      <c r="J27" s="79"/>
      <c r="K27" s="109" t="str">
        <f>IF(PMDCINE124152[[#This Row],[2024]]="","",DONNÉES!S240)</f>
        <v/>
      </c>
      <c r="L27" s="163" t="str">
        <f>IF(PMDCINE124152[[#This Row],[2024]]="","",DONNÉES!T240)</f>
        <v/>
      </c>
      <c r="M27" s="109" t="str">
        <f>IF(PMDCINE124152[[#This Row],[2024]]="","",DONNÉES!S288)</f>
        <v/>
      </c>
      <c r="N27" s="109" t="str">
        <f>IF(PMDCINE124152[[#This Row],[2024]]="","",DONNÉES!T288)</f>
        <v/>
      </c>
    </row>
    <row r="28" spans="1:14" ht="10.15" customHeight="1" x14ac:dyDescent="0.2">
      <c r="A28" s="170" t="s">
        <v>78</v>
      </c>
      <c r="B28" s="109" t="str">
        <f>IF(DONNÉES!S209="","",DONNÉES!S209)</f>
        <v/>
      </c>
      <c r="C28" s="163" t="str">
        <f>IF(PMDCINE124152[[#This Row],[2024]]="","",DONNÉES!T209)</f>
        <v/>
      </c>
      <c r="D28" s="109" t="str">
        <f>IF(PMDCINE124152[[#This Row],[2024]]="","",DONNÉES!S257)</f>
        <v/>
      </c>
      <c r="E28" s="173" t="str">
        <f>IF(PMDCINE124152[[#This Row],[2024]]="","",DONNÉES!T257)</f>
        <v/>
      </c>
      <c r="F28" s="109" t="str">
        <f>IF(PMDCINE124152[[#This Row],[2024]]="","",DONNÉES!S225)</f>
        <v/>
      </c>
      <c r="G28" s="163" t="str">
        <f>IF(PMDCINE124152[[#This Row],[2024]]="","",DONNÉES!T225)</f>
        <v/>
      </c>
      <c r="H28" s="109" t="str">
        <f>IF(PMDCINE124152[[#This Row],[2024]]="","",DONNÉES!S273)</f>
        <v/>
      </c>
      <c r="I28" s="109" t="str">
        <f>IF(PMDCINE124152[[#This Row],[2024]]="","",DONNÉES!T273)</f>
        <v/>
      </c>
      <c r="J28" s="79"/>
      <c r="K28" s="109" t="str">
        <f>IF(PMDCINE124152[[#This Row],[2024]]="","",DONNÉES!S241)</f>
        <v/>
      </c>
      <c r="L28" s="163" t="str">
        <f>IF(PMDCINE124152[[#This Row],[2024]]="","",DONNÉES!T241)</f>
        <v/>
      </c>
      <c r="M28" s="109" t="str">
        <f>IF(PMDCINE124152[[#This Row],[2024]]="","",DONNÉES!S289)</f>
        <v/>
      </c>
      <c r="N28" s="109" t="str">
        <f>IF(PMDCINE124152[[#This Row],[2024]]="","",DONNÉES!T289)</f>
        <v/>
      </c>
    </row>
    <row r="29" spans="1:14" ht="10.15" customHeight="1" x14ac:dyDescent="0.2">
      <c r="A29" s="169" t="s">
        <v>79</v>
      </c>
      <c r="B29" s="109" t="str">
        <f>IF(DONNÉES!S210="","",DONNÉES!S210)</f>
        <v/>
      </c>
      <c r="C29" s="163" t="str">
        <f>IF(PMDCINE124152[[#This Row],[2024]]="","",DONNÉES!T210)</f>
        <v/>
      </c>
      <c r="D29" s="109" t="str">
        <f>IF(PMDCINE124152[[#This Row],[2024]]="","",DONNÉES!S258)</f>
        <v/>
      </c>
      <c r="E29" s="173" t="str">
        <f>IF(PMDCINE124152[[#This Row],[2024]]="","",DONNÉES!T258)</f>
        <v/>
      </c>
      <c r="F29" s="109" t="str">
        <f>IF(PMDCINE124152[[#This Row],[2024]]="","",DONNÉES!S226)</f>
        <v/>
      </c>
      <c r="G29" s="163" t="str">
        <f>IF(PMDCINE124152[[#This Row],[2024]]="","",DONNÉES!T226)</f>
        <v/>
      </c>
      <c r="H29" s="109" t="str">
        <f>IF(PMDCINE124152[[#This Row],[2024]]="","",DONNÉES!S274)</f>
        <v/>
      </c>
      <c r="I29" s="109" t="str">
        <f>IF(PMDCINE124152[[#This Row],[2024]]="","",DONNÉES!T274)</f>
        <v/>
      </c>
      <c r="J29" s="79"/>
      <c r="K29" s="109" t="str">
        <f>IF(PMDCINE124152[[#This Row],[2024]]="","",DONNÉES!S242)</f>
        <v/>
      </c>
      <c r="L29" s="163" t="str">
        <f>IF(PMDCINE124152[[#This Row],[2024]]="","",DONNÉES!T242)</f>
        <v/>
      </c>
      <c r="M29" s="109" t="str">
        <f>IF(PMDCINE124152[[#This Row],[2024]]="","",DONNÉES!S290)</f>
        <v/>
      </c>
      <c r="N29" s="109" t="str">
        <f>IF(PMDCINE124152[[#This Row],[2024]]="","",DONNÉES!T290)</f>
        <v/>
      </c>
    </row>
    <row r="30" spans="1:14" ht="10.15" customHeight="1" x14ac:dyDescent="0.2">
      <c r="A30" s="170" t="s">
        <v>80</v>
      </c>
      <c r="B30" s="109" t="str">
        <f>IF(DONNÉES!S211="","",DONNÉES!S211)</f>
        <v/>
      </c>
      <c r="C30" s="163" t="str">
        <f>IF(PMDCINE124152[[#This Row],[2024]]="","",DONNÉES!T211)</f>
        <v/>
      </c>
      <c r="D30" s="109" t="str">
        <f>IF(PMDCINE124152[[#This Row],[2024]]="","",DONNÉES!S259)</f>
        <v/>
      </c>
      <c r="E30" s="173" t="str">
        <f>IF(PMDCINE124152[[#This Row],[2024]]="","",DONNÉES!T259)</f>
        <v/>
      </c>
      <c r="F30" s="109" t="str">
        <f>IF(PMDCINE124152[[#This Row],[2024]]="","",DONNÉES!S227)</f>
        <v/>
      </c>
      <c r="G30" s="163" t="str">
        <f>IF(PMDCINE124152[[#This Row],[2024]]="","",DONNÉES!T227)</f>
        <v/>
      </c>
      <c r="H30" s="109" t="str">
        <f>IF(PMDCINE124152[[#This Row],[2024]]="","",DONNÉES!S275)</f>
        <v/>
      </c>
      <c r="I30" s="109" t="str">
        <f>IF(PMDCINE124152[[#This Row],[2024]]="","",DONNÉES!T275)</f>
        <v/>
      </c>
      <c r="J30" s="79"/>
      <c r="K30" s="109" t="str">
        <f>IF(PMDCINE124152[[#This Row],[2024]]="","",DONNÉES!S243)</f>
        <v/>
      </c>
      <c r="L30" s="163" t="str">
        <f>IF(PMDCINE124152[[#This Row],[2024]]="","",DONNÉES!T243)</f>
        <v/>
      </c>
      <c r="M30" s="109" t="str">
        <f>IF(PMDCINE124152[[#This Row],[2024]]="","",DONNÉES!S291)</f>
        <v/>
      </c>
      <c r="N30" s="109" t="str">
        <f>IF(PMDCINE124152[[#This Row],[2024]]="","",DONNÉES!T291)</f>
        <v/>
      </c>
    </row>
    <row r="31" spans="1:14" ht="10.15" customHeight="1" x14ac:dyDescent="0.2">
      <c r="A31" s="169" t="s">
        <v>81</v>
      </c>
      <c r="B31" s="109" t="str">
        <f>IF(DONNÉES!S212="","",DONNÉES!S212)</f>
        <v/>
      </c>
      <c r="C31" s="163" t="str">
        <f>IF(PMDCINE124152[[#This Row],[2024]]="","",DONNÉES!T212)</f>
        <v/>
      </c>
      <c r="D31" s="109" t="str">
        <f>IF(PMDCINE124152[[#This Row],[2024]]="","",DONNÉES!S260)</f>
        <v/>
      </c>
      <c r="E31" s="173" t="str">
        <f>IF(PMDCINE124152[[#This Row],[2024]]="","",DONNÉES!T260)</f>
        <v/>
      </c>
      <c r="F31" s="109" t="str">
        <f>IF(PMDCINE124152[[#This Row],[2024]]="","",DONNÉES!S228)</f>
        <v/>
      </c>
      <c r="G31" s="163" t="str">
        <f>IF(PMDCINE124152[[#This Row],[2024]]="","",DONNÉES!T228)</f>
        <v/>
      </c>
      <c r="H31" s="109" t="str">
        <f>IF(PMDCINE124152[[#This Row],[2024]]="","",DONNÉES!S276)</f>
        <v/>
      </c>
      <c r="I31" s="109" t="str">
        <f>IF(PMDCINE124152[[#This Row],[2024]]="","",DONNÉES!T276)</f>
        <v/>
      </c>
      <c r="J31" s="82"/>
      <c r="K31" s="110" t="str">
        <f>IF(PMDCINE124152[[#This Row],[2024]]="","",DONNÉES!S244)</f>
        <v/>
      </c>
      <c r="L31" s="165" t="str">
        <f>IF(PMDCINE124152[[#This Row],[2024]]="","",DONNÉES!T244)</f>
        <v/>
      </c>
      <c r="M31" s="110" t="str">
        <f>IF(PMDCINE124152[[#This Row],[2024]]="","",DONNÉES!S292)</f>
        <v/>
      </c>
      <c r="N31" s="110" t="str">
        <f>IF(PMDCINE124152[[#This Row],[2024]]="","",DONNÉES!T292)</f>
        <v/>
      </c>
    </row>
    <row r="32" spans="1:14" ht="10.15" customHeight="1" x14ac:dyDescent="0.2">
      <c r="A32" s="170" t="s">
        <v>82</v>
      </c>
      <c r="B32" s="109" t="str">
        <f>IF(DONNÉES!S213="","",DONNÉES!S213)</f>
        <v/>
      </c>
      <c r="C32" s="163" t="str">
        <f>IF(PMDCINE124152[[#This Row],[2024]]="","",DONNÉES!T213)</f>
        <v/>
      </c>
      <c r="D32" s="109" t="str">
        <f>IF(PMDCINE124152[[#This Row],[2024]]="","",DONNÉES!S261)</f>
        <v/>
      </c>
      <c r="E32" s="173" t="str">
        <f>IF(PMDCINE124152[[#This Row],[2024]]="","",DONNÉES!T261)</f>
        <v/>
      </c>
      <c r="F32" s="109" t="str">
        <f>IF(PMDCINE124152[[#This Row],[2024]]="","",DONNÉES!S229)</f>
        <v/>
      </c>
      <c r="G32" s="163" t="str">
        <f>IF(PMDCINE124152[[#This Row],[2024]]="","",DONNÉES!T229)</f>
        <v/>
      </c>
      <c r="H32" s="109" t="str">
        <f>IF(PMDCINE124152[[#This Row],[2024]]="","",DONNÉES!S277)</f>
        <v/>
      </c>
      <c r="I32" s="109" t="str">
        <f>IF(PMDCINE124152[[#This Row],[2024]]="","",DONNÉES!T277)</f>
        <v/>
      </c>
      <c r="J32" s="79"/>
      <c r="K32" s="110" t="str">
        <f>IF(PMDCINE124152[[#This Row],[2024]]="","",DONNÉES!S245)</f>
        <v/>
      </c>
      <c r="L32" s="165" t="str">
        <f>IF(PMDCINE124152[[#This Row],[2024]]="","",DONNÉES!T245)</f>
        <v/>
      </c>
      <c r="M32" s="110" t="str">
        <f>IF(PMDCINE124152[[#This Row],[2024]]="","",DONNÉES!S293)</f>
        <v/>
      </c>
      <c r="N32" s="110" t="str">
        <f>IF(PMDCINE124152[[#This Row],[2024]]="","",DONNÉES!T293)</f>
        <v/>
      </c>
    </row>
    <row r="33" spans="1:14" s="81" customFormat="1" ht="10.15" customHeight="1" x14ac:dyDescent="0.2">
      <c r="A33" s="169" t="s">
        <v>83</v>
      </c>
      <c r="B33" s="109" t="str">
        <f>IF(DONNÉES!S214="","",DONNÉES!S214)</f>
        <v/>
      </c>
      <c r="C33" s="163" t="str">
        <f>IF(PMDCINE124152[[#This Row],[2024]]="","",DONNÉES!T214)</f>
        <v/>
      </c>
      <c r="D33" s="109" t="str">
        <f>IF(PMDCINE124152[[#This Row],[2024]]="","",DONNÉES!S262)</f>
        <v/>
      </c>
      <c r="E33" s="173" t="str">
        <f>IF(PMDCINE124152[[#This Row],[2024]]="","",DONNÉES!T262)</f>
        <v/>
      </c>
      <c r="F33" s="109" t="str">
        <f>IF(PMDCINE124152[[#This Row],[2024]]="","",DONNÉES!S230)</f>
        <v/>
      </c>
      <c r="G33" s="163" t="str">
        <f>IF(PMDCINE124152[[#This Row],[2024]]="","",DONNÉES!T230)</f>
        <v/>
      </c>
      <c r="H33" s="109" t="str">
        <f>IF(PMDCINE124152[[#This Row],[2024]]="","",DONNÉES!S278)</f>
        <v/>
      </c>
      <c r="I33" s="109" t="str">
        <f>IF(PMDCINE124152[[#This Row],[2024]]="","",DONNÉES!T278)</f>
        <v/>
      </c>
      <c r="K33" s="110" t="str">
        <f>IF(PMDCINE124152[[#This Row],[2024]]="","",DONNÉES!S246)</f>
        <v/>
      </c>
      <c r="L33" s="165" t="str">
        <f>IF(PMDCINE124152[[#This Row],[2024]]="","",DONNÉES!T246)</f>
        <v/>
      </c>
      <c r="M33" s="110" t="str">
        <f>IF(PMDCINE124152[[#This Row],[2024]]="","",DONNÉES!S294)</f>
        <v/>
      </c>
      <c r="N33" s="110" t="str">
        <f>IF(PMDCINE124152[[#This Row],[2024]]="","",DONNÉES!T294)</f>
        <v/>
      </c>
    </row>
    <row r="34" spans="1:14" s="81" customFormat="1" ht="10.15" customHeight="1" x14ac:dyDescent="0.2">
      <c r="A34" s="169" t="s">
        <v>84</v>
      </c>
      <c r="B34" s="109" t="str">
        <f>IF(DONNÉES!S215="","",DONNÉES!S215)</f>
        <v/>
      </c>
      <c r="C34" s="163" t="str">
        <f>IF(PMDCINE124152[[#This Row],[2024]]="","",DONNÉES!T215)</f>
        <v/>
      </c>
      <c r="D34" s="109" t="str">
        <f>IF(PMDCINE124152[[#This Row],[2024]]="","",DONNÉES!S263)</f>
        <v/>
      </c>
      <c r="E34" s="173" t="str">
        <f>IF(PMDCINE124152[[#This Row],[2024]]="","",DONNÉES!T263)</f>
        <v/>
      </c>
      <c r="F34" s="109" t="str">
        <f>IF(PMDCINE124152[[#This Row],[2024]]="","",DONNÉES!S231)</f>
        <v/>
      </c>
      <c r="G34" s="163" t="str">
        <f>IF(PMDCINE124152[[#This Row],[2024]]="","",DONNÉES!T231)</f>
        <v/>
      </c>
      <c r="H34" s="109" t="str">
        <f>IF(PMDCINE124152[[#This Row],[2024]]="","",DONNÉES!S279)</f>
        <v/>
      </c>
      <c r="I34" s="109" t="str">
        <f>IF(PMDCINE124152[[#This Row],[2024]]="","",DONNÉES!T279)</f>
        <v/>
      </c>
      <c r="K34" s="110" t="str">
        <f>IF(PMDCINE124152[[#This Row],[2024]]="","",DONNÉES!S247)</f>
        <v/>
      </c>
      <c r="L34" s="165" t="str">
        <f>IF(PMDCINE124152[[#This Row],[2024]]="","",DONNÉES!T247)</f>
        <v/>
      </c>
      <c r="M34" s="110" t="str">
        <f>IF(PMDCINE124152[[#This Row],[2024]]="","",DONNÉES!S295)</f>
        <v/>
      </c>
      <c r="N34" s="110" t="str">
        <f>IF(PMDCINE124152[[#This Row],[2024]]="","",DONNÉES!T295)</f>
        <v/>
      </c>
    </row>
    <row r="35" spans="1:14" s="81" customFormat="1" ht="11.65" customHeight="1" x14ac:dyDescent="0.2">
      <c r="A35" s="171" t="s">
        <v>134</v>
      </c>
      <c r="B35" s="111">
        <f>SUBTOTAL(101,PMDCINE124152[2024])</f>
        <v>15.34</v>
      </c>
      <c r="C35" s="167">
        <f>SUBTOTAL(101,PMDCINE124152[2023])</f>
        <v>15.79</v>
      </c>
      <c r="D35" s="167">
        <f>SUBTOTAL(101,PMDCINE124152[2024 cumul])</f>
        <v>15.34</v>
      </c>
      <c r="E35" s="175">
        <f>SUBTOTAL(101,PMDCINE124152[2023 cumul])</f>
        <v>15.79</v>
      </c>
      <c r="F35" s="117">
        <f>SUBTOTAL(101,PMDCINE124152[[2024  ]])</f>
        <v>18.59</v>
      </c>
      <c r="G35" s="164">
        <f>SUBTOTAL(101,PMDCINE124152[[2023  ]])</f>
        <v>17.329999999999998</v>
      </c>
      <c r="H35" s="111">
        <f>SUBTOTAL(101,PMDCINE124152[[2024 cumul ]])</f>
        <v>18.59</v>
      </c>
      <c r="I35" s="111">
        <f>SUBTOTAL(101,PMDCINE124152[[2023 cumul ]])</f>
        <v>17.329999999999998</v>
      </c>
      <c r="K35" s="111">
        <f>SUBTOTAL(101,PMDHTR8[[2024  ]])</f>
        <v>16.55</v>
      </c>
      <c r="L35" s="167">
        <f>SUBTOTAL(101,PMDHTR8[[2023  ]])</f>
        <v>16.23</v>
      </c>
      <c r="M35" s="111">
        <f>SUBTOTAL(101,PMDHTR8[[2024 cumul ]])</f>
        <v>16.55</v>
      </c>
      <c r="N35" s="111">
        <f>SUBTOTAL(101,PMDHTR8[[2023 cumul ]])</f>
        <v>16.23</v>
      </c>
    </row>
    <row r="36" spans="1:14" ht="12" customHeight="1" x14ac:dyDescent="0.2">
      <c r="H36" s="79"/>
    </row>
    <row r="37" spans="1:14" ht="15" customHeight="1" x14ac:dyDescent="0.2">
      <c r="A37" s="176"/>
      <c r="B37" s="343" t="s">
        <v>195</v>
      </c>
      <c r="C37" s="343"/>
      <c r="D37" s="343"/>
      <c r="E37" s="344"/>
      <c r="F37" s="343" t="s">
        <v>196</v>
      </c>
      <c r="G37" s="343"/>
      <c r="H37" s="343"/>
      <c r="I37" s="343"/>
      <c r="J37" s="107"/>
      <c r="K37" s="343" t="s">
        <v>197</v>
      </c>
      <c r="L37" s="343"/>
      <c r="M37" s="343"/>
      <c r="N37" s="343"/>
    </row>
    <row r="38" spans="1:14" ht="30" customHeight="1" x14ac:dyDescent="0.2">
      <c r="A38" s="169" t="s">
        <v>210</v>
      </c>
      <c r="B38" s="108" t="s">
        <v>6962</v>
      </c>
      <c r="C38" s="166" t="s">
        <v>2169</v>
      </c>
      <c r="D38" s="108" t="s">
        <v>6986</v>
      </c>
      <c r="E38" s="172" t="s">
        <v>6944</v>
      </c>
      <c r="F38" s="108" t="s">
        <v>6987</v>
      </c>
      <c r="G38" s="166" t="s">
        <v>6945</v>
      </c>
      <c r="H38" s="108" t="s">
        <v>6988</v>
      </c>
      <c r="I38" s="124" t="s">
        <v>6946</v>
      </c>
      <c r="J38" s="79"/>
      <c r="K38" s="108" t="s">
        <v>6987</v>
      </c>
      <c r="L38" s="166" t="s">
        <v>6945</v>
      </c>
      <c r="M38" s="108" t="s">
        <v>6988</v>
      </c>
      <c r="N38" s="172" t="s">
        <v>6946</v>
      </c>
    </row>
    <row r="39" spans="1:14" s="81" customFormat="1" ht="10.15" customHeight="1" x14ac:dyDescent="0.2">
      <c r="A39" s="170" t="s">
        <v>73</v>
      </c>
      <c r="B39" s="109">
        <f>IF(DONNÉES!AA204="","",DONNÉES!AA204)</f>
        <v>13.27</v>
      </c>
      <c r="C39" s="163">
        <f>IF(PMDLN131159[[#This Row],[2024]]="","",DONNÉES!AB204)</f>
        <v>13.77</v>
      </c>
      <c r="D39" s="109">
        <f>IF(PMDLN131159[[#This Row],[2024]]="","",DONNÉES!AA252)</f>
        <v>13.27</v>
      </c>
      <c r="E39" s="173">
        <f>IF(PMDLN131159[[#This Row],[2024]]="","",DONNÉES!AB252)</f>
        <v>13.77</v>
      </c>
      <c r="F39" s="109">
        <f>IF(PMDLN131159[[#This Row],[2024]]="","",DONNÉES!AA220)</f>
        <v>19.920000000000002</v>
      </c>
      <c r="G39" s="163">
        <f>IF(PMDLN131159[[#This Row],[2024]]="","",DONNÉES!AB220)</f>
        <v>19.72</v>
      </c>
      <c r="H39" s="109">
        <f>IF(PMDLN131159[[#This Row],[2024]]="","",DONNÉES!AA268)</f>
        <v>19.920000000000002</v>
      </c>
      <c r="I39" s="109">
        <f>IF(PMDLN131159[[#This Row],[2024]]="","",DONNÉES!AB268)</f>
        <v>19.72</v>
      </c>
      <c r="K39" s="109">
        <f>IF(PMDLN131159[[#This Row],[2024]]="","",DONNÉES!AA236)</f>
        <v>15.91</v>
      </c>
      <c r="L39" s="163">
        <f>IF(PMDLN131159[[#This Row],[2024]]="","",DONNÉES!AB236)</f>
        <v>16.260000000000002</v>
      </c>
      <c r="M39" s="163">
        <f>IF(PMDLN131159[[#This Row],[2024]]="","",DONNÉES!AA284)</f>
        <v>15.91</v>
      </c>
      <c r="N39" s="109">
        <f>IF(PMDLN131159[[#This Row],[2024]]="","",DONNÉES!AB284)</f>
        <v>16.260000000000002</v>
      </c>
    </row>
    <row r="40" spans="1:14" s="81" customFormat="1" ht="10.15" customHeight="1" x14ac:dyDescent="0.2">
      <c r="A40" s="170" t="s">
        <v>74</v>
      </c>
      <c r="B40" s="109" t="str">
        <f>IF(DONNÉES!AA205="","",DONNÉES!AA205)</f>
        <v/>
      </c>
      <c r="C40" s="163" t="str">
        <f>IF(PMDLN131159[[#This Row],[2024]]="","",DONNÉES!AB205)</f>
        <v/>
      </c>
      <c r="D40" s="109" t="str">
        <f>IF(PMDLN131159[[#This Row],[2024]]="","",DONNÉES!AA253)</f>
        <v/>
      </c>
      <c r="E40" s="173" t="str">
        <f>IF(PMDLN131159[[#This Row],[2024]]="","",DONNÉES!AB253)</f>
        <v/>
      </c>
      <c r="F40" s="109" t="str">
        <f>IF(PMDLN131159[[#This Row],[2024]]="","",DONNÉES!AA221)</f>
        <v/>
      </c>
      <c r="G40" s="163" t="str">
        <f>IF(PMDLN131159[[#This Row],[2024]]="","",DONNÉES!AB221)</f>
        <v/>
      </c>
      <c r="H40" s="109" t="str">
        <f>IF(PMDLN131159[[#This Row],[2024]]="","",DONNÉES!AA269)</f>
        <v/>
      </c>
      <c r="I40" s="109" t="str">
        <f>IF(PMDLN131159[[#This Row],[2024]]="","",DONNÉES!AB269)</f>
        <v/>
      </c>
      <c r="K40" s="109" t="str">
        <f>IF(PMDLN131159[[#This Row],[2024]]="","",DONNÉES!AA237)</f>
        <v/>
      </c>
      <c r="L40" s="163" t="str">
        <f>IF(PMDLN131159[[#This Row],[2024]]="","",DONNÉES!AB237)</f>
        <v/>
      </c>
      <c r="M40" s="163" t="str">
        <f>IF(PMDLN131159[[#This Row],[2024]]="","",DONNÉES!AA285)</f>
        <v/>
      </c>
      <c r="N40" s="109" t="str">
        <f>IF(PMDLN131159[[#This Row],[2024]]="","",DONNÉES!AB285)</f>
        <v/>
      </c>
    </row>
    <row r="41" spans="1:14" s="81" customFormat="1" ht="10.15" customHeight="1" x14ac:dyDescent="0.2">
      <c r="A41" s="169" t="s">
        <v>75</v>
      </c>
      <c r="B41" s="109" t="str">
        <f>IF(DONNÉES!AA206="","",DONNÉES!AA206)</f>
        <v/>
      </c>
      <c r="C41" s="163" t="str">
        <f>IF(PMDLN131159[[#This Row],[2024]]="","",DONNÉES!AB206)</f>
        <v/>
      </c>
      <c r="D41" s="109" t="str">
        <f>IF(PMDLN131159[[#This Row],[2024]]="","",DONNÉES!AA254)</f>
        <v/>
      </c>
      <c r="E41" s="173" t="str">
        <f>IF(PMDLN131159[[#This Row],[2024]]="","",DONNÉES!AB254)</f>
        <v/>
      </c>
      <c r="F41" s="109" t="str">
        <f>IF(PMDLN131159[[#This Row],[2024]]="","",DONNÉES!AA222)</f>
        <v/>
      </c>
      <c r="G41" s="163" t="str">
        <f>IF(PMDLN131159[[#This Row],[2024]]="","",DONNÉES!AB222)</f>
        <v/>
      </c>
      <c r="H41" s="109" t="str">
        <f>IF(PMDLN131159[[#This Row],[2024]]="","",DONNÉES!AA270)</f>
        <v/>
      </c>
      <c r="I41" s="109" t="str">
        <f>IF(PMDLN131159[[#This Row],[2024]]="","",DONNÉES!AB270)</f>
        <v/>
      </c>
      <c r="K41" s="109" t="str">
        <f>IF(PMDLN131159[[#This Row],[2024]]="","",DONNÉES!AA238)</f>
        <v/>
      </c>
      <c r="L41" s="163" t="str">
        <f>IF(PMDLN131159[[#This Row],[2024]]="","",DONNÉES!AB238)</f>
        <v/>
      </c>
      <c r="M41" s="163" t="str">
        <f>IF(PMDLN131159[[#This Row],[2024]]="","",DONNÉES!AA286)</f>
        <v/>
      </c>
      <c r="N41" s="109" t="str">
        <f>IF(PMDLN131159[[#This Row],[2024]]="","",DONNÉES!AB286)</f>
        <v/>
      </c>
    </row>
    <row r="42" spans="1:14" ht="10.15" customHeight="1" x14ac:dyDescent="0.2">
      <c r="A42" s="170" t="s">
        <v>76</v>
      </c>
      <c r="B42" s="109" t="str">
        <f>IF(DONNÉES!AA207="","",DONNÉES!AA207)</f>
        <v/>
      </c>
      <c r="C42" s="163" t="str">
        <f>IF(PMDLN131159[[#This Row],[2024]]="","",DONNÉES!AB207)</f>
        <v/>
      </c>
      <c r="D42" s="109" t="str">
        <f>IF(PMDLN131159[[#This Row],[2024]]="","",DONNÉES!AA255)</f>
        <v/>
      </c>
      <c r="E42" s="173" t="str">
        <f>IF(PMDLN131159[[#This Row],[2024]]="","",DONNÉES!AB255)</f>
        <v/>
      </c>
      <c r="F42" s="109" t="str">
        <f>IF(PMDLN131159[[#This Row],[2024]]="","",DONNÉES!AA223)</f>
        <v/>
      </c>
      <c r="G42" s="163" t="str">
        <f>IF(PMDLN131159[[#This Row],[2024]]="","",DONNÉES!AB223)</f>
        <v/>
      </c>
      <c r="H42" s="109" t="str">
        <f>IF(PMDLN131159[[#This Row],[2024]]="","",DONNÉES!AA271)</f>
        <v/>
      </c>
      <c r="I42" s="109" t="str">
        <f>IF(PMDLN131159[[#This Row],[2024]]="","",DONNÉES!AB271)</f>
        <v/>
      </c>
      <c r="J42" s="79"/>
      <c r="K42" s="109" t="str">
        <f>IF(PMDLN131159[[#This Row],[2024]]="","",DONNÉES!AA239)</f>
        <v/>
      </c>
      <c r="L42" s="163" t="str">
        <f>IF(PMDLN131159[[#This Row],[2024]]="","",DONNÉES!AB239)</f>
        <v/>
      </c>
      <c r="M42" s="163" t="str">
        <f>IF(PMDLN131159[[#This Row],[2024]]="","",DONNÉES!AA287)</f>
        <v/>
      </c>
      <c r="N42" s="109" t="str">
        <f>IF(PMDLN131159[[#This Row],[2024]]="","",DONNÉES!AB287)</f>
        <v/>
      </c>
    </row>
    <row r="43" spans="1:14" ht="10.15" customHeight="1" x14ac:dyDescent="0.2">
      <c r="A43" s="169" t="s">
        <v>77</v>
      </c>
      <c r="B43" s="109" t="str">
        <f>IF(DONNÉES!AA208="","",DONNÉES!AA208)</f>
        <v/>
      </c>
      <c r="C43" s="163" t="str">
        <f>IF(PMDLN131159[[#This Row],[2024]]="","",DONNÉES!AB208)</f>
        <v/>
      </c>
      <c r="D43" s="109" t="str">
        <f>IF(PMDLN131159[[#This Row],[2024]]="","",DONNÉES!AA256)</f>
        <v/>
      </c>
      <c r="E43" s="173" t="str">
        <f>IF(PMDLN131159[[#This Row],[2024]]="","",DONNÉES!AB256)</f>
        <v/>
      </c>
      <c r="F43" s="109" t="str">
        <f>IF(PMDLN131159[[#This Row],[2024]]="","",DONNÉES!AA224)</f>
        <v/>
      </c>
      <c r="G43" s="163" t="str">
        <f>IF(PMDLN131159[[#This Row],[2024]]="","",DONNÉES!AB224)</f>
        <v/>
      </c>
      <c r="H43" s="109" t="str">
        <f>IF(PMDLN131159[[#This Row],[2024]]="","",DONNÉES!AA272)</f>
        <v/>
      </c>
      <c r="I43" s="109" t="str">
        <f>IF(PMDLN131159[[#This Row],[2024]]="","",DONNÉES!AB272)</f>
        <v/>
      </c>
      <c r="J43" s="79"/>
      <c r="K43" s="109" t="str">
        <f>IF(PMDLN131159[[#This Row],[2024]]="","",DONNÉES!AA240)</f>
        <v/>
      </c>
      <c r="L43" s="163" t="str">
        <f>IF(PMDLN131159[[#This Row],[2024]]="","",DONNÉES!AB240)</f>
        <v/>
      </c>
      <c r="M43" s="163" t="str">
        <f>IF(PMDLN131159[[#This Row],[2024]]="","",DONNÉES!AA288)</f>
        <v/>
      </c>
      <c r="N43" s="109" t="str">
        <f>IF(PMDLN131159[[#This Row],[2024]]="","",DONNÉES!AB288)</f>
        <v/>
      </c>
    </row>
    <row r="44" spans="1:14" ht="10.15" customHeight="1" x14ac:dyDescent="0.2">
      <c r="A44" s="170" t="s">
        <v>78</v>
      </c>
      <c r="B44" s="109" t="str">
        <f>IF(DONNÉES!AA209="","",DONNÉES!AA209)</f>
        <v/>
      </c>
      <c r="C44" s="163" t="str">
        <f>IF(PMDLN131159[[#This Row],[2024]]="","",DONNÉES!AB209)</f>
        <v/>
      </c>
      <c r="D44" s="109" t="str">
        <f>IF(PMDLN131159[[#This Row],[2024]]="","",DONNÉES!AA257)</f>
        <v/>
      </c>
      <c r="E44" s="173" t="str">
        <f>IF(PMDLN131159[[#This Row],[2024]]="","",DONNÉES!AB257)</f>
        <v/>
      </c>
      <c r="F44" s="109" t="str">
        <f>IF(PMDLN131159[[#This Row],[2024]]="","",DONNÉES!AA225)</f>
        <v/>
      </c>
      <c r="G44" s="163" t="str">
        <f>IF(PMDLN131159[[#This Row],[2024]]="","",DONNÉES!AB225)</f>
        <v/>
      </c>
      <c r="H44" s="109" t="str">
        <f>IF(PMDLN131159[[#This Row],[2024]]="","",DONNÉES!AA273)</f>
        <v/>
      </c>
      <c r="I44" s="109" t="str">
        <f>IF(PMDLN131159[[#This Row],[2024]]="","",DONNÉES!AB273)</f>
        <v/>
      </c>
      <c r="J44" s="79"/>
      <c r="K44" s="109" t="str">
        <f>IF(PMDLN131159[[#This Row],[2024]]="","",DONNÉES!AA241)</f>
        <v/>
      </c>
      <c r="L44" s="163" t="str">
        <f>IF(PMDLN131159[[#This Row],[2024]]="","",DONNÉES!AB241)</f>
        <v/>
      </c>
      <c r="M44" s="163" t="str">
        <f>IF(PMDLN131159[[#This Row],[2024]]="","",DONNÉES!AA289)</f>
        <v/>
      </c>
      <c r="N44" s="109" t="str">
        <f>IF(PMDLN131159[[#This Row],[2024]]="","",DONNÉES!AB289)</f>
        <v/>
      </c>
    </row>
    <row r="45" spans="1:14" ht="10.15" customHeight="1" x14ac:dyDescent="0.2">
      <c r="A45" s="169" t="s">
        <v>79</v>
      </c>
      <c r="B45" s="109" t="str">
        <f>IF(DONNÉES!AA210="","",DONNÉES!AA210)</f>
        <v/>
      </c>
      <c r="C45" s="163" t="str">
        <f>IF(PMDLN131159[[#This Row],[2024]]="","",DONNÉES!AB210)</f>
        <v/>
      </c>
      <c r="D45" s="109" t="str">
        <f>IF(PMDLN131159[[#This Row],[2024]]="","",DONNÉES!AA258)</f>
        <v/>
      </c>
      <c r="E45" s="173" t="str">
        <f>IF(PMDLN131159[[#This Row],[2024]]="","",DONNÉES!AB258)</f>
        <v/>
      </c>
      <c r="F45" s="109" t="str">
        <f>IF(PMDLN131159[[#This Row],[2024]]="","",DONNÉES!AA226)</f>
        <v/>
      </c>
      <c r="G45" s="163" t="str">
        <f>IF(PMDLN131159[[#This Row],[2024]]="","",DONNÉES!AB226)</f>
        <v/>
      </c>
      <c r="H45" s="109" t="str">
        <f>IF(PMDLN131159[[#This Row],[2024]]="","",DONNÉES!AA274)</f>
        <v/>
      </c>
      <c r="I45" s="109" t="str">
        <f>IF(PMDLN131159[[#This Row],[2024]]="","",DONNÉES!AB274)</f>
        <v/>
      </c>
      <c r="J45" s="79"/>
      <c r="K45" s="109" t="str">
        <f>IF(PMDLN131159[[#This Row],[2024]]="","",DONNÉES!AA242)</f>
        <v/>
      </c>
      <c r="L45" s="163" t="str">
        <f>IF(PMDLN131159[[#This Row],[2024]]="","",DONNÉES!AB242)</f>
        <v/>
      </c>
      <c r="M45" s="163" t="str">
        <f>IF(PMDLN131159[[#This Row],[2024]]="","",DONNÉES!AA290)</f>
        <v/>
      </c>
      <c r="N45" s="109" t="str">
        <f>IF(PMDLN131159[[#This Row],[2024]]="","",DONNÉES!AB290)</f>
        <v/>
      </c>
    </row>
    <row r="46" spans="1:14" ht="10.15" customHeight="1" x14ac:dyDescent="0.2">
      <c r="A46" s="170" t="s">
        <v>80</v>
      </c>
      <c r="B46" s="109" t="str">
        <f>IF(DONNÉES!AA211="","",DONNÉES!AA211)</f>
        <v/>
      </c>
      <c r="C46" s="163" t="str">
        <f>IF(PMDLN131159[[#This Row],[2024]]="","",DONNÉES!AB211)</f>
        <v/>
      </c>
      <c r="D46" s="109" t="str">
        <f>IF(PMDLN131159[[#This Row],[2024]]="","",DONNÉES!AA259)</f>
        <v/>
      </c>
      <c r="E46" s="173" t="str">
        <f>IF(PMDLN131159[[#This Row],[2024]]="","",DONNÉES!AB259)</f>
        <v/>
      </c>
      <c r="F46" s="109" t="str">
        <f>IF(PMDLN131159[[#This Row],[2024]]="","",DONNÉES!AA227)</f>
        <v/>
      </c>
      <c r="G46" s="163" t="str">
        <f>IF(PMDLN131159[[#This Row],[2024]]="","",DONNÉES!AB227)</f>
        <v/>
      </c>
      <c r="H46" s="109" t="str">
        <f>IF(PMDLN131159[[#This Row],[2024]]="","",DONNÉES!AA275)</f>
        <v/>
      </c>
      <c r="I46" s="109" t="str">
        <f>IF(PMDLN131159[[#This Row],[2024]]="","",DONNÉES!AB275)</f>
        <v/>
      </c>
      <c r="J46" s="79"/>
      <c r="K46" s="109" t="str">
        <f>IF(PMDLN131159[[#This Row],[2024]]="","",DONNÉES!AA243)</f>
        <v/>
      </c>
      <c r="L46" s="163" t="str">
        <f>IF(PMDLN131159[[#This Row],[2024]]="","",DONNÉES!AB243)</f>
        <v/>
      </c>
      <c r="M46" s="163" t="str">
        <f>IF(PMDLN131159[[#This Row],[2024]]="","",DONNÉES!AA291)</f>
        <v/>
      </c>
      <c r="N46" s="109" t="str">
        <f>IF(PMDLN131159[[#This Row],[2024]]="","",DONNÉES!AB291)</f>
        <v/>
      </c>
    </row>
    <row r="47" spans="1:14" ht="10.15" customHeight="1" x14ac:dyDescent="0.2">
      <c r="A47" s="169" t="s">
        <v>81</v>
      </c>
      <c r="B47" s="109" t="str">
        <f>IF(DONNÉES!AA212="","",DONNÉES!AA212)</f>
        <v/>
      </c>
      <c r="C47" s="163" t="str">
        <f>IF(PMDLN131159[[#This Row],[2024]]="","",DONNÉES!AB212)</f>
        <v/>
      </c>
      <c r="D47" s="109" t="str">
        <f>IF(PMDLN131159[[#This Row],[2024]]="","",DONNÉES!AA260)</f>
        <v/>
      </c>
      <c r="E47" s="173" t="str">
        <f>IF(PMDLN131159[[#This Row],[2024]]="","",DONNÉES!AB260)</f>
        <v/>
      </c>
      <c r="F47" s="109" t="str">
        <f>IF(PMDLN131159[[#This Row],[2024]]="","",DONNÉES!AA228)</f>
        <v/>
      </c>
      <c r="G47" s="163" t="str">
        <f>IF(PMDLN131159[[#This Row],[2024]]="","",DONNÉES!AB228)</f>
        <v/>
      </c>
      <c r="H47" s="109" t="str">
        <f>IF(PMDLN131159[[#This Row],[2024]]="","",DONNÉES!AA276)</f>
        <v/>
      </c>
      <c r="I47" s="109" t="str">
        <f>IF(PMDLN131159[[#This Row],[2024]]="","",DONNÉES!AB276)</f>
        <v/>
      </c>
      <c r="J47" s="82"/>
      <c r="K47" s="110" t="str">
        <f>IF(PMDLN131159[[#This Row],[2024]]="","",DONNÉES!AA244)</f>
        <v/>
      </c>
      <c r="L47" s="165" t="str">
        <f>IF(PMDLN131159[[#This Row],[2024]]="","",DONNÉES!AB244)</f>
        <v/>
      </c>
      <c r="M47" s="165" t="str">
        <f>IF(PMDLN131159[[#This Row],[2024]]="","",DONNÉES!AA292)</f>
        <v/>
      </c>
      <c r="N47" s="110" t="str">
        <f>IF(PMDLN131159[[#This Row],[2024]]="","",DONNÉES!AB292)</f>
        <v/>
      </c>
    </row>
    <row r="48" spans="1:14" ht="10.15" customHeight="1" x14ac:dyDescent="0.2">
      <c r="A48" s="170" t="s">
        <v>82</v>
      </c>
      <c r="B48" s="109" t="str">
        <f>IF(DONNÉES!AA213="","",DONNÉES!AA213)</f>
        <v/>
      </c>
      <c r="C48" s="163" t="str">
        <f>IF(PMDLN131159[[#This Row],[2024]]="","",DONNÉES!AB213)</f>
        <v/>
      </c>
      <c r="D48" s="109" t="str">
        <f>IF(PMDLN131159[[#This Row],[2024]]="","",DONNÉES!AA261)</f>
        <v/>
      </c>
      <c r="E48" s="173" t="str">
        <f>IF(PMDLN131159[[#This Row],[2024]]="","",DONNÉES!AB261)</f>
        <v/>
      </c>
      <c r="F48" s="109" t="str">
        <f>IF(PMDLN131159[[#This Row],[2024]]="","",DONNÉES!AA229)</f>
        <v/>
      </c>
      <c r="G48" s="163" t="str">
        <f>IF(PMDLN131159[[#This Row],[2024]]="","",DONNÉES!AB229)</f>
        <v/>
      </c>
      <c r="H48" s="109" t="str">
        <f>IF(PMDLN131159[[#This Row],[2024]]="","",DONNÉES!AA277)</f>
        <v/>
      </c>
      <c r="I48" s="109" t="str">
        <f>IF(PMDLN131159[[#This Row],[2024]]="","",DONNÉES!AB277)</f>
        <v/>
      </c>
      <c r="J48" s="79"/>
      <c r="K48" s="110" t="str">
        <f>IF(PMDLN131159[[#This Row],[2024]]="","",DONNÉES!AA245)</f>
        <v/>
      </c>
      <c r="L48" s="165" t="str">
        <f>IF(PMDLN131159[[#This Row],[2024]]="","",DONNÉES!AB245)</f>
        <v/>
      </c>
      <c r="M48" s="165" t="str">
        <f>IF(PMDLN131159[[#This Row],[2024]]="","",DONNÉES!AA293)</f>
        <v/>
      </c>
      <c r="N48" s="110" t="str">
        <f>IF(PMDLN131159[[#This Row],[2024]]="","",DONNÉES!AB293)</f>
        <v/>
      </c>
    </row>
    <row r="49" spans="1:14" s="81" customFormat="1" ht="10.15" customHeight="1" x14ac:dyDescent="0.2">
      <c r="A49" s="169" t="s">
        <v>83</v>
      </c>
      <c r="B49" s="109" t="str">
        <f>IF(DONNÉES!AA214="","",DONNÉES!AA214)</f>
        <v/>
      </c>
      <c r="C49" s="163" t="str">
        <f>IF(PMDLN131159[[#This Row],[2024]]="","",DONNÉES!AB214)</f>
        <v/>
      </c>
      <c r="D49" s="109" t="str">
        <f>IF(PMDLN131159[[#This Row],[2024]]="","",DONNÉES!AA262)</f>
        <v/>
      </c>
      <c r="E49" s="173" t="str">
        <f>IF(PMDLN131159[[#This Row],[2024]]="","",DONNÉES!AB262)</f>
        <v/>
      </c>
      <c r="F49" s="109" t="str">
        <f>IF(PMDLN131159[[#This Row],[2024]]="","",DONNÉES!AA230)</f>
        <v/>
      </c>
      <c r="G49" s="163" t="str">
        <f>IF(PMDLN131159[[#This Row],[2024]]="","",DONNÉES!AB230)</f>
        <v/>
      </c>
      <c r="H49" s="109" t="str">
        <f>IF(PMDLN131159[[#This Row],[2024]]="","",DONNÉES!AA278)</f>
        <v/>
      </c>
      <c r="I49" s="109" t="str">
        <f>IF(PMDLN131159[[#This Row],[2024]]="","",DONNÉES!AB278)</f>
        <v/>
      </c>
      <c r="K49" s="110" t="str">
        <f>IF(PMDLN131159[[#This Row],[2024]]="","",DONNÉES!AA246)</f>
        <v/>
      </c>
      <c r="L49" s="165" t="str">
        <f>IF(PMDLN131159[[#This Row],[2024]]="","",DONNÉES!AB246)</f>
        <v/>
      </c>
      <c r="M49" s="165" t="str">
        <f>IF(PMDLN131159[[#This Row],[2024]]="","",DONNÉES!AA294)</f>
        <v/>
      </c>
      <c r="N49" s="110" t="str">
        <f>IF(PMDLN131159[[#This Row],[2024]]="","",DONNÉES!AB294)</f>
        <v/>
      </c>
    </row>
    <row r="50" spans="1:14" s="81" customFormat="1" ht="10.15" customHeight="1" x14ac:dyDescent="0.2">
      <c r="A50" s="169" t="s">
        <v>84</v>
      </c>
      <c r="B50" s="109" t="str">
        <f>IF(DONNÉES!AA215="","",DONNÉES!AA215)</f>
        <v/>
      </c>
      <c r="C50" s="163" t="str">
        <f>IF(PMDLN131159[[#This Row],[2024]]="","",DONNÉES!AB215)</f>
        <v/>
      </c>
      <c r="D50" s="109" t="str">
        <f>IF(PMDLN131159[[#This Row],[2024]]="","",DONNÉES!AA263)</f>
        <v/>
      </c>
      <c r="E50" s="173" t="str">
        <f>IF(PMDLN131159[[#This Row],[2024]]="","",DONNÉES!AB263)</f>
        <v/>
      </c>
      <c r="F50" s="109" t="str">
        <f>IF(PMDLN131159[[#This Row],[2024]]="","",DONNÉES!AA231)</f>
        <v/>
      </c>
      <c r="G50" s="163" t="str">
        <f>IF(PMDLN131159[[#This Row],[2024]]="","",DONNÉES!AB231)</f>
        <v/>
      </c>
      <c r="H50" s="109" t="str">
        <f>IF(PMDLN131159[[#This Row],[2024]]="","",DONNÉES!AA279)</f>
        <v/>
      </c>
      <c r="I50" s="109" t="str">
        <f>IF(PMDLN131159[[#This Row],[2024]]="","",DONNÉES!AB279)</f>
        <v/>
      </c>
      <c r="K50" s="110" t="str">
        <f>IF(PMDLN131159[[#This Row],[2024]]="","",DONNÉES!AA247)</f>
        <v/>
      </c>
      <c r="L50" s="165" t="str">
        <f>IF(PMDLN131159[[#This Row],[2024]]="","",DONNÉES!AB247)</f>
        <v/>
      </c>
      <c r="M50" s="165" t="str">
        <f>IF(PMDLN131159[[#This Row],[2024]]="","",DONNÉES!AA295)</f>
        <v/>
      </c>
      <c r="N50" s="110" t="str">
        <f>IF(PMDLN131159[[#This Row],[2024]]="","",DONNÉES!AB295)</f>
        <v/>
      </c>
    </row>
    <row r="51" spans="1:14" s="81" customFormat="1" ht="11.65" customHeight="1" x14ac:dyDescent="0.2">
      <c r="A51" s="171" t="s">
        <v>134</v>
      </c>
      <c r="B51" s="111">
        <f>SUBTOTAL(101,PMDLN131159[2024])</f>
        <v>13.27</v>
      </c>
      <c r="C51" s="167">
        <f>SUBTOTAL(101,PMDLN131159[2023])</f>
        <v>13.77</v>
      </c>
      <c r="D51" s="167">
        <f>SUBTOTAL(101,PMDLN131159[2024 cumul])</f>
        <v>13.27</v>
      </c>
      <c r="E51" s="175">
        <f>SUBTOTAL(101,PMDLN131159[2023 cumul])</f>
        <v>13.77</v>
      </c>
      <c r="F51" s="117">
        <f>SUBTOTAL(101,PMDLN131159[[2024  ]])</f>
        <v>19.920000000000002</v>
      </c>
      <c r="G51" s="164">
        <f>SUBTOTAL(101,PMDLN131159[[2023  ]])</f>
        <v>19.72</v>
      </c>
      <c r="H51" s="111">
        <f>SUBTOTAL(101,PMDLN131159[[2024 cumul ]])</f>
        <v>19.920000000000002</v>
      </c>
      <c r="I51" s="111">
        <f>SUBTOTAL(101,PMDLN131159[[2023 cumul ]])</f>
        <v>19.72</v>
      </c>
      <c r="K51" s="111">
        <f>SUBTOTAL(101,PMDTIRR[[2024  ]])</f>
        <v>15.91</v>
      </c>
      <c r="L51" s="167">
        <f>SUBTOTAL(101,PMDTIRR[[2023  ]])</f>
        <v>16.260000000000002</v>
      </c>
      <c r="M51" s="167">
        <f>SUBTOTAL(101,PMDTIRR[[2024 cumul ]])</f>
        <v>15.91</v>
      </c>
      <c r="N51" s="111">
        <f>SUBTOTAL(101,PMDTIRR[[2023 cumul ]])</f>
        <v>16.260000000000002</v>
      </c>
    </row>
    <row r="52" spans="1:14" s="81" customFormat="1" ht="11.65" customHeight="1" x14ac:dyDescent="0.2">
      <c r="A52" s="171"/>
      <c r="B52" s="111"/>
      <c r="C52" s="111"/>
      <c r="D52" s="111"/>
      <c r="E52" s="175"/>
      <c r="F52" s="117"/>
      <c r="G52" s="117"/>
      <c r="H52" s="111"/>
      <c r="I52" s="111"/>
      <c r="K52" s="111"/>
      <c r="L52" s="111"/>
      <c r="M52" s="111"/>
      <c r="N52" s="111"/>
    </row>
    <row r="53" spans="1:14" ht="15" customHeight="1" x14ac:dyDescent="0.2">
      <c r="A53" s="168"/>
      <c r="B53" s="345" t="s">
        <v>195</v>
      </c>
      <c r="C53" s="345"/>
      <c r="D53" s="345"/>
      <c r="E53" s="346"/>
      <c r="F53" s="345" t="s">
        <v>196</v>
      </c>
      <c r="G53" s="345"/>
      <c r="H53" s="345"/>
      <c r="I53" s="345"/>
      <c r="J53" s="107"/>
      <c r="K53" s="345" t="s">
        <v>197</v>
      </c>
      <c r="L53" s="345"/>
      <c r="M53" s="345"/>
      <c r="N53" s="345"/>
    </row>
    <row r="54" spans="1:14" ht="30" customHeight="1" x14ac:dyDescent="0.2">
      <c r="A54" s="169" t="s">
        <v>3003</v>
      </c>
      <c r="B54" s="108" t="s">
        <v>6962</v>
      </c>
      <c r="C54" s="166" t="s">
        <v>2169</v>
      </c>
      <c r="D54" s="108" t="s">
        <v>6986</v>
      </c>
      <c r="E54" s="172" t="s">
        <v>6944</v>
      </c>
      <c r="F54" s="108" t="s">
        <v>6987</v>
      </c>
      <c r="G54" s="166" t="s">
        <v>6945</v>
      </c>
      <c r="H54" s="108" t="s">
        <v>6988</v>
      </c>
      <c r="I54" s="124" t="s">
        <v>6946</v>
      </c>
      <c r="J54" s="79"/>
      <c r="K54" s="108" t="s">
        <v>6987</v>
      </c>
      <c r="L54" s="166" t="s">
        <v>6945</v>
      </c>
      <c r="M54" s="108" t="s">
        <v>6988</v>
      </c>
      <c r="N54" s="172" t="s">
        <v>6946</v>
      </c>
    </row>
    <row r="55" spans="1:14" s="81" customFormat="1" ht="10.15" customHeight="1" x14ac:dyDescent="0.2">
      <c r="A55" s="170" t="s">
        <v>73</v>
      </c>
      <c r="B55" s="109" t="str">
        <f>IF(DONNÉES!AI204="","",DONNÉES!AI204)</f>
        <v/>
      </c>
      <c r="C55" s="163" t="str">
        <f>IF(PMDBIGNALET117[[#This Row],[2024]]="","",DONNÉES!AJ204)</f>
        <v/>
      </c>
      <c r="D55" s="109" t="str">
        <f>IF(PMDBIGNALET117[[#This Row],[2024]]="","",DONNÉES!AI252)</f>
        <v/>
      </c>
      <c r="E55" s="173" t="str">
        <f>IF(PMDBIGNALET117[[#This Row],[2024]]="","",DONNÉES!AJ252)</f>
        <v/>
      </c>
      <c r="F55" s="109" t="str">
        <f>IF(PMDBIGNALET117[[#This Row],[2024]]="","",DONNÉES!AI220)</f>
        <v/>
      </c>
      <c r="G55" s="163" t="str">
        <f>IF(PMDBIGNALET117[[#This Row],[2024]]="","",DONNÉES!AJ220)</f>
        <v/>
      </c>
      <c r="H55" s="109" t="str">
        <f>IF(PMDBIGNALET117[[#This Row],[2024]]="","",DONNÉES!AI268)</f>
        <v/>
      </c>
      <c r="I55" s="109" t="str">
        <f>IF(PMDBIGNALET117[[#This Row],[2024]]="","",DONNÉES!AJ268)</f>
        <v/>
      </c>
      <c r="K55" s="109" t="str">
        <f>IF(PMDBIGNALET117[[#This Row],[2024]]="","",DONNÉES!AI236)</f>
        <v/>
      </c>
      <c r="L55" s="163" t="str">
        <f>IF(PMDBIGNALET117[[#This Row],[2024]]="","",DONNÉES!AJ236)</f>
        <v/>
      </c>
      <c r="M55" s="109" t="str">
        <f>IF(PMDBIGNALET117[[#This Row],[2024]]="","",DONNÉES!AI284)</f>
        <v/>
      </c>
      <c r="N55" s="109" t="str">
        <f>IF(PMDBIGNALET117[[#This Row],[2024]]="","",DONNÉES!AJ284)</f>
        <v/>
      </c>
    </row>
    <row r="56" spans="1:14" s="81" customFormat="1" ht="10.15" customHeight="1" x14ac:dyDescent="0.2">
      <c r="A56" s="170" t="s">
        <v>74</v>
      </c>
      <c r="B56" s="109" t="str">
        <f>IF(DONNÉES!AI205="","",DONNÉES!AI205)</f>
        <v/>
      </c>
      <c r="C56" s="163" t="str">
        <f>IF(PMDBIGNALET117[[#This Row],[2024]]="","",DONNÉES!AJ205)</f>
        <v/>
      </c>
      <c r="D56" s="109" t="str">
        <f>IF(PMDBIGNALET117[[#This Row],[2024]]="","",DONNÉES!AI253)</f>
        <v/>
      </c>
      <c r="E56" s="173" t="str">
        <f>IF(PMDBIGNALET117[[#This Row],[2024]]="","",DONNÉES!AJ253)</f>
        <v/>
      </c>
      <c r="F56" s="109" t="str">
        <f>IF(PMDBIGNALET117[[#This Row],[2024]]="","",DONNÉES!AI221)</f>
        <v/>
      </c>
      <c r="G56" s="163" t="str">
        <f>IF(PMDBIGNALET117[[#This Row],[2024]]="","",DONNÉES!AJ221)</f>
        <v/>
      </c>
      <c r="H56" s="109" t="str">
        <f>IF(PMDBIGNALET117[[#This Row],[2024]]="","",DONNÉES!AI269)</f>
        <v/>
      </c>
      <c r="I56" s="109" t="str">
        <f>IF(PMDBIGNALET117[[#This Row],[2024]]="","",DONNÉES!AJ269)</f>
        <v/>
      </c>
      <c r="K56" s="109" t="str">
        <f>IF(PMDBIGNALET117[[#This Row],[2024]]="","",DONNÉES!AI237)</f>
        <v/>
      </c>
      <c r="L56" s="163" t="str">
        <f>IF(PMDBIGNALET117[[#This Row],[2024]]="","",DONNÉES!AJ237)</f>
        <v/>
      </c>
      <c r="M56" s="109" t="str">
        <f>IF(PMDBIGNALET117[[#This Row],[2024]]="","",DONNÉES!AI285)</f>
        <v/>
      </c>
      <c r="N56" s="109" t="str">
        <f>IF(PMDBIGNALET117[[#This Row],[2024]]="","",DONNÉES!AJ285)</f>
        <v/>
      </c>
    </row>
    <row r="57" spans="1:14" s="81" customFormat="1" ht="10.15" customHeight="1" x14ac:dyDescent="0.2">
      <c r="A57" s="169" t="s">
        <v>75</v>
      </c>
      <c r="B57" s="109" t="str">
        <f>IF(DONNÉES!AI206="","",DONNÉES!AI206)</f>
        <v/>
      </c>
      <c r="C57" s="163" t="str">
        <f>IF(PMDBIGNALET117[[#This Row],[2024]]="","",DONNÉES!AJ206)</f>
        <v/>
      </c>
      <c r="D57" s="109" t="str">
        <f>IF(PMDBIGNALET117[[#This Row],[2024]]="","",DONNÉES!AI254)</f>
        <v/>
      </c>
      <c r="E57" s="173" t="str">
        <f>IF(PMDBIGNALET117[[#This Row],[2024]]="","",DONNÉES!AJ254)</f>
        <v/>
      </c>
      <c r="F57" s="109" t="str">
        <f>IF(PMDBIGNALET117[[#This Row],[2024]]="","",DONNÉES!AI222)</f>
        <v/>
      </c>
      <c r="G57" s="163" t="str">
        <f>IF(PMDBIGNALET117[[#This Row],[2024]]="","",DONNÉES!AJ222)</f>
        <v/>
      </c>
      <c r="H57" s="109" t="str">
        <f>IF(PMDBIGNALET117[[#This Row],[2024]]="","",DONNÉES!AI270)</f>
        <v/>
      </c>
      <c r="I57" s="109" t="str">
        <f>IF(PMDBIGNALET117[[#This Row],[2024]]="","",DONNÉES!AJ270)</f>
        <v/>
      </c>
      <c r="K57" s="109" t="str">
        <f>IF(PMDBIGNALET117[[#This Row],[2024]]="","",DONNÉES!AI238)</f>
        <v/>
      </c>
      <c r="L57" s="163" t="str">
        <f>IF(PMDBIGNALET117[[#This Row],[2024]]="","",DONNÉES!AJ238)</f>
        <v/>
      </c>
      <c r="M57" s="109" t="str">
        <f>IF(PMDBIGNALET117[[#This Row],[2024]]="","",DONNÉES!AI286)</f>
        <v/>
      </c>
      <c r="N57" s="109" t="str">
        <f>IF(PMDBIGNALET117[[#This Row],[2024]]="","",DONNÉES!AJ286)</f>
        <v/>
      </c>
    </row>
    <row r="58" spans="1:14" ht="10.15" customHeight="1" x14ac:dyDescent="0.2">
      <c r="A58" s="170" t="s">
        <v>76</v>
      </c>
      <c r="B58" s="109" t="str">
        <f>IF(DONNÉES!AI207="","",DONNÉES!AI207)</f>
        <v/>
      </c>
      <c r="C58" s="163" t="str">
        <f>IF(PMDBIGNALET117[[#This Row],[2024]]="","",DONNÉES!AJ207)</f>
        <v/>
      </c>
      <c r="D58" s="109" t="str">
        <f>IF(PMDBIGNALET117[[#This Row],[2024]]="","",DONNÉES!AI255)</f>
        <v/>
      </c>
      <c r="E58" s="173" t="str">
        <f>IF(PMDBIGNALET117[[#This Row],[2024]]="","",DONNÉES!AJ255)</f>
        <v/>
      </c>
      <c r="F58" s="109" t="str">
        <f>IF(PMDBIGNALET117[[#This Row],[2024]]="","",DONNÉES!AI223)</f>
        <v/>
      </c>
      <c r="G58" s="163" t="str">
        <f>IF(PMDBIGNALET117[[#This Row],[2024]]="","",DONNÉES!AJ223)</f>
        <v/>
      </c>
      <c r="H58" s="109" t="str">
        <f>IF(PMDBIGNALET117[[#This Row],[2024]]="","",DONNÉES!AI271)</f>
        <v/>
      </c>
      <c r="I58" s="109" t="str">
        <f>IF(PMDBIGNALET117[[#This Row],[2024]]="","",DONNÉES!AJ271)</f>
        <v/>
      </c>
      <c r="J58" s="79"/>
      <c r="K58" s="109" t="str">
        <f>IF(PMDBIGNALET117[[#This Row],[2024]]="","",DONNÉES!AI239)</f>
        <v/>
      </c>
      <c r="L58" s="163" t="str">
        <f>IF(PMDBIGNALET117[[#This Row],[2024]]="","",DONNÉES!AJ239)</f>
        <v/>
      </c>
      <c r="M58" s="109" t="str">
        <f>IF(PMDBIGNALET117[[#This Row],[2024]]="","",DONNÉES!AI287)</f>
        <v/>
      </c>
      <c r="N58" s="109" t="str">
        <f>IF(PMDBIGNALET117[[#This Row],[2024]]="","",DONNÉES!AJ287)</f>
        <v/>
      </c>
    </row>
    <row r="59" spans="1:14" ht="10.15" customHeight="1" x14ac:dyDescent="0.2">
      <c r="A59" s="169" t="s">
        <v>77</v>
      </c>
      <c r="B59" s="109" t="str">
        <f>IF(DONNÉES!AI208="","",DONNÉES!AI208)</f>
        <v/>
      </c>
      <c r="C59" s="163" t="str">
        <f>IF(PMDBIGNALET117[[#This Row],[2024]]="","",DONNÉES!AJ208)</f>
        <v/>
      </c>
      <c r="D59" s="109" t="str">
        <f>IF(PMDBIGNALET117[[#This Row],[2024]]="","",DONNÉES!AI256)</f>
        <v/>
      </c>
      <c r="E59" s="173" t="str">
        <f>IF(PMDBIGNALET117[[#This Row],[2024]]="","",DONNÉES!AJ256)</f>
        <v/>
      </c>
      <c r="F59" s="109" t="str">
        <f>IF(PMDBIGNALET117[[#This Row],[2024]]="","",DONNÉES!AI224)</f>
        <v/>
      </c>
      <c r="G59" s="163" t="str">
        <f>IF(PMDBIGNALET117[[#This Row],[2024]]="","",DONNÉES!AJ224)</f>
        <v/>
      </c>
      <c r="H59" s="109" t="str">
        <f>IF(PMDBIGNALET117[[#This Row],[2024]]="","",DONNÉES!AI272)</f>
        <v/>
      </c>
      <c r="I59" s="109" t="str">
        <f>IF(PMDBIGNALET117[[#This Row],[2024]]="","",DONNÉES!AJ272)</f>
        <v/>
      </c>
      <c r="J59" s="79"/>
      <c r="K59" s="109" t="str">
        <f>IF(PMDBIGNALET117[[#This Row],[2024]]="","",DONNÉES!AI240)</f>
        <v/>
      </c>
      <c r="L59" s="163" t="str">
        <f>IF(PMDBIGNALET117[[#This Row],[2024]]="","",DONNÉES!AJ240)</f>
        <v/>
      </c>
      <c r="M59" s="109" t="str">
        <f>IF(PMDBIGNALET117[[#This Row],[2024]]="","",DONNÉES!AI288)</f>
        <v/>
      </c>
      <c r="N59" s="109" t="str">
        <f>IF(PMDBIGNALET117[[#This Row],[2024]]="","",DONNÉES!AJ288)</f>
        <v/>
      </c>
    </row>
    <row r="60" spans="1:14" ht="10.15" customHeight="1" x14ac:dyDescent="0.2">
      <c r="A60" s="170" t="s">
        <v>78</v>
      </c>
      <c r="B60" s="109" t="str">
        <f>IF(DONNÉES!AI209="","",DONNÉES!AI209)</f>
        <v/>
      </c>
      <c r="C60" s="163" t="str">
        <f>IF(PMDBIGNALET117[[#This Row],[2024]]="","",DONNÉES!AJ209)</f>
        <v/>
      </c>
      <c r="D60" s="109" t="str">
        <f>IF(PMDBIGNALET117[[#This Row],[2024]]="","",DONNÉES!AI257)</f>
        <v/>
      </c>
      <c r="E60" s="173" t="str">
        <f>IF(PMDBIGNALET117[[#This Row],[2024]]="","",DONNÉES!AJ257)</f>
        <v/>
      </c>
      <c r="F60" s="109" t="str">
        <f>IF(PMDBIGNALET117[[#This Row],[2024]]="","",DONNÉES!AI225)</f>
        <v/>
      </c>
      <c r="G60" s="163" t="str">
        <f>IF(PMDBIGNALET117[[#This Row],[2024]]="","",DONNÉES!AJ225)</f>
        <v/>
      </c>
      <c r="H60" s="109" t="str">
        <f>IF(PMDBIGNALET117[[#This Row],[2024]]="","",DONNÉES!AI273)</f>
        <v/>
      </c>
      <c r="I60" s="109" t="str">
        <f>IF(PMDBIGNALET117[[#This Row],[2024]]="","",DONNÉES!AJ273)</f>
        <v/>
      </c>
      <c r="J60" s="79"/>
      <c r="K60" s="109" t="str">
        <f>IF(PMDBIGNALET117[[#This Row],[2024]]="","",DONNÉES!AI241)</f>
        <v/>
      </c>
      <c r="L60" s="163" t="str">
        <f>IF(PMDBIGNALET117[[#This Row],[2024]]="","",DONNÉES!AJ241)</f>
        <v/>
      </c>
      <c r="M60" s="109" t="str">
        <f>IF(PMDBIGNALET117[[#This Row],[2024]]="","",DONNÉES!AI289)</f>
        <v/>
      </c>
      <c r="N60" s="109" t="str">
        <f>IF(PMDBIGNALET117[[#This Row],[2024]]="","",DONNÉES!AJ289)</f>
        <v/>
      </c>
    </row>
    <row r="61" spans="1:14" ht="10.15" customHeight="1" x14ac:dyDescent="0.2">
      <c r="A61" s="169" t="s">
        <v>79</v>
      </c>
      <c r="B61" s="109" t="str">
        <f>IF(DONNÉES!AI210="","",DONNÉES!AI210)</f>
        <v/>
      </c>
      <c r="C61" s="163" t="str">
        <f>IF(PMDBIGNALET117[[#This Row],[2024]]="","",DONNÉES!AJ210)</f>
        <v/>
      </c>
      <c r="D61" s="109" t="str">
        <f>IF(PMDBIGNALET117[[#This Row],[2024]]="","",DONNÉES!AI258)</f>
        <v/>
      </c>
      <c r="E61" s="173" t="str">
        <f>IF(PMDBIGNALET117[[#This Row],[2024]]="","",DONNÉES!AJ258)</f>
        <v/>
      </c>
      <c r="F61" s="109" t="str">
        <f>IF(PMDBIGNALET117[[#This Row],[2024]]="","",DONNÉES!AI226)</f>
        <v/>
      </c>
      <c r="G61" s="163" t="str">
        <f>IF(PMDBIGNALET117[[#This Row],[2024]]="","",DONNÉES!AJ226)</f>
        <v/>
      </c>
      <c r="H61" s="109" t="str">
        <f>IF(PMDBIGNALET117[[#This Row],[2024]]="","",DONNÉES!AI274)</f>
        <v/>
      </c>
      <c r="I61" s="109" t="str">
        <f>IF(PMDBIGNALET117[[#This Row],[2024]]="","",DONNÉES!AJ274)</f>
        <v/>
      </c>
      <c r="J61" s="79"/>
      <c r="K61" s="109" t="str">
        <f>IF(PMDBIGNALET117[[#This Row],[2024]]="","",DONNÉES!AI242)</f>
        <v/>
      </c>
      <c r="L61" s="163" t="str">
        <f>IF(PMDBIGNALET117[[#This Row],[2024]]="","",DONNÉES!AJ242)</f>
        <v/>
      </c>
      <c r="M61" s="109" t="str">
        <f>IF(PMDBIGNALET117[[#This Row],[2024]]="","",DONNÉES!AI290)</f>
        <v/>
      </c>
      <c r="N61" s="109" t="str">
        <f>IF(PMDBIGNALET117[[#This Row],[2024]]="","",DONNÉES!AJ290)</f>
        <v/>
      </c>
    </row>
    <row r="62" spans="1:14" ht="10.15" customHeight="1" x14ac:dyDescent="0.2">
      <c r="A62" s="170" t="s">
        <v>80</v>
      </c>
      <c r="B62" s="109" t="str">
        <f>IF(DONNÉES!AI211="","",DONNÉES!AI211)</f>
        <v/>
      </c>
      <c r="C62" s="163" t="str">
        <f>IF(PMDBIGNALET117[[#This Row],[2024]]="","",DONNÉES!AJ211)</f>
        <v/>
      </c>
      <c r="D62" s="109" t="str">
        <f>IF(PMDBIGNALET117[[#This Row],[2024]]="","",DONNÉES!AI259)</f>
        <v/>
      </c>
      <c r="E62" s="173" t="str">
        <f>IF(PMDBIGNALET117[[#This Row],[2024]]="","",DONNÉES!AJ259)</f>
        <v/>
      </c>
      <c r="F62" s="109" t="str">
        <f>IF(PMDBIGNALET117[[#This Row],[2024]]="","",DONNÉES!AI227)</f>
        <v/>
      </c>
      <c r="G62" s="163" t="str">
        <f>IF(PMDBIGNALET117[[#This Row],[2024]]="","",DONNÉES!AJ227)</f>
        <v/>
      </c>
      <c r="H62" s="109" t="str">
        <f>IF(PMDBIGNALET117[[#This Row],[2024]]="","",DONNÉES!AI275)</f>
        <v/>
      </c>
      <c r="I62" s="109" t="str">
        <f>IF(PMDBIGNALET117[[#This Row],[2024]]="","",DONNÉES!AJ275)</f>
        <v/>
      </c>
      <c r="J62" s="79"/>
      <c r="K62" s="109" t="str">
        <f>IF(PMDBIGNALET117[[#This Row],[2024]]="","",DONNÉES!#REF!)</f>
        <v/>
      </c>
      <c r="L62" s="163" t="str">
        <f>IF(PMDBIGNALET117[[#This Row],[2024]]="","",DONNÉES!AJ243)</f>
        <v/>
      </c>
      <c r="M62" s="109" t="str">
        <f>IF(PMDBIGNALET117[[#This Row],[2024]]="","",DONNÉES!AI291)</f>
        <v/>
      </c>
      <c r="N62" s="109" t="str">
        <f>IF(PMDBIGNALET117[[#This Row],[2024]]="","",DONNÉES!AJ291)</f>
        <v/>
      </c>
    </row>
    <row r="63" spans="1:14" ht="10.15" customHeight="1" x14ac:dyDescent="0.2">
      <c r="A63" s="169" t="s">
        <v>81</v>
      </c>
      <c r="B63" s="110" t="str">
        <f>IF(DONNÉES!AI212="","",DONNÉES!AI212)</f>
        <v/>
      </c>
      <c r="C63" s="165" t="str">
        <f>IF(PMDBIGNALET117[[#This Row],[2024]]="","",DONNÉES!AJ212)</f>
        <v/>
      </c>
      <c r="D63" s="110" t="str">
        <f>IF(PMDBIGNALET117[[#This Row],[2024]]="","",DONNÉES!AI260)</f>
        <v/>
      </c>
      <c r="E63" s="174" t="str">
        <f>IF(PMDBIGNALET117[[#This Row],[2024]]="","",DONNÉES!AJ260)</f>
        <v/>
      </c>
      <c r="F63" s="110" t="str">
        <f>IF(PMDBIGNALET117[[#This Row],[2024]]="","",DONNÉES!AI228)</f>
        <v/>
      </c>
      <c r="G63" s="165" t="str">
        <f>IF(PMDBIGNALET117[[#This Row],[2024]]="","",DONNÉES!AJ228)</f>
        <v/>
      </c>
      <c r="H63" s="110" t="str">
        <f>IF(PMDBIGNALET117[[#This Row],[2024]]="","",DONNÉES!AI276)</f>
        <v/>
      </c>
      <c r="I63" s="110" t="str">
        <f>IF(PMDBIGNALET117[[#This Row],[2024]]="","",DONNÉES!AJ276)</f>
        <v/>
      </c>
      <c r="J63" s="82"/>
      <c r="K63" s="110" t="str">
        <f>IF(PMDBIGNALET117[[#This Row],[2024]]="","",DONNÉES!AI243)</f>
        <v/>
      </c>
      <c r="L63" s="165" t="str">
        <f>IF(PMDBIGNALET117[[#This Row],[2024]]="","",DONNÉES!AJ244)</f>
        <v/>
      </c>
      <c r="M63" s="110" t="str">
        <f>IF(PMDBIGNALET117[[#This Row],[2024]]="","",DONNÉES!AI292)</f>
        <v/>
      </c>
      <c r="N63" s="110" t="str">
        <f>IF(PMDBIGNALET117[[#This Row],[2024]]="","",DONNÉES!AJ292)</f>
        <v/>
      </c>
    </row>
    <row r="64" spans="1:14" ht="10.15" customHeight="1" x14ac:dyDescent="0.2">
      <c r="A64" s="170" t="s">
        <v>82</v>
      </c>
      <c r="B64" s="110" t="str">
        <f>IF(DONNÉES!AI213="","",DONNÉES!AI213)</f>
        <v/>
      </c>
      <c r="C64" s="165" t="str">
        <f>IF(PMDBIGNALET117[[#This Row],[2024]]="","",DONNÉES!AJ213)</f>
        <v/>
      </c>
      <c r="D64" s="110" t="str">
        <f>IF(PMDBIGNALET117[[#This Row],[2024]]="","",DONNÉES!AI261)</f>
        <v/>
      </c>
      <c r="E64" s="174" t="str">
        <f>IF(PMDBIGNALET117[[#This Row],[2024]]="","",DONNÉES!AJ261)</f>
        <v/>
      </c>
      <c r="F64" s="110" t="str">
        <f>IF(PMDBIGNALET117[[#This Row],[2024]]="","",DONNÉES!AI229)</f>
        <v/>
      </c>
      <c r="G64" s="165" t="str">
        <f>IF(PMDBIGNALET117[[#This Row],[2024]]="","",DONNÉES!AJ229)</f>
        <v/>
      </c>
      <c r="H64" s="110" t="str">
        <f>IF(PMDBIGNALET117[[#This Row],[2024]]="","",DONNÉES!AI277)</f>
        <v/>
      </c>
      <c r="I64" s="110" t="str">
        <f>IF(PMDBIGNALET117[[#This Row],[2024]]="","",DONNÉES!AJ277)</f>
        <v/>
      </c>
      <c r="J64" s="79"/>
      <c r="K64" s="110" t="str">
        <f>IF(PMDBIGNALET117[[#This Row],[2024]]="","",DONNÉES!AI245)</f>
        <v/>
      </c>
      <c r="L64" s="165" t="str">
        <f>IF(PMDBIGNALET117[[#This Row],[2024]]="","",DONNÉES!AJ245)</f>
        <v/>
      </c>
      <c r="M64" s="110" t="str">
        <f>IF(PMDBIGNALET117[[#This Row],[2024]]="","",DONNÉES!AI293)</f>
        <v/>
      </c>
      <c r="N64" s="110" t="str">
        <f>IF(PMDBIGNALET117[[#This Row],[2024]]="","",DONNÉES!AJ293)</f>
        <v/>
      </c>
    </row>
    <row r="65" spans="1:14" s="81" customFormat="1" ht="10.15" customHeight="1" x14ac:dyDescent="0.2">
      <c r="A65" s="169" t="s">
        <v>83</v>
      </c>
      <c r="B65" s="110" t="str">
        <f>IF(DONNÉES!AI214="","",DONNÉES!AI214)</f>
        <v/>
      </c>
      <c r="C65" s="165" t="str">
        <f>IF(PMDBIGNALET117[[#This Row],[2024]]="","",DONNÉES!AJ214)</f>
        <v/>
      </c>
      <c r="D65" s="110" t="str">
        <f>IF(PMDBIGNALET117[[#This Row],[2024]]="","",DONNÉES!AI262)</f>
        <v/>
      </c>
      <c r="E65" s="174" t="str">
        <f>IF(PMDBIGNALET117[[#This Row],[2024]]="","",DONNÉES!AJ262)</f>
        <v/>
      </c>
      <c r="F65" s="110" t="str">
        <f>IF(PMDBIGNALET117[[#This Row],[2024]]="","",DONNÉES!AI230)</f>
        <v/>
      </c>
      <c r="G65" s="165" t="str">
        <f>IF(PMDBIGNALET117[[#This Row],[2024]]="","",DONNÉES!AJ230)</f>
        <v/>
      </c>
      <c r="H65" s="110" t="str">
        <f>IF(PMDBIGNALET117[[#This Row],[2024]]="","",DONNÉES!AI278)</f>
        <v/>
      </c>
      <c r="I65" s="110" t="str">
        <f>IF(PMDBIGNALET117[[#This Row],[2024]]="","",DONNÉES!AJ278)</f>
        <v/>
      </c>
      <c r="K65" s="110" t="str">
        <f>IF(PMDBIGNALET117[[#This Row],[2024]]="","",DONNÉES!AI246)</f>
        <v/>
      </c>
      <c r="L65" s="165" t="str">
        <f>IF(PMDBIGNALET117[[#This Row],[2024]]="","",DONNÉES!AJ246)</f>
        <v/>
      </c>
      <c r="M65" s="110" t="str">
        <f>IF(PMDBIGNALET117[[#This Row],[2024]]="","",DONNÉES!AI294)</f>
        <v/>
      </c>
      <c r="N65" s="110" t="str">
        <f>IF(PMDBIGNALET117[[#This Row],[2024]]="","",DONNÉES!AJ294)</f>
        <v/>
      </c>
    </row>
    <row r="66" spans="1:14" s="81" customFormat="1" ht="10.15" customHeight="1" x14ac:dyDescent="0.2">
      <c r="A66" s="169" t="s">
        <v>84</v>
      </c>
      <c r="B66" s="110" t="str">
        <f>IF(DONNÉES!AI215="","",DONNÉES!AI215)</f>
        <v/>
      </c>
      <c r="C66" s="165" t="str">
        <f>IF(PMDBIGNALET117[[#This Row],[2024]]="","",DONNÉES!AJ215)</f>
        <v/>
      </c>
      <c r="D66" s="110" t="str">
        <f>IF(PMDBIGNALET117[[#This Row],[2024]]="","",DONNÉES!AI263)</f>
        <v/>
      </c>
      <c r="E66" s="174" t="str">
        <f>IF(PMDBIGNALET117[[#This Row],[2024]]="","",DONNÉES!AJ263)</f>
        <v/>
      </c>
      <c r="F66" s="110" t="str">
        <f>IF(PMDBIGNALET117[[#This Row],[2024]]="","",DONNÉES!AI231)</f>
        <v/>
      </c>
      <c r="G66" s="165" t="str">
        <f>IF(PMDBIGNALET117[[#This Row],[2024]]="","",DONNÉES!AJ231)</f>
        <v/>
      </c>
      <c r="H66" s="110" t="str">
        <f>IF(PMDBIGNALET117[[#This Row],[2024]]="","",DONNÉES!AI279)</f>
        <v/>
      </c>
      <c r="I66" s="110" t="str">
        <f>IF(PMDBIGNALET117[[#This Row],[2024]]="","",DONNÉES!AJ279)</f>
        <v/>
      </c>
      <c r="K66" s="110" t="str">
        <f>IF(PMDBIGNALET117[[#This Row],[2024]]="","",DONNÉES!AI247)</f>
        <v/>
      </c>
      <c r="L66" s="165" t="str">
        <f>IF(PMDBIGNALET117[[#This Row],[2024]]="","",DONNÉES!AJ247)</f>
        <v/>
      </c>
      <c r="M66" s="110" t="str">
        <f>IF(PMDBIGNALET117[[#This Row],[2024]]="","",DONNÉES!AI295)</f>
        <v/>
      </c>
      <c r="N66" s="110" t="str">
        <f>IF(PMDBIGNALET117[[#This Row],[2024]]="","",DONNÉES!AJ295)</f>
        <v/>
      </c>
    </row>
    <row r="67" spans="1:14" s="81" customFormat="1" ht="11.65" customHeight="1" x14ac:dyDescent="0.2">
      <c r="A67" s="171" t="s">
        <v>134</v>
      </c>
      <c r="B67" s="111" t="e">
        <f>SUBTOTAL(101,PMDBIGNALET117[2024])</f>
        <v>#DIV/0!</v>
      </c>
      <c r="C67" s="167" t="e">
        <f>SUBTOTAL(101,PMDBIGNALET117[2023])</f>
        <v>#DIV/0!</v>
      </c>
      <c r="D67" s="167" t="e">
        <f>SUBTOTAL(101,PMDBIGNALET117[2024 cumul])</f>
        <v>#DIV/0!</v>
      </c>
      <c r="E67" s="175" t="e">
        <f>SUBTOTAL(101,PMDBIGNALET117[2023 cumul])</f>
        <v>#DIV/0!</v>
      </c>
      <c r="F67" s="117" t="e">
        <f>SUBTOTAL(101,PMDBIGNALET117[[2024  ]])</f>
        <v>#DIV/0!</v>
      </c>
      <c r="G67" s="164" t="e">
        <f>SUBTOTAL(101,PMDBIGNALET117[[2023  ]])</f>
        <v>#DIV/0!</v>
      </c>
      <c r="H67" s="111" t="e">
        <f>SUBTOTAL(101,PMDBIGNALET117[[2024 cumul ]])</f>
        <v>#DIV/0!</v>
      </c>
      <c r="I67" s="111" t="e">
        <f>SUBTOTAL(101,PMDBIGNALET117[[2023 cumul ]])</f>
        <v>#DIV/0!</v>
      </c>
      <c r="K67" s="111" t="e">
        <f>SUBTOTAL(101,PMDVR7[[2024  ]])</f>
        <v>#DIV/0!</v>
      </c>
      <c r="L67" s="167" t="e">
        <f>SUBTOTAL(101,PMDVR7[[2023  ]])</f>
        <v>#DIV/0!</v>
      </c>
      <c r="M67" s="111" t="e">
        <f>SUBTOTAL(101,PMDVR7[[2024 cumul ]])</f>
        <v>#DIV/0!</v>
      </c>
      <c r="N67" s="111" t="e">
        <f>SUBTOTAL(101,PMDVR7[[2023 cumul ]])</f>
        <v>#DIV/0!</v>
      </c>
    </row>
    <row r="68" spans="1:14" ht="12" customHeight="1" x14ac:dyDescent="0.2">
      <c r="H68" s="79"/>
    </row>
    <row r="69" spans="1:14" ht="15" customHeight="1" x14ac:dyDescent="0.2">
      <c r="A69" s="168"/>
      <c r="B69" s="345" t="s">
        <v>195</v>
      </c>
      <c r="C69" s="345"/>
      <c r="D69" s="345"/>
      <c r="E69" s="346"/>
      <c r="F69" s="345" t="s">
        <v>196</v>
      </c>
      <c r="G69" s="345"/>
      <c r="H69" s="345"/>
      <c r="I69" s="345"/>
      <c r="J69" s="107"/>
      <c r="K69" s="345" t="s">
        <v>197</v>
      </c>
      <c r="L69" s="345"/>
      <c r="M69" s="345"/>
      <c r="N69" s="345"/>
    </row>
    <row r="70" spans="1:14" ht="30" customHeight="1" x14ac:dyDescent="0.2">
      <c r="A70" s="257" t="s">
        <v>2156</v>
      </c>
      <c r="B70" s="108" t="s">
        <v>6962</v>
      </c>
      <c r="C70" s="166" t="s">
        <v>2169</v>
      </c>
      <c r="D70" s="108" t="s">
        <v>6986</v>
      </c>
      <c r="E70" s="172" t="s">
        <v>6944</v>
      </c>
      <c r="F70" s="108" t="s">
        <v>6987</v>
      </c>
      <c r="G70" s="166" t="s">
        <v>6945</v>
      </c>
      <c r="H70" s="108" t="s">
        <v>6988</v>
      </c>
      <c r="I70" s="124" t="s">
        <v>6946</v>
      </c>
      <c r="J70" s="79"/>
      <c r="K70" s="108" t="s">
        <v>6987</v>
      </c>
      <c r="L70" s="166" t="s">
        <v>6945</v>
      </c>
      <c r="M70" s="108" t="s">
        <v>6988</v>
      </c>
      <c r="N70" s="172" t="s">
        <v>6946</v>
      </c>
    </row>
    <row r="71" spans="1:14" s="81" customFormat="1" ht="10.15" customHeight="1" x14ac:dyDescent="0.2">
      <c r="A71" s="170" t="s">
        <v>73</v>
      </c>
      <c r="B71" s="109">
        <f>IF(DONNÉES!AQ204="","",DONNÉES!AQ204)</f>
        <v>16.440000000000001</v>
      </c>
      <c r="C71" s="163">
        <f>IF(PMDCINE124[[#This Row],[2024]]="","",DONNÉES!AR204)</f>
        <v>16.11</v>
      </c>
      <c r="D71" s="109">
        <f>IF(PMDCINE124[[#This Row],[2024]]="","",DONNÉES!AQ252)</f>
        <v>16.440000000000001</v>
      </c>
      <c r="E71" s="173">
        <f>IF(PMDCINE124[[#This Row],[2024]]="","",DONNÉES!AR252)</f>
        <v>16.11</v>
      </c>
      <c r="F71" s="109">
        <f>IF(PMDCINE124[[#This Row],[2024]]="","",DONNÉES!AQ220)</f>
        <v>20.2</v>
      </c>
      <c r="G71" s="163">
        <f>IF(PMDCINE124[[#This Row],[2024]]="","",DONNÉES!AR220)</f>
        <v>19.03</v>
      </c>
      <c r="H71" s="109">
        <f>IF(PMDCINE124[[#This Row],[2024]]="","",DONNÉES!AQ268)</f>
        <v>20.2</v>
      </c>
      <c r="I71" s="109">
        <f>IF(PMDCINE124[[#This Row],[2024]]="","",DONNÉES!AR268)</f>
        <v>19.03</v>
      </c>
      <c r="K71" s="109">
        <f>IF(PMDCINE124[[#This Row],[2024]]="","",DONNÉES!AQ236)</f>
        <v>17.190000000000001</v>
      </c>
      <c r="L71" s="163">
        <f>IF(PMDCINE124[[#This Row],[2024]]="","",DONNÉES!AR236)</f>
        <v>16.809999999999999</v>
      </c>
      <c r="M71" s="109">
        <f>IF(PMDCINE124[[#This Row],[2024]]="","",DONNÉES!AQ284)</f>
        <v>17.190000000000001</v>
      </c>
      <c r="N71" s="109">
        <f>IF(PMDCINE124[[#This Row],[2024]]="","",DONNÉES!AR284)</f>
        <v>16.809999999999999</v>
      </c>
    </row>
    <row r="72" spans="1:14" s="81" customFormat="1" ht="10.15" customHeight="1" x14ac:dyDescent="0.2">
      <c r="A72" s="170" t="s">
        <v>74</v>
      </c>
      <c r="B72" s="109" t="str">
        <f>IF(DONNÉES!AQ205="","",DONNÉES!AQ205)</f>
        <v/>
      </c>
      <c r="C72" s="163" t="str">
        <f>IF(PMDCINE124[[#This Row],[2024]]="","",DONNÉES!AR205)</f>
        <v/>
      </c>
      <c r="D72" s="109" t="str">
        <f>IF(PMDCINE124[[#This Row],[2024]]="","",DONNÉES!AQ253)</f>
        <v/>
      </c>
      <c r="E72" s="173" t="str">
        <f>IF(PMDCINE124[[#This Row],[2024]]="","",DONNÉES!AR253)</f>
        <v/>
      </c>
      <c r="F72" s="109" t="str">
        <f>IF(PMDCINE124[[#This Row],[2024]]="","",DONNÉES!AQ221)</f>
        <v/>
      </c>
      <c r="G72" s="163" t="str">
        <f>IF(PMDCINE124[[#This Row],[2024]]="","",DONNÉES!AR221)</f>
        <v/>
      </c>
      <c r="H72" s="109" t="str">
        <f>IF(PMDCINE124[[#This Row],[2024]]="","",DONNÉES!AQ269)</f>
        <v/>
      </c>
      <c r="I72" s="109" t="str">
        <f>IF(PMDCINE124[[#This Row],[2024]]="","",DONNÉES!AR269)</f>
        <v/>
      </c>
      <c r="K72" s="109" t="str">
        <f>IF(PMDCINE124[[#This Row],[2024]]="","",DONNÉES!AQ237)</f>
        <v/>
      </c>
      <c r="L72" s="163" t="str">
        <f>IF(PMDCINE124[[#This Row],[2024]]="","",DONNÉES!AR237)</f>
        <v/>
      </c>
      <c r="M72" s="109" t="str">
        <f>IF(PMDCINE124[[#This Row],[2024]]="","",DONNÉES!AQ285)</f>
        <v/>
      </c>
      <c r="N72" s="109" t="str">
        <f>IF(PMDCINE124[[#This Row],[2024]]="","",DONNÉES!AR285)</f>
        <v/>
      </c>
    </row>
    <row r="73" spans="1:14" s="81" customFormat="1" ht="10.15" customHeight="1" x14ac:dyDescent="0.2">
      <c r="A73" s="169" t="s">
        <v>75</v>
      </c>
      <c r="B73" s="109" t="str">
        <f>IF(DONNÉES!AQ206="","",DONNÉES!AQ206)</f>
        <v/>
      </c>
      <c r="C73" s="163" t="str">
        <f>IF(PMDCINE124[[#This Row],[2024]]="","",DONNÉES!AR206)</f>
        <v/>
      </c>
      <c r="D73" s="109" t="str">
        <f>IF(PMDCINE124[[#This Row],[2024]]="","",DONNÉES!AQ254)</f>
        <v/>
      </c>
      <c r="E73" s="173" t="str">
        <f>IF(PMDCINE124[[#This Row],[2024]]="","",DONNÉES!AR254)</f>
        <v/>
      </c>
      <c r="F73" s="109" t="str">
        <f>IF(PMDCINE124[[#This Row],[2024]]="","",DONNÉES!AQ222)</f>
        <v/>
      </c>
      <c r="G73" s="163" t="str">
        <f>IF(PMDCINE124[[#This Row],[2024]]="","",DONNÉES!AR222)</f>
        <v/>
      </c>
      <c r="H73" s="109" t="str">
        <f>IF(PMDCINE124[[#This Row],[2024]]="","",DONNÉES!AQ270)</f>
        <v/>
      </c>
      <c r="I73" s="109" t="str">
        <f>IF(PMDCINE124[[#This Row],[2024]]="","",DONNÉES!AR270)</f>
        <v/>
      </c>
      <c r="K73" s="109" t="str">
        <f>IF(PMDCINE124[[#This Row],[2024]]="","",DONNÉES!AQ238)</f>
        <v/>
      </c>
      <c r="L73" s="163" t="str">
        <f>IF(PMDCINE124[[#This Row],[2024]]="","",DONNÉES!AR238)</f>
        <v/>
      </c>
      <c r="M73" s="109" t="str">
        <f>IF(PMDCINE124[[#This Row],[2024]]="","",DONNÉES!AQ286)</f>
        <v/>
      </c>
      <c r="N73" s="109" t="str">
        <f>IF(PMDCINE124[[#This Row],[2024]]="","",DONNÉES!AR286)</f>
        <v/>
      </c>
    </row>
    <row r="74" spans="1:14" ht="10.15" customHeight="1" x14ac:dyDescent="0.2">
      <c r="A74" s="170" t="s">
        <v>76</v>
      </c>
      <c r="B74" s="109" t="str">
        <f>IF(DONNÉES!AQ207="","",DONNÉES!AQ207)</f>
        <v/>
      </c>
      <c r="C74" s="163" t="str">
        <f>IF(PMDCINE124[[#This Row],[2024]]="","",DONNÉES!AR207)</f>
        <v/>
      </c>
      <c r="D74" s="109" t="str">
        <f>IF(PMDCINE124[[#This Row],[2024]]="","",DONNÉES!AQ255)</f>
        <v/>
      </c>
      <c r="E74" s="173" t="str">
        <f>IF(PMDCINE124[[#This Row],[2024]]="","",DONNÉES!AR255)</f>
        <v/>
      </c>
      <c r="F74" s="109" t="str">
        <f>IF(PMDCINE124[[#This Row],[2024]]="","",DONNÉES!AQ223)</f>
        <v/>
      </c>
      <c r="G74" s="163" t="str">
        <f>IF(PMDCINE124[[#This Row],[2024]]="","",DONNÉES!AR223)</f>
        <v/>
      </c>
      <c r="H74" s="109" t="str">
        <f>IF(PMDCINE124[[#This Row],[2024]]="","",DONNÉES!AQ271)</f>
        <v/>
      </c>
      <c r="I74" s="109" t="str">
        <f>IF(PMDCINE124[[#This Row],[2024]]="","",DONNÉES!AR271)</f>
        <v/>
      </c>
      <c r="J74" s="79"/>
      <c r="K74" s="109" t="str">
        <f>IF(PMDCINE124[[#This Row],[2024]]="","",DONNÉES!AQ239)</f>
        <v/>
      </c>
      <c r="L74" s="163" t="str">
        <f>IF(PMDCINE124[[#This Row],[2024]]="","",DONNÉES!AR239)</f>
        <v/>
      </c>
      <c r="M74" s="109" t="str">
        <f>IF(PMDCINE124[[#This Row],[2024]]="","",DONNÉES!AQ287)</f>
        <v/>
      </c>
      <c r="N74" s="109" t="str">
        <f>IF(PMDCINE124[[#This Row],[2024]]="","",DONNÉES!AR287)</f>
        <v/>
      </c>
    </row>
    <row r="75" spans="1:14" ht="10.15" customHeight="1" x14ac:dyDescent="0.2">
      <c r="A75" s="169" t="s">
        <v>77</v>
      </c>
      <c r="B75" s="109" t="str">
        <f>IF(DONNÉES!AQ208="","",DONNÉES!AQ208)</f>
        <v/>
      </c>
      <c r="C75" s="163" t="str">
        <f>IF(PMDCINE124[[#This Row],[2024]]="","",DONNÉES!AR208)</f>
        <v/>
      </c>
      <c r="D75" s="109" t="str">
        <f>IF(PMDCINE124[[#This Row],[2024]]="","",DONNÉES!AQ256)</f>
        <v/>
      </c>
      <c r="E75" s="173" t="str">
        <f>IF(PMDCINE124[[#This Row],[2024]]="","",DONNÉES!AR256)</f>
        <v/>
      </c>
      <c r="F75" s="109" t="str">
        <f>IF(PMDCINE124[[#This Row],[2024]]="","",DONNÉES!AQ224)</f>
        <v/>
      </c>
      <c r="G75" s="163" t="str">
        <f>IF(PMDCINE124[[#This Row],[2024]]="","",DONNÉES!AR224)</f>
        <v/>
      </c>
      <c r="H75" s="109" t="str">
        <f>IF(PMDCINE124[[#This Row],[2024]]="","",DONNÉES!AQ272)</f>
        <v/>
      </c>
      <c r="I75" s="109" t="str">
        <f>IF(PMDCINE124[[#This Row],[2024]]="","",DONNÉES!AR272)</f>
        <v/>
      </c>
      <c r="J75" s="79"/>
      <c r="K75" s="109" t="str">
        <f>IF(PMDCINE124[[#This Row],[2024]]="","",DONNÉES!AQ240)</f>
        <v/>
      </c>
      <c r="L75" s="163" t="str">
        <f>IF(PMDCINE124[[#This Row],[2024]]="","",DONNÉES!AR240)</f>
        <v/>
      </c>
      <c r="M75" s="109" t="str">
        <f>IF(PMDCINE124[[#This Row],[2024]]="","",DONNÉES!AQ288)</f>
        <v/>
      </c>
      <c r="N75" s="109" t="str">
        <f>IF(PMDCINE124[[#This Row],[2024]]="","",DONNÉES!AR288)</f>
        <v/>
      </c>
    </row>
    <row r="76" spans="1:14" ht="10.15" customHeight="1" x14ac:dyDescent="0.2">
      <c r="A76" s="170" t="s">
        <v>78</v>
      </c>
      <c r="B76" s="109" t="str">
        <f>IF(DONNÉES!AQ209="","",DONNÉES!AQ209)</f>
        <v/>
      </c>
      <c r="C76" s="163" t="str">
        <f>IF(PMDCINE124[[#This Row],[2024]]="","",DONNÉES!AR209)</f>
        <v/>
      </c>
      <c r="D76" s="109" t="str">
        <f>IF(PMDCINE124[[#This Row],[2024]]="","",DONNÉES!AQ257)</f>
        <v/>
      </c>
      <c r="E76" s="173" t="str">
        <f>IF(PMDCINE124[[#This Row],[2024]]="","",DONNÉES!AR257)</f>
        <v/>
      </c>
      <c r="F76" s="109" t="str">
        <f>IF(PMDCINE124[[#This Row],[2024]]="","",DONNÉES!AQ225)</f>
        <v/>
      </c>
      <c r="G76" s="163" t="str">
        <f>IF(PMDCINE124[[#This Row],[2024]]="","",DONNÉES!AR225)</f>
        <v/>
      </c>
      <c r="H76" s="109" t="str">
        <f>IF(PMDCINE124[[#This Row],[2024]]="","",DONNÉES!AQ273)</f>
        <v/>
      </c>
      <c r="I76" s="109" t="str">
        <f>IF(PMDCINE124[[#This Row],[2024]]="","",DONNÉES!AR273)</f>
        <v/>
      </c>
      <c r="J76" s="79"/>
      <c r="K76" s="109" t="str">
        <f>IF(PMDCINE124[[#This Row],[2024]]="","",DONNÉES!AQ241)</f>
        <v/>
      </c>
      <c r="L76" s="163" t="str">
        <f>IF(PMDCINE124[[#This Row],[2024]]="","",DONNÉES!AR241)</f>
        <v/>
      </c>
      <c r="M76" s="109" t="str">
        <f>IF(PMDCINE124[[#This Row],[2024]]="","",DONNÉES!AQ289)</f>
        <v/>
      </c>
      <c r="N76" s="109" t="str">
        <f>IF(PMDCINE124[[#This Row],[2024]]="","",DONNÉES!AR289)</f>
        <v/>
      </c>
    </row>
    <row r="77" spans="1:14" ht="10.15" customHeight="1" x14ac:dyDescent="0.2">
      <c r="A77" s="169" t="s">
        <v>79</v>
      </c>
      <c r="B77" s="109" t="str">
        <f>IF(DONNÉES!AQ210="","",DONNÉES!AQ210)</f>
        <v/>
      </c>
      <c r="C77" s="163" t="str">
        <f>IF(PMDCINE124[[#This Row],[2024]]="","",DONNÉES!AR210)</f>
        <v/>
      </c>
      <c r="D77" s="109" t="str">
        <f>IF(PMDCINE124[[#This Row],[2024]]="","",DONNÉES!AQ258)</f>
        <v/>
      </c>
      <c r="E77" s="173" t="str">
        <f>IF(PMDCINE124[[#This Row],[2024]]="","",DONNÉES!AR258)</f>
        <v/>
      </c>
      <c r="F77" s="109" t="str">
        <f>IF(PMDCINE124[[#This Row],[2024]]="","",DONNÉES!AQ226)</f>
        <v/>
      </c>
      <c r="G77" s="163" t="str">
        <f>IF(PMDCINE124[[#This Row],[2024]]="","",DONNÉES!AR226)</f>
        <v/>
      </c>
      <c r="H77" s="109" t="str">
        <f>IF(PMDCINE124[[#This Row],[2024]]="","",DONNÉES!AQ274)</f>
        <v/>
      </c>
      <c r="I77" s="109" t="str">
        <f>IF(PMDCINE124[[#This Row],[2024]]="","",DONNÉES!AR274)</f>
        <v/>
      </c>
      <c r="J77" s="79"/>
      <c r="K77" s="109" t="str">
        <f>IF(PMDCINE124[[#This Row],[2024]]="","",DONNÉES!AQ242)</f>
        <v/>
      </c>
      <c r="L77" s="163" t="str">
        <f>IF(PMDCINE124[[#This Row],[2024]]="","",DONNÉES!AR242)</f>
        <v/>
      </c>
      <c r="M77" s="109" t="str">
        <f>IF(PMDCINE124[[#This Row],[2024]]="","",DONNÉES!AQ290)</f>
        <v/>
      </c>
      <c r="N77" s="109" t="str">
        <f>IF(PMDCINE124[[#This Row],[2024]]="","",DONNÉES!AR290)</f>
        <v/>
      </c>
    </row>
    <row r="78" spans="1:14" ht="10.15" customHeight="1" x14ac:dyDescent="0.2">
      <c r="A78" s="170" t="s">
        <v>80</v>
      </c>
      <c r="B78" s="109" t="str">
        <f>IF(DONNÉES!AQ211="","",DONNÉES!AQ211)</f>
        <v/>
      </c>
      <c r="C78" s="163" t="str">
        <f>IF(PMDCINE124[[#This Row],[2024]]="","",DONNÉES!AR211)</f>
        <v/>
      </c>
      <c r="D78" s="109" t="str">
        <f>IF(PMDCINE124[[#This Row],[2024]]="","",DONNÉES!AQ259)</f>
        <v/>
      </c>
      <c r="E78" s="173" t="str">
        <f>IF(PMDCINE124[[#This Row],[2024]]="","",DONNÉES!AR259)</f>
        <v/>
      </c>
      <c r="F78" s="109" t="str">
        <f>IF(PMDCINE124[[#This Row],[2024]]="","",DONNÉES!AQ227)</f>
        <v/>
      </c>
      <c r="G78" s="163" t="str">
        <f>IF(PMDCINE124[[#This Row],[2024]]="","",DONNÉES!AR227)</f>
        <v/>
      </c>
      <c r="H78" s="109" t="str">
        <f>IF(PMDCINE124[[#This Row],[2024]]="","",DONNÉES!AQ275)</f>
        <v/>
      </c>
      <c r="I78" s="109" t="str">
        <f>IF(PMDCINE124[[#This Row],[2024]]="","",DONNÉES!AR275)</f>
        <v/>
      </c>
      <c r="J78" s="79"/>
      <c r="K78" s="109" t="str">
        <f>IF(PMDCINE124[[#This Row],[2024]]="","",DONNÉES!AQ243)</f>
        <v/>
      </c>
      <c r="L78" s="163" t="str">
        <f>IF(PMDCINE124[[#This Row],[2024]]="","",DONNÉES!AR243)</f>
        <v/>
      </c>
      <c r="M78" s="109" t="str">
        <f>IF(PMDCINE124[[#This Row],[2024]]="","",DONNÉES!AQ291)</f>
        <v/>
      </c>
      <c r="N78" s="109" t="str">
        <f>IF(PMDCINE124[[#This Row],[2024]]="","",DONNÉES!AR291)</f>
        <v/>
      </c>
    </row>
    <row r="79" spans="1:14" ht="10.15" customHeight="1" x14ac:dyDescent="0.2">
      <c r="A79" s="169" t="s">
        <v>81</v>
      </c>
      <c r="B79" s="110" t="str">
        <f>IF(DONNÉES!AQ212="","",DONNÉES!AQ212)</f>
        <v/>
      </c>
      <c r="C79" s="165" t="str">
        <f>IF(PMDCINE124[[#This Row],[2024]]="","",DONNÉES!AR212)</f>
        <v/>
      </c>
      <c r="D79" s="110" t="str">
        <f>IF(PMDCINE124[[#This Row],[2024]]="","",DONNÉES!AQ260)</f>
        <v/>
      </c>
      <c r="E79" s="174" t="str">
        <f>IF(PMDCINE124[[#This Row],[2024]]="","",DONNÉES!AR260)</f>
        <v/>
      </c>
      <c r="F79" s="110" t="str">
        <f>IF(PMDCINE124[[#This Row],[2024]]="","",DONNÉES!AQ228)</f>
        <v/>
      </c>
      <c r="G79" s="165" t="str">
        <f>IF(PMDCINE124[[#This Row],[2024]]="","",DONNÉES!AR228)</f>
        <v/>
      </c>
      <c r="H79" s="110" t="str">
        <f>IF(PMDCINE124[[#This Row],[2024]]="","",DONNÉES!AQ276)</f>
        <v/>
      </c>
      <c r="I79" s="110" t="str">
        <f>IF(PMDCINE124[[#This Row],[2024]]="","",DONNÉES!AR276)</f>
        <v/>
      </c>
      <c r="J79" s="82"/>
      <c r="K79" s="110" t="str">
        <f>IF(PMDCINE124[[#This Row],[2024]]="","",DONNÉES!AQ244)</f>
        <v/>
      </c>
      <c r="L79" s="165" t="str">
        <f>IF(PMDCINE124[[#This Row],[2024]]="","",DONNÉES!AR244)</f>
        <v/>
      </c>
      <c r="M79" s="110" t="str">
        <f>IF(PMDCINE124[[#This Row],[2024]]="","",DONNÉES!AQ292)</f>
        <v/>
      </c>
      <c r="N79" s="110" t="str">
        <f>IF(PMDCINE124[[#This Row],[2024]]="","",DONNÉES!AR292)</f>
        <v/>
      </c>
    </row>
    <row r="80" spans="1:14" ht="10.15" customHeight="1" x14ac:dyDescent="0.2">
      <c r="A80" s="170" t="s">
        <v>82</v>
      </c>
      <c r="B80" s="110" t="str">
        <f>IF(DONNÉES!AQ213="","",DONNÉES!AQ213)</f>
        <v/>
      </c>
      <c r="C80" s="165" t="str">
        <f>IF(PMDCINE124[[#This Row],[2024]]="","",DONNÉES!AR213)</f>
        <v/>
      </c>
      <c r="D80" s="110" t="str">
        <f>IF(PMDCINE124[[#This Row],[2024]]="","",DONNÉES!AQ261)</f>
        <v/>
      </c>
      <c r="E80" s="174" t="str">
        <f>IF(PMDCINE124[[#This Row],[2024]]="","",DONNÉES!AR261)</f>
        <v/>
      </c>
      <c r="F80" s="110" t="str">
        <f>IF(PMDCINE124[[#This Row],[2024]]="","",DONNÉES!AQ229)</f>
        <v/>
      </c>
      <c r="G80" s="165" t="str">
        <f>IF(PMDCINE124[[#This Row],[2024]]="","",DONNÉES!AR229)</f>
        <v/>
      </c>
      <c r="H80" s="110" t="str">
        <f>IF(PMDCINE124[[#This Row],[2024]]="","",DONNÉES!AQ277)</f>
        <v/>
      </c>
      <c r="I80" s="110" t="str">
        <f>IF(PMDCINE124[[#This Row],[2024]]="","",DONNÉES!AR277)</f>
        <v/>
      </c>
      <c r="J80" s="79"/>
      <c r="K80" s="110" t="str">
        <f>IF(PMDCINE124[[#This Row],[2024]]="","",DONNÉES!AQ245)</f>
        <v/>
      </c>
      <c r="L80" s="165" t="str">
        <f>IF(PMDCINE124[[#This Row],[2024]]="","",DONNÉES!AR245)</f>
        <v/>
      </c>
      <c r="M80" s="110" t="str">
        <f>IF(PMDCINE124[[#This Row],[2024]]="","",DONNÉES!AQ293)</f>
        <v/>
      </c>
      <c r="N80" s="110" t="str">
        <f>IF(PMDCINE124[[#This Row],[2024]]="","",DONNÉES!AR293)</f>
        <v/>
      </c>
    </row>
    <row r="81" spans="1:14" s="81" customFormat="1" ht="10.15" customHeight="1" x14ac:dyDescent="0.2">
      <c r="A81" s="169" t="s">
        <v>83</v>
      </c>
      <c r="B81" s="110" t="str">
        <f>IF(DONNÉES!AQ214="","",DONNÉES!AQ214)</f>
        <v/>
      </c>
      <c r="C81" s="165" t="str">
        <f>IF(PMDCINE124[[#This Row],[2024]]="","",DONNÉES!AR214)</f>
        <v/>
      </c>
      <c r="D81" s="110" t="str">
        <f>IF(PMDCINE124[[#This Row],[2024]]="","",DONNÉES!AQ262)</f>
        <v/>
      </c>
      <c r="E81" s="174" t="str">
        <f>IF(PMDCINE124[[#This Row],[2024]]="","",DONNÉES!AR262)</f>
        <v/>
      </c>
      <c r="F81" s="110" t="str">
        <f>IF(PMDCINE124[[#This Row],[2024]]="","",DONNÉES!AQ230)</f>
        <v/>
      </c>
      <c r="G81" s="165" t="str">
        <f>IF(PMDCINE124[[#This Row],[2024]]="","",DONNÉES!AR230)</f>
        <v/>
      </c>
      <c r="H81" s="110" t="str">
        <f>IF(PMDCINE124[[#This Row],[2024]]="","",DONNÉES!AQ278)</f>
        <v/>
      </c>
      <c r="I81" s="110" t="str">
        <f>IF(PMDCINE124[[#This Row],[2024]]="","",DONNÉES!AR278)</f>
        <v/>
      </c>
      <c r="K81" s="110" t="str">
        <f>IF(PMDCINE124[[#This Row],[2024]]="","",DONNÉES!AQ246)</f>
        <v/>
      </c>
      <c r="L81" s="165" t="str">
        <f>IF(PMDCINE124[[#This Row],[2024]]="","",DONNÉES!AR246)</f>
        <v/>
      </c>
      <c r="M81" s="110" t="str">
        <f>IF(PMDCINE124[[#This Row],[2024]]="","",DONNÉES!AQ294)</f>
        <v/>
      </c>
      <c r="N81" s="110" t="str">
        <f>IF(PMDCINE124[[#This Row],[2024]]="","",DONNÉES!AR294)</f>
        <v/>
      </c>
    </row>
    <row r="82" spans="1:14" s="81" customFormat="1" ht="10.15" customHeight="1" x14ac:dyDescent="0.2">
      <c r="A82" s="169" t="s">
        <v>84</v>
      </c>
      <c r="B82" s="110" t="str">
        <f>IF(DONNÉES!AQ215="","",DONNÉES!AQ215)</f>
        <v/>
      </c>
      <c r="C82" s="165" t="str">
        <f>IF(PMDCINE124[[#This Row],[2024]]="","",DONNÉES!AR215)</f>
        <v/>
      </c>
      <c r="D82" s="110" t="str">
        <f>IF(PMDCINE124[[#This Row],[2024]]="","",DONNÉES!AQ263)</f>
        <v/>
      </c>
      <c r="E82" s="174" t="str">
        <f>IF(PMDCINE124[[#This Row],[2024]]="","",DONNÉES!AR263)</f>
        <v/>
      </c>
      <c r="F82" s="110" t="str">
        <f>IF(PMDCINE124[[#This Row],[2024]]="","",DONNÉES!AQ231)</f>
        <v/>
      </c>
      <c r="G82" s="165" t="str">
        <f>IF(PMDCINE124[[#This Row],[2024]]="","",DONNÉES!AR231)</f>
        <v/>
      </c>
      <c r="H82" s="110" t="str">
        <f>IF(PMDCINE124[[#This Row],[2024]]="","",DONNÉES!AQ279)</f>
        <v/>
      </c>
      <c r="I82" s="110" t="str">
        <f>IF(PMDCINE124[[#This Row],[2024]]="","",DONNÉES!AR279)</f>
        <v/>
      </c>
      <c r="K82" s="110" t="str">
        <f>IF(PMDCINE124[[#This Row],[2024]]="","",DONNÉES!AQ247)</f>
        <v/>
      </c>
      <c r="L82" s="165" t="str">
        <f>IF(PMDCINE124[[#This Row],[2024]]="","",DONNÉES!AR247)</f>
        <v/>
      </c>
      <c r="M82" s="110" t="str">
        <f>IF(PMDCINE124[[#This Row],[2024]]="","",DONNÉES!AQ295)</f>
        <v/>
      </c>
      <c r="N82" s="110" t="str">
        <f>IF(PMDCINE124[[#This Row],[2024]]="","",DONNÉES!AR295)</f>
        <v/>
      </c>
    </row>
    <row r="83" spans="1:14" s="81" customFormat="1" ht="11.65" customHeight="1" x14ac:dyDescent="0.2">
      <c r="A83" s="171" t="s">
        <v>134</v>
      </c>
      <c r="B83" s="111">
        <f>SUBTOTAL(101,PMDCINE124[2024])</f>
        <v>16.440000000000001</v>
      </c>
      <c r="C83" s="167">
        <f>SUBTOTAL(101,PMDCINE124[2023])</f>
        <v>16.11</v>
      </c>
      <c r="D83" s="167">
        <f>SUBTOTAL(101,PMDCINE124[2024 cumul])</f>
        <v>16.440000000000001</v>
      </c>
      <c r="E83" s="175">
        <f>SUBTOTAL(101,PMDCINE124[2023 cumul])</f>
        <v>16.11</v>
      </c>
      <c r="F83" s="117">
        <f>SUBTOTAL(101,PMDCINE124[[2024  ]])</f>
        <v>20.2</v>
      </c>
      <c r="G83" s="164">
        <f>SUBTOTAL(101,PMDCINE124[[2023  ]])</f>
        <v>19.03</v>
      </c>
      <c r="H83" s="111">
        <f>SUBTOTAL(101,PMDCINE124[[2024 cumul ]])</f>
        <v>20.2</v>
      </c>
      <c r="I83" s="111">
        <f>SUBTOTAL(101,PMDCINE124[[2023 cumul ]])</f>
        <v>19.03</v>
      </c>
      <c r="K83" s="111">
        <f>SUBTOTAL(101,PMDTURVILLA[[2024  ]])</f>
        <v>17.190000000000001</v>
      </c>
      <c r="L83" s="167">
        <f>SUBTOTAL(101,PMDTURVILLA[[2023  ]])</f>
        <v>16.809999999999999</v>
      </c>
      <c r="M83" s="111">
        <f>SUBTOTAL(101,PMDTURVILLA[[2024 cumul ]])</f>
        <v>17.190000000000001</v>
      </c>
      <c r="N83" s="111">
        <f>SUBTOTAL(101,PMDTURVILLA[[2023 cumul ]])</f>
        <v>16.809999999999999</v>
      </c>
    </row>
    <row r="84" spans="1:14" ht="12" customHeight="1" x14ac:dyDescent="0.2">
      <c r="H84" s="79"/>
    </row>
    <row r="85" spans="1:14" ht="15" customHeight="1" x14ac:dyDescent="0.2">
      <c r="A85" s="254"/>
      <c r="B85" s="334" t="s">
        <v>195</v>
      </c>
      <c r="C85" s="334"/>
      <c r="D85" s="334"/>
      <c r="E85" s="335"/>
      <c r="F85" s="334" t="s">
        <v>196</v>
      </c>
      <c r="G85" s="334"/>
      <c r="H85" s="334"/>
      <c r="I85" s="334"/>
      <c r="J85" s="107"/>
      <c r="K85" s="334" t="s">
        <v>197</v>
      </c>
      <c r="L85" s="334"/>
      <c r="M85" s="334"/>
      <c r="N85" s="334"/>
    </row>
    <row r="86" spans="1:14" ht="30" customHeight="1" x14ac:dyDescent="0.2">
      <c r="A86" s="169" t="s">
        <v>3000</v>
      </c>
      <c r="B86" s="108" t="s">
        <v>6962</v>
      </c>
      <c r="C86" s="166" t="s">
        <v>2169</v>
      </c>
      <c r="D86" s="108" t="s">
        <v>6986</v>
      </c>
      <c r="E86" s="172" t="s">
        <v>6944</v>
      </c>
      <c r="F86" s="108" t="s">
        <v>6987</v>
      </c>
      <c r="G86" s="166" t="s">
        <v>6945</v>
      </c>
      <c r="H86" s="108" t="s">
        <v>6988</v>
      </c>
      <c r="I86" s="124" t="s">
        <v>6946</v>
      </c>
      <c r="J86" s="79"/>
      <c r="K86" s="108" t="s">
        <v>6987</v>
      </c>
      <c r="L86" s="166" t="s">
        <v>6945</v>
      </c>
      <c r="M86" s="108" t="s">
        <v>6988</v>
      </c>
      <c r="N86" s="172" t="s">
        <v>6946</v>
      </c>
    </row>
    <row r="87" spans="1:14" s="81" customFormat="1" ht="10.15" customHeight="1" x14ac:dyDescent="0.2">
      <c r="A87" s="170" t="s">
        <v>73</v>
      </c>
      <c r="B87" s="109" t="str">
        <f>IF(DONNÉES!AY204="","",DONNÉES!AY204)</f>
        <v/>
      </c>
      <c r="C87" s="163" t="str">
        <f>IF(PMDLN131[[#This Row],[2024]]="","",DONNÉES!AZ204)</f>
        <v/>
      </c>
      <c r="D87" s="109" t="str">
        <f>IF(PMDLN131[[#This Row],[2024]]="","",DONNÉES!AY252)</f>
        <v/>
      </c>
      <c r="E87" s="173" t="str">
        <f>IF(PMDLN131[[#This Row],[2024]]="","",DONNÉES!AZ252)</f>
        <v/>
      </c>
      <c r="F87" s="109" t="str">
        <f>IF(PMDLN131[[#This Row],[2024]]="","",DONNÉES!AY220)</f>
        <v/>
      </c>
      <c r="G87" s="163" t="str">
        <f>IF(PMDLN131[[#This Row],[2024]]="","",DONNÉES!AZ220)</f>
        <v/>
      </c>
      <c r="H87" s="109" t="str">
        <f>IF(PMDLN131[[#This Row],[2024]]="","",DONNÉES!AY268)</f>
        <v/>
      </c>
      <c r="I87" s="109" t="str">
        <f>IF(PMDLN131[[#This Row],[2024]]="","",DONNÉES!AZ268)</f>
        <v/>
      </c>
      <c r="K87" s="109" t="str">
        <f>IF(PMDLN131[[#This Row],[2024]]="","",DONNÉES!AY236)</f>
        <v/>
      </c>
      <c r="L87" s="163" t="str">
        <f>IF(PMDLN131[[#This Row],[2024]]="","",DONNÉES!AZ236)</f>
        <v/>
      </c>
      <c r="M87" s="163" t="str">
        <f>IF(PMDLN131[[#This Row],[2024]]="","",DONNÉES!AY284)</f>
        <v/>
      </c>
      <c r="N87" s="109" t="str">
        <f>IF(PMDLN131[[#This Row],[2024]]="","",DONNÉES!AZ284)</f>
        <v/>
      </c>
    </row>
    <row r="88" spans="1:14" s="81" customFormat="1" ht="10.15" customHeight="1" x14ac:dyDescent="0.2">
      <c r="A88" s="170" t="s">
        <v>74</v>
      </c>
      <c r="B88" s="109" t="str">
        <f>IF(DONNÉES!AY205="","",DONNÉES!AY205)</f>
        <v/>
      </c>
      <c r="C88" s="163" t="str">
        <f>IF(PMDLN131[[#This Row],[2024]]="","",DONNÉES!AZ205)</f>
        <v/>
      </c>
      <c r="D88" s="109" t="str">
        <f>IF(PMDLN131[[#This Row],[2024]]="","",DONNÉES!AY253)</f>
        <v/>
      </c>
      <c r="E88" s="173" t="str">
        <f>IF(PMDLN131[[#This Row],[2024]]="","",DONNÉES!AZ253)</f>
        <v/>
      </c>
      <c r="F88" s="109" t="str">
        <f>IF(PMDLN131[[#This Row],[2024]]="","",DONNÉES!AY221)</f>
        <v/>
      </c>
      <c r="G88" s="163" t="str">
        <f>IF(PMDLN131[[#This Row],[2024]]="","",DONNÉES!AZ221)</f>
        <v/>
      </c>
      <c r="H88" s="109" t="str">
        <f>IF(PMDLN131[[#This Row],[2024]]="","",DONNÉES!AY269)</f>
        <v/>
      </c>
      <c r="I88" s="109" t="str">
        <f>IF(PMDLN131[[#This Row],[2024]]="","",DONNÉES!AZ269)</f>
        <v/>
      </c>
      <c r="K88" s="109" t="str">
        <f>IF(PMDLN131[[#This Row],[2024]]="","",DONNÉES!AY237)</f>
        <v/>
      </c>
      <c r="L88" s="163" t="str">
        <f>IF(PMDLN131[[#This Row],[2024]]="","",DONNÉES!AZ237)</f>
        <v/>
      </c>
      <c r="M88" s="163" t="str">
        <f>IF(PMDLN131[[#This Row],[2024]]="","",DONNÉES!AY285)</f>
        <v/>
      </c>
      <c r="N88" s="109" t="str">
        <f>IF(PMDLN131[[#This Row],[2024]]="","",DONNÉES!AZ285)</f>
        <v/>
      </c>
    </row>
    <row r="89" spans="1:14" s="81" customFormat="1" ht="10.15" customHeight="1" x14ac:dyDescent="0.2">
      <c r="A89" s="169" t="s">
        <v>75</v>
      </c>
      <c r="B89" s="109" t="str">
        <f>IF(DONNÉES!AY206="","",DONNÉES!AY206)</f>
        <v/>
      </c>
      <c r="C89" s="163" t="str">
        <f>IF(PMDLN131[[#This Row],[2024]]="","",DONNÉES!AZ206)</f>
        <v/>
      </c>
      <c r="D89" s="109" t="str">
        <f>IF(PMDLN131[[#This Row],[2024]]="","",DONNÉES!AY254)</f>
        <v/>
      </c>
      <c r="E89" s="173" t="str">
        <f>IF(PMDLN131[[#This Row],[2024]]="","",DONNÉES!AZ254)</f>
        <v/>
      </c>
      <c r="F89" s="109" t="str">
        <f>IF(PMDLN131[[#This Row],[2024]]="","",DONNÉES!AY222)</f>
        <v/>
      </c>
      <c r="G89" s="163" t="str">
        <f>IF(PMDLN131[[#This Row],[2024]]="","",DONNÉES!AZ222)</f>
        <v/>
      </c>
      <c r="H89" s="109" t="str">
        <f>IF(PMDLN131[[#This Row],[2024]]="","",DONNÉES!AY270)</f>
        <v/>
      </c>
      <c r="I89" s="109" t="str">
        <f>IF(PMDLN131[[#This Row],[2024]]="","",DONNÉES!AZ270)</f>
        <v/>
      </c>
      <c r="K89" s="109" t="str">
        <f>IF(PMDLN131[[#This Row],[2024]]="","",DONNÉES!AY238)</f>
        <v/>
      </c>
      <c r="L89" s="163" t="str">
        <f>IF(PMDLN131[[#This Row],[2024]]="","",DONNÉES!AZ238)</f>
        <v/>
      </c>
      <c r="M89" s="163" t="str">
        <f>IF(PMDLN131[[#This Row],[2024]]="","",DONNÉES!AY286)</f>
        <v/>
      </c>
      <c r="N89" s="109" t="str">
        <f>IF(PMDLN131[[#This Row],[2024]]="","",DONNÉES!AZ286)</f>
        <v/>
      </c>
    </row>
    <row r="90" spans="1:14" ht="10.15" customHeight="1" x14ac:dyDescent="0.2">
      <c r="A90" s="170" t="s">
        <v>76</v>
      </c>
      <c r="B90" s="109" t="str">
        <f>IF(DONNÉES!AY207="","",DONNÉES!AY207)</f>
        <v/>
      </c>
      <c r="C90" s="163" t="str">
        <f>IF(PMDLN131[[#This Row],[2024]]="","",DONNÉES!AZ207)</f>
        <v/>
      </c>
      <c r="D90" s="109" t="str">
        <f>IF(PMDLN131[[#This Row],[2024]]="","",DONNÉES!AY255)</f>
        <v/>
      </c>
      <c r="E90" s="173" t="str">
        <f>IF(PMDLN131[[#This Row],[2024]]="","",DONNÉES!AZ255)</f>
        <v/>
      </c>
      <c r="F90" s="109" t="str">
        <f>IF(PMDLN131[[#This Row],[2024]]="","",DONNÉES!AY223)</f>
        <v/>
      </c>
      <c r="G90" s="163" t="str">
        <f>IF(PMDLN131[[#This Row],[2024]]="","",DONNÉES!AZ223)</f>
        <v/>
      </c>
      <c r="H90" s="109" t="str">
        <f>IF(PMDLN131[[#This Row],[2024]]="","",DONNÉES!AY271)</f>
        <v/>
      </c>
      <c r="I90" s="109" t="str">
        <f>IF(PMDLN131[[#This Row],[2024]]="","",DONNÉES!AZ271)</f>
        <v/>
      </c>
      <c r="J90" s="79"/>
      <c r="K90" s="109" t="str">
        <f>IF(PMDLN131[[#This Row],[2024]]="","",DONNÉES!AY239)</f>
        <v/>
      </c>
      <c r="L90" s="163" t="str">
        <f>IF(PMDLN131[[#This Row],[2024]]="","",DONNÉES!AZ239)</f>
        <v/>
      </c>
      <c r="M90" s="163" t="str">
        <f>IF(PMDLN131[[#This Row],[2024]]="","",DONNÉES!AY287)</f>
        <v/>
      </c>
      <c r="N90" s="109" t="str">
        <f>IF(PMDLN131[[#This Row],[2024]]="","",DONNÉES!AZ287)</f>
        <v/>
      </c>
    </row>
    <row r="91" spans="1:14" ht="10.15" customHeight="1" x14ac:dyDescent="0.2">
      <c r="A91" s="169" t="s">
        <v>77</v>
      </c>
      <c r="B91" s="109" t="str">
        <f>IF(DONNÉES!AY208="","",DONNÉES!AY208)</f>
        <v/>
      </c>
      <c r="C91" s="163" t="str">
        <f>IF(PMDLN131[[#This Row],[2024]]="","",DONNÉES!AZ208)</f>
        <v/>
      </c>
      <c r="D91" s="109" t="str">
        <f>IF(PMDLN131[[#This Row],[2024]]="","",DONNÉES!AY256)</f>
        <v/>
      </c>
      <c r="E91" s="173" t="str">
        <f>IF(PMDLN131[[#This Row],[2024]]="","",DONNÉES!AZ256)</f>
        <v/>
      </c>
      <c r="F91" s="109" t="str">
        <f>IF(PMDLN131[[#This Row],[2024]]="","",DONNÉES!AY224)</f>
        <v/>
      </c>
      <c r="G91" s="163" t="str">
        <f>IF(PMDLN131[[#This Row],[2024]]="","",DONNÉES!AZ224)</f>
        <v/>
      </c>
      <c r="H91" s="109" t="str">
        <f>IF(PMDLN131[[#This Row],[2024]]="","",DONNÉES!AY272)</f>
        <v/>
      </c>
      <c r="I91" s="109" t="str">
        <f>IF(PMDLN131[[#This Row],[2024]]="","",DONNÉES!AZ272)</f>
        <v/>
      </c>
      <c r="J91" s="79"/>
      <c r="K91" s="109" t="str">
        <f>IF(PMDLN131[[#This Row],[2024]]="","",DONNÉES!AY240)</f>
        <v/>
      </c>
      <c r="L91" s="163" t="str">
        <f>IF(PMDLN131[[#This Row],[2024]]="","",DONNÉES!AZ240)</f>
        <v/>
      </c>
      <c r="M91" s="163" t="str">
        <f>IF(PMDLN131[[#This Row],[2024]]="","",DONNÉES!AY288)</f>
        <v/>
      </c>
      <c r="N91" s="109" t="str">
        <f>IF(PMDLN131[[#This Row],[2024]]="","",DONNÉES!AZ288)</f>
        <v/>
      </c>
    </row>
    <row r="92" spans="1:14" ht="10.15" customHeight="1" x14ac:dyDescent="0.2">
      <c r="A92" s="170" t="s">
        <v>78</v>
      </c>
      <c r="B92" s="109" t="str">
        <f>IF(DONNÉES!AY209="","",DONNÉES!AY209)</f>
        <v/>
      </c>
      <c r="C92" s="163" t="str">
        <f>IF(PMDLN131[[#This Row],[2024]]="","",DONNÉES!AZ209)</f>
        <v/>
      </c>
      <c r="D92" s="109" t="str">
        <f>IF(PMDLN131[[#This Row],[2024]]="","",DONNÉES!AY257)</f>
        <v/>
      </c>
      <c r="E92" s="173" t="str">
        <f>IF(PMDLN131[[#This Row],[2024]]="","",DONNÉES!AZ257)</f>
        <v/>
      </c>
      <c r="F92" s="109" t="str">
        <f>IF(PMDLN131[[#This Row],[2024]]="","",DONNÉES!AY225)</f>
        <v/>
      </c>
      <c r="G92" s="163" t="str">
        <f>IF(PMDLN131[[#This Row],[2024]]="","",DONNÉES!AZ225)</f>
        <v/>
      </c>
      <c r="H92" s="109" t="str">
        <f>IF(PMDLN131[[#This Row],[2024]]="","",DONNÉES!AY273)</f>
        <v/>
      </c>
      <c r="I92" s="109" t="str">
        <f>IF(PMDLN131[[#This Row],[2024]]="","",DONNÉES!AZ273)</f>
        <v/>
      </c>
      <c r="J92" s="79"/>
      <c r="K92" s="109" t="str">
        <f>IF(PMDLN131[[#This Row],[2024]]="","",DONNÉES!AY241)</f>
        <v/>
      </c>
      <c r="L92" s="163" t="str">
        <f>IF(PMDLN131[[#This Row],[2024]]="","",DONNÉES!AZ241)</f>
        <v/>
      </c>
      <c r="M92" s="163" t="str">
        <f>IF(PMDLN131[[#This Row],[2024]]="","",DONNÉES!AY289)</f>
        <v/>
      </c>
      <c r="N92" s="109" t="str">
        <f>IF(PMDLN131[[#This Row],[2024]]="","",DONNÉES!AZ289)</f>
        <v/>
      </c>
    </row>
    <row r="93" spans="1:14" ht="10.15" customHeight="1" x14ac:dyDescent="0.2">
      <c r="A93" s="169" t="s">
        <v>79</v>
      </c>
      <c r="B93" s="109" t="str">
        <f>IF(DONNÉES!AY210="","",DONNÉES!AY210)</f>
        <v/>
      </c>
      <c r="C93" s="163" t="str">
        <f>IF(PMDLN131[[#This Row],[2024]]="","",DONNÉES!AZ210)</f>
        <v/>
      </c>
      <c r="D93" s="109" t="str">
        <f>IF(PMDLN131[[#This Row],[2024]]="","",DONNÉES!AY258)</f>
        <v/>
      </c>
      <c r="E93" s="173" t="str">
        <f>IF(PMDLN131[[#This Row],[2024]]="","",DONNÉES!AZ258)</f>
        <v/>
      </c>
      <c r="F93" s="109" t="str">
        <f>IF(PMDLN131[[#This Row],[2024]]="","",DONNÉES!AY226)</f>
        <v/>
      </c>
      <c r="G93" s="163" t="str">
        <f>IF(PMDLN131[[#This Row],[2024]]="","",DONNÉES!AZ226)</f>
        <v/>
      </c>
      <c r="H93" s="109" t="str">
        <f>IF(PMDLN131[[#This Row],[2024]]="","",DONNÉES!AY274)</f>
        <v/>
      </c>
      <c r="I93" s="109" t="str">
        <f>IF(PMDLN131[[#This Row],[2024]]="","",DONNÉES!AZ274)</f>
        <v/>
      </c>
      <c r="J93" s="79"/>
      <c r="K93" s="109" t="str">
        <f>IF(PMDLN131[[#This Row],[2024]]="","",DONNÉES!AY242)</f>
        <v/>
      </c>
      <c r="L93" s="163" t="str">
        <f>IF(PMDLN131[[#This Row],[2024]]="","",DONNÉES!AZ242)</f>
        <v/>
      </c>
      <c r="M93" s="163" t="str">
        <f>IF(PMDLN131[[#This Row],[2024]]="","",DONNÉES!AY290)</f>
        <v/>
      </c>
      <c r="N93" s="109" t="str">
        <f>IF(PMDLN131[[#This Row],[2024]]="","",DONNÉES!AZ290)</f>
        <v/>
      </c>
    </row>
    <row r="94" spans="1:14" ht="10.15" customHeight="1" x14ac:dyDescent="0.2">
      <c r="A94" s="170" t="s">
        <v>80</v>
      </c>
      <c r="B94" s="109" t="str">
        <f>IF(DONNÉES!AY211="","",DONNÉES!AY211)</f>
        <v/>
      </c>
      <c r="C94" s="163" t="str">
        <f>IF(PMDLN131[[#This Row],[2024]]="","",DONNÉES!AZ211)</f>
        <v/>
      </c>
      <c r="D94" s="109" t="str">
        <f>IF(PMDLN131[[#This Row],[2024]]="","",DONNÉES!AY259)</f>
        <v/>
      </c>
      <c r="E94" s="173" t="str">
        <f>IF(PMDLN131[[#This Row],[2024]]="","",DONNÉES!AZ259)</f>
        <v/>
      </c>
      <c r="F94" s="109" t="str">
        <f>IF(PMDLN131[[#This Row],[2024]]="","",DONNÉES!AY227)</f>
        <v/>
      </c>
      <c r="G94" s="163" t="str">
        <f>IF(PMDLN131[[#This Row],[2024]]="","",DONNÉES!AZ227)</f>
        <v/>
      </c>
      <c r="H94" s="109" t="str">
        <f>IF(PMDLN131[[#This Row],[2024]]="","",DONNÉES!AY275)</f>
        <v/>
      </c>
      <c r="I94" s="109" t="str">
        <f>IF(PMDLN131[[#This Row],[2024]]="","",DONNÉES!AZ275)</f>
        <v/>
      </c>
      <c r="J94" s="79"/>
      <c r="K94" s="109" t="str">
        <f>IF(PMDLN131[[#This Row],[2024]]="","",DONNÉES!AY243)</f>
        <v/>
      </c>
      <c r="L94" s="163" t="str">
        <f>IF(PMDLN131[[#This Row],[2024]]="","",DONNÉES!AZ243)</f>
        <v/>
      </c>
      <c r="M94" s="163" t="str">
        <f>IF(PMDLN131[[#This Row],[2024]]="","",DONNÉES!AY291)</f>
        <v/>
      </c>
      <c r="N94" s="109" t="str">
        <f>IF(PMDLN131[[#This Row],[2024]]="","",DONNÉES!AZ291)</f>
        <v/>
      </c>
    </row>
    <row r="95" spans="1:14" ht="10.15" customHeight="1" x14ac:dyDescent="0.2">
      <c r="A95" s="169" t="s">
        <v>81</v>
      </c>
      <c r="B95" s="110" t="str">
        <f>IF(DONNÉES!AY212="","",DONNÉES!AY212)</f>
        <v/>
      </c>
      <c r="C95" s="165" t="str">
        <f>IF(PMDLN131[[#This Row],[2024]]="","",DONNÉES!AZ212)</f>
        <v/>
      </c>
      <c r="D95" s="110" t="str">
        <f>IF(PMDLN131[[#This Row],[2024]]="","",DONNÉES!AY260)</f>
        <v/>
      </c>
      <c r="E95" s="174" t="str">
        <f>IF(PMDLN131[[#This Row],[2024]]="","",DONNÉES!AZ260)</f>
        <v/>
      </c>
      <c r="F95" s="110" t="str">
        <f>IF(PMDLN131[[#This Row],[2024]]="","",DONNÉES!AY228)</f>
        <v/>
      </c>
      <c r="G95" s="165" t="str">
        <f>IF(PMDLN131[[#This Row],[2024]]="","",DONNÉES!AZ228)</f>
        <v/>
      </c>
      <c r="H95" s="110" t="str">
        <f>IF(PMDLN131[[#This Row],[2024]]="","",DONNÉES!AY276)</f>
        <v/>
      </c>
      <c r="I95" s="110" t="str">
        <f>IF(PMDLN131[[#This Row],[2024]]="","",DONNÉES!AZ276)</f>
        <v/>
      </c>
      <c r="J95" s="82"/>
      <c r="K95" s="110" t="str">
        <f>IF(PMDLN131[[#This Row],[2024]]="","",DONNÉES!AY244)</f>
        <v/>
      </c>
      <c r="L95" s="165" t="str">
        <f>IF(PMDLN131[[#This Row],[2024]]="","",DONNÉES!AZ244)</f>
        <v/>
      </c>
      <c r="M95" s="165" t="str">
        <f>IF(PMDLN131[[#This Row],[2024]]="","",DONNÉES!AY292)</f>
        <v/>
      </c>
      <c r="N95" s="110" t="str">
        <f>IF(PMDLN131[[#This Row],[2024]]="","",DONNÉES!AZ292)</f>
        <v/>
      </c>
    </row>
    <row r="96" spans="1:14" ht="10.15" customHeight="1" x14ac:dyDescent="0.2">
      <c r="A96" s="170" t="s">
        <v>82</v>
      </c>
      <c r="B96" s="110" t="str">
        <f>IF(DONNÉES!AY213="","",DONNÉES!AY213)</f>
        <v/>
      </c>
      <c r="C96" s="165" t="str">
        <f>IF(PMDLN131[[#This Row],[2024]]="","",DONNÉES!AZ213)</f>
        <v/>
      </c>
      <c r="D96" s="110" t="str">
        <f>IF(PMDLN131[[#This Row],[2024]]="","",DONNÉES!AY261)</f>
        <v/>
      </c>
      <c r="E96" s="174" t="str">
        <f>IF(PMDLN131[[#This Row],[2024]]="","",DONNÉES!AZ261)</f>
        <v/>
      </c>
      <c r="F96" s="110" t="str">
        <f>IF(PMDLN131[[#This Row],[2024]]="","",DONNÉES!AY229)</f>
        <v/>
      </c>
      <c r="G96" s="165" t="str">
        <f>IF(PMDLN131[[#This Row],[2024]]="","",DONNÉES!AZ229)</f>
        <v/>
      </c>
      <c r="H96" s="110" t="str">
        <f>IF(PMDLN131[[#This Row],[2024]]="","",DONNÉES!AY277)</f>
        <v/>
      </c>
      <c r="I96" s="110" t="str">
        <f>IF(PMDLN131[[#This Row],[2024]]="","",DONNÉES!AZ277)</f>
        <v/>
      </c>
      <c r="J96" s="79"/>
      <c r="K96" s="110" t="str">
        <f>IF(PMDLN131[[#This Row],[2024]]="","",DONNÉES!AY245)</f>
        <v/>
      </c>
      <c r="L96" s="165" t="str">
        <f>IF(PMDLN131[[#This Row],[2024]]="","",DONNÉES!AZ245)</f>
        <v/>
      </c>
      <c r="M96" s="165" t="str">
        <f>IF(PMDLN131[[#This Row],[2024]]="","",DONNÉES!AY293)</f>
        <v/>
      </c>
      <c r="N96" s="110" t="str">
        <f>IF(PMDLN131[[#This Row],[2024]]="","",DONNÉES!AZ293)</f>
        <v/>
      </c>
    </row>
    <row r="97" spans="1:14" s="81" customFormat="1" ht="10.15" customHeight="1" x14ac:dyDescent="0.2">
      <c r="A97" s="169" t="s">
        <v>83</v>
      </c>
      <c r="B97" s="110" t="str">
        <f>IF(DONNÉES!AY214="","",DONNÉES!AY214)</f>
        <v/>
      </c>
      <c r="C97" s="165" t="str">
        <f>IF(PMDLN131[[#This Row],[2024]]="","",DONNÉES!AZ214)</f>
        <v/>
      </c>
      <c r="D97" s="110" t="str">
        <f>IF(PMDLN131[[#This Row],[2024]]="","",DONNÉES!AY262)</f>
        <v/>
      </c>
      <c r="E97" s="174" t="str">
        <f>IF(PMDLN131[[#This Row],[2024]]="","",DONNÉES!AZ262)</f>
        <v/>
      </c>
      <c r="F97" s="110" t="str">
        <f>IF(PMDLN131[[#This Row],[2024]]="","",DONNÉES!AY230)</f>
        <v/>
      </c>
      <c r="G97" s="165" t="str">
        <f>IF(PMDLN131[[#This Row],[2024]]="","",DONNÉES!AZ230)</f>
        <v/>
      </c>
      <c r="H97" s="110" t="str">
        <f>IF(PMDLN131[[#This Row],[2024]]="","",DONNÉES!AY278)</f>
        <v/>
      </c>
      <c r="I97" s="110" t="str">
        <f>IF(PMDLN131[[#This Row],[2024]]="","",DONNÉES!AZ278)</f>
        <v/>
      </c>
      <c r="K97" s="110" t="str">
        <f>IF(PMDLN131[[#This Row],[2024]]="","",DONNÉES!AY246)</f>
        <v/>
      </c>
      <c r="L97" s="165" t="str">
        <f>IF(PMDLN131[[#This Row],[2024]]="","",DONNÉES!AZ246)</f>
        <v/>
      </c>
      <c r="M97" s="165" t="str">
        <f>IF(PMDLN131[[#This Row],[2024]]="","",DONNÉES!AY294)</f>
        <v/>
      </c>
      <c r="N97" s="110" t="str">
        <f>IF(PMDLN131[[#This Row],[2024]]="","",DONNÉES!AZ294)</f>
        <v/>
      </c>
    </row>
    <row r="98" spans="1:14" s="81" customFormat="1" ht="10.15" customHeight="1" x14ac:dyDescent="0.2">
      <c r="A98" s="169" t="s">
        <v>84</v>
      </c>
      <c r="B98" s="110" t="str">
        <f>IF(DONNÉES!AY215="","",DONNÉES!AY215)</f>
        <v/>
      </c>
      <c r="C98" s="165" t="str">
        <f>IF(PMDLN131[[#This Row],[2024]]="","",DONNÉES!AZ215)</f>
        <v/>
      </c>
      <c r="D98" s="110" t="str">
        <f>IF(PMDLN131[[#This Row],[2024]]="","",DONNÉES!AY263)</f>
        <v/>
      </c>
      <c r="E98" s="174" t="str">
        <f>IF(PMDLN131[[#This Row],[2024]]="","",DONNÉES!AZ263)</f>
        <v/>
      </c>
      <c r="F98" s="110" t="str">
        <f>IF(PMDLN131[[#This Row],[2024]]="","",DONNÉES!AY231)</f>
        <v/>
      </c>
      <c r="G98" s="165" t="str">
        <f>IF(PMDLN131[[#This Row],[2024]]="","",DONNÉES!AZ231)</f>
        <v/>
      </c>
      <c r="H98" s="110" t="str">
        <f>IF(PMDLN131[[#This Row],[2024]]="","",DONNÉES!AY279)</f>
        <v/>
      </c>
      <c r="I98" s="110" t="str">
        <f>IF(PMDLN131[[#This Row],[2024]]="","",DONNÉES!AZ279)</f>
        <v/>
      </c>
      <c r="K98" s="110" t="str">
        <f>IF(PMDLN131[[#This Row],[2024]]="","",DONNÉES!AY247)</f>
        <v/>
      </c>
      <c r="L98" s="165" t="str">
        <f>IF(PMDLN131[[#This Row],[2024]]="","",DONNÉES!AZ247)</f>
        <v/>
      </c>
      <c r="M98" s="165" t="str">
        <f>IF(PMDLN131[[#This Row],[2024]]="","",DONNÉES!AY295)</f>
        <v/>
      </c>
      <c r="N98" s="110" t="str">
        <f>IF(PMDLN131[[#This Row],[2024]]="","",DONNÉES!AZ295)</f>
        <v/>
      </c>
    </row>
    <row r="99" spans="1:14" s="81" customFormat="1" ht="11.65" customHeight="1" x14ac:dyDescent="0.2">
      <c r="A99" s="171" t="s">
        <v>134</v>
      </c>
      <c r="B99" s="111" t="e">
        <f>SUBTOTAL(101,PMDLN131[2024])</f>
        <v>#DIV/0!</v>
      </c>
      <c r="C99" s="167" t="e">
        <f>SUBTOTAL(101,PMDLN131[2023])</f>
        <v>#DIV/0!</v>
      </c>
      <c r="D99" s="167" t="e">
        <f>SUBTOTAL(101,PMDLN131[2024 cumul])</f>
        <v>#DIV/0!</v>
      </c>
      <c r="E99" s="175" t="e">
        <f>SUBTOTAL(101,PMDLN131[2023 cumul])</f>
        <v>#DIV/0!</v>
      </c>
      <c r="F99" s="117" t="e">
        <f>SUBTOTAL(101,PMDLN131[[2024  ]])</f>
        <v>#DIV/0!</v>
      </c>
      <c r="G99" s="164" t="e">
        <f>SUBTOTAL(101,PMDLN131[[2023  ]])</f>
        <v>#DIV/0!</v>
      </c>
      <c r="H99" s="111" t="e">
        <f>SUBTOTAL(101,PMDLN131[[2024 cumul ]])</f>
        <v>#DIV/0!</v>
      </c>
      <c r="I99" s="111" t="e">
        <f>SUBTOTAL(101,PMDLN131[[2023 cumul ]])</f>
        <v>#DIV/0!</v>
      </c>
      <c r="K99" s="111" t="e">
        <f>SUBTOTAL(101,PMDHART[[2024  ]])</f>
        <v>#DIV/0!</v>
      </c>
      <c r="L99" s="167" t="e">
        <f>SUBTOTAL(101,PMDHART[[2023  ]])</f>
        <v>#DIV/0!</v>
      </c>
      <c r="M99" s="167" t="e">
        <f>SUBTOTAL(101,PMDHART[[2024 cumul ]])</f>
        <v>#DIV/0!</v>
      </c>
      <c r="N99" s="111" t="e">
        <f>SUBTOTAL(101,PMDHART[[2023 cumul ]])</f>
        <v>#DIV/0!</v>
      </c>
    </row>
    <row r="100" spans="1:14" ht="12" customHeight="1" x14ac:dyDescent="0.2">
      <c r="H100" s="79"/>
    </row>
    <row r="101" spans="1:14" ht="15" customHeight="1" x14ac:dyDescent="0.2">
      <c r="A101" s="254"/>
      <c r="B101" s="334" t="s">
        <v>195</v>
      </c>
      <c r="C101" s="334"/>
      <c r="D101" s="334"/>
      <c r="E101" s="335"/>
      <c r="F101" s="334" t="s">
        <v>196</v>
      </c>
      <c r="G101" s="334"/>
      <c r="H101" s="334"/>
      <c r="I101" s="334"/>
      <c r="J101" s="107"/>
      <c r="K101" s="334" t="s">
        <v>197</v>
      </c>
      <c r="L101" s="334"/>
      <c r="M101" s="334"/>
      <c r="N101" s="334"/>
    </row>
    <row r="102" spans="1:14" ht="30" customHeight="1" x14ac:dyDescent="0.2">
      <c r="A102" s="169" t="s">
        <v>3002</v>
      </c>
      <c r="B102" s="108" t="s">
        <v>6962</v>
      </c>
      <c r="C102" s="166" t="s">
        <v>2169</v>
      </c>
      <c r="D102" s="108" t="s">
        <v>6986</v>
      </c>
      <c r="E102" s="172" t="s">
        <v>6944</v>
      </c>
      <c r="F102" s="108" t="s">
        <v>6987</v>
      </c>
      <c r="G102" s="166" t="s">
        <v>6945</v>
      </c>
      <c r="H102" s="108" t="s">
        <v>6988</v>
      </c>
      <c r="I102" s="124" t="s">
        <v>6946</v>
      </c>
      <c r="J102" s="79"/>
      <c r="K102" s="108" t="s">
        <v>6987</v>
      </c>
      <c r="L102" s="166" t="s">
        <v>6945</v>
      </c>
      <c r="M102" s="108" t="s">
        <v>6988</v>
      </c>
      <c r="N102" s="172" t="s">
        <v>6946</v>
      </c>
    </row>
    <row r="103" spans="1:14" s="81" customFormat="1" ht="10.15" customHeight="1" x14ac:dyDescent="0.2">
      <c r="A103" s="170" t="s">
        <v>73</v>
      </c>
      <c r="B103" s="109">
        <f>IF(DONNÉES!BG204="","",DONNÉES!BG204)</f>
        <v>15.93</v>
      </c>
      <c r="C103" s="163">
        <f>IF(PMDVERNON138[[#This Row],[2024]]="","",DONNÉES!BH204)</f>
        <v>16.329999999999998</v>
      </c>
      <c r="D103" s="109">
        <f>IF(PMDVERNON138[[#This Row],[2024]]="","",DONNÉES!BG252)</f>
        <v>15.93</v>
      </c>
      <c r="E103" s="173">
        <f>IF(PMDVERNON138[[#This Row],[2024]]="","",DONNÉES!BH252)</f>
        <v>16.329999999999998</v>
      </c>
      <c r="F103" s="109">
        <f>IF(PMDVERNON138[[#This Row],[2024]]="","",DONNÉES!BG220)</f>
        <v>20.56</v>
      </c>
      <c r="G103" s="163">
        <f>IF(PMDVERNON138[[#This Row],[2024]]="","",DONNÉES!BH220)</f>
        <v>20.11</v>
      </c>
      <c r="H103" s="109">
        <f>IF(PMDVERNON138[[#This Row],[2024]]="","",DONNÉES!BG268)</f>
        <v>20.56</v>
      </c>
      <c r="I103" s="109">
        <f>IF(PMDVERNON138[[#This Row],[2024]]="","",DONNÉES!BH268)</f>
        <v>20.11</v>
      </c>
      <c r="K103" s="109">
        <f>IF(PMDVERNON138[[#This Row],[2024]]="","",DONNÉES!BG236)</f>
        <v>18.100000000000001</v>
      </c>
      <c r="L103" s="163">
        <f>IF(PMDVERNON138[[#This Row],[2024]]="","",DONNÉES!BH236)</f>
        <v>18.32</v>
      </c>
      <c r="M103" s="109">
        <f>IF(PMDVERNON138[[#This Row],[2024]]="","",DONNÉES!BG284)</f>
        <v>18.100000000000001</v>
      </c>
      <c r="N103" s="109">
        <f>IF(PMDVERNON138[[#This Row],[2024]]="","",DONNÉES!BH284)</f>
        <v>18.32</v>
      </c>
    </row>
    <row r="104" spans="1:14" s="81" customFormat="1" ht="10.15" customHeight="1" x14ac:dyDescent="0.2">
      <c r="A104" s="170" t="s">
        <v>74</v>
      </c>
      <c r="B104" s="109" t="str">
        <f>IF(DONNÉES!BG205="","",DONNÉES!BG205)</f>
        <v/>
      </c>
      <c r="C104" s="163" t="str">
        <f>IF(PMDVERNON138[[#This Row],[2024]]="","",DONNÉES!BH205)</f>
        <v/>
      </c>
      <c r="D104" s="109" t="str">
        <f>IF(PMDVERNON138[[#This Row],[2024]]="","",DONNÉES!BG253)</f>
        <v/>
      </c>
      <c r="E104" s="173" t="str">
        <f>IF(PMDVERNON138[[#This Row],[2024]]="","",DONNÉES!BH253)</f>
        <v/>
      </c>
      <c r="F104" s="109" t="str">
        <f>IF(PMDVERNON138[[#This Row],[2024]]="","",DONNÉES!BG221)</f>
        <v/>
      </c>
      <c r="G104" s="163" t="str">
        <f>IF(PMDVERNON138[[#This Row],[2024]]="","",DONNÉES!BH221)</f>
        <v/>
      </c>
      <c r="H104" s="109" t="str">
        <f>IF(PMDVERNON138[[#This Row],[2024]]="","",DONNÉES!BG269)</f>
        <v/>
      </c>
      <c r="I104" s="109" t="str">
        <f>IF(PMDVERNON138[[#This Row],[2024]]="","",DONNÉES!BH269)</f>
        <v/>
      </c>
      <c r="K104" s="109" t="str">
        <f>IF(PMDVERNON138[[#This Row],[2024]]="","",DONNÉES!BG237)</f>
        <v/>
      </c>
      <c r="L104" s="163" t="str">
        <f>IF(PMDVERNON138[[#This Row],[2024]]="","",DONNÉES!BH237)</f>
        <v/>
      </c>
      <c r="M104" s="109" t="str">
        <f>IF(PMDVERNON138[[#This Row],[2024]]="","",DONNÉES!BG285)</f>
        <v/>
      </c>
      <c r="N104" s="109" t="str">
        <f>IF(PMDVERNON138[[#This Row],[2024]]="","",DONNÉES!BH285)</f>
        <v/>
      </c>
    </row>
    <row r="105" spans="1:14" s="81" customFormat="1" ht="10.15" customHeight="1" x14ac:dyDescent="0.2">
      <c r="A105" s="169" t="s">
        <v>75</v>
      </c>
      <c r="B105" s="109" t="str">
        <f>IF(DONNÉES!BG206="","",DONNÉES!BG206)</f>
        <v/>
      </c>
      <c r="C105" s="163" t="str">
        <f>IF(PMDVERNON138[[#This Row],[2024]]="","",DONNÉES!BH206)</f>
        <v/>
      </c>
      <c r="D105" s="109" t="str">
        <f>IF(PMDVERNON138[[#This Row],[2024]]="","",DONNÉES!BG254)</f>
        <v/>
      </c>
      <c r="E105" s="173" t="str">
        <f>IF(PMDVERNON138[[#This Row],[2024]]="","",DONNÉES!BH254)</f>
        <v/>
      </c>
      <c r="F105" s="109" t="str">
        <f>IF(PMDVERNON138[[#This Row],[2024]]="","",DONNÉES!BG222)</f>
        <v/>
      </c>
      <c r="G105" s="163" t="str">
        <f>IF(PMDVERNON138[[#This Row],[2024]]="","",DONNÉES!BH222)</f>
        <v/>
      </c>
      <c r="H105" s="109" t="str">
        <f>IF(PMDVERNON138[[#This Row],[2024]]="","",DONNÉES!BG270)</f>
        <v/>
      </c>
      <c r="I105" s="109" t="str">
        <f>IF(PMDVERNON138[[#This Row],[2024]]="","",DONNÉES!BH270)</f>
        <v/>
      </c>
      <c r="K105" s="109" t="str">
        <f>IF(PMDVERNON138[[#This Row],[2024]]="","",DONNÉES!BG238)</f>
        <v/>
      </c>
      <c r="L105" s="163" t="str">
        <f>IF(PMDVERNON138[[#This Row],[2024]]="","",DONNÉES!#REF!)</f>
        <v/>
      </c>
      <c r="M105" s="109" t="str">
        <f>IF(PMDVERNON138[[#This Row],[2024]]="","",DONNÉES!BG286)</f>
        <v/>
      </c>
      <c r="N105" s="109" t="str">
        <f>IF(PMDVERNON138[[#This Row],[2024]]="","",DONNÉES!BH286)</f>
        <v/>
      </c>
    </row>
    <row r="106" spans="1:14" ht="10.15" customHeight="1" x14ac:dyDescent="0.2">
      <c r="A106" s="170" t="s">
        <v>76</v>
      </c>
      <c r="B106" s="109" t="str">
        <f>IF(DONNÉES!BG207="","",DONNÉES!BG207)</f>
        <v/>
      </c>
      <c r="C106" s="163" t="str">
        <f>IF(PMDVERNON138[[#This Row],[2024]]="","",DONNÉES!BH207)</f>
        <v/>
      </c>
      <c r="D106" s="109" t="str">
        <f>IF(PMDVERNON138[[#This Row],[2024]]="","",DONNÉES!BG255)</f>
        <v/>
      </c>
      <c r="E106" s="173" t="str">
        <f>IF(PMDVERNON138[[#This Row],[2024]]="","",DONNÉES!BH255)</f>
        <v/>
      </c>
      <c r="F106" s="109" t="str">
        <f>IF(PMDVERNON138[[#This Row],[2024]]="","",DONNÉES!BG223)</f>
        <v/>
      </c>
      <c r="G106" s="163" t="str">
        <f>IF(PMDVERNON138[[#This Row],[2024]]="","",DONNÉES!BH223)</f>
        <v/>
      </c>
      <c r="H106" s="109" t="str">
        <f>IF(PMDVERNON138[[#This Row],[2024]]="","",DONNÉES!BG271)</f>
        <v/>
      </c>
      <c r="I106" s="109" t="str">
        <f>IF(PMDVERNON138[[#This Row],[2024]]="","",DONNÉES!BH271)</f>
        <v/>
      </c>
      <c r="J106" s="79"/>
      <c r="K106" s="109" t="str">
        <f>IF(PMDVERNON138[[#This Row],[2024]]="","",DONNÉES!BG239)</f>
        <v/>
      </c>
      <c r="L106" s="163" t="str">
        <f>IF(PMDVERNON138[[#This Row],[2024]]="","",DONNÉES!BH238)</f>
        <v/>
      </c>
      <c r="M106" s="109" t="str">
        <f>IF(PMDVERNON138[[#This Row],[2024]]="","",DONNÉES!BG287)</f>
        <v/>
      </c>
      <c r="N106" s="109" t="str">
        <f>IF(PMDVERNON138[[#This Row],[2024]]="","",DONNÉES!BH287)</f>
        <v/>
      </c>
    </row>
    <row r="107" spans="1:14" ht="10.15" customHeight="1" x14ac:dyDescent="0.2">
      <c r="A107" s="169" t="s">
        <v>77</v>
      </c>
      <c r="B107" s="109" t="str">
        <f>IF(DONNÉES!BG208="","",DONNÉES!BG208)</f>
        <v/>
      </c>
      <c r="C107" s="163" t="str">
        <f>IF(PMDVERNON138[[#This Row],[2024]]="","",DONNÉES!BH208)</f>
        <v/>
      </c>
      <c r="D107" s="109" t="str">
        <f>IF(PMDVERNON138[[#This Row],[2024]]="","",DONNÉES!BG256)</f>
        <v/>
      </c>
      <c r="E107" s="173" t="str">
        <f>IF(PMDVERNON138[[#This Row],[2024]]="","",DONNÉES!BH256)</f>
        <v/>
      </c>
      <c r="F107" s="109" t="str">
        <f>IF(PMDVERNON138[[#This Row],[2024]]="","",DONNÉES!BG224)</f>
        <v/>
      </c>
      <c r="G107" s="163" t="str">
        <f>IF(PMDVERNON138[[#This Row],[2024]]="","",DONNÉES!BH224)</f>
        <v/>
      </c>
      <c r="H107" s="109" t="str">
        <f>IF(PMDVERNON138[[#This Row],[2024]]="","",DONNÉES!BG272)</f>
        <v/>
      </c>
      <c r="I107" s="109" t="str">
        <f>IF(PMDVERNON138[[#This Row],[2024]]="","",DONNÉES!BH272)</f>
        <v/>
      </c>
      <c r="J107" s="79"/>
      <c r="K107" s="109" t="str">
        <f>IF(PMDVERNON138[[#This Row],[2024]]="","",DONNÉES!BG240)</f>
        <v/>
      </c>
      <c r="L107" s="163" t="str">
        <f>IF(PMDVERNON138[[#This Row],[2024]]="","",DONNÉES!BH240)</f>
        <v/>
      </c>
      <c r="M107" s="109" t="str">
        <f>IF(PMDVERNON138[[#This Row],[2024]]="","",DONNÉES!BG288)</f>
        <v/>
      </c>
      <c r="N107" s="109" t="str">
        <f>IF(PMDVERNON138[[#This Row],[2024]]="","",DONNÉES!BH288)</f>
        <v/>
      </c>
    </row>
    <row r="108" spans="1:14" ht="10.15" customHeight="1" x14ac:dyDescent="0.2">
      <c r="A108" s="170" t="s">
        <v>78</v>
      </c>
      <c r="B108" s="109" t="str">
        <f>IF(DONNÉES!BG209="","",DONNÉES!BG209)</f>
        <v/>
      </c>
      <c r="C108" s="163" t="str">
        <f>IF(PMDVERNON138[[#This Row],[2024]]="","",DONNÉES!BH209)</f>
        <v/>
      </c>
      <c r="D108" s="109" t="str">
        <f>IF(PMDVERNON138[[#This Row],[2024]]="","",DONNÉES!BG257)</f>
        <v/>
      </c>
      <c r="E108" s="173" t="str">
        <f>IF(PMDVERNON138[[#This Row],[2024]]="","",DONNÉES!BH257)</f>
        <v/>
      </c>
      <c r="F108" s="109" t="str">
        <f>IF(PMDVERNON138[[#This Row],[2024]]="","",DONNÉES!BG225)</f>
        <v/>
      </c>
      <c r="G108" s="163" t="str">
        <f>IF(PMDVERNON138[[#This Row],[2024]]="","",DONNÉES!BH225)</f>
        <v/>
      </c>
      <c r="H108" s="109" t="str">
        <f>IF(PMDVERNON138[[#This Row],[2024]]="","",DONNÉES!BG273)</f>
        <v/>
      </c>
      <c r="I108" s="109" t="str">
        <f>IF(PMDVERNON138[[#This Row],[2024]]="","",DONNÉES!BH273)</f>
        <v/>
      </c>
      <c r="J108" s="79"/>
      <c r="K108" s="109" t="str">
        <f>IF(PMDVERNON138[[#This Row],[2024]]="","",DONNÉES!BG241)</f>
        <v/>
      </c>
      <c r="L108" s="163" t="str">
        <f>IF(PMDVERNON138[[#This Row],[2024]]="","",DONNÉES!BH241)</f>
        <v/>
      </c>
      <c r="M108" s="109" t="str">
        <f>IF(PMDVERNON138[[#This Row],[2024]]="","",DONNÉES!BG289)</f>
        <v/>
      </c>
      <c r="N108" s="109" t="str">
        <f>IF(PMDVERNON138[[#This Row],[2024]]="","",DONNÉES!BH289)</f>
        <v/>
      </c>
    </row>
    <row r="109" spans="1:14" ht="10.15" customHeight="1" x14ac:dyDescent="0.2">
      <c r="A109" s="169" t="s">
        <v>79</v>
      </c>
      <c r="B109" s="109" t="str">
        <f>IF(DONNÉES!BG210="","",DONNÉES!BG210)</f>
        <v/>
      </c>
      <c r="C109" s="163" t="str">
        <f>IF(PMDVERNON138[[#This Row],[2024]]="","",DONNÉES!BH210)</f>
        <v/>
      </c>
      <c r="D109" s="109" t="str">
        <f>IF(PMDVERNON138[[#This Row],[2024]]="","",DONNÉES!BG258)</f>
        <v/>
      </c>
      <c r="E109" s="173" t="str">
        <f>IF(PMDVERNON138[[#This Row],[2024]]="","",DONNÉES!BH258)</f>
        <v/>
      </c>
      <c r="F109" s="109" t="str">
        <f>IF(PMDVERNON138[[#This Row],[2024]]="","",DONNÉES!BG226)</f>
        <v/>
      </c>
      <c r="G109" s="163" t="str">
        <f>IF(PMDVERNON138[[#This Row],[2024]]="","",DONNÉES!BH226)</f>
        <v/>
      </c>
      <c r="H109" s="109" t="str">
        <f>IF(PMDVERNON138[[#This Row],[2024]]="","",DONNÉES!BG274)</f>
        <v/>
      </c>
      <c r="I109" s="109" t="str">
        <f>IF(PMDVERNON138[[#This Row],[2024]]="","",DONNÉES!BH274)</f>
        <v/>
      </c>
      <c r="J109" s="79"/>
      <c r="K109" s="109" t="str">
        <f>IF(PMDVERNON138[[#This Row],[2024]]="","",DONNÉES!BG242)</f>
        <v/>
      </c>
      <c r="L109" s="163" t="str">
        <f>IF(PMDVERNON138[[#This Row],[2024]]="","",DONNÉES!BH242)</f>
        <v/>
      </c>
      <c r="M109" s="109" t="str">
        <f>IF(PMDVERNON138[[#This Row],[2024]]="","",DONNÉES!BG290)</f>
        <v/>
      </c>
      <c r="N109" s="109" t="str">
        <f>IF(PMDVERNON138[[#This Row],[2024]]="","",DONNÉES!BH290)</f>
        <v/>
      </c>
    </row>
    <row r="110" spans="1:14" ht="10.15" customHeight="1" x14ac:dyDescent="0.2">
      <c r="A110" s="170" t="s">
        <v>80</v>
      </c>
      <c r="B110" s="109" t="str">
        <f>IF(DONNÉES!BG211="","",DONNÉES!BG211)</f>
        <v/>
      </c>
      <c r="C110" s="163" t="str">
        <f>IF(PMDVERNON138[[#This Row],[2024]]="","",DONNÉES!BH211)</f>
        <v/>
      </c>
      <c r="D110" s="109" t="str">
        <f>IF(PMDVERNON138[[#This Row],[2024]]="","",DONNÉES!BG259)</f>
        <v/>
      </c>
      <c r="E110" s="173" t="str">
        <f>IF(PMDVERNON138[[#This Row],[2024]]="","",DONNÉES!BH259)</f>
        <v/>
      </c>
      <c r="F110" s="109" t="str">
        <f>IF(PMDVERNON138[[#This Row],[2024]]="","",DONNÉES!BG227)</f>
        <v/>
      </c>
      <c r="G110" s="163" t="str">
        <f>IF(PMDVERNON138[[#This Row],[2024]]="","",DONNÉES!BH227)</f>
        <v/>
      </c>
      <c r="H110" s="109" t="str">
        <f>IF(PMDVERNON138[[#This Row],[2024]]="","",DONNÉES!BG275)</f>
        <v/>
      </c>
      <c r="I110" s="109" t="str">
        <f>IF(PMDVERNON138[[#This Row],[2024]]="","",DONNÉES!BH275)</f>
        <v/>
      </c>
      <c r="J110" s="79"/>
      <c r="K110" s="109" t="str">
        <f>IF(PMDVERNON138[[#This Row],[2024]]="","",DONNÉES!BG243)</f>
        <v/>
      </c>
      <c r="L110" s="163" t="str">
        <f>IF(PMDVERNON138[[#This Row],[2024]]="","",DONNÉES!BH243)</f>
        <v/>
      </c>
      <c r="M110" s="109" t="str">
        <f>IF(PMDVERNON138[[#This Row],[2024]]="","",DONNÉES!BG291)</f>
        <v/>
      </c>
      <c r="N110" s="109" t="str">
        <f>IF(PMDVERNON138[[#This Row],[2024]]="","",DONNÉES!BH291)</f>
        <v/>
      </c>
    </row>
    <row r="111" spans="1:14" ht="10.15" customHeight="1" x14ac:dyDescent="0.2">
      <c r="A111" s="169" t="s">
        <v>81</v>
      </c>
      <c r="B111" s="109" t="str">
        <f>IF(DONNÉES!BG212="","",DONNÉES!BG212)</f>
        <v/>
      </c>
      <c r="C111" s="163" t="str">
        <f>IF(PMDVERNON138[[#This Row],[2024]]="","",DONNÉES!BH212)</f>
        <v/>
      </c>
      <c r="D111" s="109" t="str">
        <f>IF(PMDVERNON138[[#This Row],[2024]]="","",DONNÉES!BG260)</f>
        <v/>
      </c>
      <c r="E111" s="173" t="str">
        <f>IF(PMDVERNON138[[#This Row],[2024]]="","",DONNÉES!BH260)</f>
        <v/>
      </c>
      <c r="F111" s="109" t="str">
        <f>IF(PMDVERNON138[[#This Row],[2024]]="","",DONNÉES!BG228)</f>
        <v/>
      </c>
      <c r="G111" s="163" t="str">
        <f>IF(PMDVERNON138[[#This Row],[2024]]="","",DONNÉES!BH228)</f>
        <v/>
      </c>
      <c r="H111" s="109" t="str">
        <f>IF(PMDVERNON138[[#This Row],[2024]]="","",DONNÉES!BG276)</f>
        <v/>
      </c>
      <c r="I111" s="109" t="str">
        <f>IF(PMDVERNON138[[#This Row],[2024]]="","",DONNÉES!BH276)</f>
        <v/>
      </c>
      <c r="J111" s="82"/>
      <c r="K111" s="109" t="str">
        <f>IF(PMDVERNON138[[#This Row],[2024]]="","",DONNÉES!BG244)</f>
        <v/>
      </c>
      <c r="L111" s="163" t="str">
        <f>IF(PMDVERNON138[[#This Row],[2024]]="","",DONNÉES!BH244)</f>
        <v/>
      </c>
      <c r="M111" s="109" t="str">
        <f>IF(PMDVERNON138[[#This Row],[2024]]="","",DONNÉES!BG292)</f>
        <v/>
      </c>
      <c r="N111" s="109" t="str">
        <f>IF(PMDVERNON138[[#This Row],[2024]]="","",DONNÉES!BH292)</f>
        <v/>
      </c>
    </row>
    <row r="112" spans="1:14" ht="10.15" customHeight="1" x14ac:dyDescent="0.2">
      <c r="A112" s="170" t="s">
        <v>82</v>
      </c>
      <c r="B112" s="109" t="str">
        <f>IF(DONNÉES!BG213="","",DONNÉES!BG213)</f>
        <v/>
      </c>
      <c r="C112" s="163" t="str">
        <f>IF(PMDVERNON138[[#This Row],[2024]]="","",DONNÉES!BH213)</f>
        <v/>
      </c>
      <c r="D112" s="109" t="str">
        <f>IF(PMDVERNON138[[#This Row],[2024]]="","",DONNÉES!BG261)</f>
        <v/>
      </c>
      <c r="E112" s="173" t="str">
        <f>IF(PMDVERNON138[[#This Row],[2024]]="","",DONNÉES!BH261)</f>
        <v/>
      </c>
      <c r="F112" s="109" t="str">
        <f>IF(PMDVERNON138[[#This Row],[2024]]="","",DONNÉES!BG229)</f>
        <v/>
      </c>
      <c r="G112" s="163" t="str">
        <f>IF(PMDVERNON138[[#This Row],[2024]]="","",DONNÉES!BH229)</f>
        <v/>
      </c>
      <c r="H112" s="109" t="str">
        <f>IF(PMDVERNON138[[#This Row],[2024]]="","",DONNÉES!BG277)</f>
        <v/>
      </c>
      <c r="I112" s="109" t="str">
        <f>IF(PMDVERNON138[[#This Row],[2024]]="","",DONNÉES!BH277)</f>
        <v/>
      </c>
      <c r="J112" s="79"/>
      <c r="K112" s="109" t="str">
        <f>IF(PMDVERNON138[[#This Row],[2024]]="","",DONNÉES!BG245)</f>
        <v/>
      </c>
      <c r="L112" s="163" t="str">
        <f>IF(PMDVERNON138[[#This Row],[2024]]="","",DONNÉES!BH245)</f>
        <v/>
      </c>
      <c r="M112" s="109" t="str">
        <f>IF(PMDVERNON138[[#This Row],[2024]]="","",DONNÉES!BG293)</f>
        <v/>
      </c>
      <c r="N112" s="109" t="str">
        <f>IF(PMDVERNON138[[#This Row],[2024]]="","",DONNÉES!BH293)</f>
        <v/>
      </c>
    </row>
    <row r="113" spans="1:14" s="81" customFormat="1" ht="10.15" customHeight="1" x14ac:dyDescent="0.2">
      <c r="A113" s="169" t="s">
        <v>83</v>
      </c>
      <c r="B113" s="109" t="str">
        <f>IF(DONNÉES!BG214="","",DONNÉES!BG214)</f>
        <v/>
      </c>
      <c r="C113" s="163" t="str">
        <f>IF(PMDVERNON138[[#This Row],[2024]]="","",DONNÉES!BH214)</f>
        <v/>
      </c>
      <c r="D113" s="109" t="str">
        <f>IF(PMDVERNON138[[#This Row],[2024]]="","",DONNÉES!BG262)</f>
        <v/>
      </c>
      <c r="E113" s="173" t="str">
        <f>IF(PMDVERNON138[[#This Row],[2024]]="","",DONNÉES!BH262)</f>
        <v/>
      </c>
      <c r="F113" s="109" t="str">
        <f>IF(PMDVERNON138[[#This Row],[2024]]="","",DONNÉES!BG230)</f>
        <v/>
      </c>
      <c r="G113" s="163" t="str">
        <f>IF(PMDVERNON138[[#This Row],[2024]]="","",DONNÉES!BH230)</f>
        <v/>
      </c>
      <c r="H113" s="109" t="str">
        <f>IF(PMDVERNON138[[#This Row],[2024]]="","",DONNÉES!BG278)</f>
        <v/>
      </c>
      <c r="I113" s="109" t="str">
        <f>IF(PMDVERNON138[[#This Row],[2024]]="","",DONNÉES!BH278)</f>
        <v/>
      </c>
      <c r="K113" s="109" t="str">
        <f>IF(PMDVERNON138[[#This Row],[2024]]="","",DONNÉES!BG246)</f>
        <v/>
      </c>
      <c r="L113" s="163" t="str">
        <f>IF(PMDVERNON138[[#This Row],[2024]]="","",DONNÉES!BH246)</f>
        <v/>
      </c>
      <c r="M113" s="109" t="str">
        <f>IF(PMDVERNON138[[#This Row],[2024]]="","",DONNÉES!BG294)</f>
        <v/>
      </c>
      <c r="N113" s="109" t="str">
        <f>IF(PMDVERNON138[[#This Row],[2024]]="","",DONNÉES!BH294)</f>
        <v/>
      </c>
    </row>
    <row r="114" spans="1:14" s="81" customFormat="1" ht="10.15" customHeight="1" x14ac:dyDescent="0.2">
      <c r="A114" s="169" t="s">
        <v>84</v>
      </c>
      <c r="B114" s="109" t="str">
        <f>IF(DONNÉES!BG215="","",DONNÉES!BG215)</f>
        <v/>
      </c>
      <c r="C114" s="163" t="str">
        <f>IF(PMDVERNON138[[#This Row],[2024]]="","",DONNÉES!BH215)</f>
        <v/>
      </c>
      <c r="D114" s="109" t="str">
        <f>IF(PMDVERNON138[[#This Row],[2024]]="","",DONNÉES!BG263)</f>
        <v/>
      </c>
      <c r="E114" s="173" t="str">
        <f>IF(PMDVERNON138[[#This Row],[2024]]="","",DONNÉES!BH263)</f>
        <v/>
      </c>
      <c r="F114" s="109" t="str">
        <f>IF(PMDVERNON138[[#This Row],[2024]]="","",DONNÉES!BG231)</f>
        <v/>
      </c>
      <c r="G114" s="163" t="str">
        <f>IF(PMDVERNON138[[#This Row],[2024]]="","",DONNÉES!BH231)</f>
        <v/>
      </c>
      <c r="H114" s="109" t="str">
        <f>IF(PMDVERNON138[[#This Row],[2024]]="","",DONNÉES!BG279)</f>
        <v/>
      </c>
      <c r="I114" s="109" t="str">
        <f>IF(PMDVERNON138[[#This Row],[2024]]="","",DONNÉES!BH279)</f>
        <v/>
      </c>
      <c r="K114" s="109" t="str">
        <f>IF(PMDVERNON138[[#This Row],[2024]]="","",DONNÉES!BG247)</f>
        <v/>
      </c>
      <c r="L114" s="163" t="str">
        <f>IF(PMDVERNON138[[#This Row],[2024]]="","",DONNÉES!BH247)</f>
        <v/>
      </c>
      <c r="M114" s="109" t="str">
        <f>IF(PMDVERNON138[[#This Row],[2024]]="","",DONNÉES!BG295)</f>
        <v/>
      </c>
      <c r="N114" s="109" t="str">
        <f>IF(PMDVERNON138[[#This Row],[2024]]="","",DONNÉES!BH295)</f>
        <v/>
      </c>
    </row>
    <row r="115" spans="1:14" s="81" customFormat="1" ht="11.65" customHeight="1" x14ac:dyDescent="0.2">
      <c r="A115" s="171" t="s">
        <v>134</v>
      </c>
      <c r="B115" s="111">
        <f>SUBTOTAL(101,PMDVERNON138[2024])</f>
        <v>15.93</v>
      </c>
      <c r="C115" s="167">
        <f>SUBTOTAL(101,PMDVERNON138[2023])</f>
        <v>16.329999999999998</v>
      </c>
      <c r="D115" s="167">
        <f>SUBTOTAL(101,PMDVERNON138[2024 cumul])</f>
        <v>15.93</v>
      </c>
      <c r="E115" s="175">
        <f>SUBTOTAL(101,PMDVERNON138[2023 cumul])</f>
        <v>16.329999999999998</v>
      </c>
      <c r="F115" s="117">
        <f>SUBTOTAL(101,PMDVERNON138[[2024  ]])</f>
        <v>20.56</v>
      </c>
      <c r="G115" s="164">
        <f>SUBTOTAL(101,PMDVERNON138[[2023  ]])</f>
        <v>20.11</v>
      </c>
      <c r="H115" s="111">
        <f>SUBTOTAL(101,PMDVERNON138[[2024 cumul ]])</f>
        <v>20.56</v>
      </c>
      <c r="I115" s="111">
        <f>SUBTOTAL(101,PMDVERNON138[[2023 cumul ]])</f>
        <v>20.11</v>
      </c>
      <c r="K115" s="111">
        <f>SUBTOTAL(101,PMDVICTOIRE[[2024  ]])</f>
        <v>18.100000000000001</v>
      </c>
      <c r="L115" s="167">
        <f>SUBTOTAL(101,PMDVICTOIRE[[2023  ]])</f>
        <v>18.32</v>
      </c>
      <c r="M115" s="167">
        <f>SUBTOTAL(101,PMDVICTOIRE[[2024 cumul ]])</f>
        <v>18.100000000000001</v>
      </c>
      <c r="N115" s="111">
        <f>SUBTOTAL(101,PMDVICTOIRE[[2023 cumul ]])</f>
        <v>18.32</v>
      </c>
    </row>
    <row r="116" spans="1:14" s="81" customFormat="1" ht="11.65" customHeight="1" x14ac:dyDescent="0.2">
      <c r="A116" s="171"/>
      <c r="B116" s="111"/>
      <c r="C116" s="111"/>
      <c r="D116" s="111"/>
      <c r="E116" s="175"/>
      <c r="F116" s="117"/>
      <c r="G116" s="117"/>
      <c r="H116" s="111"/>
      <c r="I116" s="111"/>
      <c r="K116" s="111"/>
      <c r="L116" s="111"/>
      <c r="M116" s="111"/>
      <c r="N116" s="111"/>
    </row>
    <row r="117" spans="1:14" ht="15" customHeight="1" x14ac:dyDescent="0.2">
      <c r="A117" s="255"/>
      <c r="B117" s="337" t="s">
        <v>195</v>
      </c>
      <c r="C117" s="337"/>
      <c r="D117" s="337"/>
      <c r="E117" s="338"/>
      <c r="F117" s="337" t="s">
        <v>196</v>
      </c>
      <c r="G117" s="337"/>
      <c r="H117" s="337"/>
      <c r="I117" s="337"/>
      <c r="J117" s="107"/>
      <c r="K117" s="337" t="s">
        <v>197</v>
      </c>
      <c r="L117" s="337"/>
      <c r="M117" s="337"/>
      <c r="N117" s="337"/>
    </row>
    <row r="118" spans="1:14" ht="30" customHeight="1" x14ac:dyDescent="0.2">
      <c r="A118" s="169" t="s">
        <v>292</v>
      </c>
      <c r="B118" s="108" t="s">
        <v>6962</v>
      </c>
      <c r="C118" s="166" t="s">
        <v>2169</v>
      </c>
      <c r="D118" s="108" t="s">
        <v>6986</v>
      </c>
      <c r="E118" s="172" t="s">
        <v>6944</v>
      </c>
      <c r="F118" s="108" t="s">
        <v>6987</v>
      </c>
      <c r="G118" s="166" t="s">
        <v>6945</v>
      </c>
      <c r="H118" s="108" t="s">
        <v>6988</v>
      </c>
      <c r="I118" s="124" t="s">
        <v>6946</v>
      </c>
      <c r="J118" s="79"/>
      <c r="K118" s="108" t="s">
        <v>6987</v>
      </c>
      <c r="L118" s="166" t="s">
        <v>6945</v>
      </c>
      <c r="M118" s="108" t="s">
        <v>6988</v>
      </c>
      <c r="N118" s="172" t="s">
        <v>6946</v>
      </c>
    </row>
    <row r="119" spans="1:14" s="81" customFormat="1" ht="10.15" customHeight="1" x14ac:dyDescent="0.2">
      <c r="A119" s="170" t="s">
        <v>73</v>
      </c>
      <c r="B119" s="109">
        <f>IF(DONNÉES!CE204="","",DONNÉES!CE204)</f>
        <v>13.1</v>
      </c>
      <c r="C119" s="163">
        <f>IF(PMDBIGNALET[[#This Row],[2024]]="","",DONNÉES!CF204)</f>
        <v>14.14</v>
      </c>
      <c r="D119" s="109">
        <f>IF(PMDBIGNALET[[#This Row],[2024]]="","",DONNÉES!CE252)</f>
        <v>13.1</v>
      </c>
      <c r="E119" s="173">
        <f>IF(PMDBIGNALET[[#This Row],[2024]]="","",DONNÉES!CF252)</f>
        <v>14.14</v>
      </c>
      <c r="F119" s="109">
        <f>IF(PMDBIGNALET[[#This Row],[2024]]="","",DONNÉES!CE220)</f>
        <v>20.6</v>
      </c>
      <c r="G119" s="163">
        <f>IF(PMDBIGNALET[[#This Row],[2024]]="","",DONNÉES!CF220)</f>
        <v>19.95</v>
      </c>
      <c r="H119" s="109">
        <f>IF(PMDBIGNALET[[#This Row],[2024]]="","",DONNÉES!CE268)</f>
        <v>20.6</v>
      </c>
      <c r="I119" s="109">
        <f>IF(PMDBIGNALET[[#This Row],[2024]]="","",DONNÉES!CF268)</f>
        <v>19.95</v>
      </c>
      <c r="K119" s="109">
        <f>IF(PMDBIGNALET[[#This Row],[2024]]="","",DONNÉES!CE236)</f>
        <v>16.05</v>
      </c>
      <c r="L119" s="163">
        <f>IF(PMDBIGNALET[[#This Row],[2024]]="","",DONNÉES!CF236)</f>
        <v>17.95</v>
      </c>
      <c r="M119" s="109">
        <f>IF(PMDBIGNALET[[#This Row],[2024]]="","",DONNÉES!CE284)</f>
        <v>16.05</v>
      </c>
      <c r="N119" s="109">
        <f>IF(PMDBIGNALET[[#This Row],[2024]]="","",DONNÉES!CF284)</f>
        <v>17.95</v>
      </c>
    </row>
    <row r="120" spans="1:14" s="81" customFormat="1" ht="10.15" customHeight="1" x14ac:dyDescent="0.2">
      <c r="A120" s="170" t="s">
        <v>74</v>
      </c>
      <c r="B120" s="109" t="str">
        <f>IF(DONNÉES!CE205="","",DONNÉES!CE205)</f>
        <v/>
      </c>
      <c r="C120" s="163" t="str">
        <f>IF(PMDBIGNALET[[#This Row],[2024]]="","",DONNÉES!CF205)</f>
        <v/>
      </c>
      <c r="D120" s="109" t="str">
        <f>IF(PMDBIGNALET[[#This Row],[2024]]="","",DONNÉES!CE253)</f>
        <v/>
      </c>
      <c r="E120" s="173" t="str">
        <f>IF(PMDBIGNALET[[#This Row],[2024]]="","",DONNÉES!CF253)</f>
        <v/>
      </c>
      <c r="F120" s="109" t="str">
        <f>IF(PMDBIGNALET[[#This Row],[2024]]="","",DONNÉES!CE221)</f>
        <v/>
      </c>
      <c r="G120" s="163" t="str">
        <f>IF(PMDBIGNALET[[#This Row],[2024]]="","",DONNÉES!CF221)</f>
        <v/>
      </c>
      <c r="H120" s="109" t="str">
        <f>IF(PMDBIGNALET[[#This Row],[2024]]="","",DONNÉES!CE269)</f>
        <v/>
      </c>
      <c r="I120" s="109" t="str">
        <f>IF(PMDBIGNALET[[#This Row],[2024]]="","",DONNÉES!CF269)</f>
        <v/>
      </c>
      <c r="K120" s="109" t="str">
        <f>IF(PMDBIGNALET[[#This Row],[2024]]="","",DONNÉES!CE237)</f>
        <v/>
      </c>
      <c r="L120" s="163" t="str">
        <f>IF(PMDBIGNALET[[#This Row],[2024]]="","",DONNÉES!CF237)</f>
        <v/>
      </c>
      <c r="M120" s="109" t="str">
        <f>IF(PMDBIGNALET[[#This Row],[2024]]="","",DONNÉES!CE285)</f>
        <v/>
      </c>
      <c r="N120" s="109" t="str">
        <f>IF(PMDBIGNALET[[#This Row],[2024]]="","",DONNÉES!CF285)</f>
        <v/>
      </c>
    </row>
    <row r="121" spans="1:14" s="81" customFormat="1" ht="10.15" customHeight="1" x14ac:dyDescent="0.2">
      <c r="A121" s="169" t="s">
        <v>75</v>
      </c>
      <c r="B121" s="109" t="str">
        <f>IF(DONNÉES!CE206="","",DONNÉES!CE206)</f>
        <v/>
      </c>
      <c r="C121" s="163" t="str">
        <f>IF(PMDBIGNALET[[#This Row],[2024]]="","",DONNÉES!CF206)</f>
        <v/>
      </c>
      <c r="D121" s="109" t="str">
        <f>IF(PMDBIGNALET[[#This Row],[2024]]="","",DONNÉES!CE254)</f>
        <v/>
      </c>
      <c r="E121" s="173" t="str">
        <f>IF(PMDBIGNALET[[#This Row],[2024]]="","",DONNÉES!CF254)</f>
        <v/>
      </c>
      <c r="F121" s="109" t="str">
        <f>IF(PMDBIGNALET[[#This Row],[2024]]="","",DONNÉES!CE222)</f>
        <v/>
      </c>
      <c r="G121" s="163" t="str">
        <f>IF(PMDBIGNALET[[#This Row],[2024]]="","",DONNÉES!CF222)</f>
        <v/>
      </c>
      <c r="H121" s="109" t="str">
        <f>IF(PMDBIGNALET[[#This Row],[2024]]="","",DONNÉES!CE270)</f>
        <v/>
      </c>
      <c r="I121" s="109" t="str">
        <f>IF(PMDBIGNALET[[#This Row],[2024]]="","",DONNÉES!CF270)</f>
        <v/>
      </c>
      <c r="K121" s="109" t="str">
        <f>IF(PMDBIGNALET[[#This Row],[2024]]="","",DONNÉES!CE238)</f>
        <v/>
      </c>
      <c r="L121" s="163" t="str">
        <f>IF(PMDBIGNALET[[#This Row],[2024]]="","",DONNÉES!CF238)</f>
        <v/>
      </c>
      <c r="M121" s="109" t="str">
        <f>IF(PMDBIGNALET[[#This Row],[2024]]="","",DONNÉES!CE286)</f>
        <v/>
      </c>
      <c r="N121" s="109" t="str">
        <f>IF(PMDBIGNALET[[#This Row],[2024]]="","",DONNÉES!CF286)</f>
        <v/>
      </c>
    </row>
    <row r="122" spans="1:14" ht="10.15" customHeight="1" x14ac:dyDescent="0.2">
      <c r="A122" s="170" t="s">
        <v>76</v>
      </c>
      <c r="B122" s="109" t="str">
        <f>IF(DONNÉES!CE207="","",DONNÉES!CE207)</f>
        <v/>
      </c>
      <c r="C122" s="163" t="str">
        <f>IF(PMDBIGNALET[[#This Row],[2024]]="","",DONNÉES!CF207)</f>
        <v/>
      </c>
      <c r="D122" s="109" t="str">
        <f>IF(PMDBIGNALET[[#This Row],[2024]]="","",DONNÉES!CE255)</f>
        <v/>
      </c>
      <c r="E122" s="173" t="str">
        <f>IF(PMDBIGNALET[[#This Row],[2024]]="","",DONNÉES!CF255)</f>
        <v/>
      </c>
      <c r="F122" s="109" t="str">
        <f>IF(PMDBIGNALET[[#This Row],[2024]]="","",DONNÉES!CE223)</f>
        <v/>
      </c>
      <c r="G122" s="163" t="str">
        <f>IF(PMDBIGNALET[[#This Row],[2024]]="","",DONNÉES!CF223)</f>
        <v/>
      </c>
      <c r="H122" s="109" t="str">
        <f>IF(PMDBIGNALET[[#This Row],[2024]]="","",DONNÉES!CE271)</f>
        <v/>
      </c>
      <c r="I122" s="109" t="str">
        <f>IF(PMDBIGNALET[[#This Row],[2024]]="","",DONNÉES!CF271)</f>
        <v/>
      </c>
      <c r="J122" s="79"/>
      <c r="K122" s="109" t="str">
        <f>IF(PMDBIGNALET[[#This Row],[2024]]="","",DONNÉES!CE239)</f>
        <v/>
      </c>
      <c r="L122" s="163" t="str">
        <f>IF(PMDBIGNALET[[#This Row],[2024]]="","",DONNÉES!CF239)</f>
        <v/>
      </c>
      <c r="M122" s="109" t="str">
        <f>IF(PMDBIGNALET[[#This Row],[2024]]="","",DONNÉES!CE287)</f>
        <v/>
      </c>
      <c r="N122" s="109" t="str">
        <f>IF(PMDBIGNALET[[#This Row],[2024]]="","",DONNÉES!CF287)</f>
        <v/>
      </c>
    </row>
    <row r="123" spans="1:14" ht="10.15" customHeight="1" x14ac:dyDescent="0.2">
      <c r="A123" s="169" t="s">
        <v>77</v>
      </c>
      <c r="B123" s="109" t="str">
        <f>IF(DONNÉES!CE208="","",DONNÉES!CE208)</f>
        <v/>
      </c>
      <c r="C123" s="163" t="str">
        <f>IF(PMDBIGNALET[[#This Row],[2024]]="","",DONNÉES!CF208)</f>
        <v/>
      </c>
      <c r="D123" s="109" t="str">
        <f>IF(PMDBIGNALET[[#This Row],[2024]]="","",DONNÉES!CE256)</f>
        <v/>
      </c>
      <c r="E123" s="173" t="str">
        <f>IF(PMDBIGNALET[[#This Row],[2024]]="","",DONNÉES!CF256)</f>
        <v/>
      </c>
      <c r="F123" s="109" t="str">
        <f>IF(PMDBIGNALET[[#This Row],[2024]]="","",DONNÉES!CE224)</f>
        <v/>
      </c>
      <c r="G123" s="163" t="str">
        <f>IF(PMDBIGNALET[[#This Row],[2024]]="","",DONNÉES!CF224)</f>
        <v/>
      </c>
      <c r="H123" s="109" t="str">
        <f>IF(PMDBIGNALET[[#This Row],[2024]]="","",DONNÉES!CE272)</f>
        <v/>
      </c>
      <c r="I123" s="109" t="str">
        <f>IF(PMDBIGNALET[[#This Row],[2024]]="","",DONNÉES!CF272)</f>
        <v/>
      </c>
      <c r="J123" s="79"/>
      <c r="K123" s="109" t="str">
        <f>IF(PMDBIGNALET[[#This Row],[2024]]="","",DONNÉES!CE240)</f>
        <v/>
      </c>
      <c r="L123" s="163" t="str">
        <f>IF(PMDBIGNALET[[#This Row],[2024]]="","",DONNÉES!CF240)</f>
        <v/>
      </c>
      <c r="M123" s="109" t="str">
        <f>IF(PMDBIGNALET[[#This Row],[2024]]="","",DONNÉES!CE288)</f>
        <v/>
      </c>
      <c r="N123" s="109" t="str">
        <f>IF(PMDBIGNALET[[#This Row],[2024]]="","",DONNÉES!CF288)</f>
        <v/>
      </c>
    </row>
    <row r="124" spans="1:14" ht="10.15" customHeight="1" x14ac:dyDescent="0.2">
      <c r="A124" s="170" t="s">
        <v>78</v>
      </c>
      <c r="B124" s="109" t="str">
        <f>IF(DONNÉES!CE209="","",DONNÉES!CE209)</f>
        <v/>
      </c>
      <c r="C124" s="163" t="str">
        <f>IF(PMDBIGNALET[[#This Row],[2024]]="","",DONNÉES!CF209)</f>
        <v/>
      </c>
      <c r="D124" s="109" t="str">
        <f>IF(PMDBIGNALET[[#This Row],[2024]]="","",DONNÉES!CE257)</f>
        <v/>
      </c>
      <c r="E124" s="173" t="str">
        <f>IF(PMDBIGNALET[[#This Row],[2024]]="","",DONNÉES!CF257)</f>
        <v/>
      </c>
      <c r="F124" s="109" t="str">
        <f>IF(PMDBIGNALET[[#This Row],[2024]]="","",DONNÉES!CE225)</f>
        <v/>
      </c>
      <c r="G124" s="163" t="str">
        <f>IF(PMDBIGNALET[[#This Row],[2024]]="","",DONNÉES!CF225)</f>
        <v/>
      </c>
      <c r="H124" s="109" t="str">
        <f>IF(PMDBIGNALET[[#This Row],[2024]]="","",DONNÉES!CE273)</f>
        <v/>
      </c>
      <c r="I124" s="109" t="str">
        <f>IF(PMDBIGNALET[[#This Row],[2024]]="","",DONNÉES!CF273)</f>
        <v/>
      </c>
      <c r="J124" s="79"/>
      <c r="K124" s="109" t="str">
        <f>IF(PMDBIGNALET[[#This Row],[2024]]="","",DONNÉES!CE241)</f>
        <v/>
      </c>
      <c r="L124" s="163" t="str">
        <f>IF(PMDBIGNALET[[#This Row],[2024]]="","",DONNÉES!CF241)</f>
        <v/>
      </c>
      <c r="M124" s="109" t="str">
        <f>IF(PMDBIGNALET[[#This Row],[2024]]="","",DONNÉES!CE289)</f>
        <v/>
      </c>
      <c r="N124" s="109" t="str">
        <f>IF(PMDBIGNALET[[#This Row],[2024]]="","",DONNÉES!CF289)</f>
        <v/>
      </c>
    </row>
    <row r="125" spans="1:14" ht="10.15" customHeight="1" x14ac:dyDescent="0.2">
      <c r="A125" s="169" t="s">
        <v>79</v>
      </c>
      <c r="B125" s="109" t="str">
        <f>IF(DONNÉES!CE210="","",DONNÉES!CE210)</f>
        <v/>
      </c>
      <c r="C125" s="163" t="str">
        <f>IF(PMDBIGNALET[[#This Row],[2024]]="","",DONNÉES!CF210)</f>
        <v/>
      </c>
      <c r="D125" s="109" t="str">
        <f>IF(PMDBIGNALET[[#This Row],[2024]]="","",DONNÉES!CE258)</f>
        <v/>
      </c>
      <c r="E125" s="173" t="str">
        <f>IF(PMDBIGNALET[[#This Row],[2024]]="","",DONNÉES!CF258)</f>
        <v/>
      </c>
      <c r="F125" s="109" t="str">
        <f>IF(PMDBIGNALET[[#This Row],[2024]]="","",DONNÉES!CE226)</f>
        <v/>
      </c>
      <c r="G125" s="163" t="str">
        <f>IF(PMDBIGNALET[[#This Row],[2024]]="","",DONNÉES!CF226)</f>
        <v/>
      </c>
      <c r="H125" s="109" t="str">
        <f>IF(PMDBIGNALET[[#This Row],[2024]]="","",DONNÉES!CE274)</f>
        <v/>
      </c>
      <c r="I125" s="109" t="str">
        <f>IF(PMDBIGNALET[[#This Row],[2024]]="","",DONNÉES!CF274)</f>
        <v/>
      </c>
      <c r="J125" s="79"/>
      <c r="K125" s="109" t="str">
        <f>IF(PMDBIGNALET[[#This Row],[2024]]="","",DONNÉES!CE242)</f>
        <v/>
      </c>
      <c r="L125" s="163" t="str">
        <f>IF(PMDBIGNALET[[#This Row],[2024]]="","",DONNÉES!CF242)</f>
        <v/>
      </c>
      <c r="M125" s="109" t="str">
        <f>IF(PMDBIGNALET[[#This Row],[2024]]="","",DONNÉES!CE290)</f>
        <v/>
      </c>
      <c r="N125" s="109" t="str">
        <f>IF(PMDBIGNALET[[#This Row],[2024]]="","",DONNÉES!CF290)</f>
        <v/>
      </c>
    </row>
    <row r="126" spans="1:14" ht="10.15" customHeight="1" x14ac:dyDescent="0.2">
      <c r="A126" s="170" t="s">
        <v>80</v>
      </c>
      <c r="B126" s="109" t="str">
        <f>IF(DONNÉES!CE211="","",DONNÉES!CE211)</f>
        <v/>
      </c>
      <c r="C126" s="163" t="str">
        <f>IF(PMDBIGNALET[[#This Row],[2024]]="","",DONNÉES!CF211)</f>
        <v/>
      </c>
      <c r="D126" s="109" t="str">
        <f>IF(PMDBIGNALET[[#This Row],[2024]]="","",DONNÉES!CE259)</f>
        <v/>
      </c>
      <c r="E126" s="173" t="str">
        <f>IF(PMDBIGNALET[[#This Row],[2024]]="","",DONNÉES!CF259)</f>
        <v/>
      </c>
      <c r="F126" s="109" t="str">
        <f>IF(PMDBIGNALET[[#This Row],[2024]]="","",DONNÉES!CE227)</f>
        <v/>
      </c>
      <c r="G126" s="163" t="str">
        <f>IF(PMDBIGNALET[[#This Row],[2024]]="","",DONNÉES!CF227)</f>
        <v/>
      </c>
      <c r="H126" s="109" t="str">
        <f>IF(PMDBIGNALET[[#This Row],[2024]]="","",DONNÉES!CE275)</f>
        <v/>
      </c>
      <c r="I126" s="109" t="str">
        <f>IF(PMDBIGNALET[[#This Row],[2024]]="","",DONNÉES!CF275)</f>
        <v/>
      </c>
      <c r="J126" s="79"/>
      <c r="K126" s="109" t="str">
        <f>IF(PMDBIGNALET[[#This Row],[2024]]="","",DONNÉES!CE243)</f>
        <v/>
      </c>
      <c r="L126" s="163" t="str">
        <f>IF(PMDBIGNALET[[#This Row],[2024]]="","",DONNÉES!CF243)</f>
        <v/>
      </c>
      <c r="M126" s="109" t="str">
        <f>IF(PMDBIGNALET[[#This Row],[2024]]="","",DONNÉES!CE291)</f>
        <v/>
      </c>
      <c r="N126" s="109" t="str">
        <f>IF(PMDBIGNALET[[#This Row],[2024]]="","",DONNÉES!CF291)</f>
        <v/>
      </c>
    </row>
    <row r="127" spans="1:14" ht="10.15" customHeight="1" x14ac:dyDescent="0.2">
      <c r="A127" s="169" t="s">
        <v>81</v>
      </c>
      <c r="B127" s="110" t="str">
        <f>IF(DONNÉES!CE212="","",DONNÉES!CE212)</f>
        <v/>
      </c>
      <c r="C127" s="165" t="str">
        <f>IF(PMDBIGNALET[[#This Row],[2024]]="","",DONNÉES!CF212)</f>
        <v/>
      </c>
      <c r="D127" s="110" t="str">
        <f>IF(PMDBIGNALET[[#This Row],[2024]]="","",DONNÉES!CE260)</f>
        <v/>
      </c>
      <c r="E127" s="174" t="str">
        <f>IF(PMDBIGNALET[[#This Row],[2024]]="","",DONNÉES!CF260)</f>
        <v/>
      </c>
      <c r="F127" s="110" t="str">
        <f>IF(PMDBIGNALET[[#This Row],[2024]]="","",DONNÉES!CE228)</f>
        <v/>
      </c>
      <c r="G127" s="165" t="str">
        <f>IF(PMDBIGNALET[[#This Row],[2024]]="","",DONNÉES!CF228)</f>
        <v/>
      </c>
      <c r="H127" s="110" t="str">
        <f>IF(PMDBIGNALET[[#This Row],[2024]]="","",DONNÉES!CE276)</f>
        <v/>
      </c>
      <c r="I127" s="110" t="str">
        <f>IF(PMDBIGNALET[[#This Row],[2024]]="","",DONNÉES!CF276)</f>
        <v/>
      </c>
      <c r="J127" s="82"/>
      <c r="K127" s="110" t="str">
        <f>IF(PMDBIGNALET[[#This Row],[2024]]="","",DONNÉES!CE244)</f>
        <v/>
      </c>
      <c r="L127" s="165" t="str">
        <f>IF(PMDBIGNALET[[#This Row],[2024]]="","",DONNÉES!CF244)</f>
        <v/>
      </c>
      <c r="M127" s="110" t="str">
        <f>IF(PMDBIGNALET[[#This Row],[2024]]="","",DONNÉES!CE292)</f>
        <v/>
      </c>
      <c r="N127" s="110" t="str">
        <f>IF(PMDBIGNALET[[#This Row],[2024]]="","",DONNÉES!CF292)</f>
        <v/>
      </c>
    </row>
    <row r="128" spans="1:14" ht="10.15" customHeight="1" x14ac:dyDescent="0.2">
      <c r="A128" s="170" t="s">
        <v>82</v>
      </c>
      <c r="B128" s="110" t="str">
        <f>IF(DONNÉES!CE213="","",DONNÉES!CE213)</f>
        <v/>
      </c>
      <c r="C128" s="165" t="str">
        <f>IF(PMDBIGNALET[[#This Row],[2024]]="","",DONNÉES!CF213)</f>
        <v/>
      </c>
      <c r="D128" s="110" t="str">
        <f>IF(PMDBIGNALET[[#This Row],[2024]]="","",DONNÉES!CE261)</f>
        <v/>
      </c>
      <c r="E128" s="174" t="str">
        <f>IF(PMDBIGNALET[[#This Row],[2024]]="","",DONNÉES!CF261)</f>
        <v/>
      </c>
      <c r="F128" s="110" t="str">
        <f>IF(PMDBIGNALET[[#This Row],[2024]]="","",DONNÉES!CE229)</f>
        <v/>
      </c>
      <c r="G128" s="165" t="str">
        <f>IF(PMDBIGNALET[[#This Row],[2024]]="","",DONNÉES!CF229)</f>
        <v/>
      </c>
      <c r="H128" s="110" t="str">
        <f>IF(PMDBIGNALET[[#This Row],[2024]]="","",DONNÉES!CE277)</f>
        <v/>
      </c>
      <c r="I128" s="110" t="str">
        <f>IF(PMDBIGNALET[[#This Row],[2024]]="","",DONNÉES!CF277)</f>
        <v/>
      </c>
      <c r="J128" s="79"/>
      <c r="K128" s="110" t="str">
        <f>IF(PMDBIGNALET[[#This Row],[2024]]="","",DONNÉES!CE245)</f>
        <v/>
      </c>
      <c r="L128" s="165" t="str">
        <f>IF(PMDBIGNALET[[#This Row],[2024]]="","",DONNÉES!CF245)</f>
        <v/>
      </c>
      <c r="M128" s="110" t="str">
        <f>IF(PMDBIGNALET[[#This Row],[2024]]="","",DONNÉES!CE293)</f>
        <v/>
      </c>
      <c r="N128" s="110" t="str">
        <f>IF(PMDBIGNALET[[#This Row],[2024]]="","",DONNÉES!CF293)</f>
        <v/>
      </c>
    </row>
    <row r="129" spans="1:14" s="81" customFormat="1" ht="10.15" customHeight="1" x14ac:dyDescent="0.2">
      <c r="A129" s="169" t="s">
        <v>83</v>
      </c>
      <c r="B129" s="110" t="str">
        <f>IF(DONNÉES!CE214="","",DONNÉES!CE214)</f>
        <v/>
      </c>
      <c r="C129" s="165" t="str">
        <f>IF(PMDBIGNALET[[#This Row],[2024]]="","",DONNÉES!CF214)</f>
        <v/>
      </c>
      <c r="D129" s="110" t="str">
        <f>IF(PMDBIGNALET[[#This Row],[2024]]="","",DONNÉES!CE262)</f>
        <v/>
      </c>
      <c r="E129" s="174" t="str">
        <f>IF(PMDBIGNALET[[#This Row],[2024]]="","",DONNÉES!CF262)</f>
        <v/>
      </c>
      <c r="F129" s="110" t="str">
        <f>IF(PMDBIGNALET[[#This Row],[2024]]="","",DONNÉES!CE230)</f>
        <v/>
      </c>
      <c r="G129" s="165" t="str">
        <f>IF(PMDBIGNALET[[#This Row],[2024]]="","",DONNÉES!CF230)</f>
        <v/>
      </c>
      <c r="H129" s="110" t="str">
        <f>IF(PMDBIGNALET[[#This Row],[2024]]="","",DONNÉES!CE278)</f>
        <v/>
      </c>
      <c r="I129" s="110" t="str">
        <f>IF(PMDBIGNALET[[#This Row],[2024]]="","",DONNÉES!CF278)</f>
        <v/>
      </c>
      <c r="K129" s="110" t="str">
        <f>IF(PMDBIGNALET[[#This Row],[2024]]="","",DONNÉES!CE246)</f>
        <v/>
      </c>
      <c r="L129" s="165" t="str">
        <f>IF(PMDBIGNALET[[#This Row],[2024]]="","",DONNÉES!CF246)</f>
        <v/>
      </c>
      <c r="M129" s="110" t="str">
        <f>IF(PMDBIGNALET[[#This Row],[2024]]="","",DONNÉES!CE294)</f>
        <v/>
      </c>
      <c r="N129" s="110" t="str">
        <f>IF(PMDBIGNALET[[#This Row],[2024]]="","",DONNÉES!CF294)</f>
        <v/>
      </c>
    </row>
    <row r="130" spans="1:14" s="81" customFormat="1" ht="10.15" customHeight="1" x14ac:dyDescent="0.2">
      <c r="A130" s="169" t="s">
        <v>84</v>
      </c>
      <c r="B130" s="110" t="str">
        <f>IF(DONNÉES!CE215="","",DONNÉES!CE215)</f>
        <v/>
      </c>
      <c r="C130" s="165" t="str">
        <f>IF(PMDBIGNALET[[#This Row],[2024]]="","",DONNÉES!CF215)</f>
        <v/>
      </c>
      <c r="D130" s="110" t="str">
        <f>IF(PMDBIGNALET[[#This Row],[2024]]="","",DONNÉES!CE263)</f>
        <v/>
      </c>
      <c r="E130" s="174" t="str">
        <f>IF(PMDBIGNALET[[#This Row],[2024]]="","",DONNÉES!CF263)</f>
        <v/>
      </c>
      <c r="F130" s="110" t="str">
        <f>IF(PMDBIGNALET[[#This Row],[2024]]="","",DONNÉES!CE231)</f>
        <v/>
      </c>
      <c r="G130" s="165" t="str">
        <f>IF(PMDBIGNALET[[#This Row],[2024]]="","",DONNÉES!CF231)</f>
        <v/>
      </c>
      <c r="H130" s="110" t="str">
        <f>IF(PMDBIGNALET[[#This Row],[2024]]="","",DONNÉES!CE279)</f>
        <v/>
      </c>
      <c r="I130" s="110" t="str">
        <f>IF(PMDBIGNALET[[#This Row],[2024]]="","",DONNÉES!CF279)</f>
        <v/>
      </c>
      <c r="K130" s="110" t="str">
        <f>IF(PMDBIGNALET[[#This Row],[2024]]="","",DONNÉES!CE247)</f>
        <v/>
      </c>
      <c r="L130" s="165" t="str">
        <f>IF(PMDBIGNALET[[#This Row],[2024]]="","",DONNÉES!CF247)</f>
        <v/>
      </c>
      <c r="M130" s="110" t="str">
        <f>IF(PMDBIGNALET[[#This Row],[2024]]="","",DONNÉES!CE295)</f>
        <v/>
      </c>
      <c r="N130" s="110" t="str">
        <f>IF(PMDBIGNALET[[#This Row],[2024]]="","",DONNÉES!CF295)</f>
        <v/>
      </c>
    </row>
    <row r="131" spans="1:14" s="81" customFormat="1" ht="11.65" customHeight="1" x14ac:dyDescent="0.2">
      <c r="A131" s="171" t="s">
        <v>134</v>
      </c>
      <c r="B131" s="111">
        <f>SUBTOTAL(101,PMDBIGNALET[2024])</f>
        <v>13.1</v>
      </c>
      <c r="C131" s="167">
        <f>SUBTOTAL(101,PMDBIGNALET[2023])</f>
        <v>14.14</v>
      </c>
      <c r="D131" s="167">
        <f>SUBTOTAL(101,PMDBIGNALET[2024 cumul])</f>
        <v>13.1</v>
      </c>
      <c r="E131" s="175">
        <f>SUBTOTAL(101,PMDBIGNALET[2023 cumul])</f>
        <v>14.14</v>
      </c>
      <c r="F131" s="117">
        <f>SUBTOTAL(101,PMDBIGNALET[[2024  ]])</f>
        <v>20.6</v>
      </c>
      <c r="G131" s="164">
        <f>SUBTOTAL(101,PMDBIGNALET[[2023  ]])</f>
        <v>19.95</v>
      </c>
      <c r="H131" s="111">
        <f>SUBTOTAL(101,PMDBIGNALET[[2024 cumul ]])</f>
        <v>20.6</v>
      </c>
      <c r="I131" s="111">
        <f>SUBTOTAL(101,PMDBIGNALET[[2023 cumul ]])</f>
        <v>19.95</v>
      </c>
      <c r="K131" s="111">
        <f>SUBTOTAL(101,PMDR314[[2024  ]])</f>
        <v>16.05</v>
      </c>
      <c r="L131" s="167">
        <f>SUBTOTAL(101,PMDR314[[2023  ]])</f>
        <v>17.95</v>
      </c>
      <c r="M131" s="111">
        <f>SUBTOTAL(101,PMDR314[[2024 cumul ]])</f>
        <v>16.05</v>
      </c>
      <c r="N131" s="111">
        <f>SUBTOTAL(101,PMDR314[[2023 cumul ]])</f>
        <v>17.95</v>
      </c>
    </row>
    <row r="132" spans="1:14" ht="12" customHeight="1" x14ac:dyDescent="0.2">
      <c r="H132" s="79"/>
    </row>
    <row r="133" spans="1:14" ht="15" customHeight="1" x14ac:dyDescent="0.2">
      <c r="A133" s="255"/>
      <c r="B133" s="337" t="s">
        <v>195</v>
      </c>
      <c r="C133" s="337"/>
      <c r="D133" s="337"/>
      <c r="E133" s="338"/>
      <c r="F133" s="337" t="s">
        <v>196</v>
      </c>
      <c r="G133" s="337"/>
      <c r="H133" s="337"/>
      <c r="I133" s="337"/>
      <c r="J133" s="107"/>
      <c r="K133" s="337" t="s">
        <v>197</v>
      </c>
      <c r="L133" s="337"/>
      <c r="M133" s="337"/>
      <c r="N133" s="337"/>
    </row>
    <row r="134" spans="1:14" ht="30" customHeight="1" x14ac:dyDescent="0.2">
      <c r="A134" s="169" t="s">
        <v>294</v>
      </c>
      <c r="B134" s="108" t="s">
        <v>6962</v>
      </c>
      <c r="C134" s="166" t="s">
        <v>2169</v>
      </c>
      <c r="D134" s="108" t="s">
        <v>6986</v>
      </c>
      <c r="E134" s="172" t="s">
        <v>6944</v>
      </c>
      <c r="F134" s="108" t="s">
        <v>6987</v>
      </c>
      <c r="G134" s="166" t="s">
        <v>6945</v>
      </c>
      <c r="H134" s="108" t="s">
        <v>6988</v>
      </c>
      <c r="I134" s="124" t="s">
        <v>6946</v>
      </c>
      <c r="J134" s="79"/>
      <c r="K134" s="108" t="s">
        <v>6987</v>
      </c>
      <c r="L134" s="166" t="s">
        <v>6945</v>
      </c>
      <c r="M134" s="108" t="s">
        <v>6988</v>
      </c>
      <c r="N134" s="172" t="s">
        <v>6946</v>
      </c>
    </row>
    <row r="135" spans="1:14" s="81" customFormat="1" ht="10.15" customHeight="1" x14ac:dyDescent="0.2">
      <c r="A135" s="170" t="s">
        <v>73</v>
      </c>
      <c r="B135" s="109">
        <f>IF(DONNÉES!CM204="","",DONNÉES!CM204)</f>
        <v>15.93</v>
      </c>
      <c r="C135" s="163">
        <f>IF(PMDCINE[[#This Row],[2024]]="","",DONNÉES!CN204)</f>
        <v>15.57</v>
      </c>
      <c r="D135" s="109">
        <f>IF(PMDCINE[[#This Row],[2024]]="","",DONNÉES!CM252)</f>
        <v>15.93</v>
      </c>
      <c r="E135" s="173">
        <f>IF(PMDCINE[[#This Row],[2024]]="","",DONNÉES!CN252)</f>
        <v>15.57</v>
      </c>
      <c r="F135" s="109">
        <f>IF(PMDCINE[[#This Row],[2024]]="","",DONNÉES!CM220)</f>
        <v>21.34</v>
      </c>
      <c r="G135" s="163">
        <f>IF(PMDCINE[[#This Row],[2024]]="","",DONNÉES!CN220)</f>
        <v>20.260000000000002</v>
      </c>
      <c r="H135" s="109">
        <f>IF(PMDCINE[[#This Row],[2024]]="","",DONNÉES!CM268)</f>
        <v>21.34</v>
      </c>
      <c r="I135" s="109">
        <f>IF(PMDCINE[[#This Row],[2024]]="","",DONNÉES!CN268)</f>
        <v>20.260000000000002</v>
      </c>
      <c r="K135" s="109">
        <f>IF(PMDCINE[[#This Row],[2024]]="","",DONNÉES!CM236)</f>
        <v>17.899999999999999</v>
      </c>
      <c r="L135" s="163">
        <f>IF(PMDCINE[[#This Row],[2024]]="","",DONNÉES!CN236)</f>
        <v>17.13</v>
      </c>
      <c r="M135" s="109">
        <f>IF(PMDCINE[[#This Row],[2024]]="","",DONNÉES!CM284)</f>
        <v>17.899999999999999</v>
      </c>
      <c r="N135" s="109">
        <f>IF(PMDCINE[[#This Row],[2024]]="","",DONNÉES!CN284)</f>
        <v>17.13</v>
      </c>
    </row>
    <row r="136" spans="1:14" s="81" customFormat="1" ht="10.15" customHeight="1" x14ac:dyDescent="0.2">
      <c r="A136" s="170" t="s">
        <v>74</v>
      </c>
      <c r="B136" s="109" t="str">
        <f>IF(DONNÉES!CM205="","",DONNÉES!CM205)</f>
        <v/>
      </c>
      <c r="C136" s="163" t="str">
        <f>IF(PMDCINE[[#This Row],[2024]]="","",DONNÉES!CN205)</f>
        <v/>
      </c>
      <c r="D136" s="109" t="str">
        <f>IF(PMDCINE[[#This Row],[2024]]="","",DONNÉES!CM253)</f>
        <v/>
      </c>
      <c r="E136" s="173" t="str">
        <f>IF(PMDCINE[[#This Row],[2024]]="","",DONNÉES!CN253)</f>
        <v/>
      </c>
      <c r="F136" s="109" t="str">
        <f>IF(PMDCINE[[#This Row],[2024]]="","",DONNÉES!CM221)</f>
        <v/>
      </c>
      <c r="G136" s="163" t="str">
        <f>IF(PMDCINE[[#This Row],[2024]]="","",DONNÉES!CN221)</f>
        <v/>
      </c>
      <c r="H136" s="109" t="str">
        <f>IF(PMDCINE[[#This Row],[2024]]="","",DONNÉES!CM269)</f>
        <v/>
      </c>
      <c r="I136" s="109" t="str">
        <f>IF(PMDCINE[[#This Row],[2024]]="","",DONNÉES!CN269)</f>
        <v/>
      </c>
      <c r="K136" s="109" t="str">
        <f>IF(PMDCINE[[#This Row],[2024]]="","",DONNÉES!CM237)</f>
        <v/>
      </c>
      <c r="L136" s="163" t="str">
        <f>IF(PMDCINE[[#This Row],[2024]]="","",DONNÉES!CN237)</f>
        <v/>
      </c>
      <c r="M136" s="109" t="str">
        <f>IF(PMDCINE[[#This Row],[2024]]="","",DONNÉES!CM285)</f>
        <v/>
      </c>
      <c r="N136" s="109" t="str">
        <f>IF(PMDCINE[[#This Row],[2024]]="","",DONNÉES!CN285)</f>
        <v/>
      </c>
    </row>
    <row r="137" spans="1:14" s="81" customFormat="1" ht="10.15" customHeight="1" x14ac:dyDescent="0.2">
      <c r="A137" s="169" t="s">
        <v>75</v>
      </c>
      <c r="B137" s="109" t="str">
        <f>IF(DONNÉES!CM206="","",DONNÉES!CM206)</f>
        <v/>
      </c>
      <c r="C137" s="163" t="str">
        <f>IF(PMDCINE[[#This Row],[2024]]="","",DONNÉES!CN206)</f>
        <v/>
      </c>
      <c r="D137" s="109" t="str">
        <f>IF(PMDCINE[[#This Row],[2024]]="","",DONNÉES!CM254)</f>
        <v/>
      </c>
      <c r="E137" s="173" t="str">
        <f>IF(PMDCINE[[#This Row],[2024]]="","",DONNÉES!CN254)</f>
        <v/>
      </c>
      <c r="F137" s="109" t="str">
        <f>IF(PMDCINE[[#This Row],[2024]]="","",DONNÉES!CM222)</f>
        <v/>
      </c>
      <c r="G137" s="163" t="str">
        <f>IF(PMDCINE[[#This Row],[2024]]="","",DONNÉES!CN222)</f>
        <v/>
      </c>
      <c r="H137" s="109" t="str">
        <f>IF(PMDCINE[[#This Row],[2024]]="","",DONNÉES!CM270)</f>
        <v/>
      </c>
      <c r="I137" s="109" t="str">
        <f>IF(PMDCINE[[#This Row],[2024]]="","",DONNÉES!CN270)</f>
        <v/>
      </c>
      <c r="K137" s="109" t="str">
        <f>IF(PMDCINE[[#This Row],[2024]]="","",DONNÉES!CM238)</f>
        <v/>
      </c>
      <c r="L137" s="163" t="str">
        <f>IF(PMDCINE[[#This Row],[2024]]="","",DONNÉES!CN238)</f>
        <v/>
      </c>
      <c r="M137" s="109" t="str">
        <f>IF(PMDCINE[[#This Row],[2024]]="","",DONNÉES!CM286)</f>
        <v/>
      </c>
      <c r="N137" s="109" t="str">
        <f>IF(PMDCINE[[#This Row],[2024]]="","",DONNÉES!CN286)</f>
        <v/>
      </c>
    </row>
    <row r="138" spans="1:14" ht="10.15" customHeight="1" x14ac:dyDescent="0.2">
      <c r="A138" s="170" t="s">
        <v>76</v>
      </c>
      <c r="B138" s="109" t="str">
        <f>IF(DONNÉES!CM207="","",DONNÉES!CM207)</f>
        <v/>
      </c>
      <c r="C138" s="163" t="str">
        <f>IF(PMDCINE[[#This Row],[2024]]="","",DONNÉES!CN207)</f>
        <v/>
      </c>
      <c r="D138" s="109" t="str">
        <f>IF(PMDCINE[[#This Row],[2024]]="","",DONNÉES!CM255)</f>
        <v/>
      </c>
      <c r="E138" s="173" t="str">
        <f>IF(PMDCINE[[#This Row],[2024]]="","",DONNÉES!CN255)</f>
        <v/>
      </c>
      <c r="F138" s="109" t="str">
        <f>IF(PMDCINE[[#This Row],[2024]]="","",DONNÉES!CM223)</f>
        <v/>
      </c>
      <c r="G138" s="163" t="str">
        <f>IF(PMDCINE[[#This Row],[2024]]="","",DONNÉES!CN223)</f>
        <v/>
      </c>
      <c r="H138" s="109" t="str">
        <f>IF(PMDCINE[[#This Row],[2024]]="","",DONNÉES!CM271)</f>
        <v/>
      </c>
      <c r="I138" s="109" t="str">
        <f>IF(PMDCINE[[#This Row],[2024]]="","",DONNÉES!CN271)</f>
        <v/>
      </c>
      <c r="J138" s="79"/>
      <c r="K138" s="109" t="str">
        <f>IF(PMDCINE[[#This Row],[2024]]="","",DONNÉES!CM239)</f>
        <v/>
      </c>
      <c r="L138" s="163" t="str">
        <f>IF(PMDCINE[[#This Row],[2024]]="","",DONNÉES!CN239)</f>
        <v/>
      </c>
      <c r="M138" s="109" t="str">
        <f>IF(PMDCINE[[#This Row],[2024]]="","",DONNÉES!CM287)</f>
        <v/>
      </c>
      <c r="N138" s="109" t="str">
        <f>IF(PMDCINE[[#This Row],[2024]]="","",DONNÉES!CN287)</f>
        <v/>
      </c>
    </row>
    <row r="139" spans="1:14" ht="10.15" customHeight="1" x14ac:dyDescent="0.2">
      <c r="A139" s="169" t="s">
        <v>77</v>
      </c>
      <c r="B139" s="109" t="str">
        <f>IF(DONNÉES!CM208="","",DONNÉES!CM208)</f>
        <v/>
      </c>
      <c r="C139" s="163" t="str">
        <f>IF(PMDCINE[[#This Row],[2024]]="","",DONNÉES!CN208)</f>
        <v/>
      </c>
      <c r="D139" s="109" t="str">
        <f>IF(PMDCINE[[#This Row],[2024]]="","",DONNÉES!CM256)</f>
        <v/>
      </c>
      <c r="E139" s="173" t="str">
        <f>IF(PMDCINE[[#This Row],[2024]]="","",DONNÉES!CN256)</f>
        <v/>
      </c>
      <c r="F139" s="109" t="str">
        <f>IF(PMDCINE[[#This Row],[2024]]="","",DONNÉES!CM224)</f>
        <v/>
      </c>
      <c r="G139" s="163" t="str">
        <f>IF(PMDCINE[[#This Row],[2024]]="","",DONNÉES!CN224)</f>
        <v/>
      </c>
      <c r="H139" s="109" t="str">
        <f>IF(PMDCINE[[#This Row],[2024]]="","",DONNÉES!CM272)</f>
        <v/>
      </c>
      <c r="I139" s="109" t="str">
        <f>IF(PMDCINE[[#This Row],[2024]]="","",DONNÉES!CN272)</f>
        <v/>
      </c>
      <c r="J139" s="79"/>
      <c r="K139" s="109" t="str">
        <f>IF(PMDCINE[[#This Row],[2024]]="","",DONNÉES!CM240)</f>
        <v/>
      </c>
      <c r="L139" s="163" t="str">
        <f>IF(PMDCINE[[#This Row],[2024]]="","",DONNÉES!CN240)</f>
        <v/>
      </c>
      <c r="M139" s="109" t="str">
        <f>IF(PMDCINE[[#This Row],[2024]]="","",DONNÉES!CM288)</f>
        <v/>
      </c>
      <c r="N139" s="109" t="str">
        <f>IF(PMDCINE[[#This Row],[2024]]="","",DONNÉES!CN288)</f>
        <v/>
      </c>
    </row>
    <row r="140" spans="1:14" ht="10.15" customHeight="1" x14ac:dyDescent="0.2">
      <c r="A140" s="170" t="s">
        <v>78</v>
      </c>
      <c r="B140" s="109" t="str">
        <f>IF(DONNÉES!CM209="","",DONNÉES!CM209)</f>
        <v/>
      </c>
      <c r="C140" s="163" t="str">
        <f>IF(PMDCINE[[#This Row],[2024]]="","",DONNÉES!CN209)</f>
        <v/>
      </c>
      <c r="D140" s="109" t="str">
        <f>IF(PMDCINE[[#This Row],[2024]]="","",DONNÉES!CM257)</f>
        <v/>
      </c>
      <c r="E140" s="173" t="str">
        <f>IF(PMDCINE[[#This Row],[2024]]="","",DONNÉES!CN257)</f>
        <v/>
      </c>
      <c r="F140" s="109" t="str">
        <f>IF(PMDCINE[[#This Row],[2024]]="","",DONNÉES!CM225)</f>
        <v/>
      </c>
      <c r="G140" s="163" t="str">
        <f>IF(PMDCINE[[#This Row],[2024]]="","",DONNÉES!CN225)</f>
        <v/>
      </c>
      <c r="H140" s="109" t="str">
        <f>IF(PMDCINE[[#This Row],[2024]]="","",DONNÉES!CM273)</f>
        <v/>
      </c>
      <c r="I140" s="109" t="str">
        <f>IF(PMDCINE[[#This Row],[2024]]="","",DONNÉES!CN273)</f>
        <v/>
      </c>
      <c r="J140" s="79"/>
      <c r="K140" s="109" t="str">
        <f>IF(PMDCINE[[#This Row],[2024]]="","",DONNÉES!CM241)</f>
        <v/>
      </c>
      <c r="L140" s="163" t="str">
        <f>IF(PMDCINE[[#This Row],[2024]]="","",DONNÉES!CN241)</f>
        <v/>
      </c>
      <c r="M140" s="109" t="str">
        <f>IF(PMDCINE[[#This Row],[2024]]="","",DONNÉES!CM289)</f>
        <v/>
      </c>
      <c r="N140" s="109" t="str">
        <f>IF(PMDCINE[[#This Row],[2024]]="","",DONNÉES!CN289)</f>
        <v/>
      </c>
    </row>
    <row r="141" spans="1:14" ht="10.15" customHeight="1" x14ac:dyDescent="0.2">
      <c r="A141" s="169" t="s">
        <v>79</v>
      </c>
      <c r="B141" s="109" t="str">
        <f>IF(DONNÉES!CM210="","",DONNÉES!CM210)</f>
        <v/>
      </c>
      <c r="C141" s="163" t="str">
        <f>IF(PMDCINE[[#This Row],[2024]]="","",DONNÉES!CN210)</f>
        <v/>
      </c>
      <c r="D141" s="109" t="str">
        <f>IF(PMDCINE[[#This Row],[2024]]="","",DONNÉES!CM258)</f>
        <v/>
      </c>
      <c r="E141" s="173" t="str">
        <f>IF(PMDCINE[[#This Row],[2024]]="","",DONNÉES!CN258)</f>
        <v/>
      </c>
      <c r="F141" s="109" t="str">
        <f>IF(PMDCINE[[#This Row],[2024]]="","",DONNÉES!CM226)</f>
        <v/>
      </c>
      <c r="G141" s="163" t="str">
        <f>IF(PMDCINE[[#This Row],[2024]]="","",DONNÉES!CN226)</f>
        <v/>
      </c>
      <c r="H141" s="109" t="str">
        <f>IF(PMDCINE[[#This Row],[2024]]="","",DONNÉES!CM274)</f>
        <v/>
      </c>
      <c r="I141" s="109" t="str">
        <f>IF(PMDCINE[[#This Row],[2024]]="","",DONNÉES!CN274)</f>
        <v/>
      </c>
      <c r="J141" s="79"/>
      <c r="K141" s="109" t="str">
        <f>IF(PMDCINE[[#This Row],[2024]]="","",DONNÉES!CM242)</f>
        <v/>
      </c>
      <c r="L141" s="163" t="str">
        <f>IF(PMDCINE[[#This Row],[2024]]="","",DONNÉES!CN242)</f>
        <v/>
      </c>
      <c r="M141" s="109" t="str">
        <f>IF(PMDCINE[[#This Row],[2024]]="","",DONNÉES!CM290)</f>
        <v/>
      </c>
      <c r="N141" s="109" t="str">
        <f>IF(PMDCINE[[#This Row],[2024]]="","",DONNÉES!CN290)</f>
        <v/>
      </c>
    </row>
    <row r="142" spans="1:14" ht="10.15" customHeight="1" x14ac:dyDescent="0.2">
      <c r="A142" s="170" t="s">
        <v>80</v>
      </c>
      <c r="B142" s="109" t="str">
        <f>IF(DONNÉES!CM211="","",DONNÉES!CM211)</f>
        <v/>
      </c>
      <c r="C142" s="163" t="str">
        <f>IF(PMDCINE[[#This Row],[2024]]="","",DONNÉES!CN211)</f>
        <v/>
      </c>
      <c r="D142" s="109" t="str">
        <f>IF(PMDCINE[[#This Row],[2024]]="","",DONNÉES!CM259)</f>
        <v/>
      </c>
      <c r="E142" s="173" t="str">
        <f>IF(PMDCINE[[#This Row],[2024]]="","",DONNÉES!CN259)</f>
        <v/>
      </c>
      <c r="F142" s="109" t="str">
        <f>IF(PMDCINE[[#This Row],[2024]]="","",DONNÉES!CM227)</f>
        <v/>
      </c>
      <c r="G142" s="163" t="str">
        <f>IF(PMDCINE[[#This Row],[2024]]="","",DONNÉES!CN227)</f>
        <v/>
      </c>
      <c r="H142" s="109" t="str">
        <f>IF(PMDCINE[[#This Row],[2024]]="","",DONNÉES!CM275)</f>
        <v/>
      </c>
      <c r="I142" s="109" t="str">
        <f>IF(PMDCINE[[#This Row],[2024]]="","",DONNÉES!CN275)</f>
        <v/>
      </c>
      <c r="J142" s="79"/>
      <c r="K142" s="109" t="str">
        <f>IF(PMDCINE[[#This Row],[2024]]="","",DONNÉES!CM243)</f>
        <v/>
      </c>
      <c r="L142" s="163" t="str">
        <f>IF(PMDCINE[[#This Row],[2024]]="","",DONNÉES!CN243)</f>
        <v/>
      </c>
      <c r="M142" s="109" t="str">
        <f>IF(PMDCINE[[#This Row],[2024]]="","",DONNÉES!CM291)</f>
        <v/>
      </c>
      <c r="N142" s="109" t="str">
        <f>IF(PMDCINE[[#This Row],[2024]]="","",DONNÉES!CN291)</f>
        <v/>
      </c>
    </row>
    <row r="143" spans="1:14" ht="10.15" customHeight="1" x14ac:dyDescent="0.2">
      <c r="A143" s="169" t="s">
        <v>81</v>
      </c>
      <c r="B143" s="110" t="str">
        <f>IF(DONNÉES!CM212="","",DONNÉES!CM212)</f>
        <v/>
      </c>
      <c r="C143" s="165" t="str">
        <f>IF(PMDCINE[[#This Row],[2024]]="","",DONNÉES!CN212)</f>
        <v/>
      </c>
      <c r="D143" s="110" t="str">
        <f>IF(PMDCINE[[#This Row],[2024]]="","",DONNÉES!CM260)</f>
        <v/>
      </c>
      <c r="E143" s="174" t="str">
        <f>IF(PMDCINE[[#This Row],[2024]]="","",DONNÉES!CN260)</f>
        <v/>
      </c>
      <c r="F143" s="110" t="str">
        <f>IF(PMDCINE[[#This Row],[2024]]="","",DONNÉES!CM228)</f>
        <v/>
      </c>
      <c r="G143" s="165" t="str">
        <f>IF(PMDCINE[[#This Row],[2024]]="","",DONNÉES!CN228)</f>
        <v/>
      </c>
      <c r="H143" s="110" t="str">
        <f>IF(PMDCINE[[#This Row],[2024]]="","",DONNÉES!CM276)</f>
        <v/>
      </c>
      <c r="I143" s="110" t="str">
        <f>IF(PMDCINE[[#This Row],[2024]]="","",DONNÉES!CN276)</f>
        <v/>
      </c>
      <c r="J143" s="82"/>
      <c r="K143" s="110" t="str">
        <f>IF(PMDCINE[[#This Row],[2024]]="","",DONNÉES!CM244)</f>
        <v/>
      </c>
      <c r="L143" s="165" t="str">
        <f>IF(PMDCINE[[#This Row],[2024]]="","",DONNÉES!CN244)</f>
        <v/>
      </c>
      <c r="M143" s="110" t="str">
        <f>IF(PMDCINE[[#This Row],[2024]]="","",DONNÉES!CM292)</f>
        <v/>
      </c>
      <c r="N143" s="110" t="str">
        <f>IF(PMDCINE[[#This Row],[2024]]="","",DONNÉES!CN292)</f>
        <v/>
      </c>
    </row>
    <row r="144" spans="1:14" ht="10.15" customHeight="1" x14ac:dyDescent="0.2">
      <c r="A144" s="170" t="s">
        <v>82</v>
      </c>
      <c r="B144" s="110" t="str">
        <f>IF(DONNÉES!CM213="","",DONNÉES!CM213)</f>
        <v/>
      </c>
      <c r="C144" s="165" t="str">
        <f>IF(PMDCINE[[#This Row],[2024]]="","",DONNÉES!CN213)</f>
        <v/>
      </c>
      <c r="D144" s="110" t="str">
        <f>IF(PMDCINE[[#This Row],[2024]]="","",DONNÉES!CM261)</f>
        <v/>
      </c>
      <c r="E144" s="174" t="str">
        <f>IF(PMDCINE[[#This Row],[2024]]="","",DONNÉES!CN261)</f>
        <v/>
      </c>
      <c r="F144" s="110" t="str">
        <f>IF(PMDCINE[[#This Row],[2024]]="","",DONNÉES!CM229)</f>
        <v/>
      </c>
      <c r="G144" s="165" t="str">
        <f>IF(PMDCINE[[#This Row],[2024]]="","",DONNÉES!CN229)</f>
        <v/>
      </c>
      <c r="H144" s="110" t="str">
        <f>IF(PMDCINE[[#This Row],[2024]]="","",DONNÉES!CM277)</f>
        <v/>
      </c>
      <c r="I144" s="110" t="str">
        <f>IF(PMDCINE[[#This Row],[2024]]="","",DONNÉES!CN277)</f>
        <v/>
      </c>
      <c r="J144" s="79"/>
      <c r="K144" s="110" t="str">
        <f>IF(PMDCINE[[#This Row],[2024]]="","",DONNÉES!CM245)</f>
        <v/>
      </c>
      <c r="L144" s="165" t="str">
        <f>IF(PMDCINE[[#This Row],[2024]]="","",DONNÉES!CN245)</f>
        <v/>
      </c>
      <c r="M144" s="110" t="str">
        <f>IF(PMDCINE[[#This Row],[2024]]="","",DONNÉES!CM293)</f>
        <v/>
      </c>
      <c r="N144" s="110" t="str">
        <f>IF(PMDCINE[[#This Row],[2024]]="","",DONNÉES!CN293)</f>
        <v/>
      </c>
    </row>
    <row r="145" spans="1:14" s="81" customFormat="1" ht="10.15" customHeight="1" x14ac:dyDescent="0.2">
      <c r="A145" s="169" t="s">
        <v>83</v>
      </c>
      <c r="B145" s="110" t="str">
        <f>IF(DONNÉES!CM214="","",DONNÉES!CM214)</f>
        <v/>
      </c>
      <c r="C145" s="165" t="str">
        <f>IF(PMDCINE[[#This Row],[2024]]="","",DONNÉES!CN214)</f>
        <v/>
      </c>
      <c r="D145" s="110" t="str">
        <f>IF(PMDCINE[[#This Row],[2024]]="","",DONNÉES!CM262)</f>
        <v/>
      </c>
      <c r="E145" s="174" t="str">
        <f>IF(PMDCINE[[#This Row],[2024]]="","",DONNÉES!CN262)</f>
        <v/>
      </c>
      <c r="F145" s="110" t="str">
        <f>IF(PMDCINE[[#This Row],[2024]]="","",DONNÉES!CM230)</f>
        <v/>
      </c>
      <c r="G145" s="165" t="str">
        <f>IF(PMDCINE[[#This Row],[2024]]="","",DONNÉES!CN230)</f>
        <v/>
      </c>
      <c r="H145" s="110" t="str">
        <f>IF(PMDCINE[[#This Row],[2024]]="","",DONNÉES!CM278)</f>
        <v/>
      </c>
      <c r="I145" s="110" t="str">
        <f>IF(PMDCINE[[#This Row],[2024]]="","",DONNÉES!CN278)</f>
        <v/>
      </c>
      <c r="K145" s="110" t="str">
        <f>IF(PMDCINE[[#This Row],[2024]]="","",DONNÉES!CM246)</f>
        <v/>
      </c>
      <c r="L145" s="165" t="str">
        <f>IF(PMDCINE[[#This Row],[2024]]="","",DONNÉES!CN246)</f>
        <v/>
      </c>
      <c r="M145" s="110" t="str">
        <f>IF(PMDCINE[[#This Row],[2024]]="","",DONNÉES!CM294)</f>
        <v/>
      </c>
      <c r="N145" s="110" t="str">
        <f>IF(PMDCINE[[#This Row],[2024]]="","",DONNÉES!CN294)</f>
        <v/>
      </c>
    </row>
    <row r="146" spans="1:14" s="81" customFormat="1" ht="10.15" customHeight="1" x14ac:dyDescent="0.2">
      <c r="A146" s="169" t="s">
        <v>84</v>
      </c>
      <c r="B146" s="110" t="str">
        <f>IF(DONNÉES!CM215="","",DONNÉES!CM215)</f>
        <v/>
      </c>
      <c r="C146" s="165" t="str">
        <f>IF(PMDCINE[[#This Row],[2024]]="","",DONNÉES!CN215)</f>
        <v/>
      </c>
      <c r="D146" s="110" t="str">
        <f>IF(PMDCINE[[#This Row],[2024]]="","",DONNÉES!CM263)</f>
        <v/>
      </c>
      <c r="E146" s="174" t="str">
        <f>IF(PMDCINE[[#This Row],[2024]]="","",DONNÉES!CN263)</f>
        <v/>
      </c>
      <c r="F146" s="110" t="str">
        <f>IF(PMDCINE[[#This Row],[2024]]="","",DONNÉES!CM231)</f>
        <v/>
      </c>
      <c r="G146" s="165" t="str">
        <f>IF(PMDCINE[[#This Row],[2024]]="","",DONNÉES!CN231)</f>
        <v/>
      </c>
      <c r="H146" s="110" t="str">
        <f>IF(PMDCINE[[#This Row],[2024]]="","",DONNÉES!CM279)</f>
        <v/>
      </c>
      <c r="I146" s="110" t="str">
        <f>IF(PMDCINE[[#This Row],[2024]]="","",DONNÉES!CN279)</f>
        <v/>
      </c>
      <c r="K146" s="110" t="str">
        <f>IF(PMDCINE[[#This Row],[2024]]="","",DONNÉES!CM247)</f>
        <v/>
      </c>
      <c r="L146" s="165" t="str">
        <f>IF(PMDCINE[[#This Row],[2024]]="","",DONNÉES!CN247)</f>
        <v/>
      </c>
      <c r="M146" s="110" t="str">
        <f>IF(PMDCINE[[#This Row],[2024]]="","",DONNÉES!CM295)</f>
        <v/>
      </c>
      <c r="N146" s="110" t="str">
        <f>IF(PMDCINE[[#This Row],[2024]]="","",DONNÉES!CN295)</f>
        <v/>
      </c>
    </row>
    <row r="147" spans="1:14" s="81" customFormat="1" ht="11.65" customHeight="1" x14ac:dyDescent="0.2">
      <c r="A147" s="171" t="s">
        <v>134</v>
      </c>
      <c r="B147" s="111">
        <f>SUBTOTAL(101,PMDCINE[2024])</f>
        <v>15.93</v>
      </c>
      <c r="C147" s="167">
        <f>SUBTOTAL(101,PMDCINE[2023])</f>
        <v>15.57</v>
      </c>
      <c r="D147" s="167">
        <f>SUBTOTAL(101,PMDCINE[2024 cumul])</f>
        <v>15.93</v>
      </c>
      <c r="E147" s="175">
        <f>SUBTOTAL(101,PMDCINE[2023 cumul])</f>
        <v>15.57</v>
      </c>
      <c r="F147" s="117">
        <f>SUBTOTAL(101,PMDCINE[[2024  ]])</f>
        <v>21.34</v>
      </c>
      <c r="G147" s="164">
        <f>SUBTOTAL(101,PMDCINE[[2023  ]])</f>
        <v>20.260000000000002</v>
      </c>
      <c r="H147" s="111">
        <f>SUBTOTAL(101,PMDCINE[[2024 cumul ]])</f>
        <v>21.34</v>
      </c>
      <c r="I147" s="111">
        <f>SUBTOTAL(101,PMDCINE[[2023 cumul ]])</f>
        <v>20.260000000000002</v>
      </c>
      <c r="K147" s="111">
        <f>SUBTOTAL(101,PMDLYSE[[2024  ]])</f>
        <v>17.899999999999999</v>
      </c>
      <c r="L147" s="167">
        <f>SUBTOTAL(101,PMDLYSE[[2023  ]])</f>
        <v>17.13</v>
      </c>
      <c r="M147" s="111">
        <f>SUBTOTAL(101,PMDLYSE[[2024 cumul ]])</f>
        <v>17.899999999999999</v>
      </c>
      <c r="N147" s="111">
        <f>SUBTOTAL(101,PMDLYSE[[2023 cumul ]])</f>
        <v>17.13</v>
      </c>
    </row>
    <row r="148" spans="1:14" ht="12" customHeight="1" x14ac:dyDescent="0.2">
      <c r="H148" s="79"/>
    </row>
    <row r="149" spans="1:14" ht="15" customHeight="1" x14ac:dyDescent="0.2">
      <c r="A149" s="176"/>
      <c r="B149" s="343" t="s">
        <v>195</v>
      </c>
      <c r="C149" s="343"/>
      <c r="D149" s="343"/>
      <c r="E149" s="344"/>
      <c r="F149" s="343" t="s">
        <v>196</v>
      </c>
      <c r="G149" s="343"/>
      <c r="H149" s="343"/>
      <c r="I149" s="343"/>
      <c r="J149" s="107"/>
      <c r="K149" s="343" t="s">
        <v>197</v>
      </c>
      <c r="L149" s="343"/>
      <c r="M149" s="343"/>
      <c r="N149" s="343"/>
    </row>
    <row r="150" spans="1:14" ht="30" customHeight="1" x14ac:dyDescent="0.2">
      <c r="A150" s="169" t="s">
        <v>296</v>
      </c>
      <c r="B150" s="108" t="s">
        <v>6962</v>
      </c>
      <c r="C150" s="166" t="s">
        <v>2169</v>
      </c>
      <c r="D150" s="108" t="s">
        <v>6986</v>
      </c>
      <c r="E150" s="172" t="s">
        <v>6944</v>
      </c>
      <c r="F150" s="108" t="s">
        <v>6987</v>
      </c>
      <c r="G150" s="166" t="s">
        <v>6945</v>
      </c>
      <c r="H150" s="108" t="s">
        <v>6988</v>
      </c>
      <c r="I150" s="124" t="s">
        <v>6946</v>
      </c>
      <c r="J150" s="79"/>
      <c r="K150" s="108" t="s">
        <v>6987</v>
      </c>
      <c r="L150" s="166" t="s">
        <v>6945</v>
      </c>
      <c r="M150" s="108" t="s">
        <v>6988</v>
      </c>
      <c r="N150" s="172" t="s">
        <v>6946</v>
      </c>
    </row>
    <row r="151" spans="1:14" s="81" customFormat="1" ht="10.15" customHeight="1" x14ac:dyDescent="0.2">
      <c r="A151" s="170" t="s">
        <v>73</v>
      </c>
      <c r="B151" s="109">
        <f>IF(DONNÉES!BW204="","",DONNÉES!BW204)</f>
        <v>14.71</v>
      </c>
      <c r="C151" s="163">
        <f>IF(PMDLN[[#This Row],[2024]]="","",DONNÉES!BX204)</f>
        <v>15.36</v>
      </c>
      <c r="D151" s="109">
        <f>IF(PMDLN[[#This Row],[2024]]="","",DONNÉES!BW252)</f>
        <v>14.71</v>
      </c>
      <c r="E151" s="173">
        <f>IF(PMDLN[[#This Row],[2024]]="","",DONNÉES!BX252)</f>
        <v>15.36</v>
      </c>
      <c r="F151" s="109">
        <f>IF(PMDLN[[#This Row],[2024]]="","",DONNÉES!BW220)</f>
        <v>22.31</v>
      </c>
      <c r="G151" s="163">
        <f>IF(PMDLN[[#This Row],[2024]]="","",DONNÉES!BX220)</f>
        <v>21.63</v>
      </c>
      <c r="H151" s="109">
        <f>IF(PMDLN[[#This Row],[2024]]="","",DONNÉES!BW268)</f>
        <v>22.31</v>
      </c>
      <c r="I151" s="109">
        <f>IF(PMDLN[[#This Row],[2024]]="","",DONNÉES!BX268)</f>
        <v>21.63</v>
      </c>
      <c r="K151" s="109">
        <f>IF(PMDLN[[#This Row],[2024]]="","",DONNÉES!BW236)</f>
        <v>18.260000000000002</v>
      </c>
      <c r="L151" s="163">
        <f>IF(PMDLN[[#This Row],[2024]]="","",DONNÉES!BX236)</f>
        <v>18.32</v>
      </c>
      <c r="M151" s="163">
        <f>IF(PMDLN[[#This Row],[2024]]="","",DONNÉES!BW284)</f>
        <v>18.260000000000002</v>
      </c>
      <c r="N151" s="109">
        <f>IF(PMDLN[[#This Row],[2024]]="","",DONNÉES!BX284)</f>
        <v>18.32</v>
      </c>
    </row>
    <row r="152" spans="1:14" s="81" customFormat="1" ht="10.15" customHeight="1" x14ac:dyDescent="0.2">
      <c r="A152" s="170" t="s">
        <v>74</v>
      </c>
      <c r="B152" s="109" t="str">
        <f>IF(DONNÉES!BW205="","",DONNÉES!BW205)</f>
        <v/>
      </c>
      <c r="C152" s="163" t="str">
        <f>IF(PMDLN[[#This Row],[2024]]="","",DONNÉES!BX205)</f>
        <v/>
      </c>
      <c r="D152" s="109" t="str">
        <f>IF(PMDLN[[#This Row],[2024]]="","",DONNÉES!BW253)</f>
        <v/>
      </c>
      <c r="E152" s="173" t="str">
        <f>IF(PMDLN[[#This Row],[2024]]="","",DONNÉES!BX253)</f>
        <v/>
      </c>
      <c r="F152" s="109" t="str">
        <f>IF(PMDLN[[#This Row],[2024]]="","",DONNÉES!BW221)</f>
        <v/>
      </c>
      <c r="G152" s="163" t="str">
        <f>IF(PMDLN[[#This Row],[2024]]="","",DONNÉES!BX221)</f>
        <v/>
      </c>
      <c r="H152" s="109" t="str">
        <f>IF(PMDLN[[#This Row],[2024]]="","",DONNÉES!BW269)</f>
        <v/>
      </c>
      <c r="I152" s="109" t="str">
        <f>IF(PMDLN[[#This Row],[2024]]="","",DONNÉES!BX269)</f>
        <v/>
      </c>
      <c r="K152" s="109" t="str">
        <f>IF(PMDLN[[#This Row],[2024]]="","",DONNÉES!BW237)</f>
        <v/>
      </c>
      <c r="L152" s="163" t="str">
        <f>IF(PMDLN[[#This Row],[2024]]="","",DONNÉES!BX237)</f>
        <v/>
      </c>
      <c r="M152" s="163" t="str">
        <f>IF(PMDLN[[#This Row],[2024]]="","",DONNÉES!BW285)</f>
        <v/>
      </c>
      <c r="N152" s="109" t="str">
        <f>IF(PMDLN[[#This Row],[2024]]="","",DONNÉES!BX285)</f>
        <v/>
      </c>
    </row>
    <row r="153" spans="1:14" s="81" customFormat="1" ht="10.15" customHeight="1" x14ac:dyDescent="0.2">
      <c r="A153" s="169" t="s">
        <v>75</v>
      </c>
      <c r="B153" s="109" t="str">
        <f>IF(DONNÉES!BW206="","",DONNÉES!BW206)</f>
        <v/>
      </c>
      <c r="C153" s="163" t="str">
        <f>IF(PMDLN[[#This Row],[2024]]="","",DONNÉES!BX206)</f>
        <v/>
      </c>
      <c r="D153" s="109" t="str">
        <f>IF(PMDLN[[#This Row],[2024]]="","",DONNÉES!BW254)</f>
        <v/>
      </c>
      <c r="E153" s="173" t="str">
        <f>IF(PMDLN[[#This Row],[2024]]="","",DONNÉES!BX254)</f>
        <v/>
      </c>
      <c r="F153" s="109" t="str">
        <f>IF(PMDLN[[#This Row],[2024]]="","",DONNÉES!BW222)</f>
        <v/>
      </c>
      <c r="G153" s="163" t="str">
        <f>IF(PMDLN[[#This Row],[2024]]="","",DONNÉES!BX222)</f>
        <v/>
      </c>
      <c r="H153" s="109" t="str">
        <f>IF(PMDLN[[#This Row],[2024]]="","",DONNÉES!BW270)</f>
        <v/>
      </c>
      <c r="I153" s="109" t="str">
        <f>IF(PMDLN[[#This Row],[2024]]="","",DONNÉES!BX270)</f>
        <v/>
      </c>
      <c r="K153" s="109" t="str">
        <f>IF(PMDLN[[#This Row],[2024]]="","",DONNÉES!BW238)</f>
        <v/>
      </c>
      <c r="L153" s="163" t="str">
        <f>IF(PMDLN[[#This Row],[2024]]="","",DONNÉES!BX238)</f>
        <v/>
      </c>
      <c r="M153" s="163" t="str">
        <f>IF(PMDLN[[#This Row],[2024]]="","",DONNÉES!BW286)</f>
        <v/>
      </c>
      <c r="N153" s="109" t="str">
        <f>IF(PMDLN[[#This Row],[2024]]="","",DONNÉES!BX286)</f>
        <v/>
      </c>
    </row>
    <row r="154" spans="1:14" ht="10.15" customHeight="1" x14ac:dyDescent="0.2">
      <c r="A154" s="170" t="s">
        <v>76</v>
      </c>
      <c r="B154" s="109" t="str">
        <f>IF(DONNÉES!BW207="","",DONNÉES!BW207)</f>
        <v/>
      </c>
      <c r="C154" s="163" t="str">
        <f>IF(PMDLN[[#This Row],[2024]]="","",DONNÉES!BX207)</f>
        <v/>
      </c>
      <c r="D154" s="109" t="str">
        <f>IF(PMDLN[[#This Row],[2024]]="","",DONNÉES!BW255)</f>
        <v/>
      </c>
      <c r="E154" s="173" t="str">
        <f>IF(PMDLN[[#This Row],[2024]]="","",DONNÉES!BX255)</f>
        <v/>
      </c>
      <c r="F154" s="109" t="str">
        <f>IF(PMDLN[[#This Row],[2024]]="","",DONNÉES!BW223)</f>
        <v/>
      </c>
      <c r="G154" s="163" t="str">
        <f>IF(PMDLN[[#This Row],[2024]]="","",DONNÉES!BX223)</f>
        <v/>
      </c>
      <c r="H154" s="109" t="str">
        <f>IF(PMDLN[[#This Row],[2024]]="","",DONNÉES!BW271)</f>
        <v/>
      </c>
      <c r="I154" s="109" t="str">
        <f>IF(PMDLN[[#This Row],[2024]]="","",DONNÉES!BX271)</f>
        <v/>
      </c>
      <c r="J154" s="79"/>
      <c r="K154" s="109" t="str">
        <f>IF(PMDLN[[#This Row],[2024]]="","",DONNÉES!BW239)</f>
        <v/>
      </c>
      <c r="L154" s="163" t="str">
        <f>IF(PMDLN[[#This Row],[2024]]="","",DONNÉES!BX239)</f>
        <v/>
      </c>
      <c r="M154" s="163" t="str">
        <f>IF(PMDLN[[#This Row],[2024]]="","",DONNÉES!BW287)</f>
        <v/>
      </c>
      <c r="N154" s="109" t="str">
        <f>IF(PMDLN[[#This Row],[2024]]="","",DONNÉES!BX287)</f>
        <v/>
      </c>
    </row>
    <row r="155" spans="1:14" ht="10.15" customHeight="1" x14ac:dyDescent="0.2">
      <c r="A155" s="169" t="s">
        <v>77</v>
      </c>
      <c r="B155" s="109" t="str">
        <f>IF(DONNÉES!BW208="","",DONNÉES!BW208)</f>
        <v/>
      </c>
      <c r="C155" s="163" t="str">
        <f>IF(PMDLN[[#This Row],[2024]]="","",DONNÉES!BX208)</f>
        <v/>
      </c>
      <c r="D155" s="109" t="str">
        <f>IF(PMDLN[[#This Row],[2024]]="","",DONNÉES!BW256)</f>
        <v/>
      </c>
      <c r="E155" s="173" t="str">
        <f>IF(PMDLN[[#This Row],[2024]]="","",DONNÉES!BX256)</f>
        <v/>
      </c>
      <c r="F155" s="109" t="str">
        <f>IF(PMDLN[[#This Row],[2024]]="","",DONNÉES!BW224)</f>
        <v/>
      </c>
      <c r="G155" s="163" t="str">
        <f>IF(PMDLN[[#This Row],[2024]]="","",DONNÉES!BX224)</f>
        <v/>
      </c>
      <c r="H155" s="109" t="str">
        <f>IF(PMDLN[[#This Row],[2024]]="","",DONNÉES!BW272)</f>
        <v/>
      </c>
      <c r="I155" s="109" t="str">
        <f>IF(PMDLN[[#This Row],[2024]]="","",DONNÉES!BX272)</f>
        <v/>
      </c>
      <c r="J155" s="79"/>
      <c r="K155" s="109" t="str">
        <f>IF(PMDLN[[#This Row],[2024]]="","",DONNÉES!BW240)</f>
        <v/>
      </c>
      <c r="L155" s="163" t="str">
        <f>IF(PMDLN[[#This Row],[2024]]="","",DONNÉES!BX240)</f>
        <v/>
      </c>
      <c r="M155" s="163" t="str">
        <f>IF(PMDLN[[#This Row],[2024]]="","",DONNÉES!BW288)</f>
        <v/>
      </c>
      <c r="N155" s="109" t="str">
        <f>IF(PMDLN[[#This Row],[2024]]="","",DONNÉES!BX288)</f>
        <v/>
      </c>
    </row>
    <row r="156" spans="1:14" ht="10.15" customHeight="1" x14ac:dyDescent="0.2">
      <c r="A156" s="170" t="s">
        <v>78</v>
      </c>
      <c r="B156" s="109" t="str">
        <f>IF(DONNÉES!BW209="","",DONNÉES!BW209)</f>
        <v/>
      </c>
      <c r="C156" s="163" t="str">
        <f>IF(PMDLN[[#This Row],[2024]]="","",DONNÉES!BX209)</f>
        <v/>
      </c>
      <c r="D156" s="109" t="str">
        <f>IF(PMDLN[[#This Row],[2024]]="","",DONNÉES!BW257)</f>
        <v/>
      </c>
      <c r="E156" s="173" t="str">
        <f>IF(PMDLN[[#This Row],[2024]]="","",DONNÉES!BX257)</f>
        <v/>
      </c>
      <c r="F156" s="109" t="str">
        <f>IF(PMDLN[[#This Row],[2024]]="","",DONNÉES!BW225)</f>
        <v/>
      </c>
      <c r="G156" s="163" t="str">
        <f>IF(PMDLN[[#This Row],[2024]]="","",DONNÉES!BX225)</f>
        <v/>
      </c>
      <c r="H156" s="109" t="str">
        <f>IF(PMDLN[[#This Row],[2024]]="","",DONNÉES!BW273)</f>
        <v/>
      </c>
      <c r="I156" s="109" t="str">
        <f>IF(PMDLN[[#This Row],[2024]]="","",DONNÉES!BX273)</f>
        <v/>
      </c>
      <c r="J156" s="79"/>
      <c r="K156" s="109" t="str">
        <f>IF(PMDLN[[#This Row],[2024]]="","",DONNÉES!BW241)</f>
        <v/>
      </c>
      <c r="L156" s="163" t="str">
        <f>IF(PMDLN[[#This Row],[2024]]="","",DONNÉES!BX241)</f>
        <v/>
      </c>
      <c r="M156" s="163" t="str">
        <f>IF(PMDLN[[#This Row],[2024]]="","",DONNÉES!BW289)</f>
        <v/>
      </c>
      <c r="N156" s="109" t="str">
        <f>IF(PMDLN[[#This Row],[2024]]="","",DONNÉES!BX289)</f>
        <v/>
      </c>
    </row>
    <row r="157" spans="1:14" ht="10.15" customHeight="1" x14ac:dyDescent="0.2">
      <c r="A157" s="169" t="s">
        <v>79</v>
      </c>
      <c r="B157" s="109" t="str">
        <f>IF(DONNÉES!BW210="","",DONNÉES!BW210)</f>
        <v/>
      </c>
      <c r="C157" s="163" t="str">
        <f>IF(PMDLN[[#This Row],[2024]]="","",DONNÉES!BX210)</f>
        <v/>
      </c>
      <c r="D157" s="109" t="str">
        <f>IF(PMDLN[[#This Row],[2024]]="","",DONNÉES!BW258)</f>
        <v/>
      </c>
      <c r="E157" s="173" t="str">
        <f>IF(PMDLN[[#This Row],[2024]]="","",DONNÉES!BX258)</f>
        <v/>
      </c>
      <c r="F157" s="109" t="str">
        <f>IF(PMDLN[[#This Row],[2024]]="","",DONNÉES!BW226)</f>
        <v/>
      </c>
      <c r="G157" s="163" t="str">
        <f>IF(PMDLN[[#This Row],[2024]]="","",DONNÉES!BX226)</f>
        <v/>
      </c>
      <c r="H157" s="109" t="str">
        <f>IF(PMDLN[[#This Row],[2024]]="","",DONNÉES!BW274)</f>
        <v/>
      </c>
      <c r="I157" s="109" t="str">
        <f>IF(PMDLN[[#This Row],[2024]]="","",DONNÉES!BX274)</f>
        <v/>
      </c>
      <c r="J157" s="79"/>
      <c r="K157" s="109" t="str">
        <f>IF(PMDLN[[#This Row],[2024]]="","",DONNÉES!BW242)</f>
        <v/>
      </c>
      <c r="L157" s="163" t="str">
        <f>IF(PMDLN[[#This Row],[2024]]="","",DONNÉES!BX242)</f>
        <v/>
      </c>
      <c r="M157" s="163" t="str">
        <f>IF(PMDLN[[#This Row],[2024]]="","",DONNÉES!BW290)</f>
        <v/>
      </c>
      <c r="N157" s="109" t="str">
        <f>IF(PMDLN[[#This Row],[2024]]="","",DONNÉES!BX290)</f>
        <v/>
      </c>
    </row>
    <row r="158" spans="1:14" ht="10.15" customHeight="1" x14ac:dyDescent="0.2">
      <c r="A158" s="170" t="s">
        <v>80</v>
      </c>
      <c r="B158" s="109" t="str">
        <f>IF(DONNÉES!BW211="","",DONNÉES!BW211)</f>
        <v/>
      </c>
      <c r="C158" s="163" t="str">
        <f>IF(PMDLN[[#This Row],[2024]]="","",DONNÉES!BX211)</f>
        <v/>
      </c>
      <c r="D158" s="109" t="str">
        <f>IF(PMDLN[[#This Row],[2024]]="","",DONNÉES!BW259)</f>
        <v/>
      </c>
      <c r="E158" s="173" t="str">
        <f>IF(PMDLN[[#This Row],[2024]]="","",DONNÉES!BX259)</f>
        <v/>
      </c>
      <c r="F158" s="109" t="str">
        <f>IF(PMDLN[[#This Row],[2024]]="","",DONNÉES!BW227)</f>
        <v/>
      </c>
      <c r="G158" s="163" t="str">
        <f>IF(PMDLN[[#This Row],[2024]]="","",DONNÉES!BX227)</f>
        <v/>
      </c>
      <c r="H158" s="109" t="str">
        <f>IF(PMDLN[[#This Row],[2024]]="","",DONNÉES!BW275)</f>
        <v/>
      </c>
      <c r="I158" s="109" t="str">
        <f>IF(PMDLN[[#This Row],[2024]]="","",DONNÉES!BX275)</f>
        <v/>
      </c>
      <c r="J158" s="79"/>
      <c r="K158" s="109" t="str">
        <f>IF(PMDLN[[#This Row],[2024]]="","",DONNÉES!BW243)</f>
        <v/>
      </c>
      <c r="L158" s="163" t="str">
        <f>IF(PMDLN[[#This Row],[2024]]="","",DONNÉES!BX243)</f>
        <v/>
      </c>
      <c r="M158" s="163" t="str">
        <f>IF(PMDLN[[#This Row],[2024]]="","",DONNÉES!BW291)</f>
        <v/>
      </c>
      <c r="N158" s="109" t="str">
        <f>IF(PMDLN[[#This Row],[2024]]="","",DONNÉES!BX291)</f>
        <v/>
      </c>
    </row>
    <row r="159" spans="1:14" ht="10.15" customHeight="1" x14ac:dyDescent="0.2">
      <c r="A159" s="169" t="s">
        <v>81</v>
      </c>
      <c r="B159" s="110" t="str">
        <f>IF(DONNÉES!BW212="","",DONNÉES!BW212)</f>
        <v/>
      </c>
      <c r="C159" s="165" t="str">
        <f>IF(PMDLN[[#This Row],[2024]]="","",DONNÉES!BX212)</f>
        <v/>
      </c>
      <c r="D159" s="110" t="str">
        <f>IF(PMDLN[[#This Row],[2024]]="","",DONNÉES!BW260)</f>
        <v/>
      </c>
      <c r="E159" s="174" t="str">
        <f>IF(PMDLN[[#This Row],[2024]]="","",DONNÉES!BX260)</f>
        <v/>
      </c>
      <c r="F159" s="110" t="str">
        <f>IF(PMDLN[[#This Row],[2024]]="","",DONNÉES!BW228)</f>
        <v/>
      </c>
      <c r="G159" s="165" t="str">
        <f>IF(PMDLN[[#This Row],[2024]]="","",DONNÉES!BX228)</f>
        <v/>
      </c>
      <c r="H159" s="110" t="str">
        <f>IF(PMDLN[[#This Row],[2024]]="","",DONNÉES!BW276)</f>
        <v/>
      </c>
      <c r="I159" s="110" t="str">
        <f>IF(PMDLN[[#This Row],[2024]]="","",DONNÉES!BX276)</f>
        <v/>
      </c>
      <c r="J159" s="82"/>
      <c r="K159" s="110" t="str">
        <f>IF(PMDLN[[#This Row],[2024]]="","",DONNÉES!BW244)</f>
        <v/>
      </c>
      <c r="L159" s="165" t="str">
        <f>IF(PMDLN[[#This Row],[2024]]="","",DONNÉES!BX244)</f>
        <v/>
      </c>
      <c r="M159" s="165" t="str">
        <f>IF(PMDLN[[#This Row],[2024]]="","",DONNÉES!BW292)</f>
        <v/>
      </c>
      <c r="N159" s="110" t="str">
        <f>IF(PMDLN[[#This Row],[2024]]="","",DONNÉES!BX292)</f>
        <v/>
      </c>
    </row>
    <row r="160" spans="1:14" ht="10.15" customHeight="1" x14ac:dyDescent="0.2">
      <c r="A160" s="170" t="s">
        <v>82</v>
      </c>
      <c r="B160" s="110" t="str">
        <f>IF(DONNÉES!BW213="","",DONNÉES!BW213)</f>
        <v/>
      </c>
      <c r="C160" s="165" t="str">
        <f>IF(PMDLN[[#This Row],[2024]]="","",DONNÉES!BX213)</f>
        <v/>
      </c>
      <c r="D160" s="110" t="str">
        <f>IF(PMDLN[[#This Row],[2024]]="","",DONNÉES!BW261)</f>
        <v/>
      </c>
      <c r="E160" s="174" t="str">
        <f>IF(PMDLN[[#This Row],[2024]]="","",DONNÉES!BX261)</f>
        <v/>
      </c>
      <c r="F160" s="110" t="str">
        <f>IF(PMDLN[[#This Row],[2024]]="","",DONNÉES!BW229)</f>
        <v/>
      </c>
      <c r="G160" s="165" t="str">
        <f>IF(PMDLN[[#This Row],[2024]]="","",DONNÉES!BX229)</f>
        <v/>
      </c>
      <c r="H160" s="110" t="str">
        <f>IF(PMDLN[[#This Row],[2024]]="","",DONNÉES!BW277)</f>
        <v/>
      </c>
      <c r="I160" s="110" t="str">
        <f>IF(PMDLN[[#This Row],[2024]]="","",DONNÉES!BX277)</f>
        <v/>
      </c>
      <c r="J160" s="79"/>
      <c r="K160" s="110" t="str">
        <f>IF(PMDLN[[#This Row],[2024]]="","",DONNÉES!BW245)</f>
        <v/>
      </c>
      <c r="L160" s="165" t="str">
        <f>IF(PMDLN[[#This Row],[2024]]="","",DONNÉES!BX245)</f>
        <v/>
      </c>
      <c r="M160" s="165" t="str">
        <f>IF(PMDLN[[#This Row],[2024]]="","",DONNÉES!BW293)</f>
        <v/>
      </c>
      <c r="N160" s="110" t="str">
        <f>IF(PMDLN[[#This Row],[2024]]="","",DONNÉES!BX293)</f>
        <v/>
      </c>
    </row>
    <row r="161" spans="1:14" s="81" customFormat="1" ht="10.15" customHeight="1" x14ac:dyDescent="0.2">
      <c r="A161" s="169" t="s">
        <v>83</v>
      </c>
      <c r="B161" s="110" t="str">
        <f>IF(DONNÉES!BW214="","",DONNÉES!BW214)</f>
        <v/>
      </c>
      <c r="C161" s="165" t="str">
        <f>IF(PMDLN[[#This Row],[2024]]="","",DONNÉES!BX214)</f>
        <v/>
      </c>
      <c r="D161" s="110" t="str">
        <f>IF(PMDLN[[#This Row],[2024]]="","",DONNÉES!BW262)</f>
        <v/>
      </c>
      <c r="E161" s="174" t="str">
        <f>IF(PMDLN[[#This Row],[2024]]="","",DONNÉES!BX262)</f>
        <v/>
      </c>
      <c r="F161" s="110" t="str">
        <f>IF(PMDLN[[#This Row],[2024]]="","",DONNÉES!BW230)</f>
        <v/>
      </c>
      <c r="G161" s="165" t="str">
        <f>IF(PMDLN[[#This Row],[2024]]="","",DONNÉES!BX230)</f>
        <v/>
      </c>
      <c r="H161" s="110" t="str">
        <f>IF(PMDLN[[#This Row],[2024]]="","",DONNÉES!BW278)</f>
        <v/>
      </c>
      <c r="I161" s="110" t="str">
        <f>IF(PMDLN[[#This Row],[2024]]="","",DONNÉES!BX278)</f>
        <v/>
      </c>
      <c r="K161" s="110" t="str">
        <f>IF(PMDLN[[#This Row],[2024]]="","",DONNÉES!BW246)</f>
        <v/>
      </c>
      <c r="L161" s="165" t="str">
        <f>IF(PMDLN[[#This Row],[2024]]="","",DONNÉES!BX246)</f>
        <v/>
      </c>
      <c r="M161" s="165" t="str">
        <f>IF(PMDLN[[#This Row],[2024]]="","",DONNÉES!BW294)</f>
        <v/>
      </c>
      <c r="N161" s="110" t="str">
        <f>IF(PMDLN[[#This Row],[2024]]="","",DONNÉES!BX294)</f>
        <v/>
      </c>
    </row>
    <row r="162" spans="1:14" s="81" customFormat="1" ht="10.15" customHeight="1" x14ac:dyDescent="0.2">
      <c r="A162" s="169" t="s">
        <v>84</v>
      </c>
      <c r="B162" s="110" t="str">
        <f>IF(DONNÉES!BW215="","",DONNÉES!BW215)</f>
        <v/>
      </c>
      <c r="C162" s="165" t="str">
        <f>IF(PMDLN[[#This Row],[2024]]="","",DONNÉES!BX215)</f>
        <v/>
      </c>
      <c r="D162" s="110" t="str">
        <f>IF(PMDLN[[#This Row],[2024]]="","",DONNÉES!BW263)</f>
        <v/>
      </c>
      <c r="E162" s="174" t="str">
        <f>IF(PMDLN[[#This Row],[2024]]="","",DONNÉES!BX263)</f>
        <v/>
      </c>
      <c r="F162" s="110" t="str">
        <f>IF(PMDLN[[#This Row],[2024]]="","",DONNÉES!BW231)</f>
        <v/>
      </c>
      <c r="G162" s="165" t="str">
        <f>IF(PMDLN[[#This Row],[2024]]="","",DONNÉES!BX231)</f>
        <v/>
      </c>
      <c r="H162" s="110" t="str">
        <f>IF(PMDLN[[#This Row],[2024]]="","",DONNÉES!BW279)</f>
        <v/>
      </c>
      <c r="I162" s="110" t="str">
        <f>IF(PMDLN[[#This Row],[2024]]="","",DONNÉES!BX279)</f>
        <v/>
      </c>
      <c r="K162" s="110" t="str">
        <f>IF(PMDLN[[#This Row],[2024]]="","",DONNÉES!BW247)</f>
        <v/>
      </c>
      <c r="L162" s="165" t="str">
        <f>IF(PMDLN[[#This Row],[2024]]="","",DONNÉES!BX247)</f>
        <v/>
      </c>
      <c r="M162" s="165" t="str">
        <f>IF(PMDLN[[#This Row],[2024]]="","",DONNÉES!BW295)</f>
        <v/>
      </c>
      <c r="N162" s="110" t="str">
        <f>IF(PMDLN[[#This Row],[2024]]="","",DONNÉES!BX295)</f>
        <v/>
      </c>
    </row>
    <row r="163" spans="1:14" s="81" customFormat="1" ht="11.65" customHeight="1" x14ac:dyDescent="0.2">
      <c r="A163" s="171" t="s">
        <v>134</v>
      </c>
      <c r="B163" s="111">
        <f>SUBTOTAL(101,PMDLN[2024])</f>
        <v>14.71</v>
      </c>
      <c r="C163" s="167">
        <f>SUBTOTAL(101,PMDLN[2023])</f>
        <v>15.36</v>
      </c>
      <c r="D163" s="167">
        <f>SUBTOTAL(101,PMDLN[2024 cumul])</f>
        <v>14.71</v>
      </c>
      <c r="E163" s="175">
        <f>SUBTOTAL(101,PMDLN[2023 cumul])</f>
        <v>15.36</v>
      </c>
      <c r="F163" s="117">
        <f>SUBTOTAL(101,PMDLN[[2024  ]])</f>
        <v>22.31</v>
      </c>
      <c r="G163" s="164">
        <f>SUBTOTAL(101,PMDLN[[2023  ]])</f>
        <v>21.63</v>
      </c>
      <c r="H163" s="111">
        <f>SUBTOTAL(101,PMDLN[[2024 cumul ]])</f>
        <v>22.31</v>
      </c>
      <c r="I163" s="111">
        <f>SUBTOTAL(101,PMDLN[[2023 cumul ]])</f>
        <v>21.63</v>
      </c>
      <c r="K163" s="111">
        <f>SUBTOTAL(101,PMDDIVES[[2024  ]])</f>
        <v>18.260000000000002</v>
      </c>
      <c r="L163" s="167">
        <f>SUBTOTAL(101,PMDDIVES[[2023  ]])</f>
        <v>18.32</v>
      </c>
      <c r="M163" s="167">
        <f>SUBTOTAL(101,PMDDIVES[[2024 cumul ]])</f>
        <v>18.260000000000002</v>
      </c>
      <c r="N163" s="111">
        <f>SUBTOTAL(101,PMDDIVES[[2023 cumul ]])</f>
        <v>18.32</v>
      </c>
    </row>
    <row r="164" spans="1:14" ht="12" customHeight="1" x14ac:dyDescent="0.2">
      <c r="H164" s="79"/>
    </row>
    <row r="165" spans="1:14" ht="15" customHeight="1" x14ac:dyDescent="0.2">
      <c r="A165" s="256"/>
      <c r="B165" s="336" t="s">
        <v>195</v>
      </c>
      <c r="C165" s="336"/>
      <c r="D165" s="336"/>
      <c r="E165" s="339"/>
      <c r="F165" s="336" t="s">
        <v>196</v>
      </c>
      <c r="G165" s="336"/>
      <c r="H165" s="336"/>
      <c r="I165" s="336"/>
      <c r="J165" s="287"/>
      <c r="K165" s="336" t="s">
        <v>197</v>
      </c>
      <c r="L165" s="336"/>
      <c r="M165" s="336"/>
      <c r="N165" s="336"/>
    </row>
    <row r="166" spans="1:14" ht="30" customHeight="1" x14ac:dyDescent="0.2">
      <c r="A166" s="169" t="s">
        <v>297</v>
      </c>
      <c r="B166" s="108" t="s">
        <v>6962</v>
      </c>
      <c r="C166" s="166" t="s">
        <v>2169</v>
      </c>
      <c r="D166" s="108" t="s">
        <v>6986</v>
      </c>
      <c r="E166" s="172" t="s">
        <v>6944</v>
      </c>
      <c r="F166" s="108" t="s">
        <v>6987</v>
      </c>
      <c r="G166" s="166" t="s">
        <v>6945</v>
      </c>
      <c r="H166" s="108" t="s">
        <v>6988</v>
      </c>
      <c r="I166" s="124" t="s">
        <v>6946</v>
      </c>
      <c r="J166" s="79"/>
      <c r="K166" s="108" t="s">
        <v>6987</v>
      </c>
      <c r="L166" s="166" t="s">
        <v>6945</v>
      </c>
      <c r="M166" s="108" t="s">
        <v>6988</v>
      </c>
      <c r="N166" s="172" t="s">
        <v>6946</v>
      </c>
    </row>
    <row r="167" spans="1:14" s="81" customFormat="1" ht="10.15" customHeight="1" x14ac:dyDescent="0.2">
      <c r="A167" s="170" t="s">
        <v>73</v>
      </c>
      <c r="B167" s="109">
        <f>IF(DONNÉES!BO204="","",DONNÉES!BO204)</f>
        <v>12.74</v>
      </c>
      <c r="C167" s="163">
        <f>IF(PMDVERNON[[#This Row],[2024]]="","",DONNÉES!BP204)</f>
        <v>13.48</v>
      </c>
      <c r="D167" s="109">
        <f>IF(PMDVERNON[[#This Row],[2024]]="","",DONNÉES!BO252)</f>
        <v>12.74</v>
      </c>
      <c r="E167" s="173">
        <f>IF(PMDVERNON[[#This Row],[2024]]="","",DONNÉES!BP252)</f>
        <v>13.48</v>
      </c>
      <c r="F167" s="109">
        <f>IF(PMDVERNON[[#This Row],[2024]]="","",DONNÉES!BO220)</f>
        <v>21.04</v>
      </c>
      <c r="G167" s="163">
        <f>IF(PMDVERNON[[#This Row],[2024]]="","",DONNÉES!BP220)</f>
        <v>20.67</v>
      </c>
      <c r="H167" s="109">
        <f>IF(PMDVERNON[[#This Row],[2024]]="","",DONNÉES!BO268)</f>
        <v>21.04</v>
      </c>
      <c r="I167" s="109">
        <f>IF(PMDVERNON[[#This Row],[2024]]="","",DONNÉES!BP268)</f>
        <v>20.67</v>
      </c>
      <c r="K167" s="109">
        <f>IF(PMDVERNON[[#This Row],[2024]]="","",DONNÉES!BO236)</f>
        <v>16.36</v>
      </c>
      <c r="L167" s="163">
        <f>IF(PMDVERNON[[#This Row],[2024]]="","",DONNÉES!BP236)</f>
        <v>16.739999999999998</v>
      </c>
      <c r="M167" s="109">
        <f>IF(PMDVERNON[[#This Row],[2024]]="","",DONNÉES!BO284)</f>
        <v>16.36</v>
      </c>
      <c r="N167" s="109">
        <f>IF(PMDVERNON[[#This Row],[2024]]="","",DONNÉES!BP284)</f>
        <v>16.739999999999998</v>
      </c>
    </row>
    <row r="168" spans="1:14" s="81" customFormat="1" ht="10.15" customHeight="1" x14ac:dyDescent="0.2">
      <c r="A168" s="170" t="s">
        <v>74</v>
      </c>
      <c r="B168" s="109" t="str">
        <f>IF(DONNÉES!BO205="","",DONNÉES!BO205)</f>
        <v/>
      </c>
      <c r="C168" s="163" t="str">
        <f>IF(PMDVERNON[[#This Row],[2024]]="","",DONNÉES!BP205)</f>
        <v/>
      </c>
      <c r="D168" s="109" t="str">
        <f>IF(PMDVERNON[[#This Row],[2024]]="","",DONNÉES!BO253)</f>
        <v/>
      </c>
      <c r="E168" s="173" t="str">
        <f>IF(PMDVERNON[[#This Row],[2024]]="","",DONNÉES!BP253)</f>
        <v/>
      </c>
      <c r="F168" s="109" t="str">
        <f>IF(PMDVERNON[[#This Row],[2024]]="","",DONNÉES!BO221)</f>
        <v/>
      </c>
      <c r="G168" s="163" t="str">
        <f>IF(PMDVERNON[[#This Row],[2024]]="","",DONNÉES!BP221)</f>
        <v/>
      </c>
      <c r="H168" s="109" t="str">
        <f>IF(PMDVERNON[[#This Row],[2024]]="","",DONNÉES!BO269)</f>
        <v/>
      </c>
      <c r="I168" s="109" t="str">
        <f>IF(PMDVERNON[[#This Row],[2024]]="","",DONNÉES!BP269)</f>
        <v/>
      </c>
      <c r="K168" s="109" t="str">
        <f>IF(PMDVERNON[[#This Row],[2024]]="","",DONNÉES!BO237)</f>
        <v/>
      </c>
      <c r="L168" s="163" t="str">
        <f>IF(PMDVERNON[[#This Row],[2024]]="","",DONNÉES!BP237)</f>
        <v/>
      </c>
      <c r="M168" s="109" t="str">
        <f>IF(PMDVERNON[[#This Row],[2024]]="","",DONNÉES!BO285)</f>
        <v/>
      </c>
      <c r="N168" s="109" t="str">
        <f>IF(PMDVERNON[[#This Row],[2024]]="","",DONNÉES!BP285)</f>
        <v/>
      </c>
    </row>
    <row r="169" spans="1:14" s="81" customFormat="1" ht="10.15" customHeight="1" x14ac:dyDescent="0.2">
      <c r="A169" s="169" t="s">
        <v>75</v>
      </c>
      <c r="B169" s="109" t="str">
        <f>IF(DONNÉES!BO206="","",DONNÉES!BO206)</f>
        <v/>
      </c>
      <c r="C169" s="163" t="str">
        <f>IF(PMDVERNON[[#This Row],[2024]]="","",DONNÉES!BP206)</f>
        <v/>
      </c>
      <c r="D169" s="109" t="str">
        <f>IF(PMDVERNON[[#This Row],[2024]]="","",DONNÉES!BO254)</f>
        <v/>
      </c>
      <c r="E169" s="173" t="str">
        <f>IF(PMDVERNON[[#This Row],[2024]]="","",DONNÉES!BP254)</f>
        <v/>
      </c>
      <c r="F169" s="109" t="str">
        <f>IF(PMDVERNON[[#This Row],[2024]]="","",DONNÉES!BO222)</f>
        <v/>
      </c>
      <c r="G169" s="163" t="str">
        <f>IF(PMDVERNON[[#This Row],[2024]]="","",DONNÉES!BP222)</f>
        <v/>
      </c>
      <c r="H169" s="109" t="str">
        <f>IF(PMDVERNON[[#This Row],[2024]]="","",DONNÉES!BO270)</f>
        <v/>
      </c>
      <c r="I169" s="109" t="str">
        <f>IF(PMDVERNON[[#This Row],[2024]]="","",DONNÉES!BP270)</f>
        <v/>
      </c>
      <c r="K169" s="109" t="str">
        <f>IF(PMDVERNON[[#This Row],[2024]]="","",DONNÉES!BO238)</f>
        <v/>
      </c>
      <c r="L169" s="163" t="str">
        <f>IF(PMDVERNON[[#This Row],[2024]]="","",DONNÉES!BP238)</f>
        <v/>
      </c>
      <c r="M169" s="109" t="str">
        <f>IF(PMDVERNON[[#This Row],[2024]]="","",DONNÉES!BO286)</f>
        <v/>
      </c>
      <c r="N169" s="109" t="str">
        <f>IF(PMDVERNON[[#This Row],[2024]]="","",DONNÉES!BP286)</f>
        <v/>
      </c>
    </row>
    <row r="170" spans="1:14" ht="10.15" customHeight="1" x14ac:dyDescent="0.2">
      <c r="A170" s="170" t="s">
        <v>76</v>
      </c>
      <c r="B170" s="109" t="str">
        <f>IF(DONNÉES!BO207="","",DONNÉES!BO207)</f>
        <v/>
      </c>
      <c r="C170" s="163" t="str">
        <f>IF(PMDVERNON[[#This Row],[2024]]="","",DONNÉES!BP207)</f>
        <v/>
      </c>
      <c r="D170" s="109" t="str">
        <f>IF(PMDVERNON[[#This Row],[2024]]="","",DONNÉES!BO255)</f>
        <v/>
      </c>
      <c r="E170" s="173" t="str">
        <f>IF(PMDVERNON[[#This Row],[2024]]="","",DONNÉES!BP255)</f>
        <v/>
      </c>
      <c r="F170" s="109" t="str">
        <f>IF(PMDVERNON[[#This Row],[2024]]="","",DONNÉES!BO223)</f>
        <v/>
      </c>
      <c r="G170" s="163" t="str">
        <f>IF(PMDVERNON[[#This Row],[2024]]="","",DONNÉES!BP223)</f>
        <v/>
      </c>
      <c r="H170" s="109" t="str">
        <f>IF(PMDVERNON[[#This Row],[2024]]="","",DONNÉES!BO271)</f>
        <v/>
      </c>
      <c r="I170" s="109" t="str">
        <f>IF(PMDVERNON[[#This Row],[2024]]="","",DONNÉES!BP271)</f>
        <v/>
      </c>
      <c r="J170" s="79"/>
      <c r="K170" s="109" t="str">
        <f>IF(PMDVERNON[[#This Row],[2024]]="","",DONNÉES!BO239)</f>
        <v/>
      </c>
      <c r="L170" s="163" t="str">
        <f>IF(PMDVERNON[[#This Row],[2024]]="","",DONNÉES!BP239)</f>
        <v/>
      </c>
      <c r="M170" s="109" t="str">
        <f>IF(PMDVERNON[[#This Row],[2024]]="","",DONNÉES!BO287)</f>
        <v/>
      </c>
      <c r="N170" s="109" t="str">
        <f>IF(PMDVERNON[[#This Row],[2024]]="","",DONNÉES!BP287)</f>
        <v/>
      </c>
    </row>
    <row r="171" spans="1:14" ht="10.15" customHeight="1" x14ac:dyDescent="0.2">
      <c r="A171" s="169" t="s">
        <v>77</v>
      </c>
      <c r="B171" s="109" t="str">
        <f>IF(DONNÉES!BO208="","",DONNÉES!BO208)</f>
        <v/>
      </c>
      <c r="C171" s="163" t="str">
        <f>IF(PMDVERNON[[#This Row],[2024]]="","",DONNÉES!BP208)</f>
        <v/>
      </c>
      <c r="D171" s="109" t="str">
        <f>IF(PMDVERNON[[#This Row],[2024]]="","",DONNÉES!BO256)</f>
        <v/>
      </c>
      <c r="E171" s="173" t="str">
        <f>IF(PMDVERNON[[#This Row],[2024]]="","",DONNÉES!BP256)</f>
        <v/>
      </c>
      <c r="F171" s="109" t="str">
        <f>IF(PMDVERNON[[#This Row],[2024]]="","",DONNÉES!BO224)</f>
        <v/>
      </c>
      <c r="G171" s="163" t="str">
        <f>IF(PMDVERNON[[#This Row],[2024]]="","",DONNÉES!BP224)</f>
        <v/>
      </c>
      <c r="H171" s="109" t="str">
        <f>IF(PMDVERNON[[#This Row],[2024]]="","",DONNÉES!BO272)</f>
        <v/>
      </c>
      <c r="I171" s="109" t="str">
        <f>IF(PMDVERNON[[#This Row],[2024]]="","",DONNÉES!BP272)</f>
        <v/>
      </c>
      <c r="J171" s="79"/>
      <c r="K171" s="109" t="str">
        <f>IF(PMDVERNON[[#This Row],[2024]]="","",DONNÉES!BO240)</f>
        <v/>
      </c>
      <c r="L171" s="163" t="str">
        <f>IF(PMDVERNON[[#This Row],[2024]]="","",DONNÉES!BP240)</f>
        <v/>
      </c>
      <c r="M171" s="109" t="str">
        <f>IF(PMDVERNON[[#This Row],[2024]]="","",DONNÉES!BO288)</f>
        <v/>
      </c>
      <c r="N171" s="109" t="str">
        <f>IF(PMDVERNON[[#This Row],[2024]]="","",DONNÉES!BP288)</f>
        <v/>
      </c>
    </row>
    <row r="172" spans="1:14" ht="10.15" customHeight="1" x14ac:dyDescent="0.2">
      <c r="A172" s="170" t="s">
        <v>78</v>
      </c>
      <c r="B172" s="109" t="str">
        <f>IF(DONNÉES!BO209="","",DONNÉES!BO209)</f>
        <v/>
      </c>
      <c r="C172" s="163" t="str">
        <f>IF(PMDVERNON[[#This Row],[2024]]="","",DONNÉES!BP209)</f>
        <v/>
      </c>
      <c r="D172" s="109" t="str">
        <f>IF(PMDVERNON[[#This Row],[2024]]="","",DONNÉES!BO257)</f>
        <v/>
      </c>
      <c r="E172" s="173" t="str">
        <f>IF(PMDVERNON[[#This Row],[2024]]="","",DONNÉES!BP257)</f>
        <v/>
      </c>
      <c r="F172" s="109" t="str">
        <f>IF(PMDVERNON[[#This Row],[2024]]="","",DONNÉES!BO225)</f>
        <v/>
      </c>
      <c r="G172" s="163" t="str">
        <f>IF(PMDVERNON[[#This Row],[2024]]="","",DONNÉES!BP225)</f>
        <v/>
      </c>
      <c r="H172" s="109" t="str">
        <f>IF(PMDVERNON[[#This Row],[2024]]="","",DONNÉES!BO273)</f>
        <v/>
      </c>
      <c r="I172" s="109" t="str">
        <f>IF(PMDVERNON[[#This Row],[2024]]="","",DONNÉES!BP273)</f>
        <v/>
      </c>
      <c r="J172" s="79"/>
      <c r="K172" s="109" t="str">
        <f>IF(PMDVERNON[[#This Row],[2024]]="","",DONNÉES!BO241)</f>
        <v/>
      </c>
      <c r="L172" s="163" t="str">
        <f>IF(PMDVERNON[[#This Row],[2024]]="","",DONNÉES!BP241)</f>
        <v/>
      </c>
      <c r="M172" s="109" t="str">
        <f>IF(PMDVERNON[[#This Row],[2024]]="","",DONNÉES!BO289)</f>
        <v/>
      </c>
      <c r="N172" s="109" t="str">
        <f>IF(PMDVERNON[[#This Row],[2024]]="","",DONNÉES!BP289)</f>
        <v/>
      </c>
    </row>
    <row r="173" spans="1:14" ht="10.15" customHeight="1" x14ac:dyDescent="0.2">
      <c r="A173" s="169" t="s">
        <v>79</v>
      </c>
      <c r="B173" s="109" t="str">
        <f>IF(DONNÉES!BO210="","",DONNÉES!BO210)</f>
        <v/>
      </c>
      <c r="C173" s="163" t="str">
        <f>IF(PMDVERNON[[#This Row],[2024]]="","",DONNÉES!BP210)</f>
        <v/>
      </c>
      <c r="D173" s="109" t="str">
        <f>IF(PMDVERNON[[#This Row],[2024]]="","",DONNÉES!BO258)</f>
        <v/>
      </c>
      <c r="E173" s="173" t="str">
        <f>IF(PMDVERNON[[#This Row],[2024]]="","",DONNÉES!BP258)</f>
        <v/>
      </c>
      <c r="F173" s="109" t="str">
        <f>IF(PMDVERNON[[#This Row],[2024]]="","",DONNÉES!BO226)</f>
        <v/>
      </c>
      <c r="G173" s="163" t="str">
        <f>IF(PMDVERNON[[#This Row],[2024]]="","",DONNÉES!BP226)</f>
        <v/>
      </c>
      <c r="H173" s="109" t="str">
        <f>IF(PMDVERNON[[#This Row],[2024]]="","",DONNÉES!BO274)</f>
        <v/>
      </c>
      <c r="I173" s="109" t="str">
        <f>IF(PMDVERNON[[#This Row],[2024]]="","",DONNÉES!BP274)</f>
        <v/>
      </c>
      <c r="J173" s="79"/>
      <c r="K173" s="109" t="str">
        <f>IF(PMDVERNON[[#This Row],[2024]]="","",DONNÉES!BO242)</f>
        <v/>
      </c>
      <c r="L173" s="163" t="str">
        <f>IF(PMDVERNON[[#This Row],[2024]]="","",DONNÉES!BP242)</f>
        <v/>
      </c>
      <c r="M173" s="109" t="str">
        <f>IF(PMDVERNON[[#This Row],[2024]]="","",DONNÉES!BO290)</f>
        <v/>
      </c>
      <c r="N173" s="109" t="str">
        <f>IF(PMDVERNON[[#This Row],[2024]]="","",DONNÉES!BP290)</f>
        <v/>
      </c>
    </row>
    <row r="174" spans="1:14" ht="10.15" customHeight="1" x14ac:dyDescent="0.2">
      <c r="A174" s="170" t="s">
        <v>80</v>
      </c>
      <c r="B174" s="109" t="str">
        <f>IF(DONNÉES!BO211="","",DONNÉES!BO211)</f>
        <v/>
      </c>
      <c r="C174" s="163" t="str">
        <f>IF(PMDVERNON[[#This Row],[2024]]="","",DONNÉES!BP211)</f>
        <v/>
      </c>
      <c r="D174" s="109" t="str">
        <f>IF(PMDVERNON[[#This Row],[2024]]="","",DONNÉES!BO259)</f>
        <v/>
      </c>
      <c r="E174" s="173" t="str">
        <f>IF(PMDVERNON[[#This Row],[2024]]="","",DONNÉES!BP259)</f>
        <v/>
      </c>
      <c r="F174" s="109" t="str">
        <f>IF(PMDVERNON[[#This Row],[2024]]="","",DONNÉES!BO227)</f>
        <v/>
      </c>
      <c r="G174" s="163" t="str">
        <f>IF(PMDVERNON[[#This Row],[2024]]="","",DONNÉES!BP227)</f>
        <v/>
      </c>
      <c r="H174" s="109" t="str">
        <f>IF(PMDVERNON[[#This Row],[2024]]="","",DONNÉES!BO275)</f>
        <v/>
      </c>
      <c r="I174" s="109" t="str">
        <f>IF(PMDVERNON[[#This Row],[2024]]="","",DONNÉES!BP275)</f>
        <v/>
      </c>
      <c r="J174" s="79"/>
      <c r="K174" s="109" t="str">
        <f>IF(PMDVERNON[[#This Row],[2024]]="","",DONNÉES!BO243)</f>
        <v/>
      </c>
      <c r="L174" s="163" t="str">
        <f>IF(PMDVERNON[[#This Row],[2024]]="","",DONNÉES!BP243)</f>
        <v/>
      </c>
      <c r="M174" s="109" t="str">
        <f>IF(PMDVERNON[[#This Row],[2024]]="","",DONNÉES!BO291)</f>
        <v/>
      </c>
      <c r="N174" s="109" t="str">
        <f>IF(PMDVERNON[[#This Row],[2024]]="","",DONNÉES!BP291)</f>
        <v/>
      </c>
    </row>
    <row r="175" spans="1:14" ht="10.15" customHeight="1" x14ac:dyDescent="0.2">
      <c r="A175" s="169" t="s">
        <v>81</v>
      </c>
      <c r="B175" s="109" t="str">
        <f>IF(DONNÉES!BO212="","",DONNÉES!BO212)</f>
        <v/>
      </c>
      <c r="C175" s="165" t="str">
        <f>IF(PMDVERNON[[#This Row],[2024]]="","",DONNÉES!BP212)</f>
        <v/>
      </c>
      <c r="D175" s="110" t="str">
        <f>IF(PMDVERNON[[#This Row],[2024]]="","",DONNÉES!BO260)</f>
        <v/>
      </c>
      <c r="E175" s="174" t="str">
        <f>IF(PMDVERNON[[#This Row],[2024]]="","",DONNÉES!BP260)</f>
        <v/>
      </c>
      <c r="F175" s="110" t="str">
        <f>IF(PMDVERNON[[#This Row],[2024]]="","",DONNÉES!BO228)</f>
        <v/>
      </c>
      <c r="G175" s="165" t="str">
        <f>IF(PMDVERNON[[#This Row],[2024]]="","",DONNÉES!BP228)</f>
        <v/>
      </c>
      <c r="H175" s="110" t="str">
        <f>IF(PMDVERNON[[#This Row],[2024]]="","",DONNÉES!BO276)</f>
        <v/>
      </c>
      <c r="I175" s="110" t="str">
        <f>IF(PMDVERNON[[#This Row],[2024]]="","",DONNÉES!BP276)</f>
        <v/>
      </c>
      <c r="J175" s="82"/>
      <c r="K175" s="110" t="str">
        <f>IF(PMDVERNON[[#This Row],[2024]]="","",DONNÉES!BO244)</f>
        <v/>
      </c>
      <c r="L175" s="165" t="str">
        <f>IF(PMDVERNON[[#This Row],[2024]]="","",DONNÉES!BP244)</f>
        <v/>
      </c>
      <c r="M175" s="110" t="str">
        <f>IF(PMDVERNON[[#This Row],[2024]]="","",DONNÉES!BO292)</f>
        <v/>
      </c>
      <c r="N175" s="110" t="str">
        <f>IF(PMDVERNON[[#This Row],[2024]]="","",DONNÉES!BP292)</f>
        <v/>
      </c>
    </row>
    <row r="176" spans="1:14" ht="10.15" customHeight="1" x14ac:dyDescent="0.2">
      <c r="A176" s="170" t="s">
        <v>82</v>
      </c>
      <c r="B176" s="109" t="str">
        <f>IF(DONNÉES!BO213="","",DONNÉES!BO213)</f>
        <v/>
      </c>
      <c r="C176" s="165" t="str">
        <f>IF(PMDVERNON[[#This Row],[2024]]="","",DONNÉES!BP213)</f>
        <v/>
      </c>
      <c r="D176" s="110" t="str">
        <f>IF(PMDVERNON[[#This Row],[2024]]="","",DONNÉES!BO261)</f>
        <v/>
      </c>
      <c r="E176" s="174" t="str">
        <f>IF(PMDVERNON[[#This Row],[2024]]="","",DONNÉES!BP261)</f>
        <v/>
      </c>
      <c r="F176" s="110" t="str">
        <f>IF(PMDVERNON[[#This Row],[2024]]="","",DONNÉES!BO229)</f>
        <v/>
      </c>
      <c r="G176" s="165" t="str">
        <f>IF(PMDVERNON[[#This Row],[2024]]="","",DONNÉES!BP229)</f>
        <v/>
      </c>
      <c r="H176" s="110" t="str">
        <f>IF(PMDVERNON[[#This Row],[2024]]="","",DONNÉES!BO277)</f>
        <v/>
      </c>
      <c r="I176" s="110" t="str">
        <f>IF(PMDVERNON[[#This Row],[2024]]="","",DONNÉES!BP277)</f>
        <v/>
      </c>
      <c r="J176" s="79"/>
      <c r="K176" s="110" t="str">
        <f>IF(PMDVERNON[[#This Row],[2024]]="","",DONNÉES!BO245)</f>
        <v/>
      </c>
      <c r="L176" s="165" t="str">
        <f>IF(PMDVERNON[[#This Row],[2024]]="","",DONNÉES!BP245)</f>
        <v/>
      </c>
      <c r="M176" s="110" t="str">
        <f>IF(PMDVERNON[[#This Row],[2024]]="","",DONNÉES!BO293)</f>
        <v/>
      </c>
      <c r="N176" s="110" t="str">
        <f>IF(PMDVERNON[[#This Row],[2024]]="","",DONNÉES!BP293)</f>
        <v/>
      </c>
    </row>
    <row r="177" spans="1:14" s="81" customFormat="1" ht="10.15" customHeight="1" x14ac:dyDescent="0.2">
      <c r="A177" s="169" t="s">
        <v>83</v>
      </c>
      <c r="B177" s="109" t="str">
        <f>IF(DONNÉES!BO214="","",DONNÉES!BO214)</f>
        <v/>
      </c>
      <c r="C177" s="165" t="str">
        <f>IF(PMDVERNON[[#This Row],[2024]]="","",DONNÉES!BP214)</f>
        <v/>
      </c>
      <c r="D177" s="110" t="str">
        <f>IF(PMDVERNON[[#This Row],[2024]]="","",DONNÉES!BO262)</f>
        <v/>
      </c>
      <c r="E177" s="174" t="str">
        <f>IF(PMDVERNON[[#This Row],[2024]]="","",DONNÉES!BP262)</f>
        <v/>
      </c>
      <c r="F177" s="110" t="str">
        <f>IF(PMDVERNON[[#This Row],[2024]]="","",DONNÉES!BO230)</f>
        <v/>
      </c>
      <c r="G177" s="165" t="str">
        <f>IF(PMDVERNON[[#This Row],[2024]]="","",DONNÉES!BP230)</f>
        <v/>
      </c>
      <c r="H177" s="110" t="str">
        <f>IF(PMDVERNON[[#This Row],[2024]]="","",DONNÉES!BO278)</f>
        <v/>
      </c>
      <c r="I177" s="110" t="str">
        <f>IF(PMDVERNON[[#This Row],[2024]]="","",DONNÉES!BP278)</f>
        <v/>
      </c>
      <c r="K177" s="110" t="str">
        <f>IF(PMDVERNON[[#This Row],[2024]]="","",DONNÉES!BO246)</f>
        <v/>
      </c>
      <c r="L177" s="165" t="str">
        <f>IF(PMDVERNON[[#This Row],[2024]]="","",DONNÉES!BP246)</f>
        <v/>
      </c>
      <c r="M177" s="110" t="str">
        <f>IF(PMDVERNON[[#This Row],[2024]]="","",DONNÉES!BO294)</f>
        <v/>
      </c>
      <c r="N177" s="110" t="str">
        <f>IF(PMDVERNON[[#This Row],[2024]]="","",DONNÉES!BP294)</f>
        <v/>
      </c>
    </row>
    <row r="178" spans="1:14" s="81" customFormat="1" ht="10.15" customHeight="1" x14ac:dyDescent="0.2">
      <c r="A178" s="169" t="s">
        <v>84</v>
      </c>
      <c r="B178" s="109" t="str">
        <f>IF(DONNÉES!BO215="","",DONNÉES!BO215)</f>
        <v/>
      </c>
      <c r="C178" s="165" t="str">
        <f>IF(PMDVERNON[[#This Row],[2024]]="","",DONNÉES!BP215)</f>
        <v/>
      </c>
      <c r="D178" s="110" t="str">
        <f>IF(PMDVERNON[[#This Row],[2024]]="","",DONNÉES!BO263)</f>
        <v/>
      </c>
      <c r="E178" s="174" t="str">
        <f>IF(PMDVERNON[[#This Row],[2024]]="","",DONNÉES!BP263)</f>
        <v/>
      </c>
      <c r="F178" s="110" t="str">
        <f>IF(PMDVERNON[[#This Row],[2024]]="","",DONNÉES!BO231)</f>
        <v/>
      </c>
      <c r="G178" s="165" t="str">
        <f>IF(PMDVERNON[[#This Row],[2024]]="","",DONNÉES!BP231)</f>
        <v/>
      </c>
      <c r="H178" s="110" t="str">
        <f>IF(PMDVERNON[[#This Row],[2024]]="","",DONNÉES!BO279)</f>
        <v/>
      </c>
      <c r="I178" s="110" t="str">
        <f>IF(PMDVERNON[[#This Row],[2024]]="","",DONNÉES!BP279)</f>
        <v/>
      </c>
      <c r="K178" s="110" t="str">
        <f>IF(PMDVERNON[[#This Row],[2024]]="","",DONNÉES!BO247)</f>
        <v/>
      </c>
      <c r="L178" s="165" t="str">
        <f>IF(PMDVERNON[[#This Row],[2024]]="","",DONNÉES!BP247)</f>
        <v/>
      </c>
      <c r="M178" s="110" t="str">
        <f>IF(PMDVERNON[[#This Row],[2024]]="","",DONNÉES!BO295)</f>
        <v/>
      </c>
      <c r="N178" s="110" t="str">
        <f>IF(PMDVERNON[[#This Row],[2024]]="","",DONNÉES!BP295)</f>
        <v/>
      </c>
    </row>
    <row r="179" spans="1:14" s="81" customFormat="1" ht="11.65" customHeight="1" x14ac:dyDescent="0.2">
      <c r="A179" s="171" t="s">
        <v>134</v>
      </c>
      <c r="B179" s="111">
        <f>SUBTOTAL(101,PMDVERNON[2024])</f>
        <v>12.74</v>
      </c>
      <c r="C179" s="167">
        <f>SUBTOTAL(101,PMDVERNON[2023])</f>
        <v>13.48</v>
      </c>
      <c r="D179" s="167">
        <f>SUBTOTAL(101,PMDVERNON[2024 cumul])</f>
        <v>12.74</v>
      </c>
      <c r="E179" s="175">
        <f>SUBTOTAL(101,PMDVERNON[2023 cumul])</f>
        <v>13.48</v>
      </c>
      <c r="F179" s="117">
        <f>SUBTOTAL(101,PMDVERNON[[2024  ]])</f>
        <v>21.04</v>
      </c>
      <c r="G179" s="164">
        <f>SUBTOTAL(101,PMDVERNON[[2023  ]])</f>
        <v>20.67</v>
      </c>
      <c r="H179" s="111">
        <f>SUBTOTAL(101,PMDVERNON[[2024 cumul ]])</f>
        <v>21.04</v>
      </c>
      <c r="I179" s="111">
        <f>SUBTOTAL(101,PMDVERNON[[2023 cumul ]])</f>
        <v>20.67</v>
      </c>
      <c r="K179" s="111">
        <f>SUBTOTAL(101,PMDTH4[[2024  ]])</f>
        <v>16.36</v>
      </c>
      <c r="L179" s="167">
        <f>SUBTOTAL(101,PMDTH4[[2023  ]])</f>
        <v>16.739999999999998</v>
      </c>
      <c r="M179" s="167">
        <f>SUBTOTAL(101,PMDTH4[[2024 cumul ]])</f>
        <v>16.36</v>
      </c>
      <c r="N179" s="111">
        <f>SUBTOTAL(101,PMDTH4[[2023 cumul ]])</f>
        <v>16.739999999999998</v>
      </c>
    </row>
    <row r="180" spans="1:14" ht="12" customHeight="1" x14ac:dyDescent="0.2">
      <c r="H180" s="79"/>
    </row>
    <row r="181" spans="1:14" ht="15" customHeight="1" x14ac:dyDescent="0.2">
      <c r="A181" s="256"/>
      <c r="B181" s="336" t="s">
        <v>195</v>
      </c>
      <c r="C181" s="336"/>
      <c r="D181" s="336"/>
      <c r="E181" s="339"/>
      <c r="F181" s="336" t="s">
        <v>196</v>
      </c>
      <c r="G181" s="336"/>
      <c r="H181" s="336"/>
      <c r="I181" s="336"/>
      <c r="J181" s="287"/>
      <c r="K181" s="336" t="s">
        <v>197</v>
      </c>
      <c r="L181" s="336"/>
      <c r="M181" s="336"/>
      <c r="N181" s="336"/>
    </row>
    <row r="182" spans="1:14" ht="30" customHeight="1" x14ac:dyDescent="0.2">
      <c r="A182" s="169" t="s">
        <v>6963</v>
      </c>
      <c r="B182" s="108" t="s">
        <v>6962</v>
      </c>
      <c r="C182" s="166" t="s">
        <v>2169</v>
      </c>
      <c r="D182" s="108" t="s">
        <v>6986</v>
      </c>
      <c r="E182" s="172" t="s">
        <v>6944</v>
      </c>
      <c r="F182" s="108" t="s">
        <v>6987</v>
      </c>
      <c r="G182" s="166" t="s">
        <v>6945</v>
      </c>
      <c r="H182" s="108" t="s">
        <v>6988</v>
      </c>
      <c r="I182" s="124" t="s">
        <v>6946</v>
      </c>
      <c r="J182" s="79"/>
      <c r="K182" s="108" t="s">
        <v>6987</v>
      </c>
      <c r="L182" s="166" t="s">
        <v>6945</v>
      </c>
      <c r="M182" s="108" t="s">
        <v>6988</v>
      </c>
      <c r="N182" s="172" t="s">
        <v>6946</v>
      </c>
    </row>
    <row r="183" spans="1:14" s="81" customFormat="1" ht="10.15" customHeight="1" x14ac:dyDescent="0.2">
      <c r="A183" s="170" t="s">
        <v>73</v>
      </c>
      <c r="B183" s="109">
        <f>IF(DONNÉES!CU204="","",DONNÉES!CU204)</f>
        <v>13.76</v>
      </c>
      <c r="C183" s="163">
        <f>IF(PMDVERNON401[[#This Row],[2024]]="","",DONNÉES!CV204)</f>
        <v>13.37</v>
      </c>
      <c r="D183" s="109">
        <f>IF(PMDVERNON401[[#This Row],[2024]]="","",DONNÉES!CU252)</f>
        <v>13.76</v>
      </c>
      <c r="E183" s="173">
        <f>IF(PMDVERNON401[[#This Row],[2024]]="","",DONNÉES!CV252)</f>
        <v>13.37</v>
      </c>
      <c r="F183" s="109">
        <f>IF(PMDVERNON401[[#This Row],[2024]]="","",DONNÉES!CU220)</f>
        <v>20.100000000000001</v>
      </c>
      <c r="G183" s="163">
        <f>IF(PMDVERNON401[[#This Row],[2024]]="","",DONNÉES!CV220)</f>
        <v>20.149999999999999</v>
      </c>
      <c r="H183" s="109">
        <f>IF(PMDVERNON401[[#This Row],[2024]]="","",DONNÉES!CU268)</f>
        <v>20.100000000000001</v>
      </c>
      <c r="I183" s="109">
        <f>IF(PMDVERNON401[[#This Row],[2024]]="","",DONNÉES!CV268)</f>
        <v>20.149999999999999</v>
      </c>
      <c r="K183" s="109">
        <f>IF(PMDVERNON401[[#This Row],[2024]]="","",DONNÉES!CU236)</f>
        <v>16.260000000000002</v>
      </c>
      <c r="L183" s="163">
        <f>IF(PMDVERNON401[[#This Row],[2024]]="","",DONNÉES!CV236)</f>
        <v>16.399999999999999</v>
      </c>
      <c r="M183" s="109">
        <f>IF(PMDVERNON401[[#This Row],[2024]]="","",DONNÉES!CU284)</f>
        <v>16.260000000000002</v>
      </c>
      <c r="N183" s="109">
        <f>IF(PMDVERNON401[[#This Row],[2024]]="","",DONNÉES!CV284)</f>
        <v>16.399999999999999</v>
      </c>
    </row>
    <row r="184" spans="1:14" s="81" customFormat="1" ht="10.15" customHeight="1" x14ac:dyDescent="0.2">
      <c r="A184" s="170" t="s">
        <v>74</v>
      </c>
      <c r="B184" s="109" t="str">
        <f>IF(DONNÉES!CU205="","",DONNÉES!CU205)</f>
        <v/>
      </c>
      <c r="C184" s="163" t="str">
        <f>IF(PMDVERNON401[[#This Row],[2024]]="","",DONNÉES!CV205)</f>
        <v/>
      </c>
      <c r="D184" s="109" t="str">
        <f>IF(PMDVERNON401[[#This Row],[2024]]="","",DONNÉES!CU253)</f>
        <v/>
      </c>
      <c r="E184" s="173" t="str">
        <f>IF(PMDVERNON401[[#This Row],[2024]]="","",DONNÉES!CV253)</f>
        <v/>
      </c>
      <c r="F184" s="109" t="str">
        <f>IF(PMDVERNON401[[#This Row],[2024]]="","",DONNÉES!CU221)</f>
        <v/>
      </c>
      <c r="G184" s="163" t="str">
        <f>IF(PMDVERNON401[[#This Row],[2024]]="","",DONNÉES!CV221)</f>
        <v/>
      </c>
      <c r="H184" s="109" t="str">
        <f>IF(PMDVERNON401[[#This Row],[2024]]="","",DONNÉES!CU269)</f>
        <v/>
      </c>
      <c r="I184" s="109" t="str">
        <f>IF(PMDVERNON401[[#This Row],[2024]]="","",DONNÉES!CV269)</f>
        <v/>
      </c>
      <c r="K184" s="109" t="str">
        <f>IF(PMDVERNON401[[#This Row],[2024]]="","",DONNÉES!CU237)</f>
        <v/>
      </c>
      <c r="L184" s="163" t="str">
        <f>IF(PMDVERNON401[[#This Row],[2024]]="","",DONNÉES!CV237)</f>
        <v/>
      </c>
      <c r="M184" s="109" t="str">
        <f>IF(PMDVERNON401[[#This Row],[2024]]="","",DONNÉES!CU285)</f>
        <v/>
      </c>
      <c r="N184" s="109" t="str">
        <f>IF(PMDVERNON401[[#This Row],[2024]]="","",DONNÉES!CV285)</f>
        <v/>
      </c>
    </row>
    <row r="185" spans="1:14" s="81" customFormat="1" ht="10.15" customHeight="1" x14ac:dyDescent="0.2">
      <c r="A185" s="169" t="s">
        <v>75</v>
      </c>
      <c r="B185" s="109" t="str">
        <f>IF(DONNÉES!CU206="","",DONNÉES!CU206)</f>
        <v/>
      </c>
      <c r="C185" s="163" t="str">
        <f>IF(PMDVERNON401[[#This Row],[2024]]="","",DONNÉES!CV206)</f>
        <v/>
      </c>
      <c r="D185" s="109" t="str">
        <f>IF(PMDVERNON401[[#This Row],[2024]]="","",DONNÉES!CU254)</f>
        <v/>
      </c>
      <c r="E185" s="173" t="str">
        <f>IF(PMDVERNON401[[#This Row],[2024]]="","",DONNÉES!CV254)</f>
        <v/>
      </c>
      <c r="F185" s="109" t="str">
        <f>IF(PMDVERNON401[[#This Row],[2024]]="","",DONNÉES!CU222)</f>
        <v/>
      </c>
      <c r="G185" s="163" t="str">
        <f>IF(PMDVERNON401[[#This Row],[2024]]="","",DONNÉES!CV222)</f>
        <v/>
      </c>
      <c r="H185" s="109" t="str">
        <f>IF(PMDVERNON401[[#This Row],[2024]]="","",DONNÉES!CU270)</f>
        <v/>
      </c>
      <c r="I185" s="109" t="str">
        <f>IF(PMDVERNON401[[#This Row],[2024]]="","",DONNÉES!CV270)</f>
        <v/>
      </c>
      <c r="K185" s="109" t="str">
        <f>IF(PMDVERNON401[[#This Row],[2024]]="","",DONNÉES!CU238)</f>
        <v/>
      </c>
      <c r="L185" s="163" t="str">
        <f>IF(PMDVERNON401[[#This Row],[2024]]="","",DONNÉES!CV238)</f>
        <v/>
      </c>
      <c r="M185" s="109" t="str">
        <f>IF(PMDVERNON401[[#This Row],[2024]]="","",DONNÉES!CU286)</f>
        <v/>
      </c>
      <c r="N185" s="109" t="str">
        <f>IF(PMDVERNON401[[#This Row],[2024]]="","",DONNÉES!CV286)</f>
        <v/>
      </c>
    </row>
    <row r="186" spans="1:14" ht="10.15" customHeight="1" x14ac:dyDescent="0.2">
      <c r="A186" s="170" t="s">
        <v>76</v>
      </c>
      <c r="B186" s="109" t="str">
        <f>IF(DONNÉES!CU207="","",DONNÉES!CU207)</f>
        <v/>
      </c>
      <c r="C186" s="163" t="str">
        <f>IF(PMDVERNON401[[#This Row],[2024]]="","",DONNÉES!CV207)</f>
        <v/>
      </c>
      <c r="D186" s="109" t="str">
        <f>IF(PMDVERNON401[[#This Row],[2024]]="","",DONNÉES!CU255)</f>
        <v/>
      </c>
      <c r="E186" s="173" t="str">
        <f>IF(PMDVERNON401[[#This Row],[2024]]="","",DONNÉES!CV255)</f>
        <v/>
      </c>
      <c r="F186" s="109" t="str">
        <f>IF(PMDVERNON401[[#This Row],[2024]]="","",DONNÉES!CU223)</f>
        <v/>
      </c>
      <c r="G186" s="163" t="str">
        <f>IF(PMDVERNON401[[#This Row],[2024]]="","",DONNÉES!CV223)</f>
        <v/>
      </c>
      <c r="H186" s="109" t="str">
        <f>IF(PMDVERNON401[[#This Row],[2024]]="","",DONNÉES!CU271)</f>
        <v/>
      </c>
      <c r="I186" s="109" t="str">
        <f>IF(PMDVERNON401[[#This Row],[2024]]="","",DONNÉES!CV271)</f>
        <v/>
      </c>
      <c r="J186" s="79"/>
      <c r="K186" s="109" t="str">
        <f>IF(PMDVERNON401[[#This Row],[2024]]="","",DONNÉES!CU239)</f>
        <v/>
      </c>
      <c r="L186" s="163" t="str">
        <f>IF(PMDVERNON401[[#This Row],[2024]]="","",DONNÉES!CV239)</f>
        <v/>
      </c>
      <c r="M186" s="109" t="str">
        <f>IF(PMDVERNON401[[#This Row],[2024]]="","",DONNÉES!CU287)</f>
        <v/>
      </c>
      <c r="N186" s="109" t="str">
        <f>IF(PMDVERNON401[[#This Row],[2024]]="","",DONNÉES!CV287)</f>
        <v/>
      </c>
    </row>
    <row r="187" spans="1:14" ht="10.15" customHeight="1" x14ac:dyDescent="0.2">
      <c r="A187" s="169" t="s">
        <v>77</v>
      </c>
      <c r="B187" s="109" t="str">
        <f>IF(DONNÉES!CU208="","",DONNÉES!CU208)</f>
        <v/>
      </c>
      <c r="C187" s="163" t="str">
        <f>IF(PMDVERNON401[[#This Row],[2024]]="","",DONNÉES!CV208)</f>
        <v/>
      </c>
      <c r="D187" s="109" t="str">
        <f>IF(PMDVERNON401[[#This Row],[2024]]="","",DONNÉES!CU256)</f>
        <v/>
      </c>
      <c r="E187" s="173" t="str">
        <f>IF(PMDVERNON401[[#This Row],[2024]]="","",DONNÉES!CV256)</f>
        <v/>
      </c>
      <c r="F187" s="109" t="str">
        <f>IF(PMDVERNON401[[#This Row],[2024]]="","",DONNÉES!CU224)</f>
        <v/>
      </c>
      <c r="G187" s="163" t="str">
        <f>IF(PMDVERNON401[[#This Row],[2024]]="","",DONNÉES!CV224)</f>
        <v/>
      </c>
      <c r="H187" s="109" t="str">
        <f>IF(PMDVERNON401[[#This Row],[2024]]="","",DONNÉES!CU272)</f>
        <v/>
      </c>
      <c r="I187" s="109" t="str">
        <f>IF(PMDVERNON401[[#This Row],[2024]]="","",DONNÉES!CV272)</f>
        <v/>
      </c>
      <c r="J187" s="79"/>
      <c r="K187" s="109" t="str">
        <f>IF(PMDVERNON401[[#This Row],[2024]]="","",DONNÉES!CU240)</f>
        <v/>
      </c>
      <c r="L187" s="163" t="str">
        <f>IF(PMDVERNON401[[#This Row],[2024]]="","",DONNÉES!CV240)</f>
        <v/>
      </c>
      <c r="M187" s="109" t="str">
        <f>IF(PMDVERNON401[[#This Row],[2024]]="","",DONNÉES!CU288)</f>
        <v/>
      </c>
      <c r="N187" s="109" t="str">
        <f>IF(PMDVERNON401[[#This Row],[2024]]="","",DONNÉES!CV288)</f>
        <v/>
      </c>
    </row>
    <row r="188" spans="1:14" ht="10.15" customHeight="1" x14ac:dyDescent="0.2">
      <c r="A188" s="170" t="s">
        <v>78</v>
      </c>
      <c r="B188" s="109" t="str">
        <f>IF(DONNÉES!CU209="","",DONNÉES!CU209)</f>
        <v/>
      </c>
      <c r="C188" s="163" t="str">
        <f>IF(PMDVERNON401[[#This Row],[2024]]="","",DONNÉES!CV209)</f>
        <v/>
      </c>
      <c r="D188" s="109" t="str">
        <f>IF(PMDVERNON401[[#This Row],[2024]]="","",DONNÉES!CU257)</f>
        <v/>
      </c>
      <c r="E188" s="173" t="str">
        <f>IF(PMDVERNON401[[#This Row],[2024]]="","",DONNÉES!CV257)</f>
        <v/>
      </c>
      <c r="F188" s="109" t="str">
        <f>IF(PMDVERNON401[[#This Row],[2024]]="","",DONNÉES!CU225)</f>
        <v/>
      </c>
      <c r="G188" s="163" t="str">
        <f>IF(PMDVERNON401[[#This Row],[2024]]="","",DONNÉES!CV225)</f>
        <v/>
      </c>
      <c r="H188" s="109" t="str">
        <f>IF(PMDVERNON401[[#This Row],[2024]]="","",DONNÉES!CU273)</f>
        <v/>
      </c>
      <c r="I188" s="109" t="str">
        <f>IF(PMDVERNON401[[#This Row],[2024]]="","",DONNÉES!CV273)</f>
        <v/>
      </c>
      <c r="J188" s="79"/>
      <c r="K188" s="109" t="str">
        <f>IF(PMDVERNON401[[#This Row],[2024]]="","",DONNÉES!CU241)</f>
        <v/>
      </c>
      <c r="L188" s="163" t="str">
        <f>IF(PMDVERNON401[[#This Row],[2024]]="","",DONNÉES!CV241)</f>
        <v/>
      </c>
      <c r="M188" s="109" t="str">
        <f>IF(PMDVERNON401[[#This Row],[2024]]="","",DONNÉES!CU289)</f>
        <v/>
      </c>
      <c r="N188" s="109" t="str">
        <f>IF(PMDVERNON401[[#This Row],[2024]]="","",DONNÉES!CV289)</f>
        <v/>
      </c>
    </row>
    <row r="189" spans="1:14" ht="10.15" customHeight="1" x14ac:dyDescent="0.2">
      <c r="A189" s="169" t="s">
        <v>79</v>
      </c>
      <c r="B189" s="109" t="str">
        <f>IF(DONNÉES!CU210="","",DONNÉES!CU210)</f>
        <v/>
      </c>
      <c r="C189" s="163" t="str">
        <f>IF(PMDVERNON401[[#This Row],[2024]]="","",DONNÉES!CV210)</f>
        <v/>
      </c>
      <c r="D189" s="109" t="str">
        <f>IF(PMDVERNON401[[#This Row],[2024]]="","",DONNÉES!CU258)</f>
        <v/>
      </c>
      <c r="E189" s="173" t="str">
        <f>IF(PMDVERNON401[[#This Row],[2024]]="","",DONNÉES!CV258)</f>
        <v/>
      </c>
      <c r="F189" s="109" t="str">
        <f>IF(PMDVERNON401[[#This Row],[2024]]="","",DONNÉES!CU226)</f>
        <v/>
      </c>
      <c r="G189" s="163" t="str">
        <f>IF(PMDVERNON401[[#This Row],[2024]]="","",DONNÉES!CV226)</f>
        <v/>
      </c>
      <c r="H189" s="109" t="str">
        <f>IF(PMDVERNON401[[#This Row],[2024]]="","",DONNÉES!CU274)</f>
        <v/>
      </c>
      <c r="I189" s="109" t="str">
        <f>IF(PMDVERNON401[[#This Row],[2024]]="","",DONNÉES!CV274)</f>
        <v/>
      </c>
      <c r="J189" s="79"/>
      <c r="K189" s="109" t="str">
        <f>IF(PMDVERNON401[[#This Row],[2024]]="","",DONNÉES!CU242)</f>
        <v/>
      </c>
      <c r="L189" s="163" t="str">
        <f>IF(PMDVERNON401[[#This Row],[2024]]="","",DONNÉES!CV242)</f>
        <v/>
      </c>
      <c r="M189" s="109" t="str">
        <f>IF(PMDVERNON401[[#This Row],[2024]]="","",DONNÉES!CU290)</f>
        <v/>
      </c>
      <c r="N189" s="109" t="str">
        <f>IF(PMDVERNON401[[#This Row],[2024]]="","",DONNÉES!CV290)</f>
        <v/>
      </c>
    </row>
    <row r="190" spans="1:14" ht="10.15" customHeight="1" x14ac:dyDescent="0.2">
      <c r="A190" s="170" t="s">
        <v>80</v>
      </c>
      <c r="B190" s="109" t="str">
        <f>IF(DONNÉES!CU211="","",DONNÉES!CU211)</f>
        <v/>
      </c>
      <c r="C190" s="163" t="str">
        <f>IF(PMDVERNON401[[#This Row],[2024]]="","",DONNÉES!CV211)</f>
        <v/>
      </c>
      <c r="D190" s="109" t="str">
        <f>IF(PMDVERNON401[[#This Row],[2024]]="","",DONNÉES!CU259)</f>
        <v/>
      </c>
      <c r="E190" s="173" t="str">
        <f>IF(PMDVERNON401[[#This Row],[2024]]="","",DONNÉES!CV259)</f>
        <v/>
      </c>
      <c r="F190" s="109" t="str">
        <f>IF(PMDVERNON401[[#This Row],[2024]]="","",DONNÉES!CU227)</f>
        <v/>
      </c>
      <c r="G190" s="163" t="str">
        <f>IF(PMDVERNON401[[#This Row],[2024]]="","",DONNÉES!CV227)</f>
        <v/>
      </c>
      <c r="H190" s="109" t="str">
        <f>IF(PMDVERNON401[[#This Row],[2024]]="","",DONNÉES!CU275)</f>
        <v/>
      </c>
      <c r="I190" s="109" t="str">
        <f>IF(PMDVERNON401[[#This Row],[2024]]="","",DONNÉES!CV275)</f>
        <v/>
      </c>
      <c r="J190" s="79"/>
      <c r="K190" s="109" t="str">
        <f>IF(PMDVERNON401[[#This Row],[2024]]="","",DONNÉES!CU243)</f>
        <v/>
      </c>
      <c r="L190" s="163" t="str">
        <f>IF(PMDVERNON401[[#This Row],[2024]]="","",DONNÉES!CV243)</f>
        <v/>
      </c>
      <c r="M190" s="109" t="str">
        <f>IF(PMDVERNON401[[#This Row],[2024]]="","",DONNÉES!CU291)</f>
        <v/>
      </c>
      <c r="N190" s="109" t="str">
        <f>IF(PMDVERNON401[[#This Row],[2024]]="","",DONNÉES!CV291)</f>
        <v/>
      </c>
    </row>
    <row r="191" spans="1:14" ht="10.15" customHeight="1" x14ac:dyDescent="0.2">
      <c r="A191" s="169" t="s">
        <v>81</v>
      </c>
      <c r="B191" s="109" t="str">
        <f>IF(DONNÉES!CU212="","",DONNÉES!CU212)</f>
        <v/>
      </c>
      <c r="C191" s="163" t="str">
        <f>IF(PMDVERNON401[[#This Row],[2024]]="","",DONNÉES!CV212)</f>
        <v/>
      </c>
      <c r="D191" s="109" t="str">
        <f>IF(PMDVERNON401[[#This Row],[2024]]="","",DONNÉES!CU260)</f>
        <v/>
      </c>
      <c r="E191" s="173" t="str">
        <f>IF(PMDVERNON401[[#This Row],[2024]]="","",DONNÉES!CV260)</f>
        <v/>
      </c>
      <c r="F191" s="109" t="str">
        <f>IF(PMDVERNON401[[#This Row],[2024]]="","",DONNÉES!CU228)</f>
        <v/>
      </c>
      <c r="G191" s="163" t="str">
        <f>IF(PMDVERNON401[[#This Row],[2024]]="","",DONNÉES!CV228)</f>
        <v/>
      </c>
      <c r="H191" s="109" t="str">
        <f>IF(PMDVERNON401[[#This Row],[2024]]="","",DONNÉES!CU276)</f>
        <v/>
      </c>
      <c r="I191" s="109" t="str">
        <f>IF(PMDVERNON401[[#This Row],[2024]]="","",DONNÉES!CV276)</f>
        <v/>
      </c>
      <c r="J191" s="82"/>
      <c r="K191" s="109" t="str">
        <f>IF(PMDVERNON401[[#This Row],[2024]]="","",DONNÉES!CU244)</f>
        <v/>
      </c>
      <c r="L191" s="163" t="str">
        <f>IF(PMDVERNON401[[#This Row],[2024]]="","",DONNÉES!CV244)</f>
        <v/>
      </c>
      <c r="M191" s="109" t="str">
        <f>IF(PMDVERNON401[[#This Row],[2024]]="","",DONNÉES!CU292)</f>
        <v/>
      </c>
      <c r="N191" s="109" t="str">
        <f>IF(PMDVERNON401[[#This Row],[2024]]="","",DONNÉES!CV292)</f>
        <v/>
      </c>
    </row>
    <row r="192" spans="1:14" ht="10.15" customHeight="1" x14ac:dyDescent="0.2">
      <c r="A192" s="170" t="s">
        <v>82</v>
      </c>
      <c r="B192" s="109" t="str">
        <f>IF(DONNÉES!CU213="","",DONNÉES!CU213)</f>
        <v/>
      </c>
      <c r="C192" s="163" t="str">
        <f>IF(PMDVERNON401[[#This Row],[2024]]="","",DONNÉES!CV213)</f>
        <v/>
      </c>
      <c r="D192" s="109" t="str">
        <f>IF(PMDVERNON401[[#This Row],[2024]]="","",DONNÉES!CU261)</f>
        <v/>
      </c>
      <c r="E192" s="173" t="str">
        <f>IF(PMDVERNON401[[#This Row],[2024]]="","",DONNÉES!CV261)</f>
        <v/>
      </c>
      <c r="F192" s="109" t="str">
        <f>IF(PMDVERNON401[[#This Row],[2024]]="","",DONNÉES!CU229)</f>
        <v/>
      </c>
      <c r="G192" s="163" t="str">
        <f>IF(PMDVERNON401[[#This Row],[2024]]="","",DONNÉES!CV229)</f>
        <v/>
      </c>
      <c r="H192" s="109" t="str">
        <f>IF(PMDVERNON401[[#This Row],[2024]]="","",DONNÉES!CU277)</f>
        <v/>
      </c>
      <c r="I192" s="109" t="str">
        <f>IF(PMDVERNON401[[#This Row],[2024]]="","",DONNÉES!CV277)</f>
        <v/>
      </c>
      <c r="J192" s="79"/>
      <c r="K192" s="109" t="str">
        <f>IF(PMDVERNON401[[#This Row],[2024]]="","",DONNÉES!CU245)</f>
        <v/>
      </c>
      <c r="L192" s="163" t="str">
        <f>IF(PMDVERNON401[[#This Row],[2024]]="","",DONNÉES!CV245)</f>
        <v/>
      </c>
      <c r="M192" s="109" t="str">
        <f>IF(PMDVERNON401[[#This Row],[2024]]="","",DONNÉES!CU293)</f>
        <v/>
      </c>
      <c r="N192" s="109" t="str">
        <f>IF(PMDVERNON401[[#This Row],[2024]]="","",DONNÉES!CV293)</f>
        <v/>
      </c>
    </row>
    <row r="193" spans="1:14" s="81" customFormat="1" ht="10.15" customHeight="1" x14ac:dyDescent="0.2">
      <c r="A193" s="169" t="s">
        <v>83</v>
      </c>
      <c r="B193" s="109" t="str">
        <f>IF(DONNÉES!CU214="","",DONNÉES!CU214)</f>
        <v/>
      </c>
      <c r="C193" s="163" t="str">
        <f>IF(PMDVERNON401[[#This Row],[2024]]="","",DONNÉES!CV214)</f>
        <v/>
      </c>
      <c r="D193" s="109" t="str">
        <f>IF(PMDVERNON401[[#This Row],[2024]]="","",DONNÉES!CU262)</f>
        <v/>
      </c>
      <c r="E193" s="173" t="str">
        <f>IF(PMDVERNON401[[#This Row],[2024]]="","",DONNÉES!CV262)</f>
        <v/>
      </c>
      <c r="F193" s="109" t="str">
        <f>IF(PMDVERNON401[[#This Row],[2024]]="","",DONNÉES!CU230)</f>
        <v/>
      </c>
      <c r="G193" s="163" t="str">
        <f>IF(PMDVERNON401[[#This Row],[2024]]="","",DONNÉES!CV230)</f>
        <v/>
      </c>
      <c r="H193" s="109" t="str">
        <f>IF(PMDVERNON401[[#This Row],[2024]]="","",DONNÉES!CU278)</f>
        <v/>
      </c>
      <c r="I193" s="109" t="str">
        <f>IF(PMDVERNON401[[#This Row],[2024]]="","",DONNÉES!CV278)</f>
        <v/>
      </c>
      <c r="K193" s="109" t="str">
        <f>IF(PMDVERNON401[[#This Row],[2024]]="","",DONNÉES!CU246)</f>
        <v/>
      </c>
      <c r="L193" s="163" t="str">
        <f>IF(PMDVERNON401[[#This Row],[2024]]="","",DONNÉES!CV246)</f>
        <v/>
      </c>
      <c r="M193" s="109" t="str">
        <f>IF(PMDVERNON401[[#This Row],[2024]]="","",DONNÉES!CU294)</f>
        <v/>
      </c>
      <c r="N193" s="109" t="str">
        <f>IF(PMDVERNON401[[#This Row],[2024]]="","",DONNÉES!CV294)</f>
        <v/>
      </c>
    </row>
    <row r="194" spans="1:14" s="81" customFormat="1" ht="10.15" customHeight="1" x14ac:dyDescent="0.2">
      <c r="A194" s="169" t="s">
        <v>84</v>
      </c>
      <c r="B194" s="109" t="str">
        <f>IF(DONNÉES!CU215="","",DONNÉES!CU215)</f>
        <v/>
      </c>
      <c r="C194" s="163" t="str">
        <f>IF(PMDVERNON401[[#This Row],[2024]]="","",DONNÉES!CV215)</f>
        <v/>
      </c>
      <c r="D194" s="109" t="str">
        <f>IF(PMDVERNON401[[#This Row],[2024]]="","",DONNÉES!CU263)</f>
        <v/>
      </c>
      <c r="E194" s="173" t="str">
        <f>IF(PMDVERNON401[[#This Row],[2024]]="","",DONNÉES!CV263)</f>
        <v/>
      </c>
      <c r="F194" s="109" t="str">
        <f>IF(PMDVERNON401[[#This Row],[2024]]="","",DONNÉES!CU231)</f>
        <v/>
      </c>
      <c r="G194" s="163" t="str">
        <f>IF(PMDVERNON401[[#This Row],[2024]]="","",DONNÉES!CV231)</f>
        <v/>
      </c>
      <c r="H194" s="109" t="str">
        <f>IF(PMDVERNON401[[#This Row],[2024]]="","",DONNÉES!CU279)</f>
        <v/>
      </c>
      <c r="I194" s="109" t="str">
        <f>IF(PMDVERNON401[[#This Row],[2024]]="","",DONNÉES!CV279)</f>
        <v/>
      </c>
      <c r="K194" s="109" t="str">
        <f>IF(PMDVERNON401[[#This Row],[2024]]="","",DONNÉES!CU247)</f>
        <v/>
      </c>
      <c r="L194" s="163" t="str">
        <f>IF(PMDVERNON401[[#This Row],[2024]]="","",DONNÉES!CV247)</f>
        <v/>
      </c>
      <c r="M194" s="109" t="str">
        <f>IF(PMDVERNON401[[#This Row],[2024]]="","",DONNÉES!CU295)</f>
        <v/>
      </c>
      <c r="N194" s="109" t="str">
        <f>IF(PMDVERNON401[[#This Row],[2024]]="","",DONNÉES!CV295)</f>
        <v/>
      </c>
    </row>
    <row r="195" spans="1:14" s="81" customFormat="1" ht="11.65" customHeight="1" x14ac:dyDescent="0.2">
      <c r="A195" s="171" t="s">
        <v>134</v>
      </c>
      <c r="B195" s="111">
        <f>SUBTOTAL(101,PMDVERNON401[2024])</f>
        <v>13.76</v>
      </c>
      <c r="C195" s="167">
        <f>SUBTOTAL(101,PMDVERNON401[2023])</f>
        <v>13.37</v>
      </c>
      <c r="D195" s="167">
        <f>SUBTOTAL(101,PMDVERNON401[2024 cumul])</f>
        <v>13.76</v>
      </c>
      <c r="E195" s="175">
        <f>SUBTOTAL(101,PMDVERNON401[2023 cumul])</f>
        <v>13.37</v>
      </c>
      <c r="F195" s="117">
        <f>SUBTOTAL(101,PMDVERNON401[[2024  ]])</f>
        <v>20.100000000000001</v>
      </c>
      <c r="G195" s="164">
        <f>SUBTOTAL(101,PMDVERNON401[[2023  ]])</f>
        <v>20.149999999999999</v>
      </c>
      <c r="H195" s="111">
        <f>SUBTOTAL(101,PMDVERNON401[[2024 cumul ]])</f>
        <v>20.100000000000001</v>
      </c>
      <c r="I195" s="111">
        <f>SUBTOTAL(101,PMDVERNON401[[2023 cumul ]])</f>
        <v>20.149999999999999</v>
      </c>
      <c r="K195" s="111">
        <f>SUBTOTAL(101,PMDARTHUR[[2024  ]])</f>
        <v>16.260000000000002</v>
      </c>
      <c r="L195" s="167">
        <f>SUBTOTAL(101,PMDARTHUR[[2023  ]])</f>
        <v>16.399999999999999</v>
      </c>
      <c r="M195" s="167">
        <f>SUBTOTAL(101,PMDARTHUR[[2024 cumul ]])</f>
        <v>16.260000000000002</v>
      </c>
      <c r="N195" s="111">
        <f>SUBTOTAL(101,PMDARTHUR[[2023 cumul ]])</f>
        <v>16.399999999999999</v>
      </c>
    </row>
    <row r="196" spans="1:14" ht="12" customHeight="1" x14ac:dyDescent="0.2">
      <c r="H196" s="79"/>
    </row>
    <row r="197" spans="1:14" ht="15" customHeight="1" x14ac:dyDescent="0.2">
      <c r="A197" s="253"/>
      <c r="B197" s="340" t="s">
        <v>195</v>
      </c>
      <c r="C197" s="340"/>
      <c r="D197" s="340"/>
      <c r="E197" s="341"/>
      <c r="F197" s="340" t="s">
        <v>196</v>
      </c>
      <c r="G197" s="340"/>
      <c r="H197" s="340"/>
      <c r="I197" s="340"/>
      <c r="J197" s="107"/>
      <c r="K197" s="340" t="s">
        <v>197</v>
      </c>
      <c r="L197" s="340"/>
      <c r="M197" s="340"/>
      <c r="N197" s="340"/>
    </row>
    <row r="198" spans="1:14" ht="30" customHeight="1" x14ac:dyDescent="0.2">
      <c r="A198" s="169" t="s">
        <v>6964</v>
      </c>
      <c r="B198" s="108" t="s">
        <v>6962</v>
      </c>
      <c r="C198" s="166" t="s">
        <v>2169</v>
      </c>
      <c r="D198" s="108" t="s">
        <v>6986</v>
      </c>
      <c r="E198" s="172" t="s">
        <v>6944</v>
      </c>
      <c r="F198" s="108" t="s">
        <v>6987</v>
      </c>
      <c r="G198" s="166" t="s">
        <v>6945</v>
      </c>
      <c r="H198" s="108" t="s">
        <v>6988</v>
      </c>
      <c r="I198" s="124" t="s">
        <v>6946</v>
      </c>
      <c r="J198" s="79"/>
      <c r="K198" s="108" t="s">
        <v>6987</v>
      </c>
      <c r="L198" s="166" t="s">
        <v>6945</v>
      </c>
      <c r="M198" s="108" t="s">
        <v>6988</v>
      </c>
      <c r="N198" s="172" t="s">
        <v>6946</v>
      </c>
    </row>
    <row r="199" spans="1:14" s="81" customFormat="1" ht="10.15" customHeight="1" x14ac:dyDescent="0.2">
      <c r="A199" s="170" t="s">
        <v>73</v>
      </c>
      <c r="B199" s="109">
        <f>IF(DONNÉES!DC204="","",DONNÉES!DC204)</f>
        <v>16.71</v>
      </c>
      <c r="C199" s="163">
        <f>IF(PMDVERNON401403[[#This Row],[2024]]="","",DONNÉES!DD204)</f>
        <v>16.79</v>
      </c>
      <c r="D199" s="109">
        <f>IF(PMDVERNON401403[[#This Row],[2024]]="","",DONNÉES!DC252)</f>
        <v>16.71</v>
      </c>
      <c r="E199" s="173">
        <f>IF(PMDVERNON401403[[#This Row],[2024]]="","",DONNÉES!DD252)</f>
        <v>16.79</v>
      </c>
      <c r="F199" s="109">
        <f>IF(PMDVERNON401403[[#This Row],[2024]]="","",DONNÉES!DC220)</f>
        <v>23.2</v>
      </c>
      <c r="G199" s="163">
        <f>IF(PMDVERNON401403[[#This Row],[2024]]="","",DONNÉES!DD220)</f>
        <v>22.13</v>
      </c>
      <c r="H199" s="109">
        <f>IF(PMDVERNON401403[[#This Row],[2024]]="","",DONNÉES!DC268)</f>
        <v>23.2</v>
      </c>
      <c r="I199" s="109">
        <f>IF(PMDVERNON401403[[#This Row],[2024]]="","",DONNÉES!DD268)</f>
        <v>22.13</v>
      </c>
      <c r="K199" s="109">
        <f>IF(PMDVERNON401403[[#This Row],[2024]]="","",DONNÉES!DC236)</f>
        <v>19.350000000000001</v>
      </c>
      <c r="L199" s="163">
        <f>IF(PMDVERNON401403[[#This Row],[2024]]="","",DONNÉES!DD236)</f>
        <v>19</v>
      </c>
      <c r="M199" s="109">
        <f>IF(PMDVERNON401403[[#This Row],[2024]]="","",DONNÉES!DC284)</f>
        <v>19.350000000000001</v>
      </c>
      <c r="N199" s="109">
        <f>IF(PMDVERNON401403[[#This Row],[2024]]="","",DONNÉES!DD284)</f>
        <v>19</v>
      </c>
    </row>
    <row r="200" spans="1:14" s="81" customFormat="1" ht="10.15" customHeight="1" x14ac:dyDescent="0.2">
      <c r="A200" s="170" t="s">
        <v>74</v>
      </c>
      <c r="B200" s="109" t="str">
        <f>IF(DONNÉES!DC205="","",DONNÉES!DC205)</f>
        <v/>
      </c>
      <c r="C200" s="163" t="str">
        <f>IF(PMDVERNON401403[[#This Row],[2024]]="","",DONNÉES!DD205)</f>
        <v/>
      </c>
      <c r="D200" s="109" t="str">
        <f>IF(PMDVERNON401403[[#This Row],[2024]]="","",DONNÉES!DC253)</f>
        <v/>
      </c>
      <c r="E200" s="173" t="str">
        <f>IF(PMDVERNON401403[[#This Row],[2024]]="","",DONNÉES!DD253)</f>
        <v/>
      </c>
      <c r="F200" s="109" t="str">
        <f>IF(PMDVERNON401403[[#This Row],[2024]]="","",DONNÉES!DC221)</f>
        <v/>
      </c>
      <c r="G200" s="163" t="str">
        <f>IF(PMDVERNON401403[[#This Row],[2024]]="","",DONNÉES!DD221)</f>
        <v/>
      </c>
      <c r="H200" s="109" t="str">
        <f>IF(PMDVERNON401403[[#This Row],[2024]]="","",DONNÉES!DC269)</f>
        <v/>
      </c>
      <c r="I200" s="109" t="str">
        <f>IF(PMDVERNON401403[[#This Row],[2024]]="","",DONNÉES!DD269)</f>
        <v/>
      </c>
      <c r="K200" s="109" t="str">
        <f>IF(PMDVERNON401403[[#This Row],[2024]]="","",DONNÉES!DC237)</f>
        <v/>
      </c>
      <c r="L200" s="163" t="str">
        <f>IF(PMDVERNON401403[[#This Row],[2024]]="","",DONNÉES!DD237)</f>
        <v/>
      </c>
      <c r="M200" s="109" t="str">
        <f>IF(PMDVERNON401403[[#This Row],[2024]]="","",DONNÉES!DC285)</f>
        <v/>
      </c>
      <c r="N200" s="109" t="str">
        <f>IF(PMDVERNON401403[[#This Row],[2024]]="","",DONNÉES!DD285)</f>
        <v/>
      </c>
    </row>
    <row r="201" spans="1:14" s="81" customFormat="1" ht="10.15" customHeight="1" x14ac:dyDescent="0.2">
      <c r="A201" s="169" t="s">
        <v>75</v>
      </c>
      <c r="B201" s="109" t="str">
        <f>IF(DONNÉES!DC206="","",DONNÉES!DC206)</f>
        <v/>
      </c>
      <c r="C201" s="163" t="str">
        <f>IF(PMDVERNON401403[[#This Row],[2024]]="","",DONNÉES!DD206)</f>
        <v/>
      </c>
      <c r="D201" s="109" t="str">
        <f>IF(PMDVERNON401403[[#This Row],[2024]]="","",DONNÉES!DC254)</f>
        <v/>
      </c>
      <c r="E201" s="173" t="str">
        <f>IF(PMDVERNON401403[[#This Row],[2024]]="","",DONNÉES!DD254)</f>
        <v/>
      </c>
      <c r="F201" s="109" t="str">
        <f>IF(PMDVERNON401403[[#This Row],[2024]]="","",DONNÉES!DC222)</f>
        <v/>
      </c>
      <c r="G201" s="163" t="str">
        <f>IF(PMDVERNON401403[[#This Row],[2024]]="","",DONNÉES!DD222)</f>
        <v/>
      </c>
      <c r="H201" s="109" t="str">
        <f>IF(PMDVERNON401403[[#This Row],[2024]]="","",DONNÉES!DC270)</f>
        <v/>
      </c>
      <c r="I201" s="109" t="str">
        <f>IF(PMDVERNON401403[[#This Row],[2024]]="","",DONNÉES!DD270)</f>
        <v/>
      </c>
      <c r="K201" s="109" t="str">
        <f>IF(PMDVERNON401403[[#This Row],[2024]]="","",DONNÉES!DC238)</f>
        <v/>
      </c>
      <c r="L201" s="163" t="str">
        <f>IF(PMDVERNON401403[[#This Row],[2024]]="","",DONNÉES!DD238)</f>
        <v/>
      </c>
      <c r="M201" s="109" t="str">
        <f>IF(PMDVERNON401403[[#This Row],[2024]]="","",DONNÉES!DC286)</f>
        <v/>
      </c>
      <c r="N201" s="109" t="str">
        <f>IF(PMDVERNON401403[[#This Row],[2024]]="","",DONNÉES!DD286)</f>
        <v/>
      </c>
    </row>
    <row r="202" spans="1:14" ht="10.15" customHeight="1" x14ac:dyDescent="0.2">
      <c r="A202" s="170" t="s">
        <v>76</v>
      </c>
      <c r="B202" s="109" t="str">
        <f>IF(DONNÉES!DC207="","",DONNÉES!DC207)</f>
        <v/>
      </c>
      <c r="C202" s="163" t="str">
        <f>IF(PMDVERNON401403[[#This Row],[2024]]="","",DONNÉES!DD207)</f>
        <v/>
      </c>
      <c r="D202" s="109" t="str">
        <f>IF(PMDVERNON401403[[#This Row],[2024]]="","",DONNÉES!DC255)</f>
        <v/>
      </c>
      <c r="E202" s="173" t="str">
        <f>IF(PMDVERNON401403[[#This Row],[2024]]="","",DONNÉES!DD255)</f>
        <v/>
      </c>
      <c r="F202" s="109" t="str">
        <f>IF(PMDVERNON401403[[#This Row],[2024]]="","",DONNÉES!DC223)</f>
        <v/>
      </c>
      <c r="G202" s="163" t="str">
        <f>IF(PMDVERNON401403[[#This Row],[2024]]="","",DONNÉES!DD223)</f>
        <v/>
      </c>
      <c r="H202" s="109" t="str">
        <f>IF(PMDVERNON401403[[#This Row],[2024]]="","",DONNÉES!DC271)</f>
        <v/>
      </c>
      <c r="I202" s="109" t="str">
        <f>IF(PMDVERNON401403[[#This Row],[2024]]="","",DONNÉES!DD271)</f>
        <v/>
      </c>
      <c r="J202" s="79"/>
      <c r="K202" s="109" t="str">
        <f>IF(PMDVERNON401403[[#This Row],[2024]]="","",DONNÉES!DC239)</f>
        <v/>
      </c>
      <c r="L202" s="163" t="str">
        <f>IF(PMDVERNON401403[[#This Row],[2024]]="","",DONNÉES!DD239)</f>
        <v/>
      </c>
      <c r="M202" s="109" t="str">
        <f>IF(PMDVERNON401403[[#This Row],[2024]]="","",DONNÉES!DC287)</f>
        <v/>
      </c>
      <c r="N202" s="109" t="str">
        <f>IF(PMDVERNON401403[[#This Row],[2024]]="","",DONNÉES!DD287)</f>
        <v/>
      </c>
    </row>
    <row r="203" spans="1:14" ht="10.15" customHeight="1" x14ac:dyDescent="0.2">
      <c r="A203" s="169" t="s">
        <v>77</v>
      </c>
      <c r="B203" s="109" t="str">
        <f>IF(DONNÉES!DC208="","",DONNÉES!DC208)</f>
        <v/>
      </c>
      <c r="C203" s="163" t="str">
        <f>IF(PMDVERNON401403[[#This Row],[2024]]="","",DONNÉES!DD208)</f>
        <v/>
      </c>
      <c r="D203" s="109" t="str">
        <f>IF(PMDVERNON401403[[#This Row],[2024]]="","",DONNÉES!DC256)</f>
        <v/>
      </c>
      <c r="E203" s="173" t="str">
        <f>IF(PMDVERNON401403[[#This Row],[2024]]="","",DONNÉES!DD256)</f>
        <v/>
      </c>
      <c r="F203" s="109" t="str">
        <f>IF(PMDVERNON401403[[#This Row],[2024]]="","",DONNÉES!DC224)</f>
        <v/>
      </c>
      <c r="G203" s="163" t="str">
        <f>IF(PMDVERNON401403[[#This Row],[2024]]="","",DONNÉES!DD224)</f>
        <v/>
      </c>
      <c r="H203" s="109" t="str">
        <f>IF(PMDVERNON401403[[#This Row],[2024]]="","",DONNÉES!DC272)</f>
        <v/>
      </c>
      <c r="I203" s="109" t="str">
        <f>IF(PMDVERNON401403[[#This Row],[2024]]="","",DONNÉES!DD272)</f>
        <v/>
      </c>
      <c r="J203" s="79"/>
      <c r="K203" s="109" t="str">
        <f>IF(PMDVERNON401403[[#This Row],[2024]]="","",DONNÉES!DC240)</f>
        <v/>
      </c>
      <c r="L203" s="163" t="str">
        <f>IF(PMDVERNON401403[[#This Row],[2024]]="","",DONNÉES!DD240)</f>
        <v/>
      </c>
      <c r="M203" s="109" t="str">
        <f>IF(PMDVERNON401403[[#This Row],[2024]]="","",DONNÉES!DC288)</f>
        <v/>
      </c>
      <c r="N203" s="109" t="str">
        <f>IF(PMDVERNON401403[[#This Row],[2024]]="","",DONNÉES!DD288)</f>
        <v/>
      </c>
    </row>
    <row r="204" spans="1:14" ht="10.15" customHeight="1" x14ac:dyDescent="0.2">
      <c r="A204" s="170" t="s">
        <v>78</v>
      </c>
      <c r="B204" s="109" t="str">
        <f>IF(DONNÉES!DC209="","",DONNÉES!DC209)</f>
        <v/>
      </c>
      <c r="C204" s="163" t="str">
        <f>IF(PMDVERNON401403[[#This Row],[2024]]="","",DONNÉES!DD209)</f>
        <v/>
      </c>
      <c r="D204" s="109" t="str">
        <f>IF(PMDVERNON401403[[#This Row],[2024]]="","",DONNÉES!DC257)</f>
        <v/>
      </c>
      <c r="E204" s="173" t="str">
        <f>IF(PMDVERNON401403[[#This Row],[2024]]="","",DONNÉES!DD257)</f>
        <v/>
      </c>
      <c r="F204" s="109" t="str">
        <f>IF(PMDVERNON401403[[#This Row],[2024]]="","",DONNÉES!DC225)</f>
        <v/>
      </c>
      <c r="G204" s="163" t="str">
        <f>IF(PMDVERNON401403[[#This Row],[2024]]="","",DONNÉES!DD225)</f>
        <v/>
      </c>
      <c r="H204" s="109" t="str">
        <f>IF(PMDVERNON401403[[#This Row],[2024]]="","",DONNÉES!DC273)</f>
        <v/>
      </c>
      <c r="I204" s="109" t="str">
        <f>IF(PMDVERNON401403[[#This Row],[2024]]="","",DONNÉES!DD273)</f>
        <v/>
      </c>
      <c r="J204" s="79"/>
      <c r="K204" s="109" t="str">
        <f>IF(PMDVERNON401403[[#This Row],[2024]]="","",DONNÉES!DC241)</f>
        <v/>
      </c>
      <c r="L204" s="163" t="str">
        <f>IF(PMDVERNON401403[[#This Row],[2024]]="","",DONNÉES!DD241)</f>
        <v/>
      </c>
      <c r="M204" s="109" t="str">
        <f>IF(PMDVERNON401403[[#This Row],[2024]]="","",DONNÉES!DC289)</f>
        <v/>
      </c>
      <c r="N204" s="109" t="str">
        <f>IF(PMDVERNON401403[[#This Row],[2024]]="","",DONNÉES!DD289)</f>
        <v/>
      </c>
    </row>
    <row r="205" spans="1:14" ht="10.15" customHeight="1" x14ac:dyDescent="0.2">
      <c r="A205" s="169" t="s">
        <v>79</v>
      </c>
      <c r="B205" s="109" t="str">
        <f>IF(DONNÉES!DC210="","",DONNÉES!DC210)</f>
        <v/>
      </c>
      <c r="C205" s="163" t="str">
        <f>IF(PMDVERNON401403[[#This Row],[2024]]="","",DONNÉES!DD210)</f>
        <v/>
      </c>
      <c r="D205" s="109" t="str">
        <f>IF(PMDVERNON401403[[#This Row],[2024]]="","",DONNÉES!DC258)</f>
        <v/>
      </c>
      <c r="E205" s="173" t="str">
        <f>IF(PMDVERNON401403[[#This Row],[2024]]="","",DONNÉES!DD258)</f>
        <v/>
      </c>
      <c r="F205" s="109" t="str">
        <f>IF(PMDVERNON401403[[#This Row],[2024]]="","",DONNÉES!DC226)</f>
        <v/>
      </c>
      <c r="G205" s="163" t="str">
        <f>IF(PMDVERNON401403[[#This Row],[2024]]="","",DONNÉES!DD226)</f>
        <v/>
      </c>
      <c r="H205" s="109" t="str">
        <f>IF(PMDVERNON401403[[#This Row],[2024]]="","",DONNÉES!DC274)</f>
        <v/>
      </c>
      <c r="I205" s="109" t="str">
        <f>IF(PMDVERNON401403[[#This Row],[2024]]="","",DONNÉES!DD274)</f>
        <v/>
      </c>
      <c r="J205" s="79"/>
      <c r="K205" s="109" t="str">
        <f>IF(PMDVERNON401403[[#This Row],[2024]]="","",DONNÉES!DC242)</f>
        <v/>
      </c>
      <c r="L205" s="163" t="str">
        <f>IF(PMDVERNON401403[[#This Row],[2024]]="","",DONNÉES!DD242)</f>
        <v/>
      </c>
      <c r="M205" s="109" t="str">
        <f>IF(PMDVERNON401403[[#This Row],[2024]]="","",DONNÉES!DC290)</f>
        <v/>
      </c>
      <c r="N205" s="109" t="str">
        <f>IF(PMDVERNON401403[[#This Row],[2024]]="","",DONNÉES!DD290)</f>
        <v/>
      </c>
    </row>
    <row r="206" spans="1:14" ht="10.15" customHeight="1" x14ac:dyDescent="0.2">
      <c r="A206" s="170" t="s">
        <v>80</v>
      </c>
      <c r="B206" s="109" t="str">
        <f>IF(DONNÉES!DC211="","",DONNÉES!DC211)</f>
        <v/>
      </c>
      <c r="C206" s="163" t="str">
        <f>IF(PMDVERNON401403[[#This Row],[2024]]="","",DONNÉES!DD211)</f>
        <v/>
      </c>
      <c r="D206" s="109" t="str">
        <f>IF(PMDVERNON401403[[#This Row],[2024]]="","",DONNÉES!DC259)</f>
        <v/>
      </c>
      <c r="E206" s="173" t="str">
        <f>IF(PMDVERNON401403[[#This Row],[2024]]="","",DONNÉES!DD259)</f>
        <v/>
      </c>
      <c r="F206" s="109" t="str">
        <f>IF(PMDVERNON401403[[#This Row],[2024]]="","",DONNÉES!DC227)</f>
        <v/>
      </c>
      <c r="G206" s="163" t="str">
        <f>IF(PMDVERNON401403[[#This Row],[2024]]="","",DONNÉES!DD227)</f>
        <v/>
      </c>
      <c r="H206" s="109" t="str">
        <f>IF(PMDVERNON401403[[#This Row],[2024]]="","",DONNÉES!DC275)</f>
        <v/>
      </c>
      <c r="I206" s="109" t="str">
        <f>IF(PMDVERNON401403[[#This Row],[2024]]="","",DONNÉES!DD275)</f>
        <v/>
      </c>
      <c r="J206" s="79"/>
      <c r="K206" s="109" t="str">
        <f>IF(PMDVERNON401403[[#This Row],[2024]]="","",DONNÉES!DC243)</f>
        <v/>
      </c>
      <c r="L206" s="163" t="str">
        <f>IF(PMDVERNON401403[[#This Row],[2024]]="","",DONNÉES!DD243)</f>
        <v/>
      </c>
      <c r="M206" s="109" t="str">
        <f>IF(PMDVERNON401403[[#This Row],[2024]]="","",DONNÉES!DC291)</f>
        <v/>
      </c>
      <c r="N206" s="109" t="str">
        <f>IF(PMDVERNON401403[[#This Row],[2024]]="","",DONNÉES!DD291)</f>
        <v/>
      </c>
    </row>
    <row r="207" spans="1:14" ht="10.15" customHeight="1" x14ac:dyDescent="0.2">
      <c r="A207" s="169" t="s">
        <v>81</v>
      </c>
      <c r="B207" s="109" t="str">
        <f>IF(DONNÉES!DC212="","",DONNÉES!DC212)</f>
        <v/>
      </c>
      <c r="C207" s="163" t="str">
        <f>IF(PMDVERNON401403[[#This Row],[2024]]="","",DONNÉES!DD212)</f>
        <v/>
      </c>
      <c r="D207" s="109" t="str">
        <f>IF(PMDVERNON401403[[#This Row],[2024]]="","",DONNÉES!DC260)</f>
        <v/>
      </c>
      <c r="E207" s="173" t="str">
        <f>IF(PMDVERNON401403[[#This Row],[2024]]="","",DONNÉES!DD260)</f>
        <v/>
      </c>
      <c r="F207" s="109" t="str">
        <f>IF(PMDVERNON401403[[#This Row],[2024]]="","",DONNÉES!DC228)</f>
        <v/>
      </c>
      <c r="G207" s="163" t="str">
        <f>IF(PMDVERNON401403[[#This Row],[2024]]="","",DONNÉES!DD228)</f>
        <v/>
      </c>
      <c r="H207" s="109" t="str">
        <f>IF(PMDVERNON401403[[#This Row],[2024]]="","",DONNÉES!DC276)</f>
        <v/>
      </c>
      <c r="I207" s="109" t="str">
        <f>IF(PMDVERNON401403[[#This Row],[2024]]="","",DONNÉES!DD276)</f>
        <v/>
      </c>
      <c r="J207" s="82"/>
      <c r="K207" s="109" t="str">
        <f>IF(PMDVERNON401403[[#This Row],[2024]]="","",DONNÉES!DC244)</f>
        <v/>
      </c>
      <c r="L207" s="163" t="str">
        <f>IF(PMDVERNON401403[[#This Row],[2024]]="","",DONNÉES!DD244)</f>
        <v/>
      </c>
      <c r="M207" s="109" t="str">
        <f>IF(PMDVERNON401403[[#This Row],[2024]]="","",DONNÉES!DC292)</f>
        <v/>
      </c>
      <c r="N207" s="109" t="str">
        <f>IF(PMDVERNON401403[[#This Row],[2024]]="","",DONNÉES!DD292)</f>
        <v/>
      </c>
    </row>
    <row r="208" spans="1:14" ht="10.15" customHeight="1" x14ac:dyDescent="0.2">
      <c r="A208" s="170" t="s">
        <v>82</v>
      </c>
      <c r="B208" s="109" t="str">
        <f>IF(DONNÉES!DC213="","",DONNÉES!DC213)</f>
        <v/>
      </c>
      <c r="C208" s="163" t="str">
        <f>IF(PMDVERNON401403[[#This Row],[2024]]="","",DONNÉES!DD213)</f>
        <v/>
      </c>
      <c r="D208" s="109" t="str">
        <f>IF(PMDVERNON401403[[#This Row],[2024]]="","",DONNÉES!DC261)</f>
        <v/>
      </c>
      <c r="E208" s="173" t="str">
        <f>IF(PMDVERNON401403[[#This Row],[2024]]="","",DONNÉES!DD261)</f>
        <v/>
      </c>
      <c r="F208" s="109" t="str">
        <f>IF(PMDVERNON401403[[#This Row],[2024]]="","",DONNÉES!DC229)</f>
        <v/>
      </c>
      <c r="G208" s="163" t="str">
        <f>IF(PMDVERNON401403[[#This Row],[2024]]="","",DONNÉES!DD229)</f>
        <v/>
      </c>
      <c r="H208" s="109" t="str">
        <f>IF(PMDVERNON401403[[#This Row],[2024]]="","",DONNÉES!DC277)</f>
        <v/>
      </c>
      <c r="I208" s="109" t="str">
        <f>IF(PMDVERNON401403[[#This Row],[2024]]="","",DONNÉES!DD277)</f>
        <v/>
      </c>
      <c r="J208" s="79"/>
      <c r="K208" s="109" t="str">
        <f>IF(PMDVERNON401403[[#This Row],[2024]]="","",DONNÉES!DC245)</f>
        <v/>
      </c>
      <c r="L208" s="163" t="str">
        <f>IF(PMDVERNON401403[[#This Row],[2024]]="","",DONNÉES!DD245)</f>
        <v/>
      </c>
      <c r="M208" s="109" t="str">
        <f>IF(PMDVERNON401403[[#This Row],[2024]]="","",DONNÉES!DC293)</f>
        <v/>
      </c>
      <c r="N208" s="109" t="str">
        <f>IF(PMDVERNON401403[[#This Row],[2024]]="","",DONNÉES!DD293)</f>
        <v/>
      </c>
    </row>
    <row r="209" spans="1:14" s="81" customFormat="1" ht="10.15" customHeight="1" x14ac:dyDescent="0.2">
      <c r="A209" s="169" t="s">
        <v>83</v>
      </c>
      <c r="B209" s="109" t="str">
        <f>IF(DONNÉES!DC214="","",DONNÉES!DC214)</f>
        <v/>
      </c>
      <c r="C209" s="163" t="str">
        <f>IF(PMDVERNON401403[[#This Row],[2024]]="","",DONNÉES!DD214)</f>
        <v/>
      </c>
      <c r="D209" s="109" t="str">
        <f>IF(PMDVERNON401403[[#This Row],[2024]]="","",DONNÉES!DC262)</f>
        <v/>
      </c>
      <c r="E209" s="173" t="str">
        <f>IF(PMDVERNON401403[[#This Row],[2024]]="","",DONNÉES!DD262)</f>
        <v/>
      </c>
      <c r="F209" s="109" t="str">
        <f>IF(PMDVERNON401403[[#This Row],[2024]]="","",DONNÉES!DC230)</f>
        <v/>
      </c>
      <c r="G209" s="163" t="str">
        <f>IF(PMDVERNON401403[[#This Row],[2024]]="","",DONNÉES!DD230)</f>
        <v/>
      </c>
      <c r="H209" s="109" t="str">
        <f>IF(PMDVERNON401403[[#This Row],[2024]]="","",DONNÉES!DC278)</f>
        <v/>
      </c>
      <c r="I209" s="109" t="str">
        <f>IF(PMDVERNON401403[[#This Row],[2024]]="","",DONNÉES!DD278)</f>
        <v/>
      </c>
      <c r="K209" s="109" t="str">
        <f>IF(PMDVERNON401403[[#This Row],[2024]]="","",DONNÉES!DC246)</f>
        <v/>
      </c>
      <c r="L209" s="163" t="str">
        <f>IF(PMDVERNON401403[[#This Row],[2024]]="","",DONNÉES!DD246)</f>
        <v/>
      </c>
      <c r="M209" s="109" t="str">
        <f>IF(PMDVERNON401403[[#This Row],[2024]]="","",DONNÉES!DC294)</f>
        <v/>
      </c>
      <c r="N209" s="109" t="str">
        <f>IF(PMDVERNON401403[[#This Row],[2024]]="","",DONNÉES!DD294)</f>
        <v/>
      </c>
    </row>
    <row r="210" spans="1:14" s="81" customFormat="1" ht="10.15" customHeight="1" x14ac:dyDescent="0.2">
      <c r="A210" s="169" t="s">
        <v>84</v>
      </c>
      <c r="B210" s="109" t="str">
        <f>IF(DONNÉES!DC215="","",DONNÉES!DC215)</f>
        <v/>
      </c>
      <c r="C210" s="163" t="str">
        <f>IF(PMDVERNON401403[[#This Row],[2024]]="","",DONNÉES!DD215)</f>
        <v/>
      </c>
      <c r="D210" s="109" t="str">
        <f>IF(PMDVERNON401403[[#This Row],[2024]]="","",DONNÉES!DC263)</f>
        <v/>
      </c>
      <c r="E210" s="173" t="str">
        <f>IF(PMDVERNON401403[[#This Row],[2024]]="","",DONNÉES!DD263)</f>
        <v/>
      </c>
      <c r="F210" s="109" t="str">
        <f>IF(PMDVERNON401403[[#This Row],[2024]]="","",DONNÉES!DC231)</f>
        <v/>
      </c>
      <c r="G210" s="163" t="str">
        <f>IF(PMDVERNON401403[[#This Row],[2024]]="","",DONNÉES!DD231)</f>
        <v/>
      </c>
      <c r="H210" s="109" t="str">
        <f>IF(PMDVERNON401403[[#This Row],[2024]]="","",DONNÉES!DC279)</f>
        <v/>
      </c>
      <c r="I210" s="109" t="str">
        <f>IF(PMDVERNON401403[[#This Row],[2024]]="","",DONNÉES!DD279)</f>
        <v/>
      </c>
      <c r="K210" s="109" t="str">
        <f>IF(PMDVERNON401403[[#This Row],[2024]]="","",DONNÉES!DC247)</f>
        <v/>
      </c>
      <c r="L210" s="163" t="str">
        <f>IF(PMDVERNON401403[[#This Row],[2024]]="","",DONNÉES!DD247)</f>
        <v/>
      </c>
      <c r="M210" s="109" t="str">
        <f>IF(PMDVERNON401403[[#This Row],[2024]]="","",DONNÉES!DC295)</f>
        <v/>
      </c>
      <c r="N210" s="109" t="str">
        <f>IF(PMDVERNON401403[[#This Row],[2024]]="","",DONNÉES!DD295)</f>
        <v/>
      </c>
    </row>
    <row r="211" spans="1:14" s="81" customFormat="1" ht="11.65" customHeight="1" x14ac:dyDescent="0.2">
      <c r="A211" s="171" t="s">
        <v>134</v>
      </c>
      <c r="B211" s="111">
        <f>SUBTOTAL(101,PMDVERNON401403[2024])</f>
        <v>16.71</v>
      </c>
      <c r="C211" s="167">
        <f>SUBTOTAL(101,PMDVERNON401403[2023])</f>
        <v>16.79</v>
      </c>
      <c r="D211" s="167">
        <f>SUBTOTAL(101,PMDVERNON401403[2024 cumul])</f>
        <v>16.71</v>
      </c>
      <c r="E211" s="175">
        <f>SUBTOTAL(101,PMDVERNON401403[2023 cumul])</f>
        <v>16.79</v>
      </c>
      <c r="F211" s="117">
        <f>SUBTOTAL(101,PMDVERNON401403[[2024  ]])</f>
        <v>23.2</v>
      </c>
      <c r="G211" s="164">
        <f>SUBTOTAL(101,PMDVERNON401403[[2023  ]])</f>
        <v>22.13</v>
      </c>
      <c r="H211" s="111">
        <f>SUBTOTAL(101,PMDVERNON401403[[2024 cumul ]])</f>
        <v>23.2</v>
      </c>
      <c r="I211" s="111">
        <f>SUBTOTAL(101,PMDVERNON401403[[2023 cumul ]])</f>
        <v>22.13</v>
      </c>
      <c r="K211" s="111">
        <f>SUBTOTAL(101,PMDHUGO[[2024  ]])</f>
        <v>19.350000000000001</v>
      </c>
      <c r="L211" s="167">
        <f>SUBTOTAL(101,PMDHUGO[[2023  ]])</f>
        <v>19</v>
      </c>
      <c r="M211" s="167">
        <f>SUBTOTAL(101,PMDHUGO[[2024 cumul ]])</f>
        <v>19.350000000000001</v>
      </c>
      <c r="N211" s="111">
        <f>SUBTOTAL(101,PMDHUGO[[2023 cumul ]])</f>
        <v>19</v>
      </c>
    </row>
    <row r="212" spans="1:14" ht="12" customHeight="1" x14ac:dyDescent="0.2">
      <c r="H212" s="79"/>
    </row>
    <row r="213" spans="1:14" ht="15" customHeight="1" x14ac:dyDescent="0.2">
      <c r="A213" s="253"/>
      <c r="B213" s="340" t="s">
        <v>195</v>
      </c>
      <c r="C213" s="340"/>
      <c r="D213" s="340"/>
      <c r="E213" s="341"/>
      <c r="F213" s="340" t="s">
        <v>196</v>
      </c>
      <c r="G213" s="340"/>
      <c r="H213" s="340"/>
      <c r="I213" s="340"/>
      <c r="J213" s="107"/>
      <c r="K213" s="342" t="s">
        <v>197</v>
      </c>
      <c r="L213" s="342"/>
      <c r="M213" s="342"/>
      <c r="N213" s="342"/>
    </row>
    <row r="214" spans="1:14" ht="30" customHeight="1" x14ac:dyDescent="0.2">
      <c r="A214" s="169" t="s">
        <v>6966</v>
      </c>
      <c r="B214" s="108" t="s">
        <v>6962</v>
      </c>
      <c r="C214" s="166" t="s">
        <v>2169</v>
      </c>
      <c r="D214" s="108" t="s">
        <v>6986</v>
      </c>
      <c r="E214" s="172" t="s">
        <v>6944</v>
      </c>
      <c r="F214" s="108" t="s">
        <v>6987</v>
      </c>
      <c r="G214" s="166" t="s">
        <v>6945</v>
      </c>
      <c r="H214" s="108" t="s">
        <v>6988</v>
      </c>
      <c r="I214" s="124" t="s">
        <v>6946</v>
      </c>
      <c r="J214" s="79"/>
      <c r="K214" s="108" t="s">
        <v>6987</v>
      </c>
      <c r="L214" s="166" t="s">
        <v>6945</v>
      </c>
      <c r="M214" s="108" t="s">
        <v>6988</v>
      </c>
      <c r="N214" s="172" t="s">
        <v>6946</v>
      </c>
    </row>
    <row r="215" spans="1:14" s="81" customFormat="1" ht="10.15" customHeight="1" x14ac:dyDescent="0.2">
      <c r="A215" s="170" t="s">
        <v>73</v>
      </c>
      <c r="B215" s="109">
        <f>IF(DONNÉES!DK204="","",DONNÉES!DK204)</f>
        <v>10.25</v>
      </c>
      <c r="C215" s="163">
        <f>IF(PMDVERNON401403405[[#This Row],[2024]]="","",DONNÉES!DL204)</f>
        <v>10.57</v>
      </c>
      <c r="D215" s="109">
        <f>IF(PMDVERNON401403405[[#This Row],[2024]]="","",DONNÉES!DK252)</f>
        <v>10.25</v>
      </c>
      <c r="E215" s="173">
        <f>IF(PMDVERNON401403405[[#This Row],[2024]]="","",DONNÉES!DL252)</f>
        <v>10.57</v>
      </c>
      <c r="F215" s="109">
        <f>IF(PMDVERNON401403405[[#This Row],[2024]]="","",DONNÉES!DK220)</f>
        <v>16.89</v>
      </c>
      <c r="G215" s="163">
        <f>IF(PMDVERNON401403405[[#This Row],[2024]]="","",DONNÉES!DL220)</f>
        <v>17.04</v>
      </c>
      <c r="H215" s="109">
        <f>IF(PMDVERNON401403405[[#This Row],[2024]]="","",DONNÉES!DK268)</f>
        <v>16.89</v>
      </c>
      <c r="I215" s="109">
        <f>IF(PMDVERNON401403405[[#This Row],[2024]]="","",DONNÉES!DL268)</f>
        <v>17.04</v>
      </c>
      <c r="K215" s="109">
        <f>IF(PMDVERNON401403405[[#This Row],[2024]]="","",DONNÉES!DK236)</f>
        <v>13.91</v>
      </c>
      <c r="L215" s="163">
        <f>IF(PMDVERNON401403405[[#This Row],[2024]]="","",DONNÉES!DL236)</f>
        <v>14.05</v>
      </c>
      <c r="M215" s="109">
        <f>IF(PMDVERNON401403405[[#This Row],[2024]]="","",DONNÉES!DK284)</f>
        <v>13.91</v>
      </c>
      <c r="N215" s="109">
        <f>IF(PMDVERNON401403405[[#This Row],[2024]]="","",DONNÉES!DL284)</f>
        <v>14.05</v>
      </c>
    </row>
    <row r="216" spans="1:14" s="81" customFormat="1" ht="10.15" customHeight="1" x14ac:dyDescent="0.2">
      <c r="A216" s="170" t="s">
        <v>74</v>
      </c>
      <c r="B216" s="109" t="str">
        <f>IF(DONNÉES!DK205="","",DONNÉES!DK205)</f>
        <v/>
      </c>
      <c r="C216" s="163" t="str">
        <f>IF(PMDVERNON401403405[[#This Row],[2024]]="","",DONNÉES!DL205)</f>
        <v/>
      </c>
      <c r="D216" s="109" t="str">
        <f>IF(PMDVERNON401403405[[#This Row],[2024]]="","",DONNÉES!DK253)</f>
        <v/>
      </c>
      <c r="E216" s="173" t="str">
        <f>IF(PMDVERNON401403405[[#This Row],[2024]]="","",DONNÉES!DL253)</f>
        <v/>
      </c>
      <c r="F216" s="109" t="str">
        <f>IF(PMDVERNON401403405[[#This Row],[2024]]="","",DONNÉES!DK221)</f>
        <v/>
      </c>
      <c r="G216" s="163" t="str">
        <f>IF(PMDVERNON401403405[[#This Row],[2024]]="","",DONNÉES!DL221)</f>
        <v/>
      </c>
      <c r="H216" s="109" t="str">
        <f>IF(PMDVERNON401403405[[#This Row],[2024]]="","",DONNÉES!DK269)</f>
        <v/>
      </c>
      <c r="I216" s="109" t="str">
        <f>IF(PMDVERNON401403405[[#This Row],[2024]]="","",DONNÉES!DL269)</f>
        <v/>
      </c>
      <c r="K216" s="109" t="str">
        <f>IF(PMDVERNON401403405[[#This Row],[2024]]="","",DONNÉES!DK237)</f>
        <v/>
      </c>
      <c r="L216" s="163" t="str">
        <f>IF(PMDVERNON401403405[[#This Row],[2024]]="","",DONNÉES!DL237)</f>
        <v/>
      </c>
      <c r="M216" s="109" t="str">
        <f>IF(PMDVERNON401403405[[#This Row],[2024]]="","",DONNÉES!DK285)</f>
        <v/>
      </c>
      <c r="N216" s="109" t="str">
        <f>IF(PMDVERNON401403405[[#This Row],[2024]]="","",DONNÉES!DL285)</f>
        <v/>
      </c>
    </row>
    <row r="217" spans="1:14" s="81" customFormat="1" ht="10.15" customHeight="1" x14ac:dyDescent="0.2">
      <c r="A217" s="169" t="s">
        <v>75</v>
      </c>
      <c r="B217" s="109" t="str">
        <f>IF(DONNÉES!DK206="","",DONNÉES!DK206)</f>
        <v/>
      </c>
      <c r="C217" s="163" t="str">
        <f>IF(PMDVERNON401403405[[#This Row],[2024]]="","",DONNÉES!DL206)</f>
        <v/>
      </c>
      <c r="D217" s="109" t="str">
        <f>IF(PMDVERNON401403405[[#This Row],[2024]]="","",DONNÉES!DK254)</f>
        <v/>
      </c>
      <c r="E217" s="173" t="str">
        <f>IF(PMDVERNON401403405[[#This Row],[2024]]="","",DONNÉES!DL254)</f>
        <v/>
      </c>
      <c r="F217" s="109" t="str">
        <f>IF(PMDVERNON401403405[[#This Row],[2024]]="","",DONNÉES!DK222)</f>
        <v/>
      </c>
      <c r="G217" s="163" t="str">
        <f>IF(PMDVERNON401403405[[#This Row],[2024]]="","",DONNÉES!DL222)</f>
        <v/>
      </c>
      <c r="H217" s="109" t="str">
        <f>IF(PMDVERNON401403405[[#This Row],[2024]]="","",DONNÉES!DK270)</f>
        <v/>
      </c>
      <c r="I217" s="109" t="str">
        <f>IF(PMDVERNON401403405[[#This Row],[2024]]="","",DONNÉES!DL270)</f>
        <v/>
      </c>
      <c r="K217" s="109" t="str">
        <f>IF(PMDVERNON401403405[[#This Row],[2024]]="","",DONNÉES!DK238)</f>
        <v/>
      </c>
      <c r="L217" s="163" t="str">
        <f>IF(PMDVERNON401403405[[#This Row],[2024]]="","",DONNÉES!DL238)</f>
        <v/>
      </c>
      <c r="M217" s="109" t="str">
        <f>IF(PMDVERNON401403405[[#This Row],[2024]]="","",DONNÉES!DK286)</f>
        <v/>
      </c>
      <c r="N217" s="109" t="str">
        <f>IF(PMDVERNON401403405[[#This Row],[2024]]="","",DONNÉES!DL286)</f>
        <v/>
      </c>
    </row>
    <row r="218" spans="1:14" ht="10.15" customHeight="1" x14ac:dyDescent="0.2">
      <c r="A218" s="170" t="s">
        <v>76</v>
      </c>
      <c r="B218" s="109" t="str">
        <f>IF(DONNÉES!DK207="","",DONNÉES!DK207)</f>
        <v/>
      </c>
      <c r="C218" s="163" t="str">
        <f>IF(PMDVERNON401403405[[#This Row],[2024]]="","",DONNÉES!DL207)</f>
        <v/>
      </c>
      <c r="D218" s="109" t="str">
        <f>IF(PMDVERNON401403405[[#This Row],[2024]]="","",DONNÉES!DK255)</f>
        <v/>
      </c>
      <c r="E218" s="173" t="str">
        <f>IF(PMDVERNON401403405[[#This Row],[2024]]="","",DONNÉES!DL255)</f>
        <v/>
      </c>
      <c r="F218" s="109" t="str">
        <f>IF(PMDVERNON401403405[[#This Row],[2024]]="","",DONNÉES!DK223)</f>
        <v/>
      </c>
      <c r="G218" s="163" t="str">
        <f>IF(PMDVERNON401403405[[#This Row],[2024]]="","",DONNÉES!DL223)</f>
        <v/>
      </c>
      <c r="H218" s="109" t="str">
        <f>IF(PMDVERNON401403405[[#This Row],[2024]]="","",DONNÉES!DK271)</f>
        <v/>
      </c>
      <c r="I218" s="109" t="str">
        <f>IF(PMDVERNON401403405[[#This Row],[2024]]="","",DONNÉES!DL271)</f>
        <v/>
      </c>
      <c r="J218" s="79"/>
      <c r="K218" s="109" t="str">
        <f>IF(PMDVERNON401403405[[#This Row],[2024]]="","",DONNÉES!DK239)</f>
        <v/>
      </c>
      <c r="L218" s="163" t="str">
        <f>IF(PMDVERNON401403405[[#This Row],[2024]]="","",DONNÉES!DL239)</f>
        <v/>
      </c>
      <c r="M218" s="109" t="str">
        <f>IF(PMDVERNON401403405[[#This Row],[2024]]="","",DONNÉES!DK287)</f>
        <v/>
      </c>
      <c r="N218" s="109" t="str">
        <f>IF(PMDVERNON401403405[[#This Row],[2024]]="","",DONNÉES!DL287)</f>
        <v/>
      </c>
    </row>
    <row r="219" spans="1:14" ht="10.15" customHeight="1" x14ac:dyDescent="0.2">
      <c r="A219" s="169" t="s">
        <v>77</v>
      </c>
      <c r="B219" s="109" t="str">
        <f>IF(DONNÉES!DK208="","",DONNÉES!DK208)</f>
        <v/>
      </c>
      <c r="C219" s="163" t="str">
        <f>IF(PMDVERNON401403405[[#This Row],[2024]]="","",DONNÉES!DL208)</f>
        <v/>
      </c>
      <c r="D219" s="109" t="str">
        <f>IF(PMDVERNON401403405[[#This Row],[2024]]="","",DONNÉES!DK256)</f>
        <v/>
      </c>
      <c r="E219" s="173" t="str">
        <f>IF(PMDVERNON401403405[[#This Row],[2024]]="","",DONNÉES!DL256)</f>
        <v/>
      </c>
      <c r="F219" s="109" t="str">
        <f>IF(PMDVERNON401403405[[#This Row],[2024]]="","",DONNÉES!DK224)</f>
        <v/>
      </c>
      <c r="G219" s="163" t="str">
        <f>IF(PMDVERNON401403405[[#This Row],[2024]]="","",DONNÉES!DL224)</f>
        <v/>
      </c>
      <c r="H219" s="109" t="str">
        <f>IF(PMDVERNON401403405[[#This Row],[2024]]="","",DONNÉES!DK272)</f>
        <v/>
      </c>
      <c r="I219" s="109" t="str">
        <f>IF(PMDVERNON401403405[[#This Row],[2024]]="","",DONNÉES!DL272)</f>
        <v/>
      </c>
      <c r="J219" s="79"/>
      <c r="K219" s="109" t="str">
        <f>IF(PMDVERNON401403405[[#This Row],[2024]]="","",DONNÉES!DK240)</f>
        <v/>
      </c>
      <c r="L219" s="163" t="str">
        <f>IF(PMDVERNON401403405[[#This Row],[2024]]="","",DONNÉES!DL240)</f>
        <v/>
      </c>
      <c r="M219" s="109" t="str">
        <f>IF(PMDVERNON401403405[[#This Row],[2024]]="","",DONNÉES!DK288)</f>
        <v/>
      </c>
      <c r="N219" s="109" t="str">
        <f>IF(PMDVERNON401403405[[#This Row],[2024]]="","",DONNÉES!DL288)</f>
        <v/>
      </c>
    </row>
    <row r="220" spans="1:14" ht="10.15" customHeight="1" x14ac:dyDescent="0.2">
      <c r="A220" s="170" t="s">
        <v>78</v>
      </c>
      <c r="B220" s="109" t="str">
        <f>IF(DONNÉES!DK209="","",DONNÉES!DK209)</f>
        <v/>
      </c>
      <c r="C220" s="163" t="str">
        <f>IF(PMDVERNON401403405[[#This Row],[2024]]="","",DONNÉES!DL209)</f>
        <v/>
      </c>
      <c r="D220" s="109" t="str">
        <f>IF(PMDVERNON401403405[[#This Row],[2024]]="","",DONNÉES!DK257)</f>
        <v/>
      </c>
      <c r="E220" s="173" t="str">
        <f>IF(PMDVERNON401403405[[#This Row],[2024]]="","",DONNÉES!DL257)</f>
        <v/>
      </c>
      <c r="F220" s="109" t="str">
        <f>IF(PMDVERNON401403405[[#This Row],[2024]]="","",DONNÉES!DK225)</f>
        <v/>
      </c>
      <c r="G220" s="163" t="str">
        <f>IF(PMDVERNON401403405[[#This Row],[2024]]="","",DONNÉES!DL225)</f>
        <v/>
      </c>
      <c r="H220" s="109" t="str">
        <f>IF(PMDVERNON401403405[[#This Row],[2024]]="","",DONNÉES!DK273)</f>
        <v/>
      </c>
      <c r="I220" s="109" t="str">
        <f>IF(PMDVERNON401403405[[#This Row],[2024]]="","",DONNÉES!DL273)</f>
        <v/>
      </c>
      <c r="J220" s="79"/>
      <c r="K220" s="109" t="str">
        <f>IF(PMDVERNON401403405[[#This Row],[2024]]="","",DONNÉES!DK241)</f>
        <v/>
      </c>
      <c r="L220" s="163" t="str">
        <f>IF(PMDVERNON401403405[[#This Row],[2024]]="","",DONNÉES!DL241)</f>
        <v/>
      </c>
      <c r="M220" s="109" t="str">
        <f>IF(PMDVERNON401403405[[#This Row],[2024]]="","",DONNÉES!DK289)</f>
        <v/>
      </c>
      <c r="N220" s="109" t="str">
        <f>IF(PMDVERNON401403405[[#This Row],[2024]]="","",DONNÉES!DL289)</f>
        <v/>
      </c>
    </row>
    <row r="221" spans="1:14" ht="10.15" customHeight="1" x14ac:dyDescent="0.2">
      <c r="A221" s="169" t="s">
        <v>79</v>
      </c>
      <c r="B221" s="109" t="str">
        <f>IF(DONNÉES!DK210="","",DONNÉES!DK210)</f>
        <v/>
      </c>
      <c r="C221" s="163" t="str">
        <f>IF(PMDVERNON401403405[[#This Row],[2024]]="","",DONNÉES!DL210)</f>
        <v/>
      </c>
      <c r="D221" s="109" t="str">
        <f>IF(PMDVERNON401403405[[#This Row],[2024]]="","",DONNÉES!DK258)</f>
        <v/>
      </c>
      <c r="E221" s="173" t="str">
        <f>IF(PMDVERNON401403405[[#This Row],[2024]]="","",DONNÉES!DL258)</f>
        <v/>
      </c>
      <c r="F221" s="109" t="str">
        <f>IF(PMDVERNON401403405[[#This Row],[2024]]="","",DONNÉES!DK226)</f>
        <v/>
      </c>
      <c r="G221" s="163" t="str">
        <f>IF(PMDVERNON401403405[[#This Row],[2024]]="","",DONNÉES!DL226)</f>
        <v/>
      </c>
      <c r="H221" s="109" t="str">
        <f>IF(PMDVERNON401403405[[#This Row],[2024]]="","",DONNÉES!DK274)</f>
        <v/>
      </c>
      <c r="I221" s="109" t="str">
        <f>IF(PMDVERNON401403405[[#This Row],[2024]]="","",DONNÉES!DL274)</f>
        <v/>
      </c>
      <c r="J221" s="79"/>
      <c r="K221" s="109" t="str">
        <f>IF(PMDVERNON401403405[[#This Row],[2024]]="","",DONNÉES!DK242)</f>
        <v/>
      </c>
      <c r="L221" s="163" t="str">
        <f>IF(PMDVERNON401403405[[#This Row],[2024]]="","",DONNÉES!DL242)</f>
        <v/>
      </c>
      <c r="M221" s="109" t="str">
        <f>IF(PMDVERNON401403405[[#This Row],[2024]]="","",DONNÉES!DK290)</f>
        <v/>
      </c>
      <c r="N221" s="109" t="str">
        <f>IF(PMDVERNON401403405[[#This Row],[2024]]="","",DONNÉES!DL290)</f>
        <v/>
      </c>
    </row>
    <row r="222" spans="1:14" ht="10.15" customHeight="1" x14ac:dyDescent="0.2">
      <c r="A222" s="170" t="s">
        <v>80</v>
      </c>
      <c r="B222" s="109" t="str">
        <f>IF(DONNÉES!DK211="","",DONNÉES!DK211)</f>
        <v/>
      </c>
      <c r="C222" s="163" t="str">
        <f>IF(PMDVERNON401403405[[#This Row],[2024]]="","",DONNÉES!DL211)</f>
        <v/>
      </c>
      <c r="D222" s="109" t="str">
        <f>IF(PMDVERNON401403405[[#This Row],[2024]]="","",DONNÉES!DK259)</f>
        <v/>
      </c>
      <c r="E222" s="173" t="str">
        <f>IF(PMDVERNON401403405[[#This Row],[2024]]="","",DONNÉES!DL259)</f>
        <v/>
      </c>
      <c r="F222" s="109" t="str">
        <f>IF(PMDVERNON401403405[[#This Row],[2024]]="","",DONNÉES!DK227)</f>
        <v/>
      </c>
      <c r="G222" s="163" t="str">
        <f>IF(PMDVERNON401403405[[#This Row],[2024]]="","",DONNÉES!DL227)</f>
        <v/>
      </c>
      <c r="H222" s="109" t="str">
        <f>IF(PMDVERNON401403405[[#This Row],[2024]]="","",DONNÉES!DK275)</f>
        <v/>
      </c>
      <c r="I222" s="109" t="str">
        <f>IF(PMDVERNON401403405[[#This Row],[2024]]="","",DONNÉES!DL275)</f>
        <v/>
      </c>
      <c r="J222" s="79"/>
      <c r="K222" s="109" t="str">
        <f>IF(PMDVERNON401403405[[#This Row],[2024]]="","",DONNÉES!DK243)</f>
        <v/>
      </c>
      <c r="L222" s="163" t="str">
        <f>IF(PMDVERNON401403405[[#This Row],[2024]]="","",DONNÉES!DL243)</f>
        <v/>
      </c>
      <c r="M222" s="109" t="str">
        <f>IF(PMDVERNON401403405[[#This Row],[2024]]="","",DONNÉES!DK291)</f>
        <v/>
      </c>
      <c r="N222" s="109" t="str">
        <f>IF(PMDVERNON401403405[[#This Row],[2024]]="","",DONNÉES!DL291)</f>
        <v/>
      </c>
    </row>
    <row r="223" spans="1:14" ht="10.15" customHeight="1" x14ac:dyDescent="0.2">
      <c r="A223" s="169" t="s">
        <v>81</v>
      </c>
      <c r="B223" s="109" t="str">
        <f>IF(DONNÉES!DK212="","",DONNÉES!DK212)</f>
        <v/>
      </c>
      <c r="C223" s="163" t="str">
        <f>IF(PMDVERNON401403405[[#This Row],[2024]]="","",DONNÉES!DL212)</f>
        <v/>
      </c>
      <c r="D223" s="109" t="str">
        <f>IF(PMDVERNON401403405[[#This Row],[2024]]="","",DONNÉES!DK260)</f>
        <v/>
      </c>
      <c r="E223" s="173" t="str">
        <f>IF(PMDVERNON401403405[[#This Row],[2024]]="","",DONNÉES!DL260)</f>
        <v/>
      </c>
      <c r="F223" s="109" t="str">
        <f>IF(PMDVERNON401403405[[#This Row],[2024]]="","",DONNÉES!DK228)</f>
        <v/>
      </c>
      <c r="G223" s="163" t="str">
        <f>IF(PMDVERNON401403405[[#This Row],[2024]]="","",DONNÉES!DL228)</f>
        <v/>
      </c>
      <c r="H223" s="109" t="str">
        <f>IF(PMDVERNON401403405[[#This Row],[2024]]="","",DONNÉES!DK276)</f>
        <v/>
      </c>
      <c r="I223" s="109" t="str">
        <f>IF(PMDVERNON401403405[[#This Row],[2024]]="","",DONNÉES!DL276)</f>
        <v/>
      </c>
      <c r="J223" s="82"/>
      <c r="K223" s="109" t="str">
        <f>IF(PMDVERNON401403405[[#This Row],[2024]]="","",DONNÉES!DK244)</f>
        <v/>
      </c>
      <c r="L223" s="163" t="str">
        <f>IF(PMDVERNON401403405[[#This Row],[2024]]="","",DONNÉES!DL244)</f>
        <v/>
      </c>
      <c r="M223" s="109" t="str">
        <f>IF(PMDVERNON401403405[[#This Row],[2024]]="","",DONNÉES!DK292)</f>
        <v/>
      </c>
      <c r="N223" s="109" t="str">
        <f>IF(PMDVERNON401403405[[#This Row],[2024]]="","",DONNÉES!DL292)</f>
        <v/>
      </c>
    </row>
    <row r="224" spans="1:14" ht="10.15" customHeight="1" x14ac:dyDescent="0.2">
      <c r="A224" s="170" t="s">
        <v>82</v>
      </c>
      <c r="B224" s="109" t="str">
        <f>IF(DONNÉES!DK213="","",DONNÉES!DK213)</f>
        <v/>
      </c>
      <c r="C224" s="163" t="str">
        <f>IF(PMDVERNON401403405[[#This Row],[2024]]="","",DONNÉES!DL213)</f>
        <v/>
      </c>
      <c r="D224" s="109" t="str">
        <f>IF(PMDVERNON401403405[[#This Row],[2024]]="","",DONNÉES!DK261)</f>
        <v/>
      </c>
      <c r="E224" s="173" t="str">
        <f>IF(PMDVERNON401403405[[#This Row],[2024]]="","",DONNÉES!DL261)</f>
        <v/>
      </c>
      <c r="F224" s="109" t="str">
        <f>IF(PMDVERNON401403405[[#This Row],[2024]]="","",DONNÉES!DK229)</f>
        <v/>
      </c>
      <c r="G224" s="163" t="str">
        <f>IF(PMDVERNON401403405[[#This Row],[2024]]="","",DONNÉES!DL229)</f>
        <v/>
      </c>
      <c r="H224" s="109" t="str">
        <f>IF(PMDVERNON401403405[[#This Row],[2024]]="","",DONNÉES!DK277)</f>
        <v/>
      </c>
      <c r="I224" s="109" t="str">
        <f>IF(PMDVERNON401403405[[#This Row],[2024]]="","",DONNÉES!DL277)</f>
        <v/>
      </c>
      <c r="J224" s="79"/>
      <c r="K224" s="109" t="str">
        <f>IF(PMDVERNON401403405[[#This Row],[2024]]="","",DONNÉES!DK245)</f>
        <v/>
      </c>
      <c r="L224" s="163" t="str">
        <f>IF(PMDVERNON401403405[[#This Row],[2024]]="","",DONNÉES!DL245)</f>
        <v/>
      </c>
      <c r="M224" s="109" t="str">
        <f>IF(PMDVERNON401403405[[#This Row],[2024]]="","",DONNÉES!DK293)</f>
        <v/>
      </c>
      <c r="N224" s="109" t="str">
        <f>IF(PMDVERNON401403405[[#This Row],[2024]]="","",DONNÉES!DL293)</f>
        <v/>
      </c>
    </row>
    <row r="225" spans="1:14" s="81" customFormat="1" ht="10.15" customHeight="1" x14ac:dyDescent="0.2">
      <c r="A225" s="169" t="s">
        <v>83</v>
      </c>
      <c r="B225" s="109" t="str">
        <f>IF(DONNÉES!DK214="","",DONNÉES!DK214)</f>
        <v/>
      </c>
      <c r="C225" s="163" t="str">
        <f>IF(PMDVERNON401403405[[#This Row],[2024]]="","",DONNÉES!DL214)</f>
        <v/>
      </c>
      <c r="D225" s="109" t="str">
        <f>IF(PMDVERNON401403405[[#This Row],[2024]]="","",DONNÉES!DK262)</f>
        <v/>
      </c>
      <c r="E225" s="173" t="str">
        <f>IF(PMDVERNON401403405[[#This Row],[2024]]="","",DONNÉES!DL262)</f>
        <v/>
      </c>
      <c r="F225" s="109" t="str">
        <f>IF(PMDVERNON401403405[[#This Row],[2024]]="","",DONNÉES!DK230)</f>
        <v/>
      </c>
      <c r="G225" s="163" t="str">
        <f>IF(PMDVERNON401403405[[#This Row],[2024]]="","",DONNÉES!DL230)</f>
        <v/>
      </c>
      <c r="H225" s="109" t="str">
        <f>IF(PMDVERNON401403405[[#This Row],[2024]]="","",DONNÉES!DK278)</f>
        <v/>
      </c>
      <c r="I225" s="109" t="str">
        <f>IF(PMDVERNON401403405[[#This Row],[2024]]="","",DONNÉES!DL278)</f>
        <v/>
      </c>
      <c r="K225" s="109" t="str">
        <f>IF(PMDVERNON401403405[[#This Row],[2024]]="","",DONNÉES!DK246)</f>
        <v/>
      </c>
      <c r="L225" s="163" t="str">
        <f>IF(PMDVERNON401403405[[#This Row],[2024]]="","",DONNÉES!DL246)</f>
        <v/>
      </c>
      <c r="M225" s="109" t="str">
        <f>IF(PMDVERNON401403405[[#This Row],[2024]]="","",DONNÉES!DK294)</f>
        <v/>
      </c>
      <c r="N225" s="109" t="str">
        <f>IF(PMDVERNON401403405[[#This Row],[2024]]="","",DONNÉES!DL294)</f>
        <v/>
      </c>
    </row>
    <row r="226" spans="1:14" s="81" customFormat="1" ht="10.15" customHeight="1" x14ac:dyDescent="0.2">
      <c r="A226" s="169" t="s">
        <v>84</v>
      </c>
      <c r="B226" s="109" t="str">
        <f>IF(DONNÉES!DK215="","",DONNÉES!DK215)</f>
        <v/>
      </c>
      <c r="C226" s="163" t="str">
        <f>IF(PMDVERNON401403405[[#This Row],[2024]]="","",DONNÉES!DL215)</f>
        <v/>
      </c>
      <c r="D226" s="109" t="str">
        <f>IF(PMDVERNON401403405[[#This Row],[2024]]="","",DONNÉES!DK263)</f>
        <v/>
      </c>
      <c r="E226" s="173" t="str">
        <f>IF(PMDVERNON401403405[[#This Row],[2024]]="","",DONNÉES!DL263)</f>
        <v/>
      </c>
      <c r="F226" s="109" t="str">
        <f>IF(PMDVERNON401403405[[#This Row],[2024]]="","",DONNÉES!DK231)</f>
        <v/>
      </c>
      <c r="G226" s="163" t="str">
        <f>IF(PMDVERNON401403405[[#This Row],[2024]]="","",DONNÉES!DL231)</f>
        <v/>
      </c>
      <c r="H226" s="109" t="str">
        <f>IF(PMDVERNON401403405[[#This Row],[2024]]="","",DONNÉES!DK279)</f>
        <v/>
      </c>
      <c r="I226" s="109" t="str">
        <f>IF(PMDVERNON401403405[[#This Row],[2024]]="","",DONNÉES!DL279)</f>
        <v/>
      </c>
      <c r="K226" s="109" t="str">
        <f>IF(PMDVERNON401403405[[#This Row],[2024]]="","",DONNÉES!DK247)</f>
        <v/>
      </c>
      <c r="L226" s="163" t="str">
        <f>IF(PMDVERNON401403405[[#This Row],[2024]]="","",DONNÉES!DL247)</f>
        <v/>
      </c>
      <c r="M226" s="109" t="str">
        <f>IF(PMDVERNON401403405[[#This Row],[2024]]="","",DONNÉES!DK295)</f>
        <v/>
      </c>
      <c r="N226" s="109" t="str">
        <f>IF(PMDVERNON401403405[[#This Row],[2024]]="","",DONNÉES!DL295)</f>
        <v/>
      </c>
    </row>
    <row r="227" spans="1:14" s="81" customFormat="1" ht="11.65" customHeight="1" x14ac:dyDescent="0.2">
      <c r="A227" s="171" t="s">
        <v>134</v>
      </c>
      <c r="B227" s="111">
        <f>SUBTOTAL(101,PMDVERNON401403405[2024])</f>
        <v>10.25</v>
      </c>
      <c r="C227" s="167">
        <f>SUBTOTAL(101,PMDVERNON401403405[2023])</f>
        <v>10.57</v>
      </c>
      <c r="D227" s="167">
        <f>SUBTOTAL(101,PMDVERNON401403405[2024 cumul])</f>
        <v>10.25</v>
      </c>
      <c r="E227" s="175">
        <f>SUBTOTAL(101,PMDVERNON401403405[2023 cumul])</f>
        <v>10.57</v>
      </c>
      <c r="F227" s="117">
        <f>SUBTOTAL(101,PMDVERNON401403405[[2024  ]])</f>
        <v>16.89</v>
      </c>
      <c r="G227" s="164">
        <f>SUBTOTAL(101,PMDVERNON401403405[[2023  ]])</f>
        <v>17.04</v>
      </c>
      <c r="H227" s="111">
        <f>SUBTOTAL(101,PMDVERNON401403405[[2024 cumul ]])</f>
        <v>16.89</v>
      </c>
      <c r="I227" s="111">
        <f>SUBTOTAL(101,PMDVERNON401403405[[2023 cumul ]])</f>
        <v>17.04</v>
      </c>
      <c r="K227" s="111">
        <f>SUBTOTAL(101,PMDJEANCLO[[2024  ]])</f>
        <v>13.91</v>
      </c>
      <c r="L227" s="167">
        <f>SUBTOTAL(101,PMDJEANCLO[[2023  ]])</f>
        <v>14.05</v>
      </c>
      <c r="M227" s="167">
        <f>SUBTOTAL(101,PMDJEANCLO[[2024 cumul ]])</f>
        <v>13.91</v>
      </c>
      <c r="N227" s="111">
        <f>SUBTOTAL(101,PMDJEANCLO[[2023 cumul ]])</f>
        <v>14.05</v>
      </c>
    </row>
    <row r="228" spans="1:14" ht="12" customHeight="1" x14ac:dyDescent="0.2">
      <c r="H228" s="79"/>
    </row>
    <row r="229" spans="1:14" ht="15" customHeight="1" x14ac:dyDescent="0.2">
      <c r="A229" s="176"/>
      <c r="B229" s="343" t="s">
        <v>195</v>
      </c>
      <c r="C229" s="343"/>
      <c r="D229" s="343"/>
      <c r="E229" s="344"/>
      <c r="F229" s="343" t="s">
        <v>196</v>
      </c>
      <c r="G229" s="343"/>
      <c r="H229" s="343"/>
      <c r="I229" s="343"/>
      <c r="J229" s="107"/>
      <c r="K229" s="343" t="s">
        <v>197</v>
      </c>
      <c r="L229" s="343"/>
      <c r="M229" s="343"/>
      <c r="N229" s="343"/>
    </row>
    <row r="230" spans="1:14" ht="30" customHeight="1" x14ac:dyDescent="0.2">
      <c r="A230" s="169" t="s">
        <v>6965</v>
      </c>
      <c r="B230" s="108" t="s">
        <v>6962</v>
      </c>
      <c r="C230" s="166" t="s">
        <v>2169</v>
      </c>
      <c r="D230" s="108" t="s">
        <v>6986</v>
      </c>
      <c r="E230" s="172" t="s">
        <v>6944</v>
      </c>
      <c r="F230" s="108" t="s">
        <v>6987</v>
      </c>
      <c r="G230" s="166" t="s">
        <v>6945</v>
      </c>
      <c r="H230" s="108" t="s">
        <v>6988</v>
      </c>
      <c r="I230" s="124" t="s">
        <v>6946</v>
      </c>
      <c r="J230" s="79"/>
      <c r="K230" s="108" t="s">
        <v>6987</v>
      </c>
      <c r="L230" s="166" t="s">
        <v>6945</v>
      </c>
      <c r="M230" s="108" t="s">
        <v>6988</v>
      </c>
      <c r="N230" s="172" t="s">
        <v>6946</v>
      </c>
    </row>
    <row r="231" spans="1:14" s="81" customFormat="1" ht="10.15" customHeight="1" x14ac:dyDescent="0.2">
      <c r="A231" s="170" t="s">
        <v>73</v>
      </c>
      <c r="B231" s="109">
        <f>IF(DONNÉES!DS204="","",DONNÉES!DS204)</f>
        <v>14.76</v>
      </c>
      <c r="C231" s="163">
        <f>IF(PMDVERNON401403405407[[#This Row],[2024]]="","",DONNÉES!DT204)</f>
        <v>14.77</v>
      </c>
      <c r="D231" s="109">
        <f>IF(PMDVERNON401403405407[[#This Row],[2024]]="","",DONNÉES!DS252)</f>
        <v>14.76</v>
      </c>
      <c r="E231" s="173">
        <f>IF(PMDVERNON401403405407[[#This Row],[2024]]="","",DONNÉES!DT252)</f>
        <v>14.77</v>
      </c>
      <c r="F231" s="109">
        <f>IF(PMDVERNON401403405407[[#This Row],[2024]]="","",DONNÉES!DS220)</f>
        <v>22.54</v>
      </c>
      <c r="G231" s="163">
        <f>IF(PMDVERNON401403405407[[#This Row],[2024]]="","",DONNÉES!DT220)</f>
        <v>21.98</v>
      </c>
      <c r="H231" s="109">
        <f>IF(PMDVERNON401403405407[[#This Row],[2024]]="","",DONNÉES!DS268)</f>
        <v>22.54</v>
      </c>
      <c r="I231" s="109">
        <f>IF(PMDVERNON401403405407[[#This Row],[2024]]="","",DONNÉES!DT268)</f>
        <v>21.98</v>
      </c>
      <c r="K231" s="109">
        <f>IF(PMDVERNON401403405407[[#This Row],[2024]]="","",DONNÉES!DS236)</f>
        <v>18.66</v>
      </c>
      <c r="L231" s="163">
        <f>IF(PMDVERNON401403405407[[#This Row],[2024]]="","",DONNÉES!DT236)</f>
        <v>18.739999999999998</v>
      </c>
      <c r="M231" s="109">
        <f>IF(PMDVERNON401403405407[[#This Row],[2024]]="","",DONNÉES!DS284)</f>
        <v>18.66</v>
      </c>
      <c r="N231" s="109">
        <f>IF(PMDVERNON401403405407[[#This Row],[2024]]="","",DONNÉES!DT284)</f>
        <v>18.739999999999998</v>
      </c>
    </row>
    <row r="232" spans="1:14" s="81" customFormat="1" ht="10.15" customHeight="1" x14ac:dyDescent="0.2">
      <c r="A232" s="170" t="s">
        <v>74</v>
      </c>
      <c r="B232" s="109" t="str">
        <f>IF(DONNÉES!DS205="","",DONNÉES!DS205)</f>
        <v/>
      </c>
      <c r="C232" s="163" t="str">
        <f>IF(PMDVERNON401403405407[[#This Row],[2024]]="","",DONNÉES!DT205)</f>
        <v/>
      </c>
      <c r="D232" s="109" t="str">
        <f>IF(PMDVERNON401403405407[[#This Row],[2024]]="","",DONNÉES!DS253)</f>
        <v/>
      </c>
      <c r="E232" s="173" t="str">
        <f>IF(PMDVERNON401403405407[[#This Row],[2024]]="","",DONNÉES!DT253)</f>
        <v/>
      </c>
      <c r="F232" s="109" t="str">
        <f>IF(PMDVERNON401403405407[[#This Row],[2024]]="","",DONNÉES!DS221)</f>
        <v/>
      </c>
      <c r="G232" s="163" t="str">
        <f>IF(PMDVERNON401403405407[[#This Row],[2024]]="","",DONNÉES!DT221)</f>
        <v/>
      </c>
      <c r="H232" s="109" t="str">
        <f>IF(PMDVERNON401403405407[[#This Row],[2024]]="","",DONNÉES!DS269)</f>
        <v/>
      </c>
      <c r="I232" s="109" t="str">
        <f>IF(PMDVERNON401403405407[[#This Row],[2024]]="","",DONNÉES!DT269)</f>
        <v/>
      </c>
      <c r="K232" s="109" t="str">
        <f>IF(PMDVERNON401403405407[[#This Row],[2024]]="","",DONNÉES!DS237)</f>
        <v/>
      </c>
      <c r="L232" s="163" t="str">
        <f>IF(PMDVERNON401403405407[[#This Row],[2024]]="","",DONNÉES!DT237)</f>
        <v/>
      </c>
      <c r="M232" s="109" t="str">
        <f>IF(PMDVERNON401403405407[[#This Row],[2024]]="","",DONNÉES!DS285)</f>
        <v/>
      </c>
      <c r="N232" s="109" t="str">
        <f>IF(PMDVERNON401403405407[[#This Row],[2024]]="","",DONNÉES!DT285)</f>
        <v/>
      </c>
    </row>
    <row r="233" spans="1:14" s="81" customFormat="1" ht="10.15" customHeight="1" x14ac:dyDescent="0.2">
      <c r="A233" s="169" t="s">
        <v>75</v>
      </c>
      <c r="B233" s="109" t="str">
        <f>IF(DONNÉES!DS206="","",DONNÉES!DS206)</f>
        <v/>
      </c>
      <c r="C233" s="163" t="str">
        <f>IF(PMDVERNON401403405407[[#This Row],[2024]]="","",DONNÉES!DT206)</f>
        <v/>
      </c>
      <c r="D233" s="109" t="str">
        <f>IF(PMDVERNON401403405407[[#This Row],[2024]]="","",DONNÉES!DS254)</f>
        <v/>
      </c>
      <c r="E233" s="173" t="str">
        <f>IF(PMDVERNON401403405407[[#This Row],[2024]]="","",DONNÉES!DT254)</f>
        <v/>
      </c>
      <c r="F233" s="109" t="str">
        <f>IF(PMDVERNON401403405407[[#This Row],[2024]]="","",DONNÉES!DS222)</f>
        <v/>
      </c>
      <c r="G233" s="163" t="str">
        <f>IF(PMDVERNON401403405407[[#This Row],[2024]]="","",DONNÉES!DT222)</f>
        <v/>
      </c>
      <c r="H233" s="109" t="str">
        <f>IF(PMDVERNON401403405407[[#This Row],[2024]]="","",DONNÉES!DS270)</f>
        <v/>
      </c>
      <c r="I233" s="109" t="str">
        <f>IF(PMDVERNON401403405407[[#This Row],[2024]]="","",DONNÉES!DT270)</f>
        <v/>
      </c>
      <c r="K233" s="109" t="str">
        <f>IF(PMDVERNON401403405407[[#This Row],[2024]]="","",DONNÉES!DS238)</f>
        <v/>
      </c>
      <c r="L233" s="163" t="str">
        <f>IF(PMDVERNON401403405407[[#This Row],[2024]]="","",DONNÉES!DT238)</f>
        <v/>
      </c>
      <c r="M233" s="109" t="str">
        <f>IF(PMDVERNON401403405407[[#This Row],[2024]]="","",DONNÉES!DS286)</f>
        <v/>
      </c>
      <c r="N233" s="109" t="str">
        <f>IF(PMDVERNON401403405407[[#This Row],[2024]]="","",DONNÉES!DT286)</f>
        <v/>
      </c>
    </row>
    <row r="234" spans="1:14" ht="10.15" customHeight="1" x14ac:dyDescent="0.2">
      <c r="A234" s="170" t="s">
        <v>76</v>
      </c>
      <c r="B234" s="109" t="str">
        <f>IF(DONNÉES!DS207="","",DONNÉES!DS207)</f>
        <v/>
      </c>
      <c r="C234" s="163" t="str">
        <f>IF(PMDVERNON401403405407[[#This Row],[2024]]="","",DONNÉES!DT207)</f>
        <v/>
      </c>
      <c r="D234" s="109" t="str">
        <f>IF(PMDVERNON401403405407[[#This Row],[2024]]="","",DONNÉES!DS255)</f>
        <v/>
      </c>
      <c r="E234" s="173" t="str">
        <f>IF(PMDVERNON401403405407[[#This Row],[2024]]="","",DONNÉES!DT255)</f>
        <v/>
      </c>
      <c r="F234" s="109" t="str">
        <f>IF(PMDVERNON401403405407[[#This Row],[2024]]="","",DONNÉES!DS223)</f>
        <v/>
      </c>
      <c r="G234" s="163" t="str">
        <f>IF(PMDVERNON401403405407[[#This Row],[2024]]="","",DONNÉES!DT223)</f>
        <v/>
      </c>
      <c r="H234" s="109" t="str">
        <f>IF(PMDVERNON401403405407[[#This Row],[2024]]="","",DONNÉES!DS271)</f>
        <v/>
      </c>
      <c r="I234" s="109" t="str">
        <f>IF(PMDVERNON401403405407[[#This Row],[2024]]="","",DONNÉES!DT271)</f>
        <v/>
      </c>
      <c r="J234" s="79"/>
      <c r="K234" s="109" t="str">
        <f>IF(PMDVERNON401403405407[[#This Row],[2024]]="","",DONNÉES!DS239)</f>
        <v/>
      </c>
      <c r="L234" s="163" t="str">
        <f>IF(PMDVERNON401403405407[[#This Row],[2024]]="","",DONNÉES!DT239)</f>
        <v/>
      </c>
      <c r="M234" s="109" t="str">
        <f>IF(PMDVERNON401403405407[[#This Row],[2024]]="","",DONNÉES!DS287)</f>
        <v/>
      </c>
      <c r="N234" s="109" t="str">
        <f>IF(PMDVERNON401403405407[[#This Row],[2024]]="","",DONNÉES!DT287)</f>
        <v/>
      </c>
    </row>
    <row r="235" spans="1:14" ht="10.15" customHeight="1" x14ac:dyDescent="0.2">
      <c r="A235" s="169" t="s">
        <v>77</v>
      </c>
      <c r="B235" s="109" t="str">
        <f>IF(DONNÉES!DS208="","",DONNÉES!DS208)</f>
        <v/>
      </c>
      <c r="C235" s="163" t="str">
        <f>IF(PMDVERNON401403405407[[#This Row],[2024]]="","",DONNÉES!DT208)</f>
        <v/>
      </c>
      <c r="D235" s="109" t="str">
        <f>IF(PMDVERNON401403405407[[#This Row],[2024]]="","",DONNÉES!DS256)</f>
        <v/>
      </c>
      <c r="E235" s="173" t="str">
        <f>IF(PMDVERNON401403405407[[#This Row],[2024]]="","",DONNÉES!DT256)</f>
        <v/>
      </c>
      <c r="F235" s="109" t="str">
        <f>IF(PMDVERNON401403405407[[#This Row],[2024]]="","",DONNÉES!DS224)</f>
        <v/>
      </c>
      <c r="G235" s="163" t="str">
        <f>IF(PMDVERNON401403405407[[#This Row],[2024]]="","",DONNÉES!DT224)</f>
        <v/>
      </c>
      <c r="H235" s="109" t="str">
        <f>IF(PMDVERNON401403405407[[#This Row],[2024]]="","",DONNÉES!DS272)</f>
        <v/>
      </c>
      <c r="I235" s="109" t="str">
        <f>IF(PMDVERNON401403405407[[#This Row],[2024]]="","",DONNÉES!DT272)</f>
        <v/>
      </c>
      <c r="J235" s="79"/>
      <c r="K235" s="109" t="str">
        <f>IF(PMDVERNON401403405407[[#This Row],[2024]]="","",DONNÉES!DS240)</f>
        <v/>
      </c>
      <c r="L235" s="163" t="str">
        <f>IF(PMDVERNON401403405407[[#This Row],[2024]]="","",DONNÉES!DT240)</f>
        <v/>
      </c>
      <c r="M235" s="109" t="str">
        <f>IF(PMDVERNON401403405407[[#This Row],[2024]]="","",DONNÉES!DS288)</f>
        <v/>
      </c>
      <c r="N235" s="109" t="str">
        <f>IF(PMDVERNON401403405407[[#This Row],[2024]]="","",DONNÉES!DT288)</f>
        <v/>
      </c>
    </row>
    <row r="236" spans="1:14" ht="10.15" customHeight="1" x14ac:dyDescent="0.2">
      <c r="A236" s="170" t="s">
        <v>78</v>
      </c>
      <c r="B236" s="109" t="str">
        <f>IF(DONNÉES!DS209="","",DONNÉES!DS209)</f>
        <v/>
      </c>
      <c r="C236" s="163" t="str">
        <f>IF(PMDVERNON401403405407[[#This Row],[2024]]="","",DONNÉES!DT209)</f>
        <v/>
      </c>
      <c r="D236" s="109" t="str">
        <f>IF(PMDVERNON401403405407[[#This Row],[2024]]="","",DONNÉES!DS257)</f>
        <v/>
      </c>
      <c r="E236" s="173" t="str">
        <f>IF(PMDVERNON401403405407[[#This Row],[2024]]="","",DONNÉES!DT257)</f>
        <v/>
      </c>
      <c r="F236" s="109" t="str">
        <f>IF(PMDVERNON401403405407[[#This Row],[2024]]="","",DONNÉES!DS225)</f>
        <v/>
      </c>
      <c r="G236" s="163" t="str">
        <f>IF(PMDVERNON401403405407[[#This Row],[2024]]="","",DONNÉES!DT225)</f>
        <v/>
      </c>
      <c r="H236" s="109" t="str">
        <f>IF(PMDVERNON401403405407[[#This Row],[2024]]="","",DONNÉES!DS273)</f>
        <v/>
      </c>
      <c r="I236" s="109" t="str">
        <f>IF(PMDVERNON401403405407[[#This Row],[2024]]="","",DONNÉES!DT273)</f>
        <v/>
      </c>
      <c r="J236" s="79"/>
      <c r="K236" s="109" t="str">
        <f>IF(PMDVERNON401403405407[[#This Row],[2024]]="","",DONNÉES!DS241)</f>
        <v/>
      </c>
      <c r="L236" s="163" t="str">
        <f>IF(PMDVERNON401403405407[[#This Row],[2024]]="","",DONNÉES!DT241)</f>
        <v/>
      </c>
      <c r="M236" s="109" t="str">
        <f>IF(PMDVERNON401403405407[[#This Row],[2024]]="","",DONNÉES!DS289)</f>
        <v/>
      </c>
      <c r="N236" s="109" t="str">
        <f>IF(PMDVERNON401403405407[[#This Row],[2024]]="","",DONNÉES!DT289)</f>
        <v/>
      </c>
    </row>
    <row r="237" spans="1:14" ht="10.15" customHeight="1" x14ac:dyDescent="0.2">
      <c r="A237" s="169" t="s">
        <v>79</v>
      </c>
      <c r="B237" s="109" t="str">
        <f>IF(DONNÉES!DS210="","",DONNÉES!DS210)</f>
        <v/>
      </c>
      <c r="C237" s="163" t="str">
        <f>IF(PMDVERNON401403405407[[#This Row],[2024]]="","",DONNÉES!DT210)</f>
        <v/>
      </c>
      <c r="D237" s="109" t="str">
        <f>IF(PMDVERNON401403405407[[#This Row],[2024]]="","",DONNÉES!DS258)</f>
        <v/>
      </c>
      <c r="E237" s="173" t="str">
        <f>IF(PMDVERNON401403405407[[#This Row],[2024]]="","",DONNÉES!DT258)</f>
        <v/>
      </c>
      <c r="F237" s="109" t="str">
        <f>IF(PMDVERNON401403405407[[#This Row],[2024]]="","",DONNÉES!DS226)</f>
        <v/>
      </c>
      <c r="G237" s="163" t="str">
        <f>IF(PMDVERNON401403405407[[#This Row],[2024]]="","",DONNÉES!DT226)</f>
        <v/>
      </c>
      <c r="H237" s="109" t="str">
        <f>IF(PMDVERNON401403405407[[#This Row],[2024]]="","",DONNÉES!DS274)</f>
        <v/>
      </c>
      <c r="I237" s="109" t="str">
        <f>IF(PMDVERNON401403405407[[#This Row],[2024]]="","",DONNÉES!DT274)</f>
        <v/>
      </c>
      <c r="J237" s="79"/>
      <c r="K237" s="109" t="str">
        <f>IF(PMDVERNON401403405407[[#This Row],[2024]]="","",DONNÉES!DS242)</f>
        <v/>
      </c>
      <c r="L237" s="163" t="str">
        <f>IF(PMDVERNON401403405407[[#This Row],[2024]]="","",DONNÉES!DT242)</f>
        <v/>
      </c>
      <c r="M237" s="109" t="str">
        <f>IF(PMDVERNON401403405407[[#This Row],[2024]]="","",DONNÉES!DS290)</f>
        <v/>
      </c>
      <c r="N237" s="109" t="str">
        <f>IF(PMDVERNON401403405407[[#This Row],[2024]]="","",DONNÉES!DT290)</f>
        <v/>
      </c>
    </row>
    <row r="238" spans="1:14" ht="10.15" customHeight="1" x14ac:dyDescent="0.2">
      <c r="A238" s="170" t="s">
        <v>80</v>
      </c>
      <c r="B238" s="109" t="str">
        <f>IF(DONNÉES!DS211="","",DONNÉES!DS211)</f>
        <v/>
      </c>
      <c r="C238" s="163" t="str">
        <f>IF(PMDVERNON401403405407[[#This Row],[2024]]="","",DONNÉES!DT211)</f>
        <v/>
      </c>
      <c r="D238" s="109" t="str">
        <f>IF(PMDVERNON401403405407[[#This Row],[2024]]="","",DONNÉES!DS259)</f>
        <v/>
      </c>
      <c r="E238" s="173" t="str">
        <f>IF(PMDVERNON401403405407[[#This Row],[2024]]="","",DONNÉES!DT259)</f>
        <v/>
      </c>
      <c r="F238" s="109" t="str">
        <f>IF(PMDVERNON401403405407[[#This Row],[2024]]="","",DONNÉES!DS227)</f>
        <v/>
      </c>
      <c r="G238" s="163" t="str">
        <f>IF(PMDVERNON401403405407[[#This Row],[2024]]="","",DONNÉES!DT227)</f>
        <v/>
      </c>
      <c r="H238" s="109" t="str">
        <f>IF(PMDVERNON401403405407[[#This Row],[2024]]="","",DONNÉES!DS275)</f>
        <v/>
      </c>
      <c r="I238" s="109" t="str">
        <f>IF(PMDVERNON401403405407[[#This Row],[2024]]="","",DONNÉES!DT275)</f>
        <v/>
      </c>
      <c r="J238" s="79"/>
      <c r="K238" s="109" t="str">
        <f>IF(PMDVERNON401403405407[[#This Row],[2024]]="","",DONNÉES!DS243)</f>
        <v/>
      </c>
      <c r="L238" s="163" t="str">
        <f>IF(PMDVERNON401403405407[[#This Row],[2024]]="","",DONNÉES!DT243)</f>
        <v/>
      </c>
      <c r="M238" s="109" t="str">
        <f>IF(PMDVERNON401403405407[[#This Row],[2024]]="","",DONNÉES!DS291)</f>
        <v/>
      </c>
      <c r="N238" s="109" t="str">
        <f>IF(PMDVERNON401403405407[[#This Row],[2024]]="","",DONNÉES!DT291)</f>
        <v/>
      </c>
    </row>
    <row r="239" spans="1:14" ht="10.15" customHeight="1" x14ac:dyDescent="0.2">
      <c r="A239" s="169" t="s">
        <v>81</v>
      </c>
      <c r="B239" s="109" t="str">
        <f>IF(DONNÉES!DS212="","",DONNÉES!DS212)</f>
        <v/>
      </c>
      <c r="C239" s="163" t="str">
        <f>IF(PMDVERNON401403405407[[#This Row],[2024]]="","",DONNÉES!DT212)</f>
        <v/>
      </c>
      <c r="D239" s="109" t="str">
        <f>IF(PMDVERNON401403405407[[#This Row],[2024]]="","",DONNÉES!DS260)</f>
        <v/>
      </c>
      <c r="E239" s="173" t="str">
        <f>IF(PMDVERNON401403405407[[#This Row],[2024]]="","",DONNÉES!DT260)</f>
        <v/>
      </c>
      <c r="F239" s="109" t="str">
        <f>IF(PMDVERNON401403405407[[#This Row],[2024]]="","",DONNÉES!DS228)</f>
        <v/>
      </c>
      <c r="G239" s="163" t="str">
        <f>IF(PMDVERNON401403405407[[#This Row],[2024]]="","",DONNÉES!DT228)</f>
        <v/>
      </c>
      <c r="H239" s="109" t="str">
        <f>IF(PMDVERNON401403405407[[#This Row],[2024]]="","",DONNÉES!DS276)</f>
        <v/>
      </c>
      <c r="I239" s="109" t="str">
        <f>IF(PMDVERNON401403405407[[#This Row],[2024]]="","",DONNÉES!DT276)</f>
        <v/>
      </c>
      <c r="J239" s="82"/>
      <c r="K239" s="109" t="str">
        <f>IF(PMDVERNON401403405407[[#This Row],[2024]]="","",DONNÉES!DS244)</f>
        <v/>
      </c>
      <c r="L239" s="163" t="str">
        <f>IF(PMDVERNON401403405407[[#This Row],[2024]]="","",DONNÉES!DT244)</f>
        <v/>
      </c>
      <c r="M239" s="109" t="str">
        <f>IF(PMDVERNON401403405407[[#This Row],[2024]]="","",DONNÉES!DS292)</f>
        <v/>
      </c>
      <c r="N239" s="109" t="str">
        <f>IF(PMDVERNON401403405407[[#This Row],[2024]]="","",DONNÉES!DT292)</f>
        <v/>
      </c>
    </row>
    <row r="240" spans="1:14" ht="10.15" customHeight="1" x14ac:dyDescent="0.2">
      <c r="A240" s="170" t="s">
        <v>82</v>
      </c>
      <c r="B240" s="109" t="str">
        <f>IF(DONNÉES!DS213="","",DONNÉES!DS213)</f>
        <v/>
      </c>
      <c r="C240" s="163" t="str">
        <f>IF(PMDVERNON401403405407[[#This Row],[2024]]="","",DONNÉES!DT213)</f>
        <v/>
      </c>
      <c r="D240" s="109" t="str">
        <f>IF(PMDVERNON401403405407[[#This Row],[2024]]="","",DONNÉES!DS261)</f>
        <v/>
      </c>
      <c r="E240" s="173" t="str">
        <f>IF(PMDVERNON401403405407[[#This Row],[2024]]="","",DONNÉES!DT261)</f>
        <v/>
      </c>
      <c r="F240" s="109" t="str">
        <f>IF(PMDVERNON401403405407[[#This Row],[2024]]="","",DONNÉES!DS229)</f>
        <v/>
      </c>
      <c r="G240" s="163" t="str">
        <f>IF(PMDVERNON401403405407[[#This Row],[2024]]="","",DONNÉES!DT229)</f>
        <v/>
      </c>
      <c r="H240" s="109" t="str">
        <f>IF(PMDVERNON401403405407[[#This Row],[2024]]="","",DONNÉES!DS277)</f>
        <v/>
      </c>
      <c r="I240" s="109" t="str">
        <f>IF(PMDVERNON401403405407[[#This Row],[2024]]="","",DONNÉES!DT277)</f>
        <v/>
      </c>
      <c r="J240" s="79"/>
      <c r="K240" s="109" t="str">
        <f>IF(PMDVERNON401403405407[[#This Row],[2024]]="","",DONNÉES!DS245)</f>
        <v/>
      </c>
      <c r="L240" s="163" t="str">
        <f>IF(PMDVERNON401403405407[[#This Row],[2024]]="","",DONNÉES!DT245)</f>
        <v/>
      </c>
      <c r="M240" s="109" t="str">
        <f>IF(PMDVERNON401403405407[[#This Row],[2024]]="","",DONNÉES!DS293)</f>
        <v/>
      </c>
      <c r="N240" s="109" t="str">
        <f>IF(PMDVERNON401403405407[[#This Row],[2024]]="","",DONNÉES!DT293)</f>
        <v/>
      </c>
    </row>
    <row r="241" spans="1:14" s="81" customFormat="1" ht="10.15" customHeight="1" x14ac:dyDescent="0.2">
      <c r="A241" s="169" t="s">
        <v>83</v>
      </c>
      <c r="B241" s="109" t="str">
        <f>IF(DONNÉES!DS214="","",DONNÉES!DS214)</f>
        <v/>
      </c>
      <c r="C241" s="163" t="str">
        <f>IF(PMDVERNON401403405407[[#This Row],[2024]]="","",DONNÉES!DT214)</f>
        <v/>
      </c>
      <c r="D241" s="109" t="str">
        <f>IF(PMDVERNON401403405407[[#This Row],[2024]]="","",DONNÉES!DS262)</f>
        <v/>
      </c>
      <c r="E241" s="173" t="str">
        <f>IF(PMDVERNON401403405407[[#This Row],[2024]]="","",DONNÉES!DT262)</f>
        <v/>
      </c>
      <c r="F241" s="109" t="str">
        <f>IF(PMDVERNON401403405407[[#This Row],[2024]]="","",DONNÉES!DS230)</f>
        <v/>
      </c>
      <c r="G241" s="163" t="str">
        <f>IF(PMDVERNON401403405407[[#This Row],[2024]]="","",DONNÉES!DT230)</f>
        <v/>
      </c>
      <c r="H241" s="109" t="str">
        <f>IF(PMDVERNON401403405407[[#This Row],[2024]]="","",DONNÉES!DS278)</f>
        <v/>
      </c>
      <c r="I241" s="109" t="str">
        <f>IF(PMDVERNON401403405407[[#This Row],[2024]]="","",DONNÉES!DT278)</f>
        <v/>
      </c>
      <c r="K241" s="109" t="str">
        <f>IF(PMDVERNON401403405407[[#This Row],[2024]]="","",DONNÉES!DS246)</f>
        <v/>
      </c>
      <c r="L241" s="163" t="str">
        <f>IF(PMDVERNON401403405407[[#This Row],[2024]]="","",DONNÉES!DT246)</f>
        <v/>
      </c>
      <c r="M241" s="109" t="str">
        <f>IF(PMDVERNON401403405407[[#This Row],[2024]]="","",DONNÉES!DS294)</f>
        <v/>
      </c>
      <c r="N241" s="109" t="str">
        <f>IF(PMDVERNON401403405407[[#This Row],[2024]]="","",DONNÉES!DT294)</f>
        <v/>
      </c>
    </row>
    <row r="242" spans="1:14" s="81" customFormat="1" ht="10.15" customHeight="1" x14ac:dyDescent="0.2">
      <c r="A242" s="169" t="s">
        <v>84</v>
      </c>
      <c r="B242" s="109" t="str">
        <f>IF(DONNÉES!DS215="","",DONNÉES!DS215)</f>
        <v/>
      </c>
      <c r="C242" s="163" t="str">
        <f>IF(PMDVERNON401403405407[[#This Row],[2024]]="","",DONNÉES!DT215)</f>
        <v/>
      </c>
      <c r="D242" s="109" t="str">
        <f>IF(PMDVERNON401403405407[[#This Row],[2024]]="","",DONNÉES!DS263)</f>
        <v/>
      </c>
      <c r="E242" s="173" t="str">
        <f>IF(PMDVERNON401403405407[[#This Row],[2024]]="","",DONNÉES!DT263)</f>
        <v/>
      </c>
      <c r="F242" s="109" t="str">
        <f>IF(PMDVERNON401403405407[[#This Row],[2024]]="","",DONNÉES!DS231)</f>
        <v/>
      </c>
      <c r="G242" s="163" t="str">
        <f>IF(PMDVERNON401403405407[[#This Row],[2024]]="","",DONNÉES!DT231)</f>
        <v/>
      </c>
      <c r="H242" s="109" t="str">
        <f>IF(PMDVERNON401403405407[[#This Row],[2024]]="","",DONNÉES!DS279)</f>
        <v/>
      </c>
      <c r="I242" s="109" t="str">
        <f>IF(PMDVERNON401403405407[[#This Row],[2024]]="","",DONNÉES!DT279)</f>
        <v/>
      </c>
      <c r="K242" s="109" t="str">
        <f>IF(PMDVERNON401403405407[[#This Row],[2024]]="","",DONNÉES!DS247)</f>
        <v/>
      </c>
      <c r="L242" s="163" t="str">
        <f>IF(PMDVERNON401403405407[[#This Row],[2024]]="","",DONNÉES!DT247)</f>
        <v/>
      </c>
      <c r="M242" s="109" t="str">
        <f>IF(PMDVERNON401403405407[[#This Row],[2024]]="","",DONNÉES!DS295)</f>
        <v/>
      </c>
      <c r="N242" s="109" t="str">
        <f>IF(PMDVERNON401403405407[[#This Row],[2024]]="","",DONNÉES!DT295)</f>
        <v/>
      </c>
    </row>
    <row r="243" spans="1:14" s="81" customFormat="1" ht="11.65" customHeight="1" x14ac:dyDescent="0.2">
      <c r="A243" s="171" t="s">
        <v>134</v>
      </c>
      <c r="B243" s="111">
        <f>SUBTOTAL(101,PMDVERNON401403405407[2024])</f>
        <v>14.76</v>
      </c>
      <c r="C243" s="167">
        <f>SUBTOTAL(101,PMDVERNON401403405407[2023])</f>
        <v>14.77</v>
      </c>
      <c r="D243" s="167">
        <f>SUBTOTAL(101,PMDVERNON401403405407[2024 cumul])</f>
        <v>14.76</v>
      </c>
      <c r="E243" s="175">
        <f>SUBTOTAL(101,PMDVERNON401403405407[2023 cumul])</f>
        <v>14.77</v>
      </c>
      <c r="F243" s="117">
        <f>SUBTOTAL(101,PMDVERNON401403405407[[2024  ]])</f>
        <v>22.54</v>
      </c>
      <c r="G243" s="164">
        <f>SUBTOTAL(101,PMDVERNON401403405407[[2023  ]])</f>
        <v>21.98</v>
      </c>
      <c r="H243" s="111">
        <f>SUBTOTAL(101,PMDVERNON401403405407[[2024 cumul ]])</f>
        <v>22.54</v>
      </c>
      <c r="I243" s="111">
        <f>SUBTOTAL(101,PMDVERNON401403405407[[2023 cumul ]])</f>
        <v>21.98</v>
      </c>
      <c r="K243" s="111">
        <f>SUBTOTAL(101,PMDTHOMAS[[2024  ]])</f>
        <v>18.66</v>
      </c>
      <c r="L243" s="167">
        <f>SUBTOTAL(101,PMDTHOMAS[[2023  ]])</f>
        <v>18.739999999999998</v>
      </c>
      <c r="M243" s="167">
        <f>SUBTOTAL(101,PMDTHOMAS[[2024 cumul ]])</f>
        <v>18.66</v>
      </c>
      <c r="N243" s="111">
        <f>SUBTOTAL(101,PMDTHOMAS[[2023 cumul ]])</f>
        <v>18.739999999999998</v>
      </c>
    </row>
    <row r="245" spans="1:14" ht="15" customHeight="1" x14ac:dyDescent="0.2">
      <c r="A245" s="176"/>
      <c r="B245" s="343" t="s">
        <v>195</v>
      </c>
      <c r="C245" s="343"/>
      <c r="D245" s="343"/>
      <c r="E245" s="344"/>
      <c r="F245" s="343" t="s">
        <v>196</v>
      </c>
      <c r="G245" s="343"/>
      <c r="H245" s="343"/>
      <c r="I245" s="343"/>
      <c r="J245" s="107"/>
      <c r="K245" s="343" t="s">
        <v>197</v>
      </c>
      <c r="L245" s="343"/>
      <c r="M245" s="343"/>
      <c r="N245" s="343"/>
    </row>
    <row r="246" spans="1:14" ht="30" customHeight="1" x14ac:dyDescent="0.2">
      <c r="A246" s="169" t="s">
        <v>7094</v>
      </c>
      <c r="B246" s="108" t="s">
        <v>6962</v>
      </c>
      <c r="C246" s="166" t="s">
        <v>2169</v>
      </c>
      <c r="D246" s="108" t="s">
        <v>6986</v>
      </c>
      <c r="E246" s="172" t="s">
        <v>6944</v>
      </c>
      <c r="F246" s="108" t="s">
        <v>6987</v>
      </c>
      <c r="G246" s="166" t="s">
        <v>6945</v>
      </c>
      <c r="H246" s="108" t="s">
        <v>6988</v>
      </c>
      <c r="I246" s="124" t="s">
        <v>6946</v>
      </c>
      <c r="J246" s="79"/>
      <c r="K246" s="108" t="s">
        <v>6987</v>
      </c>
      <c r="L246" s="166" t="s">
        <v>6945</v>
      </c>
      <c r="M246" s="108" t="s">
        <v>6988</v>
      </c>
      <c r="N246" s="172" t="s">
        <v>6946</v>
      </c>
    </row>
    <row r="247" spans="1:14" s="81" customFormat="1" ht="10.15" customHeight="1" x14ac:dyDescent="0.2">
      <c r="A247" s="170" t="s">
        <v>73</v>
      </c>
      <c r="B247" s="109">
        <f>IF(DONNÉES!EA204="","",DONNÉES!EA204)</f>
        <v>16.22</v>
      </c>
      <c r="C247" s="163">
        <f>IF(PMDCAT[[#This Row],[2024]]="","",DONNÉES!EB204)</f>
        <v>0</v>
      </c>
      <c r="D247" s="109">
        <f>IF(PMDCAT[[#This Row],[2024]]="","",DONNÉES!EA252)</f>
        <v>16.22</v>
      </c>
      <c r="E247" s="173" t="e">
        <f>IF(PMDCAT[[#This Row],[2024]]="","",DONNÉES!EB252)</f>
        <v>#DIV/0!</v>
      </c>
      <c r="F247" s="109">
        <f>IF(PMDCAT[[#This Row],[2024]]="","",DONNÉES!EA220)</f>
        <v>22.21</v>
      </c>
      <c r="G247" s="163">
        <f>IF(PMDCAT[[#This Row],[2024]]="","",DONNÉES!EB220)</f>
        <v>0</v>
      </c>
      <c r="H247" s="109">
        <f>IF(PMDCAT[[#This Row],[2024]]="","",DONNÉES!EA268)</f>
        <v>22.21</v>
      </c>
      <c r="I247" s="109" t="e">
        <f>IF(PMDCAT[[#This Row],[2024]]="","",DONNÉES!EB268)</f>
        <v>#DIV/0!</v>
      </c>
      <c r="K247" s="109">
        <f>IF(PMDCAT[[#This Row],[2024]]="","",DONNÉES!EA236)</f>
        <v>18.489999999999998</v>
      </c>
      <c r="L247" s="163">
        <f>IF(PMDCAT[[#This Row],[2024]]="","",DONNÉES!EB236)</f>
        <v>0</v>
      </c>
      <c r="M247" s="109">
        <f>IF(PMDCAT[[#This Row],[2024]]="","",DONNÉES!EA284)</f>
        <v>18.489999999999998</v>
      </c>
      <c r="N247" s="109" t="e">
        <f>IF(PMDCAT[[#This Row],[2024]]="","",DONNÉES!EB284)</f>
        <v>#DIV/0!</v>
      </c>
    </row>
    <row r="248" spans="1:14" s="81" customFormat="1" ht="10.15" customHeight="1" x14ac:dyDescent="0.2">
      <c r="A248" s="170" t="s">
        <v>74</v>
      </c>
      <c r="B248" s="109" t="str">
        <f>IF(DONNÉES!EA205="","",DONNÉES!EA205)</f>
        <v/>
      </c>
      <c r="C248" s="163" t="str">
        <f>IF(PMDCAT[[#This Row],[2024]]="","",DONNÉES!EB205)</f>
        <v/>
      </c>
      <c r="D248" s="109" t="str">
        <f>IF(PMDCAT[[#This Row],[2024]]="","",DONNÉES!EA253)</f>
        <v/>
      </c>
      <c r="E248" s="173" t="str">
        <f>IF(PMDCAT[[#This Row],[2024]]="","",DONNÉES!EB253)</f>
        <v/>
      </c>
      <c r="F248" s="109" t="str">
        <f>IF(PMDCAT[[#This Row],[2024]]="","",DONNÉES!EA221)</f>
        <v/>
      </c>
      <c r="G248" s="163" t="str">
        <f>IF(PMDCAT[[#This Row],[2024]]="","",DONNÉES!EB221)</f>
        <v/>
      </c>
      <c r="H248" s="109" t="str">
        <f>IF(PMDCAT[[#This Row],[2024]]="","",DONNÉES!EA269)</f>
        <v/>
      </c>
      <c r="I248" s="109" t="str">
        <f>IF(PMDCAT[[#This Row],[2024]]="","",DONNÉES!EB269)</f>
        <v/>
      </c>
      <c r="K248" s="109" t="str">
        <f>IF(PMDCAT[[#This Row],[2024]]="","",DONNÉES!EA237)</f>
        <v/>
      </c>
      <c r="L248" s="163" t="str">
        <f>IF(PMDCAT[[#This Row],[2024]]="","",DONNÉES!EB237)</f>
        <v/>
      </c>
      <c r="M248" s="109" t="str">
        <f>IF(PMDCAT[[#This Row],[2024]]="","",DONNÉES!EA285)</f>
        <v/>
      </c>
      <c r="N248" s="109" t="str">
        <f>IF(PMDCAT[[#This Row],[2024]]="","",DONNÉES!EB285)</f>
        <v/>
      </c>
    </row>
    <row r="249" spans="1:14" s="81" customFormat="1" ht="10.15" customHeight="1" x14ac:dyDescent="0.2">
      <c r="A249" s="169" t="s">
        <v>75</v>
      </c>
      <c r="B249" s="109" t="str">
        <f>IF(DONNÉES!EA206="","",DONNÉES!EA206)</f>
        <v/>
      </c>
      <c r="C249" s="163" t="str">
        <f>IF(PMDCAT[[#This Row],[2024]]="","",DONNÉES!EB206)</f>
        <v/>
      </c>
      <c r="D249" s="109" t="str">
        <f>IF(PMDCAT[[#This Row],[2024]]="","",DONNÉES!EA254)</f>
        <v/>
      </c>
      <c r="E249" s="173" t="str">
        <f>IF(PMDCAT[[#This Row],[2024]]="","",DONNÉES!EB254)</f>
        <v/>
      </c>
      <c r="F249" s="109" t="str">
        <f>IF(PMDCAT[[#This Row],[2024]]="","",DONNÉES!EA222)</f>
        <v/>
      </c>
      <c r="G249" s="163" t="str">
        <f>IF(PMDCAT[[#This Row],[2024]]="","",DONNÉES!EB222)</f>
        <v/>
      </c>
      <c r="H249" s="109" t="str">
        <f>IF(PMDCAT[[#This Row],[2024]]="","",DONNÉES!EA270)</f>
        <v/>
      </c>
      <c r="I249" s="109" t="str">
        <f>IF(PMDCAT[[#This Row],[2024]]="","",DONNÉES!EB270)</f>
        <v/>
      </c>
      <c r="K249" s="109" t="str">
        <f>IF(PMDCAT[[#This Row],[2024]]="","",DONNÉES!EA238)</f>
        <v/>
      </c>
      <c r="L249" s="163" t="str">
        <f>IF(PMDCAT[[#This Row],[2024]]="","",DONNÉES!EB238)</f>
        <v/>
      </c>
      <c r="M249" s="109" t="str">
        <f>IF(PMDCAT[[#This Row],[2024]]="","",DONNÉES!EA286)</f>
        <v/>
      </c>
      <c r="N249" s="109" t="str">
        <f>IF(PMDCAT[[#This Row],[2024]]="","",DONNÉES!EB286)</f>
        <v/>
      </c>
    </row>
    <row r="250" spans="1:14" ht="10.15" customHeight="1" x14ac:dyDescent="0.2">
      <c r="A250" s="170" t="s">
        <v>76</v>
      </c>
      <c r="B250" s="109" t="str">
        <f>IF(DONNÉES!EA207="","",DONNÉES!EA207)</f>
        <v/>
      </c>
      <c r="C250" s="163" t="str">
        <f>IF(PMDCAT[[#This Row],[2024]]="","",DONNÉES!EB207)</f>
        <v/>
      </c>
      <c r="D250" s="109" t="str">
        <f>IF(PMDCAT[[#This Row],[2024]]="","",DONNÉES!EA255)</f>
        <v/>
      </c>
      <c r="E250" s="173" t="str">
        <f>IF(PMDCAT[[#This Row],[2024]]="","",DONNÉES!EB255)</f>
        <v/>
      </c>
      <c r="F250" s="109" t="str">
        <f>IF(PMDCAT[[#This Row],[2024]]="","",DONNÉES!EA223)</f>
        <v/>
      </c>
      <c r="G250" s="163" t="str">
        <f>IF(PMDCAT[[#This Row],[2024]]="","",DONNÉES!EB223)</f>
        <v/>
      </c>
      <c r="H250" s="109" t="str">
        <f>IF(PMDCAT[[#This Row],[2024]]="","",DONNÉES!EA271)</f>
        <v/>
      </c>
      <c r="I250" s="109" t="str">
        <f>IF(PMDCAT[[#This Row],[2024]]="","",DONNÉES!EB271)</f>
        <v/>
      </c>
      <c r="J250" s="81"/>
      <c r="K250" s="109" t="str">
        <f>IF(PMDCAT[[#This Row],[2024]]="","",DONNÉES!EA239)</f>
        <v/>
      </c>
      <c r="L250" s="163" t="str">
        <f>IF(PMDCAT[[#This Row],[2024]]="","",DONNÉES!EB239)</f>
        <v/>
      </c>
      <c r="M250" s="109" t="str">
        <f>IF(PMDCAT[[#This Row],[2024]]="","",DONNÉES!EA287)</f>
        <v/>
      </c>
      <c r="N250" s="109" t="str">
        <f>IF(PMDCAT[[#This Row],[2024]]="","",DONNÉES!EB287)</f>
        <v/>
      </c>
    </row>
    <row r="251" spans="1:14" ht="10.15" customHeight="1" x14ac:dyDescent="0.2">
      <c r="A251" s="169" t="s">
        <v>77</v>
      </c>
      <c r="B251" s="109" t="str">
        <f>IF(DONNÉES!EA208="","",DONNÉES!EA208)</f>
        <v/>
      </c>
      <c r="C251" s="163" t="str">
        <f>IF(PMDCAT[[#This Row],[2024]]="","",DONNÉES!EB208)</f>
        <v/>
      </c>
      <c r="D251" s="109" t="str">
        <f>IF(PMDCAT[[#This Row],[2024]]="","",DONNÉES!EA256)</f>
        <v/>
      </c>
      <c r="E251" s="173" t="str">
        <f>IF(PMDCAT[[#This Row],[2024]]="","",DONNÉES!EB256)</f>
        <v/>
      </c>
      <c r="F251" s="109" t="str">
        <f>IF(PMDCAT[[#This Row],[2024]]="","",DONNÉES!EA224)</f>
        <v/>
      </c>
      <c r="G251" s="163" t="str">
        <f>IF(PMDCAT[[#This Row],[2024]]="","",DONNÉES!EB224)</f>
        <v/>
      </c>
      <c r="H251" s="109" t="str">
        <f>IF(PMDCAT[[#This Row],[2024]]="","",DONNÉES!EA272)</f>
        <v/>
      </c>
      <c r="I251" s="109" t="str">
        <f>IF(PMDCAT[[#This Row],[2024]]="","",DONNÉES!EB272)</f>
        <v/>
      </c>
      <c r="J251" s="81"/>
      <c r="K251" s="109" t="str">
        <f>IF(PMDCAT[[#This Row],[2024]]="","",DONNÉES!EA240)</f>
        <v/>
      </c>
      <c r="L251" s="163" t="str">
        <f>IF(PMDCAT[[#This Row],[2024]]="","",DONNÉES!EB240)</f>
        <v/>
      </c>
      <c r="M251" s="109" t="str">
        <f>IF(PMDCAT[[#This Row],[2024]]="","",DONNÉES!EA288)</f>
        <v/>
      </c>
      <c r="N251" s="109" t="str">
        <f>IF(PMDCAT[[#This Row],[2024]]="","",DONNÉES!EB288)</f>
        <v/>
      </c>
    </row>
    <row r="252" spans="1:14" ht="10.15" customHeight="1" x14ac:dyDescent="0.2">
      <c r="A252" s="170" t="s">
        <v>78</v>
      </c>
      <c r="B252" s="109" t="str">
        <f>IF(DONNÉES!EA209="","",DONNÉES!EA209)</f>
        <v/>
      </c>
      <c r="C252" s="163" t="str">
        <f>IF(PMDCAT[[#This Row],[2024]]="","",DONNÉES!EB209)</f>
        <v/>
      </c>
      <c r="D252" s="109" t="str">
        <f>IF(PMDCAT[[#This Row],[2024]]="","",DONNÉES!EA257)</f>
        <v/>
      </c>
      <c r="E252" s="173" t="str">
        <f>IF(PMDCAT[[#This Row],[2024]]="","",DONNÉES!EB257)</f>
        <v/>
      </c>
      <c r="F252" s="109" t="str">
        <f>IF(PMDCAT[[#This Row],[2024]]="","",DONNÉES!EA225)</f>
        <v/>
      </c>
      <c r="G252" s="163" t="str">
        <f>IF(PMDCAT[[#This Row],[2024]]="","",DONNÉES!EB225)</f>
        <v/>
      </c>
      <c r="H252" s="109" t="str">
        <f>IF(PMDCAT[[#This Row],[2024]]="","",DONNÉES!EA273)</f>
        <v/>
      </c>
      <c r="I252" s="109" t="str">
        <f>IF(PMDCAT[[#This Row],[2024]]="","",DONNÉES!EB273)</f>
        <v/>
      </c>
      <c r="J252" s="81"/>
      <c r="K252" s="109" t="str">
        <f>IF(PMDCAT[[#This Row],[2024]]="","",DONNÉES!EA241)</f>
        <v/>
      </c>
      <c r="L252" s="163" t="str">
        <f>IF(PMDCAT[[#This Row],[2024]]="","",DONNÉES!EB241)</f>
        <v/>
      </c>
      <c r="M252" s="109" t="str">
        <f>IF(PMDCAT[[#This Row],[2024]]="","",DONNÉES!EA289)</f>
        <v/>
      </c>
      <c r="N252" s="109" t="str">
        <f>IF(PMDCAT[[#This Row],[2024]]="","",DONNÉES!EB289)</f>
        <v/>
      </c>
    </row>
    <row r="253" spans="1:14" ht="10.15" customHeight="1" x14ac:dyDescent="0.2">
      <c r="A253" s="169" t="s">
        <v>79</v>
      </c>
      <c r="B253" s="109" t="str">
        <f>IF(DONNÉES!EA210="","",DONNÉES!EA210)</f>
        <v/>
      </c>
      <c r="C253" s="163" t="str">
        <f>IF(PMDCAT[[#This Row],[2024]]="","",DONNÉES!EB210)</f>
        <v/>
      </c>
      <c r="D253" s="109" t="str">
        <f>IF(PMDCAT[[#This Row],[2024]]="","",DONNÉES!EA258)</f>
        <v/>
      </c>
      <c r="E253" s="173" t="str">
        <f>IF(PMDCAT[[#This Row],[2024]]="","",DONNÉES!EB258)</f>
        <v/>
      </c>
      <c r="F253" s="109" t="str">
        <f>IF(PMDCAT[[#This Row],[2024]]="","",DONNÉES!EA226)</f>
        <v/>
      </c>
      <c r="G253" s="163" t="str">
        <f>IF(PMDCAT[[#This Row],[2024]]="","",DONNÉES!EB226)</f>
        <v/>
      </c>
      <c r="H253" s="109" t="str">
        <f>IF(PMDCAT[[#This Row],[2024]]="","",DONNÉES!EA274)</f>
        <v/>
      </c>
      <c r="I253" s="109" t="str">
        <f>IF(PMDCAT[[#This Row],[2024]]="","",DONNÉES!EB274)</f>
        <v/>
      </c>
      <c r="J253" s="81"/>
      <c r="K253" s="109" t="str">
        <f>IF(PMDCAT[[#This Row],[2024]]="","",DONNÉES!EA242)</f>
        <v/>
      </c>
      <c r="L253" s="163" t="str">
        <f>IF(PMDCAT[[#This Row],[2024]]="","",DONNÉES!EB242)</f>
        <v/>
      </c>
      <c r="M253" s="109" t="str">
        <f>IF(PMDCAT[[#This Row],[2024]]="","",DONNÉES!EA290)</f>
        <v/>
      </c>
      <c r="N253" s="109" t="str">
        <f>IF(PMDCAT[[#This Row],[2024]]="","",DONNÉES!EB290)</f>
        <v/>
      </c>
    </row>
    <row r="254" spans="1:14" ht="10.15" customHeight="1" x14ac:dyDescent="0.2">
      <c r="A254" s="170" t="s">
        <v>80</v>
      </c>
      <c r="B254" s="109" t="str">
        <f>IF(DONNÉES!EA211="","",DONNÉES!EA211)</f>
        <v/>
      </c>
      <c r="C254" s="163" t="str">
        <f>IF(PMDCAT[[#This Row],[2024]]="","",DONNÉES!EB211)</f>
        <v/>
      </c>
      <c r="D254" s="109" t="str">
        <f>IF(PMDCAT[[#This Row],[2024]]="","",DONNÉES!EA259)</f>
        <v/>
      </c>
      <c r="E254" s="173" t="str">
        <f>IF(PMDCAT[[#This Row],[2024]]="","",DONNÉES!EB259)</f>
        <v/>
      </c>
      <c r="F254" s="109" t="str">
        <f>IF(PMDCAT[[#This Row],[2024]]="","",DONNÉES!EA227)</f>
        <v/>
      </c>
      <c r="G254" s="163" t="str">
        <f>IF(PMDCAT[[#This Row],[2024]]="","",DONNÉES!EB227)</f>
        <v/>
      </c>
      <c r="H254" s="109" t="str">
        <f>IF(PMDCAT[[#This Row],[2024]]="","",DONNÉES!EA275)</f>
        <v/>
      </c>
      <c r="I254" s="109" t="str">
        <f>IF(PMDCAT[[#This Row],[2024]]="","",DONNÉES!EB275)</f>
        <v/>
      </c>
      <c r="J254" s="81"/>
      <c r="K254" s="109" t="str">
        <f>IF(PMDCAT[[#This Row],[2024]]="","",DONNÉES!EA243)</f>
        <v/>
      </c>
      <c r="L254" s="163" t="str">
        <f>IF(PMDCAT[[#This Row],[2024]]="","",DONNÉES!EB243)</f>
        <v/>
      </c>
      <c r="M254" s="109" t="str">
        <f>IF(PMDCAT[[#This Row],[2024]]="","",DONNÉES!EA291)</f>
        <v/>
      </c>
      <c r="N254" s="109" t="str">
        <f>IF(PMDCAT[[#This Row],[2024]]="","",DONNÉES!EB291)</f>
        <v/>
      </c>
    </row>
    <row r="255" spans="1:14" ht="10.15" customHeight="1" x14ac:dyDescent="0.2">
      <c r="A255" s="169" t="s">
        <v>81</v>
      </c>
      <c r="B255" s="109" t="str">
        <f>IF(DONNÉES!EA212="","",DONNÉES!EA212)</f>
        <v/>
      </c>
      <c r="C255" s="163" t="str">
        <f>IF(PMDCAT[[#This Row],[2024]]="","",DONNÉES!EB212)</f>
        <v/>
      </c>
      <c r="D255" s="109" t="str">
        <f>IF(PMDCAT[[#This Row],[2024]]="","",DONNÉES!EA260)</f>
        <v/>
      </c>
      <c r="E255" s="173" t="str">
        <f>IF(PMDCAT[[#This Row],[2024]]="","",DONNÉES!EB260)</f>
        <v/>
      </c>
      <c r="F255" s="109" t="str">
        <f>IF(PMDCAT[[#This Row],[2024]]="","",DONNÉES!EA228)</f>
        <v/>
      </c>
      <c r="G255" s="163" t="str">
        <f>IF(PMDCAT[[#This Row],[2024]]="","",DONNÉES!EB228)</f>
        <v/>
      </c>
      <c r="H255" s="109" t="str">
        <f>IF(PMDCAT[[#This Row],[2024]]="","",DONNÉES!EA276)</f>
        <v/>
      </c>
      <c r="I255" s="109" t="str">
        <f>IF(PMDCAT[[#This Row],[2024]]="","",DONNÉES!EB276)</f>
        <v/>
      </c>
      <c r="J255" s="81"/>
      <c r="K255" s="109" t="str">
        <f>IF(PMDCAT[[#This Row],[2024]]="","",DONNÉES!EA244)</f>
        <v/>
      </c>
      <c r="L255" s="163" t="str">
        <f>IF(PMDCAT[[#This Row],[2024]]="","",DONNÉES!EB244)</f>
        <v/>
      </c>
      <c r="M255" s="109" t="str">
        <f>IF(PMDCAT[[#This Row],[2024]]="","",DONNÉES!EA292)</f>
        <v/>
      </c>
      <c r="N255" s="109" t="str">
        <f>IF(PMDCAT[[#This Row],[2024]]="","",DONNÉES!EB292)</f>
        <v/>
      </c>
    </row>
    <row r="256" spans="1:14" ht="10.15" customHeight="1" x14ac:dyDescent="0.2">
      <c r="A256" s="170" t="s">
        <v>82</v>
      </c>
      <c r="B256" s="109" t="str">
        <f>IF(DONNÉES!EA213="","",DONNÉES!EA213)</f>
        <v/>
      </c>
      <c r="C256" s="163" t="str">
        <f>IF(PMDCAT[[#This Row],[2024]]="","",DONNÉES!EB213)</f>
        <v/>
      </c>
      <c r="D256" s="109" t="str">
        <f>IF(PMDCAT[[#This Row],[2024]]="","",DONNÉES!EA261)</f>
        <v/>
      </c>
      <c r="E256" s="173" t="str">
        <f>IF(PMDCAT[[#This Row],[2024]]="","",DONNÉES!EB261)</f>
        <v/>
      </c>
      <c r="F256" s="109" t="str">
        <f>IF(PMDCAT[[#This Row],[2024]]="","",DONNÉES!EA229)</f>
        <v/>
      </c>
      <c r="G256" s="163" t="str">
        <f>IF(PMDCAT[[#This Row],[2024]]="","",DONNÉES!EB229)</f>
        <v/>
      </c>
      <c r="H256" s="109" t="str">
        <f>IF(PMDCAT[[#This Row],[2024]]="","",DONNÉES!EA277)</f>
        <v/>
      </c>
      <c r="I256" s="109" t="str">
        <f>IF(PMDCAT[[#This Row],[2024]]="","",DONNÉES!EB277)</f>
        <v/>
      </c>
      <c r="J256" s="81"/>
      <c r="K256" s="109" t="str">
        <f>IF(PMDCAT[[#This Row],[2024]]="","",DONNÉES!EA245)</f>
        <v/>
      </c>
      <c r="L256" s="163" t="str">
        <f>IF(PMDCAT[[#This Row],[2024]]="","",DONNÉES!EB245)</f>
        <v/>
      </c>
      <c r="M256" s="109" t="str">
        <f>IF(PMDCAT[[#This Row],[2024]]="","",DONNÉES!EA293)</f>
        <v/>
      </c>
      <c r="N256" s="109" t="str">
        <f>IF(PMDCAT[[#This Row],[2024]]="","",DONNÉES!EB293)</f>
        <v/>
      </c>
    </row>
    <row r="257" spans="1:14" s="81" customFormat="1" ht="10.15" customHeight="1" x14ac:dyDescent="0.2">
      <c r="A257" s="169" t="s">
        <v>83</v>
      </c>
      <c r="B257" s="109" t="str">
        <f>IF(DONNÉES!EA214="","",DONNÉES!EA214)</f>
        <v/>
      </c>
      <c r="C257" s="163" t="str">
        <f>IF(PMDCAT[[#This Row],[2024]]="","",DONNÉES!EB214)</f>
        <v/>
      </c>
      <c r="D257" s="109" t="str">
        <f>IF(PMDCAT[[#This Row],[2024]]="","",DONNÉES!EA262)</f>
        <v/>
      </c>
      <c r="E257" s="173" t="str">
        <f>IF(PMDCAT[[#This Row],[2024]]="","",DONNÉES!EB262)</f>
        <v/>
      </c>
      <c r="F257" s="109" t="str">
        <f>IF(PMDCAT[[#This Row],[2024]]="","",DONNÉES!EA230)</f>
        <v/>
      </c>
      <c r="G257" s="163" t="str">
        <f>IF(PMDCAT[[#This Row],[2024]]="","",DONNÉES!EB230)</f>
        <v/>
      </c>
      <c r="H257" s="109" t="str">
        <f>IF(PMDCAT[[#This Row],[2024]]="","",DONNÉES!EA278)</f>
        <v/>
      </c>
      <c r="I257" s="109" t="str">
        <f>IF(PMDCAT[[#This Row],[2024]]="","",DONNÉES!EB278)</f>
        <v/>
      </c>
      <c r="K257" s="109" t="str">
        <f>IF(PMDCAT[[#This Row],[2024]]="","",DONNÉES!EA246)</f>
        <v/>
      </c>
      <c r="L257" s="163" t="str">
        <f>IF(PMDCAT[[#This Row],[2024]]="","",DONNÉES!EB246)</f>
        <v/>
      </c>
      <c r="M257" s="109" t="str">
        <f>IF(PMDCAT[[#This Row],[2024]]="","",DONNÉES!EA294)</f>
        <v/>
      </c>
      <c r="N257" s="109" t="str">
        <f>IF(PMDCAT[[#This Row],[2024]]="","",DONNÉES!EB294)</f>
        <v/>
      </c>
    </row>
    <row r="258" spans="1:14" s="81" customFormat="1" ht="10.15" customHeight="1" x14ac:dyDescent="0.2">
      <c r="A258" s="169" t="s">
        <v>84</v>
      </c>
      <c r="B258" s="109" t="str">
        <f>IF(DONNÉES!EA215="","",DONNÉES!EA215)</f>
        <v/>
      </c>
      <c r="C258" s="163" t="str">
        <f>IF(PMDCAT[[#This Row],[2024]]="","",DONNÉES!EB215)</f>
        <v/>
      </c>
      <c r="D258" s="109" t="str">
        <f>IF(PMDCAT[[#This Row],[2024]]="","",DONNÉES!EA263)</f>
        <v/>
      </c>
      <c r="E258" s="173" t="str">
        <f>IF(PMDCAT[[#This Row],[2024]]="","",DONNÉES!EB263)</f>
        <v/>
      </c>
      <c r="F258" s="109" t="str">
        <f>IF(PMDCAT[[#This Row],[2024]]="","",DONNÉES!EA231)</f>
        <v/>
      </c>
      <c r="G258" s="163" t="str">
        <f>IF(PMDCAT[[#This Row],[2024]]="","",DONNÉES!EB231)</f>
        <v/>
      </c>
      <c r="H258" s="109" t="str">
        <f>IF(PMDCAT[[#This Row],[2024]]="","",DONNÉES!EA279)</f>
        <v/>
      </c>
      <c r="I258" s="109" t="str">
        <f>IF(PMDCAT[[#This Row],[2024]]="","",DONNÉES!EB279)</f>
        <v/>
      </c>
      <c r="K258" s="109" t="str">
        <f>IF(PMDCAT[[#This Row],[2024]]="","",DONNÉES!EA247)</f>
        <v/>
      </c>
      <c r="L258" s="163" t="str">
        <f>IF(PMDCAT[[#This Row],[2024]]="","",DONNÉES!EB247)</f>
        <v/>
      </c>
      <c r="M258" s="109" t="str">
        <f>IF(PMDCAT[[#This Row],[2024]]="","",DONNÉES!EA295)</f>
        <v/>
      </c>
      <c r="N258" s="109" t="str">
        <f>IF(PMDCAT[[#This Row],[2024]]="","",DONNÉES!EB295)</f>
        <v/>
      </c>
    </row>
    <row r="259" spans="1:14" s="81" customFormat="1" ht="11.65" customHeight="1" x14ac:dyDescent="0.2">
      <c r="A259" s="171" t="s">
        <v>134</v>
      </c>
      <c r="B259" s="111">
        <f>SUBTOTAL(101,PMDCAT[2024])</f>
        <v>16.22</v>
      </c>
      <c r="C259" s="167">
        <f>SUBTOTAL(101,PMDCAT[2023])</f>
        <v>0</v>
      </c>
      <c r="D259" s="167">
        <f>SUBTOTAL(101,PMDCAT[2024 cumul])</f>
        <v>16.22</v>
      </c>
      <c r="E259" s="175" t="e">
        <f>SUBTOTAL(101,PMDCAT[2023 cumul])</f>
        <v>#DIV/0!</v>
      </c>
      <c r="F259" s="117">
        <f>SUBTOTAL(101,PMDCAT[[2024  ]])</f>
        <v>22.21</v>
      </c>
      <c r="G259" s="164">
        <f>SUBTOTAL(101,PMDCAT[[2023  ]])</f>
        <v>0</v>
      </c>
      <c r="H259" s="111">
        <f>SUBTOTAL(101,PMDCAT[[2024 cumul ]])</f>
        <v>22.21</v>
      </c>
      <c r="I259" s="111" t="e">
        <f>SUBTOTAL(101,PMDCAT[[2023 cumul ]])</f>
        <v>#DIV/0!</v>
      </c>
      <c r="K259" s="111">
        <f>SUBTOTAL(101,PMDTHOMAS433[[2024  ]])</f>
        <v>18.489999999999998</v>
      </c>
      <c r="L259" s="167">
        <f>SUBTOTAL(101,PMDTHOMAS433[[2023  ]])</f>
        <v>0</v>
      </c>
      <c r="M259" s="167">
        <f>SUBTOTAL(101,PMDTHOMAS433[[2024 cumul ]])</f>
        <v>18.489999999999998</v>
      </c>
      <c r="N259" s="111" t="e">
        <f>SUBTOTAL(101,PMDTHOMAS433[[2023 cumul ]])</f>
        <v>#DIV/0!</v>
      </c>
    </row>
  </sheetData>
  <mergeCells count="49">
    <mergeCell ref="B245:E245"/>
    <mergeCell ref="F245:I245"/>
    <mergeCell ref="K245:N245"/>
    <mergeCell ref="B213:E213"/>
    <mergeCell ref="F213:I213"/>
    <mergeCell ref="K213:N213"/>
    <mergeCell ref="B229:E229"/>
    <mergeCell ref="F229:I229"/>
    <mergeCell ref="K229:N229"/>
    <mergeCell ref="B181:E181"/>
    <mergeCell ref="F181:I181"/>
    <mergeCell ref="K181:N181"/>
    <mergeCell ref="B197:E197"/>
    <mergeCell ref="F197:I197"/>
    <mergeCell ref="K197:N197"/>
    <mergeCell ref="B101:E101"/>
    <mergeCell ref="F101:I101"/>
    <mergeCell ref="K101:N101"/>
    <mergeCell ref="B5:E5"/>
    <mergeCell ref="F5:I5"/>
    <mergeCell ref="K5:N5"/>
    <mergeCell ref="B21:E21"/>
    <mergeCell ref="F21:I21"/>
    <mergeCell ref="K21:N21"/>
    <mergeCell ref="B37:E37"/>
    <mergeCell ref="F37:I37"/>
    <mergeCell ref="K37:N37"/>
    <mergeCell ref="F133:I133"/>
    <mergeCell ref="K117:N117"/>
    <mergeCell ref="K133:N133"/>
    <mergeCell ref="A3:N3"/>
    <mergeCell ref="B117:E117"/>
    <mergeCell ref="F117:I117"/>
    <mergeCell ref="B133:E133"/>
    <mergeCell ref="B53:E53"/>
    <mergeCell ref="F53:I53"/>
    <mergeCell ref="K53:N53"/>
    <mergeCell ref="B69:E69"/>
    <mergeCell ref="F69:I69"/>
    <mergeCell ref="K69:N69"/>
    <mergeCell ref="B85:E85"/>
    <mergeCell ref="F85:I85"/>
    <mergeCell ref="K85:N85"/>
    <mergeCell ref="B149:E149"/>
    <mergeCell ref="F149:I149"/>
    <mergeCell ref="B165:E165"/>
    <mergeCell ref="F165:I165"/>
    <mergeCell ref="K149:N149"/>
    <mergeCell ref="K165:N165"/>
  </mergeCells>
  <pageMargins left="0.70866141732283472" right="0.70866141732283472" top="0.74803149606299213" bottom="0.74803149606299213" header="0.31496062992125984" footer="0.31496062992125984"/>
  <pageSetup paperSize="9" scale="71" fitToWidth="0" fitToHeight="3" orientation="portrait" r:id="rId1"/>
  <headerFooter>
    <oddFooter>&amp;C&amp;"Helv,Gras"&amp;11Page &amp;P / &amp;N</oddFooter>
  </headerFooter>
  <rowBreaks count="3" manualBreakCount="3">
    <brk id="83" max="16383" man="1"/>
    <brk id="164" max="16383" man="1"/>
    <brk id="243" max="16383" man="1"/>
  </rowBreaks>
  <tableParts count="3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19B7-C560-4EFF-AC4D-87E210F2918E}">
  <sheetPr codeName="Feuil108">
    <tabColor rgb="FF92D050"/>
  </sheetPr>
  <dimension ref="A1:O146"/>
  <sheetViews>
    <sheetView showGridLines="0" view="pageBreakPreview" topLeftCell="A27" zoomScale="115" zoomScaleNormal="115" zoomScaleSheetLayoutView="115" workbookViewId="0">
      <selection activeCell="G26" activeCellId="2" sqref="E16 M26 G26"/>
    </sheetView>
  </sheetViews>
  <sheetFormatPr baseColWidth="10" defaultColWidth="11.42578125" defaultRowHeight="12.75" x14ac:dyDescent="0.2"/>
  <cols>
    <col min="1" max="1" width="15.7109375" style="79" customWidth="1"/>
    <col min="2" max="3" width="9.7109375" style="112" customWidth="1"/>
    <col min="4" max="4" width="9.7109375" style="101" customWidth="1"/>
    <col min="5" max="6" width="9.7109375" style="112" customWidth="1"/>
    <col min="7" max="7" width="9.7109375" style="118" customWidth="1"/>
    <col min="8" max="8" width="5.28515625" style="82" customWidth="1"/>
    <col min="9" max="9" width="15.7109375" style="82" customWidth="1"/>
    <col min="10" max="11" width="9.7109375" style="112" customWidth="1"/>
    <col min="12" max="12" width="9.7109375" style="101" customWidth="1"/>
    <col min="13" max="14" width="9.7109375" style="112" customWidth="1"/>
    <col min="15" max="15" width="9.7109375" style="118" customWidth="1"/>
    <col min="16" max="16384" width="11.42578125" style="79"/>
  </cols>
  <sheetData>
    <row r="1" spans="1:15" x14ac:dyDescent="0.2">
      <c r="A1" s="74" t="s">
        <v>6996</v>
      </c>
      <c r="B1" s="106"/>
      <c r="C1" s="106"/>
      <c r="D1" s="98"/>
      <c r="E1" s="106"/>
      <c r="F1" s="106"/>
      <c r="G1" s="114"/>
      <c r="H1" s="79"/>
      <c r="I1" s="79"/>
      <c r="J1" s="121"/>
      <c r="O1" s="162" t="str">
        <f>CONCATENATE("P&amp;L ",RIGHT(DONNÉES!B5,LEN(DONNÉES!B5)-3))</f>
        <v>P&amp;L Janvier</v>
      </c>
    </row>
    <row r="2" spans="1:15" x14ac:dyDescent="0.2">
      <c r="A2" s="74"/>
      <c r="B2" s="106"/>
      <c r="C2" s="106"/>
      <c r="D2" s="98"/>
      <c r="E2" s="106"/>
      <c r="F2" s="106"/>
      <c r="G2" s="114"/>
      <c r="H2" s="75"/>
      <c r="I2" s="75"/>
      <c r="J2" s="122"/>
    </row>
    <row r="3" spans="1:15" ht="15.6" customHeight="1" x14ac:dyDescent="0.25">
      <c r="A3" s="300" t="s">
        <v>133</v>
      </c>
      <c r="B3" s="300"/>
      <c r="C3" s="300"/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</row>
    <row r="4" spans="1:15" ht="33" customHeight="1" x14ac:dyDescent="0.2">
      <c r="A4" s="6"/>
      <c r="B4" s="107"/>
      <c r="C4" s="107"/>
      <c r="D4" s="99"/>
      <c r="E4" s="107"/>
      <c r="F4" s="107"/>
      <c r="G4" s="115"/>
      <c r="H4" s="6"/>
      <c r="I4" s="6"/>
      <c r="J4" s="107"/>
    </row>
    <row r="5" spans="1:15" ht="33" customHeight="1" x14ac:dyDescent="0.2">
      <c r="A5" s="79" t="s">
        <v>2999</v>
      </c>
      <c r="B5" s="108" t="s">
        <v>6962</v>
      </c>
      <c r="C5" s="108" t="s">
        <v>2169</v>
      </c>
      <c r="D5" s="100" t="s">
        <v>136</v>
      </c>
      <c r="E5" s="108" t="s">
        <v>1553</v>
      </c>
      <c r="F5" s="108" t="s">
        <v>1522</v>
      </c>
      <c r="G5" s="124" t="s">
        <v>1304</v>
      </c>
      <c r="H5" s="79"/>
      <c r="I5" s="79" t="s">
        <v>3001</v>
      </c>
      <c r="J5" s="108" t="s">
        <v>6962</v>
      </c>
      <c r="K5" s="108" t="s">
        <v>2169</v>
      </c>
      <c r="L5" s="100" t="s">
        <v>136</v>
      </c>
      <c r="M5" s="108" t="s">
        <v>1553</v>
      </c>
      <c r="N5" s="108" t="s">
        <v>1522</v>
      </c>
      <c r="O5" s="124" t="s">
        <v>1304</v>
      </c>
    </row>
    <row r="6" spans="1:15" s="81" customFormat="1" ht="13.15" customHeight="1" x14ac:dyDescent="0.2">
      <c r="A6" s="81" t="s">
        <v>73</v>
      </c>
      <c r="B6" s="109">
        <f>IF(DONNÉES!K236="","",DONNÉES!K236)</f>
        <v>17.13</v>
      </c>
      <c r="C6" s="109">
        <f>IF(PMTGLR5[[#This Row],[2024]]="","",DONNÉES!L236)</f>
        <v>16.05</v>
      </c>
      <c r="D6" s="96">
        <f>IF(PMTGLR5[[#This Row],[2024]]="","",(PMTGLR5[[#This Row],[2024]]-PMTGLR5[[#This Row],[2023]])/PMTGLR5[[#This Row],[2023]])</f>
        <v>6.7289719626168115E-2</v>
      </c>
      <c r="E6" s="109">
        <f>IF(PMTGLR5[[#This Row],[2024]]="","",DONNÉES!M236)</f>
        <v>16.239999999999998</v>
      </c>
      <c r="F6" s="109">
        <f>IF(PMTGLR5[[#This Row],[2024]]="","",DONNÉES!N236)</f>
        <v>15.34</v>
      </c>
      <c r="G6" s="109">
        <f>IF(PMTGLR5[[#This Row],[2024]]="","",DONNÉES!O236)</f>
        <v>16.3</v>
      </c>
      <c r="I6" s="81" t="s">
        <v>73</v>
      </c>
      <c r="J6" s="109">
        <f>IF(DONNÉES!S236="","",DONNÉES!S236)</f>
        <v>16.55</v>
      </c>
      <c r="K6" s="109">
        <f>IF(PMTHTR8[[#This Row],[2024]]="","",DONNÉES!T236)</f>
        <v>16.23</v>
      </c>
      <c r="L6" s="96">
        <f>IF(PMTHTR8[[#This Row],[2024]]="","",(PMTHTR8[[#This Row],[2024]]-PMTHTR8[[#This Row],[2023]])/PMTHTR8[[#This Row],[2023]])</f>
        <v>1.971657424522491E-2</v>
      </c>
      <c r="M6" s="109">
        <f>IF(PMTHTR8[[#This Row],[2024]]="","",DONNÉES!U236)</f>
        <v>15.96</v>
      </c>
      <c r="N6" s="109">
        <f>IF(PMTHTR8[[#This Row],[2024]]="","",DONNÉES!V236)</f>
        <v>15.72</v>
      </c>
      <c r="O6" s="109">
        <f>IF(PMTHTR8[[#This Row],[2024]]="","",DONNÉES!W236)</f>
        <v>16.3</v>
      </c>
    </row>
    <row r="7" spans="1:15" s="81" customFormat="1" ht="13.15" customHeight="1" x14ac:dyDescent="0.2">
      <c r="A7" s="81" t="s">
        <v>74</v>
      </c>
      <c r="B7" s="109" t="str">
        <f>IF(DONNÉES!K237="","",DONNÉES!K237)</f>
        <v/>
      </c>
      <c r="C7" s="109" t="str">
        <f>IF(PMTGLR5[[#This Row],[2024]]="","",DONNÉES!L237)</f>
        <v/>
      </c>
      <c r="D7" s="96" t="str">
        <f>IF(PMTGLR5[[#This Row],[2024]]="","",(PMTGLR5[[#This Row],[2024]]-PMTGLR5[[#This Row],[2023]])/PMTGLR5[[#This Row],[2023]])</f>
        <v/>
      </c>
      <c r="E7" s="109" t="str">
        <f>IF(PMTGLR5[[#This Row],[2024]]="","",DONNÉES!M237)</f>
        <v/>
      </c>
      <c r="F7" s="110" t="str">
        <f>IF(PMTGLR5[[#This Row],[2024]]="","",DONNÉES!N237)</f>
        <v/>
      </c>
      <c r="G7" s="116" t="str">
        <f>IF(PMTGLR5[[#This Row],[2024]]="","",DONNÉES!O237)</f>
        <v/>
      </c>
      <c r="I7" s="81" t="s">
        <v>74</v>
      </c>
      <c r="J7" s="109" t="str">
        <f>IF(DONNÉES!S237="","",DONNÉES!S237)</f>
        <v/>
      </c>
      <c r="K7" s="109" t="str">
        <f>IF(PMTHTR8[[#This Row],[2024]]="","",DONNÉES!T237)</f>
        <v/>
      </c>
      <c r="L7" s="96" t="str">
        <f>IF(PMTHTR8[[#This Row],[2024]]="","",(PMTHTR8[[#This Row],[2024]]-PMTHTR8[[#This Row],[2023]])/PMTHTR8[[#This Row],[2023]])</f>
        <v/>
      </c>
      <c r="M7" s="109" t="str">
        <f>IF(PMTHTR8[[#This Row],[2024]]="","",DONNÉES!U237)</f>
        <v/>
      </c>
      <c r="N7" s="110" t="str">
        <f>IF(PMTHTR8[[#This Row],[2024]]="","",DONNÉES!V237)</f>
        <v/>
      </c>
      <c r="O7" s="116" t="str">
        <f>IF(PMTHTR8[[#This Row],[2024]]="","",DONNÉES!W237)</f>
        <v/>
      </c>
    </row>
    <row r="8" spans="1:15" s="81" customFormat="1" ht="13.15" customHeight="1" x14ac:dyDescent="0.2">
      <c r="A8" s="79" t="s">
        <v>75</v>
      </c>
      <c r="B8" s="109" t="str">
        <f>IF(DONNÉES!K238="","",DONNÉES!K238)</f>
        <v/>
      </c>
      <c r="C8" s="109" t="str">
        <f>IF(PMTGLR5[[#This Row],[2024]]="","",DONNÉES!L238)</f>
        <v/>
      </c>
      <c r="D8" s="96" t="str">
        <f>IF(PMTGLR5[[#This Row],[2024]]="","",(PMTGLR5[[#This Row],[2024]]-PMTGLR5[[#This Row],[2023]])/PMTGLR5[[#This Row],[2023]])</f>
        <v/>
      </c>
      <c r="E8" s="109" t="str">
        <f>IF(PMTGLR5[[#This Row],[2024]]="","",DONNÉES!M238)</f>
        <v/>
      </c>
      <c r="F8" s="110" t="str">
        <f>IF(PMTGLR5[[#This Row],[2024]]="","",DONNÉES!N238)</f>
        <v/>
      </c>
      <c r="G8" s="116" t="str">
        <f>IF(PMTGLR5[[#This Row],[2024]]="","",DONNÉES!O238)</f>
        <v/>
      </c>
      <c r="I8" s="79" t="s">
        <v>75</v>
      </c>
      <c r="J8" s="109" t="str">
        <f>IF(DONNÉES!S238="","",DONNÉES!S238)</f>
        <v/>
      </c>
      <c r="K8" s="109" t="str">
        <f>IF(PMTHTR8[[#This Row],[2024]]="","",DONNÉES!T238)</f>
        <v/>
      </c>
      <c r="L8" s="96" t="str">
        <f>IF(PMTHTR8[[#This Row],[2024]]="","",(PMTHTR8[[#This Row],[2024]]-PMTHTR8[[#This Row],[2023]])/PMTHTR8[[#This Row],[2023]])</f>
        <v/>
      </c>
      <c r="M8" s="109" t="str">
        <f>IF(PMTHTR8[[#This Row],[2024]]="","",DONNÉES!U238)</f>
        <v/>
      </c>
      <c r="N8" s="110" t="str">
        <f>IF(PMTHTR8[[#This Row],[2024]]="","",DONNÉES!V238)</f>
        <v/>
      </c>
      <c r="O8" s="116" t="str">
        <f>IF(PMTHTR8[[#This Row],[2024]]="","",DONNÉES!W238)</f>
        <v/>
      </c>
    </row>
    <row r="9" spans="1:15" ht="13.15" customHeight="1" x14ac:dyDescent="0.2">
      <c r="A9" s="81" t="s">
        <v>76</v>
      </c>
      <c r="B9" s="109" t="str">
        <f>IF(DONNÉES!K239="","",DONNÉES!K239)</f>
        <v/>
      </c>
      <c r="C9" s="109" t="str">
        <f>IF(PMTGLR5[[#This Row],[2024]]="","",DONNÉES!L239)</f>
        <v/>
      </c>
      <c r="D9" s="96" t="str">
        <f>IF(PMTGLR5[[#This Row],[2024]]="","",(PMTGLR5[[#This Row],[2024]]-PMTGLR5[[#This Row],[2023]])/PMTGLR5[[#This Row],[2023]])</f>
        <v/>
      </c>
      <c r="E9" s="109" t="str">
        <f>IF(PMTGLR5[[#This Row],[2024]]="","",DONNÉES!M239)</f>
        <v/>
      </c>
      <c r="F9" s="110" t="str">
        <f>IF(PMTGLR5[[#This Row],[2024]]="","",DONNÉES!N239)</f>
        <v/>
      </c>
      <c r="G9" s="116" t="str">
        <f>IF(PMTGLR5[[#This Row],[2024]]="","",DONNÉES!O239)</f>
        <v/>
      </c>
      <c r="H9" s="79"/>
      <c r="I9" s="81" t="s">
        <v>76</v>
      </c>
      <c r="J9" s="109" t="str">
        <f>IF(DONNÉES!S239="","",DONNÉES!S239)</f>
        <v/>
      </c>
      <c r="K9" s="109" t="str">
        <f>IF(PMTHTR8[[#This Row],[2024]]="","",DONNÉES!T239)</f>
        <v/>
      </c>
      <c r="L9" s="96" t="str">
        <f>IF(PMTHTR8[[#This Row],[2024]]="","",(PMTHTR8[[#This Row],[2024]]-PMTHTR8[[#This Row],[2023]])/PMTHTR8[[#This Row],[2023]])</f>
        <v/>
      </c>
      <c r="M9" s="109" t="str">
        <f>IF(PMTHTR8[[#This Row],[2024]]="","",DONNÉES!U239)</f>
        <v/>
      </c>
      <c r="N9" s="110" t="str">
        <f>IF(PMTHTR8[[#This Row],[2024]]="","",DONNÉES!V239)</f>
        <v/>
      </c>
      <c r="O9" s="116" t="str">
        <f>IF(PMTHTR8[[#This Row],[2024]]="","",DONNÉES!W239)</f>
        <v/>
      </c>
    </row>
    <row r="10" spans="1:15" ht="13.15" customHeight="1" x14ac:dyDescent="0.2">
      <c r="A10" s="79" t="s">
        <v>77</v>
      </c>
      <c r="B10" s="109" t="str">
        <f>IF(DONNÉES!K240="","",DONNÉES!K240)</f>
        <v/>
      </c>
      <c r="C10" s="109" t="str">
        <f>IF(PMTGLR5[[#This Row],[2024]]="","",DONNÉES!L240)</f>
        <v/>
      </c>
      <c r="D10" s="96" t="str">
        <f>IF(PMTGLR5[[#This Row],[2024]]="","",(PMTGLR5[[#This Row],[2024]]-PMTGLR5[[#This Row],[2023]])/PMTGLR5[[#This Row],[2023]])</f>
        <v/>
      </c>
      <c r="E10" s="109" t="str">
        <f>IF(PMTGLR5[[#This Row],[2024]]="","",DONNÉES!M240)</f>
        <v/>
      </c>
      <c r="F10" s="110" t="str">
        <f>IF(PMTGLR5[[#This Row],[2024]]="","",DONNÉES!N240)</f>
        <v/>
      </c>
      <c r="G10" s="116" t="str">
        <f>IF(PMTGLR5[[#This Row],[2024]]="","",DONNÉES!O240)</f>
        <v/>
      </c>
      <c r="H10" s="79"/>
      <c r="I10" s="79" t="s">
        <v>77</v>
      </c>
      <c r="J10" s="109" t="str">
        <f>IF(DONNÉES!S240="","",DONNÉES!S240)</f>
        <v/>
      </c>
      <c r="K10" s="109" t="str">
        <f>IF(PMTHTR8[[#This Row],[2024]]="","",DONNÉES!T240)</f>
        <v/>
      </c>
      <c r="L10" s="96" t="str">
        <f>IF(PMTHTR8[[#This Row],[2024]]="","",(PMTHTR8[[#This Row],[2024]]-PMTHTR8[[#This Row],[2023]])/PMTHTR8[[#This Row],[2023]])</f>
        <v/>
      </c>
      <c r="M10" s="109" t="str">
        <f>IF(PMTHTR8[[#This Row],[2024]]="","",DONNÉES!U240)</f>
        <v/>
      </c>
      <c r="N10" s="110" t="str">
        <f>IF(PMTHTR8[[#This Row],[2024]]="","",DONNÉES!V240)</f>
        <v/>
      </c>
      <c r="O10" s="116" t="str">
        <f>IF(PMTHTR8[[#This Row],[2024]]="","",DONNÉES!W240)</f>
        <v/>
      </c>
    </row>
    <row r="11" spans="1:15" ht="13.15" customHeight="1" x14ac:dyDescent="0.2">
      <c r="A11" s="81" t="s">
        <v>78</v>
      </c>
      <c r="B11" s="109" t="str">
        <f>IF(DONNÉES!K241="","",DONNÉES!K241)</f>
        <v/>
      </c>
      <c r="C11" s="109" t="str">
        <f>IF(PMTGLR5[[#This Row],[2024]]="","",DONNÉES!L241)</f>
        <v/>
      </c>
      <c r="D11" s="96" t="str">
        <f>IF(PMTGLR5[[#This Row],[2024]]="","",(PMTGLR5[[#This Row],[2024]]-PMTGLR5[[#This Row],[2023]])/PMTGLR5[[#This Row],[2023]])</f>
        <v/>
      </c>
      <c r="E11" s="109" t="str">
        <f>IF(PMTGLR5[[#This Row],[2024]]="","",DONNÉES!M241)</f>
        <v/>
      </c>
      <c r="F11" s="110" t="str">
        <f>IF(PMTGLR5[[#This Row],[2024]]="","",DONNÉES!N241)</f>
        <v/>
      </c>
      <c r="G11" s="116" t="str">
        <f>IF(PMTGLR5[[#This Row],[2024]]="","",DONNÉES!O241)</f>
        <v/>
      </c>
      <c r="H11" s="79"/>
      <c r="I11" s="81" t="s">
        <v>78</v>
      </c>
      <c r="J11" s="109" t="str">
        <f>IF(DONNÉES!S241="","",DONNÉES!S241)</f>
        <v/>
      </c>
      <c r="K11" s="109" t="str">
        <f>IF(PMTHTR8[[#This Row],[2024]]="","",DONNÉES!T241)</f>
        <v/>
      </c>
      <c r="L11" s="96" t="str">
        <f>IF(PMTHTR8[[#This Row],[2024]]="","",(PMTHTR8[[#This Row],[2024]]-PMTHTR8[[#This Row],[2023]])/PMTHTR8[[#This Row],[2023]])</f>
        <v/>
      </c>
      <c r="M11" s="109" t="str">
        <f>IF(PMTHTR8[[#This Row],[2024]]="","",DONNÉES!U241)</f>
        <v/>
      </c>
      <c r="N11" s="110" t="str">
        <f>IF(PMTHTR8[[#This Row],[2024]]="","",DONNÉES!V241)</f>
        <v/>
      </c>
      <c r="O11" s="116" t="str">
        <f>IF(PMTHTR8[[#This Row],[2024]]="","",DONNÉES!W241)</f>
        <v/>
      </c>
    </row>
    <row r="12" spans="1:15" ht="13.15" customHeight="1" x14ac:dyDescent="0.2">
      <c r="A12" s="79" t="s">
        <v>79</v>
      </c>
      <c r="B12" s="109" t="str">
        <f>IF(DONNÉES!K242="","",DONNÉES!K242)</f>
        <v/>
      </c>
      <c r="C12" s="109" t="str">
        <f>IF(PMTGLR5[[#This Row],[2024]]="","",DONNÉES!L242)</f>
        <v/>
      </c>
      <c r="D12" s="96" t="str">
        <f>IF(PMTGLR5[[#This Row],[2024]]="","",(PMTGLR5[[#This Row],[2024]]-PMTGLR5[[#This Row],[2023]])/PMTGLR5[[#This Row],[2023]])</f>
        <v/>
      </c>
      <c r="E12" s="109" t="str">
        <f>IF(PMTGLR5[[#This Row],[2024]]="","",DONNÉES!M242)</f>
        <v/>
      </c>
      <c r="F12" s="110" t="str">
        <f>IF(PMTGLR5[[#This Row],[2024]]="","",DONNÉES!N242)</f>
        <v/>
      </c>
      <c r="G12" s="116" t="str">
        <f>IF(PMTGLR5[[#This Row],[2024]]="","",DONNÉES!O242)</f>
        <v/>
      </c>
      <c r="H12" s="79"/>
      <c r="I12" s="79" t="s">
        <v>79</v>
      </c>
      <c r="J12" s="109" t="str">
        <f>IF(DONNÉES!S242="","",DONNÉES!S242)</f>
        <v/>
      </c>
      <c r="K12" s="109" t="str">
        <f>IF(PMTHTR8[[#This Row],[2024]]="","",DONNÉES!T242)</f>
        <v/>
      </c>
      <c r="L12" s="96" t="str">
        <f>IF(PMTHTR8[[#This Row],[2024]]="","",(PMTHTR8[[#This Row],[2024]]-PMTHTR8[[#This Row],[2023]])/PMTHTR8[[#This Row],[2023]])</f>
        <v/>
      </c>
      <c r="M12" s="109" t="str">
        <f>IF(PMTHTR8[[#This Row],[2024]]="","",DONNÉES!U242)</f>
        <v/>
      </c>
      <c r="N12" s="110" t="str">
        <f>IF(PMTHTR8[[#This Row],[2024]]="","",DONNÉES!V242)</f>
        <v/>
      </c>
      <c r="O12" s="116" t="str">
        <f>IF(PMTHTR8[[#This Row],[2024]]="","",DONNÉES!W242)</f>
        <v/>
      </c>
    </row>
    <row r="13" spans="1:15" ht="13.15" customHeight="1" x14ac:dyDescent="0.2">
      <c r="A13" s="81" t="s">
        <v>80</v>
      </c>
      <c r="B13" s="109" t="str">
        <f>IF(DONNÉES!K243="","",DONNÉES!K243)</f>
        <v/>
      </c>
      <c r="C13" s="109" t="str">
        <f>IF(PMTGLR5[[#This Row],[2024]]="","",DONNÉES!L243)</f>
        <v/>
      </c>
      <c r="D13" s="96" t="str">
        <f>IF(PMTGLR5[[#This Row],[2024]]="","",(PMTGLR5[[#This Row],[2024]]-PMTGLR5[[#This Row],[2023]])/PMTGLR5[[#This Row],[2023]])</f>
        <v/>
      </c>
      <c r="E13" s="109" t="str">
        <f>IF(PMTGLR5[[#This Row],[2024]]="","",DONNÉES!M243)</f>
        <v/>
      </c>
      <c r="F13" s="110" t="str">
        <f>IF(PMTGLR5[[#This Row],[2024]]="","",DONNÉES!N243)</f>
        <v/>
      </c>
      <c r="G13" s="116" t="str">
        <f>IF(PMTGLR5[[#This Row],[2024]]="","",DONNÉES!O243)</f>
        <v/>
      </c>
      <c r="H13" s="79"/>
      <c r="I13" s="81" t="s">
        <v>80</v>
      </c>
      <c r="J13" s="109" t="str">
        <f>IF(DONNÉES!S243="","",DONNÉES!S243)</f>
        <v/>
      </c>
      <c r="K13" s="109" t="str">
        <f>IF(PMTHTR8[[#This Row],[2024]]="","",DONNÉES!T243)</f>
        <v/>
      </c>
      <c r="L13" s="96" t="str">
        <f>IF(PMTHTR8[[#This Row],[2024]]="","",(PMTHTR8[[#This Row],[2024]]-PMTHTR8[[#This Row],[2023]])/PMTHTR8[[#This Row],[2023]])</f>
        <v/>
      </c>
      <c r="M13" s="109" t="str">
        <f>IF(PMTHTR8[[#This Row],[2024]]="","",DONNÉES!U243)</f>
        <v/>
      </c>
      <c r="N13" s="110" t="str">
        <f>IF(PMTHTR8[[#This Row],[2024]]="","",DONNÉES!V243)</f>
        <v/>
      </c>
      <c r="O13" s="116" t="str">
        <f>IF(PMTHTR8[[#This Row],[2024]]="","",DONNÉES!W243)</f>
        <v/>
      </c>
    </row>
    <row r="14" spans="1:15" ht="13.15" customHeight="1" x14ac:dyDescent="0.2">
      <c r="A14" s="79" t="s">
        <v>81</v>
      </c>
      <c r="B14" s="110" t="str">
        <f>IF(DONNÉES!K244="","",DONNÉES!K244)</f>
        <v/>
      </c>
      <c r="C14" s="110" t="str">
        <f>IF(PMTGLR5[[#This Row],[2024]]="","",DONNÉES!L244)</f>
        <v/>
      </c>
      <c r="D14" s="97" t="str">
        <f>IF(PMTGLR5[[#This Row],[2024]]="","",(PMTGLR5[[#This Row],[2024]]-PMTGLR5[[#This Row],[2023]])/PMTGLR5[[#This Row],[2023]])</f>
        <v/>
      </c>
      <c r="E14" s="109" t="str">
        <f>IF(PMTGLR5[[#This Row],[2024]]="","",DONNÉES!M244)</f>
        <v/>
      </c>
      <c r="F14" s="110" t="str">
        <f>IF(PMTGLR5[[#This Row],[2024]]="","",DONNÉES!N244)</f>
        <v/>
      </c>
      <c r="G14" s="116" t="str">
        <f>IF(PMTGLR5[[#This Row],[2024]]="","",DONNÉES!O244)</f>
        <v/>
      </c>
      <c r="I14" s="79" t="s">
        <v>81</v>
      </c>
      <c r="J14" s="109" t="str">
        <f>IF(DONNÉES!S244="","",DONNÉES!S244)</f>
        <v/>
      </c>
      <c r="K14" s="109" t="str">
        <f>IF(PMTHTR8[[#This Row],[2024]]="","",DONNÉES!T244)</f>
        <v/>
      </c>
      <c r="L14" s="97" t="str">
        <f>IF(PMTHTR8[[#This Row],[2024]]="","",(PMTHTR8[[#This Row],[2024]]-PMTHTR8[[#This Row],[2023]])/PMTHTR8[[#This Row],[2023]])</f>
        <v/>
      </c>
      <c r="M14" s="109" t="str">
        <f>IF(PMTHTR8[[#This Row],[2024]]="","",DONNÉES!U244)</f>
        <v/>
      </c>
      <c r="N14" s="110" t="str">
        <f>IF(PMTHTR8[[#This Row],[2024]]="","",DONNÉES!V244)</f>
        <v/>
      </c>
      <c r="O14" s="116" t="str">
        <f>IF(PMTHTR8[[#This Row],[2024]]="","",DONNÉES!W244)</f>
        <v/>
      </c>
    </row>
    <row r="15" spans="1:15" ht="13.15" customHeight="1" x14ac:dyDescent="0.2">
      <c r="A15" s="81" t="s">
        <v>82</v>
      </c>
      <c r="B15" s="110" t="str">
        <f>IF(DONNÉES!K245="","",DONNÉES!K245)</f>
        <v/>
      </c>
      <c r="C15" s="110" t="str">
        <f>IF(PMTGLR5[[#This Row],[2024]]="","",DONNÉES!L245)</f>
        <v/>
      </c>
      <c r="D15" s="97" t="str">
        <f>IF(PMTGLR5[[#This Row],[2024]]="","",(PMTGLR5[[#This Row],[2024]]-PMTGLR5[[#This Row],[2023]])/PMTGLR5[[#This Row],[2023]])</f>
        <v/>
      </c>
      <c r="E15" s="109" t="str">
        <f>IF(PMTGLR5[[#This Row],[2024]]="","",DONNÉES!M245)</f>
        <v/>
      </c>
      <c r="F15" s="110" t="str">
        <f>IF(PMTGLR5[[#This Row],[2024]]="","",DONNÉES!N245)</f>
        <v/>
      </c>
      <c r="G15" s="116" t="str">
        <f>IF(PMTGLR5[[#This Row],[2024]]="","",DONNÉES!O245)</f>
        <v/>
      </c>
      <c r="H15" s="79"/>
      <c r="I15" s="81" t="s">
        <v>82</v>
      </c>
      <c r="J15" s="109" t="str">
        <f>IF(DONNÉES!S245="","",DONNÉES!S245)</f>
        <v/>
      </c>
      <c r="K15" s="109" t="str">
        <f>IF(PMTHTR8[[#This Row],[2024]]="","",DONNÉES!T245)</f>
        <v/>
      </c>
      <c r="L15" s="97" t="str">
        <f>IF(PMTHTR8[[#This Row],[2024]]="","",(PMTHTR8[[#This Row],[2024]]-PMTHTR8[[#This Row],[2023]])/PMTHTR8[[#This Row],[2023]])</f>
        <v/>
      </c>
      <c r="M15" s="109" t="str">
        <f>IF(PMTHTR8[[#This Row],[2024]]="","",DONNÉES!U245)</f>
        <v/>
      </c>
      <c r="N15" s="110" t="str">
        <f>IF(PMTHTR8[[#This Row],[2024]]="","",DONNÉES!V245)</f>
        <v/>
      </c>
      <c r="O15" s="116" t="str">
        <f>IF(PMTHTR8[[#This Row],[2024]]="","",DONNÉES!W245)</f>
        <v/>
      </c>
    </row>
    <row r="16" spans="1:15" s="81" customFormat="1" ht="13.15" customHeight="1" x14ac:dyDescent="0.2">
      <c r="A16" s="79" t="s">
        <v>83</v>
      </c>
      <c r="B16" s="110" t="str">
        <f>IF(DONNÉES!K246="","",DONNÉES!K246)</f>
        <v/>
      </c>
      <c r="C16" s="110" t="str">
        <f>IF(PMTGLR5[[#This Row],[2024]]="","",DONNÉES!L246)</f>
        <v/>
      </c>
      <c r="D16" s="97" t="str">
        <f>IF(PMTGLR5[[#This Row],[2024]]="","",(PMTGLR5[[#This Row],[2024]]-PMTGLR5[[#This Row],[2023]])/PMTGLR5[[#This Row],[2023]])</f>
        <v/>
      </c>
      <c r="E16" s="109" t="str">
        <f>IF(PMTGLR5[[#This Row],[2024]]="","",DONNÉES!M246)</f>
        <v/>
      </c>
      <c r="F16" s="110" t="str">
        <f>IF(PMTGLR5[[#This Row],[2024]]="","",DONNÉES!N246)</f>
        <v/>
      </c>
      <c r="G16" s="116" t="str">
        <f>IF(PMTGLR5[[#This Row],[2024]]="","",DONNÉES!O246)</f>
        <v/>
      </c>
      <c r="I16" s="79" t="s">
        <v>83</v>
      </c>
      <c r="J16" s="109" t="str">
        <f>IF(DONNÉES!S246="","",DONNÉES!S246)</f>
        <v/>
      </c>
      <c r="K16" s="109" t="str">
        <f>IF(PMTHTR8[[#This Row],[2024]]="","",DONNÉES!T246)</f>
        <v/>
      </c>
      <c r="L16" s="97" t="str">
        <f>IF(PMTHTR8[[#This Row],[2024]]="","",(PMTHTR8[[#This Row],[2024]]-PMTHTR8[[#This Row],[2023]])/PMTHTR8[[#This Row],[2023]])</f>
        <v/>
      </c>
      <c r="M16" s="109" t="str">
        <f>IF(PMTHTR8[[#This Row],[2024]]="","",DONNÉES!U246)</f>
        <v/>
      </c>
      <c r="N16" s="110" t="str">
        <f>IF(PMTHTR8[[#This Row],[2024]]="","",DONNÉES!V246)</f>
        <v/>
      </c>
      <c r="O16" s="116" t="str">
        <f>IF(PMTHTR8[[#This Row],[2024]]="","",DONNÉES!W246)</f>
        <v/>
      </c>
    </row>
    <row r="17" spans="1:15" s="81" customFormat="1" ht="13.15" customHeight="1" x14ac:dyDescent="0.2">
      <c r="A17" s="79" t="s">
        <v>84</v>
      </c>
      <c r="B17" s="110" t="str">
        <f>IF(DONNÉES!K247="","",DONNÉES!K247)</f>
        <v/>
      </c>
      <c r="C17" s="110" t="str">
        <f>IF(PMTGLR5[[#This Row],[2024]]="","",DONNÉES!L247)</f>
        <v/>
      </c>
      <c r="D17" s="97" t="str">
        <f>IF(PMTGLR5[[#This Row],[2024]]="","",(PMTGLR5[[#This Row],[2024]]-PMTGLR5[[#This Row],[2023]])/PMTGLR5[[#This Row],[2023]])</f>
        <v/>
      </c>
      <c r="E17" s="109" t="str">
        <f>IF(PMTGLR5[[#This Row],[2024]]="","",DONNÉES!M247)</f>
        <v/>
      </c>
      <c r="F17" s="110" t="str">
        <f>IF(PMTGLR5[[#This Row],[2024]]="","",DONNÉES!N247)</f>
        <v/>
      </c>
      <c r="G17" s="116" t="str">
        <f>IF(PMTGLR5[[#This Row],[2024]]="","",DONNÉES!O247)</f>
        <v/>
      </c>
      <c r="I17" s="79" t="s">
        <v>84</v>
      </c>
      <c r="J17" s="109" t="str">
        <f>IF(DONNÉES!S247="","",DONNÉES!S247)</f>
        <v/>
      </c>
      <c r="K17" s="109" t="str">
        <f>IF(PMTHTR8[[#This Row],[2024]]="","",DONNÉES!T247)</f>
        <v/>
      </c>
      <c r="L17" s="97" t="str">
        <f>IF(PMTHTR8[[#This Row],[2024]]="","",(PMTHTR8[[#This Row],[2024]]-PMTHTR8[[#This Row],[2023]])/PMTHTR8[[#This Row],[2023]])</f>
        <v/>
      </c>
      <c r="M17" s="109" t="str">
        <f>IF(PMTHTR8[[#This Row],[2024]]="","",DONNÉES!U247)</f>
        <v/>
      </c>
      <c r="N17" s="110" t="str">
        <f>IF(PMTHTR8[[#This Row],[2024]]="","",DONNÉES!V247)</f>
        <v/>
      </c>
      <c r="O17" s="116" t="str">
        <f>IF(PMTHTR8[[#This Row],[2024]]="","",DONNÉES!W247)</f>
        <v/>
      </c>
    </row>
    <row r="18" spans="1:15" s="81" customFormat="1" ht="16.899999999999999" customHeight="1" x14ac:dyDescent="0.2">
      <c r="A18" s="46" t="s">
        <v>134</v>
      </c>
      <c r="B18" s="111">
        <f>SUBTOTAL(101,PMTGLR5[2024])</f>
        <v>17.13</v>
      </c>
      <c r="C18" s="111">
        <f>SUBTOTAL(101,PMTGLR5[2023])</f>
        <v>16.05</v>
      </c>
      <c r="D18" s="125">
        <f>(PMTGLR5[[#Totals],[2024]]-PMTGLR5[[#Totals],[2023]])/PMTGLR5[[#Totals],[2023]]</f>
        <v>6.7289719626168115E-2</v>
      </c>
      <c r="E18" s="117">
        <f>SUBTOTAL(101,PMTGLR5[2022])</f>
        <v>16.239999999999998</v>
      </c>
      <c r="F18" s="111">
        <f>SUBTOTAL(101,PMTGLR5[2021])</f>
        <v>15.34</v>
      </c>
      <c r="G18" s="111">
        <f>SUBTOTAL(101,PMTGLR5[2020])</f>
        <v>16.3</v>
      </c>
      <c r="I18" s="46" t="s">
        <v>135</v>
      </c>
      <c r="J18" s="111">
        <f>SUBTOTAL(101,PMTHTR8[2024])</f>
        <v>16.55</v>
      </c>
      <c r="K18" s="111">
        <f>SUBTOTAL(101,PMTHTR8[2023])</f>
        <v>16.23</v>
      </c>
      <c r="L18" s="125">
        <f>(PMTHTR8[[#Totals],[2024]]-PMTHTR8[[#Totals],[2023]])/PMTHTR8[[#Totals],[2023]]</f>
        <v>1.971657424522491E-2</v>
      </c>
      <c r="M18" s="117">
        <f>SUBTOTAL(101,PMTHTR8[2022])</f>
        <v>15.96</v>
      </c>
      <c r="N18" s="111">
        <f>SUBTOTAL(101,PMTHTR8[2021])</f>
        <v>15.72</v>
      </c>
      <c r="O18" s="90">
        <f>SUBTOTAL(101,PMTHTR8[2020])</f>
        <v>16.3</v>
      </c>
    </row>
    <row r="19" spans="1:15" ht="30.6" customHeight="1" x14ac:dyDescent="0.2">
      <c r="H19" s="79"/>
    </row>
    <row r="20" spans="1:15" ht="33" customHeight="1" x14ac:dyDescent="0.2">
      <c r="A20" s="79" t="s">
        <v>210</v>
      </c>
      <c r="B20" s="108" t="s">
        <v>6962</v>
      </c>
      <c r="C20" s="108" t="s">
        <v>2169</v>
      </c>
      <c r="D20" s="100" t="s">
        <v>136</v>
      </c>
      <c r="E20" s="108" t="s">
        <v>1553</v>
      </c>
      <c r="F20" s="108" t="s">
        <v>1522</v>
      </c>
      <c r="G20" s="124" t="s">
        <v>1304</v>
      </c>
      <c r="H20" s="79"/>
      <c r="I20" s="79" t="s">
        <v>3003</v>
      </c>
      <c r="J20" s="108" t="s">
        <v>6962</v>
      </c>
      <c r="K20" s="108" t="s">
        <v>2169</v>
      </c>
      <c r="L20" s="100" t="s">
        <v>136</v>
      </c>
      <c r="M20" s="108" t="s">
        <v>1553</v>
      </c>
      <c r="N20" s="108" t="s">
        <v>1522</v>
      </c>
      <c r="O20" s="124" t="s">
        <v>1304</v>
      </c>
    </row>
    <row r="21" spans="1:15" ht="13.15" customHeight="1" x14ac:dyDescent="0.2">
      <c r="A21" s="81" t="s">
        <v>73</v>
      </c>
      <c r="B21" s="109">
        <f>IF(DONNÉES!AA236="","",DONNÉES!AA236)</f>
        <v>15.91</v>
      </c>
      <c r="C21" s="109">
        <f>IF(PMTTIRR[[#This Row],[2024]]="","",DONNÉES!AB236)</f>
        <v>16.260000000000002</v>
      </c>
      <c r="D21" s="96">
        <f>IF(PMTTIRR[[#This Row],[2024]]="","",(PMTTIRR[[#This Row],[2024]]-PMTTIRR[[#This Row],[2023]])/PMTTIRR[[#This Row],[2023]])</f>
        <v>-2.1525215252152608E-2</v>
      </c>
      <c r="E21" s="109">
        <f>IF(PMTTIRR[[#This Row],[2024]]="","",DONNÉES!AC236)</f>
        <v>15.37</v>
      </c>
      <c r="F21" s="109">
        <f>IF(PMTTIRR[[#This Row],[2024]]="","",DONNÉES!AD236)</f>
        <v>15.22</v>
      </c>
      <c r="G21" s="109">
        <f>IF(PMTTIRR[[#This Row],[2024]]="","",DONNÉES!AE236)</f>
        <v>17.04</v>
      </c>
      <c r="H21" s="79"/>
      <c r="I21" s="81" t="s">
        <v>73</v>
      </c>
      <c r="J21" s="109" t="str">
        <f>IF(DONNÉES!AI236="","",DONNÉES!AI236)</f>
        <v/>
      </c>
      <c r="K21" s="109" t="str">
        <f>IF(PMTVR7[[#This Row],[2024]]="","",DONNÉES!AJ236)</f>
        <v/>
      </c>
      <c r="L21" s="102" t="str">
        <f>IF(PMTVR7[[#This Row],[2024]]="","",(PMTVR7[[#This Row],[2024]]-PMTVR7[[#This Row],[2023]])/PMTVR7[[#This Row],[2023]])</f>
        <v/>
      </c>
      <c r="M21" s="109" t="str">
        <f>IF(PMTVR7[[#This Row],[2024]]="","",DONNÉES!AK236)</f>
        <v/>
      </c>
      <c r="N21" s="109" t="str">
        <f>IF(PMTVR7[[#This Row],[2024]]="","",DONNÉES!AL236)</f>
        <v/>
      </c>
      <c r="O21" s="109" t="str">
        <f>IF(PMTVR7[[#This Row],[2024]]="","",DONNÉES!AM236)</f>
        <v/>
      </c>
    </row>
    <row r="22" spans="1:15" ht="13.15" customHeight="1" x14ac:dyDescent="0.2">
      <c r="A22" s="81" t="s">
        <v>74</v>
      </c>
      <c r="B22" s="109" t="str">
        <f>IF(DONNÉES!AA237="","",DONNÉES!AA237)</f>
        <v/>
      </c>
      <c r="C22" s="109" t="str">
        <f>IF(PMTTIRR[[#This Row],[2024]]="","",DONNÉES!AB237)</f>
        <v/>
      </c>
      <c r="D22" s="96" t="str">
        <f>IF(PMTTIRR[[#This Row],[2024]]="","",(PMTTIRR[[#This Row],[2024]]-PMTTIRR[[#This Row],[2023]])/PMTTIRR[[#This Row],[2023]])</f>
        <v/>
      </c>
      <c r="E22" s="109" t="str">
        <f>IF(PMTTIRR[[#This Row],[2024]]="","",DONNÉES!AC237)</f>
        <v/>
      </c>
      <c r="F22" s="109" t="str">
        <f>IF(PMTTIRR[[#This Row],[2024]]="","",DONNÉES!AD237)</f>
        <v/>
      </c>
      <c r="G22" s="109" t="str">
        <f>IF(PMTTIRR[[#This Row],[2024]]="","",DONNÉES!AE237)</f>
        <v/>
      </c>
      <c r="H22" s="79"/>
      <c r="I22" s="81" t="s">
        <v>74</v>
      </c>
      <c r="J22" s="109" t="str">
        <f>IF(DONNÉES!AI237="","",DONNÉES!AI237)</f>
        <v/>
      </c>
      <c r="K22" s="109" t="str">
        <f>IF(PMTVR7[[#This Row],[2024]]="","",DONNÉES!AJ237)</f>
        <v/>
      </c>
      <c r="L22" s="102" t="str">
        <f>IF(PMTVR7[[#This Row],[2024]]="","",(PMTVR7[[#This Row],[2024]]-PMTVR7[[#This Row],[2023]])/PMTVR7[[#This Row],[2023]])</f>
        <v/>
      </c>
      <c r="M22" s="109" t="str">
        <f>IF(PMTVR7[[#This Row],[2024]]="","",DONNÉES!AK237)</f>
        <v/>
      </c>
      <c r="N22" s="109" t="str">
        <f>IF(PMTVR7[[#This Row],[2024]]="","",DONNÉES!AL237)</f>
        <v/>
      </c>
      <c r="O22" s="109" t="str">
        <f>IF(PMTVR7[[#This Row],[2024]]="","",DONNÉES!AM237)</f>
        <v/>
      </c>
    </row>
    <row r="23" spans="1:15" ht="13.15" customHeight="1" x14ac:dyDescent="0.2">
      <c r="A23" s="79" t="s">
        <v>75</v>
      </c>
      <c r="B23" s="109" t="str">
        <f>IF(DONNÉES!AA238="","",DONNÉES!AA238)</f>
        <v/>
      </c>
      <c r="C23" s="109" t="str">
        <f>IF(PMTTIRR[[#This Row],[2024]]="","",DONNÉES!AB238)</f>
        <v/>
      </c>
      <c r="D23" s="96" t="str">
        <f>IF(PMTTIRR[[#This Row],[2024]]="","",(PMTTIRR[[#This Row],[2024]]-PMTTIRR[[#This Row],[2023]])/PMTTIRR[[#This Row],[2023]])</f>
        <v/>
      </c>
      <c r="E23" s="109" t="str">
        <f>IF(PMTTIRR[[#This Row],[2024]]="","",DONNÉES!AC238)</f>
        <v/>
      </c>
      <c r="F23" s="109" t="str">
        <f>IF(PMTTIRR[[#This Row],[2024]]="","",DONNÉES!AD238)</f>
        <v/>
      </c>
      <c r="G23" s="109" t="str">
        <f>IF(PMTTIRR[[#This Row],[2024]]="","",DONNÉES!AE238)</f>
        <v/>
      </c>
      <c r="H23" s="79"/>
      <c r="I23" s="79" t="s">
        <v>75</v>
      </c>
      <c r="J23" s="109" t="str">
        <f>IF(DONNÉES!AI238="","",DONNÉES!AI238)</f>
        <v/>
      </c>
      <c r="K23" s="109" t="str">
        <f>IF(PMTVR7[[#This Row],[2024]]="","",DONNÉES!AJ238)</f>
        <v/>
      </c>
      <c r="L23" s="102" t="str">
        <f>IF(PMTVR7[[#This Row],[2024]]="","",(PMTVR7[[#This Row],[2024]]-PMTVR7[[#This Row],[2023]])/PMTVR7[[#This Row],[2023]])</f>
        <v/>
      </c>
      <c r="M23" s="109" t="str">
        <f>IF(PMTVR7[[#This Row],[2024]]="","",DONNÉES!AK238)</f>
        <v/>
      </c>
      <c r="N23" s="109" t="str">
        <f>IF(PMTVR7[[#This Row],[2024]]="","",DONNÉES!AL238)</f>
        <v/>
      </c>
      <c r="O23" s="109" t="str">
        <f>IF(PMTVR7[[#This Row],[2024]]="","",DONNÉES!AM238)</f>
        <v/>
      </c>
    </row>
    <row r="24" spans="1:15" ht="13.15" customHeight="1" x14ac:dyDescent="0.2">
      <c r="A24" s="81" t="s">
        <v>76</v>
      </c>
      <c r="B24" s="109" t="str">
        <f>IF(DONNÉES!AA239="","",DONNÉES!AA239)</f>
        <v/>
      </c>
      <c r="C24" s="109" t="str">
        <f>IF(PMTTIRR[[#This Row],[2024]]="","",DONNÉES!AB239)</f>
        <v/>
      </c>
      <c r="D24" s="96" t="str">
        <f>IF(PMTTIRR[[#This Row],[2024]]="","",(PMTTIRR[[#This Row],[2024]]-PMTTIRR[[#This Row],[2023]])/PMTTIRR[[#This Row],[2023]])</f>
        <v/>
      </c>
      <c r="E24" s="109" t="str">
        <f>IF(PMTTIRR[[#This Row],[2024]]="","",DONNÉES!AC239)</f>
        <v/>
      </c>
      <c r="F24" s="109" t="str">
        <f>IF(PMTTIRR[[#This Row],[2024]]="","",DONNÉES!AD239)</f>
        <v/>
      </c>
      <c r="G24" s="109" t="str">
        <f>IF(PMTTIRR[[#This Row],[2024]]="","",DONNÉES!AE239)</f>
        <v/>
      </c>
      <c r="I24" s="81" t="s">
        <v>76</v>
      </c>
      <c r="J24" s="109" t="str">
        <f>IF(DONNÉES!AI239="","",DONNÉES!AI239)</f>
        <v/>
      </c>
      <c r="K24" s="109" t="str">
        <f>IF(PMTVR7[[#This Row],[2024]]="","",DONNÉES!AJ239)</f>
        <v/>
      </c>
      <c r="L24" s="102" t="str">
        <f>IF(PMTVR7[[#This Row],[2024]]="","",(PMTVR7[[#This Row],[2024]]-PMTVR7[[#This Row],[2023]])/PMTVR7[[#This Row],[2023]])</f>
        <v/>
      </c>
      <c r="M24" s="109" t="str">
        <f>IF(PMTVR7[[#This Row],[2024]]="","",DONNÉES!AK239)</f>
        <v/>
      </c>
      <c r="N24" s="109" t="str">
        <f>IF(PMTVR7[[#This Row],[2024]]="","",DONNÉES!AL239)</f>
        <v/>
      </c>
      <c r="O24" s="109" t="str">
        <f>IF(PMTVR7[[#This Row],[2024]]="","",DONNÉES!AM239)</f>
        <v/>
      </c>
    </row>
    <row r="25" spans="1:15" ht="13.15" customHeight="1" x14ac:dyDescent="0.2">
      <c r="A25" s="79" t="s">
        <v>77</v>
      </c>
      <c r="B25" s="109" t="str">
        <f>IF(DONNÉES!AA240="","",DONNÉES!AA240)</f>
        <v/>
      </c>
      <c r="C25" s="109" t="str">
        <f>IF(PMTTIRR[[#This Row],[2024]]="","",DONNÉES!AB240)</f>
        <v/>
      </c>
      <c r="D25" s="96" t="str">
        <f>IF(PMTTIRR[[#This Row],[2024]]="","",(PMTTIRR[[#This Row],[2024]]-PMTTIRR[[#This Row],[2023]])/PMTTIRR[[#This Row],[2023]])</f>
        <v/>
      </c>
      <c r="E25" s="109" t="str">
        <f>IF(PMTTIRR[[#This Row],[2024]]="","",DONNÉES!AC240)</f>
        <v/>
      </c>
      <c r="F25" s="109" t="str">
        <f>IF(PMTTIRR[[#This Row],[2024]]="","",DONNÉES!AD240)</f>
        <v/>
      </c>
      <c r="G25" s="109" t="str">
        <f>IF(PMTTIRR[[#This Row],[2024]]="","",DONNÉES!AE240)</f>
        <v/>
      </c>
      <c r="H25" s="79"/>
      <c r="I25" s="79" t="s">
        <v>77</v>
      </c>
      <c r="J25" s="109" t="str">
        <f>IF(DONNÉES!AI240="","",DONNÉES!AI240)</f>
        <v/>
      </c>
      <c r="K25" s="109" t="str">
        <f>IF(PMTVR7[[#This Row],[2024]]="","",DONNÉES!AJ240)</f>
        <v/>
      </c>
      <c r="L25" s="102" t="str">
        <f>IF(PMTVR7[[#This Row],[2024]]="","",(PMTVR7[[#This Row],[2024]]-PMTVR7[[#This Row],[2023]])/PMTVR7[[#This Row],[2023]])</f>
        <v/>
      </c>
      <c r="M25" s="109" t="str">
        <f>IF(PMTVR7[[#This Row],[2024]]="","",DONNÉES!AK240)</f>
        <v/>
      </c>
      <c r="N25" s="109" t="str">
        <f>IF(PMTVR7[[#This Row],[2024]]="","",DONNÉES!AL240)</f>
        <v/>
      </c>
      <c r="O25" s="109" t="str">
        <f>IF(PMTVR7[[#This Row],[2024]]="","",DONNÉES!AM240)</f>
        <v/>
      </c>
    </row>
    <row r="26" spans="1:15" s="81" customFormat="1" ht="13.15" customHeight="1" x14ac:dyDescent="0.2">
      <c r="A26" s="81" t="s">
        <v>78</v>
      </c>
      <c r="B26" s="109" t="str">
        <f>IF(DONNÉES!AA241="","",DONNÉES!AA241)</f>
        <v/>
      </c>
      <c r="C26" s="109" t="str">
        <f>IF(PMTTIRR[[#This Row],[2024]]="","",DONNÉES!AB241)</f>
        <v/>
      </c>
      <c r="D26" s="96" t="str">
        <f>IF(PMTTIRR[[#This Row],[2024]]="","",(PMTTIRR[[#This Row],[2024]]-PMTTIRR[[#This Row],[2023]])/PMTTIRR[[#This Row],[2023]])</f>
        <v/>
      </c>
      <c r="E26" s="109" t="str">
        <f>IF(PMTTIRR[[#This Row],[2024]]="","",DONNÉES!AC241)</f>
        <v/>
      </c>
      <c r="F26" s="109" t="str">
        <f>IF(PMTTIRR[[#This Row],[2024]]="","",DONNÉES!AD241)</f>
        <v/>
      </c>
      <c r="G26" s="109" t="str">
        <f>IF(PMTTIRR[[#This Row],[2024]]="","",DONNÉES!AE241)</f>
        <v/>
      </c>
      <c r="I26" s="81" t="s">
        <v>78</v>
      </c>
      <c r="J26" s="109" t="str">
        <f>IF(DONNÉES!AI241="","",DONNÉES!AI241)</f>
        <v/>
      </c>
      <c r="K26" s="109" t="str">
        <f>IF(PMTVR7[[#This Row],[2024]]="","",DONNÉES!AJ241)</f>
        <v/>
      </c>
      <c r="L26" s="102" t="str">
        <f>IF(PMTVR7[[#This Row],[2024]]="","",(PMTVR7[[#This Row],[2024]]-PMTVR7[[#This Row],[2023]])/PMTVR7[[#This Row],[2023]])</f>
        <v/>
      </c>
      <c r="M26" s="109" t="str">
        <f>IF(PMTVR7[[#This Row],[2024]]="","",DONNÉES!AK241)</f>
        <v/>
      </c>
      <c r="N26" s="109" t="str">
        <f>IF(PMTVR7[[#This Row],[2024]]="","",DONNÉES!AL241)</f>
        <v/>
      </c>
      <c r="O26" s="109" t="str">
        <f>IF(PMTVR7[[#This Row],[2024]]="","",DONNÉES!AM241)</f>
        <v/>
      </c>
    </row>
    <row r="27" spans="1:15" s="81" customFormat="1" ht="13.15" customHeight="1" x14ac:dyDescent="0.2">
      <c r="A27" s="79" t="s">
        <v>79</v>
      </c>
      <c r="B27" s="109" t="str">
        <f>IF(DONNÉES!AA242="","",DONNÉES!AA242)</f>
        <v/>
      </c>
      <c r="C27" s="109" t="str">
        <f>IF(PMTTIRR[[#This Row],[2024]]="","",DONNÉES!AB242)</f>
        <v/>
      </c>
      <c r="D27" s="96" t="str">
        <f>IF(PMTTIRR[[#This Row],[2024]]="","",(PMTTIRR[[#This Row],[2024]]-PMTTIRR[[#This Row],[2023]])/PMTTIRR[[#This Row],[2023]])</f>
        <v/>
      </c>
      <c r="E27" s="109" t="str">
        <f>IF(PMTTIRR[[#This Row],[2024]]="","",DONNÉES!AC242)</f>
        <v/>
      </c>
      <c r="F27" s="109" t="str">
        <f>IF(PMTTIRR[[#This Row],[2024]]="","",DONNÉES!AD242)</f>
        <v/>
      </c>
      <c r="G27" s="109" t="str">
        <f>IF(PMTTIRR[[#This Row],[2024]]="","",DONNÉES!AE242)</f>
        <v/>
      </c>
      <c r="I27" s="79" t="s">
        <v>79</v>
      </c>
      <c r="J27" s="109" t="str">
        <f>IF(DONNÉES!AI242="","",DONNÉES!AI242)</f>
        <v/>
      </c>
      <c r="K27" s="109" t="str">
        <f>IF(PMTVR7[[#This Row],[2024]]="","",DONNÉES!AJ242)</f>
        <v/>
      </c>
      <c r="L27" s="102" t="str">
        <f>IF(PMTVR7[[#This Row],[2024]]="","",(PMTVR7[[#This Row],[2024]]-PMTVR7[[#This Row],[2023]])/PMTVR7[[#This Row],[2023]])</f>
        <v/>
      </c>
      <c r="M27" s="109" t="str">
        <f>IF(PMTVR7[[#This Row],[2024]]="","",DONNÉES!AK242)</f>
        <v/>
      </c>
      <c r="N27" s="109" t="str">
        <f>IF(PMTVR7[[#This Row],[2024]]="","",DONNÉES!AL242)</f>
        <v/>
      </c>
      <c r="O27" s="109" t="str">
        <f>IF(PMTVR7[[#This Row],[2024]]="","",DONNÉES!AM242)</f>
        <v/>
      </c>
    </row>
    <row r="28" spans="1:15" s="81" customFormat="1" ht="13.15" customHeight="1" x14ac:dyDescent="0.2">
      <c r="A28" s="81" t="s">
        <v>80</v>
      </c>
      <c r="B28" s="109" t="str">
        <f>IF(DONNÉES!AA243="","",DONNÉES!AA243)</f>
        <v/>
      </c>
      <c r="C28" s="109" t="str">
        <f>IF(PMTTIRR[[#This Row],[2024]]="","",DONNÉES!AB243)</f>
        <v/>
      </c>
      <c r="D28" s="96" t="str">
        <f>IF(PMTTIRR[[#This Row],[2024]]="","",(PMTTIRR[[#This Row],[2024]]-PMTTIRR[[#This Row],[2023]])/PMTTIRR[[#This Row],[2023]])</f>
        <v/>
      </c>
      <c r="E28" s="109" t="str">
        <f>IF(PMTTIRR[[#This Row],[2024]]="","",DONNÉES!AC243)</f>
        <v/>
      </c>
      <c r="F28" s="109" t="str">
        <f>IF(PMTTIRR[[#This Row],[2024]]="","",DONNÉES!AD243)</f>
        <v/>
      </c>
      <c r="G28" s="109" t="str">
        <f>IF(PMTTIRR[[#This Row],[2024]]="","",DONNÉES!AE243)</f>
        <v/>
      </c>
      <c r="I28" s="81" t="s">
        <v>80</v>
      </c>
      <c r="J28" s="109" t="str">
        <f>IF(DONNÉES!AI243="","",DONNÉES!AI243)</f>
        <v/>
      </c>
      <c r="K28" s="109" t="str">
        <f>IF(PMTVR7[[#This Row],[2024]]="","",DONNÉES!AJ243)</f>
        <v/>
      </c>
      <c r="L28" s="102" t="str">
        <f>IF(PMTVR7[[#This Row],[2024]]="","",(PMTVR7[[#This Row],[2024]]-PMTVR7[[#This Row],[2023]])/PMTVR7[[#This Row],[2023]])</f>
        <v/>
      </c>
      <c r="M28" s="109" t="str">
        <f>IF(PMTVR7[[#This Row],[2024]]="","",DONNÉES!AK243)</f>
        <v/>
      </c>
      <c r="N28" s="109" t="str">
        <f>IF(PMTVR7[[#This Row],[2024]]="","",DONNÉES!AL243)</f>
        <v/>
      </c>
      <c r="O28" s="109" t="str">
        <f>IF(PMTVR7[[#This Row],[2024]]="","",DONNÉES!AM243)</f>
        <v/>
      </c>
    </row>
    <row r="29" spans="1:15" ht="13.15" customHeight="1" x14ac:dyDescent="0.2">
      <c r="A29" s="79" t="s">
        <v>81</v>
      </c>
      <c r="B29" s="110" t="str">
        <f>IF(DONNÉES!AA244="","",DONNÉES!AA244)</f>
        <v/>
      </c>
      <c r="C29" s="110" t="str">
        <f>IF(PMTTIRR[[#This Row],[2024]]="","",DONNÉES!AB244)</f>
        <v/>
      </c>
      <c r="D29" s="97" t="str">
        <f>IF(PMTTIRR[[#This Row],[2024]]="","",(PMTTIRR[[#This Row],[2024]]-PMTTIRR[[#This Row],[2023]])/PMTTIRR[[#This Row],[2023]])</f>
        <v/>
      </c>
      <c r="E29" s="109" t="str">
        <f>IF(PMTTIRR[[#This Row],[2024]]="","",DONNÉES!AC244)</f>
        <v/>
      </c>
      <c r="F29" s="109" t="str">
        <f>IF(PMTTIRR[[#This Row],[2024]]="","",DONNÉES!AD244)</f>
        <v/>
      </c>
      <c r="G29" s="109" t="str">
        <f>IF(PMTTIRR[[#This Row],[2024]]="","",DONNÉES!AE244)</f>
        <v/>
      </c>
      <c r="H29" s="79"/>
      <c r="I29" s="79" t="s">
        <v>81</v>
      </c>
      <c r="J29" s="109" t="str">
        <f>IF(DONNÉES!AI244="","",DONNÉES!AI244)</f>
        <v/>
      </c>
      <c r="K29" s="110" t="str">
        <f>IF(PMTVR7[[#This Row],[2024]]="","",DONNÉES!AJ244)</f>
        <v/>
      </c>
      <c r="L29" s="103" t="str">
        <f>IF(PMTVR7[[#This Row],[2024]]="","",(PMTVR7[[#This Row],[2024]]-PMTVR7[[#This Row],[2023]])/PMTVR7[[#This Row],[2023]])</f>
        <v/>
      </c>
      <c r="M29" s="109" t="str">
        <f>IF(PMTVR7[[#This Row],[2024]]="","",DONNÉES!AK244)</f>
        <v/>
      </c>
      <c r="N29" s="109" t="str">
        <f>IF(PMTVR7[[#This Row],[2024]]="","",DONNÉES!AL244)</f>
        <v/>
      </c>
      <c r="O29" s="109" t="str">
        <f>IF(PMTVR7[[#This Row],[2024]]="","",DONNÉES!AM244)</f>
        <v/>
      </c>
    </row>
    <row r="30" spans="1:15" ht="13.15" customHeight="1" x14ac:dyDescent="0.2">
      <c r="A30" s="81" t="s">
        <v>82</v>
      </c>
      <c r="B30" s="110" t="str">
        <f>IF(DONNÉES!AA245="","",DONNÉES!AA245)</f>
        <v/>
      </c>
      <c r="C30" s="110" t="str">
        <f>IF(PMTTIRR[[#This Row],[2024]]="","",DONNÉES!AB245)</f>
        <v/>
      </c>
      <c r="D30" s="97" t="str">
        <f>IF(PMTTIRR[[#This Row],[2024]]="","",(PMTTIRR[[#This Row],[2024]]-PMTTIRR[[#This Row],[2023]])/PMTTIRR[[#This Row],[2023]])</f>
        <v/>
      </c>
      <c r="E30" s="109" t="str">
        <f>IF(PMTTIRR[[#This Row],[2024]]="","",DONNÉES!AC245)</f>
        <v/>
      </c>
      <c r="F30" s="109" t="str">
        <f>IF(PMTTIRR[[#This Row],[2024]]="","",DONNÉES!AD245)</f>
        <v/>
      </c>
      <c r="G30" s="109" t="str">
        <f>IF(PMTTIRR[[#This Row],[2024]]="","",DONNÉES!AE245)</f>
        <v/>
      </c>
      <c r="H30" s="79"/>
      <c r="I30" s="81" t="s">
        <v>82</v>
      </c>
      <c r="J30" s="109" t="str">
        <f>IF(DONNÉES!AI245="","",DONNÉES!AI245)</f>
        <v/>
      </c>
      <c r="K30" s="110" t="str">
        <f>IF(PMTVR7[[#This Row],[2024]]="","",DONNÉES!AJ245)</f>
        <v/>
      </c>
      <c r="L30" s="103" t="str">
        <f>IF(PMTVR7[[#This Row],[2024]]="","",(PMTVR7[[#This Row],[2024]]-PMTVR7[[#This Row],[2023]])/PMTVR7[[#This Row],[2023]])</f>
        <v/>
      </c>
      <c r="M30" s="109" t="str">
        <f>IF(PMTVR7[[#This Row],[2024]]="","",DONNÉES!AK245)</f>
        <v/>
      </c>
      <c r="N30" s="109" t="str">
        <f>IF(PMTVR7[[#This Row],[2024]]="","",DONNÉES!AL245)</f>
        <v/>
      </c>
      <c r="O30" s="109" t="str">
        <f>IF(PMTVR7[[#This Row],[2024]]="","",DONNÉES!AM245)</f>
        <v/>
      </c>
    </row>
    <row r="31" spans="1:15" ht="13.15" customHeight="1" x14ac:dyDescent="0.2">
      <c r="A31" s="79" t="s">
        <v>83</v>
      </c>
      <c r="B31" s="110" t="str">
        <f>IF(DONNÉES!AA246="","",DONNÉES!AA246)</f>
        <v/>
      </c>
      <c r="C31" s="110" t="str">
        <f>IF(PMTTIRR[[#This Row],[2024]]="","",DONNÉES!AB246)</f>
        <v/>
      </c>
      <c r="D31" s="97" t="str">
        <f>IF(PMTTIRR[[#This Row],[2024]]="","",(PMTTIRR[[#This Row],[2024]]-PMTTIRR[[#This Row],[2023]])/PMTTIRR[[#This Row],[2023]])</f>
        <v/>
      </c>
      <c r="E31" s="109" t="str">
        <f>IF(PMTTIRR[[#This Row],[2024]]="","",DONNÉES!AC246)</f>
        <v/>
      </c>
      <c r="F31" s="109" t="str">
        <f>IF(PMTTIRR[[#This Row],[2024]]="","",DONNÉES!AD246)</f>
        <v/>
      </c>
      <c r="G31" s="109" t="str">
        <f>IF(PMTTIRR[[#This Row],[2024]]="","",DONNÉES!AE246)</f>
        <v/>
      </c>
      <c r="H31" s="79"/>
      <c r="I31" s="79" t="s">
        <v>83</v>
      </c>
      <c r="J31" s="109" t="str">
        <f>IF(DONNÉES!AI246="","",DONNÉES!AI246)</f>
        <v/>
      </c>
      <c r="K31" s="110" t="str">
        <f>IF(PMTVR7[[#This Row],[2024]]="","",DONNÉES!AJ246)</f>
        <v/>
      </c>
      <c r="L31" s="103" t="str">
        <f>IF(PMTVR7[[#This Row],[2024]]="","",(PMTVR7[[#This Row],[2024]]-PMTVR7[[#This Row],[2023]])/PMTVR7[[#This Row],[2023]])</f>
        <v/>
      </c>
      <c r="M31" s="109" t="str">
        <f>IF(PMTVR7[[#This Row],[2024]]="","",DONNÉES!AK246)</f>
        <v/>
      </c>
      <c r="N31" s="109" t="str">
        <f>IF(PMTVR7[[#This Row],[2024]]="","",DONNÉES!AL246)</f>
        <v/>
      </c>
      <c r="O31" s="109" t="str">
        <f>IF(PMTVR7[[#This Row],[2024]]="","",DONNÉES!AM246)</f>
        <v/>
      </c>
    </row>
    <row r="32" spans="1:15" ht="13.15" customHeight="1" x14ac:dyDescent="0.2">
      <c r="A32" s="79" t="s">
        <v>84</v>
      </c>
      <c r="B32" s="110" t="str">
        <f>IF(DONNÉES!AA247="","",DONNÉES!AA247)</f>
        <v/>
      </c>
      <c r="C32" s="110" t="str">
        <f>IF(PMTTIRR[[#This Row],[2024]]="","",DONNÉES!AB247)</f>
        <v/>
      </c>
      <c r="D32" s="97" t="str">
        <f>IF(PMTTIRR[[#This Row],[2024]]="","",(PMTTIRR[[#This Row],[2024]]-PMTTIRR[[#This Row],[2023]])/PMTTIRR[[#This Row],[2023]])</f>
        <v/>
      </c>
      <c r="E32" s="109" t="str">
        <f>IF(PMTTIRR[[#This Row],[2024]]="","",DONNÉES!AC247)</f>
        <v/>
      </c>
      <c r="F32" s="109" t="str">
        <f>IF(PMTTIRR[[#This Row],[2024]]="","",DONNÉES!AD247)</f>
        <v/>
      </c>
      <c r="G32" s="109" t="str">
        <f>IF(PMTTIRR[[#This Row],[2024]]="","",DONNÉES!AE247)</f>
        <v/>
      </c>
      <c r="H32" s="79"/>
      <c r="I32" s="79" t="s">
        <v>84</v>
      </c>
      <c r="J32" s="109" t="str">
        <f>IF(DONNÉES!AI247="","",DONNÉES!AI247)</f>
        <v/>
      </c>
      <c r="K32" s="110" t="str">
        <f>IF(PMTVR7[[#This Row],[2024]]="","",DONNÉES!AJ247)</f>
        <v/>
      </c>
      <c r="L32" s="103" t="str">
        <f>IF(PMTVR7[[#This Row],[2024]]="","",(PMTVR7[[#This Row],[2024]]-PMTVR7[[#This Row],[2023]])/PMTVR7[[#This Row],[2023]])</f>
        <v/>
      </c>
      <c r="M32" s="109" t="str">
        <f>IF(PMTVR7[[#This Row],[2024]]="","",DONNÉES!AK247)</f>
        <v/>
      </c>
      <c r="N32" s="109" t="str">
        <f>IF(PMTVR7[[#This Row],[2024]]="","",DONNÉES!AL247)</f>
        <v/>
      </c>
      <c r="O32" s="109" t="str">
        <f>IF(PMTVR7[[#This Row],[2024]]="","",DONNÉES!AM247)</f>
        <v/>
      </c>
    </row>
    <row r="33" spans="1:15" ht="16.899999999999999" customHeight="1" x14ac:dyDescent="0.2">
      <c r="A33" s="46" t="s">
        <v>135</v>
      </c>
      <c r="B33" s="90">
        <f>SUBTOTAL(101,PMTTIRR[2024])</f>
        <v>15.91</v>
      </c>
      <c r="C33" s="90">
        <f>SUBTOTAL(101,PMTTIRR[2023])</f>
        <v>16.260000000000002</v>
      </c>
      <c r="D33" s="105">
        <f>(PMTTIRR[[#Totals],[2024]]-PMTTIRR[[#Totals],[2023]])/PMTTIRR[[#Totals],[2023]]</f>
        <v>-2.1525215252152608E-2</v>
      </c>
      <c r="E33" s="119">
        <f>SUBTOTAL(101,PMTTIRR[2022])</f>
        <v>15.37</v>
      </c>
      <c r="F33" s="90">
        <f>SUBTOTAL(101,PMTTIRR[2021])</f>
        <v>15.22</v>
      </c>
      <c r="G33" s="90">
        <f>SUBTOTAL(101,PMTTIRR[2020])</f>
        <v>17.04</v>
      </c>
      <c r="H33" s="79"/>
      <c r="I33" s="46" t="s">
        <v>135</v>
      </c>
      <c r="J33" s="90" t="e">
        <f>SUBTOTAL(101,PMTVR7[2024])</f>
        <v>#DIV/0!</v>
      </c>
      <c r="K33" s="90" t="e">
        <f>SUBTOTAL(101,PMTVR7[2023])</f>
        <v>#DIV/0!</v>
      </c>
      <c r="L33" s="105" t="e">
        <f>(PMTVR7[[#Totals],[2024]]-PMTVR7[[#Totals],[2023]])/PMTVR7[[#Totals],[2023]]</f>
        <v>#DIV/0!</v>
      </c>
      <c r="M33" s="119" t="e">
        <f>SUBTOTAL(101,PMTVR7[2022])</f>
        <v>#DIV/0!</v>
      </c>
      <c r="N33" s="90" t="e">
        <f>SUBTOTAL(101,PMTVR7[2021])</f>
        <v>#DIV/0!</v>
      </c>
      <c r="O33" s="90" t="e">
        <f>SUBTOTAL(101,PMTVR7[2020])</f>
        <v>#DIV/0!</v>
      </c>
    </row>
    <row r="34" spans="1:15" ht="16.899999999999999" customHeight="1" x14ac:dyDescent="0.2">
      <c r="A34" s="46"/>
      <c r="B34" s="90"/>
      <c r="C34" s="90"/>
      <c r="D34" s="105"/>
      <c r="E34" s="119"/>
      <c r="F34" s="90"/>
      <c r="G34" s="90"/>
      <c r="H34" s="79"/>
      <c r="I34" s="46"/>
      <c r="J34" s="90"/>
      <c r="K34" s="90"/>
      <c r="L34" s="105"/>
      <c r="M34" s="119"/>
      <c r="N34" s="90"/>
      <c r="O34" s="90"/>
    </row>
    <row r="35" spans="1:15" ht="33" customHeight="1" x14ac:dyDescent="0.2">
      <c r="A35" s="79" t="s">
        <v>2156</v>
      </c>
      <c r="B35" s="108" t="s">
        <v>6962</v>
      </c>
      <c r="C35" s="108" t="s">
        <v>2169</v>
      </c>
      <c r="D35" s="100" t="s">
        <v>136</v>
      </c>
      <c r="E35" s="108" t="s">
        <v>1553</v>
      </c>
      <c r="F35" s="108" t="s">
        <v>1522</v>
      </c>
      <c r="G35" s="124" t="s">
        <v>1304</v>
      </c>
      <c r="H35" s="79"/>
      <c r="I35" s="79" t="s">
        <v>3000</v>
      </c>
      <c r="J35" s="108" t="s">
        <v>6962</v>
      </c>
      <c r="K35" s="108" t="s">
        <v>2169</v>
      </c>
      <c r="L35" s="100" t="s">
        <v>136</v>
      </c>
      <c r="M35" s="108" t="s">
        <v>1553</v>
      </c>
      <c r="N35" s="108" t="s">
        <v>1522</v>
      </c>
      <c r="O35" s="124" t="s">
        <v>1304</v>
      </c>
    </row>
    <row r="36" spans="1:15" s="81" customFormat="1" ht="13.15" customHeight="1" x14ac:dyDescent="0.2">
      <c r="A36" s="81" t="s">
        <v>73</v>
      </c>
      <c r="B36" s="109">
        <f>IF(DONNÉES!AQ236="","",DONNÉES!AQ236)</f>
        <v>17.190000000000001</v>
      </c>
      <c r="C36" s="109">
        <f>IF(PMTTURVILLA[[#This Row],[2024]]="","",DONNÉES!AR236)</f>
        <v>16.809999999999999</v>
      </c>
      <c r="D36" s="96">
        <f>IF(PMTTURVILLA[[#This Row],[2024]]="","",(PMTTURVILLA[[#This Row],[2024]]-PMTTURVILLA[[#This Row],[2023]])/PMTTURVILLA[[#This Row],[2023]])</f>
        <v>2.2605591909577786E-2</v>
      </c>
      <c r="E36" s="109">
        <f>IF(PMTTURVILLA[[#This Row],[2024]]="","",DONNÉES!AS236)</f>
        <v>16.37</v>
      </c>
      <c r="F36" s="109">
        <f>IF(PMTTURVILLA[[#This Row],[2024]]="","",DONNÉES!AT236)</f>
        <v>15.76</v>
      </c>
      <c r="G36" s="109">
        <f>IF(PMTTURVILLA[[#This Row],[2024]]="","",DONNÉES!AU236)</f>
        <v>16.36</v>
      </c>
      <c r="I36" s="81" t="s">
        <v>73</v>
      </c>
      <c r="J36" s="109" t="str">
        <f>IF(DONNÉES!AY236="","",DONNÉES!AY236)</f>
        <v/>
      </c>
      <c r="K36" s="109" t="str">
        <f>IF(PMTHART[[#This Row],[2024]]="","",DONNÉES!AZ236)</f>
        <v/>
      </c>
      <c r="L36" s="96" t="str">
        <f>IF(PMTHART[[#This Row],[2024]]="","",(PMTHART[[#This Row],[2024]]-PMTHART[[#This Row],[2023]])/PMTHART[[#This Row],[2023]])</f>
        <v/>
      </c>
      <c r="M36" s="109" t="str">
        <f>IF(PMTHART[[#This Row],[2024]]="","",DONNÉES!BA236)</f>
        <v/>
      </c>
      <c r="N36" s="109" t="str">
        <f>IF(PMTHART[[#This Row],[2024]]="","",DONNÉES!BB236)</f>
        <v/>
      </c>
      <c r="O36" s="109" t="str">
        <f>IF(PMTHART[[#This Row],[2024]]="","",DONNÉES!BC236)</f>
        <v/>
      </c>
    </row>
    <row r="37" spans="1:15" s="81" customFormat="1" ht="13.15" customHeight="1" x14ac:dyDescent="0.2">
      <c r="A37" s="81" t="s">
        <v>74</v>
      </c>
      <c r="B37" s="109" t="str">
        <f>IF(DONNÉES!AQ237="","",DONNÉES!AQ237)</f>
        <v/>
      </c>
      <c r="C37" s="109" t="str">
        <f>IF(PMTTURVILLA[[#This Row],[2024]]="","",DONNÉES!AR237)</f>
        <v/>
      </c>
      <c r="D37" s="96" t="str">
        <f>IF(PMTTURVILLA[[#This Row],[2024]]="","",(PMTTURVILLA[[#This Row],[2024]]-PMTTURVILLA[[#This Row],[2023]])/PMTTURVILLA[[#This Row],[2023]])</f>
        <v/>
      </c>
      <c r="E37" s="109" t="str">
        <f>IF(PMTTURVILLA[[#This Row],[2024]]="","",DONNÉES!AS237)</f>
        <v/>
      </c>
      <c r="F37" s="110" t="str">
        <f>IF(PMTTURVILLA[[#This Row],[2024]]="","",DONNÉES!AT237)</f>
        <v/>
      </c>
      <c r="G37" s="116" t="str">
        <f>IF(PMTTURVILLA[[#This Row],[2024]]="","",DONNÉES!AU237)</f>
        <v/>
      </c>
      <c r="I37" s="81" t="s">
        <v>74</v>
      </c>
      <c r="J37" s="109" t="str">
        <f>IF(DONNÉES!AY237="","",DONNÉES!AY237)</f>
        <v/>
      </c>
      <c r="K37" s="109" t="str">
        <f>IF(PMTHART[[#This Row],[2024]]="","",DONNÉES!AZ237)</f>
        <v/>
      </c>
      <c r="L37" s="96" t="str">
        <f>IF(PMTHART[[#This Row],[2024]]="","",(PMTHART[[#This Row],[2024]]-PMTHART[[#This Row],[2023]])/PMTHART[[#This Row],[2023]])</f>
        <v/>
      </c>
      <c r="M37" s="109" t="str">
        <f>IF(PMTHART[[#This Row],[2024]]="","",DONNÉES!BA237)</f>
        <v/>
      </c>
      <c r="N37" s="110" t="str">
        <f>IF(PMTHART[[#This Row],[2024]]="","",DONNÉES!BB237)</f>
        <v/>
      </c>
      <c r="O37" s="116" t="str">
        <f>IF(PMTHART[[#This Row],[2024]]="","",DONNÉES!BC237)</f>
        <v/>
      </c>
    </row>
    <row r="38" spans="1:15" s="81" customFormat="1" ht="13.15" customHeight="1" x14ac:dyDescent="0.2">
      <c r="A38" s="79" t="s">
        <v>75</v>
      </c>
      <c r="B38" s="109" t="str">
        <f>IF(DONNÉES!AQ238="","",DONNÉES!AQ238)</f>
        <v/>
      </c>
      <c r="C38" s="109" t="str">
        <f>IF(PMTTURVILLA[[#This Row],[2024]]="","",DONNÉES!AR238)</f>
        <v/>
      </c>
      <c r="D38" s="96" t="str">
        <f>IF(PMTTURVILLA[[#This Row],[2024]]="","",(PMTTURVILLA[[#This Row],[2024]]-PMTTURVILLA[[#This Row],[2023]])/PMTTURVILLA[[#This Row],[2023]])</f>
        <v/>
      </c>
      <c r="E38" s="109" t="str">
        <f>IF(PMTTURVILLA[[#This Row],[2024]]="","",DONNÉES!AS238)</f>
        <v/>
      </c>
      <c r="F38" s="110" t="str">
        <f>IF(PMTTURVILLA[[#This Row],[2024]]="","",DONNÉES!AT238)</f>
        <v/>
      </c>
      <c r="G38" s="116" t="str">
        <f>IF(PMTTURVILLA[[#This Row],[2024]]="","",DONNÉES!AU238)</f>
        <v/>
      </c>
      <c r="I38" s="79" t="s">
        <v>75</v>
      </c>
      <c r="J38" s="109" t="str">
        <f>IF(DONNÉES!AY238="","",DONNÉES!AY238)</f>
        <v/>
      </c>
      <c r="K38" s="109" t="str">
        <f>IF(PMTHART[[#This Row],[2024]]="","",DONNÉES!AZ238)</f>
        <v/>
      </c>
      <c r="L38" s="96" t="str">
        <f>IF(PMTHART[[#This Row],[2024]]="","",(PMTHART[[#This Row],[2024]]-PMTHART[[#This Row],[2023]])/PMTHART[[#This Row],[2023]])</f>
        <v/>
      </c>
      <c r="M38" s="109" t="str">
        <f>IF(PMTHART[[#This Row],[2024]]="","",DONNÉES!BA238)</f>
        <v/>
      </c>
      <c r="N38" s="110" t="str">
        <f>IF(PMTHART[[#This Row],[2024]]="","",DONNÉES!BB238)</f>
        <v/>
      </c>
      <c r="O38" s="116" t="str">
        <f>IF(PMTHART[[#This Row],[2024]]="","",DONNÉES!BC238)</f>
        <v/>
      </c>
    </row>
    <row r="39" spans="1:15" ht="13.15" customHeight="1" x14ac:dyDescent="0.2">
      <c r="A39" s="81" t="s">
        <v>76</v>
      </c>
      <c r="B39" s="109" t="str">
        <f>IF(DONNÉES!AQ239="","",DONNÉES!AQ239)</f>
        <v/>
      </c>
      <c r="C39" s="109" t="str">
        <f>IF(PMTTURVILLA[[#This Row],[2024]]="","",DONNÉES!AR239)</f>
        <v/>
      </c>
      <c r="D39" s="96" t="str">
        <f>IF(PMTTURVILLA[[#This Row],[2024]]="","",(PMTTURVILLA[[#This Row],[2024]]-PMTTURVILLA[[#This Row],[2023]])/PMTTURVILLA[[#This Row],[2023]])</f>
        <v/>
      </c>
      <c r="E39" s="109" t="str">
        <f>IF(PMTTURVILLA[[#This Row],[2024]]="","",DONNÉES!AS239)</f>
        <v/>
      </c>
      <c r="F39" s="110" t="str">
        <f>IF(PMTTURVILLA[[#This Row],[2024]]="","",DONNÉES!AT239)</f>
        <v/>
      </c>
      <c r="G39" s="116" t="str">
        <f>IF(PMTTURVILLA[[#This Row],[2024]]="","",DONNÉES!AU239)</f>
        <v/>
      </c>
      <c r="H39" s="79"/>
      <c r="I39" s="81" t="s">
        <v>76</v>
      </c>
      <c r="J39" s="109" t="str">
        <f>IF(DONNÉES!AY239="","",DONNÉES!AY239)</f>
        <v/>
      </c>
      <c r="K39" s="109" t="str">
        <f>IF(PMTHART[[#This Row],[2024]]="","",DONNÉES!AZ239)</f>
        <v/>
      </c>
      <c r="L39" s="96" t="str">
        <f>IF(PMTHART[[#This Row],[2024]]="","",(PMTHART[[#This Row],[2024]]-PMTHART[[#This Row],[2023]])/PMTHART[[#This Row],[2023]])</f>
        <v/>
      </c>
      <c r="M39" s="109" t="str">
        <f>IF(PMTHART[[#This Row],[2024]]="","",DONNÉES!BA239)</f>
        <v/>
      </c>
      <c r="N39" s="110" t="str">
        <f>IF(PMTHART[[#This Row],[2024]]="","",DONNÉES!BB239)</f>
        <v/>
      </c>
      <c r="O39" s="116" t="str">
        <f>IF(PMTHART[[#This Row],[2024]]="","",DONNÉES!BC239)</f>
        <v/>
      </c>
    </row>
    <row r="40" spans="1:15" ht="13.15" customHeight="1" x14ac:dyDescent="0.2">
      <c r="A40" s="79" t="s">
        <v>77</v>
      </c>
      <c r="B40" s="109" t="str">
        <f>IF(DONNÉES!AQ240="","",DONNÉES!AQ240)</f>
        <v/>
      </c>
      <c r="C40" s="109" t="str">
        <f>IF(PMTTURVILLA[[#This Row],[2024]]="","",DONNÉES!AR240)</f>
        <v/>
      </c>
      <c r="D40" s="96" t="str">
        <f>IF(PMTTURVILLA[[#This Row],[2024]]="","",(PMTTURVILLA[[#This Row],[2024]]-PMTTURVILLA[[#This Row],[2023]])/PMTTURVILLA[[#This Row],[2023]])</f>
        <v/>
      </c>
      <c r="E40" s="109" t="str">
        <f>IF(PMTTURVILLA[[#This Row],[2024]]="","",DONNÉES!AS240)</f>
        <v/>
      </c>
      <c r="F40" s="110" t="str">
        <f>IF(PMTTURVILLA[[#This Row],[2024]]="","",DONNÉES!AT240)</f>
        <v/>
      </c>
      <c r="G40" s="116" t="str">
        <f>IF(PMTTURVILLA[[#This Row],[2024]]="","",DONNÉES!AU240)</f>
        <v/>
      </c>
      <c r="H40" s="79"/>
      <c r="I40" s="79" t="s">
        <v>77</v>
      </c>
      <c r="J40" s="109" t="str">
        <f>IF(DONNÉES!AY240="","",DONNÉES!AY240)</f>
        <v/>
      </c>
      <c r="K40" s="109" t="str">
        <f>IF(PMTHART[[#This Row],[2024]]="","",DONNÉES!AZ240)</f>
        <v/>
      </c>
      <c r="L40" s="96" t="str">
        <f>IF(PMTHART[[#This Row],[2024]]="","",(PMTHART[[#This Row],[2024]]-PMTHART[[#This Row],[2023]])/PMTHART[[#This Row],[2023]])</f>
        <v/>
      </c>
      <c r="M40" s="109" t="str">
        <f>IF(PMTHART[[#This Row],[2024]]="","",DONNÉES!BA240)</f>
        <v/>
      </c>
      <c r="N40" s="110" t="str">
        <f>IF(PMTHART[[#This Row],[2024]]="","",DONNÉES!BB240)</f>
        <v/>
      </c>
      <c r="O40" s="116" t="str">
        <f>IF(PMTHART[[#This Row],[2024]]="","",DONNÉES!BC240)</f>
        <v/>
      </c>
    </row>
    <row r="41" spans="1:15" ht="13.15" customHeight="1" x14ac:dyDescent="0.2">
      <c r="A41" s="81" t="s">
        <v>78</v>
      </c>
      <c r="B41" s="109" t="str">
        <f>IF(DONNÉES!AQ241="","",DONNÉES!AQ241)</f>
        <v/>
      </c>
      <c r="C41" s="109" t="str">
        <f>IF(PMTTURVILLA[[#This Row],[2024]]="","",DONNÉES!AR241)</f>
        <v/>
      </c>
      <c r="D41" s="96" t="str">
        <f>IF(PMTTURVILLA[[#This Row],[2024]]="","",(PMTTURVILLA[[#This Row],[2024]]-PMTTURVILLA[[#This Row],[2023]])/PMTTURVILLA[[#This Row],[2023]])</f>
        <v/>
      </c>
      <c r="E41" s="109" t="str">
        <f>IF(PMTTURVILLA[[#This Row],[2024]]="","",DONNÉES!AS241)</f>
        <v/>
      </c>
      <c r="F41" s="110" t="str">
        <f>IF(PMTTURVILLA[[#This Row],[2024]]="","",DONNÉES!AT241)</f>
        <v/>
      </c>
      <c r="G41" s="116" t="str">
        <f>IF(PMTTURVILLA[[#This Row],[2024]]="","",DONNÉES!AU241)</f>
        <v/>
      </c>
      <c r="H41" s="79"/>
      <c r="I41" s="81" t="s">
        <v>78</v>
      </c>
      <c r="J41" s="109" t="str">
        <f>IF(DONNÉES!AY241="","",DONNÉES!AY241)</f>
        <v/>
      </c>
      <c r="K41" s="109" t="str">
        <f>IF(PMTHART[[#This Row],[2024]]="","",DONNÉES!AZ241)</f>
        <v/>
      </c>
      <c r="L41" s="96" t="str">
        <f>IF(PMTHART[[#This Row],[2024]]="","",(PMTHART[[#This Row],[2024]]-PMTHART[[#This Row],[2023]])/PMTHART[[#This Row],[2023]])</f>
        <v/>
      </c>
      <c r="M41" s="109" t="str">
        <f>IF(PMTHART[[#This Row],[2024]]="","",DONNÉES!BA241)</f>
        <v/>
      </c>
      <c r="N41" s="110" t="str">
        <f>IF(PMTHART[[#This Row],[2024]]="","",DONNÉES!BB241)</f>
        <v/>
      </c>
      <c r="O41" s="116" t="str">
        <f>IF(PMTHART[[#This Row],[2024]]="","",DONNÉES!BC241)</f>
        <v/>
      </c>
    </row>
    <row r="42" spans="1:15" ht="13.15" customHeight="1" x14ac:dyDescent="0.2">
      <c r="A42" s="79" t="s">
        <v>79</v>
      </c>
      <c r="B42" s="109" t="str">
        <f>IF(DONNÉES!AQ242="","",DONNÉES!AQ242)</f>
        <v/>
      </c>
      <c r="C42" s="109" t="str">
        <f>IF(PMTTURVILLA[[#This Row],[2024]]="","",DONNÉES!AR242)</f>
        <v/>
      </c>
      <c r="D42" s="96" t="str">
        <f>IF(PMTTURVILLA[[#This Row],[2024]]="","",(PMTTURVILLA[[#This Row],[2024]]-PMTTURVILLA[[#This Row],[2023]])/PMTTURVILLA[[#This Row],[2023]])</f>
        <v/>
      </c>
      <c r="E42" s="109" t="str">
        <f>IF(PMTTURVILLA[[#This Row],[2024]]="","",DONNÉES!AS242)</f>
        <v/>
      </c>
      <c r="F42" s="110" t="str">
        <f>IF(PMTTURVILLA[[#This Row],[2024]]="","",DONNÉES!AT242)</f>
        <v/>
      </c>
      <c r="G42" s="116" t="str">
        <f>IF(PMTTURVILLA[[#This Row],[2024]]="","",DONNÉES!AU242)</f>
        <v/>
      </c>
      <c r="H42" s="79"/>
      <c r="I42" s="79" t="s">
        <v>79</v>
      </c>
      <c r="J42" s="109" t="str">
        <f>IF(DONNÉES!AY242="","",DONNÉES!AY242)</f>
        <v/>
      </c>
      <c r="K42" s="109" t="str">
        <f>IF(PMTHART[[#This Row],[2024]]="","",DONNÉES!AZ242)</f>
        <v/>
      </c>
      <c r="L42" s="96" t="str">
        <f>IF(PMTHART[[#This Row],[2024]]="","",(PMTHART[[#This Row],[2024]]-PMTHART[[#This Row],[2023]])/PMTHART[[#This Row],[2023]])</f>
        <v/>
      </c>
      <c r="M42" s="109" t="str">
        <f>IF(PMTHART[[#This Row],[2024]]="","",DONNÉES!BA242)</f>
        <v/>
      </c>
      <c r="N42" s="110" t="str">
        <f>IF(PMTHART[[#This Row],[2024]]="","",DONNÉES!BB242)</f>
        <v/>
      </c>
      <c r="O42" s="116" t="str">
        <f>IF(PMTHART[[#This Row],[2024]]="","",DONNÉES!BC242)</f>
        <v/>
      </c>
    </row>
    <row r="43" spans="1:15" ht="13.15" customHeight="1" x14ac:dyDescent="0.2">
      <c r="A43" s="81" t="s">
        <v>80</v>
      </c>
      <c r="B43" s="109" t="str">
        <f>IF(DONNÉES!AQ243="","",DONNÉES!AQ243)</f>
        <v/>
      </c>
      <c r="C43" s="109" t="str">
        <f>IF(PMTTURVILLA[[#This Row],[2024]]="","",DONNÉES!AR243)</f>
        <v/>
      </c>
      <c r="D43" s="96" t="str">
        <f>IF(PMTTURVILLA[[#This Row],[2024]]="","",(PMTTURVILLA[[#This Row],[2024]]-PMTTURVILLA[[#This Row],[2023]])/PMTTURVILLA[[#This Row],[2023]])</f>
        <v/>
      </c>
      <c r="E43" s="109" t="str">
        <f>IF(PMTTURVILLA[[#This Row],[2024]]="","",DONNÉES!AS243)</f>
        <v/>
      </c>
      <c r="F43" s="110" t="str">
        <f>IF(PMTTURVILLA[[#This Row],[2024]]="","",DONNÉES!AT243)</f>
        <v/>
      </c>
      <c r="G43" s="116" t="str">
        <f>IF(PMTTURVILLA[[#This Row],[2024]]="","",DONNÉES!AU243)</f>
        <v/>
      </c>
      <c r="H43" s="79"/>
      <c r="I43" s="81" t="s">
        <v>80</v>
      </c>
      <c r="J43" s="109" t="str">
        <f>IF(DONNÉES!AY243="","",DONNÉES!AY243)</f>
        <v/>
      </c>
      <c r="K43" s="109" t="str">
        <f>IF(PMTHART[[#This Row],[2024]]="","",DONNÉES!AZ243)</f>
        <v/>
      </c>
      <c r="L43" s="96" t="str">
        <f>IF(PMTHART[[#This Row],[2024]]="","",(PMTHART[[#This Row],[2024]]-PMTHART[[#This Row],[2023]])/PMTHART[[#This Row],[2023]])</f>
        <v/>
      </c>
      <c r="M43" s="109" t="str">
        <f>IF(PMTHART[[#This Row],[2024]]="","",DONNÉES!BA243)</f>
        <v/>
      </c>
      <c r="N43" s="110" t="str">
        <f>IF(PMTHART[[#This Row],[2024]]="","",DONNÉES!BB243)</f>
        <v/>
      </c>
      <c r="O43" s="116" t="str">
        <f>IF(PMTHART[[#This Row],[2024]]="","",DONNÉES!BC243)</f>
        <v/>
      </c>
    </row>
    <row r="44" spans="1:15" ht="13.15" customHeight="1" x14ac:dyDescent="0.2">
      <c r="A44" s="79" t="s">
        <v>81</v>
      </c>
      <c r="B44" s="110" t="str">
        <f>IF(DONNÉES!AQ244="","",DONNÉES!AQ244)</f>
        <v/>
      </c>
      <c r="C44" s="110" t="str">
        <f>IF(PMTTURVILLA[[#This Row],[2024]]="","",DONNÉES!AR244)</f>
        <v/>
      </c>
      <c r="D44" s="97" t="str">
        <f>IF(PMTTURVILLA[[#This Row],[2024]]="","",(PMTTURVILLA[[#This Row],[2024]]-PMTTURVILLA[[#This Row],[2023]])/PMTTURVILLA[[#This Row],[2023]])</f>
        <v/>
      </c>
      <c r="E44" s="109" t="str">
        <f>IF(PMTTURVILLA[[#This Row],[2024]]="","",DONNÉES!AS244)</f>
        <v/>
      </c>
      <c r="F44" s="110" t="str">
        <f>IF(PMTTURVILLA[[#This Row],[2024]]="","",DONNÉES!AT244)</f>
        <v/>
      </c>
      <c r="G44" s="116" t="str">
        <f>IF(PMTTURVILLA[[#This Row],[2024]]="","",DONNÉES!AU244)</f>
        <v/>
      </c>
      <c r="I44" s="79" t="s">
        <v>81</v>
      </c>
      <c r="J44" s="110" t="str">
        <f>IF(DONNÉES!AY244="","",DONNÉES!AY244)</f>
        <v/>
      </c>
      <c r="K44" s="110" t="str">
        <f>IF(PMTHART[[#This Row],[2024]]="","",DONNÉES!AZ244)</f>
        <v/>
      </c>
      <c r="L44" s="97" t="str">
        <f>IF(PMTHART[[#This Row],[2024]]="","",(PMTHART[[#This Row],[2024]]-PMTHART[[#This Row],[2023]])/PMTHART[[#This Row],[2023]])</f>
        <v/>
      </c>
      <c r="M44" s="109" t="str">
        <f>IF(PMTHART[[#This Row],[2024]]="","",DONNÉES!BA244)</f>
        <v/>
      </c>
      <c r="N44" s="110" t="str">
        <f>IF(PMTHART[[#This Row],[2024]]="","",DONNÉES!BB244)</f>
        <v/>
      </c>
      <c r="O44" s="116" t="str">
        <f>IF(PMTHART[[#This Row],[2024]]="","",DONNÉES!BC244)</f>
        <v/>
      </c>
    </row>
    <row r="45" spans="1:15" ht="13.15" customHeight="1" x14ac:dyDescent="0.2">
      <c r="A45" s="81" t="s">
        <v>82</v>
      </c>
      <c r="B45" s="110" t="str">
        <f>IF(DONNÉES!AQ245="","",DONNÉES!AQ245)</f>
        <v/>
      </c>
      <c r="C45" s="110" t="str">
        <f>IF(PMTTURVILLA[[#This Row],[2024]]="","",DONNÉES!AR245)</f>
        <v/>
      </c>
      <c r="D45" s="97" t="str">
        <f>IF(PMTTURVILLA[[#This Row],[2024]]="","",(PMTTURVILLA[[#This Row],[2024]]-PMTTURVILLA[[#This Row],[2023]])/PMTTURVILLA[[#This Row],[2023]])</f>
        <v/>
      </c>
      <c r="E45" s="109" t="str">
        <f>IF(PMTTURVILLA[[#This Row],[2024]]="","",DONNÉES!AS245)</f>
        <v/>
      </c>
      <c r="F45" s="110" t="str">
        <f>IF(PMTTURVILLA[[#This Row],[2024]]="","",DONNÉES!AT245)</f>
        <v/>
      </c>
      <c r="G45" s="116" t="str">
        <f>IF(PMTTURVILLA[[#This Row],[2024]]="","",DONNÉES!AU245)</f>
        <v/>
      </c>
      <c r="H45" s="79"/>
      <c r="I45" s="81" t="s">
        <v>82</v>
      </c>
      <c r="J45" s="110" t="str">
        <f>IF(DONNÉES!AY245="","",DONNÉES!AY245)</f>
        <v/>
      </c>
      <c r="K45" s="110" t="str">
        <f>IF(PMTHART[[#This Row],[2024]]="","",DONNÉES!AZ245)</f>
        <v/>
      </c>
      <c r="L45" s="97" t="str">
        <f>IF(PMTHART[[#This Row],[2024]]="","",(PMTHART[[#This Row],[2024]]-PMTHART[[#This Row],[2023]])/PMTHART[[#This Row],[2023]])</f>
        <v/>
      </c>
      <c r="M45" s="109" t="str">
        <f>IF(PMTHART[[#This Row],[2024]]="","",DONNÉES!BA245)</f>
        <v/>
      </c>
      <c r="N45" s="110" t="str">
        <f>IF(PMTHART[[#This Row],[2024]]="","",DONNÉES!BB245)</f>
        <v/>
      </c>
      <c r="O45" s="116" t="str">
        <f>IF(PMTHART[[#This Row],[2024]]="","",DONNÉES!BC245)</f>
        <v/>
      </c>
    </row>
    <row r="46" spans="1:15" s="81" customFormat="1" ht="13.15" customHeight="1" x14ac:dyDescent="0.2">
      <c r="A46" s="79" t="s">
        <v>83</v>
      </c>
      <c r="B46" s="110" t="str">
        <f>IF(DONNÉES!AQ246="","",DONNÉES!AQ246)</f>
        <v/>
      </c>
      <c r="C46" s="110" t="str">
        <f>IF(PMTTURVILLA[[#This Row],[2024]]="","",DONNÉES!AR246)</f>
        <v/>
      </c>
      <c r="D46" s="97" t="str">
        <f>IF(PMTTURVILLA[[#This Row],[2024]]="","",(PMTTURVILLA[[#This Row],[2024]]-PMTTURVILLA[[#This Row],[2023]])/PMTTURVILLA[[#This Row],[2023]])</f>
        <v/>
      </c>
      <c r="E46" s="109" t="str">
        <f>IF(PMTTURVILLA[[#This Row],[2024]]="","",DONNÉES!AS246)</f>
        <v/>
      </c>
      <c r="F46" s="110" t="str">
        <f>IF(PMTTURVILLA[[#This Row],[2024]]="","",DONNÉES!AT246)</f>
        <v/>
      </c>
      <c r="G46" s="116" t="str">
        <f>IF(PMTTURVILLA[[#This Row],[2024]]="","",DONNÉES!AU246)</f>
        <v/>
      </c>
      <c r="I46" s="79" t="s">
        <v>83</v>
      </c>
      <c r="J46" s="110" t="str">
        <f>IF(DONNÉES!AY246="","",DONNÉES!AY246)</f>
        <v/>
      </c>
      <c r="K46" s="110" t="str">
        <f>IF(PMTHART[[#This Row],[2024]]="","",DONNÉES!AZ246)</f>
        <v/>
      </c>
      <c r="L46" s="97" t="str">
        <f>IF(PMTHART[[#This Row],[2024]]="","",(PMTHART[[#This Row],[2024]]-PMTHART[[#This Row],[2023]])/PMTHART[[#This Row],[2023]])</f>
        <v/>
      </c>
      <c r="M46" s="109" t="str">
        <f>IF(PMTHART[[#This Row],[2024]]="","",DONNÉES!BA246)</f>
        <v/>
      </c>
      <c r="N46" s="110" t="str">
        <f>IF(PMTHART[[#This Row],[2024]]="","",DONNÉES!BB246)</f>
        <v/>
      </c>
      <c r="O46" s="116" t="str">
        <f>IF(PMTHART[[#This Row],[2024]]="","",DONNÉES!BC246)</f>
        <v/>
      </c>
    </row>
    <row r="47" spans="1:15" s="81" customFormat="1" ht="13.15" customHeight="1" x14ac:dyDescent="0.2">
      <c r="A47" s="79" t="s">
        <v>84</v>
      </c>
      <c r="B47" s="110" t="str">
        <f>IF(DONNÉES!AQ247="","",DONNÉES!AQ247)</f>
        <v/>
      </c>
      <c r="C47" s="110" t="str">
        <f>IF(PMTTURVILLA[[#This Row],[2024]]="","",DONNÉES!AR247)</f>
        <v/>
      </c>
      <c r="D47" s="97" t="str">
        <f>IF(PMTTURVILLA[[#This Row],[2024]]="","",(PMTTURVILLA[[#This Row],[2024]]-PMTTURVILLA[[#This Row],[2023]])/PMTTURVILLA[[#This Row],[2023]])</f>
        <v/>
      </c>
      <c r="E47" s="109" t="str">
        <f>IF(PMTTURVILLA[[#This Row],[2024]]="","",DONNÉES!AS247)</f>
        <v/>
      </c>
      <c r="F47" s="110" t="str">
        <f>IF(PMTTURVILLA[[#This Row],[2024]]="","",DONNÉES!AT247)</f>
        <v/>
      </c>
      <c r="G47" s="116" t="str">
        <f>IF(PMTTURVILLA[[#This Row],[2024]]="","",DONNÉES!AU247)</f>
        <v/>
      </c>
      <c r="I47" s="79" t="s">
        <v>84</v>
      </c>
      <c r="J47" s="110" t="str">
        <f>IF(DONNÉES!AY247="","",DONNÉES!AY247)</f>
        <v/>
      </c>
      <c r="K47" s="110" t="str">
        <f>IF(PMTHART[[#This Row],[2024]]="","",DONNÉES!AZ247)</f>
        <v/>
      </c>
      <c r="L47" s="97" t="str">
        <f>IF(PMTHART[[#This Row],[2024]]="","",(PMTHART[[#This Row],[2024]]-PMTHART[[#This Row],[2023]])/PMTHART[[#This Row],[2023]])</f>
        <v/>
      </c>
      <c r="M47" s="109" t="str">
        <f>IF(PMTHART[[#This Row],[2024]]="","",DONNÉES!BA247)</f>
        <v/>
      </c>
      <c r="N47" s="110" t="str">
        <f>IF(PMTHART[[#This Row],[2024]]="","",DONNÉES!BB247)</f>
        <v/>
      </c>
      <c r="O47" s="116" t="str">
        <f>IF(PMTHART[[#This Row],[2024]]="","",DONNÉES!BC247)</f>
        <v/>
      </c>
    </row>
    <row r="48" spans="1:15" s="81" customFormat="1" ht="16.899999999999999" customHeight="1" x14ac:dyDescent="0.2">
      <c r="A48" s="46" t="s">
        <v>134</v>
      </c>
      <c r="B48" s="111">
        <f>SUBTOTAL(101,PMTTURVILLA[2024])</f>
        <v>17.190000000000001</v>
      </c>
      <c r="C48" s="111">
        <f>SUBTOTAL(101,PMTTURVILLA[2023])</f>
        <v>16.809999999999999</v>
      </c>
      <c r="D48" s="125">
        <f>(PMTTURVILLA[[#Totals],[2024]]-PMTTURVILLA[[#Totals],[2023]])/PMTTURVILLA[[#Totals],[2023]]</f>
        <v>2.2605591909577786E-2</v>
      </c>
      <c r="E48" s="117">
        <f>SUBTOTAL(101,PMTTURVILLA[2022])</f>
        <v>16.37</v>
      </c>
      <c r="F48" s="111">
        <f>SUBTOTAL(101,PMTTURVILLA[2021])</f>
        <v>15.76</v>
      </c>
      <c r="G48" s="111">
        <f>SUBTOTAL(101,PMTTURVILLA[2020])</f>
        <v>16.36</v>
      </c>
      <c r="I48" s="46" t="s">
        <v>135</v>
      </c>
      <c r="J48" s="111" t="e">
        <f>SUBTOTAL(101,PMTHART[2024])</f>
        <v>#DIV/0!</v>
      </c>
      <c r="K48" s="111" t="e">
        <f>SUBTOTAL(101,PMTHART[2023])</f>
        <v>#DIV/0!</v>
      </c>
      <c r="L48" s="125" t="e">
        <f>(PMTHART[[#Totals],[2024]]-PMTHART[[#Totals],[2023]])/PMTHART[[#Totals],[2023]]</f>
        <v>#DIV/0!</v>
      </c>
      <c r="M48" s="117" t="e">
        <f>SUBTOTAL(101,M42:M47)</f>
        <v>#DIV/0!</v>
      </c>
      <c r="N48" s="111" t="e">
        <f>SUBTOTAL(101,PMTHART[2021])</f>
        <v>#DIV/0!</v>
      </c>
      <c r="O48" s="90" t="e">
        <f>SUBTOTAL(101,PMTHART[2020])</f>
        <v>#DIV/0!</v>
      </c>
    </row>
    <row r="49" spans="1:15" ht="30.6" customHeight="1" x14ac:dyDescent="0.2">
      <c r="H49" s="79"/>
    </row>
    <row r="50" spans="1:15" ht="33" customHeight="1" x14ac:dyDescent="0.2">
      <c r="A50" s="79" t="s">
        <v>3002</v>
      </c>
      <c r="B50" s="108" t="s">
        <v>6962</v>
      </c>
      <c r="C50" s="108" t="s">
        <v>2169</v>
      </c>
      <c r="D50" s="100" t="s">
        <v>136</v>
      </c>
      <c r="E50" s="108" t="s">
        <v>1553</v>
      </c>
      <c r="F50" s="108" t="s">
        <v>1522</v>
      </c>
      <c r="G50" s="124" t="s">
        <v>1304</v>
      </c>
      <c r="H50" s="79"/>
      <c r="I50" s="79" t="s">
        <v>7094</v>
      </c>
      <c r="J50" s="108" t="s">
        <v>6962</v>
      </c>
      <c r="K50" s="108" t="s">
        <v>2169</v>
      </c>
      <c r="L50" s="100" t="s">
        <v>136</v>
      </c>
      <c r="M50" s="108" t="s">
        <v>1553</v>
      </c>
      <c r="N50" s="108" t="s">
        <v>1522</v>
      </c>
      <c r="O50" s="124" t="s">
        <v>1304</v>
      </c>
    </row>
    <row r="51" spans="1:15" ht="13.15" customHeight="1" x14ac:dyDescent="0.2">
      <c r="A51" s="81" t="s">
        <v>73</v>
      </c>
      <c r="B51" s="109">
        <f>IF(DONNÉES!BG236="","",DONNÉES!BG236)</f>
        <v>18.100000000000001</v>
      </c>
      <c r="C51" s="109">
        <f>IF(PMTVICTOIRE[[#This Row],[2024]]="","",DONNÉES!BH236)</f>
        <v>18.32</v>
      </c>
      <c r="D51" s="96">
        <f>IF(PMTVICTOIRE[[#This Row],[2024]]="","",(PMTVICTOIRE[[#This Row],[2024]]-PMTVICTOIRE[[#This Row],[2023]])/PMTVICTOIRE[[#This Row],[2023]])</f>
        <v>-1.2008733624454086E-2</v>
      </c>
      <c r="E51" s="109">
        <f>IF(PMTVICTOIRE[[#This Row],[2024]]="","",DONNÉES!BI236)</f>
        <v>18.57</v>
      </c>
      <c r="F51" s="109">
        <f>IF(PMTVICTOIRE[[#This Row],[2024]]="","",DONNÉES!BJ236)</f>
        <v>0</v>
      </c>
      <c r="G51" s="109">
        <f>IF(PMTVICTOIRE[[#This Row],[2024]]="","",DONNÉES!BK236)</f>
        <v>0</v>
      </c>
      <c r="H51" s="79"/>
      <c r="I51" s="81" t="s">
        <v>73</v>
      </c>
      <c r="J51" s="109">
        <f>IF(DONNÉES!EA236="","",DONNÉES!EA236)</f>
        <v>18.489999999999998</v>
      </c>
      <c r="K51" s="109">
        <f>IF(PMTCAT[[#This Row],[2024]]="","",DONNÉES!EB236)</f>
        <v>0</v>
      </c>
      <c r="L51" s="96" t="e">
        <f>IF(PMTCAT[[#This Row],[2024]]="","",(PMTCAT[[#This Row],[2024]]-PMTCAT[[#This Row],[2023]])/PMTCAT[[#This Row],[2023]])</f>
        <v>#DIV/0!</v>
      </c>
      <c r="M51" s="109">
        <f>IF(PMTCAT[[#This Row],[2024]]="","",DONNÉES!EC236)</f>
        <v>0</v>
      </c>
      <c r="N51" s="109">
        <f>IF(PMTCAT[[#This Row],[2024]]="","",DONNÉES!ED236)</f>
        <v>0</v>
      </c>
      <c r="O51" s="109">
        <f>IF(PMTCAT[[#This Row],[2024]]="","",DONNÉES!EE236)</f>
        <v>0</v>
      </c>
    </row>
    <row r="52" spans="1:15" ht="13.15" customHeight="1" x14ac:dyDescent="0.2">
      <c r="A52" s="81" t="s">
        <v>74</v>
      </c>
      <c r="B52" s="109" t="str">
        <f>IF(DONNÉES!BG237="","",DONNÉES!BG237)</f>
        <v/>
      </c>
      <c r="C52" s="109" t="str">
        <f>IF(PMTVICTOIRE[[#This Row],[2024]]="","",DONNÉES!BH237)</f>
        <v/>
      </c>
      <c r="D52" s="96" t="str">
        <f>IF(PMTVICTOIRE[[#This Row],[2024]]="","",(PMTVICTOIRE[[#This Row],[2024]]-PMTVICTOIRE[[#This Row],[2023]])/PMTVICTOIRE[[#This Row],[2023]])</f>
        <v/>
      </c>
      <c r="E52" s="109" t="str">
        <f>IF(PMTVICTOIRE[[#This Row],[2024]]="","",DONNÉES!BI237)</f>
        <v/>
      </c>
      <c r="F52" s="109" t="str">
        <f>IF(PMTVICTOIRE[[#This Row],[2024]]="","",DONNÉES!BJ237)</f>
        <v/>
      </c>
      <c r="G52" s="109" t="str">
        <f>IF(PMTVICTOIRE[[#This Row],[2024]]="","",DONNÉES!BK237)</f>
        <v/>
      </c>
      <c r="H52" s="79"/>
      <c r="I52" s="81" t="s">
        <v>74</v>
      </c>
      <c r="J52" s="109" t="str">
        <f>IF(DONNÉES!EA237="","",DONNÉES!EA237)</f>
        <v/>
      </c>
      <c r="K52" s="109" t="str">
        <f>IF(PMTCAT[[#This Row],[2024]]="","",DONNÉES!EB237)</f>
        <v/>
      </c>
      <c r="L52" s="96" t="str">
        <f>IF(PMTCAT[[#This Row],[2024]]="","",(PMTCAT[[#This Row],[2024]]-PMTCAT[[#This Row],[2023]])/PMTCAT[[#This Row],[2023]])</f>
        <v/>
      </c>
      <c r="M52" s="109" t="str">
        <f>IF(PMTCAT[[#This Row],[2024]]="","",DONNÉES!EC237)</f>
        <v/>
      </c>
      <c r="N52" s="109" t="str">
        <f>IF(PMTCAT[[#This Row],[2024]]="","",DONNÉES!ED237)</f>
        <v/>
      </c>
      <c r="O52" s="109" t="str">
        <f>IF(PMTCAT[[#This Row],[2024]]="","",DONNÉES!EE237)</f>
        <v/>
      </c>
    </row>
    <row r="53" spans="1:15" ht="13.15" customHeight="1" x14ac:dyDescent="0.2">
      <c r="A53" s="79" t="s">
        <v>75</v>
      </c>
      <c r="B53" s="109" t="str">
        <f>IF(DONNÉES!BG238="","",DONNÉES!BG238)</f>
        <v/>
      </c>
      <c r="C53" s="109" t="str">
        <f>IF(PMTVICTOIRE[[#This Row],[2024]]="","",DONNÉES!BH238)</f>
        <v/>
      </c>
      <c r="D53" s="96" t="str">
        <f>IF(PMTVICTOIRE[[#This Row],[2024]]="","",(PMTVICTOIRE[[#This Row],[2024]]-PMTVICTOIRE[[#This Row],[2023]])/PMTVICTOIRE[[#This Row],[2023]])</f>
        <v/>
      </c>
      <c r="E53" s="109" t="str">
        <f>IF(PMTVICTOIRE[[#This Row],[2024]]="","",DONNÉES!BI238)</f>
        <v/>
      </c>
      <c r="F53" s="109" t="str">
        <f>IF(PMTVICTOIRE[[#This Row],[2024]]="","",DONNÉES!BJ238)</f>
        <v/>
      </c>
      <c r="G53" s="109" t="str">
        <f>IF(PMTVICTOIRE[[#This Row],[2024]]="","",DONNÉES!BK238)</f>
        <v/>
      </c>
      <c r="H53" s="79"/>
      <c r="I53" s="79" t="s">
        <v>75</v>
      </c>
      <c r="J53" s="109" t="str">
        <f>IF(DONNÉES!EA238="","",DONNÉES!EA238)</f>
        <v/>
      </c>
      <c r="K53" s="109" t="str">
        <f>IF(PMTCAT[[#This Row],[2024]]="","",DONNÉES!EB238)</f>
        <v/>
      </c>
      <c r="L53" s="96" t="str">
        <f>IF(PMTCAT[[#This Row],[2024]]="","",(PMTCAT[[#This Row],[2024]]-PMTCAT[[#This Row],[2023]])/PMTCAT[[#This Row],[2023]])</f>
        <v/>
      </c>
      <c r="M53" s="109" t="str">
        <f>IF(PMTCAT[[#This Row],[2024]]="","",DONNÉES!EC238)</f>
        <v/>
      </c>
      <c r="N53" s="109" t="str">
        <f>IF(PMTCAT[[#This Row],[2024]]="","",DONNÉES!ED238)</f>
        <v/>
      </c>
      <c r="O53" s="109" t="str">
        <f>IF(PMTCAT[[#This Row],[2024]]="","",DONNÉES!EE238)</f>
        <v/>
      </c>
    </row>
    <row r="54" spans="1:15" ht="13.15" customHeight="1" x14ac:dyDescent="0.2">
      <c r="A54" s="81" t="s">
        <v>76</v>
      </c>
      <c r="B54" s="109" t="str">
        <f>IF(DONNÉES!BG239="","",DONNÉES!BG239)</f>
        <v/>
      </c>
      <c r="C54" s="109" t="str">
        <f>IF(PMTVICTOIRE[[#This Row],[2024]]="","",DONNÉES!BH239)</f>
        <v/>
      </c>
      <c r="D54" s="96" t="str">
        <f>IF(PMTVICTOIRE[[#This Row],[2024]]="","",(PMTVICTOIRE[[#This Row],[2024]]-PMTVICTOIRE[[#This Row],[2023]])/PMTVICTOIRE[[#This Row],[2023]])</f>
        <v/>
      </c>
      <c r="E54" s="109" t="str">
        <f>IF(PMTVICTOIRE[[#This Row],[2024]]="","",DONNÉES!BI239)</f>
        <v/>
      </c>
      <c r="F54" s="109" t="str">
        <f>IF(PMTVICTOIRE[[#This Row],[2024]]="","",DONNÉES!BJ239)</f>
        <v/>
      </c>
      <c r="G54" s="109" t="str">
        <f>IF(PMTVICTOIRE[[#This Row],[2024]]="","",DONNÉES!BK239)</f>
        <v/>
      </c>
      <c r="I54" s="81" t="s">
        <v>76</v>
      </c>
      <c r="J54" s="109" t="str">
        <f>IF(DONNÉES!EA239="","",DONNÉES!EA239)</f>
        <v/>
      </c>
      <c r="K54" s="109" t="str">
        <f>IF(PMTCAT[[#This Row],[2024]]="","",DONNÉES!EB239)</f>
        <v/>
      </c>
      <c r="L54" s="96" t="str">
        <f>IF(PMTCAT[[#This Row],[2024]]="","",(PMTCAT[[#This Row],[2024]]-PMTCAT[[#This Row],[2023]])/PMTCAT[[#This Row],[2023]])</f>
        <v/>
      </c>
      <c r="M54" s="109" t="str">
        <f>IF(PMTCAT[[#This Row],[2024]]="","",DONNÉES!EC239)</f>
        <v/>
      </c>
      <c r="N54" s="109" t="str">
        <f>IF(PMTCAT[[#This Row],[2024]]="","",DONNÉES!ED239)</f>
        <v/>
      </c>
      <c r="O54" s="109" t="str">
        <f>IF(PMTCAT[[#This Row],[2024]]="","",DONNÉES!EE239)</f>
        <v/>
      </c>
    </row>
    <row r="55" spans="1:15" ht="13.15" customHeight="1" x14ac:dyDescent="0.2">
      <c r="A55" s="79" t="s">
        <v>77</v>
      </c>
      <c r="B55" s="109" t="str">
        <f>IF(DONNÉES!BG240="","",DONNÉES!BG240)</f>
        <v/>
      </c>
      <c r="C55" s="109" t="str">
        <f>IF(PMTVICTOIRE[[#This Row],[2024]]="","",DONNÉES!BH240)</f>
        <v/>
      </c>
      <c r="D55" s="96" t="str">
        <f>IF(PMTVICTOIRE[[#This Row],[2024]]="","",(PMTVICTOIRE[[#This Row],[2024]]-PMTVICTOIRE[[#This Row],[2023]])/PMTVICTOIRE[[#This Row],[2023]])</f>
        <v/>
      </c>
      <c r="E55" s="109" t="str">
        <f>IF(PMTVICTOIRE[[#This Row],[2024]]="","",DONNÉES!BI240)</f>
        <v/>
      </c>
      <c r="F55" s="109" t="str">
        <f>IF(PMTVICTOIRE[[#This Row],[2024]]="","",DONNÉES!BJ240)</f>
        <v/>
      </c>
      <c r="G55" s="109" t="str">
        <f>IF(PMTVICTOIRE[[#This Row],[2024]]="","",DONNÉES!BK240)</f>
        <v/>
      </c>
      <c r="H55" s="79"/>
      <c r="I55" s="79" t="s">
        <v>77</v>
      </c>
      <c r="J55" s="109" t="str">
        <f>IF(DONNÉES!EA240="","",DONNÉES!EA240)</f>
        <v/>
      </c>
      <c r="K55" s="109" t="str">
        <f>IF(PMTCAT[[#This Row],[2024]]="","",DONNÉES!EB240)</f>
        <v/>
      </c>
      <c r="L55" s="96" t="str">
        <f>IF(PMTCAT[[#This Row],[2024]]="","",(PMTCAT[[#This Row],[2024]]-PMTCAT[[#This Row],[2023]])/PMTCAT[[#This Row],[2023]])</f>
        <v/>
      </c>
      <c r="M55" s="109" t="str">
        <f>IF(PMTCAT[[#This Row],[2024]]="","",DONNÉES!EC240)</f>
        <v/>
      </c>
      <c r="N55" s="109" t="str">
        <f>IF(PMTCAT[[#This Row],[2024]]="","",DONNÉES!ED240)</f>
        <v/>
      </c>
      <c r="O55" s="109" t="str">
        <f>IF(PMTCAT[[#This Row],[2024]]="","",DONNÉES!EE240)</f>
        <v/>
      </c>
    </row>
    <row r="56" spans="1:15" s="81" customFormat="1" ht="13.15" customHeight="1" x14ac:dyDescent="0.2">
      <c r="A56" s="81" t="s">
        <v>78</v>
      </c>
      <c r="B56" s="109" t="str">
        <f>IF(DONNÉES!BG241="","",DONNÉES!BG241)</f>
        <v/>
      </c>
      <c r="C56" s="109" t="str">
        <f>IF(PMTVICTOIRE[[#This Row],[2024]]="","",DONNÉES!BH241)</f>
        <v/>
      </c>
      <c r="D56" s="96" t="str">
        <f>IF(PMTVICTOIRE[[#This Row],[2024]]="","",(PMTVICTOIRE[[#This Row],[2024]]-PMTVICTOIRE[[#This Row],[2023]])/PMTVICTOIRE[[#This Row],[2023]])</f>
        <v/>
      </c>
      <c r="E56" s="109" t="str">
        <f>IF(PMTVICTOIRE[[#This Row],[2024]]="","",DONNÉES!BI241)</f>
        <v/>
      </c>
      <c r="F56" s="109" t="str">
        <f>IF(PMTVICTOIRE[[#This Row],[2024]]="","",DONNÉES!BJ241)</f>
        <v/>
      </c>
      <c r="G56" s="109" t="str">
        <f>IF(PMTVICTOIRE[[#This Row],[2024]]="","",DONNÉES!BK241)</f>
        <v/>
      </c>
      <c r="I56" s="81" t="s">
        <v>78</v>
      </c>
      <c r="J56" s="109" t="str">
        <f>IF(DONNÉES!EA241="","",DONNÉES!EA241)</f>
        <v/>
      </c>
      <c r="K56" s="109" t="str">
        <f>IF(PMTCAT[[#This Row],[2024]]="","",DONNÉES!EB241)</f>
        <v/>
      </c>
      <c r="L56" s="96" t="str">
        <f>IF(PMTCAT[[#This Row],[2024]]="","",(PMTCAT[[#This Row],[2024]]-PMTCAT[[#This Row],[2023]])/PMTCAT[[#This Row],[2023]])</f>
        <v/>
      </c>
      <c r="M56" s="109" t="str">
        <f>IF(PMTCAT[[#This Row],[2024]]="","",DONNÉES!EC241)</f>
        <v/>
      </c>
      <c r="N56" s="109" t="str">
        <f>IF(PMTCAT[[#This Row],[2024]]="","",DONNÉES!ED241)</f>
        <v/>
      </c>
      <c r="O56" s="109" t="str">
        <f>IF(PMTCAT[[#This Row],[2024]]="","",DONNÉES!EE241)</f>
        <v/>
      </c>
    </row>
    <row r="57" spans="1:15" s="81" customFormat="1" ht="13.15" customHeight="1" x14ac:dyDescent="0.2">
      <c r="A57" s="79" t="s">
        <v>79</v>
      </c>
      <c r="B57" s="109" t="str">
        <f>IF(DONNÉES!BG242="","",DONNÉES!BG242)</f>
        <v/>
      </c>
      <c r="C57" s="109" t="str">
        <f>IF(PMTVICTOIRE[[#This Row],[2024]]="","",DONNÉES!BH242)</f>
        <v/>
      </c>
      <c r="D57" s="96" t="str">
        <f>IF(PMTVICTOIRE[[#This Row],[2024]]="","",(PMTVICTOIRE[[#This Row],[2024]]-PMTVICTOIRE[[#This Row],[2023]])/PMTVICTOIRE[[#This Row],[2023]])</f>
        <v/>
      </c>
      <c r="E57" s="109" t="str">
        <f>IF(PMTVICTOIRE[[#This Row],[2024]]="","",DONNÉES!BI242)</f>
        <v/>
      </c>
      <c r="F57" s="109" t="str">
        <f>IF(PMTVICTOIRE[[#This Row],[2024]]="","",DONNÉES!BJ242)</f>
        <v/>
      </c>
      <c r="G57" s="109" t="str">
        <f>IF(PMTVICTOIRE[[#This Row],[2024]]="","",DONNÉES!BK242)</f>
        <v/>
      </c>
      <c r="I57" s="79" t="s">
        <v>79</v>
      </c>
      <c r="J57" s="109" t="str">
        <f>IF(DONNÉES!EA242="","",DONNÉES!EA242)</f>
        <v/>
      </c>
      <c r="K57" s="109" t="str">
        <f>IF(PMTCAT[[#This Row],[2024]]="","",DONNÉES!EB242)</f>
        <v/>
      </c>
      <c r="L57" s="96" t="str">
        <f>IF(PMTCAT[[#This Row],[2024]]="","",(PMTCAT[[#This Row],[2024]]-PMTCAT[[#This Row],[2023]])/PMTCAT[[#This Row],[2023]])</f>
        <v/>
      </c>
      <c r="M57" s="109" t="str">
        <f>IF(PMTCAT[[#This Row],[2024]]="","",DONNÉES!EC242)</f>
        <v/>
      </c>
      <c r="N57" s="109" t="str">
        <f>IF(PMTCAT[[#This Row],[2024]]="","",DONNÉES!ED242)</f>
        <v/>
      </c>
      <c r="O57" s="109" t="str">
        <f>IF(PMTCAT[[#This Row],[2024]]="","",DONNÉES!EE242)</f>
        <v/>
      </c>
    </row>
    <row r="58" spans="1:15" s="81" customFormat="1" ht="13.15" customHeight="1" x14ac:dyDescent="0.2">
      <c r="A58" s="81" t="s">
        <v>80</v>
      </c>
      <c r="B58" s="109" t="str">
        <f>IF(DONNÉES!BG243="","",DONNÉES!BG243)</f>
        <v/>
      </c>
      <c r="C58" s="109" t="str">
        <f>IF(PMTVICTOIRE[[#This Row],[2024]]="","",DONNÉES!BH243)</f>
        <v/>
      </c>
      <c r="D58" s="96" t="str">
        <f>IF(PMTVICTOIRE[[#This Row],[2024]]="","",(PMTVICTOIRE[[#This Row],[2024]]-PMTVICTOIRE[[#This Row],[2023]])/PMTVICTOIRE[[#This Row],[2023]])</f>
        <v/>
      </c>
      <c r="E58" s="109" t="str">
        <f>IF(PMTVICTOIRE[[#This Row],[2024]]="","",DONNÉES!BI243)</f>
        <v/>
      </c>
      <c r="F58" s="109" t="str">
        <f>IF(PMTVICTOIRE[[#This Row],[2024]]="","",DONNÉES!BJ243)</f>
        <v/>
      </c>
      <c r="G58" s="109" t="str">
        <f>IF(PMTVICTOIRE[[#This Row],[2024]]="","",DONNÉES!BK243)</f>
        <v/>
      </c>
      <c r="I58" s="81" t="s">
        <v>80</v>
      </c>
      <c r="J58" s="109" t="str">
        <f>IF(DONNÉES!EA243="","",DONNÉES!EA243)</f>
        <v/>
      </c>
      <c r="K58" s="109" t="str">
        <f>IF(PMTCAT[[#This Row],[2024]]="","",DONNÉES!EB243)</f>
        <v/>
      </c>
      <c r="L58" s="96" t="str">
        <f>IF(PMTCAT[[#This Row],[2024]]="","",(PMTCAT[[#This Row],[2024]]-PMTCAT[[#This Row],[2023]])/PMTCAT[[#This Row],[2023]])</f>
        <v/>
      </c>
      <c r="M58" s="109" t="str">
        <f>IF(PMTCAT[[#This Row],[2024]]="","",DONNÉES!EC243)</f>
        <v/>
      </c>
      <c r="N58" s="109" t="str">
        <f>IF(PMTCAT[[#This Row],[2024]]="","",DONNÉES!ED243)</f>
        <v/>
      </c>
      <c r="O58" s="109" t="str">
        <f>IF(PMTCAT[[#This Row],[2024]]="","",DONNÉES!EE243)</f>
        <v/>
      </c>
    </row>
    <row r="59" spans="1:15" ht="13.15" customHeight="1" x14ac:dyDescent="0.2">
      <c r="A59" s="79" t="s">
        <v>81</v>
      </c>
      <c r="B59" s="109" t="str">
        <f>IF(DONNÉES!BG244="","",DONNÉES!BG244)</f>
        <v/>
      </c>
      <c r="C59" s="109" t="str">
        <f>IF(PMTVICTOIRE[[#This Row],[2024]]="","",DONNÉES!BH244)</f>
        <v/>
      </c>
      <c r="D59" s="96" t="str">
        <f>IF(PMTVICTOIRE[[#This Row],[2024]]="","",(PMTVICTOIRE[[#This Row],[2024]]-PMTVICTOIRE[[#This Row],[2023]])/PMTVICTOIRE[[#This Row],[2023]])</f>
        <v/>
      </c>
      <c r="E59" s="109" t="str">
        <f>IF(PMTVICTOIRE[[#This Row],[2024]]="","",DONNÉES!BI244)</f>
        <v/>
      </c>
      <c r="F59" s="109" t="str">
        <f>IF(PMTVICTOIRE[[#This Row],[2024]]="","",DONNÉES!BJ244)</f>
        <v/>
      </c>
      <c r="G59" s="109" t="str">
        <f>IF(PMTVICTOIRE[[#This Row],[2024]]="","",DONNÉES!BK244)</f>
        <v/>
      </c>
      <c r="H59" s="79"/>
      <c r="I59" s="79" t="s">
        <v>81</v>
      </c>
      <c r="J59" s="109" t="str">
        <f>IF(DONNÉES!EA244="","",DONNÉES!EA244)</f>
        <v/>
      </c>
      <c r="K59" s="109" t="str">
        <f>IF(PMTCAT[[#This Row],[2024]]="","",DONNÉES!EB244)</f>
        <v/>
      </c>
      <c r="L59" s="96" t="str">
        <f>IF(PMTCAT[[#This Row],[2024]]="","",(PMTCAT[[#This Row],[2024]]-PMTCAT[[#This Row],[2023]])/PMTCAT[[#This Row],[2023]])</f>
        <v/>
      </c>
      <c r="M59" s="109" t="str">
        <f>IF(PMTCAT[[#This Row],[2024]]="","",DONNÉES!EC244)</f>
        <v/>
      </c>
      <c r="N59" s="109" t="str">
        <f>IF(PMTCAT[[#This Row],[2024]]="","",DONNÉES!ED244)</f>
        <v/>
      </c>
      <c r="O59" s="109" t="str">
        <f>IF(PMTCAT[[#This Row],[2024]]="","",DONNÉES!EE244)</f>
        <v/>
      </c>
    </row>
    <row r="60" spans="1:15" ht="13.15" customHeight="1" x14ac:dyDescent="0.2">
      <c r="A60" s="81" t="s">
        <v>82</v>
      </c>
      <c r="B60" s="109" t="str">
        <f>IF(DONNÉES!BG245="","",DONNÉES!BG245)</f>
        <v/>
      </c>
      <c r="C60" s="109" t="str">
        <f>IF(PMTVICTOIRE[[#This Row],[2024]]="","",DONNÉES!BH245)</f>
        <v/>
      </c>
      <c r="D60" s="96" t="str">
        <f>IF(PMTVICTOIRE[[#This Row],[2024]]="","",(PMTVICTOIRE[[#This Row],[2024]]-PMTVICTOIRE[[#This Row],[2023]])/PMTVICTOIRE[[#This Row],[2023]])</f>
        <v/>
      </c>
      <c r="E60" s="109" t="str">
        <f>IF(PMTVICTOIRE[[#This Row],[2024]]="","",DONNÉES!BI245)</f>
        <v/>
      </c>
      <c r="F60" s="109" t="str">
        <f>IF(PMTVICTOIRE[[#This Row],[2024]]="","",DONNÉES!BJ245)</f>
        <v/>
      </c>
      <c r="G60" s="109" t="str">
        <f>IF(PMTVICTOIRE[[#This Row],[2024]]="","",DONNÉES!BK245)</f>
        <v/>
      </c>
      <c r="H60" s="79"/>
      <c r="I60" s="81" t="s">
        <v>82</v>
      </c>
      <c r="J60" s="109" t="str">
        <f>IF(DONNÉES!EA245="","",DONNÉES!EA245)</f>
        <v/>
      </c>
      <c r="K60" s="109" t="str">
        <f>IF(PMTCAT[[#This Row],[2024]]="","",DONNÉES!EB245)</f>
        <v/>
      </c>
      <c r="L60" s="96" t="str">
        <f>IF(PMTCAT[[#This Row],[2024]]="","",(PMTCAT[[#This Row],[2024]]-PMTCAT[[#This Row],[2023]])/PMTCAT[[#This Row],[2023]])</f>
        <v/>
      </c>
      <c r="M60" s="109" t="str">
        <f>IF(PMTCAT[[#This Row],[2024]]="","",DONNÉES!EC245)</f>
        <v/>
      </c>
      <c r="N60" s="109" t="str">
        <f>IF(PMTCAT[[#This Row],[2024]]="","",DONNÉES!ED245)</f>
        <v/>
      </c>
      <c r="O60" s="109" t="str">
        <f>IF(PMTCAT[[#This Row],[2024]]="","",DONNÉES!EE245)</f>
        <v/>
      </c>
    </row>
    <row r="61" spans="1:15" ht="13.15" customHeight="1" x14ac:dyDescent="0.2">
      <c r="A61" s="79" t="s">
        <v>83</v>
      </c>
      <c r="B61" s="109" t="str">
        <f>IF(DONNÉES!BG246="","",DONNÉES!BG246)</f>
        <v/>
      </c>
      <c r="C61" s="109" t="str">
        <f>IF(PMTVICTOIRE[[#This Row],[2024]]="","",DONNÉES!BH246)</f>
        <v/>
      </c>
      <c r="D61" s="96" t="str">
        <f>IF(PMTVICTOIRE[[#This Row],[2024]]="","",(PMTVICTOIRE[[#This Row],[2024]]-PMTVICTOIRE[[#This Row],[2023]])/PMTVICTOIRE[[#This Row],[2023]])</f>
        <v/>
      </c>
      <c r="E61" s="109" t="str">
        <f>IF(PMTVICTOIRE[[#This Row],[2024]]="","",DONNÉES!BI246)</f>
        <v/>
      </c>
      <c r="F61" s="109" t="str">
        <f>IF(PMTVICTOIRE[[#This Row],[2024]]="","",DONNÉES!BJ246)</f>
        <v/>
      </c>
      <c r="G61" s="109" t="str">
        <f>IF(PMTVICTOIRE[[#This Row],[2024]]="","",DONNÉES!BK246)</f>
        <v/>
      </c>
      <c r="H61" s="79"/>
      <c r="I61" s="79" t="s">
        <v>83</v>
      </c>
      <c r="J61" s="109" t="str">
        <f>IF(DONNÉES!EA246="","",DONNÉES!EA246)</f>
        <v/>
      </c>
      <c r="K61" s="109" t="str">
        <f>IF(PMTCAT[[#This Row],[2024]]="","",DONNÉES!EB246)</f>
        <v/>
      </c>
      <c r="L61" s="96" t="str">
        <f>IF(PMTCAT[[#This Row],[2024]]="","",(PMTCAT[[#This Row],[2024]]-PMTCAT[[#This Row],[2023]])/PMTCAT[[#This Row],[2023]])</f>
        <v/>
      </c>
      <c r="M61" s="109" t="str">
        <f>IF(PMTCAT[[#This Row],[2024]]="","",DONNÉES!EC246)</f>
        <v/>
      </c>
      <c r="N61" s="109" t="str">
        <f>IF(PMTCAT[[#This Row],[2024]]="","",DONNÉES!ED246)</f>
        <v/>
      </c>
      <c r="O61" s="109" t="str">
        <f>IF(PMTCAT[[#This Row],[2024]]="","",DONNÉES!EE246)</f>
        <v/>
      </c>
    </row>
    <row r="62" spans="1:15" ht="13.15" customHeight="1" x14ac:dyDescent="0.2">
      <c r="A62" s="79" t="s">
        <v>84</v>
      </c>
      <c r="B62" s="109" t="str">
        <f>IF(DONNÉES!BG247="","",DONNÉES!BG247)</f>
        <v/>
      </c>
      <c r="C62" s="109" t="str">
        <f>IF(PMTVICTOIRE[[#This Row],[2024]]="","",DONNÉES!BH247)</f>
        <v/>
      </c>
      <c r="D62" s="96" t="str">
        <f>IF(PMTVICTOIRE[[#This Row],[2024]]="","",(PMTVICTOIRE[[#This Row],[2024]]-PMTVICTOIRE[[#This Row],[2023]])/PMTVICTOIRE[[#This Row],[2023]])</f>
        <v/>
      </c>
      <c r="E62" s="109" t="str">
        <f>IF(PMTVICTOIRE[[#This Row],[2024]]="","",DONNÉES!BI247)</f>
        <v/>
      </c>
      <c r="F62" s="109" t="str">
        <f>IF(PMTVICTOIRE[[#This Row],[2024]]="","",DONNÉES!BJ247)</f>
        <v/>
      </c>
      <c r="G62" s="109" t="str">
        <f>IF(PMTVICTOIRE[[#This Row],[2024]]="","",DONNÉES!BK247)</f>
        <v/>
      </c>
      <c r="H62" s="79"/>
      <c r="I62" s="79" t="s">
        <v>84</v>
      </c>
      <c r="J62" s="109" t="str">
        <f>IF(DONNÉES!EA247="","",DONNÉES!EA247)</f>
        <v/>
      </c>
      <c r="K62" s="109" t="str">
        <f>IF(PMTCAT[[#This Row],[2024]]="","",DONNÉES!EB247)</f>
        <v/>
      </c>
      <c r="L62" s="96" t="str">
        <f>IF(PMTCAT[[#This Row],[2024]]="","",(PMTCAT[[#This Row],[2024]]-PMTCAT[[#This Row],[2023]])/PMTCAT[[#This Row],[2023]])</f>
        <v/>
      </c>
      <c r="M62" s="109" t="str">
        <f>IF(PMTCAT[[#This Row],[2024]]="","",DONNÉES!EC247)</f>
        <v/>
      </c>
      <c r="N62" s="109" t="str">
        <f>IF(PMTCAT[[#This Row],[2024]]="","",DONNÉES!ED247)</f>
        <v/>
      </c>
      <c r="O62" s="109" t="str">
        <f>IF(PMTCAT[[#This Row],[2024]]="","",DONNÉES!EE247)</f>
        <v/>
      </c>
    </row>
    <row r="63" spans="1:15" ht="16.899999999999999" customHeight="1" x14ac:dyDescent="0.2">
      <c r="A63" s="46" t="s">
        <v>135</v>
      </c>
      <c r="B63" s="90">
        <f>SUBTOTAL(101,PMTVICTOIRE[2024])</f>
        <v>18.100000000000001</v>
      </c>
      <c r="C63" s="90">
        <f>SUBTOTAL(101,PMTVICTOIRE[2023])</f>
        <v>18.32</v>
      </c>
      <c r="D63" s="105">
        <f>(PMTVICTOIRE[[#Totals],[2024]]-PMTVICTOIRE[[#Totals],[2023]])/PMTVICTOIRE[[#Totals],[2023]]</f>
        <v>-1.2008733624454086E-2</v>
      </c>
      <c r="E63" s="119">
        <f>SUBTOTAL(101,PMTVICTOIRE[2022])</f>
        <v>18.57</v>
      </c>
      <c r="F63" s="90">
        <f>SUBTOTAL(101,PMTVICTOIRE[2021])</f>
        <v>0</v>
      </c>
      <c r="G63" s="90"/>
      <c r="H63" s="79"/>
      <c r="I63" s="46" t="s">
        <v>135</v>
      </c>
      <c r="J63" s="90">
        <f>SUBTOTAL(101,PMTCAT[2024])</f>
        <v>18.489999999999998</v>
      </c>
      <c r="K63" s="90">
        <f>SUBTOTAL(101,PMTCAT[2023])</f>
        <v>0</v>
      </c>
      <c r="L63" s="105" t="e">
        <f>(PMTCAT[[#Totals],[2024]]-PMTCAT[[#Totals],[2023]])/PMTCAT[[#Totals],[2023]]</f>
        <v>#DIV/0!</v>
      </c>
      <c r="M63" s="119">
        <f>SUBTOTAL(101,PMTCAT[2022])</f>
        <v>0</v>
      </c>
      <c r="N63" s="90">
        <f>SUBTOTAL(101,PMTCAT[2021])</f>
        <v>0</v>
      </c>
      <c r="O63" s="90">
        <f>SUBTOTAL(101,PMTCAT[2020])</f>
        <v>0</v>
      </c>
    </row>
    <row r="64" spans="1:15" ht="16.899999999999999" customHeight="1" x14ac:dyDescent="0.2">
      <c r="A64" s="46"/>
      <c r="B64" s="90"/>
      <c r="C64" s="90"/>
      <c r="D64" s="105"/>
      <c r="E64" s="119"/>
      <c r="F64" s="90"/>
      <c r="G64" s="90"/>
      <c r="H64" s="79"/>
      <c r="I64" s="46"/>
      <c r="J64" s="90"/>
      <c r="K64" s="90"/>
      <c r="L64" s="105"/>
      <c r="M64" s="119"/>
      <c r="N64" s="90"/>
      <c r="O64" s="90"/>
    </row>
    <row r="65" spans="1:15" ht="33" customHeight="1" x14ac:dyDescent="0.2">
      <c r="A65" s="79" t="s">
        <v>292</v>
      </c>
      <c r="B65" s="108" t="s">
        <v>6962</v>
      </c>
      <c r="C65" s="108" t="s">
        <v>2169</v>
      </c>
      <c r="D65" s="100" t="s">
        <v>136</v>
      </c>
      <c r="E65" s="108" t="s">
        <v>1553</v>
      </c>
      <c r="F65" s="108" t="s">
        <v>1522</v>
      </c>
      <c r="G65" s="124" t="s">
        <v>1304</v>
      </c>
      <c r="H65" s="79"/>
      <c r="I65" s="79" t="s">
        <v>294</v>
      </c>
      <c r="J65" s="108" t="s">
        <v>6962</v>
      </c>
      <c r="K65" s="108" t="s">
        <v>2169</v>
      </c>
      <c r="L65" s="100" t="s">
        <v>136</v>
      </c>
      <c r="M65" s="108" t="s">
        <v>1553</v>
      </c>
      <c r="N65" s="108" t="s">
        <v>1522</v>
      </c>
      <c r="O65" s="124" t="s">
        <v>1304</v>
      </c>
    </row>
    <row r="66" spans="1:15" s="81" customFormat="1" ht="13.15" customHeight="1" x14ac:dyDescent="0.2">
      <c r="A66" s="81" t="s">
        <v>73</v>
      </c>
      <c r="B66" s="109">
        <f>IF(DONNÉES!CE236="","",DONNÉES!CE236)</f>
        <v>16.05</v>
      </c>
      <c r="C66" s="109">
        <f>IF(PMTTR314[[#This Row],[2024]]="","",DONNÉES!CF236)</f>
        <v>17.95</v>
      </c>
      <c r="D66" s="96">
        <f>IF(PMTTR314[[#This Row],[2024]]="","",(PMTTR314[[#This Row],[2024]]-PMTTR314[[#This Row],[2023]])/PMTTR314[[#This Row],[2023]])</f>
        <v>-0.10584958217270188</v>
      </c>
      <c r="E66" s="109">
        <f>IF(PMTTR314[[#This Row],[2024]]="","",DONNÉES!CG236)</f>
        <v>16.53</v>
      </c>
      <c r="F66" s="109">
        <f>IF(PMTTR314[[#This Row],[2024]]="","",DONNÉES!CH236)</f>
        <v>16.18</v>
      </c>
      <c r="G66" s="109">
        <f>IF(PMTTR314[[#This Row],[2024]]="","",DONNÉES!CI236)</f>
        <v>18.940000000000001</v>
      </c>
      <c r="I66" s="81" t="s">
        <v>73</v>
      </c>
      <c r="J66" s="109">
        <f>IF(DONNÉES!CM236="","",DONNÉES!CM236)</f>
        <v>17.899999999999999</v>
      </c>
      <c r="K66" s="109">
        <f>IF(PMTLYSE[[#This Row],[2024]]="","",DONNÉES!CN236)</f>
        <v>17.13</v>
      </c>
      <c r="L66" s="96">
        <f>IF(PMTLYSE[[#This Row],[2024]]="","",(PMTLYSE[[#This Row],[2024]]-PMTLYSE[[#This Row],[2023]])/PMTLYSE[[#This Row],[2023]])</f>
        <v>4.4950379451255087E-2</v>
      </c>
      <c r="M66" s="109">
        <f>IF(PMTLYSE[[#This Row],[2024]]="","",DONNÉES!CO236)</f>
        <v>18.600000000000001</v>
      </c>
      <c r="N66" s="109">
        <f>IF(PMTLYSE[[#This Row],[2024]]="","",DONNÉES!CP236)</f>
        <v>17.829999999999998</v>
      </c>
      <c r="O66" s="109">
        <f>IF(PMTLYSE[[#This Row],[2024]]="","",DONNÉES!CQ236)</f>
        <v>18.149999999999999</v>
      </c>
    </row>
    <row r="67" spans="1:15" s="81" customFormat="1" ht="13.15" customHeight="1" x14ac:dyDescent="0.2">
      <c r="A67" s="81" t="s">
        <v>74</v>
      </c>
      <c r="B67" s="109" t="str">
        <f>IF(DONNÉES!CE237="","",DONNÉES!CE237)</f>
        <v/>
      </c>
      <c r="C67" s="109" t="str">
        <f>IF(PMTTR314[[#This Row],[2024]]="","",DONNÉES!CF237)</f>
        <v/>
      </c>
      <c r="D67" s="96" t="str">
        <f>IF(PMTTR314[[#This Row],[2024]]="","",(PMTTR314[[#This Row],[2024]]-PMTTR314[[#This Row],[2023]])/PMTTR314[[#This Row],[2023]])</f>
        <v/>
      </c>
      <c r="E67" s="109" t="str">
        <f>IF(PMTTR314[[#This Row],[2024]]="","",DONNÉES!CG237)</f>
        <v/>
      </c>
      <c r="F67" s="110" t="str">
        <f>IF(PMTTR314[[#This Row],[2024]]="","",DONNÉES!CH237)</f>
        <v/>
      </c>
      <c r="G67" s="116" t="str">
        <f>IF(PMTTR314[[#This Row],[2024]]="","",DONNÉES!CI237)</f>
        <v/>
      </c>
      <c r="I67" s="81" t="s">
        <v>74</v>
      </c>
      <c r="J67" s="109" t="str">
        <f>IF(DONNÉES!CM237="","",DONNÉES!CM237)</f>
        <v/>
      </c>
      <c r="K67" s="109" t="str">
        <f>IF(PMTLYSE[[#This Row],[2024]]="","",DONNÉES!CN237)</f>
        <v/>
      </c>
      <c r="L67" s="96" t="str">
        <f>IF(PMTLYSE[[#This Row],[2024]]="","",(PMTLYSE[[#This Row],[2024]]-PMTLYSE[[#This Row],[2023]])/PMTLYSE[[#This Row],[2023]])</f>
        <v/>
      </c>
      <c r="M67" s="109" t="str">
        <f>IF(PMTLYSE[[#This Row],[2024]]="","",DONNÉES!CO237)</f>
        <v/>
      </c>
      <c r="N67" s="110" t="str">
        <f>IF(PMTLYSE[[#This Row],[2024]]="","",DONNÉES!CP237)</f>
        <v/>
      </c>
      <c r="O67" s="116" t="str">
        <f>IF(PMTLYSE[[#This Row],[2024]]="","",DONNÉES!CQ237)</f>
        <v/>
      </c>
    </row>
    <row r="68" spans="1:15" s="81" customFormat="1" ht="13.15" customHeight="1" x14ac:dyDescent="0.2">
      <c r="A68" s="79" t="s">
        <v>75</v>
      </c>
      <c r="B68" s="109" t="str">
        <f>IF(DONNÉES!CE238="","",DONNÉES!CE238)</f>
        <v/>
      </c>
      <c r="C68" s="109" t="str">
        <f>IF(PMTTR314[[#This Row],[2024]]="","",DONNÉES!CF238)</f>
        <v/>
      </c>
      <c r="D68" s="96" t="str">
        <f>IF(PMTTR314[[#This Row],[2024]]="","",(PMTTR314[[#This Row],[2024]]-PMTTR314[[#This Row],[2023]])/PMTTR314[[#This Row],[2023]])</f>
        <v/>
      </c>
      <c r="E68" s="109" t="str">
        <f>IF(PMTTR314[[#This Row],[2024]]="","",DONNÉES!CG238)</f>
        <v/>
      </c>
      <c r="F68" s="110" t="str">
        <f>IF(PMTTR314[[#This Row],[2024]]="","",DONNÉES!CH238)</f>
        <v/>
      </c>
      <c r="G68" s="116" t="str">
        <f>IF(PMTTR314[[#This Row],[2024]]="","",DONNÉES!CI238)</f>
        <v/>
      </c>
      <c r="I68" s="79" t="s">
        <v>75</v>
      </c>
      <c r="J68" s="109" t="str">
        <f>IF(DONNÉES!CM238="","",DONNÉES!CM238)</f>
        <v/>
      </c>
      <c r="K68" s="109" t="str">
        <f>IF(PMTLYSE[[#This Row],[2024]]="","",DONNÉES!CN238)</f>
        <v/>
      </c>
      <c r="L68" s="96" t="str">
        <f>IF(PMTLYSE[[#This Row],[2024]]="","",(PMTLYSE[[#This Row],[2024]]-PMTLYSE[[#This Row],[2023]])/PMTLYSE[[#This Row],[2023]])</f>
        <v/>
      </c>
      <c r="M68" s="109" t="str">
        <f>IF(PMTLYSE[[#This Row],[2024]]="","",DONNÉES!CO238)</f>
        <v/>
      </c>
      <c r="N68" s="110" t="str">
        <f>IF(PMTLYSE[[#This Row],[2024]]="","",DONNÉES!CP238)</f>
        <v/>
      </c>
      <c r="O68" s="116" t="str">
        <f>IF(PMTLYSE[[#This Row],[2024]]="","",DONNÉES!CQ238)</f>
        <v/>
      </c>
    </row>
    <row r="69" spans="1:15" ht="13.15" customHeight="1" x14ac:dyDescent="0.2">
      <c r="A69" s="81" t="s">
        <v>76</v>
      </c>
      <c r="B69" s="109" t="str">
        <f>IF(DONNÉES!CE239="","",DONNÉES!CE239)</f>
        <v/>
      </c>
      <c r="C69" s="109" t="str">
        <f>IF(PMTTR314[[#This Row],[2024]]="","",DONNÉES!CF239)</f>
        <v/>
      </c>
      <c r="D69" s="96" t="str">
        <f>IF(PMTTR314[[#This Row],[2024]]="","",(PMTTR314[[#This Row],[2024]]-PMTTR314[[#This Row],[2023]])/PMTTR314[[#This Row],[2023]])</f>
        <v/>
      </c>
      <c r="E69" s="109" t="str">
        <f>IF(PMTTR314[[#This Row],[2024]]="","",DONNÉES!CG239)</f>
        <v/>
      </c>
      <c r="F69" s="110" t="str">
        <f>IF(PMTTR314[[#This Row],[2024]]="","",DONNÉES!CH239)</f>
        <v/>
      </c>
      <c r="G69" s="116" t="str">
        <f>IF(PMTTR314[[#This Row],[2024]]="","",DONNÉES!CI239)</f>
        <v/>
      </c>
      <c r="H69" s="79"/>
      <c r="I69" s="81" t="s">
        <v>76</v>
      </c>
      <c r="J69" s="109" t="str">
        <f>IF(DONNÉES!CM239="","",DONNÉES!CM239)</f>
        <v/>
      </c>
      <c r="K69" s="109" t="str">
        <f>IF(PMTLYSE[[#This Row],[2024]]="","",DONNÉES!CN239)</f>
        <v/>
      </c>
      <c r="L69" s="96" t="str">
        <f>IF(PMTLYSE[[#This Row],[2024]]="","",(PMTLYSE[[#This Row],[2024]]-PMTLYSE[[#This Row],[2023]])/PMTLYSE[[#This Row],[2023]])</f>
        <v/>
      </c>
      <c r="M69" s="109" t="str">
        <f>IF(PMTLYSE[[#This Row],[2024]]="","",DONNÉES!CO239)</f>
        <v/>
      </c>
      <c r="N69" s="110" t="str">
        <f>IF(PMTLYSE[[#This Row],[2024]]="","",DONNÉES!CP239)</f>
        <v/>
      </c>
      <c r="O69" s="116" t="str">
        <f>IF(PMTLYSE[[#This Row],[2024]]="","",DONNÉES!CQ239)</f>
        <v/>
      </c>
    </row>
    <row r="70" spans="1:15" ht="13.15" customHeight="1" x14ac:dyDescent="0.2">
      <c r="A70" s="79" t="s">
        <v>77</v>
      </c>
      <c r="B70" s="109" t="str">
        <f>IF(DONNÉES!CE240="","",DONNÉES!CE240)</f>
        <v/>
      </c>
      <c r="C70" s="109" t="str">
        <f>IF(PMTTR314[[#This Row],[2024]]="","",DONNÉES!CF240)</f>
        <v/>
      </c>
      <c r="D70" s="96" t="str">
        <f>IF(PMTTR314[[#This Row],[2024]]="","",(PMTTR314[[#This Row],[2024]]-PMTTR314[[#This Row],[2023]])/PMTTR314[[#This Row],[2023]])</f>
        <v/>
      </c>
      <c r="E70" s="109" t="str">
        <f>IF(PMTTR314[[#This Row],[2024]]="","",DONNÉES!CG240)</f>
        <v/>
      </c>
      <c r="F70" s="110" t="str">
        <f>IF(PMTTR314[[#This Row],[2024]]="","",DONNÉES!CH240)</f>
        <v/>
      </c>
      <c r="G70" s="116" t="str">
        <f>IF(PMTTR314[[#This Row],[2024]]="","",DONNÉES!CI240)</f>
        <v/>
      </c>
      <c r="H70" s="79"/>
      <c r="I70" s="79" t="s">
        <v>77</v>
      </c>
      <c r="J70" s="109" t="str">
        <f>IF(DONNÉES!CM240="","",DONNÉES!CM240)</f>
        <v/>
      </c>
      <c r="K70" s="109" t="str">
        <f>IF(PMTLYSE[[#This Row],[2024]]="","",DONNÉES!CN240)</f>
        <v/>
      </c>
      <c r="L70" s="96" t="str">
        <f>IF(PMTLYSE[[#This Row],[2024]]="","",(PMTLYSE[[#This Row],[2024]]-PMTLYSE[[#This Row],[2023]])/PMTLYSE[[#This Row],[2023]])</f>
        <v/>
      </c>
      <c r="M70" s="109" t="str">
        <f>IF(PMTLYSE[[#This Row],[2024]]="","",DONNÉES!CO240)</f>
        <v/>
      </c>
      <c r="N70" s="110" t="str">
        <f>IF(PMTLYSE[[#This Row],[2024]]="","",DONNÉES!CP240)</f>
        <v/>
      </c>
      <c r="O70" s="116" t="str">
        <f>IF(PMTLYSE[[#This Row],[2024]]="","",DONNÉES!CQ240)</f>
        <v/>
      </c>
    </row>
    <row r="71" spans="1:15" ht="13.15" customHeight="1" x14ac:dyDescent="0.2">
      <c r="A71" s="81" t="s">
        <v>78</v>
      </c>
      <c r="B71" s="109" t="str">
        <f>IF(DONNÉES!CE241="","",DONNÉES!CE241)</f>
        <v/>
      </c>
      <c r="C71" s="109" t="str">
        <f>IF(PMTTR314[[#This Row],[2024]]="","",DONNÉES!CF241)</f>
        <v/>
      </c>
      <c r="D71" s="96" t="str">
        <f>IF(PMTTR314[[#This Row],[2024]]="","",(PMTTR314[[#This Row],[2024]]-PMTTR314[[#This Row],[2023]])/PMTTR314[[#This Row],[2023]])</f>
        <v/>
      </c>
      <c r="E71" s="109" t="str">
        <f>IF(PMTTR314[[#This Row],[2024]]="","",DONNÉES!CG241)</f>
        <v/>
      </c>
      <c r="F71" s="110" t="str">
        <f>IF(PMTTR314[[#This Row],[2024]]="","",DONNÉES!CH241)</f>
        <v/>
      </c>
      <c r="G71" s="116" t="str">
        <f>IF(PMTTR314[[#This Row],[2024]]="","",DONNÉES!CI241)</f>
        <v/>
      </c>
      <c r="H71" s="79"/>
      <c r="I71" s="81" t="s">
        <v>78</v>
      </c>
      <c r="J71" s="109" t="str">
        <f>IF(DONNÉES!CM241="","",DONNÉES!CM241)</f>
        <v/>
      </c>
      <c r="K71" s="109" t="str">
        <f>IF(PMTLYSE[[#This Row],[2024]]="","",DONNÉES!CN241)</f>
        <v/>
      </c>
      <c r="L71" s="96" t="str">
        <f>IF(PMTLYSE[[#This Row],[2024]]="","",(PMTLYSE[[#This Row],[2024]]-PMTLYSE[[#This Row],[2023]])/PMTLYSE[[#This Row],[2023]])</f>
        <v/>
      </c>
      <c r="M71" s="109" t="str">
        <f>IF(PMTLYSE[[#This Row],[2024]]="","",DONNÉES!CO241)</f>
        <v/>
      </c>
      <c r="N71" s="110" t="str">
        <f>IF(PMTLYSE[[#This Row],[2024]]="","",DONNÉES!CP241)</f>
        <v/>
      </c>
      <c r="O71" s="116" t="str">
        <f>IF(PMTLYSE[[#This Row],[2024]]="","",DONNÉES!CQ241)</f>
        <v/>
      </c>
    </row>
    <row r="72" spans="1:15" ht="13.15" customHeight="1" x14ac:dyDescent="0.2">
      <c r="A72" s="79" t="s">
        <v>79</v>
      </c>
      <c r="B72" s="109" t="str">
        <f>IF(DONNÉES!CE242="","",DONNÉES!CE242)</f>
        <v/>
      </c>
      <c r="C72" s="109" t="str">
        <f>IF(PMTTR314[[#This Row],[2024]]="","",DONNÉES!CF242)</f>
        <v/>
      </c>
      <c r="D72" s="96" t="str">
        <f>IF(PMTTR314[[#This Row],[2024]]="","",(PMTTR314[[#This Row],[2024]]-PMTTR314[[#This Row],[2023]])/PMTTR314[[#This Row],[2023]])</f>
        <v/>
      </c>
      <c r="E72" s="109" t="str">
        <f>IF(PMTTR314[[#This Row],[2024]]="","",DONNÉES!CG242)</f>
        <v/>
      </c>
      <c r="F72" s="110" t="str">
        <f>IF(PMTTR314[[#This Row],[2024]]="","",DONNÉES!CH242)</f>
        <v/>
      </c>
      <c r="G72" s="116" t="str">
        <f>IF(PMTTR314[[#This Row],[2024]]="","",DONNÉES!CI242)</f>
        <v/>
      </c>
      <c r="H72" s="79"/>
      <c r="I72" s="79" t="s">
        <v>79</v>
      </c>
      <c r="J72" s="109" t="str">
        <f>IF(DONNÉES!CM242="","",DONNÉES!CM242)</f>
        <v/>
      </c>
      <c r="K72" s="109" t="str">
        <f>IF(PMTLYSE[[#This Row],[2024]]="","",DONNÉES!CN242)</f>
        <v/>
      </c>
      <c r="L72" s="96" t="str">
        <f>IF(PMTLYSE[[#This Row],[2024]]="","",(PMTLYSE[[#This Row],[2024]]-PMTLYSE[[#This Row],[2023]])/PMTLYSE[[#This Row],[2023]])</f>
        <v/>
      </c>
      <c r="M72" s="109" t="str">
        <f>IF(PMTLYSE[[#This Row],[2024]]="","",DONNÉES!CO242)</f>
        <v/>
      </c>
      <c r="N72" s="110" t="str">
        <f>IF(PMTLYSE[[#This Row],[2024]]="","",DONNÉES!CP242)</f>
        <v/>
      </c>
      <c r="O72" s="116" t="str">
        <f>IF(PMTLYSE[[#This Row],[2024]]="","",DONNÉES!CQ242)</f>
        <v/>
      </c>
    </row>
    <row r="73" spans="1:15" ht="13.15" customHeight="1" x14ac:dyDescent="0.2">
      <c r="A73" s="81" t="s">
        <v>80</v>
      </c>
      <c r="B73" s="109" t="str">
        <f>IF(DONNÉES!CE243="","",DONNÉES!CE243)</f>
        <v/>
      </c>
      <c r="C73" s="109" t="str">
        <f>IF(PMTTR314[[#This Row],[2024]]="","",DONNÉES!CF243)</f>
        <v/>
      </c>
      <c r="D73" s="96" t="str">
        <f>IF(PMTTR314[[#This Row],[2024]]="","",(PMTTR314[[#This Row],[2024]]-PMTTR314[[#This Row],[2023]])/PMTTR314[[#This Row],[2023]])</f>
        <v/>
      </c>
      <c r="E73" s="109" t="str">
        <f>IF(PMTTR314[[#This Row],[2024]]="","",DONNÉES!CG243)</f>
        <v/>
      </c>
      <c r="F73" s="110" t="str">
        <f>IF(PMTTR314[[#This Row],[2024]]="","",DONNÉES!CH243)</f>
        <v/>
      </c>
      <c r="G73" s="116" t="str">
        <f>IF(PMTTR314[[#This Row],[2024]]="","",DONNÉES!CI243)</f>
        <v/>
      </c>
      <c r="H73" s="79"/>
      <c r="I73" s="81" t="s">
        <v>80</v>
      </c>
      <c r="J73" s="109" t="str">
        <f>IF(DONNÉES!CM243="","",DONNÉES!CM243)</f>
        <v/>
      </c>
      <c r="K73" s="109" t="str">
        <f>IF(PMTLYSE[[#This Row],[2024]]="","",DONNÉES!CN243)</f>
        <v/>
      </c>
      <c r="L73" s="96" t="str">
        <f>IF(PMTLYSE[[#This Row],[2024]]="","",(PMTLYSE[[#This Row],[2024]]-PMTLYSE[[#This Row],[2023]])/PMTLYSE[[#This Row],[2023]])</f>
        <v/>
      </c>
      <c r="M73" s="109" t="str">
        <f>IF(PMTLYSE[[#This Row],[2024]]="","",DONNÉES!CO243)</f>
        <v/>
      </c>
      <c r="N73" s="110" t="str">
        <f>IF(PMTLYSE[[#This Row],[2024]]="","",DONNÉES!CP243)</f>
        <v/>
      </c>
      <c r="O73" s="116" t="str">
        <f>IF(PMTLYSE[[#This Row],[2024]]="","",DONNÉES!CQ243)</f>
        <v/>
      </c>
    </row>
    <row r="74" spans="1:15" ht="13.15" customHeight="1" x14ac:dyDescent="0.2">
      <c r="A74" s="79" t="s">
        <v>81</v>
      </c>
      <c r="B74" s="110" t="str">
        <f>IF(DONNÉES!CE244="","",DONNÉES!CE244)</f>
        <v/>
      </c>
      <c r="C74" s="110" t="str">
        <f>IF(PMTTR314[[#This Row],[2024]]="","",DONNÉES!CF244)</f>
        <v/>
      </c>
      <c r="D74" s="97" t="str">
        <f>IF(PMTTR314[[#This Row],[2024]]="","",(PMTTR314[[#This Row],[2024]]-PMTTR314[[#This Row],[2023]])/PMTTR314[[#This Row],[2023]])</f>
        <v/>
      </c>
      <c r="E74" s="109" t="str">
        <f>IF(PMTTR314[[#This Row],[2024]]="","",DONNÉES!CG244)</f>
        <v/>
      </c>
      <c r="F74" s="110" t="str">
        <f>IF(PMTTR314[[#This Row],[2024]]="","",DONNÉES!CH244)</f>
        <v/>
      </c>
      <c r="G74" s="116" t="str">
        <f>IF(PMTTR314[[#This Row],[2024]]="","",DONNÉES!CI244)</f>
        <v/>
      </c>
      <c r="I74" s="79" t="s">
        <v>81</v>
      </c>
      <c r="J74" s="110" t="str">
        <f>IF(DONNÉES!CM244="","",DONNÉES!CM244)</f>
        <v/>
      </c>
      <c r="K74" s="110" t="str">
        <f>IF(PMTLYSE[[#This Row],[2024]]="","",DONNÉES!CN244)</f>
        <v/>
      </c>
      <c r="L74" s="97" t="str">
        <f>IF(PMTLYSE[[#This Row],[2024]]="","",(PMTLYSE[[#This Row],[2024]]-PMTLYSE[[#This Row],[2023]])/PMTLYSE[[#This Row],[2023]])</f>
        <v/>
      </c>
      <c r="M74" s="109" t="str">
        <f>IF(PMTLYSE[[#This Row],[2024]]="","",DONNÉES!CO244)</f>
        <v/>
      </c>
      <c r="N74" s="110" t="str">
        <f>IF(PMTLYSE[[#This Row],[2024]]="","",DONNÉES!CP244)</f>
        <v/>
      </c>
      <c r="O74" s="116" t="str">
        <f>IF(PMTLYSE[[#This Row],[2024]]="","",DONNÉES!CQ244)</f>
        <v/>
      </c>
    </row>
    <row r="75" spans="1:15" ht="13.15" customHeight="1" x14ac:dyDescent="0.2">
      <c r="A75" s="81" t="s">
        <v>82</v>
      </c>
      <c r="B75" s="110" t="str">
        <f>IF(DONNÉES!CE245="","",DONNÉES!CE245)</f>
        <v/>
      </c>
      <c r="C75" s="110" t="str">
        <f>IF(PMTTR314[[#This Row],[2024]]="","",DONNÉES!CF245)</f>
        <v/>
      </c>
      <c r="D75" s="97" t="str">
        <f>IF(PMTTR314[[#This Row],[2024]]="","",(PMTTR314[[#This Row],[2024]]-PMTTR314[[#This Row],[2023]])/PMTTR314[[#This Row],[2023]])</f>
        <v/>
      </c>
      <c r="E75" s="109" t="str">
        <f>IF(PMTTR314[[#This Row],[2024]]="","",DONNÉES!CG245)</f>
        <v/>
      </c>
      <c r="F75" s="110" t="str">
        <f>IF(PMTTR314[[#This Row],[2024]]="","",DONNÉES!CH245)</f>
        <v/>
      </c>
      <c r="G75" s="116" t="str">
        <f>IF(PMTTR314[[#This Row],[2024]]="","",DONNÉES!CI245)</f>
        <v/>
      </c>
      <c r="H75" s="79"/>
      <c r="I75" s="81" t="s">
        <v>82</v>
      </c>
      <c r="J75" s="110" t="str">
        <f>IF(DONNÉES!CM245="","",DONNÉES!CM245)</f>
        <v/>
      </c>
      <c r="K75" s="110" t="str">
        <f>IF(PMTLYSE[[#This Row],[2024]]="","",DONNÉES!CN245)</f>
        <v/>
      </c>
      <c r="L75" s="97" t="str">
        <f>IF(PMTLYSE[[#This Row],[2024]]="","",(PMTLYSE[[#This Row],[2024]]-PMTLYSE[[#This Row],[2023]])/PMTLYSE[[#This Row],[2023]])</f>
        <v/>
      </c>
      <c r="M75" s="109" t="str">
        <f>IF(PMTLYSE[[#This Row],[2024]]="","",DONNÉES!CO245)</f>
        <v/>
      </c>
      <c r="N75" s="110" t="str">
        <f>IF(PMTLYSE[[#This Row],[2024]]="","",DONNÉES!CP245)</f>
        <v/>
      </c>
      <c r="O75" s="116" t="str">
        <f>IF(PMTLYSE[[#This Row],[2024]]="","",DONNÉES!CQ245)</f>
        <v/>
      </c>
    </row>
    <row r="76" spans="1:15" s="81" customFormat="1" ht="13.15" customHeight="1" x14ac:dyDescent="0.2">
      <c r="A76" s="79" t="s">
        <v>83</v>
      </c>
      <c r="B76" s="110" t="str">
        <f>IF(DONNÉES!CE246="","",DONNÉES!CE246)</f>
        <v/>
      </c>
      <c r="C76" s="110" t="str">
        <f>IF(PMTTR314[[#This Row],[2024]]="","",DONNÉES!CF246)</f>
        <v/>
      </c>
      <c r="D76" s="97" t="str">
        <f>IF(PMTTR314[[#This Row],[2024]]="","",(PMTTR314[[#This Row],[2024]]-PMTTR314[[#This Row],[2023]])/PMTTR314[[#This Row],[2023]])</f>
        <v/>
      </c>
      <c r="E76" s="109" t="str">
        <f>IF(PMTTR314[[#This Row],[2024]]="","",DONNÉES!CG246)</f>
        <v/>
      </c>
      <c r="F76" s="110" t="str">
        <f>IF(PMTTR314[[#This Row],[2024]]="","",DONNÉES!CH246)</f>
        <v/>
      </c>
      <c r="G76" s="116" t="str">
        <f>IF(PMTTR314[[#This Row],[2024]]="","",DONNÉES!CI246)</f>
        <v/>
      </c>
      <c r="I76" s="79" t="s">
        <v>83</v>
      </c>
      <c r="J76" s="110" t="str">
        <f>IF(DONNÉES!CM246="","",DONNÉES!CM246)</f>
        <v/>
      </c>
      <c r="K76" s="110" t="str">
        <f>IF(PMTLYSE[[#This Row],[2024]]="","",DONNÉES!CN246)</f>
        <v/>
      </c>
      <c r="L76" s="97" t="str">
        <f>IF(PMTLYSE[[#This Row],[2024]]="","",(PMTLYSE[[#This Row],[2024]]-PMTLYSE[[#This Row],[2023]])/PMTLYSE[[#This Row],[2023]])</f>
        <v/>
      </c>
      <c r="M76" s="109" t="str">
        <f>IF(PMTLYSE[[#This Row],[2024]]="","",DONNÉES!CO246)</f>
        <v/>
      </c>
      <c r="N76" s="110" t="str">
        <f>IF(PMTLYSE[[#This Row],[2024]]="","",DONNÉES!CP246)</f>
        <v/>
      </c>
      <c r="O76" s="116" t="str">
        <f>IF(PMTLYSE[[#This Row],[2024]]="","",DONNÉES!CQ246)</f>
        <v/>
      </c>
    </row>
    <row r="77" spans="1:15" s="81" customFormat="1" ht="13.15" customHeight="1" x14ac:dyDescent="0.2">
      <c r="A77" s="79" t="s">
        <v>84</v>
      </c>
      <c r="B77" s="110" t="str">
        <f>IF(DONNÉES!CE247="","",DONNÉES!CE247)</f>
        <v/>
      </c>
      <c r="C77" s="110" t="str">
        <f>IF(PMTTR314[[#This Row],[2024]]="","",DONNÉES!CF247)</f>
        <v/>
      </c>
      <c r="D77" s="97" t="str">
        <f>IF(PMTTR314[[#This Row],[2024]]="","",(PMTTR314[[#This Row],[2024]]-PMTTR314[[#This Row],[2023]])/PMTTR314[[#This Row],[2023]])</f>
        <v/>
      </c>
      <c r="E77" s="109" t="str">
        <f>IF(PMTTR314[[#This Row],[2024]]="","",DONNÉES!CG247)</f>
        <v/>
      </c>
      <c r="F77" s="110" t="str">
        <f>IF(PMTTR314[[#This Row],[2024]]="","",DONNÉES!CH247)</f>
        <v/>
      </c>
      <c r="G77" s="116" t="str">
        <f>IF(PMTTR314[[#This Row],[2024]]="","",DONNÉES!CI247)</f>
        <v/>
      </c>
      <c r="I77" s="79" t="s">
        <v>84</v>
      </c>
      <c r="J77" s="110" t="str">
        <f>IF(DONNÉES!CM247="","",DONNÉES!CM247)</f>
        <v/>
      </c>
      <c r="K77" s="110" t="str">
        <f>IF(PMTLYSE[[#This Row],[2024]]="","",DONNÉES!CN247)</f>
        <v/>
      </c>
      <c r="L77" s="97" t="str">
        <f>IF(PMTLYSE[[#This Row],[2024]]="","",(PMTLYSE[[#This Row],[2024]]-PMTLYSE[[#This Row],[2023]])/PMTLYSE[[#This Row],[2023]])</f>
        <v/>
      </c>
      <c r="M77" s="109" t="str">
        <f>IF(PMTLYSE[[#This Row],[2024]]="","",DONNÉES!CO247)</f>
        <v/>
      </c>
      <c r="N77" s="110" t="str">
        <f>IF(PMTLYSE[[#This Row],[2024]]="","",DONNÉES!CP247)</f>
        <v/>
      </c>
      <c r="O77" s="116" t="str">
        <f>IF(PMTLYSE[[#This Row],[2024]]="","",DONNÉES!CQ247)</f>
        <v/>
      </c>
    </row>
    <row r="78" spans="1:15" s="81" customFormat="1" ht="16.899999999999999" customHeight="1" x14ac:dyDescent="0.2">
      <c r="A78" s="46" t="s">
        <v>134</v>
      </c>
      <c r="B78" s="111">
        <f>SUBTOTAL(101,PMTTR314[2024])</f>
        <v>16.05</v>
      </c>
      <c r="C78" s="111">
        <f>SUBTOTAL(101,PMTTR314[2023])</f>
        <v>17.95</v>
      </c>
      <c r="D78" s="125">
        <f>(PMTTR314[[#Totals],[2024]]-PMTTR314[[#Totals],[2023]])/PMTTR314[[#Totals],[2023]]</f>
        <v>-0.10584958217270188</v>
      </c>
      <c r="E78" s="117">
        <f>SUBTOTAL(101,PMTTR314[2022])</f>
        <v>16.53</v>
      </c>
      <c r="F78" s="111">
        <f>SUBTOTAL(101,PMTTR314[2021])</f>
        <v>16.18</v>
      </c>
      <c r="G78" s="111">
        <f>SUBTOTAL(101,PMTTR314[2020])</f>
        <v>18.940000000000001</v>
      </c>
      <c r="I78" s="46" t="s">
        <v>135</v>
      </c>
      <c r="J78" s="111">
        <f>SUBTOTAL(101,PMTLYSE[2024])</f>
        <v>17.899999999999999</v>
      </c>
      <c r="K78" s="111">
        <f>SUBTOTAL(101,PMTLYSE[2023])</f>
        <v>17.13</v>
      </c>
      <c r="L78" s="125">
        <f>(PMTLYSE[[#Totals],[2024]]-PMTLYSE[[#Totals],[2023]])/PMTLYSE[[#Totals],[2023]]</f>
        <v>4.4950379451255087E-2</v>
      </c>
      <c r="M78" s="117">
        <f>SUBTOTAL(101,PMTLYSE[2022])</f>
        <v>18.600000000000001</v>
      </c>
      <c r="N78" s="111">
        <f>SUBTOTAL(101,PMTLYSE[2021])</f>
        <v>17.829999999999998</v>
      </c>
      <c r="O78" s="90">
        <f>SUBTOTAL(101,PMTLYSE[2020])</f>
        <v>18.149999999999999</v>
      </c>
    </row>
    <row r="79" spans="1:15" ht="30.6" customHeight="1" x14ac:dyDescent="0.2">
      <c r="H79" s="79"/>
    </row>
    <row r="80" spans="1:15" ht="33" customHeight="1" x14ac:dyDescent="0.2">
      <c r="A80" s="79" t="s">
        <v>296</v>
      </c>
      <c r="B80" s="108" t="s">
        <v>6962</v>
      </c>
      <c r="C80" s="108" t="s">
        <v>2169</v>
      </c>
      <c r="D80" s="100" t="s">
        <v>136</v>
      </c>
      <c r="E80" s="108" t="s">
        <v>1553</v>
      </c>
      <c r="F80" s="108" t="s">
        <v>1522</v>
      </c>
      <c r="G80" s="124" t="s">
        <v>1304</v>
      </c>
      <c r="H80" s="79"/>
      <c r="I80" s="79" t="s">
        <v>297</v>
      </c>
      <c r="J80" s="108" t="s">
        <v>6962</v>
      </c>
      <c r="K80" s="108" t="s">
        <v>2169</v>
      </c>
      <c r="L80" s="100" t="s">
        <v>136</v>
      </c>
      <c r="M80" s="108" t="s">
        <v>1553</v>
      </c>
      <c r="N80" s="108" t="s">
        <v>1522</v>
      </c>
      <c r="O80" s="124" t="s">
        <v>1304</v>
      </c>
    </row>
    <row r="81" spans="1:15" ht="13.15" customHeight="1" x14ac:dyDescent="0.2">
      <c r="A81" s="81" t="s">
        <v>73</v>
      </c>
      <c r="B81" s="109">
        <f>IF(DONNÉES!BW236="","",DONNÉES!BW236)</f>
        <v>18.260000000000002</v>
      </c>
      <c r="C81" s="109">
        <f>IF(PMTDIVES[[#This Row],[2024]]="","",DONNÉES!BX236)</f>
        <v>18.32</v>
      </c>
      <c r="D81" s="96">
        <f>IF(PMTDIVES[[#This Row],[2024]]="","",(PMTDIVES[[#This Row],[2024]]-PMTDIVES[[#This Row],[2023]])/PMTDIVES[[#This Row],[2023]])</f>
        <v>-3.2751091703056069E-3</v>
      </c>
      <c r="E81" s="109">
        <f>IF(PMTDIVES[[#This Row],[2024]]="","",DONNÉES!BY236)</f>
        <v>18.170000000000002</v>
      </c>
      <c r="F81" s="109">
        <f>IF(PMTDIVES[[#This Row],[2024]]="","",DONNÉES!BZ236)</f>
        <v>17.989999999999998</v>
      </c>
      <c r="G81" s="109"/>
      <c r="H81" s="79"/>
      <c r="I81" s="81" t="s">
        <v>73</v>
      </c>
      <c r="J81" s="109">
        <f>IF(DONNÉES!BO236="","",DONNÉES!BO236)</f>
        <v>16.36</v>
      </c>
      <c r="K81" s="109">
        <f>IF(PMTTH4[[#This Row],[2024]]="","",DONNÉES!BP236)</f>
        <v>16.739999999999998</v>
      </c>
      <c r="L81" s="102">
        <f>IF(PMTTH4[[#This Row],[2024]]="","",(PMTTH4[[#This Row],[2024]]-PMTTH4[[#This Row],[2023]])/PMTTH4[[#This Row],[2023]])</f>
        <v>-2.2700119474312965E-2</v>
      </c>
      <c r="M81" s="109">
        <f>IF(PMTTH4[[#This Row],[2024]]="","",DONNÉES!BQ236)</f>
        <v>16.239999999999998</v>
      </c>
      <c r="N81" s="109">
        <f>IF(PMTTH4[[#This Row],[2024]]="","",DONNÉES!BR236)</f>
        <v>15.82</v>
      </c>
      <c r="O81" s="109">
        <f>IF(PMTTH4[[#This Row],[2024]]="","",DONNÉES!BS236)</f>
        <v>17.920000000000002</v>
      </c>
    </row>
    <row r="82" spans="1:15" ht="13.15" customHeight="1" x14ac:dyDescent="0.2">
      <c r="A82" s="81" t="s">
        <v>74</v>
      </c>
      <c r="B82" s="109" t="str">
        <f>IF(DONNÉES!BW237="","",DONNÉES!BW237)</f>
        <v/>
      </c>
      <c r="C82" s="109" t="str">
        <f>IF(PMTDIVES[[#This Row],[2024]]="","",DONNÉES!BX237)</f>
        <v/>
      </c>
      <c r="D82" s="96" t="str">
        <f>IF(PMTDIVES[[#This Row],[2024]]="","",(PMTDIVES[[#This Row],[2024]]-PMTDIVES[[#This Row],[2023]])/PMTDIVES[[#This Row],[2023]])</f>
        <v/>
      </c>
      <c r="E82" s="109" t="str">
        <f>IF(PMTDIVES[[#This Row],[2024]]="","",DONNÉES!BY237)</f>
        <v/>
      </c>
      <c r="F82" s="109" t="str">
        <f>IF(PMTDIVES[[#This Row],[2024]]="","",DONNÉES!BZ237)</f>
        <v/>
      </c>
      <c r="G82" s="109"/>
      <c r="H82" s="79"/>
      <c r="I82" s="81" t="s">
        <v>74</v>
      </c>
      <c r="J82" s="109" t="str">
        <f>IF(DONNÉES!BO237="","",DONNÉES!BO237)</f>
        <v/>
      </c>
      <c r="K82" s="109" t="str">
        <f>IF(PMTTH4[[#This Row],[2024]]="","",DONNÉES!BP237)</f>
        <v/>
      </c>
      <c r="L82" s="102" t="str">
        <f>IF(PMTTH4[[#This Row],[2024]]="","",(PMTTH4[[#This Row],[2024]]-PMTTH4[[#This Row],[2023]])/PMTTH4[[#This Row],[2023]])</f>
        <v/>
      </c>
      <c r="M82" s="109" t="str">
        <f>IF(PMTTH4[[#This Row],[2024]]="","",DONNÉES!BQ237)</f>
        <v/>
      </c>
      <c r="N82" s="109" t="str">
        <f>IF(PMTTH4[[#This Row],[2024]]="","",DONNÉES!BR237)</f>
        <v/>
      </c>
      <c r="O82" s="109" t="str">
        <f>IF(PMTTH4[[#This Row],[2024]]="","",DONNÉES!BS237)</f>
        <v/>
      </c>
    </row>
    <row r="83" spans="1:15" ht="13.15" customHeight="1" x14ac:dyDescent="0.2">
      <c r="A83" s="79" t="s">
        <v>75</v>
      </c>
      <c r="B83" s="109" t="str">
        <f>IF(DONNÉES!BW238="","",DONNÉES!BW238)</f>
        <v/>
      </c>
      <c r="C83" s="109" t="str">
        <f>IF(PMTDIVES[[#This Row],[2024]]="","",DONNÉES!BX238)</f>
        <v/>
      </c>
      <c r="D83" s="96" t="str">
        <f>IF(PMTDIVES[[#This Row],[2024]]="","",(PMTDIVES[[#This Row],[2024]]-PMTDIVES[[#This Row],[2023]])/PMTDIVES[[#This Row],[2023]])</f>
        <v/>
      </c>
      <c r="E83" s="109" t="str">
        <f>IF(PMTDIVES[[#This Row],[2024]]="","",DONNÉES!BY238)</f>
        <v/>
      </c>
      <c r="F83" s="109" t="str">
        <f>IF(PMTDIVES[[#This Row],[2024]]="","",DONNÉES!BZ238)</f>
        <v/>
      </c>
      <c r="G83" s="109"/>
      <c r="H83" s="79"/>
      <c r="I83" s="79" t="s">
        <v>75</v>
      </c>
      <c r="J83" s="109" t="str">
        <f>IF(DONNÉES!BO238="","",DONNÉES!BO238)</f>
        <v/>
      </c>
      <c r="K83" s="109" t="str">
        <f>IF(PMTTH4[[#This Row],[2024]]="","",DONNÉES!BP238)</f>
        <v/>
      </c>
      <c r="L83" s="102" t="str">
        <f>IF(PMTTH4[[#This Row],[2024]]="","",(PMTTH4[[#This Row],[2024]]-PMTTH4[[#This Row],[2023]])/PMTTH4[[#This Row],[2023]])</f>
        <v/>
      </c>
      <c r="M83" s="109" t="str">
        <f>IF(PMTTH4[[#This Row],[2024]]="","",DONNÉES!BQ238)</f>
        <v/>
      </c>
      <c r="N83" s="109" t="str">
        <f>IF(PMTTH4[[#This Row],[2024]]="","",DONNÉES!BR238)</f>
        <v/>
      </c>
      <c r="O83" s="109" t="str">
        <f>IF(PMTTH4[[#This Row],[2024]]="","",DONNÉES!BS238)</f>
        <v/>
      </c>
    </row>
    <row r="84" spans="1:15" ht="13.15" customHeight="1" x14ac:dyDescent="0.2">
      <c r="A84" s="81" t="s">
        <v>76</v>
      </c>
      <c r="B84" s="109" t="str">
        <f>IF(DONNÉES!BW239="","",DONNÉES!BW239)</f>
        <v/>
      </c>
      <c r="C84" s="109" t="str">
        <f>IF(PMTDIVES[[#This Row],[2024]]="","",DONNÉES!BX239)</f>
        <v/>
      </c>
      <c r="D84" s="96" t="str">
        <f>IF(PMTDIVES[[#This Row],[2024]]="","",(PMTDIVES[[#This Row],[2024]]-PMTDIVES[[#This Row],[2023]])/PMTDIVES[[#This Row],[2023]])</f>
        <v/>
      </c>
      <c r="E84" s="109" t="str">
        <f>IF(PMTDIVES[[#This Row],[2024]]="","",DONNÉES!BY239)</f>
        <v/>
      </c>
      <c r="F84" s="109" t="str">
        <f>IF(PMTDIVES[[#This Row],[2024]]="","",DONNÉES!BZ239)</f>
        <v/>
      </c>
      <c r="G84" s="109"/>
      <c r="I84" s="81" t="s">
        <v>76</v>
      </c>
      <c r="J84" s="109" t="str">
        <f>IF(DONNÉES!BO239="","",DONNÉES!BO239)</f>
        <v/>
      </c>
      <c r="K84" s="109" t="str">
        <f>IF(PMTTH4[[#This Row],[2024]]="","",DONNÉES!BP239)</f>
        <v/>
      </c>
      <c r="L84" s="102" t="str">
        <f>IF(PMTTH4[[#This Row],[2024]]="","",(PMTTH4[[#This Row],[2024]]-PMTTH4[[#This Row],[2023]])/PMTTH4[[#This Row],[2023]])</f>
        <v/>
      </c>
      <c r="M84" s="109" t="str">
        <f>IF(PMTTH4[[#This Row],[2024]]="","",DONNÉES!BQ239)</f>
        <v/>
      </c>
      <c r="N84" s="109" t="str">
        <f>IF(PMTTH4[[#This Row],[2024]]="","",DONNÉES!BR239)</f>
        <v/>
      </c>
      <c r="O84" s="109" t="str">
        <f>IF(PMTTH4[[#This Row],[2024]]="","",DONNÉES!BS239)</f>
        <v/>
      </c>
    </row>
    <row r="85" spans="1:15" ht="13.15" customHeight="1" x14ac:dyDescent="0.2">
      <c r="A85" s="79" t="s">
        <v>77</v>
      </c>
      <c r="B85" s="109" t="str">
        <f>IF(DONNÉES!BW240="","",DONNÉES!BW240)</f>
        <v/>
      </c>
      <c r="C85" s="109" t="str">
        <f>IF(PMTDIVES[[#This Row],[2024]]="","",DONNÉES!BX240)</f>
        <v/>
      </c>
      <c r="D85" s="96" t="str">
        <f>IF(PMTDIVES[[#This Row],[2024]]="","",(PMTDIVES[[#This Row],[2024]]-PMTDIVES[[#This Row],[2023]])/PMTDIVES[[#This Row],[2023]])</f>
        <v/>
      </c>
      <c r="E85" s="109" t="str">
        <f>IF(PMTDIVES[[#This Row],[2024]]="","",DONNÉES!BY240)</f>
        <v/>
      </c>
      <c r="F85" s="109" t="str">
        <f>IF(PMTDIVES[[#This Row],[2024]]="","",DONNÉES!BZ240)</f>
        <v/>
      </c>
      <c r="G85" s="109"/>
      <c r="H85" s="79"/>
      <c r="I85" s="79" t="s">
        <v>77</v>
      </c>
      <c r="J85" s="109" t="str">
        <f>IF(DONNÉES!BO240="","",DONNÉES!BO240)</f>
        <v/>
      </c>
      <c r="K85" s="109" t="str">
        <f>IF(PMTTH4[[#This Row],[2024]]="","",DONNÉES!BP240)</f>
        <v/>
      </c>
      <c r="L85" s="102" t="str">
        <f>IF(PMTTH4[[#This Row],[2024]]="","",(PMTTH4[[#This Row],[2024]]-PMTTH4[[#This Row],[2023]])/PMTTH4[[#This Row],[2023]])</f>
        <v/>
      </c>
      <c r="M85" s="109" t="str">
        <f>IF(PMTTH4[[#This Row],[2024]]="","",DONNÉES!BQ240)</f>
        <v/>
      </c>
      <c r="N85" s="109" t="str">
        <f>IF(PMTTH4[[#This Row],[2024]]="","",DONNÉES!BR240)</f>
        <v/>
      </c>
      <c r="O85" s="109" t="str">
        <f>IF(PMTTH4[[#This Row],[2024]]="","",DONNÉES!BS240)</f>
        <v/>
      </c>
    </row>
    <row r="86" spans="1:15" s="81" customFormat="1" ht="13.15" customHeight="1" x14ac:dyDescent="0.2">
      <c r="A86" s="81" t="s">
        <v>78</v>
      </c>
      <c r="B86" s="109" t="str">
        <f>IF(DONNÉES!BW241="","",DONNÉES!BW241)</f>
        <v/>
      </c>
      <c r="C86" s="109" t="str">
        <f>IF(PMTDIVES[[#This Row],[2024]]="","",DONNÉES!BX241)</f>
        <v/>
      </c>
      <c r="D86" s="96" t="str">
        <f>IF(PMTDIVES[[#This Row],[2024]]="","",(PMTDIVES[[#This Row],[2024]]-PMTDIVES[[#This Row],[2023]])/PMTDIVES[[#This Row],[2023]])</f>
        <v/>
      </c>
      <c r="E86" s="109" t="str">
        <f>IF(PMTDIVES[[#This Row],[2024]]="","",DONNÉES!BY241)</f>
        <v/>
      </c>
      <c r="F86" s="109" t="str">
        <f>IF(PMTDIVES[[#This Row],[2024]]="","",DONNÉES!BZ241)</f>
        <v/>
      </c>
      <c r="G86" s="109"/>
      <c r="I86" s="81" t="s">
        <v>78</v>
      </c>
      <c r="J86" s="109" t="str">
        <f>IF(DONNÉES!BO241="","",DONNÉES!BO241)</f>
        <v/>
      </c>
      <c r="K86" s="109" t="str">
        <f>IF(PMTTH4[[#This Row],[2024]]="","",DONNÉES!BP241)</f>
        <v/>
      </c>
      <c r="L86" s="102" t="str">
        <f>IF(PMTTH4[[#This Row],[2024]]="","",(PMTTH4[[#This Row],[2024]]-PMTTH4[[#This Row],[2023]])/PMTTH4[[#This Row],[2023]])</f>
        <v/>
      </c>
      <c r="M86" s="109" t="str">
        <f>IF(PMTTH4[[#This Row],[2024]]="","",DONNÉES!BQ241)</f>
        <v/>
      </c>
      <c r="N86" s="109" t="str">
        <f>IF(PMTTH4[[#This Row],[2024]]="","",DONNÉES!BR241)</f>
        <v/>
      </c>
      <c r="O86" s="109" t="str">
        <f>IF(PMTTH4[[#This Row],[2024]]="","",DONNÉES!BS241)</f>
        <v/>
      </c>
    </row>
    <row r="87" spans="1:15" s="81" customFormat="1" ht="13.15" customHeight="1" x14ac:dyDescent="0.2">
      <c r="A87" s="79" t="s">
        <v>79</v>
      </c>
      <c r="B87" s="109" t="str">
        <f>IF(DONNÉES!BW242="","",DONNÉES!BW242)</f>
        <v/>
      </c>
      <c r="C87" s="109" t="str">
        <f>IF(PMTDIVES[[#This Row],[2024]]="","",DONNÉES!BX242)</f>
        <v/>
      </c>
      <c r="D87" s="96" t="str">
        <f>IF(PMTDIVES[[#This Row],[2024]]="","",(PMTDIVES[[#This Row],[2024]]-PMTDIVES[[#This Row],[2023]])/PMTDIVES[[#This Row],[2023]])</f>
        <v/>
      </c>
      <c r="E87" s="109" t="str">
        <f>IF(PMTDIVES[[#This Row],[2024]]="","",DONNÉES!BY242)</f>
        <v/>
      </c>
      <c r="F87" s="109" t="str">
        <f>IF(PMTDIVES[[#This Row],[2024]]="","",DONNÉES!BZ242)</f>
        <v/>
      </c>
      <c r="G87" s="109"/>
      <c r="I87" s="79" t="s">
        <v>79</v>
      </c>
      <c r="J87" s="109" t="str">
        <f>IF(DONNÉES!BO242="","",DONNÉES!BO242)</f>
        <v/>
      </c>
      <c r="K87" s="109" t="str">
        <f>IF(PMTTH4[[#This Row],[2024]]="","",DONNÉES!BP242)</f>
        <v/>
      </c>
      <c r="L87" s="102" t="str">
        <f>IF(PMTTH4[[#This Row],[2024]]="","",(PMTTH4[[#This Row],[2024]]-PMTTH4[[#This Row],[2023]])/PMTTH4[[#This Row],[2023]])</f>
        <v/>
      </c>
      <c r="M87" s="109" t="str">
        <f>IF(PMTTH4[[#This Row],[2024]]="","",DONNÉES!BQ242)</f>
        <v/>
      </c>
      <c r="N87" s="109" t="str">
        <f>IF(PMTTH4[[#This Row],[2024]]="","",DONNÉES!BR242)</f>
        <v/>
      </c>
      <c r="O87" s="109" t="str">
        <f>IF(PMTTH4[[#This Row],[2024]]="","",DONNÉES!BS242)</f>
        <v/>
      </c>
    </row>
    <row r="88" spans="1:15" s="81" customFormat="1" ht="13.15" customHeight="1" x14ac:dyDescent="0.2">
      <c r="A88" s="81" t="s">
        <v>80</v>
      </c>
      <c r="B88" s="109" t="str">
        <f>IF(DONNÉES!BW243="","",DONNÉES!BW243)</f>
        <v/>
      </c>
      <c r="C88" s="109" t="str">
        <f>IF(PMTDIVES[[#This Row],[2024]]="","",DONNÉES!BX243)</f>
        <v/>
      </c>
      <c r="D88" s="96" t="str">
        <f>IF(PMTDIVES[[#This Row],[2024]]="","",(PMTDIVES[[#This Row],[2024]]-PMTDIVES[[#This Row],[2023]])/PMTDIVES[[#This Row],[2023]])</f>
        <v/>
      </c>
      <c r="E88" s="109" t="str">
        <f>IF(PMTDIVES[[#This Row],[2024]]="","",DONNÉES!BY243)</f>
        <v/>
      </c>
      <c r="F88" s="109" t="str">
        <f>IF(PMTDIVES[[#This Row],[2024]]="","",DONNÉES!BZ243)</f>
        <v/>
      </c>
      <c r="G88" s="109"/>
      <c r="I88" s="81" t="s">
        <v>80</v>
      </c>
      <c r="J88" s="109" t="str">
        <f>IF(DONNÉES!BO243="","",DONNÉES!BO243)</f>
        <v/>
      </c>
      <c r="K88" s="109" t="str">
        <f>IF(PMTTH4[[#This Row],[2024]]="","",DONNÉES!BP243)</f>
        <v/>
      </c>
      <c r="L88" s="102" t="str">
        <f>IF(PMTTH4[[#This Row],[2024]]="","",(PMTTH4[[#This Row],[2024]]-PMTTH4[[#This Row],[2023]])/PMTTH4[[#This Row],[2023]])</f>
        <v/>
      </c>
      <c r="M88" s="109" t="str">
        <f>IF(PMTTH4[[#This Row],[2024]]="","",DONNÉES!BQ243)</f>
        <v/>
      </c>
      <c r="N88" s="109" t="str">
        <f>IF(PMTTH4[[#This Row],[2024]]="","",DONNÉES!BR243)</f>
        <v/>
      </c>
      <c r="O88" s="109" t="str">
        <f>IF(PMTTH4[[#This Row],[2024]]="","",DONNÉES!BS243)</f>
        <v/>
      </c>
    </row>
    <row r="89" spans="1:15" ht="13.15" customHeight="1" x14ac:dyDescent="0.2">
      <c r="A89" s="79" t="s">
        <v>81</v>
      </c>
      <c r="B89" s="110" t="str">
        <f>IF(DONNÉES!BW244="","",DONNÉES!BW244)</f>
        <v/>
      </c>
      <c r="C89" s="110" t="str">
        <f>IF(PMTDIVES[[#This Row],[2024]]="","",DONNÉES!BX244)</f>
        <v/>
      </c>
      <c r="D89" s="97" t="str">
        <f>IF(PMTDIVES[[#This Row],[2024]]="","",(PMTDIVES[[#This Row],[2024]]-PMTDIVES[[#This Row],[2023]])/PMTDIVES[[#This Row],[2023]])</f>
        <v/>
      </c>
      <c r="E89" s="109" t="str">
        <f>IF(PMTDIVES[[#This Row],[2024]]="","",DONNÉES!BY244)</f>
        <v/>
      </c>
      <c r="F89" s="109" t="str">
        <f>IF(PMTDIVES[[#This Row],[2024]]="","",DONNÉES!BZ244)</f>
        <v/>
      </c>
      <c r="G89" s="109"/>
      <c r="H89" s="79"/>
      <c r="I89" s="79" t="s">
        <v>81</v>
      </c>
      <c r="J89" s="110" t="str">
        <f>IF(DONNÉES!BO244="","",DONNÉES!BO244)</f>
        <v/>
      </c>
      <c r="K89" s="110" t="str">
        <f>IF(PMTTH4[[#This Row],[2024]]="","",DONNÉES!BP244)</f>
        <v/>
      </c>
      <c r="L89" s="103" t="str">
        <f>IF(PMTTH4[[#This Row],[2024]]="","",(PMTTH4[[#This Row],[2024]]-PMTTH4[[#This Row],[2023]])/PMTTH4[[#This Row],[2023]])</f>
        <v/>
      </c>
      <c r="M89" s="109" t="str">
        <f>IF(PMTTH4[[#This Row],[2024]]="","",DONNÉES!BQ244)</f>
        <v/>
      </c>
      <c r="N89" s="109" t="str">
        <f>IF(PMTTH4[[#This Row],[2024]]="","",DONNÉES!BR244)</f>
        <v/>
      </c>
      <c r="O89" s="109" t="str">
        <f>IF(PMTTH4[[#This Row],[2024]]="","",DONNÉES!BS244)</f>
        <v/>
      </c>
    </row>
    <row r="90" spans="1:15" ht="13.15" customHeight="1" x14ac:dyDescent="0.2">
      <c r="A90" s="81" t="s">
        <v>82</v>
      </c>
      <c r="B90" s="110" t="str">
        <f>IF(DONNÉES!BW245="","",DONNÉES!BW245)</f>
        <v/>
      </c>
      <c r="C90" s="110" t="str">
        <f>IF(PMTDIVES[[#This Row],[2024]]="","",DONNÉES!BX245)</f>
        <v/>
      </c>
      <c r="D90" s="97" t="str">
        <f>IF(PMTDIVES[[#This Row],[2024]]="","",(PMTDIVES[[#This Row],[2024]]-PMTDIVES[[#This Row],[2023]])/PMTDIVES[[#This Row],[2023]])</f>
        <v/>
      </c>
      <c r="E90" s="109" t="str">
        <f>IF(PMTDIVES[[#This Row],[2024]]="","",DONNÉES!BY245)</f>
        <v/>
      </c>
      <c r="F90" s="109" t="str">
        <f>IF(PMTDIVES[[#This Row],[2024]]="","",DONNÉES!BZ245)</f>
        <v/>
      </c>
      <c r="G90" s="109" t="str">
        <f>IF(PMTDIVES[[#This Row],[2024]]="","",DONNÉES!CA245)</f>
        <v/>
      </c>
      <c r="H90" s="79"/>
      <c r="I90" s="81" t="s">
        <v>82</v>
      </c>
      <c r="J90" s="110" t="str">
        <f>IF(DONNÉES!BO245="","",DONNÉES!BO245)</f>
        <v/>
      </c>
      <c r="K90" s="110" t="str">
        <f>IF(PMTTH4[[#This Row],[2024]]="","",DONNÉES!BP245)</f>
        <v/>
      </c>
      <c r="L90" s="103" t="str">
        <f>IF(PMTTH4[[#This Row],[2024]]="","",(PMTTH4[[#This Row],[2024]]-PMTTH4[[#This Row],[2023]])/PMTTH4[[#This Row],[2023]])</f>
        <v/>
      </c>
      <c r="M90" s="109" t="str">
        <f>IF(PMTTH4[[#This Row],[2024]]="","",DONNÉES!BQ245)</f>
        <v/>
      </c>
      <c r="N90" s="109" t="str">
        <f>IF(PMTTH4[[#This Row],[2024]]="","",DONNÉES!BR245)</f>
        <v/>
      </c>
      <c r="O90" s="109" t="str">
        <f>IF(PMTTH4[[#This Row],[2024]]="","",DONNÉES!BS245)</f>
        <v/>
      </c>
    </row>
    <row r="91" spans="1:15" ht="13.15" customHeight="1" x14ac:dyDescent="0.2">
      <c r="A91" s="79" t="s">
        <v>83</v>
      </c>
      <c r="B91" s="110" t="str">
        <f>IF(DONNÉES!BW246="","",DONNÉES!BW246)</f>
        <v/>
      </c>
      <c r="C91" s="110" t="str">
        <f>IF(PMTDIVES[[#This Row],[2024]]="","",DONNÉES!BX246)</f>
        <v/>
      </c>
      <c r="D91" s="97" t="str">
        <f>IF(PMTDIVES[[#This Row],[2024]]="","",(PMTDIVES[[#This Row],[2024]]-PMTDIVES[[#This Row],[2023]])/PMTDIVES[[#This Row],[2023]])</f>
        <v/>
      </c>
      <c r="E91" s="109" t="str">
        <f>IF(PMTDIVES[[#This Row],[2024]]="","",DONNÉES!BY246)</f>
        <v/>
      </c>
      <c r="F91" s="109" t="str">
        <f>IF(PMTDIVES[[#This Row],[2024]]="","",DONNÉES!BZ246)</f>
        <v/>
      </c>
      <c r="G91" s="109" t="str">
        <f>IF(PMTDIVES[[#This Row],[2024]]="","",DONNÉES!CA246)</f>
        <v/>
      </c>
      <c r="H91" s="79"/>
      <c r="I91" s="79" t="s">
        <v>83</v>
      </c>
      <c r="J91" s="110" t="str">
        <f>IF(DONNÉES!BO246="","",DONNÉES!BO246)</f>
        <v/>
      </c>
      <c r="K91" s="110" t="str">
        <f>IF(PMTTH4[[#This Row],[2024]]="","",DONNÉES!BP246)</f>
        <v/>
      </c>
      <c r="L91" s="103" t="str">
        <f>IF(PMTTH4[[#This Row],[2024]]="","",(PMTTH4[[#This Row],[2024]]-PMTTH4[[#This Row],[2023]])/PMTTH4[[#This Row],[2023]])</f>
        <v/>
      </c>
      <c r="M91" s="109" t="str">
        <f>IF(PMTTH4[[#This Row],[2024]]="","",DONNÉES!BQ246)</f>
        <v/>
      </c>
      <c r="N91" s="109" t="str">
        <f>IF(PMTTH4[[#This Row],[2024]]="","",DONNÉES!BR246)</f>
        <v/>
      </c>
      <c r="O91" s="109" t="str">
        <f>IF(PMTTH4[[#This Row],[2024]]="","",DONNÉES!BS246)</f>
        <v/>
      </c>
    </row>
    <row r="92" spans="1:15" ht="13.15" customHeight="1" x14ac:dyDescent="0.2">
      <c r="A92" s="79" t="s">
        <v>84</v>
      </c>
      <c r="B92" s="110" t="str">
        <f>IF(DONNÉES!BW247="","",DONNÉES!BW247)</f>
        <v/>
      </c>
      <c r="C92" s="110" t="str">
        <f>IF(PMTDIVES[[#This Row],[2024]]="","",DONNÉES!BX247)</f>
        <v/>
      </c>
      <c r="D92" s="97" t="str">
        <f>IF(PMTDIVES[[#This Row],[2024]]="","",(PMTDIVES[[#This Row],[2024]]-PMTDIVES[[#This Row],[2023]])/PMTDIVES[[#This Row],[2023]])</f>
        <v/>
      </c>
      <c r="E92" s="109" t="str">
        <f>IF(PMTDIVES[[#This Row],[2024]]="","",DONNÉES!BY247)</f>
        <v/>
      </c>
      <c r="F92" s="109" t="str">
        <f>IF(PMTDIVES[[#This Row],[2024]]="","",DONNÉES!BZ247)</f>
        <v/>
      </c>
      <c r="G92" s="109" t="str">
        <f>IF(PMTDIVES[[#This Row],[2024]]="","",DONNÉES!CA247)</f>
        <v/>
      </c>
      <c r="H92" s="79"/>
      <c r="I92" s="79" t="s">
        <v>84</v>
      </c>
      <c r="J92" s="110" t="str">
        <f>IF(DONNÉES!BO247="","",DONNÉES!BO247)</f>
        <v/>
      </c>
      <c r="K92" s="110" t="str">
        <f>IF(PMTTH4[[#This Row],[2024]]="","",DONNÉES!BP247)</f>
        <v/>
      </c>
      <c r="L92" s="103" t="str">
        <f>IF(PMTTH4[[#This Row],[2024]]="","",(PMTTH4[[#This Row],[2024]]-PMTTH4[[#This Row],[2023]])/PMTTH4[[#This Row],[2023]])</f>
        <v/>
      </c>
      <c r="M92" s="109" t="str">
        <f>IF(PMTTH4[[#This Row],[2024]]="","",DONNÉES!BQ247)</f>
        <v/>
      </c>
      <c r="N92" s="109" t="str">
        <f>IF(PMTTH4[[#This Row],[2024]]="","",DONNÉES!BR247)</f>
        <v/>
      </c>
      <c r="O92" s="109" t="str">
        <f>IF(PMTTH4[[#This Row],[2024]]="","",DONNÉES!BS247)</f>
        <v/>
      </c>
    </row>
    <row r="93" spans="1:15" ht="16.899999999999999" customHeight="1" x14ac:dyDescent="0.2">
      <c r="A93" s="46" t="s">
        <v>135</v>
      </c>
      <c r="B93" s="90">
        <f>SUBTOTAL(101,PMTDIVES[2024])</f>
        <v>18.260000000000002</v>
      </c>
      <c r="C93" s="90">
        <f>SUBTOTAL(101,PMTDIVES[2023])</f>
        <v>18.32</v>
      </c>
      <c r="D93" s="105">
        <f>(PMTDIVES[[#Totals],[2024]]-PMTDIVES[[#Totals],[2023]])/PMTDIVES[[#Totals],[2023]]</f>
        <v>-3.2751091703056069E-3</v>
      </c>
      <c r="E93" s="119">
        <f>SUBTOTAL(101,PMTDIVES[2022])</f>
        <v>18.170000000000002</v>
      </c>
      <c r="F93" s="90">
        <f>SUBTOTAL(101,PMTDIVES[2021])</f>
        <v>17.989999999999998</v>
      </c>
      <c r="G93" s="90"/>
      <c r="H93" s="79"/>
      <c r="I93" s="46" t="s">
        <v>135</v>
      </c>
      <c r="J93" s="90">
        <f>SUBTOTAL(101,PMTTH4[2024])</f>
        <v>16.36</v>
      </c>
      <c r="K93" s="90">
        <f>SUBTOTAL(101,PMTTH4[2023])</f>
        <v>16.739999999999998</v>
      </c>
      <c r="L93" s="105">
        <f>(PMTTH4[[#Totals],[2024]]-PMTTH4[[#Totals],[2023]])/PMTTH4[[#Totals],[2023]]</f>
        <v>-2.2700119474312965E-2</v>
      </c>
      <c r="M93" s="119">
        <f>SUBTOTAL(101,PMTTH4[2022])</f>
        <v>16.239999999999998</v>
      </c>
      <c r="N93" s="90">
        <f>SUBTOTAL(101,PMTTH4[2021])</f>
        <v>15.82</v>
      </c>
      <c r="O93" s="90">
        <f>SUBTOTAL(101,PMTTH4[2020])</f>
        <v>17.920000000000002</v>
      </c>
    </row>
    <row r="94" spans="1:15" ht="30.6" customHeight="1" x14ac:dyDescent="0.2">
      <c r="M94" s="123"/>
    </row>
    <row r="95" spans="1:15" ht="33" customHeight="1" x14ac:dyDescent="0.2">
      <c r="A95" s="79" t="s">
        <v>6963</v>
      </c>
      <c r="B95" s="108" t="s">
        <v>6962</v>
      </c>
      <c r="C95" s="108" t="s">
        <v>2169</v>
      </c>
      <c r="D95" s="100" t="s">
        <v>136</v>
      </c>
      <c r="E95" s="108" t="s">
        <v>1553</v>
      </c>
      <c r="F95" s="108" t="s">
        <v>1522</v>
      </c>
      <c r="G95" s="124" t="s">
        <v>1304</v>
      </c>
      <c r="H95" s="79"/>
      <c r="I95" s="79" t="s">
        <v>6964</v>
      </c>
      <c r="J95" s="108" t="s">
        <v>6962</v>
      </c>
      <c r="K95" s="108" t="s">
        <v>2169</v>
      </c>
      <c r="L95" s="100" t="s">
        <v>136</v>
      </c>
      <c r="M95" s="108" t="s">
        <v>1553</v>
      </c>
      <c r="N95" s="108" t="s">
        <v>1522</v>
      </c>
      <c r="O95" s="124" t="s">
        <v>1304</v>
      </c>
    </row>
    <row r="96" spans="1:15" s="81" customFormat="1" ht="13.15" customHeight="1" x14ac:dyDescent="0.2">
      <c r="A96" s="81" t="s">
        <v>73</v>
      </c>
      <c r="B96" s="113">
        <f>IF(DONNÉES!CU236="","",DONNÉES!CU236)</f>
        <v>16.260000000000002</v>
      </c>
      <c r="C96" s="113">
        <f>IF(PMTARTHUR[[#This Row],[2024]]="","",DONNÉES!CV236)</f>
        <v>16.399999999999999</v>
      </c>
      <c r="D96" s="102">
        <f>IF(PMTARTHUR[[#This Row],[2024]]="","",(PMTARTHUR[[#This Row],[2024]]-PMTARTHUR[[#This Row],[2023]])/PMTARTHUR[[#This Row],[2023]])</f>
        <v>-8.536585365853477E-3</v>
      </c>
      <c r="E96" s="113">
        <f>IF(PMTARTHUR[[#This Row],[2024]]="","",DONNÉES!CW236)</f>
        <v>0</v>
      </c>
      <c r="F96" s="113">
        <f>IF(PMTARTHUR[[#This Row],[2024]]="","",DONNÉES!CX236)</f>
        <v>0</v>
      </c>
      <c r="G96" s="113">
        <f>IF(PMTARTHUR[[#This Row],[2024]]="","",DONNÉES!CZ236)</f>
        <v>0</v>
      </c>
      <c r="I96" s="81" t="s">
        <v>73</v>
      </c>
      <c r="J96" s="113">
        <f>IF(DONNÉES!DC236="","",DONNÉES!DC236)</f>
        <v>19.350000000000001</v>
      </c>
      <c r="K96" s="113">
        <f>IF(PMTHUGO[[#This Row],[2024]]="","",DONNÉES!DD236)</f>
        <v>19</v>
      </c>
      <c r="L96" s="102">
        <f>IF(PMTHUGO[[#This Row],[2024]]="","",(PMTHUGO[[#This Row],[2024]]-PMTHUGO[[#This Row],[2023]])/PMTHUGO[[#This Row],[2023]])</f>
        <v>1.8421052631579022E-2</v>
      </c>
      <c r="M96" s="113">
        <f>IF(PMTHUGO[[#This Row],[2024]]="","",DONNÉES!DE236)</f>
        <v>0</v>
      </c>
      <c r="N96" s="113">
        <f>IF(PMTHUGO[[#This Row],[2024]]="","",DONNÉES!DF236)</f>
        <v>0</v>
      </c>
      <c r="O96" s="113">
        <f>IF(PMTHUGO[[#This Row],[2024]]="","",DONNÉES!DG236)</f>
        <v>0</v>
      </c>
    </row>
    <row r="97" spans="1:15" s="81" customFormat="1" ht="13.15" customHeight="1" x14ac:dyDescent="0.2">
      <c r="A97" s="81" t="s">
        <v>74</v>
      </c>
      <c r="B97" s="113" t="str">
        <f>IF(DONNÉES!CU237="","",DONNÉES!CU237)</f>
        <v/>
      </c>
      <c r="C97" s="113" t="str">
        <f>IF(PMTARTHUR[[#This Row],[2024]]="","",DONNÉES!CV237)</f>
        <v/>
      </c>
      <c r="D97" s="102" t="str">
        <f>IF(PMTARTHUR[[#This Row],[2024]]="","",(PMTARTHUR[[#This Row],[2024]]-PMTARTHUR[[#This Row],[2023]])/PMTARTHUR[[#This Row],[2023]])</f>
        <v/>
      </c>
      <c r="E97" s="113" t="str">
        <f>IF(PMTARTHUR[[#This Row],[2024]]="","",DONNÉES!CW237)</f>
        <v/>
      </c>
      <c r="F97" s="113" t="str">
        <f>IF(PMTARTHUR[[#This Row],[2024]]="","",DONNÉES!CX237)</f>
        <v/>
      </c>
      <c r="G97" s="113" t="str">
        <f>IF(PMTARTHUR[[#This Row],[2024]]="","",DONNÉES!CZ237)</f>
        <v/>
      </c>
      <c r="I97" s="81" t="s">
        <v>74</v>
      </c>
      <c r="J97" s="113" t="str">
        <f>IF(DONNÉES!DC237="","",DONNÉES!DC237)</f>
        <v/>
      </c>
      <c r="K97" s="113" t="str">
        <f>IF(PMTHUGO[[#This Row],[2024]]="","",DONNÉES!DD237)</f>
        <v/>
      </c>
      <c r="L97" s="102" t="str">
        <f>IF(PMTHUGO[[#This Row],[2024]]="","",(PMTHUGO[[#This Row],[2024]]-PMTHUGO[[#This Row],[2023]])/PMTHUGO[[#This Row],[2023]])</f>
        <v/>
      </c>
      <c r="M97" s="113" t="str">
        <f>IF(PMTHUGO[[#This Row],[2024]]="","",DONNÉES!DE237)</f>
        <v/>
      </c>
      <c r="N97" s="113" t="str">
        <f>IF(PMTHUGO[[#This Row],[2024]]="","",DONNÉES!DF237)</f>
        <v/>
      </c>
      <c r="O97" s="113" t="str">
        <f>IF(PMTHUGO[[#This Row],[2024]]="","",DONNÉES!DG237)</f>
        <v/>
      </c>
    </row>
    <row r="98" spans="1:15" s="81" customFormat="1" ht="13.15" customHeight="1" x14ac:dyDescent="0.2">
      <c r="A98" s="79" t="s">
        <v>75</v>
      </c>
      <c r="B98" s="113" t="str">
        <f>IF(DONNÉES!CU238="","",DONNÉES!CU238)</f>
        <v/>
      </c>
      <c r="C98" s="113" t="str">
        <f>IF(PMTARTHUR[[#This Row],[2024]]="","",DONNÉES!CV238)</f>
        <v/>
      </c>
      <c r="D98" s="102" t="str">
        <f>IF(PMTARTHUR[[#This Row],[2024]]="","",(PMTARTHUR[[#This Row],[2024]]-PMTARTHUR[[#This Row],[2023]])/PMTARTHUR[[#This Row],[2023]])</f>
        <v/>
      </c>
      <c r="E98" s="113" t="str">
        <f>IF(PMTARTHUR[[#This Row],[2024]]="","",DONNÉES!CW238)</f>
        <v/>
      </c>
      <c r="F98" s="113" t="str">
        <f>IF(PMTARTHUR[[#This Row],[2024]]="","",DONNÉES!CX238)</f>
        <v/>
      </c>
      <c r="G98" s="113" t="str">
        <f>IF(PMTARTHUR[[#This Row],[2024]]="","",DONNÉES!CZ238)</f>
        <v/>
      </c>
      <c r="I98" s="79" t="s">
        <v>75</v>
      </c>
      <c r="J98" s="113" t="str">
        <f>IF(DONNÉES!DC238="","",DONNÉES!DC238)</f>
        <v/>
      </c>
      <c r="K98" s="113" t="str">
        <f>IF(PMTHUGO[[#This Row],[2024]]="","",DONNÉES!DD238)</f>
        <v/>
      </c>
      <c r="L98" s="102" t="str">
        <f>IF(PMTHUGO[[#This Row],[2024]]="","",(PMTHUGO[[#This Row],[2024]]-PMTHUGO[[#This Row],[2023]])/PMTHUGO[[#This Row],[2023]])</f>
        <v/>
      </c>
      <c r="M98" s="113" t="str">
        <f>IF(PMTHUGO[[#This Row],[2024]]="","",DONNÉES!DE238)</f>
        <v/>
      </c>
      <c r="N98" s="113" t="str">
        <f>IF(PMTHUGO[[#This Row],[2024]]="","",DONNÉES!DF238)</f>
        <v/>
      </c>
      <c r="O98" s="113" t="str">
        <f>IF(PMTHUGO[[#This Row],[2024]]="","",DONNÉES!DG238)</f>
        <v/>
      </c>
    </row>
    <row r="99" spans="1:15" ht="13.15" customHeight="1" x14ac:dyDescent="0.2">
      <c r="A99" s="81" t="s">
        <v>76</v>
      </c>
      <c r="B99" s="113" t="str">
        <f>IF(DONNÉES!CU239="","",DONNÉES!CU239)</f>
        <v/>
      </c>
      <c r="C99" s="113" t="str">
        <f>IF(PMTARTHUR[[#This Row],[2024]]="","",DONNÉES!CV239)</f>
        <v/>
      </c>
      <c r="D99" s="102" t="str">
        <f>IF(PMTARTHUR[[#This Row],[2024]]="","",(PMTARTHUR[[#This Row],[2024]]-PMTARTHUR[[#This Row],[2023]])/PMTARTHUR[[#This Row],[2023]])</f>
        <v/>
      </c>
      <c r="E99" s="113" t="str">
        <f>IF(PMTARTHUR[[#This Row],[2024]]="","",DONNÉES!CW239)</f>
        <v/>
      </c>
      <c r="F99" s="113" t="str">
        <f>IF(PMTARTHUR[[#This Row],[2024]]="","",DONNÉES!CX239)</f>
        <v/>
      </c>
      <c r="G99" s="113" t="str">
        <f>IF(PMTARTHUR[[#This Row],[2024]]="","",DONNÉES!CZ239)</f>
        <v/>
      </c>
      <c r="H99" s="79"/>
      <c r="I99" s="81" t="s">
        <v>76</v>
      </c>
      <c r="J99" s="113" t="str">
        <f>IF(DONNÉES!DC239="","",DONNÉES!DC239)</f>
        <v/>
      </c>
      <c r="K99" s="113" t="str">
        <f>IF(PMTHUGO[[#This Row],[2024]]="","",DONNÉES!DD239)</f>
        <v/>
      </c>
      <c r="L99" s="102" t="str">
        <f>IF(PMTHUGO[[#This Row],[2024]]="","",(PMTHUGO[[#This Row],[2024]]-PMTHUGO[[#This Row],[2023]])/PMTHUGO[[#This Row],[2023]])</f>
        <v/>
      </c>
      <c r="M99" s="113" t="str">
        <f>IF(PMTHUGO[[#This Row],[2024]]="","",DONNÉES!DE239)</f>
        <v/>
      </c>
      <c r="N99" s="113" t="str">
        <f>IF(PMTHUGO[[#This Row],[2024]]="","",DONNÉES!DF239)</f>
        <v/>
      </c>
      <c r="O99" s="113" t="str">
        <f>IF(PMTHUGO[[#This Row],[2024]]="","",DONNÉES!DG239)</f>
        <v/>
      </c>
    </row>
    <row r="100" spans="1:15" ht="13.15" customHeight="1" x14ac:dyDescent="0.2">
      <c r="A100" s="79" t="s">
        <v>77</v>
      </c>
      <c r="B100" s="113" t="str">
        <f>IF(DONNÉES!CU240="","",DONNÉES!CU240)</f>
        <v/>
      </c>
      <c r="C100" s="113" t="str">
        <f>IF(PMTARTHUR[[#This Row],[2024]]="","",DONNÉES!CV240)</f>
        <v/>
      </c>
      <c r="D100" s="102" t="str">
        <f>IF(PMTARTHUR[[#This Row],[2024]]="","",(PMTARTHUR[[#This Row],[2024]]-PMTARTHUR[[#This Row],[2023]])/PMTARTHUR[[#This Row],[2023]])</f>
        <v/>
      </c>
      <c r="E100" s="113" t="str">
        <f>IF(PMTARTHUR[[#This Row],[2024]]="","",DONNÉES!CW240)</f>
        <v/>
      </c>
      <c r="F100" s="113" t="str">
        <f>IF(PMTARTHUR[[#This Row],[2024]]="","",DONNÉES!CX240)</f>
        <v/>
      </c>
      <c r="G100" s="113" t="str">
        <f>IF(PMTARTHUR[[#This Row],[2024]]="","",DONNÉES!CZ240)</f>
        <v/>
      </c>
      <c r="H100" s="79"/>
      <c r="I100" s="79" t="s">
        <v>77</v>
      </c>
      <c r="J100" s="113" t="str">
        <f>IF(DONNÉES!DC240="","",DONNÉES!DC240)</f>
        <v/>
      </c>
      <c r="K100" s="113" t="str">
        <f>IF(PMTHUGO[[#This Row],[2024]]="","",DONNÉES!DD240)</f>
        <v/>
      </c>
      <c r="L100" s="102" t="str">
        <f>IF(PMTHUGO[[#This Row],[2024]]="","",(PMTHUGO[[#This Row],[2024]]-PMTHUGO[[#This Row],[2023]])/PMTHUGO[[#This Row],[2023]])</f>
        <v/>
      </c>
      <c r="M100" s="113" t="str">
        <f>IF(PMTHUGO[[#This Row],[2024]]="","",DONNÉES!DE240)</f>
        <v/>
      </c>
      <c r="N100" s="113" t="str">
        <f>IF(PMTHUGO[[#This Row],[2024]]="","",DONNÉES!DF240)</f>
        <v/>
      </c>
      <c r="O100" s="113" t="str">
        <f>IF(PMTHUGO[[#This Row],[2024]]="","",DONNÉES!DG240)</f>
        <v/>
      </c>
    </row>
    <row r="101" spans="1:15" ht="13.15" customHeight="1" x14ac:dyDescent="0.2">
      <c r="A101" s="81" t="s">
        <v>78</v>
      </c>
      <c r="B101" s="113" t="str">
        <f>IF(DONNÉES!CU241="","",DONNÉES!CU241)</f>
        <v/>
      </c>
      <c r="C101" s="113" t="str">
        <f>IF(PMTARTHUR[[#This Row],[2024]]="","",DONNÉES!CV241)</f>
        <v/>
      </c>
      <c r="D101" s="102" t="str">
        <f>IF(PMTARTHUR[[#This Row],[2024]]="","",(PMTARTHUR[[#This Row],[2024]]-PMTARTHUR[[#This Row],[2023]])/PMTARTHUR[[#This Row],[2023]])</f>
        <v/>
      </c>
      <c r="E101" s="113" t="str">
        <f>IF(PMTARTHUR[[#This Row],[2024]]="","",DONNÉES!CW241)</f>
        <v/>
      </c>
      <c r="F101" s="113" t="str">
        <f>IF(PMTARTHUR[[#This Row],[2024]]="","",DONNÉES!CX241)</f>
        <v/>
      </c>
      <c r="G101" s="113" t="str">
        <f>IF(PMTARTHUR[[#This Row],[2024]]="","",DONNÉES!CZ241)</f>
        <v/>
      </c>
      <c r="H101" s="79"/>
      <c r="I101" s="81" t="s">
        <v>78</v>
      </c>
      <c r="J101" s="113" t="str">
        <f>IF(DONNÉES!DC241="","",DONNÉES!DC241)</f>
        <v/>
      </c>
      <c r="K101" s="113" t="str">
        <f>IF(PMTHUGO[[#This Row],[2024]]="","",DONNÉES!DD241)</f>
        <v/>
      </c>
      <c r="L101" s="102" t="str">
        <f>IF(PMTHUGO[[#This Row],[2024]]="","",(PMTHUGO[[#This Row],[2024]]-PMTHUGO[[#This Row],[2023]])/PMTHUGO[[#This Row],[2023]])</f>
        <v/>
      </c>
      <c r="M101" s="113" t="str">
        <f>IF(PMTHUGO[[#This Row],[2024]]="","",DONNÉES!DE241)</f>
        <v/>
      </c>
      <c r="N101" s="113" t="str">
        <f>IF(PMTHUGO[[#This Row],[2024]]="","",DONNÉES!DF241)</f>
        <v/>
      </c>
      <c r="O101" s="113" t="str">
        <f>IF(PMTHUGO[[#This Row],[2024]]="","",DONNÉES!DG241)</f>
        <v/>
      </c>
    </row>
    <row r="102" spans="1:15" ht="13.15" customHeight="1" x14ac:dyDescent="0.2">
      <c r="A102" s="79" t="s">
        <v>79</v>
      </c>
      <c r="B102" s="113" t="str">
        <f>IF(DONNÉES!CU242="","",DONNÉES!CU242)</f>
        <v/>
      </c>
      <c r="C102" s="113" t="str">
        <f>IF(PMTARTHUR[[#This Row],[2024]]="","",DONNÉES!CV242)</f>
        <v/>
      </c>
      <c r="D102" s="102" t="str">
        <f>IF(PMTARTHUR[[#This Row],[2024]]="","",(PMTARTHUR[[#This Row],[2024]]-PMTARTHUR[[#This Row],[2023]])/PMTARTHUR[[#This Row],[2023]])</f>
        <v/>
      </c>
      <c r="E102" s="113" t="str">
        <f>IF(PMTARTHUR[[#This Row],[2024]]="","",DONNÉES!CW242)</f>
        <v/>
      </c>
      <c r="F102" s="113" t="str">
        <f>IF(PMTARTHUR[[#This Row],[2024]]="","",DONNÉES!CX242)</f>
        <v/>
      </c>
      <c r="G102" s="113" t="str">
        <f>IF(PMTARTHUR[[#This Row],[2024]]="","",DONNÉES!CZ242)</f>
        <v/>
      </c>
      <c r="H102" s="79"/>
      <c r="I102" s="79" t="s">
        <v>79</v>
      </c>
      <c r="J102" s="113" t="str">
        <f>IF(DONNÉES!DC242="","",DONNÉES!DC242)</f>
        <v/>
      </c>
      <c r="K102" s="113" t="str">
        <f>IF(PMTHUGO[[#This Row],[2024]]="","",DONNÉES!DD242)</f>
        <v/>
      </c>
      <c r="L102" s="102" t="str">
        <f>IF(PMTHUGO[[#This Row],[2024]]="","",(PMTHUGO[[#This Row],[2024]]-PMTHUGO[[#This Row],[2023]])/PMTHUGO[[#This Row],[2023]])</f>
        <v/>
      </c>
      <c r="M102" s="113" t="str">
        <f>IF(PMTHUGO[[#This Row],[2024]]="","",DONNÉES!DE242)</f>
        <v/>
      </c>
      <c r="N102" s="113" t="str">
        <f>IF(PMTHUGO[[#This Row],[2024]]="","",DONNÉES!DF242)</f>
        <v/>
      </c>
      <c r="O102" s="113" t="str">
        <f>IF(PMTHUGO[[#This Row],[2024]]="","",DONNÉES!DG242)</f>
        <v/>
      </c>
    </row>
    <row r="103" spans="1:15" ht="13.15" customHeight="1" x14ac:dyDescent="0.2">
      <c r="A103" s="81" t="s">
        <v>80</v>
      </c>
      <c r="B103" s="113" t="str">
        <f>IF(DONNÉES!CU243="","",DONNÉES!CU243)</f>
        <v/>
      </c>
      <c r="C103" s="113" t="str">
        <f>IF(PMTARTHUR[[#This Row],[2024]]="","",DONNÉES!CV243)</f>
        <v/>
      </c>
      <c r="D103" s="102" t="str">
        <f>IF(PMTARTHUR[[#This Row],[2024]]="","",(PMTARTHUR[[#This Row],[2024]]-PMTARTHUR[[#This Row],[2023]])/PMTARTHUR[[#This Row],[2023]])</f>
        <v/>
      </c>
      <c r="E103" s="113" t="str">
        <f>IF(PMTARTHUR[[#This Row],[2024]]="","",DONNÉES!CW243)</f>
        <v/>
      </c>
      <c r="F103" s="113" t="str">
        <f>IF(PMTARTHUR[[#This Row],[2024]]="","",DONNÉES!CX243)</f>
        <v/>
      </c>
      <c r="G103" s="113" t="str">
        <f>IF(PMTARTHUR[[#This Row],[2024]]="","",DONNÉES!CZ243)</f>
        <v/>
      </c>
      <c r="H103" s="79"/>
      <c r="I103" s="81" t="s">
        <v>80</v>
      </c>
      <c r="J103" s="113" t="str">
        <f>IF(DONNÉES!DC243="","",DONNÉES!DC243)</f>
        <v/>
      </c>
      <c r="K103" s="113" t="str">
        <f>IF(PMTHUGO[[#This Row],[2024]]="","",DONNÉES!DD243)</f>
        <v/>
      </c>
      <c r="L103" s="102" t="str">
        <f>IF(PMTHUGO[[#This Row],[2024]]="","",(PMTHUGO[[#This Row],[2024]]-PMTHUGO[[#This Row],[2023]])/PMTHUGO[[#This Row],[2023]])</f>
        <v/>
      </c>
      <c r="M103" s="113" t="str">
        <f>IF(PMTHUGO[[#This Row],[2024]]="","",DONNÉES!DE243)</f>
        <v/>
      </c>
      <c r="N103" s="113" t="str">
        <f>IF(PMTHUGO[[#This Row],[2024]]="","",DONNÉES!DF243)</f>
        <v/>
      </c>
      <c r="O103" s="113" t="str">
        <f>IF(PMTHUGO[[#This Row],[2024]]="","",DONNÉES!DG243)</f>
        <v/>
      </c>
    </row>
    <row r="104" spans="1:15" ht="13.15" customHeight="1" x14ac:dyDescent="0.2">
      <c r="A104" s="79" t="s">
        <v>81</v>
      </c>
      <c r="B104" s="113" t="str">
        <f>IF(DONNÉES!CU244="","",DONNÉES!CU244)</f>
        <v/>
      </c>
      <c r="C104" s="113" t="str">
        <f>IF(PMTARTHUR[[#This Row],[2024]]="","",DONNÉES!CV244)</f>
        <v/>
      </c>
      <c r="D104" s="103" t="str">
        <f>IF(PMTARTHUR[[#This Row],[2024]]="","",(PMTARTHUR[[#This Row],[2024]]-PMTARTHUR[[#This Row],[2023]])/PMTARTHUR[[#This Row],[2023]])</f>
        <v/>
      </c>
      <c r="E104" s="113" t="str">
        <f>IF(PMTARTHUR[[#This Row],[2024]]="","",DONNÉES!CW244)</f>
        <v/>
      </c>
      <c r="F104" s="113" t="str">
        <f>IF(PMTARTHUR[[#This Row],[2024]]="","",DONNÉES!CX244)</f>
        <v/>
      </c>
      <c r="G104" s="113" t="str">
        <f>IF(PMTARTHUR[[#This Row],[2024]]="","",DONNÉES!CZ244)</f>
        <v/>
      </c>
      <c r="I104" s="79" t="s">
        <v>81</v>
      </c>
      <c r="J104" s="113" t="str">
        <f>IF(DONNÉES!DC244="","",DONNÉES!DC244)</f>
        <v/>
      </c>
      <c r="K104" s="113" t="str">
        <f>IF(PMTHUGO[[#This Row],[2024]]="","",DONNÉES!DD244)</f>
        <v/>
      </c>
      <c r="L104" s="103" t="str">
        <f>IF(PMTHUGO[[#This Row],[2024]]="","",(PMTHUGO[[#This Row],[2024]]-PMTHUGO[[#This Row],[2023]])/PMTHUGO[[#This Row],[2023]])</f>
        <v/>
      </c>
      <c r="M104" s="113" t="str">
        <f>IF(PMTHUGO[[#This Row],[2024]]="","",DONNÉES!DE244)</f>
        <v/>
      </c>
      <c r="N104" s="113" t="str">
        <f>IF(PMTHUGO[[#This Row],[2024]]="","",DONNÉES!DF244)</f>
        <v/>
      </c>
      <c r="O104" s="113" t="str">
        <f>IF(PMTHUGO[[#This Row],[2024]]="","",DONNÉES!DG244)</f>
        <v/>
      </c>
    </row>
    <row r="105" spans="1:15" ht="13.15" customHeight="1" x14ac:dyDescent="0.2">
      <c r="A105" s="81" t="s">
        <v>82</v>
      </c>
      <c r="B105" s="113" t="str">
        <f>IF(DONNÉES!CU245="","",DONNÉES!CU245)</f>
        <v/>
      </c>
      <c r="C105" s="113" t="str">
        <f>IF(PMTARTHUR[[#This Row],[2024]]="","",DONNÉES!CV245)</f>
        <v/>
      </c>
      <c r="D105" s="103" t="str">
        <f>IF(PMTARTHUR[[#This Row],[2024]]="","",(PMTARTHUR[[#This Row],[2024]]-PMTARTHUR[[#This Row],[2023]])/PMTARTHUR[[#This Row],[2023]])</f>
        <v/>
      </c>
      <c r="E105" s="113" t="str">
        <f>IF(PMTARTHUR[[#This Row],[2024]]="","",DONNÉES!CW245)</f>
        <v/>
      </c>
      <c r="F105" s="113" t="str">
        <f>IF(PMTARTHUR[[#This Row],[2024]]="","",DONNÉES!CX245)</f>
        <v/>
      </c>
      <c r="G105" s="113" t="str">
        <f>IF(PMTARTHUR[[#This Row],[2024]]="","",DONNÉES!CZ245)</f>
        <v/>
      </c>
      <c r="I105" s="81" t="s">
        <v>82</v>
      </c>
      <c r="J105" s="113" t="str">
        <f>IF(DONNÉES!DC245="","",DONNÉES!DC245)</f>
        <v/>
      </c>
      <c r="K105" s="113" t="str">
        <f>IF(PMTHUGO[[#This Row],[2024]]="","",DONNÉES!DD245)</f>
        <v/>
      </c>
      <c r="L105" s="103" t="str">
        <f>IF(PMTHUGO[[#This Row],[2024]]="","",(PMTHUGO[[#This Row],[2024]]-PMTHUGO[[#This Row],[2023]])/PMTHUGO[[#This Row],[2023]])</f>
        <v/>
      </c>
      <c r="M105" s="113" t="str">
        <f>IF(PMTHUGO[[#This Row],[2024]]="","",DONNÉES!DE245)</f>
        <v/>
      </c>
      <c r="N105" s="113" t="str">
        <f>IF(PMTHUGO[[#This Row],[2024]]="","",DONNÉES!DF245)</f>
        <v/>
      </c>
      <c r="O105" s="113" t="str">
        <f>IF(PMTHUGO[[#This Row],[2024]]="","",DONNÉES!DG245)</f>
        <v/>
      </c>
    </row>
    <row r="106" spans="1:15" ht="13.15" customHeight="1" x14ac:dyDescent="0.2">
      <c r="A106" s="79" t="s">
        <v>83</v>
      </c>
      <c r="B106" s="113" t="str">
        <f>IF(DONNÉES!CU246="","",DONNÉES!CU246)</f>
        <v/>
      </c>
      <c r="C106" s="113" t="str">
        <f>IF(PMTARTHUR[[#This Row],[2024]]="","",DONNÉES!CV246)</f>
        <v/>
      </c>
      <c r="D106" s="103" t="str">
        <f>IF(PMTARTHUR[[#This Row],[2024]]="","",(PMTARTHUR[[#This Row],[2024]]-PMTARTHUR[[#This Row],[2023]])/PMTARTHUR[[#This Row],[2023]])</f>
        <v/>
      </c>
      <c r="E106" s="113" t="str">
        <f>IF(PMTARTHUR[[#This Row],[2024]]="","",DONNÉES!CW246)</f>
        <v/>
      </c>
      <c r="F106" s="113" t="str">
        <f>IF(PMTARTHUR[[#This Row],[2024]]="","",DONNÉES!CX246)</f>
        <v/>
      </c>
      <c r="G106" s="113" t="str">
        <f>IF(PMTARTHUR[[#This Row],[2024]]="","",DONNÉES!CZ246)</f>
        <v/>
      </c>
      <c r="I106" s="79" t="s">
        <v>83</v>
      </c>
      <c r="J106" s="113" t="str">
        <f>IF(DONNÉES!DC246="","",DONNÉES!DC246)</f>
        <v/>
      </c>
      <c r="K106" s="113" t="str">
        <f>IF(PMTHUGO[[#This Row],[2024]]="","",DONNÉES!DD246)</f>
        <v/>
      </c>
      <c r="L106" s="103" t="str">
        <f>IF(PMTHUGO[[#This Row],[2024]]="","",(PMTHUGO[[#This Row],[2024]]-PMTHUGO[[#This Row],[2023]])/PMTHUGO[[#This Row],[2023]])</f>
        <v/>
      </c>
      <c r="M106" s="113" t="str">
        <f>IF(PMTHUGO[[#This Row],[2024]]="","",DONNÉES!DE246)</f>
        <v/>
      </c>
      <c r="N106" s="113" t="str">
        <f>IF(PMTHUGO[[#This Row],[2024]]="","",DONNÉES!DF246)</f>
        <v/>
      </c>
      <c r="O106" s="113" t="str">
        <f>IF(PMTHUGO[[#This Row],[2024]]="","",DONNÉES!DG246)</f>
        <v/>
      </c>
    </row>
    <row r="107" spans="1:15" ht="13.15" customHeight="1" x14ac:dyDescent="0.2">
      <c r="A107" s="79" t="s">
        <v>84</v>
      </c>
      <c r="B107" s="113" t="str">
        <f>IF(DONNÉES!CU247="","",DONNÉES!CU247)</f>
        <v/>
      </c>
      <c r="C107" s="113" t="str">
        <f>IF(PMTARTHUR[[#This Row],[2024]]="","",DONNÉES!CV247)</f>
        <v/>
      </c>
      <c r="D107" s="103" t="str">
        <f>IF(PMTARTHUR[[#This Row],[2024]]="","",(PMTARTHUR[[#This Row],[2024]]-PMTARTHUR[[#This Row],[2023]])/PMTARTHUR[[#This Row],[2023]])</f>
        <v/>
      </c>
      <c r="E107" s="113" t="str">
        <f>IF(PMTARTHUR[[#This Row],[2024]]="","",DONNÉES!CW247)</f>
        <v/>
      </c>
      <c r="F107" s="113" t="str">
        <f>IF(PMTARTHUR[[#This Row],[2024]]="","",DONNÉES!CX247)</f>
        <v/>
      </c>
      <c r="G107" s="113" t="str">
        <f>IF(PMTARTHUR[[#This Row],[2024]]="","",DONNÉES!CZ247)</f>
        <v/>
      </c>
      <c r="I107" s="79" t="s">
        <v>84</v>
      </c>
      <c r="J107" s="113" t="str">
        <f>IF(DONNÉES!DC247="","",DONNÉES!DC247)</f>
        <v/>
      </c>
      <c r="K107" s="113" t="str">
        <f>IF(PMTHUGO[[#This Row],[2024]]="","",DONNÉES!DD247)</f>
        <v/>
      </c>
      <c r="L107" s="103" t="str">
        <f>IF(PMTHUGO[[#This Row],[2024]]="","",(PMTHUGO[[#This Row],[2024]]-PMTHUGO[[#This Row],[2023]])/PMTHUGO[[#This Row],[2023]])</f>
        <v/>
      </c>
      <c r="M107" s="113" t="str">
        <f>IF(PMTHUGO[[#This Row],[2024]]="","",DONNÉES!DE247)</f>
        <v/>
      </c>
      <c r="N107" s="113" t="str">
        <f>IF(PMTHUGO[[#This Row],[2024]]="","",DONNÉES!DF247)</f>
        <v/>
      </c>
      <c r="O107" s="113" t="str">
        <f>IF(PMTHUGO[[#This Row],[2024]]="","",DONNÉES!DG247)</f>
        <v/>
      </c>
    </row>
    <row r="108" spans="1:15" ht="16.899999999999999" customHeight="1" x14ac:dyDescent="0.2">
      <c r="A108" s="46" t="s">
        <v>135</v>
      </c>
      <c r="B108" s="90">
        <f>SUBTOTAL(101,PMTARTHUR[2024])</f>
        <v>16.260000000000002</v>
      </c>
      <c r="C108" s="90">
        <f>SUBTOTAL(101,PMTARTHUR[2023])</f>
        <v>16.399999999999999</v>
      </c>
      <c r="D108" s="105">
        <f>(PMTARTHUR[[#Totals],[2024]]-PMTARTHUR[[#Totals],[2023]])/PMTARTHUR[[#Totals],[2023]]</f>
        <v>-8.536585365853477E-3</v>
      </c>
      <c r="E108" s="119">
        <f>SUBTOTAL(101,PMTARTHUR[2022])</f>
        <v>0</v>
      </c>
      <c r="F108" s="90">
        <f>SUBTOTAL(101,PMTARTHUR[2021])</f>
        <v>0</v>
      </c>
      <c r="G108" s="90">
        <f>SUBTOTAL(101,PMTARTHUR[2020])</f>
        <v>0</v>
      </c>
      <c r="I108" s="46" t="s">
        <v>135</v>
      </c>
      <c r="J108" s="90">
        <f>SUBTOTAL(101,PMTHUGO[2024])</f>
        <v>19.350000000000001</v>
      </c>
      <c r="K108" s="90">
        <f>SUBTOTAL(101,PMTHUGO[2023])</f>
        <v>19</v>
      </c>
      <c r="L108" s="105">
        <f>(PMTHUGO[[#Totals],[2024]]-PMTHUGO[[#Totals],[2023]])/PMTHUGO[[#Totals],[2023]]</f>
        <v>1.8421052631579022E-2</v>
      </c>
      <c r="M108" s="119">
        <f>SUBTOTAL(101,PMTHUGO[2022])</f>
        <v>0</v>
      </c>
      <c r="N108" s="90">
        <f>SUBTOTAL(101,PMTHUGO[2021])</f>
        <v>0</v>
      </c>
      <c r="O108" s="90">
        <f>SUBTOTAL(101,PMTHUGO[2020])</f>
        <v>0</v>
      </c>
    </row>
    <row r="109" spans="1:15" ht="30.6" customHeight="1" x14ac:dyDescent="0.2">
      <c r="M109" s="123"/>
    </row>
    <row r="110" spans="1:15" ht="33" customHeight="1" x14ac:dyDescent="0.2">
      <c r="A110" s="79" t="s">
        <v>6966</v>
      </c>
      <c r="B110" s="108" t="s">
        <v>6962</v>
      </c>
      <c r="C110" s="108" t="s">
        <v>2169</v>
      </c>
      <c r="D110" s="100" t="s">
        <v>136</v>
      </c>
      <c r="E110" s="108" t="s">
        <v>1553</v>
      </c>
      <c r="F110" s="108" t="s">
        <v>1522</v>
      </c>
      <c r="G110" s="124" t="s">
        <v>1304</v>
      </c>
      <c r="H110" s="79"/>
      <c r="I110" s="79" t="s">
        <v>6965</v>
      </c>
      <c r="J110" s="108" t="s">
        <v>6962</v>
      </c>
      <c r="K110" s="108" t="s">
        <v>2169</v>
      </c>
      <c r="L110" s="100" t="s">
        <v>136</v>
      </c>
      <c r="M110" s="108" t="s">
        <v>1553</v>
      </c>
      <c r="N110" s="108" t="s">
        <v>1522</v>
      </c>
      <c r="O110" s="124" t="s">
        <v>1304</v>
      </c>
    </row>
    <row r="111" spans="1:15" s="81" customFormat="1" ht="13.15" customHeight="1" x14ac:dyDescent="0.2">
      <c r="A111" s="81" t="s">
        <v>73</v>
      </c>
      <c r="B111" s="113">
        <f>IF(DONNÉES!DK236="","",DONNÉES!DK236)</f>
        <v>13.91</v>
      </c>
      <c r="C111" s="113">
        <f>IF(PMTTJEANCLO[[#This Row],[2024]]="","",DONNÉES!DL236)</f>
        <v>14.05</v>
      </c>
      <c r="D111" s="102">
        <f>IF(PMTTJEANCLO[[#This Row],[2024]]="","",(PMTTJEANCLO[[#This Row],[2024]]-PMTTJEANCLO[[#This Row],[2023]])/PMTTJEANCLO[[#This Row],[2023]])</f>
        <v>-9.9644128113879401E-3</v>
      </c>
      <c r="E111" s="113">
        <f>IF(PMTTJEANCLO[[#This Row],[2024]]="","",DONNÉES!DM236)</f>
        <v>0</v>
      </c>
      <c r="F111" s="113">
        <f>IF(PMTTJEANCLO[[#This Row],[2024]]="","",DONNÉES!DN236)</f>
        <v>0</v>
      </c>
      <c r="G111" s="113">
        <f>IF(PMTTJEANCLO[[#This Row],[2024]]="","",DONNÉES!DO236)</f>
        <v>0</v>
      </c>
      <c r="I111" s="81" t="s">
        <v>73</v>
      </c>
      <c r="J111" s="113">
        <f>IF(DONNÉES!DS236="","",DONNÉES!DS236)</f>
        <v>18.66</v>
      </c>
      <c r="K111" s="113">
        <f>IF(PMTTHOMAS[[#This Row],[2024]]="","",DONNÉES!DT236)</f>
        <v>18.739999999999998</v>
      </c>
      <c r="L111" s="102">
        <f>IF(PMTTHOMAS[[#This Row],[2024]]="","",(PMTTHOMAS[[#This Row],[2024]]-PMTTHOMAS[[#This Row],[2023]])/PMTTHOMAS[[#This Row],[2023]])</f>
        <v>-4.2689434364993756E-3</v>
      </c>
      <c r="M111" s="113">
        <f>IF(PMTTHOMAS[[#This Row],[2024]]="","",DONNÉES!DU236)</f>
        <v>0</v>
      </c>
      <c r="N111" s="113">
        <f>IF(PMTTHOMAS[[#This Row],[2024]]="","",DONNÉES!DV236)</f>
        <v>0</v>
      </c>
      <c r="O111" s="113">
        <f>IF(PMTTHOMAS[[#This Row],[2024]]="","",DONNÉES!DW236)</f>
        <v>0</v>
      </c>
    </row>
    <row r="112" spans="1:15" s="81" customFormat="1" ht="13.15" customHeight="1" x14ac:dyDescent="0.2">
      <c r="A112" s="81" t="s">
        <v>74</v>
      </c>
      <c r="B112" s="113" t="str">
        <f>IF(DONNÉES!DK237="","",DONNÉES!DK237)</f>
        <v/>
      </c>
      <c r="C112" s="113" t="str">
        <f>IF(PMTTJEANCLO[[#This Row],[2024]]="","",DONNÉES!DL237)</f>
        <v/>
      </c>
      <c r="D112" s="102" t="str">
        <f>IF(PMTTJEANCLO[[#This Row],[2024]]="","",(PMTTJEANCLO[[#This Row],[2024]]-PMTTJEANCLO[[#This Row],[2023]])/PMTTJEANCLO[[#This Row],[2023]])</f>
        <v/>
      </c>
      <c r="E112" s="113" t="str">
        <f>IF(PMTTJEANCLO[[#This Row],[2024]]="","",DONNÉES!DM237)</f>
        <v/>
      </c>
      <c r="F112" s="113" t="str">
        <f>IF(PMTTJEANCLO[[#This Row],[2024]]="","",DONNÉES!DN237)</f>
        <v/>
      </c>
      <c r="G112" s="113" t="str">
        <f>IF(PMTTJEANCLO[[#This Row],[2024]]="","",DONNÉES!DO237)</f>
        <v/>
      </c>
      <c r="I112" s="81" t="s">
        <v>74</v>
      </c>
      <c r="J112" s="113" t="str">
        <f>IF(DONNÉES!DS237="","",DONNÉES!DS237)</f>
        <v/>
      </c>
      <c r="K112" s="113" t="str">
        <f>IF(PMTTHOMAS[[#This Row],[2024]]="","",DONNÉES!DT237)</f>
        <v/>
      </c>
      <c r="L112" s="102" t="str">
        <f>IF(PMTTHOMAS[[#This Row],[2024]]="","",(PMTTHOMAS[[#This Row],[2024]]-PMTTHOMAS[[#This Row],[2023]])/PMTTHOMAS[[#This Row],[2023]])</f>
        <v/>
      </c>
      <c r="M112" s="113" t="str">
        <f>IF(PMTTHOMAS[[#This Row],[2024]]="","",DONNÉES!DU237)</f>
        <v/>
      </c>
      <c r="N112" s="113" t="str">
        <f>IF(PMTTHOMAS[[#This Row],[2024]]="","",DONNÉES!DV237)</f>
        <v/>
      </c>
      <c r="O112" s="113" t="str">
        <f>IF(PMTTHOMAS[[#This Row],[2024]]="","",DONNÉES!DW237)</f>
        <v/>
      </c>
    </row>
    <row r="113" spans="1:15" s="81" customFormat="1" ht="13.15" customHeight="1" x14ac:dyDescent="0.2">
      <c r="A113" s="79" t="s">
        <v>75</v>
      </c>
      <c r="B113" s="113" t="str">
        <f>IF(DONNÉES!DK238="","",DONNÉES!DK238)</f>
        <v/>
      </c>
      <c r="C113" s="113" t="str">
        <f>IF(PMTTJEANCLO[[#This Row],[2024]]="","",DONNÉES!DL238)</f>
        <v/>
      </c>
      <c r="D113" s="102" t="str">
        <f>IF(PMTTJEANCLO[[#This Row],[2024]]="","",(PMTTJEANCLO[[#This Row],[2024]]-PMTTJEANCLO[[#This Row],[2023]])/PMTTJEANCLO[[#This Row],[2023]])</f>
        <v/>
      </c>
      <c r="E113" s="113" t="str">
        <f>IF(PMTTJEANCLO[[#This Row],[2024]]="","",DONNÉES!DM238)</f>
        <v/>
      </c>
      <c r="F113" s="113" t="str">
        <f>IF(PMTTJEANCLO[[#This Row],[2024]]="","",DONNÉES!DN238)</f>
        <v/>
      </c>
      <c r="G113" s="113" t="str">
        <f>IF(PMTTJEANCLO[[#This Row],[2024]]="","",DONNÉES!DO238)</f>
        <v/>
      </c>
      <c r="I113" s="79" t="s">
        <v>75</v>
      </c>
      <c r="J113" s="113" t="str">
        <f>IF(DONNÉES!DS238="","",DONNÉES!DS238)</f>
        <v/>
      </c>
      <c r="K113" s="113" t="str">
        <f>IF(PMTTHOMAS[[#This Row],[2024]]="","",DONNÉES!DT238)</f>
        <v/>
      </c>
      <c r="L113" s="102" t="str">
        <f>IF(PMTTHOMAS[[#This Row],[2024]]="","",(PMTTHOMAS[[#This Row],[2024]]-PMTTHOMAS[[#This Row],[2023]])/PMTTHOMAS[[#This Row],[2023]])</f>
        <v/>
      </c>
      <c r="M113" s="113" t="str">
        <f>IF(PMTTHOMAS[[#This Row],[2024]]="","",DONNÉES!DU238)</f>
        <v/>
      </c>
      <c r="N113" s="113" t="str">
        <f>IF(PMTTHOMAS[[#This Row],[2024]]="","",DONNÉES!DV238)</f>
        <v/>
      </c>
      <c r="O113" s="113" t="str">
        <f>IF(PMTTHOMAS[[#This Row],[2024]]="","",DONNÉES!DW238)</f>
        <v/>
      </c>
    </row>
    <row r="114" spans="1:15" ht="13.15" customHeight="1" x14ac:dyDescent="0.2">
      <c r="A114" s="81" t="s">
        <v>76</v>
      </c>
      <c r="B114" s="113" t="str">
        <f>IF(DONNÉES!DK239="","",DONNÉES!DK239)</f>
        <v/>
      </c>
      <c r="C114" s="113" t="str">
        <f>IF(PMTTJEANCLO[[#This Row],[2024]]="","",DONNÉES!DL239)</f>
        <v/>
      </c>
      <c r="D114" s="102" t="str">
        <f>IF(PMTTJEANCLO[[#This Row],[2024]]="","",(PMTTJEANCLO[[#This Row],[2024]]-PMTTJEANCLO[[#This Row],[2023]])/PMTTJEANCLO[[#This Row],[2023]])</f>
        <v/>
      </c>
      <c r="E114" s="113" t="str">
        <f>IF(PMTTJEANCLO[[#This Row],[2024]]="","",DONNÉES!DM239)</f>
        <v/>
      </c>
      <c r="F114" s="113" t="str">
        <f>IF(PMTTJEANCLO[[#This Row],[2024]]="","",DONNÉES!DN239)</f>
        <v/>
      </c>
      <c r="G114" s="113" t="str">
        <f>IF(PMTTJEANCLO[[#This Row],[2024]]="","",DONNÉES!DO239)</f>
        <v/>
      </c>
      <c r="H114" s="79"/>
      <c r="I114" s="81" t="s">
        <v>76</v>
      </c>
      <c r="J114" s="113" t="str">
        <f>IF(DONNÉES!DS239="","",DONNÉES!DS239)</f>
        <v/>
      </c>
      <c r="K114" s="113" t="str">
        <f>IF(PMTTHOMAS[[#This Row],[2024]]="","",DONNÉES!DT239)</f>
        <v/>
      </c>
      <c r="L114" s="102" t="str">
        <f>IF(PMTTHOMAS[[#This Row],[2024]]="","",(PMTTHOMAS[[#This Row],[2024]]-PMTTHOMAS[[#This Row],[2023]])/PMTTHOMAS[[#This Row],[2023]])</f>
        <v/>
      </c>
      <c r="M114" s="113" t="str">
        <f>IF(PMTTHOMAS[[#This Row],[2024]]="","",DONNÉES!DU239)</f>
        <v/>
      </c>
      <c r="N114" s="113" t="str">
        <f>IF(PMTTHOMAS[[#This Row],[2024]]="","",DONNÉES!DV239)</f>
        <v/>
      </c>
      <c r="O114" s="113" t="str">
        <f>IF(PMTTHOMAS[[#This Row],[2024]]="","",DONNÉES!DW239)</f>
        <v/>
      </c>
    </row>
    <row r="115" spans="1:15" ht="13.15" customHeight="1" x14ac:dyDescent="0.2">
      <c r="A115" s="79" t="s">
        <v>77</v>
      </c>
      <c r="B115" s="113" t="str">
        <f>IF(DONNÉES!DK240="","",DONNÉES!DK240)</f>
        <v/>
      </c>
      <c r="C115" s="113" t="str">
        <f>IF(PMTTJEANCLO[[#This Row],[2024]]="","",DONNÉES!DL240)</f>
        <v/>
      </c>
      <c r="D115" s="102" t="str">
        <f>IF(PMTTJEANCLO[[#This Row],[2024]]="","",(PMTTJEANCLO[[#This Row],[2024]]-PMTTJEANCLO[[#This Row],[2023]])/PMTTJEANCLO[[#This Row],[2023]])</f>
        <v/>
      </c>
      <c r="E115" s="113" t="str">
        <f>IF(PMTTJEANCLO[[#This Row],[2024]]="","",DONNÉES!DM240)</f>
        <v/>
      </c>
      <c r="F115" s="113" t="str">
        <f>IF(PMTTJEANCLO[[#This Row],[2024]]="","",DONNÉES!DN240)</f>
        <v/>
      </c>
      <c r="G115" s="113" t="str">
        <f>IF(PMTTJEANCLO[[#This Row],[2024]]="","",DONNÉES!DO240)</f>
        <v/>
      </c>
      <c r="H115" s="79"/>
      <c r="I115" s="79" t="s">
        <v>77</v>
      </c>
      <c r="J115" s="113" t="str">
        <f>IF(DONNÉES!DS240="","",DONNÉES!DS240)</f>
        <v/>
      </c>
      <c r="K115" s="113" t="str">
        <f>IF(PMTTHOMAS[[#This Row],[2024]]="","",DONNÉES!DT240)</f>
        <v/>
      </c>
      <c r="L115" s="102" t="str">
        <f>IF(PMTTHOMAS[[#This Row],[2024]]="","",(PMTTHOMAS[[#This Row],[2024]]-PMTTHOMAS[[#This Row],[2023]])/PMTTHOMAS[[#This Row],[2023]])</f>
        <v/>
      </c>
      <c r="M115" s="113" t="str">
        <f>IF(PMTTHOMAS[[#This Row],[2024]]="","",DONNÉES!DU240)</f>
        <v/>
      </c>
      <c r="N115" s="113" t="str">
        <f>IF(PMTTHOMAS[[#This Row],[2024]]="","",DONNÉES!DV240)</f>
        <v/>
      </c>
      <c r="O115" s="113" t="str">
        <f>IF(PMTTHOMAS[[#This Row],[2024]]="","",DONNÉES!DW240)</f>
        <v/>
      </c>
    </row>
    <row r="116" spans="1:15" ht="13.15" customHeight="1" x14ac:dyDescent="0.2">
      <c r="A116" s="81" t="s">
        <v>78</v>
      </c>
      <c r="B116" s="113" t="str">
        <f>IF(DONNÉES!DK241="","",DONNÉES!DK241)</f>
        <v/>
      </c>
      <c r="C116" s="113" t="str">
        <f>IF(PMTTJEANCLO[[#This Row],[2024]]="","",DONNÉES!DL241)</f>
        <v/>
      </c>
      <c r="D116" s="102" t="str">
        <f>IF(PMTTJEANCLO[[#This Row],[2024]]="","",(PMTTJEANCLO[[#This Row],[2024]]-PMTTJEANCLO[[#This Row],[2023]])/PMTTJEANCLO[[#This Row],[2023]])</f>
        <v/>
      </c>
      <c r="E116" s="113" t="str">
        <f>IF(PMTTJEANCLO[[#This Row],[2024]]="","",DONNÉES!DM241)</f>
        <v/>
      </c>
      <c r="F116" s="113" t="str">
        <f>IF(PMTTJEANCLO[[#This Row],[2024]]="","",DONNÉES!DN241)</f>
        <v/>
      </c>
      <c r="G116" s="113" t="str">
        <f>IF(PMTTJEANCLO[[#This Row],[2024]]="","",DONNÉES!DO241)</f>
        <v/>
      </c>
      <c r="H116" s="79"/>
      <c r="I116" s="81" t="s">
        <v>78</v>
      </c>
      <c r="J116" s="113" t="str">
        <f>IF(DONNÉES!DS241="","",DONNÉES!DS241)</f>
        <v/>
      </c>
      <c r="K116" s="113" t="str">
        <f>IF(PMTTHOMAS[[#This Row],[2024]]="","",DONNÉES!DT241)</f>
        <v/>
      </c>
      <c r="L116" s="102" t="str">
        <f>IF(PMTTHOMAS[[#This Row],[2024]]="","",(PMTTHOMAS[[#This Row],[2024]]-PMTTHOMAS[[#This Row],[2023]])/PMTTHOMAS[[#This Row],[2023]])</f>
        <v/>
      </c>
      <c r="M116" s="113" t="str">
        <f>IF(PMTTHOMAS[[#This Row],[2024]]="","",DONNÉES!DU241)</f>
        <v/>
      </c>
      <c r="N116" s="113" t="str">
        <f>IF(PMTTHOMAS[[#This Row],[2024]]="","",DONNÉES!DV241)</f>
        <v/>
      </c>
      <c r="O116" s="113" t="str">
        <f>IF(PMTTHOMAS[[#This Row],[2024]]="","",DONNÉES!DW241)</f>
        <v/>
      </c>
    </row>
    <row r="117" spans="1:15" ht="13.15" customHeight="1" x14ac:dyDescent="0.2">
      <c r="A117" s="79" t="s">
        <v>79</v>
      </c>
      <c r="B117" s="113" t="str">
        <f>IF(DONNÉES!DK242="","",DONNÉES!DK242)</f>
        <v/>
      </c>
      <c r="C117" s="113" t="str">
        <f>IF(PMTTJEANCLO[[#This Row],[2024]]="","",DONNÉES!DL242)</f>
        <v/>
      </c>
      <c r="D117" s="102" t="str">
        <f>IF(PMTTJEANCLO[[#This Row],[2024]]="","",(PMTTJEANCLO[[#This Row],[2024]]-PMTTJEANCLO[[#This Row],[2023]])/PMTTJEANCLO[[#This Row],[2023]])</f>
        <v/>
      </c>
      <c r="E117" s="113" t="str">
        <f>IF(PMTTJEANCLO[[#This Row],[2024]]="","",DONNÉES!DM242)</f>
        <v/>
      </c>
      <c r="F117" s="113" t="str">
        <f>IF(PMTTJEANCLO[[#This Row],[2024]]="","",DONNÉES!DN242)</f>
        <v/>
      </c>
      <c r="G117" s="113" t="str">
        <f>IF(PMTTJEANCLO[[#This Row],[2024]]="","",DONNÉES!DO242)</f>
        <v/>
      </c>
      <c r="H117" s="79"/>
      <c r="I117" s="79" t="s">
        <v>79</v>
      </c>
      <c r="J117" s="113" t="str">
        <f>IF(DONNÉES!DS242="","",DONNÉES!DS242)</f>
        <v/>
      </c>
      <c r="K117" s="113" t="str">
        <f>IF(PMTTHOMAS[[#This Row],[2024]]="","",DONNÉES!DT242)</f>
        <v/>
      </c>
      <c r="L117" s="102" t="str">
        <f>IF(PMTTHOMAS[[#This Row],[2024]]="","",(PMTTHOMAS[[#This Row],[2024]]-PMTTHOMAS[[#This Row],[2023]])/PMTTHOMAS[[#This Row],[2023]])</f>
        <v/>
      </c>
      <c r="M117" s="113" t="str">
        <f>IF(PMTTHOMAS[[#This Row],[2024]]="","",DONNÉES!DU242)</f>
        <v/>
      </c>
      <c r="N117" s="113" t="str">
        <f>IF(PMTTHOMAS[[#This Row],[2024]]="","",DONNÉES!DV242)</f>
        <v/>
      </c>
      <c r="O117" s="113" t="str">
        <f>IF(PMTTHOMAS[[#This Row],[2024]]="","",DONNÉES!DW242)</f>
        <v/>
      </c>
    </row>
    <row r="118" spans="1:15" ht="13.15" customHeight="1" x14ac:dyDescent="0.2">
      <c r="A118" s="81" t="s">
        <v>80</v>
      </c>
      <c r="B118" s="113" t="str">
        <f>IF(DONNÉES!DK243="","",DONNÉES!DK243)</f>
        <v/>
      </c>
      <c r="C118" s="113" t="str">
        <f>IF(PMTTJEANCLO[[#This Row],[2024]]="","",DONNÉES!DL243)</f>
        <v/>
      </c>
      <c r="D118" s="102" t="str">
        <f>IF(PMTTJEANCLO[[#This Row],[2024]]="","",(PMTTJEANCLO[[#This Row],[2024]]-PMTTJEANCLO[[#This Row],[2023]])/PMTTJEANCLO[[#This Row],[2023]])</f>
        <v/>
      </c>
      <c r="E118" s="113" t="str">
        <f>IF(PMTTJEANCLO[[#This Row],[2024]]="","",DONNÉES!DM243)</f>
        <v/>
      </c>
      <c r="F118" s="113" t="str">
        <f>IF(PMTTJEANCLO[[#This Row],[2024]]="","",DONNÉES!DN243)</f>
        <v/>
      </c>
      <c r="G118" s="113" t="str">
        <f>IF(PMTTJEANCLO[[#This Row],[2024]]="","",DONNÉES!DO243)</f>
        <v/>
      </c>
      <c r="H118" s="79"/>
      <c r="I118" s="81" t="s">
        <v>80</v>
      </c>
      <c r="J118" s="113" t="str">
        <f>IF(DONNÉES!DS243="","",DONNÉES!DS243)</f>
        <v/>
      </c>
      <c r="K118" s="113" t="str">
        <f>IF(PMTTHOMAS[[#This Row],[2024]]="","",DONNÉES!DT243)</f>
        <v/>
      </c>
      <c r="L118" s="102" t="str">
        <f>IF(PMTTHOMAS[[#This Row],[2024]]="","",(PMTTHOMAS[[#This Row],[2024]]-PMTTHOMAS[[#This Row],[2023]])/PMTTHOMAS[[#This Row],[2023]])</f>
        <v/>
      </c>
      <c r="M118" s="113" t="str">
        <f>IF(PMTTHOMAS[[#This Row],[2024]]="","",DONNÉES!DU243)</f>
        <v/>
      </c>
      <c r="N118" s="113" t="str">
        <f>IF(PMTTHOMAS[[#This Row],[2024]]="","",DONNÉES!DV243)</f>
        <v/>
      </c>
      <c r="O118" s="113" t="str">
        <f>IF(PMTTHOMAS[[#This Row],[2024]]="","",DONNÉES!DW243)</f>
        <v/>
      </c>
    </row>
    <row r="119" spans="1:15" ht="13.15" customHeight="1" x14ac:dyDescent="0.2">
      <c r="A119" s="79" t="s">
        <v>81</v>
      </c>
      <c r="B119" s="113" t="str">
        <f>IF(DONNÉES!DK244="","",DONNÉES!DK244)</f>
        <v/>
      </c>
      <c r="C119" s="113" t="str">
        <f>IF(PMTTJEANCLO[[#This Row],[2024]]="","",DONNÉES!DL244)</f>
        <v/>
      </c>
      <c r="D119" s="103" t="str">
        <f>IF(PMTTJEANCLO[[#This Row],[2024]]="","",(PMTTJEANCLO[[#This Row],[2024]]-PMTTJEANCLO[[#This Row],[2023]])/PMTTJEANCLO[[#This Row],[2023]])</f>
        <v/>
      </c>
      <c r="E119" s="113" t="str">
        <f>IF(PMTTJEANCLO[[#This Row],[2024]]="","",DONNÉES!DM244)</f>
        <v/>
      </c>
      <c r="F119" s="113" t="str">
        <f>IF(PMTTJEANCLO[[#This Row],[2024]]="","",DONNÉES!DN244)</f>
        <v/>
      </c>
      <c r="G119" s="113" t="str">
        <f>IF(PMTTJEANCLO[[#This Row],[2024]]="","",DONNÉES!DO244)</f>
        <v/>
      </c>
      <c r="I119" s="79" t="s">
        <v>81</v>
      </c>
      <c r="J119" s="113" t="str">
        <f>IF(DONNÉES!DS244="","",DONNÉES!DS244)</f>
        <v/>
      </c>
      <c r="K119" s="113" t="str">
        <f>IF(PMTTHOMAS[[#This Row],[2024]]="","",DONNÉES!DT244)</f>
        <v/>
      </c>
      <c r="L119" s="103" t="str">
        <f>IF(PMTTHOMAS[[#This Row],[2024]]="","",(PMTTHOMAS[[#This Row],[2024]]-PMTTHOMAS[[#This Row],[2023]])/PMTTHOMAS[[#This Row],[2023]])</f>
        <v/>
      </c>
      <c r="M119" s="113" t="str">
        <f>IF(PMTTHOMAS[[#This Row],[2024]]="","",DONNÉES!DU244)</f>
        <v/>
      </c>
      <c r="N119" s="113" t="str">
        <f>IF(PMTTHOMAS[[#This Row],[2024]]="","",DONNÉES!DV244)</f>
        <v/>
      </c>
      <c r="O119" s="113" t="str">
        <f>IF(PMTTHOMAS[[#This Row],[2024]]="","",DONNÉES!DW244)</f>
        <v/>
      </c>
    </row>
    <row r="120" spans="1:15" ht="13.15" customHeight="1" x14ac:dyDescent="0.2">
      <c r="A120" s="81" t="s">
        <v>82</v>
      </c>
      <c r="B120" s="113" t="str">
        <f>IF(DONNÉES!DK245="","",DONNÉES!DK245)</f>
        <v/>
      </c>
      <c r="C120" s="113" t="str">
        <f>IF(PMTTJEANCLO[[#This Row],[2024]]="","",DONNÉES!DL245)</f>
        <v/>
      </c>
      <c r="D120" s="103" t="str">
        <f>IF(PMTTJEANCLO[[#This Row],[2024]]="","",(PMTTJEANCLO[[#This Row],[2024]]-PMTTJEANCLO[[#This Row],[2023]])/PMTTJEANCLO[[#This Row],[2023]])</f>
        <v/>
      </c>
      <c r="E120" s="113" t="str">
        <f>IF(PMTTJEANCLO[[#This Row],[2024]]="","",DONNÉES!DM245)</f>
        <v/>
      </c>
      <c r="F120" s="113" t="str">
        <f>IF(PMTTJEANCLO[[#This Row],[2024]]="","",DONNÉES!DN245)</f>
        <v/>
      </c>
      <c r="G120" s="113" t="str">
        <f>IF(PMTTJEANCLO[[#This Row],[2024]]="","",DONNÉES!DO245)</f>
        <v/>
      </c>
      <c r="I120" s="81" t="s">
        <v>82</v>
      </c>
      <c r="J120" s="113" t="str">
        <f>IF(DONNÉES!DS245="","",DONNÉES!DS245)</f>
        <v/>
      </c>
      <c r="K120" s="113" t="str">
        <f>IF(PMTTHOMAS[[#This Row],[2024]]="","",DONNÉES!DT245)</f>
        <v/>
      </c>
      <c r="L120" s="103" t="str">
        <f>IF(PMTTHOMAS[[#This Row],[2024]]="","",(PMTTHOMAS[[#This Row],[2024]]-PMTTHOMAS[[#This Row],[2023]])/PMTTHOMAS[[#This Row],[2023]])</f>
        <v/>
      </c>
      <c r="M120" s="113" t="str">
        <f>IF(PMTTHOMAS[[#This Row],[2024]]="","",DONNÉES!DU245)</f>
        <v/>
      </c>
      <c r="N120" s="113" t="str">
        <f>IF(PMTTHOMAS[[#This Row],[2024]]="","",DONNÉES!DV245)</f>
        <v/>
      </c>
      <c r="O120" s="113" t="str">
        <f>IF(PMTTHOMAS[[#This Row],[2024]]="","",DONNÉES!DW245)</f>
        <v/>
      </c>
    </row>
    <row r="121" spans="1:15" ht="13.15" customHeight="1" x14ac:dyDescent="0.2">
      <c r="A121" s="79" t="s">
        <v>83</v>
      </c>
      <c r="B121" s="113" t="str">
        <f>IF(DONNÉES!DK246="","",DONNÉES!DK246)</f>
        <v/>
      </c>
      <c r="C121" s="113" t="str">
        <f>IF(PMTTJEANCLO[[#This Row],[2024]]="","",DONNÉES!DL246)</f>
        <v/>
      </c>
      <c r="D121" s="103" t="str">
        <f>IF(PMTTJEANCLO[[#This Row],[2024]]="","",(PMTTJEANCLO[[#This Row],[2024]]-PMTTJEANCLO[[#This Row],[2023]])/PMTTJEANCLO[[#This Row],[2023]])</f>
        <v/>
      </c>
      <c r="E121" s="113" t="str">
        <f>IF(PMTTJEANCLO[[#This Row],[2024]]="","",DONNÉES!DM246)</f>
        <v/>
      </c>
      <c r="F121" s="113" t="str">
        <f>IF(PMTTJEANCLO[[#This Row],[2024]]="","",DONNÉES!DN246)</f>
        <v/>
      </c>
      <c r="G121" s="113" t="str">
        <f>IF(PMTTJEANCLO[[#This Row],[2024]]="","",DONNÉES!DO246)</f>
        <v/>
      </c>
      <c r="I121" s="79" t="s">
        <v>83</v>
      </c>
      <c r="J121" s="113" t="str">
        <f>IF(DONNÉES!DS246="","",DONNÉES!DS246)</f>
        <v/>
      </c>
      <c r="K121" s="113" t="str">
        <f>IF(PMTTHOMAS[[#This Row],[2024]]="","",DONNÉES!DT246)</f>
        <v/>
      </c>
      <c r="L121" s="103" t="str">
        <f>IF(PMTTHOMAS[[#This Row],[2024]]="","",(PMTTHOMAS[[#This Row],[2024]]-PMTTHOMAS[[#This Row],[2023]])/PMTTHOMAS[[#This Row],[2023]])</f>
        <v/>
      </c>
      <c r="M121" s="113" t="str">
        <f>IF(PMTTHOMAS[[#This Row],[2024]]="","",DONNÉES!DU246)</f>
        <v/>
      </c>
      <c r="N121" s="113" t="str">
        <f>IF(PMTTHOMAS[[#This Row],[2024]]="","",DONNÉES!DV246)</f>
        <v/>
      </c>
      <c r="O121" s="113" t="str">
        <f>IF(PMTTHOMAS[[#This Row],[2024]]="","",DONNÉES!DW246)</f>
        <v/>
      </c>
    </row>
    <row r="122" spans="1:15" ht="13.15" customHeight="1" x14ac:dyDescent="0.2">
      <c r="A122" s="79" t="s">
        <v>84</v>
      </c>
      <c r="B122" s="113" t="str">
        <f>IF(DONNÉES!DK247="","",DONNÉES!DK247)</f>
        <v/>
      </c>
      <c r="C122" s="113" t="str">
        <f>IF(PMTTJEANCLO[[#This Row],[2024]]="","",DONNÉES!DL247)</f>
        <v/>
      </c>
      <c r="D122" s="103" t="str">
        <f>IF(PMTTJEANCLO[[#This Row],[2024]]="","",(PMTTJEANCLO[[#This Row],[2024]]-PMTTJEANCLO[[#This Row],[2023]])/PMTTJEANCLO[[#This Row],[2023]])</f>
        <v/>
      </c>
      <c r="E122" s="113" t="str">
        <f>IF(PMTTJEANCLO[[#This Row],[2024]]="","",DONNÉES!DM247)</f>
        <v/>
      </c>
      <c r="F122" s="113" t="str">
        <f>IF(PMTTJEANCLO[[#This Row],[2024]]="","",DONNÉES!DN247)</f>
        <v/>
      </c>
      <c r="G122" s="113" t="str">
        <f>IF(PMTTJEANCLO[[#This Row],[2024]]="","",DONNÉES!DO247)</f>
        <v/>
      </c>
      <c r="I122" s="79" t="s">
        <v>84</v>
      </c>
      <c r="J122" s="113" t="str">
        <f>IF(DONNÉES!DS247="","",DONNÉES!DS247)</f>
        <v/>
      </c>
      <c r="K122" s="113" t="str">
        <f>IF(PMTTHOMAS[[#This Row],[2024]]="","",DONNÉES!DT247)</f>
        <v/>
      </c>
      <c r="L122" s="103" t="str">
        <f>IF(PMTTHOMAS[[#This Row],[2024]]="","",(PMTTHOMAS[[#This Row],[2024]]-PMTTHOMAS[[#This Row],[2023]])/PMTTHOMAS[[#This Row],[2023]])</f>
        <v/>
      </c>
      <c r="M122" s="113" t="str">
        <f>IF(PMTTHOMAS[[#This Row],[2024]]="","",DONNÉES!DU247)</f>
        <v/>
      </c>
      <c r="N122" s="113" t="str">
        <f>IF(PMTTHOMAS[[#This Row],[2024]]="","",DONNÉES!DV247)</f>
        <v/>
      </c>
      <c r="O122" s="113" t="str">
        <f>IF(PMTTHOMAS[[#This Row],[2024]]="","",DONNÉES!DW247)</f>
        <v/>
      </c>
    </row>
    <row r="123" spans="1:15" ht="16.899999999999999" customHeight="1" x14ac:dyDescent="0.2">
      <c r="A123" s="46" t="s">
        <v>135</v>
      </c>
      <c r="B123" s="90">
        <f>SUBTOTAL(101,PMTTJEANCLO[2024])</f>
        <v>13.91</v>
      </c>
      <c r="C123" s="90">
        <f>SUBTOTAL(101,PMTTJEANCLO[2023])</f>
        <v>14.05</v>
      </c>
      <c r="D123" s="105">
        <f>(PMTTJEANCLO[[#Totals],[2024]]-PMTTJEANCLO[[#Totals],[2023]])/PMTTJEANCLO[[#Totals],[2023]]</f>
        <v>-9.9644128113879401E-3</v>
      </c>
      <c r="E123" s="119">
        <f>SUBTOTAL(101,PMTTJEANCLO[2022])</f>
        <v>0</v>
      </c>
      <c r="F123" s="90">
        <f>SUBTOTAL(101,PMTTJEANCLO[2021])</f>
        <v>0</v>
      </c>
      <c r="G123" s="90">
        <f>SUBTOTAL(101,PMTTJEANCLO[2020])</f>
        <v>0</v>
      </c>
      <c r="I123" s="46" t="s">
        <v>135</v>
      </c>
      <c r="J123" s="90">
        <f>SUBTOTAL(101,PMTTHOMAS[2024])</f>
        <v>18.66</v>
      </c>
      <c r="K123" s="90">
        <f>SUBTOTAL(101,PMTTHOMAS[2023])</f>
        <v>18.739999999999998</v>
      </c>
      <c r="L123" s="105">
        <f>(PMTTHOMAS[[#Totals],[2024]]-PMTTHOMAS[[#Totals],[2023]])/PMTTHOMAS[[#Totals],[2023]]</f>
        <v>-4.2689434364993756E-3</v>
      </c>
      <c r="M123" s="119">
        <f>SUBTOTAL(101,PMTTHOMAS[2022])</f>
        <v>0</v>
      </c>
      <c r="N123" s="90">
        <f>SUBTOTAL(101,PMTTHOMAS[2021])</f>
        <v>0</v>
      </c>
      <c r="O123" s="90">
        <f>SUBTOTAL(101,PMTTHOMAS[2020])</f>
        <v>0</v>
      </c>
    </row>
    <row r="124" spans="1:15" ht="30.6" customHeight="1" x14ac:dyDescent="0.2">
      <c r="M124" s="123"/>
    </row>
    <row r="125" spans="1:15" ht="33" customHeight="1" x14ac:dyDescent="0.2">
      <c r="A125" s="79" t="s">
        <v>87</v>
      </c>
      <c r="B125" s="108" t="s">
        <v>6962</v>
      </c>
      <c r="C125" s="108" t="s">
        <v>2169</v>
      </c>
      <c r="D125" s="100" t="s">
        <v>136</v>
      </c>
      <c r="E125" s="108" t="s">
        <v>1553</v>
      </c>
      <c r="F125" s="108" t="s">
        <v>1522</v>
      </c>
      <c r="G125" s="124" t="s">
        <v>1304</v>
      </c>
    </row>
    <row r="126" spans="1:15" ht="13.15" customHeight="1" x14ac:dyDescent="0.2">
      <c r="A126" s="81" t="s">
        <v>73</v>
      </c>
      <c r="B126" s="113">
        <f>IF(DONNÉES!C236="","",DONNÉES!C236)</f>
        <v>15.830714285714285</v>
      </c>
      <c r="C126" s="113">
        <f>IF(PMGLOBAL2[[#This Row],[2024]]="","",DONNÉES!D236)</f>
        <v>17.440000000000001</v>
      </c>
      <c r="D126" s="102">
        <f>IF(PMGLOBAL2[[#This Row],[2024]]="","",(PMGLOBAL2[[#This Row],[2024]]-PMGLOBAL2[[#This Row],[2023]])/PMGLOBAL2[[#This Row],[2023]])</f>
        <v>-9.227555701179567E-2</v>
      </c>
      <c r="E126" s="113">
        <f>IF(PMGLOBAL2[[#This Row],[2024]]="","",DONNÉES!E236)</f>
        <v>18.974</v>
      </c>
      <c r="F126" s="113">
        <f>IF(PMGLOBAL2[[#This Row],[2024]]="","",DONNÉES!F236)</f>
        <v>20.705000000000005</v>
      </c>
      <c r="G126" s="113">
        <f>IF(PMGLOBAL2[[#This Row],[2024]]="","",DONNÉES!G236)</f>
        <v>19.6525</v>
      </c>
      <c r="H126" s="83"/>
    </row>
    <row r="127" spans="1:15" ht="13.15" customHeight="1" x14ac:dyDescent="0.2">
      <c r="A127" s="81" t="s">
        <v>74</v>
      </c>
      <c r="B127" s="113" t="str">
        <f>IF(DONNÉES!C237="","",DONNÉES!C237)</f>
        <v/>
      </c>
      <c r="C127" s="113" t="str">
        <f>IF(PMGLOBAL2[[#This Row],[2024]]="","",DONNÉES!D237)</f>
        <v/>
      </c>
      <c r="D127" s="102" t="str">
        <f>IF(PMGLOBAL2[[#This Row],[2024]]="","",(PMGLOBAL2[[#This Row],[2024]]-PMGLOBAL2[[#This Row],[2023]])/PMGLOBAL2[[#This Row],[2023]])</f>
        <v/>
      </c>
      <c r="E127" s="113" t="str">
        <f>IF(PMGLOBAL2[[#This Row],[2024]]="","",DONNÉES!E237)</f>
        <v/>
      </c>
      <c r="F127" s="91" t="str">
        <f>IF(PMGLOBAL2[[#This Row],[2024]]="","",DONNÉES!F237)</f>
        <v/>
      </c>
      <c r="G127" s="120" t="str">
        <f>IF(PMGLOBAL2[[#This Row],[2024]]="","",DONNÉES!G237)</f>
        <v/>
      </c>
    </row>
    <row r="128" spans="1:15" ht="13.15" customHeight="1" x14ac:dyDescent="0.2">
      <c r="A128" s="79" t="s">
        <v>75</v>
      </c>
      <c r="B128" s="113" t="str">
        <f>IF(DONNÉES!C238="","",DONNÉES!C238)</f>
        <v/>
      </c>
      <c r="C128" s="113" t="str">
        <f>IF(PMGLOBAL2[[#This Row],[2024]]="","",DONNÉES!D238)</f>
        <v/>
      </c>
      <c r="D128" s="102" t="str">
        <f>IF(PMGLOBAL2[[#This Row],[2024]]="","",(PMGLOBAL2[[#This Row],[2024]]-PMGLOBAL2[[#This Row],[2023]])/PMGLOBAL2[[#This Row],[2023]])</f>
        <v/>
      </c>
      <c r="E128" s="113" t="str">
        <f>IF(PMGLOBAL2[[#This Row],[2024]]="","",DONNÉES!E238)</f>
        <v/>
      </c>
      <c r="F128" s="91" t="str">
        <f>IF(PMGLOBAL2[[#This Row],[2024]]="","",DONNÉES!F238)</f>
        <v/>
      </c>
      <c r="G128" s="120" t="str">
        <f>IF(PMGLOBAL2[[#This Row],[2024]]="","",DONNÉES!G238)</f>
        <v/>
      </c>
    </row>
    <row r="129" spans="1:7" ht="13.15" customHeight="1" x14ac:dyDescent="0.2">
      <c r="A129" s="81" t="s">
        <v>76</v>
      </c>
      <c r="B129" s="91" t="str">
        <f>IF(DONNÉES!C239="","",DONNÉES!C239)</f>
        <v/>
      </c>
      <c r="C129" s="91" t="str">
        <f>IF(PMGLOBAL2[[#This Row],[2024]]="","",DONNÉES!D239)</f>
        <v/>
      </c>
      <c r="D129" s="102" t="str">
        <f>IF(PMGLOBAL2[[#This Row],[2024]]="","",(PMGLOBAL2[[#This Row],[2024]]-PMGLOBAL2[[#This Row],[2023]])/PMGLOBAL2[[#This Row],[2023]])</f>
        <v/>
      </c>
      <c r="E129" s="113" t="str">
        <f>IF(PMGLOBAL2[[#This Row],[2024]]="","",DONNÉES!E239)</f>
        <v/>
      </c>
      <c r="F129" s="91" t="str">
        <f>IF(PMGLOBAL2[[#This Row],[2024]]="","",DONNÉES!F239)</f>
        <v/>
      </c>
      <c r="G129" s="120" t="str">
        <f>IF(PMGLOBAL2[[#This Row],[2024]]="","",DONNÉES!G239)</f>
        <v/>
      </c>
    </row>
    <row r="130" spans="1:7" ht="13.15" customHeight="1" x14ac:dyDescent="0.2">
      <c r="A130" s="79" t="s">
        <v>77</v>
      </c>
      <c r="B130" s="91" t="str">
        <f>IF(DONNÉES!C240="","",DONNÉES!C240)</f>
        <v/>
      </c>
      <c r="C130" s="91" t="str">
        <f>IF(PMGLOBAL2[[#This Row],[2024]]="","",DONNÉES!D240)</f>
        <v/>
      </c>
      <c r="D130" s="102" t="str">
        <f>IF(PMGLOBAL2[[#This Row],[2024]]="","",(PMGLOBAL2[[#This Row],[2024]]-PMGLOBAL2[[#This Row],[2023]])/PMGLOBAL2[[#This Row],[2023]])</f>
        <v/>
      </c>
      <c r="E130" s="113" t="str">
        <f>IF(PMGLOBAL2[[#This Row],[2024]]="","",DONNÉES!E240)</f>
        <v/>
      </c>
      <c r="F130" s="91" t="str">
        <f>IF(PMGLOBAL2[[#This Row],[2024]]="","",DONNÉES!F240)</f>
        <v/>
      </c>
      <c r="G130" s="120" t="str">
        <f>IF(PMGLOBAL2[[#This Row],[2024]]="","",DONNÉES!G240)</f>
        <v/>
      </c>
    </row>
    <row r="131" spans="1:7" ht="13.15" customHeight="1" x14ac:dyDescent="0.2">
      <c r="A131" s="81" t="s">
        <v>78</v>
      </c>
      <c r="B131" s="91" t="str">
        <f>IF(DONNÉES!C241="","",DONNÉES!C241)</f>
        <v/>
      </c>
      <c r="C131" s="91" t="str">
        <f>IF(PMGLOBAL2[[#This Row],[2024]]="","",DONNÉES!D241)</f>
        <v/>
      </c>
      <c r="D131" s="102" t="str">
        <f>IF(PMGLOBAL2[[#This Row],[2024]]="","",(PMGLOBAL2[[#This Row],[2024]]-PMGLOBAL2[[#This Row],[2023]])/PMGLOBAL2[[#This Row],[2023]])</f>
        <v/>
      </c>
      <c r="E131" s="113" t="str">
        <f>IF(PMGLOBAL2[[#This Row],[2024]]="","",DONNÉES!E241)</f>
        <v/>
      </c>
      <c r="F131" s="91" t="str">
        <f>IF(PMGLOBAL2[[#This Row],[2024]]="","",DONNÉES!F241)</f>
        <v/>
      </c>
      <c r="G131" s="120" t="str">
        <f>IF(PMGLOBAL2[[#This Row],[2024]]="","",DONNÉES!G241)</f>
        <v/>
      </c>
    </row>
    <row r="132" spans="1:7" ht="13.15" customHeight="1" x14ac:dyDescent="0.2">
      <c r="A132" s="79" t="s">
        <v>79</v>
      </c>
      <c r="B132" s="91" t="str">
        <f>IF(DONNÉES!C242="","",DONNÉES!C242)</f>
        <v/>
      </c>
      <c r="C132" s="91" t="str">
        <f>IF(PMGLOBAL2[[#This Row],[2024]]="","",DONNÉES!D242)</f>
        <v/>
      </c>
      <c r="D132" s="102" t="str">
        <f>IF(PMGLOBAL2[[#This Row],[2024]]="","",(PMGLOBAL2[[#This Row],[2024]]-PMGLOBAL2[[#This Row],[2023]])/PMGLOBAL2[[#This Row],[2023]])</f>
        <v/>
      </c>
      <c r="E132" s="113" t="str">
        <f>IF(PMGLOBAL2[[#This Row],[2024]]="","",DONNÉES!E242)</f>
        <v/>
      </c>
      <c r="F132" s="91" t="str">
        <f>IF(PMGLOBAL2[[#This Row],[2024]]="","",DONNÉES!F242)</f>
        <v/>
      </c>
      <c r="G132" s="120" t="str">
        <f>IF(PMGLOBAL2[[#This Row],[2024]]="","",DONNÉES!G242)</f>
        <v/>
      </c>
    </row>
    <row r="133" spans="1:7" ht="13.15" customHeight="1" x14ac:dyDescent="0.2">
      <c r="A133" s="81" t="s">
        <v>80</v>
      </c>
      <c r="B133" s="91" t="str">
        <f>IF(DONNÉES!C243="","",DONNÉES!C243)</f>
        <v/>
      </c>
      <c r="C133" s="91" t="str">
        <f>IF(PMGLOBAL2[[#This Row],[2024]]="","",DONNÉES!D243)</f>
        <v/>
      </c>
      <c r="D133" s="102" t="str">
        <f>IF(PMGLOBAL2[[#This Row],[2024]]="","",(PMGLOBAL2[[#This Row],[2024]]-PMGLOBAL2[[#This Row],[2023]])/PMGLOBAL2[[#This Row],[2023]])</f>
        <v/>
      </c>
      <c r="E133" s="113" t="str">
        <f>IF(PMGLOBAL2[[#This Row],[2024]]="","",DONNÉES!E243)</f>
        <v/>
      </c>
      <c r="F133" s="91" t="str">
        <f>IF(PMGLOBAL2[[#This Row],[2024]]="","",DONNÉES!F243)</f>
        <v/>
      </c>
      <c r="G133" s="120" t="str">
        <f>IF(PMGLOBAL2[[#This Row],[2024]]="","",DONNÉES!G243)</f>
        <v/>
      </c>
    </row>
    <row r="134" spans="1:7" ht="13.15" customHeight="1" x14ac:dyDescent="0.2">
      <c r="A134" s="79" t="s">
        <v>81</v>
      </c>
      <c r="B134" s="91" t="str">
        <f>IF(DONNÉES!C244="","",DONNÉES!C244)</f>
        <v/>
      </c>
      <c r="C134" s="91" t="str">
        <f>IF(PMGLOBAL2[[#This Row],[2024]]="","",DONNÉES!D244)</f>
        <v/>
      </c>
      <c r="D134" s="103" t="str">
        <f>IF(PMGLOBAL2[[#This Row],[2024]]="","",(PMGLOBAL2[[#This Row],[2024]]-PMGLOBAL2[[#This Row],[2023]])/PMGLOBAL2[[#This Row],[2023]])</f>
        <v/>
      </c>
      <c r="E134" s="113" t="str">
        <f>IF(PMGLOBAL2[[#This Row],[2024]]="","",DONNÉES!E244)</f>
        <v/>
      </c>
      <c r="F134" s="91" t="str">
        <f>IF(PMGLOBAL2[[#This Row],[2024]]="","",DONNÉES!F244)</f>
        <v/>
      </c>
      <c r="G134" s="120" t="str">
        <f>IF(PMGLOBAL2[[#This Row],[2024]]="","",DONNÉES!G244)</f>
        <v/>
      </c>
    </row>
    <row r="135" spans="1:7" ht="13.15" customHeight="1" x14ac:dyDescent="0.2">
      <c r="A135" s="81" t="s">
        <v>82</v>
      </c>
      <c r="B135" s="91" t="str">
        <f>IF(DONNÉES!C245="","",DONNÉES!C245)</f>
        <v/>
      </c>
      <c r="C135" s="91" t="str">
        <f>IF(PMGLOBAL2[[#This Row],[2024]]="","",DONNÉES!D245)</f>
        <v/>
      </c>
      <c r="D135" s="103" t="str">
        <f>IF(PMGLOBAL2[[#This Row],[2024]]="","",(PMGLOBAL2[[#This Row],[2024]]-PMGLOBAL2[[#This Row],[2023]])/PMGLOBAL2[[#This Row],[2023]])</f>
        <v/>
      </c>
      <c r="E135" s="113" t="str">
        <f>IF(PMGLOBAL2[[#This Row],[2024]]="","",DONNÉES!E245)</f>
        <v/>
      </c>
      <c r="F135" s="91" t="str">
        <f>IF(PMGLOBAL2[[#This Row],[2024]]="","",DONNÉES!F245)</f>
        <v/>
      </c>
      <c r="G135" s="120" t="str">
        <f>IF(PMGLOBAL2[[#This Row],[2024]]="","",DONNÉES!G245)</f>
        <v/>
      </c>
    </row>
    <row r="136" spans="1:7" ht="13.15" customHeight="1" x14ac:dyDescent="0.2">
      <c r="A136" s="79" t="s">
        <v>83</v>
      </c>
      <c r="B136" s="91" t="str">
        <f>IF(DONNÉES!C246="","",DONNÉES!C246)</f>
        <v/>
      </c>
      <c r="C136" s="91" t="str">
        <f>IF(PMGLOBAL2[[#This Row],[2024]]="","",DONNÉES!D246)</f>
        <v/>
      </c>
      <c r="D136" s="103" t="str">
        <f>IF(PMGLOBAL2[[#This Row],[2024]]="","",(PMGLOBAL2[[#This Row],[2024]]-PMGLOBAL2[[#This Row],[2023]])/PMGLOBAL2[[#This Row],[2023]])</f>
        <v/>
      </c>
      <c r="E136" s="113" t="str">
        <f>IF(PMGLOBAL2[[#This Row],[2024]]="","",DONNÉES!E246)</f>
        <v/>
      </c>
      <c r="F136" s="91" t="str">
        <f>IF(PMGLOBAL2[[#This Row],[2024]]="","",DONNÉES!F246)</f>
        <v/>
      </c>
      <c r="G136" s="120" t="str">
        <f>IF(PMGLOBAL2[[#This Row],[2024]]="","",DONNÉES!G246)</f>
        <v/>
      </c>
    </row>
    <row r="137" spans="1:7" ht="13.15" customHeight="1" x14ac:dyDescent="0.2">
      <c r="A137" s="79" t="s">
        <v>84</v>
      </c>
      <c r="B137" s="91" t="str">
        <f>IF(DONNÉES!C247="","",DONNÉES!C247)</f>
        <v/>
      </c>
      <c r="C137" s="91" t="str">
        <f>IF(PMGLOBAL2[[#This Row],[2024]]="","",DONNÉES!D247)</f>
        <v/>
      </c>
      <c r="D137" s="103" t="str">
        <f>IF(PMGLOBAL2[[#This Row],[2024]]="","",(PMGLOBAL2[[#This Row],[2024]]-PMGLOBAL2[[#This Row],[2023]])/PMGLOBAL2[[#This Row],[2023]])</f>
        <v/>
      </c>
      <c r="E137" s="113" t="str">
        <f>IF(PMGLOBAL2[[#This Row],[2024]]="","",DONNÉES!E247)</f>
        <v/>
      </c>
      <c r="F137" s="91" t="str">
        <f>IF(PMGLOBAL2[[#This Row],[2024]]="","",DONNÉES!F247)</f>
        <v/>
      </c>
      <c r="G137" s="120" t="str">
        <f>IF(PMGLOBAL2[[#This Row],[2024]]="","",DONNÉES!G247)</f>
        <v/>
      </c>
    </row>
    <row r="138" spans="1:7" ht="16.899999999999999" customHeight="1" x14ac:dyDescent="0.2">
      <c r="A138" s="46" t="s">
        <v>135</v>
      </c>
      <c r="B138" s="90">
        <f>SUBTOTAL(101,PMGLOBAL2[2024])</f>
        <v>15.830714285714285</v>
      </c>
      <c r="C138" s="90">
        <f>SUBTOTAL(101,PMGLOBAL2[2023])</f>
        <v>17.440000000000001</v>
      </c>
      <c r="D138" s="105">
        <f>(PMGLOBAL2[[#Totals],[2024]]-PMGLOBAL2[[#Totals],[2023]])/PMGLOBAL2[[#Totals],[2023]]</f>
        <v>-9.227555701179567E-2</v>
      </c>
      <c r="E138" s="119">
        <f>SUBTOTAL(101,PMGLOBAL2[2022])</f>
        <v>18.974</v>
      </c>
      <c r="F138" s="90">
        <f>SUBTOTAL(101,PMGLOBAL2[2021])</f>
        <v>20.705000000000005</v>
      </c>
      <c r="G138" s="90">
        <f>SUBTOTAL(101,PMGLOBAL2[2020])</f>
        <v>19.6525</v>
      </c>
    </row>
    <row r="146" spans="9:9" x14ac:dyDescent="0.2">
      <c r="I146" s="83"/>
    </row>
  </sheetData>
  <mergeCells count="1">
    <mergeCell ref="A3:O3"/>
  </mergeCells>
  <pageMargins left="0.70866141732283472" right="0.70866141732283472" top="0.74803149606299213" bottom="0.74803149606299213" header="0.31496062992125984" footer="0.31496062992125984"/>
  <pageSetup paperSize="9" scale="53" fitToHeight="3" orientation="portrait" r:id="rId1"/>
  <headerFooter>
    <oddFooter>&amp;C&amp;"Helv,Gras"&amp;11Page &amp;P / &amp;N</oddFooter>
  </headerFooter>
  <rowBreaks count="1" manualBreakCount="1">
    <brk id="78" max="16383" man="1"/>
  </rowBreaks>
  <drawing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18420-C981-4A82-A9D1-F9DAACC935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109</vt:i4>
      </vt:variant>
      <vt:variant>
        <vt:lpstr>Plages nommées</vt:lpstr>
      </vt:variant>
      <vt:variant>
        <vt:i4>49</vt:i4>
      </vt:variant>
    </vt:vector>
  </HeadingPairs>
  <TitlesOfParts>
    <vt:vector size="158" baseType="lpstr">
      <vt:lpstr>BAL N GLR5</vt:lpstr>
      <vt:lpstr>BAL N HTR8</vt:lpstr>
      <vt:lpstr>BAL N TIRR</vt:lpstr>
      <vt:lpstr>BAL N VR7</vt:lpstr>
      <vt:lpstr>BAL N TURVILLA</vt:lpstr>
      <vt:lpstr>BAL N HART</vt:lpstr>
      <vt:lpstr>BAL N VICTOIRE</vt:lpstr>
      <vt:lpstr>BAL N TH4</vt:lpstr>
      <vt:lpstr>BAL N DIVES</vt:lpstr>
      <vt:lpstr>BAL N R314</vt:lpstr>
      <vt:lpstr>BAL N LYSE</vt:lpstr>
      <vt:lpstr>BAL N ARTHUR</vt:lpstr>
      <vt:lpstr>BAL N HUGO</vt:lpstr>
      <vt:lpstr>BAL N JEANCLO</vt:lpstr>
      <vt:lpstr>BAL N THOMAS</vt:lpstr>
      <vt:lpstr>BAL N CATALINA</vt:lpstr>
      <vt:lpstr>TL</vt:lpstr>
      <vt:lpstr>DONNEES_MOIS 2024</vt:lpstr>
      <vt:lpstr>DONNEES_CUM 2024</vt:lpstr>
      <vt:lpstr>PARAMETRES</vt:lpstr>
      <vt:lpstr>DONNÉES</vt:lpstr>
      <vt:lpstr>pr info suivi écart</vt:lpstr>
      <vt:lpstr>SOMMAIRE</vt:lpstr>
      <vt:lpstr>FB1</vt:lpstr>
      <vt:lpstr>INTRODUCTION</vt:lpstr>
      <vt:lpstr>FB2</vt:lpstr>
      <vt:lpstr>IA</vt:lpstr>
      <vt:lpstr>GCA GLOBAL</vt:lpstr>
      <vt:lpstr>GLOBAL M</vt:lpstr>
      <vt:lpstr>GPL GLOBAL</vt:lpstr>
      <vt:lpstr>GLOBAL C</vt:lpstr>
      <vt:lpstr>CONTRIB M</vt:lpstr>
      <vt:lpstr>CONTRIB CUM </vt:lpstr>
      <vt:lpstr>FB3</vt:lpstr>
      <vt:lpstr>IB</vt:lpstr>
      <vt:lpstr>GCA GLR5</vt:lpstr>
      <vt:lpstr>GLR5 M</vt:lpstr>
      <vt:lpstr>GCA HTR8</vt:lpstr>
      <vt:lpstr>HTR8 M</vt:lpstr>
      <vt:lpstr>GCA TIRR</vt:lpstr>
      <vt:lpstr>TIRR M</vt:lpstr>
      <vt:lpstr>GCA VR7</vt:lpstr>
      <vt:lpstr>VR7 M </vt:lpstr>
      <vt:lpstr>GCA TURVILLA</vt:lpstr>
      <vt:lpstr>TURVILLA M</vt:lpstr>
      <vt:lpstr>GCA HART</vt:lpstr>
      <vt:lpstr>HART M</vt:lpstr>
      <vt:lpstr>GCA VICTOIRE</vt:lpstr>
      <vt:lpstr>VICTOIRE M</vt:lpstr>
      <vt:lpstr>GCA TH4</vt:lpstr>
      <vt:lpstr>TH4 M </vt:lpstr>
      <vt:lpstr>GCA DIVES</vt:lpstr>
      <vt:lpstr>DIVES M</vt:lpstr>
      <vt:lpstr>GCA R314</vt:lpstr>
      <vt:lpstr>R314 M </vt:lpstr>
      <vt:lpstr>GCA LYSE</vt:lpstr>
      <vt:lpstr>LYSE M </vt:lpstr>
      <vt:lpstr>GCA ARTHUR</vt:lpstr>
      <vt:lpstr>ARTHUR M </vt:lpstr>
      <vt:lpstr>GCA HUGO</vt:lpstr>
      <vt:lpstr>HUGO M </vt:lpstr>
      <vt:lpstr>GCA JEANCLO</vt:lpstr>
      <vt:lpstr>JEANCLO M </vt:lpstr>
      <vt:lpstr>GCA THOMAS</vt:lpstr>
      <vt:lpstr>THOMAS M</vt:lpstr>
      <vt:lpstr>GCA CATALINA</vt:lpstr>
      <vt:lpstr>CATALINA M</vt:lpstr>
      <vt:lpstr>FB4</vt:lpstr>
      <vt:lpstr>IC</vt:lpstr>
      <vt:lpstr>GPL GLR5</vt:lpstr>
      <vt:lpstr>GLR5 A</vt:lpstr>
      <vt:lpstr>GPL HTR8</vt:lpstr>
      <vt:lpstr>HTR8 A</vt:lpstr>
      <vt:lpstr>GPL TIRR</vt:lpstr>
      <vt:lpstr>TIRR A</vt:lpstr>
      <vt:lpstr>GPL VR7</vt:lpstr>
      <vt:lpstr>VR7 A</vt:lpstr>
      <vt:lpstr>GPL TURVILLA</vt:lpstr>
      <vt:lpstr>TURVILLA A</vt:lpstr>
      <vt:lpstr>GPL HART</vt:lpstr>
      <vt:lpstr>HART A</vt:lpstr>
      <vt:lpstr>GPL VICTOIRE</vt:lpstr>
      <vt:lpstr>VICTOIRE A</vt:lpstr>
      <vt:lpstr>GPL TH4</vt:lpstr>
      <vt:lpstr>TH4 A</vt:lpstr>
      <vt:lpstr>GPL DIVES</vt:lpstr>
      <vt:lpstr>DIVES A</vt:lpstr>
      <vt:lpstr>GPL R314</vt:lpstr>
      <vt:lpstr>R314 A</vt:lpstr>
      <vt:lpstr>GPL LYSE</vt:lpstr>
      <vt:lpstr>LYSE A</vt:lpstr>
      <vt:lpstr>GPL ARTHUR</vt:lpstr>
      <vt:lpstr>ARTHUR A</vt:lpstr>
      <vt:lpstr>GPL HUGO</vt:lpstr>
      <vt:lpstr>HUGO A</vt:lpstr>
      <vt:lpstr>GPL JEANCLO</vt:lpstr>
      <vt:lpstr>JEANCLO A</vt:lpstr>
      <vt:lpstr>GPL THOMAS</vt:lpstr>
      <vt:lpstr>THOMAS A</vt:lpstr>
      <vt:lpstr>GPL CATALINA</vt:lpstr>
      <vt:lpstr>CATALINA A</vt:lpstr>
      <vt:lpstr>FB20</vt:lpstr>
      <vt:lpstr>IF</vt:lpstr>
      <vt:lpstr>GRAPH TRESO</vt:lpstr>
      <vt:lpstr>TRESO</vt:lpstr>
      <vt:lpstr>TRANSACTIONS DETAIL</vt:lpstr>
      <vt:lpstr>TRANSACTIONS RECAP</vt:lpstr>
      <vt:lpstr>PANIERS DETAIL</vt:lpstr>
      <vt:lpstr>PANIERS RECAP</vt:lpstr>
      <vt:lpstr>'CONTRIB M'!Impression_des_titres</vt:lpstr>
      <vt:lpstr>'PANIERS DETAIL'!Impression_des_titres</vt:lpstr>
      <vt:lpstr>'PANIERS RECAP'!Impression_des_titres</vt:lpstr>
      <vt:lpstr>'TRANSACTIONS DETAIL'!Impression_des_titres</vt:lpstr>
      <vt:lpstr>'TRANSACTIONS RECAP'!Impression_des_titres</vt:lpstr>
      <vt:lpstr>'ARTHUR A'!TRT_R314</vt:lpstr>
      <vt:lpstr>'ARTHUR M '!TRT_R314</vt:lpstr>
      <vt:lpstr>'BAL N CATALINA'!TRT_R314</vt:lpstr>
      <vt:lpstr>'CATALINA A'!TRT_R314</vt:lpstr>
      <vt:lpstr>'CATALINA M'!TRT_R314</vt:lpstr>
      <vt:lpstr>'FB1'!TRT_R314</vt:lpstr>
      <vt:lpstr>'FB2'!TRT_R314</vt:lpstr>
      <vt:lpstr>'FB3'!TRT_R314</vt:lpstr>
      <vt:lpstr>'FB4'!TRT_R314</vt:lpstr>
      <vt:lpstr>'GCA ARTHUR'!TRT_R314</vt:lpstr>
      <vt:lpstr>'GCA CATALINA'!TRT_R314</vt:lpstr>
      <vt:lpstr>'GCA GLR5'!TRT_R314</vt:lpstr>
      <vt:lpstr>'GCA HART'!TRT_R314</vt:lpstr>
      <vt:lpstr>'GCA HTR8'!TRT_R314</vt:lpstr>
      <vt:lpstr>'GCA HUGO'!TRT_R314</vt:lpstr>
      <vt:lpstr>'GCA JEANCLO'!TRT_R314</vt:lpstr>
      <vt:lpstr>'GCA THOMAS'!TRT_R314</vt:lpstr>
      <vt:lpstr>'GCA TIRR'!TRT_R314</vt:lpstr>
      <vt:lpstr>'GCA TURVILLA'!TRT_R314</vt:lpstr>
      <vt:lpstr>'GCA VICTOIRE'!TRT_R314</vt:lpstr>
      <vt:lpstr>'GCA VR7'!TRT_R314</vt:lpstr>
      <vt:lpstr>'GPL ARTHUR'!TRT_R314</vt:lpstr>
      <vt:lpstr>'GPL CATALINA'!TRT_R314</vt:lpstr>
      <vt:lpstr>'GPL GLR5'!TRT_R314</vt:lpstr>
      <vt:lpstr>'GPL HART'!TRT_R314</vt:lpstr>
      <vt:lpstr>'GPL HTR8'!TRT_R314</vt:lpstr>
      <vt:lpstr>'GPL HUGO'!TRT_R314</vt:lpstr>
      <vt:lpstr>'GPL JEANCLO'!TRT_R314</vt:lpstr>
      <vt:lpstr>'GPL TH4'!TRT_R314</vt:lpstr>
      <vt:lpstr>'GPL THOMAS'!TRT_R314</vt:lpstr>
      <vt:lpstr>'GPL TIRR'!TRT_R314</vt:lpstr>
      <vt:lpstr>'GPL TURVILLA'!TRT_R314</vt:lpstr>
      <vt:lpstr>'GPL VR7'!TRT_R314</vt:lpstr>
      <vt:lpstr>'HUGO A'!TRT_R314</vt:lpstr>
      <vt:lpstr>'HUGO M '!TRT_R314</vt:lpstr>
      <vt:lpstr>'JEANCLO A'!TRT_R314</vt:lpstr>
      <vt:lpstr>'JEANCLO M '!TRT_R314</vt:lpstr>
      <vt:lpstr>'THOMAS A'!TRT_R314</vt:lpstr>
      <vt:lpstr>'THOMAS M'!TRT_R314</vt:lpstr>
      <vt:lpstr>TRT_R314</vt:lpstr>
      <vt:lpstr>'CATALINA M'!Zone_d_impression</vt:lpstr>
      <vt:lpstr>'CONTRIB CUM '!Zone_d_impression</vt:lpstr>
      <vt:lpstr>'THOMAS M'!Zone_d_impression</vt:lpstr>
      <vt:lpstr>'TRANSACTIONS DETAIL'!Zone_d_impression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COMPARAISON DES P L MENSUELS</dc:title>
  <dc:creator>DP</dc:creator>
  <cp:lastModifiedBy>Matthias Lameira | Martini &amp; Associés</cp:lastModifiedBy>
  <cp:lastPrinted>2024-12-17T10:19:37Z</cp:lastPrinted>
  <dcterms:created xsi:type="dcterms:W3CDTF">1999-02-15T13:27:53Z</dcterms:created>
  <dcterms:modified xsi:type="dcterms:W3CDTF">2025-03-19T10:29:44Z</dcterms:modified>
</cp:coreProperties>
</file>